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11.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O:\Valuation\RNA Advisors\Trucode Gene Repair\409A VD 01.31.2019\6 - Analysis\"/>
    </mc:Choice>
  </mc:AlternateContent>
  <xr:revisionPtr revIDLastSave="0" documentId="13_ncr:1_{CE3E3BC5-CCA0-424B-9C69-C6F63D4DD4C3}" xr6:coauthVersionLast="40" xr6:coauthVersionMax="40" xr10:uidLastSave="{00000000-0000-0000-0000-000000000000}"/>
  <bookViews>
    <workbookView xWindow="-120" yWindow="-120" windowWidth="20730" windowHeight="11160" tabRatio="890" firstSheet="24" activeTab="24" xr2:uid="{00000000-000D-0000-FFFF-FFFF00000000}"/>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Title" sheetId="1" r:id="rId7"/>
    <sheet name="Outline" sheetId="133" r:id="rId8"/>
    <sheet name="Val Summ" sheetId="4" r:id="rId9"/>
    <sheet name="Allocation Method &gt;&gt;" sheetId="90" r:id="rId10"/>
    <sheet name="PWERM" sheetId="73" r:id="rId11"/>
    <sheet name="Exit Probability" sheetId="126" r:id="rId12"/>
    <sheet name="PoTS" sheetId="132" r:id="rId13"/>
    <sheet name="FS &gt;&gt;" sheetId="94" r:id="rId14"/>
    <sheet name="Projected IS" sheetId="271" r:id="rId15"/>
    <sheet name="Hist IS" sheetId="10" r:id="rId16"/>
    <sheet name="Hist BS" sheetId="8" r:id="rId17"/>
    <sheet name="Discount Rate FP &gt;&gt;" sheetId="27" r:id="rId18"/>
    <sheet name="WACC PWERM" sheetId="40" r:id="rId19"/>
    <sheet name="RoR Stage of Dev" sheetId="38" r:id="rId20"/>
    <sheet name="GCM FP &gt;&gt;" sheetId="21" r:id="rId21"/>
    <sheet name="Comp.1" sheetId="47" r:id="rId22"/>
    <sheet name="Comp.6" sheetId="15" r:id="rId23"/>
    <sheet name="GTM FP &gt;&gt;" sheetId="22" r:id="rId24"/>
    <sheet name="Trans.1" sheetId="57" r:id="rId25"/>
    <sheet name="Trans.2" sheetId="59" r:id="rId26"/>
    <sheet name="Cap Structure FP &gt;&gt;" sheetId="24" r:id="rId27"/>
    <sheet name="Cap Table" sheetId="63" r:id="rId28"/>
    <sheet name="Econ Rights" sheetId="64" r:id="rId29"/>
    <sheet name="Support FP &gt;&gt;" sheetId="25" r:id="rId30"/>
    <sheet name="PWERM DLOM" sheetId="11" r:id="rId31"/>
    <sheet name="Asset Vol_IPO Phase I" sheetId="256" r:id="rId32"/>
    <sheet name="Asset Vol_IPO Phase II" sheetId="249" r:id="rId33"/>
    <sheet name="Asset Vol_M&amp;A Phase I" sheetId="278" r:id="rId34"/>
    <sheet name="Asset Vol_M&amp;A Phase II" sheetId="250" r:id="rId35"/>
    <sheet name="Equity Vol" sheetId="13" r:id="rId36"/>
    <sheet name="Risk-Free Rates" sheetId="14" r:id="rId37"/>
    <sheet name="Additional Risk Factor" sheetId="282" r:id="rId38"/>
    <sheet name="Licensing Deals" sheetId="217" r:id="rId39"/>
    <sheet name="_CIQHiddenCacheSheet" sheetId="263" state="veryHidden" r:id="rId40"/>
    <sheet name="IPO Data_BioPharma" sheetId="233" r:id="rId41"/>
    <sheet name="Title_Workpapers &gt; &gt;" sheetId="152" r:id="rId42"/>
    <sheet name="Outline_Workpapers" sheetId="232" r:id="rId43"/>
    <sheet name="Hybrid OPM" sheetId="236" r:id="rId44"/>
    <sheet name="OPM 1 Hybrid" sheetId="241" r:id="rId45"/>
    <sheet name="OPM 2 Hybrid" sheetId="242" r:id="rId46"/>
    <sheet name="DLOM Hybrid" sheetId="243" r:id="rId47"/>
    <sheet name="Asset Vol Hybrid" sheetId="244" r:id="rId48"/>
    <sheet name="Asset Vol Hybrid OPM DLOM" sheetId="281" r:id="rId49"/>
    <sheet name="Risk-Free Rates Hybrid" sheetId="280" r:id="rId50"/>
    <sheet name="Market Trends since Prior Val" sheetId="185" r:id="rId51"/>
    <sheet name="Comparative Sheet" sheetId="156" r:id="rId52"/>
    <sheet name="PBC -&gt;&gt;&gt;" sheetId="231" r:id="rId53"/>
    <sheet name="Cash Burn" sheetId="276" r:id="rId54"/>
    <sheet name="Operating Income Statement" sheetId="272" r:id="rId55"/>
    <sheet name="Balance Sheet" sheetId="273" r:id="rId56"/>
    <sheet name="Cash Flow" sheetId="274" r:id="rId57"/>
    <sheet name="Income Statement'2018" sheetId="268" r:id="rId58"/>
    <sheet name="Actual BS" sheetId="277" r:id="rId59"/>
    <sheet name="Balance Sheet'2018" sheetId="275" r:id="rId60"/>
    <sheet name="Cash Flow'2018" sheetId="269" r:id="rId61"/>
    <sheet name="Detailed Cap" sheetId="264" r:id="rId62"/>
    <sheet name="Options &amp; RSUs" sheetId="265" r:id="rId63"/>
    <sheet name="Certificates" sheetId="266" r:id="rId64"/>
    <sheet name="Vesting Details" sheetId="267" r:id="rId65"/>
    <sheet name="CAPIQ -&gt;&gt;&gt;" sheetId="230" r:id="rId66"/>
    <sheet name="Capital IQ Sheet-GPC" sheetId="200" r:id="rId67"/>
    <sheet name="Capital IQ Sheet-STM" sheetId="204" r:id="rId68"/>
    <sheet name="GPC Linked" sheetId="213" r:id="rId69"/>
    <sheet name="STM Linked" sheetId="214" r:id="rId70"/>
    <sheet name="&lt;DO NOT INCLUDE&gt;" sheetId="26" r:id="rId71"/>
    <sheet name="PWERM Waterfall n Alloation" sheetId="52" r:id="rId72"/>
    <sheet name="Asset Vol_PWERM" sheetId="12" r:id="rId73"/>
    <sheet name="Beta Calc" sheetId="41" r:id="rId74"/>
    <sheet name="WACC CAPM" sheetId="39" r:id="rId75"/>
    <sheet name="OPM 1" sheetId="279" r:id="rId76"/>
    <sheet name="OPM 2" sheetId="66" r:id="rId77"/>
    <sheet name="Asset Vol_DLOM" sheetId="257" r:id="rId78"/>
    <sheet name="IPO Data_Med Device" sheetId="234" r:id="rId79"/>
    <sheet name="IPO Data_Diagnostic" sheetId="235" r:id="rId80"/>
    <sheet name="Comp.4" sheetId="173" r:id="rId81"/>
    <sheet name="DLOM Rest Stock" sheetId="5" r:id="rId82"/>
    <sheet name="Lack Voting" sheetId="2" r:id="rId83"/>
    <sheet name="Control Premium Summary" sheetId="189" r:id="rId84"/>
    <sheet name="GCM SUMM" sheetId="48" r:id="rId85"/>
    <sheet name="Comp.2" sheetId="172" r:id="rId86"/>
    <sheet name="Comp.5" sheetId="53" r:id="rId87"/>
    <sheet name="GTM SUMM" sheetId="62" r:id="rId88"/>
    <sheet name="List Data" sheetId="106" r:id="rId89"/>
    <sheet name="Template Details" sheetId="88" r:id="rId90"/>
    <sheet name="DCF" sheetId="6" r:id="rId91"/>
    <sheet name="Depreciation - MACRS" sheetId="229" r:id="rId92"/>
    <sheet name="Class Vol" sheetId="245" r:id="rId93"/>
  </sheets>
  <externalReferences>
    <externalReference r:id="rId94"/>
    <externalReference r:id="rId95"/>
    <externalReference r:id="rId96"/>
    <externalReference r:id="rId97"/>
    <externalReference r:id="rId98"/>
    <externalReference r:id="rId99"/>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 r:id="rId110"/>
    <externalReference r:id="rId111"/>
    <externalReference r:id="rId112"/>
    <externalReference r:id="rId113"/>
    <externalReference r:id="rId114"/>
    <externalReference r:id="rId115"/>
    <externalReference r:id="rId116"/>
    <externalReference r:id="rId117"/>
    <externalReference r:id="rId118"/>
    <externalReference r:id="rId119"/>
    <externalReference r:id="rId120"/>
    <externalReference r:id="rId121"/>
    <externalReference r:id="rId122"/>
    <externalReference r:id="rId123"/>
    <externalReference r:id="rId124"/>
    <externalReference r:id="rId125"/>
    <externalReference r:id="rId126"/>
    <externalReference r:id="rId127"/>
  </externalReferences>
  <definedNames>
    <definedName name="_" localSheetId="37" hidden="1">#REF!</definedName>
    <definedName name="_" localSheetId="48" hidden="1">#REF!</definedName>
    <definedName name="_" localSheetId="77" hidden="1">#REF!</definedName>
    <definedName name="_" localSheetId="31" hidden="1">#REF!</definedName>
    <definedName name="_" localSheetId="32" hidden="1">#REF!</definedName>
    <definedName name="_" localSheetId="33" hidden="1">#REF!</definedName>
    <definedName name="_" localSheetId="4" hidden="1">#REF!</definedName>
    <definedName name="_" localSheetId="40" hidden="1">#REF!</definedName>
    <definedName name="_" localSheetId="79" hidden="1">#REF!</definedName>
    <definedName name="_" localSheetId="78" hidden="1">#REF!</definedName>
    <definedName name="_" localSheetId="75" hidden="1">#REF!</definedName>
    <definedName name="_" localSheetId="42" hidden="1">#REF!</definedName>
    <definedName name="_" localSheetId="14" hidden="1">#REF!</definedName>
    <definedName name="_" localSheetId="49" hidden="1">#REF!</definedName>
    <definedName name="_" hidden="1">#REF!</definedName>
    <definedName name="___hq1" hidden="1">{#N/A,#N/A,FALSE,"6405";#N/A,#N/A,FALSE,"6406";#N/A,#N/A,FALSE,"6409";#N/A,#N/A,FALSE,"6425";#N/A,#N/A,FALSE,"6426";#N/A,#N/A,FALSE,"6427";#N/A,#N/A,FALSE,"6440";#N/A,#N/A,FALSE,"6441";#N/A,#N/A,FALSE,"6442";#N/A,#N/A,FALSE,"6443"}</definedName>
    <definedName name="__123Graph_A" hidden="1">'[1]Sheet1 (2)'!$H$20:$O$20</definedName>
    <definedName name="__123Graph_ACHART10" hidden="1">'[2]De Vere'!#REF!</definedName>
    <definedName name="__123Graph_ACURRENT" hidden="1">'[2]De Vere'!#REF!</definedName>
    <definedName name="__123Graph_ADA" hidden="1">[3]CAPITAL!#REF!</definedName>
    <definedName name="__123Graph_ADEPREC2" hidden="1">[3]CAPITAL!#REF!</definedName>
    <definedName name="__123Graph_APROFIT" hidden="1">'[3]NEW FINANCIALS'!#REF!</definedName>
    <definedName name="__123Graph_ATREND" hidden="1">'[3]Do not use'!#REF!</definedName>
    <definedName name="__123Graph_B" hidden="1">'[1]Sheet1 (2)'!$H$15:$O$15</definedName>
    <definedName name="__123Graph_BCHART10" hidden="1">'[2]De Vere'!#REF!</definedName>
    <definedName name="__123Graph_BCURRENT" hidden="1">'[2]De Vere'!#REF!</definedName>
    <definedName name="__123Graph_BPROFIT" hidden="1">#REF!</definedName>
    <definedName name="__123Graph_BTREND" hidden="1">'[3]Do not use'!#REF!</definedName>
    <definedName name="__123Graph_BTURNOVER" hidden="1">#REF!</definedName>
    <definedName name="__123Graph_C" hidden="1">#REF!</definedName>
    <definedName name="__123Graph_CCHART10" hidden="1">'[2]De Vere'!#REF!</definedName>
    <definedName name="__123Graph_CCURRENT" hidden="1">'[2]De Vere'!#REF!</definedName>
    <definedName name="__123Graph_CPROFIT" hidden="1">#REF!</definedName>
    <definedName name="__123Graph_CTREND" hidden="1">'[3]Do not use'!#REF!</definedName>
    <definedName name="__123Graph_CTURNOVER" hidden="1">#REF!</definedName>
    <definedName name="__123Graph_D" hidden="1">#REF!</definedName>
    <definedName name="__123Graph_DCHART10" hidden="1">'[2]De Vere'!#REF!</definedName>
    <definedName name="__123Graph_DCURRENT" hidden="1">'[2]De Vere'!#REF!</definedName>
    <definedName name="__123Graph_DPROFIT" hidden="1">#REF!</definedName>
    <definedName name="__123Graph_DTURNOVER" hidden="1">#REF!</definedName>
    <definedName name="__123Graph_X" hidden="1">'[1]Sheet1 (2)'!$H$3:$P$3</definedName>
    <definedName name="__123Graph_XCHART10" hidden="1">'[2]De Vere'!#REF!</definedName>
    <definedName name="__123Graph_XCURRENT" hidden="1">'[2]De Vere'!#REF!</definedName>
    <definedName name="__123Graph_XTREND" hidden="1">'[3]Do not use'!#REF!</definedName>
    <definedName name="__FDS_HYPERLINK_TOGGLE_STATE__" hidden="1">"ON"</definedName>
    <definedName name="__FDS_UNIQUE_RANGE_ID_GENERATOR_COUNTER" hidden="1">209</definedName>
    <definedName name="__IntlFixup" hidden="1">TRUE</definedName>
    <definedName name="__IntlFixupTable" localSheetId="37" hidden="1">#REF!</definedName>
    <definedName name="__IntlFixupTable" localSheetId="48" hidden="1">#REF!</definedName>
    <definedName name="__IntlFixupTable" localSheetId="77" hidden="1">#REF!</definedName>
    <definedName name="__IntlFixupTable" localSheetId="31" hidden="1">#REF!</definedName>
    <definedName name="__IntlFixupTable" localSheetId="32" hidden="1">#REF!</definedName>
    <definedName name="__IntlFixupTable" localSheetId="33" hidden="1">#REF!</definedName>
    <definedName name="__IntlFixupTable" localSheetId="4" hidden="1">#REF!</definedName>
    <definedName name="__IntlFixupTable" localSheetId="40" hidden="1">#REF!</definedName>
    <definedName name="__IntlFixupTable" localSheetId="79" hidden="1">#REF!</definedName>
    <definedName name="__IntlFixupTable" localSheetId="78" hidden="1">#REF!</definedName>
    <definedName name="__IntlFixupTable" localSheetId="75" hidden="1">#REF!</definedName>
    <definedName name="__IntlFixupTable" localSheetId="42" hidden="1">#REF!</definedName>
    <definedName name="__IntlFixupTable" localSheetId="14" hidden="1">#REF!</definedName>
    <definedName name="__IntlFixupTable" localSheetId="49" hidden="1">#REF!</definedName>
    <definedName name="__IntlFixupTable" hidden="1">#REF!</definedName>
    <definedName name="__r" hidden="1">"Formula removed, name can be deleted."</definedName>
    <definedName name="_1__123Graph_ACHART_1" hidden="1">[4]Africa!$B$19:$V$19</definedName>
    <definedName name="_1__FDSAUDITLINK__" hidden="1">{"fdsup://directions/FAT Viewer?action=UPDATE&amp;creator=factset&amp;DYN_ARGS=TRUE&amp;DOC_NAME=FAT:FQL_AUDITING_CLIENT_TEMPLATE.FAT&amp;display_string=Audit&amp;VAR:KEY=MRELINIDUN&amp;VAR:QUERY=RkZfRU5UUlBSX1ZBTF9EQUlMWSg0MDM2NiwsLCwsJ0RJTCcp&amp;WINDOW=FIRST_POPUP&amp;HEIGHT=450&amp;WIDTH=","450&amp;START_MAXIMIZED=FALSE&amp;VAR:CALENDAR=FIVEDAY&amp;VAR:SYMBOL=95058710&amp;VAR:INDEX=0"}</definedName>
    <definedName name="_10__123Graph_ACHART_111" hidden="1">[5]Menu!$D$23:$M$23</definedName>
    <definedName name="_10__123Graph_ACHART_18" hidden="1">[4]Ocean!$B$28:$V$28</definedName>
    <definedName name="_10__FDSAUDITLINK__" hidden="1">{"fdsup://directions/FAT Viewer?action=UPDATE&amp;creator=factset&amp;DYN_ARGS=TRUE&amp;DOC_NAME=FAT:FQL_AUDITING_CLIENT_TEMPLATE.FAT&amp;display_string=Audit&amp;VAR:KEY=YBCBUFQRWT&amp;VAR:QUERY=RkZfRU5UUlBSX1ZBTF9EQUlMWSg0MDM2NiwsLCxVU0QsJ0RJTCcp&amp;WINDOW=FIRST_POPUP&amp;HEIGHT=450&amp;WI","DTH=450&amp;START_MAXIMIZED=FALSE&amp;VAR:CALENDAR=FIVEDAY&amp;VAR:SYMBOL=58013510&amp;VAR:INDEX=0"}</definedName>
    <definedName name="_100__FDSAUDITLINK__" hidden="1">{"fdsup://directions/FAT Viewer?action=UPDATE&amp;creator=factset&amp;DYN_ARGS=TRUE&amp;DOC_NAME=FAT:FQL_AUDITING_CLIENT_TEMPLATE.FAT&amp;display_string=Audit&amp;VAR:KEY=RSPALYPSBO&amp;VAR:QUERY=RkZfRU5UUlBSX1ZBTF9EQUlMWSg0MDM2NSwsLCxVU0QsJ0RJTCcp&amp;WINDOW=FIRST_POPUP&amp;HEIGHT=450&amp;WI","DTH=450&amp;START_MAXIMIZED=FALSE&amp;VAR:CALENDAR=FIVEDAY&amp;VAR:SYMBOL=B01JCK&amp;VAR:INDEX=0"}</definedName>
    <definedName name="_101__FDSAUDITLINK__"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102__FDSAUDITLINK__" hidden="1">{"fdsup://directions/FAT Viewer?action=UPDATE&amp;creator=factset&amp;DYN_ARGS=TRUE&amp;DOC_NAME=FAT:FQL_AUDITING_CLIENT_TEMPLATE.FAT&amp;display_string=Audit&amp;VAR:KEY=PYJGRSDMRY&amp;VAR:QUERY=RkZfRU5UUlBSX1ZBTF9EQUlMWSg0MDM2NSwsLCxVU0QsJ0RJTCcp&amp;WINDOW=FIRST_POPUP&amp;HEIGHT=450&amp;WI","DTH=450&amp;START_MAXIMIZED=FALSE&amp;VAR:CALENDAR=FIVEDAY&amp;VAR:SYMBOL=B3Z9VV&amp;VAR:INDEX=0"}</definedName>
    <definedName name="_103__FDSAUDITLINK__" hidden="1">{"fdsup://directions/FAT Viewer?action=UPDATE&amp;creator=factset&amp;DYN_ARGS=TRUE&amp;DOC_NAME=FAT:FQL_AUDITING_CLIENT_TEMPLATE.FAT&amp;display_string=Audit&amp;VAR:KEY=REJCXELEVE&amp;VAR:QUERY=RkZfRU5UUlBSX1ZBTF9EQUlMWSg0MDM2NSwsLCwsJ0RJTCcp&amp;WINDOW=FIRST_POPUP&amp;HEIGHT=450&amp;WIDTH=","450&amp;START_MAXIMIZED=FALSE&amp;VAR:CALENDAR=FIVEDAY&amp;VAR:SYMBOL=B3LVC2&amp;VAR:INDEX=0"}</definedName>
    <definedName name="_104__FDSAUDITLINK__" hidden="1">{"fdsup://directions/FAT Viewer?action=UPDATE&amp;creator=factset&amp;DYN_ARGS=TRUE&amp;DOC_NAME=FAT:FQL_AUDITING_CLIENT_TEMPLATE.FAT&amp;display_string=Audit&amp;VAR:KEY=FATQBYJCBM&amp;VAR:QUERY=RkZfRU5UUlBSX1ZBTF9EQUlMWSg0MDM2NSwsLCxVU0QsJ0RJTCcp&amp;WINDOW=FIRST_POPUP&amp;HEIGHT=450&amp;WI","DTH=450&amp;START_MAXIMIZED=FALSE&amp;VAR:CALENDAR=FIVEDAY&amp;VAR:SYMBOL=B3LVC2&amp;VAR:INDEX=0"}</definedName>
    <definedName name="_105__FDSAUDITLINK__" hidden="1">{"fdsup://directions/FAT Viewer?action=UPDATE&amp;creator=factset&amp;DYN_ARGS=TRUE&amp;DOC_NAME=FAT:FQL_AUDITING_CLIENT_TEMPLATE.FAT&amp;display_string=Audit&amp;VAR:KEY=PKHSDUXYVK&amp;VAR:QUERY=RkZfRU5UUlBSX1ZBTF9EQUlMWSg0MDM2NiwsLCwsJ0RJTCcp&amp;WINDOW=FIRST_POPUP&amp;HEIGHT=450&amp;WIDTH=","450&amp;START_MAXIMIZED=FALSE&amp;VAR:CALENDAR=FIVEDAY&amp;VAR:SYMBOL=605737&amp;VAR:INDEX=0"}</definedName>
    <definedName name="_106__FDSAUDITLINK__" hidden="1">{"fdsup://directions/FAT Viewer?action=UPDATE&amp;creator=factset&amp;DYN_ARGS=TRUE&amp;DOC_NAME=FAT:FQL_AUDITING_CLIENT_TEMPLATE.FAT&amp;display_string=Audit&amp;VAR:KEY=PEXEZSTAFA&amp;VAR:QUERY=RkZfRU5UUlBSX1ZBTF9EQUlMWSg0MDM2NiwsLCwsJ0RJTCcp&amp;WINDOW=FIRST_POPUP&amp;HEIGHT=450&amp;WIDTH=","450&amp;START_MAXIMIZED=FALSE&amp;VAR:CALENDAR=FIVEDAY&amp;VAR:SYMBOL=669615&amp;VAR:INDEX=0"}</definedName>
    <definedName name="_107__FDSAUDITLINK__" hidden="1">{"fdsup://directions/FAT Viewer?action=UPDATE&amp;creator=factset&amp;DYN_ARGS=TRUE&amp;DOC_NAME=FAT:FQL_AUDITING_CLIENT_TEMPLATE.FAT&amp;display_string=Audit&amp;VAR:KEY=JKZYFWPYJI&amp;VAR:QUERY=RkZfRU5UUlBSX1ZBTF9EQUlMWSg0MDM2NiwsLCwsJ0RJTCcp&amp;WINDOW=FIRST_POPUP&amp;HEIGHT=450&amp;WIDTH=","450&amp;START_MAXIMIZED=FALSE&amp;VAR:CALENDAR=FIVEDAY&amp;VAR:SYMBOL=506472&amp;VAR:INDEX=0"}</definedName>
    <definedName name="_108__FDSAUDITLINK__" hidden="1">{"fdsup://directions/FAT Viewer?action=UPDATE&amp;creator=factset&amp;DYN_ARGS=TRUE&amp;DOC_NAME=FAT:FQL_AUDITING_CLIENT_TEMPLATE.FAT&amp;display_string=Audit&amp;VAR:KEY=XOFUVOTAXW&amp;VAR:QUERY=RkZfRU5UUlBSX1ZBTF9EQUlMWSg0MDM2NiwsLCwsJ0RJTCcp&amp;WINDOW=FIRST_POPUP&amp;HEIGHT=450&amp;WIDTH=","450&amp;START_MAXIMIZED=FALSE&amp;VAR:CALENDAR=FIVEDAY&amp;VAR:SYMBOL=403197&amp;VAR:INDEX=0"}</definedName>
    <definedName name="_109__FDSAUDITLINK__" hidden="1">{"fdsup://directions/FAT Viewer?action=UPDATE&amp;creator=factset&amp;DYN_ARGS=TRUE&amp;DOC_NAME=FAT:FQL_AUDITING_CLIENT_TEMPLATE.FAT&amp;display_string=Audit&amp;VAR:KEY=TSZEBCFEDE&amp;VAR:QUERY=RkZfRU5UUlBSX1ZBTF9EQUlMWSg0MDM2NiwsLCwsJ0RJTCcp&amp;WINDOW=FIRST_POPUP&amp;HEIGHT=450&amp;WIDTH=","450&amp;START_MAXIMIZED=FALSE&amp;VAR:CALENDAR=FIVEDAY&amp;VAR:SYMBOL=65410610&amp;VAR:INDEX=0"}</definedName>
    <definedName name="_11__123Graph_ACHART_112" hidden="1">[5]Menu!$D$17:$M$17</definedName>
    <definedName name="_11__123Graph_ACHART_19" hidden="1">'[4]S Amer'!$B$19:$V$19</definedName>
    <definedName name="_11__FDSAUDITLINK__" hidden="1">{"fdsup://directions/FAT Viewer?action=UPDATE&amp;creator=factset&amp;DYN_ARGS=TRUE&amp;DOC_NAME=FAT:FQL_AUDITING_CLIENT_TEMPLATE.FAT&amp;display_string=Audit&amp;VAR:KEY=SVCFMTMNEH&amp;VAR:QUERY=RkZfRU5UUlBSX1ZBTF9EQUlMWSg0MDM2NiwsLCwsJ0RJTCcp&amp;WINDOW=FIRST_POPUP&amp;HEIGHT=450&amp;WIDTH=","450&amp;START_MAXIMIZED=FALSE&amp;VAR:CALENDAR=FIVEDAY&amp;VAR:SYMBOL=600298&amp;VAR:INDEX=0"}</definedName>
    <definedName name="_110__FDSAUDITLINK__" hidden="1">{"fdsup://directions/FAT Viewer?action=UPDATE&amp;creator=factset&amp;DYN_ARGS=TRUE&amp;DOC_NAME=FAT:FQL_AUDITING_CLIENT_TEMPLATE.FAT&amp;display_string=Audit&amp;VAR:KEY=TKLKDUXUPW&amp;VAR:QUERY=RkZfRU5UUlBSX1ZBTF9EQUlMWSg0MDM2NiwsLCxVU0QsJ0RJTCcp&amp;WINDOW=FIRST_POPUP&amp;HEIGHT=450&amp;WI","DTH=450&amp;START_MAXIMIZED=FALSE&amp;VAR:CALENDAR=FIVEDAY&amp;VAR:SYMBOL=605737&amp;VAR:INDEX=0"}</definedName>
    <definedName name="_111__FDSAUDITLINK__" hidden="1">{"fdsup://directions/FAT Viewer?action=UPDATE&amp;creator=factset&amp;DYN_ARGS=TRUE&amp;DOC_NAME=FAT:FQL_AUDITING_CLIENT_TEMPLATE.FAT&amp;display_string=Audit&amp;VAR:KEY=HAXAJOHWZA&amp;VAR:QUERY=RkZfRU5UUlBSX1ZBTF9EQUlMWSg0MDM2NiwsLCxVU0QsJ0RJTCcp&amp;WINDOW=FIRST_POPUP&amp;HEIGHT=450&amp;WI","DTH=450&amp;START_MAXIMIZED=FALSE&amp;VAR:CALENDAR=FIVEDAY&amp;VAR:SYMBOL=669615&amp;VAR:INDEX=0"}</definedName>
    <definedName name="_112__FDSAUDITLINK__" hidden="1">{"fdsup://directions/FAT Viewer?action=UPDATE&amp;creator=factset&amp;DYN_ARGS=TRUE&amp;DOC_NAME=FAT:FQL_AUDITING_CLIENT_TEMPLATE.FAT&amp;display_string=Audit&amp;VAR:KEY=ZQJONOLIXY&amp;VAR:QUERY=RkZfRU5UUlBSX1ZBTF9EQUlMWSg0MDM2NiwsLCxVU0QsJ0RJTCcp&amp;WINDOW=FIRST_POPUP&amp;HEIGHT=450&amp;WI","DTH=450&amp;START_MAXIMIZED=FALSE&amp;VAR:CALENDAR=FIVEDAY&amp;VAR:SYMBOL=506472&amp;VAR:INDEX=0"}</definedName>
    <definedName name="_113__FDSAUDITLINK__" hidden="1">{"fdsup://directions/FAT Viewer?action=UPDATE&amp;creator=factset&amp;DYN_ARGS=TRUE&amp;DOC_NAME=FAT:FQL_AUDITING_CLIENT_TEMPLATE.FAT&amp;display_string=Audit&amp;VAR:KEY=RQDUTGDARW&amp;VAR:QUERY=RkZfRU5UUlBSX1ZBTF9EQUlMWSg0MDM2NiwsLCxVU0QsJ0RJTCcp&amp;WINDOW=FIRST_POPUP&amp;HEIGHT=450&amp;WI","DTH=450&amp;START_MAXIMIZED=FALSE&amp;VAR:CALENDAR=FIVEDAY&amp;VAR:SYMBOL=403197&amp;VAR:INDEX=0"}</definedName>
    <definedName name="_114__FDSAUDITLINK__" hidden="1">{"fdsup://directions/FAT Viewer?action=UPDATE&amp;creator=factset&amp;DYN_ARGS=TRUE&amp;DOC_NAME=FAT:FQL_AUDITING_CLIENT_TEMPLATE.FAT&amp;display_string=Audit&amp;VAR:KEY=PAFQBMRYPA&amp;VAR:QUERY=RkZfRU5UUlBSX1ZBTF9EQUlMWSg0MDM2NiwsLCxVU0QsJ0RJTCcp&amp;WINDOW=FIRST_POPUP&amp;HEIGHT=450&amp;WI","DTH=450&amp;START_MAXIMIZED=FALSE&amp;VAR:CALENDAR=FIVEDAY&amp;VAR:SYMBOL=65410610&amp;VAR:INDEX=0"}</definedName>
    <definedName name="_115__FDSAUDITLINK__" hidden="1">{"fdsup://directions/FAT Viewer?action=UPDATE&amp;creator=factset&amp;DYN_ARGS=TRUE&amp;DOC_NAME=FAT:FQL_AUDITING_CLIENT_TEMPLATE.FAT&amp;display_string=Audit&amp;VAR:KEY=TUNYHCBSNK&amp;VAR:QUERY=RkZfRU5UUlBSX1ZBTF9EQUlMWSg0MDM2NiwsLCwsJ0RJTCcp&amp;WINDOW=FIRST_POPUP&amp;HEIGHT=450&amp;WIDTH=","450&amp;START_MAXIMIZED=FALSE&amp;VAR:CALENDAR=FIVEDAY&amp;VAR:SYMBOL=B3Z9VV&amp;VAR:INDEX=0"}</definedName>
    <definedName name="_116__FDSAUDITLINK__" hidden="1">{"fdsup://directions/FAT Viewer?action=UPDATE&amp;creator=factset&amp;DYN_ARGS=TRUE&amp;DOC_NAME=FAT:FQL_AUDITING_CLIENT_TEMPLATE.FAT&amp;display_string=Audit&amp;VAR:KEY=HWJQBSBGFE&amp;VAR:QUERY=RkZfRU5UUlBSX1ZBTF9EQUlMWSg0MDM2NiwsLCwsJ0RJTCcp&amp;WINDOW=FIRST_POPUP&amp;HEIGHT=450&amp;WIDTH=","450&amp;START_MAXIMIZED=FALSE&amp;VAR:CALENDAR=FIVEDAY&amp;VAR:SYMBOL=B51BL7&amp;VAR:INDEX=0"}</definedName>
    <definedName name="_117__FDSAUDITLINK__" hidden="1">{"fdsup://directions/FAT Viewer?action=UPDATE&amp;creator=factset&amp;DYN_ARGS=TRUE&amp;DOC_NAME=FAT:FQL_AUDITING_CLIENT_TEMPLATE.FAT&amp;display_string=Audit&amp;VAR:KEY=TQRAPQRMTC&amp;VAR:QUERY=RkZfRU5UUlBSX1ZBTF9EQUlMWSg0MDM2NiwsLCwsJ0RJTCcp&amp;WINDOW=FIRST_POPUP&amp;HEIGHT=450&amp;WIDTH=","450&amp;START_MAXIMIZED=FALSE&amp;VAR:CALENDAR=FIVEDAY&amp;VAR:SYMBOL=B01JCK&amp;VAR:INDEX=0"}</definedName>
    <definedName name="_118__FDSAUDITLINK__" hidden="1">{"fdsup://directions/FAT Viewer?action=UPDATE&amp;creator=factset&amp;DYN_ARGS=TRUE&amp;DOC_NAME=FAT:FQL_AUDITING_CLIENT_TEMPLATE.FAT&amp;display_string=Audit&amp;VAR:KEY=HGLYZGVODS&amp;VAR:QUERY=RkZfRU5UUlBSX1ZBTF9EQUlMWSg0MDM2NiwsLCwsJ0RJTCcp&amp;WINDOW=FIRST_POPUP&amp;HEIGHT=450&amp;WIDTH=","450&amp;START_MAXIMIZED=FALSE&amp;VAR:CALENDAR=FIVEDAY&amp;VAR:SYMBOL=B1YVKN&amp;VAR:INDEX=0"}</definedName>
    <definedName name="_119__FDSAUDITLINK__" hidden="1">{"fdsup://directions/FAT Viewer?action=UPDATE&amp;creator=factset&amp;DYN_ARGS=TRUE&amp;DOC_NAME=FAT:FQL_AUDITING_CLIENT_TEMPLATE.FAT&amp;display_string=Audit&amp;VAR:KEY=XUPWFGDCTG&amp;VAR:QUERY=RkZfRU5UUlBSX1ZBTF9EQUlMWSg0MDM2NiwsLCwsJ0RJTCcp&amp;WINDOW=FIRST_POPUP&amp;HEIGHT=450&amp;WIDTH=","450&amp;START_MAXIMIZED=FALSE&amp;VAR:CALENDAR=FIVEDAY&amp;VAR:SYMBOL=658653&amp;VAR:INDEX=0"}</definedName>
    <definedName name="_12__123Graph_ACHART_2" hidden="1">[4]Africa!$B$14:$V$14</definedName>
    <definedName name="_12__FDSAUDITLINK__" hidden="1">{"fdsup://directions/FAT Viewer?action=UPDATE&amp;creator=factset&amp;DYN_ARGS=TRUE&amp;DOC_NAME=FAT:FQL_AUDITING_CLIENT_TEMPLATE.FAT&amp;display_string=Audit&amp;VAR:KEY=UPEPWDAVAV&amp;VAR:QUERY=RkZfRU5UUlBSX1ZBTF9EQUlMWSg0MDM2NiwsLCxVU0QsJ0RJTCcp&amp;WINDOW=FIRST_POPUP&amp;HEIGHT=450&amp;WI","DTH=450&amp;START_MAXIMIZED=FALSE&amp;VAR:CALENDAR=FIVEDAY&amp;VAR:SYMBOL=600298&amp;VAR:INDEX=0"}</definedName>
    <definedName name="_120__FDSAUDITLINK__" hidden="1">{"fdsup://directions/FAT Viewer?action=UPDATE&amp;creator=factset&amp;DYN_ARGS=TRUE&amp;DOC_NAME=FAT:FQL_AUDITING_CLIENT_TEMPLATE.FAT&amp;display_string=Audit&amp;VAR:KEY=FIDAXIBODC&amp;VAR:QUERY=RkZfRU5UUlBSX1ZBTF9EQUlMWSg0MDM2NiwsLCxVU0QsJ0RJTCcp&amp;WINDOW=FIRST_POPUP&amp;HEIGHT=450&amp;WI","DTH=450&amp;START_MAXIMIZED=FALSE&amp;VAR:CALENDAR=FIVEDAY&amp;VAR:SYMBOL=B3Z9VV&amp;VAR:INDEX=0"}</definedName>
    <definedName name="_121__FDSAUDITLINK__" hidden="1">{"fdsup://directions/FAT Viewer?action=UPDATE&amp;creator=factset&amp;DYN_ARGS=TRUE&amp;DOC_NAME=FAT:FQL_AUDITING_CLIENT_TEMPLATE.FAT&amp;display_string=Audit&amp;VAR:KEY=PORSNUBMVC&amp;VAR:QUERY=RkZfRU5UUlBSX1ZBTF9EQUlMWSg0MDM2NiwsLCxVU0QsJ0RJTCcp&amp;WINDOW=FIRST_POPUP&amp;HEIGHT=450&amp;WI","DTH=450&amp;START_MAXIMIZED=FALSE&amp;VAR:CALENDAR=FIVEDAY&amp;VAR:SYMBOL=B51BL7&amp;VAR:INDEX=0"}</definedName>
    <definedName name="_122__FDSAUDITLINK__" hidden="1">{"fdsup://directions/FAT Viewer?action=UPDATE&amp;creator=factset&amp;DYN_ARGS=TRUE&amp;DOC_NAME=FAT:FQL_AUDITING_CLIENT_TEMPLATE.FAT&amp;display_string=Audit&amp;VAR:KEY=JGBURSPSVS&amp;VAR:QUERY=RkZfRU5UUlBSX1ZBTF9EQUlMWSg0MDM2NiwsLCxVU0QsJ0RJTCcp&amp;WINDOW=FIRST_POPUP&amp;HEIGHT=450&amp;WI","DTH=450&amp;START_MAXIMIZED=FALSE&amp;VAR:CALENDAR=FIVEDAY&amp;VAR:SYMBOL=B01JCK&amp;VAR:INDEX=0"}</definedName>
    <definedName name="_123__FDSAUDITLINK__" hidden="1">{"fdsup://directions/FAT Viewer?action=UPDATE&amp;creator=factset&amp;DYN_ARGS=TRUE&amp;DOC_NAME=FAT:FQL_AUDITING_CLIENT_TEMPLATE.FAT&amp;display_string=Audit&amp;VAR:KEY=BWLUPQLSLM&amp;VAR:QUERY=RkZfRU5UUlBSX1ZBTF9EQUlMWSg0MDM2NiwsLCxVU0QsJ0RJTCcp&amp;WINDOW=FIRST_POPUP&amp;HEIGHT=450&amp;WI","DTH=450&amp;START_MAXIMIZED=FALSE&amp;VAR:CALENDAR=FIVEDAY&amp;VAR:SYMBOL=B1YVKN&amp;VAR:INDEX=0"}</definedName>
    <definedName name="_124__FDSAUDITLINK__" hidden="1">{"fdsup://directions/FAT Viewer?action=UPDATE&amp;creator=factset&amp;DYN_ARGS=TRUE&amp;DOC_NAME=FAT:FQL_AUDITING_CLIENT_TEMPLATE.FAT&amp;display_string=Audit&amp;VAR:KEY=VCLGPWFIRG&amp;VAR:QUERY=RkZfRU5UUlBSX1ZBTF9EQUlMWSg0MDM2NiwsLCxVU0QsJ0RJTCcp&amp;WINDOW=FIRST_POPUP&amp;HEIGHT=450&amp;WI","DTH=450&amp;START_MAXIMIZED=FALSE&amp;VAR:CALENDAR=FIVEDAY&amp;VAR:SYMBOL=658653&amp;VAR:INDEX=0"}</definedName>
    <definedName name="_125__FDSAUDITLINK__" hidden="1">{"fdsup://directions/FAT Viewer?action=UPDATE&amp;creator=factset&amp;DYN_ARGS=TRUE&amp;DOC_NAME=FAT:FQL_AUDITING_CLIENT_TEMPLATE.FAT&amp;display_string=Audit&amp;VAR:KEY=WVOBSFWZSD&amp;VAR:QUERY=RkZfRU5UUlBSX1ZBTF9EQUlMWSg0MDM2OCwsLCwsJ0RJTCcp&amp;WINDOW=FIRST_POPUP&amp;HEIGHT=450&amp;WIDTH=","450&amp;START_MAXIMIZED=FALSE&amp;VAR:CALENDAR=FIVEDAY&amp;VAR:SYMBOL=605737&amp;VAR:INDEX=0"}</definedName>
    <definedName name="_126__FDSAUDITLINK__" hidden="1">{"fdsup://directions/FAT Viewer?action=UPDATE&amp;creator=factset&amp;DYN_ARGS=TRUE&amp;DOC_NAME=FAT:FQL_AUDITING_CLIENT_TEMPLATE.FAT&amp;display_string=Audit&amp;VAR:KEY=QJYFANSJIV&amp;VAR:QUERY=RkZfRU5UUlBSX1ZBTF9EQUlMWSg0MDM2OCwsLCwsJ0RJTCcp&amp;WINDOW=FIRST_POPUP&amp;HEIGHT=450&amp;WIDTH=","450&amp;START_MAXIMIZED=FALSE&amp;VAR:CALENDAR=FIVEDAY&amp;VAR:SYMBOL=669615&amp;VAR:INDEX=0"}</definedName>
    <definedName name="_127__FDSAUDITLINK__" hidden="1">{"fdsup://directions/FAT Viewer?action=UPDATE&amp;creator=factset&amp;DYN_ARGS=TRUE&amp;DOC_NAME=FAT:FQL_AUDITING_CLIENT_TEMPLATE.FAT&amp;display_string=Audit&amp;VAR:KEY=SXOFIBCXSZ&amp;VAR:QUERY=RkZfRU5UUlBSX1ZBTF9EQUlMWSg0MDM2OCwsLCwsJ0RJTCcp&amp;WINDOW=FIRST_POPUP&amp;HEIGHT=450&amp;WIDTH=","450&amp;START_MAXIMIZED=FALSE&amp;VAR:CALENDAR=FIVEDAY&amp;VAR:SYMBOL=506472&amp;VAR:INDEX=0"}</definedName>
    <definedName name="_128__FDSAUDITLINK__" hidden="1">{"fdsup://directions/FAT Viewer?action=UPDATE&amp;creator=factset&amp;DYN_ARGS=TRUE&amp;DOC_NAME=FAT:FQL_AUDITING_CLIENT_TEMPLATE.FAT&amp;display_string=Audit&amp;VAR:KEY=QHQDOLOXUR&amp;VAR:QUERY=RkZfRU5UUlBSX1ZBTF9EQUlMWSg0MDM2OCwsLCwsJ0RJTCcp&amp;WINDOW=FIRST_POPUP&amp;HEIGHT=450&amp;WIDTH=","450&amp;START_MAXIMIZED=FALSE&amp;VAR:CALENDAR=FIVEDAY&amp;VAR:SYMBOL=403197&amp;VAR:INDEX=0"}</definedName>
    <definedName name="_129__FDSAUDITLINK__" hidden="1">{"fdsup://directions/FAT Viewer?action=UPDATE&amp;creator=factset&amp;DYN_ARGS=TRUE&amp;DOC_NAME=FAT:FQL_AUDITING_CLIENT_TEMPLATE.FAT&amp;display_string=Audit&amp;VAR:KEY=UJIBWFQNCZ&amp;VAR:QUERY=RkZfRU5UUlBSX1ZBTF9EQUlMWSg0MDM2OCwsLCwsJ0RJTCcp&amp;WINDOW=FIRST_POPUP&amp;HEIGHT=450&amp;WIDTH=","450&amp;START_MAXIMIZED=FALSE&amp;VAR:CALENDAR=FIVEDAY&amp;VAR:SYMBOL=65410610&amp;VAR:INDEX=0"}</definedName>
    <definedName name="_13__123Graph_ACHART_20" hidden="1">'[4]S Amer'!$B$14:$V$14</definedName>
    <definedName name="_13__123Graph_ACHART_26" hidden="1">[5]Menu!$D$83:$M$83</definedName>
    <definedName name="_13__FDSAUDITLINK__" hidden="1">{"fdsup://directions/FAT Viewer?action=UPDATE&amp;creator=factset&amp;DYN_ARGS=TRUE&amp;DOC_NAME=FAT:FQL_AUDITING_CLIENT_TEMPLATE.FAT&amp;display_string=Audit&amp;VAR:KEY=GZENALIHQZ&amp;VAR:QUERY=RkZfRU5UUlBSX1ZBTF9EQUlMWSg0MDM2NiwsLCwsJ0RJTCcp&amp;WINDOW=FIRST_POPUP&amp;HEIGHT=450&amp;WIDTH=","450&amp;START_MAXIMIZED=FALSE&amp;VAR:CALENDAR=FIVEDAY&amp;VAR:SYMBOL=B15SCH&amp;VAR:INDEX=0"}</definedName>
    <definedName name="_130__FDSAUDITLINK__" hidden="1">{"fdsup://directions/FAT Viewer?action=UPDATE&amp;creator=factset&amp;DYN_ARGS=TRUE&amp;DOC_NAME=FAT:FQL_AUDITING_CLIENT_TEMPLATE.FAT&amp;display_string=Audit&amp;VAR:KEY=MNMHEZAVCF&amp;VAR:QUERY=RkZfRU5UUlBSX1ZBTF9EQUlMWSg0MDM2OCwsLCxVU0QsJ0RJTCcp&amp;WINDOW=FIRST_POPUP&amp;HEIGHT=450&amp;WI","DTH=450&amp;START_MAXIMIZED=FALSE&amp;VAR:CALENDAR=FIVEDAY&amp;VAR:SYMBOL=605737&amp;VAR:INDEX=0"}</definedName>
    <definedName name="_131__FDSAUDITLINK__" hidden="1">{"fdsup://directions/FAT Viewer?action=UPDATE&amp;creator=factset&amp;DYN_ARGS=TRUE&amp;DOC_NAME=FAT:FQL_AUDITING_CLIENT_TEMPLATE.FAT&amp;display_string=Audit&amp;VAR:KEY=UXINCTADGT&amp;VAR:QUERY=RkZfRU5UUlBSX1ZBTF9EQUlMWSg0MDM2OCwsLCxVU0QsJ0RJTCcp&amp;WINDOW=FIRST_POPUP&amp;HEIGHT=450&amp;WI","DTH=450&amp;START_MAXIMIZED=FALSE&amp;VAR:CALENDAR=FIVEDAY&amp;VAR:SYMBOL=669615&amp;VAR:INDEX=0"}</definedName>
    <definedName name="_132__FDSAUDITLINK__" hidden="1">{"fdsup://directions/FAT Viewer?action=UPDATE&amp;creator=factset&amp;DYN_ARGS=TRUE&amp;DOC_NAME=FAT:FQL_AUDITING_CLIENT_TEMPLATE.FAT&amp;display_string=Audit&amp;VAR:KEY=GFOXIXGNSP&amp;VAR:QUERY=RkZfRU5UUlBSX1ZBTF9EQUlMWSg0MDM2OCwsLCxVU0QsJ0RJTCcp&amp;WINDOW=FIRST_POPUP&amp;HEIGHT=450&amp;WI","DTH=450&amp;START_MAXIMIZED=FALSE&amp;VAR:CALENDAR=FIVEDAY&amp;VAR:SYMBOL=506472&amp;VAR:INDEX=0"}</definedName>
    <definedName name="_133__FDSAUDITLINK__" hidden="1">{"fdsup://directions/FAT Viewer?action=UPDATE&amp;creator=factset&amp;DYN_ARGS=TRUE&amp;DOC_NAME=FAT:FQL_AUDITING_CLIENT_TEMPLATE.FAT&amp;display_string=Audit&amp;VAR:KEY=QFOPWPIBWP&amp;VAR:QUERY=RkZfRU5UUlBSX1ZBTF9EQUlMWSg0MDM2OCwsLCxVU0QsJ0RJTCcp&amp;WINDOW=FIRST_POPUP&amp;HEIGHT=450&amp;WI","DTH=450&amp;START_MAXIMIZED=FALSE&amp;VAR:CALENDAR=FIVEDAY&amp;VAR:SYMBOL=403197&amp;VAR:INDEX=0"}</definedName>
    <definedName name="_134__FDSAUDITLINK__" hidden="1">{"fdsup://directions/FAT Viewer?action=UPDATE&amp;creator=factset&amp;DYN_ARGS=TRUE&amp;DOC_NAME=FAT:FQL_AUDITING_CLIENT_TEMPLATE.FAT&amp;display_string=Audit&amp;VAR:KEY=WVMFCBQTGZ&amp;VAR:QUERY=RkZfRU5UUlBSX1ZBTF9EQUlMWSg0MDM2OCwsLCxVU0QsJ0RJTCcp&amp;WINDOW=FIRST_POPUP&amp;HEIGHT=450&amp;WI","DTH=450&amp;START_MAXIMIZED=FALSE&amp;VAR:CALENDAR=FIVEDAY&amp;VAR:SYMBOL=65410610&amp;VAR:INDEX=0"}</definedName>
    <definedName name="_135__FDSAUDITLINK__" hidden="1">{"fdsup://directions/FAT Viewer?action=UPDATE&amp;creator=factset&amp;DYN_ARGS=TRUE&amp;DOC_NAME=FAT:FQL_AUDITING_CLIENT_TEMPLATE.FAT&amp;display_string=Audit&amp;VAR:KEY=URGDSBGPGJ&amp;VAR:QUERY=RkZfRU5UUlBSX1ZBTF9EQUlMWSg0MDM2OCwsLCwsJ0RJTCcp&amp;WINDOW=FIRST_POPUP&amp;HEIGHT=450&amp;WIDTH=","450&amp;START_MAXIMIZED=FALSE&amp;VAR:CALENDAR=FIVEDAY&amp;VAR:SYMBOL=B3Z9VV&amp;VAR:INDEX=0"}</definedName>
    <definedName name="_136__FDSAUDITLINK__" hidden="1">{"fdsup://directions/FAT Viewer?action=UPDATE&amp;creator=factset&amp;DYN_ARGS=TRUE&amp;DOC_NAME=FAT:FQL_AUDITING_CLIENT_TEMPLATE.FAT&amp;display_string=Audit&amp;VAR:KEY=AZWBOLIJOJ&amp;VAR:QUERY=RkZfRU5UUlBSX1ZBTF9EQUlMWSg0MDM2OCwsLCwsJ0RJTCcp&amp;WINDOW=FIRST_POPUP&amp;HEIGHT=450&amp;WIDTH=","450&amp;START_MAXIMIZED=FALSE&amp;VAR:CALENDAR=FIVEDAY&amp;VAR:SYMBOL=B51BL7&amp;VAR:INDEX=0"}</definedName>
    <definedName name="_137__FDSAUDITLINK__" hidden="1">{"fdsup://directions/FAT Viewer?action=UPDATE&amp;creator=factset&amp;DYN_ARGS=TRUE&amp;DOC_NAME=FAT:FQL_AUDITING_CLIENT_TEMPLATE.FAT&amp;display_string=Audit&amp;VAR:KEY=WXYJCRCHEN&amp;VAR:QUERY=RkZfRU5UUlBSX1ZBTF9EQUlMWSg0MDM2OCwsLCwsJ0RJTCcp&amp;WINDOW=FIRST_POPUP&amp;HEIGHT=450&amp;WIDTH=","450&amp;START_MAXIMIZED=FALSE&amp;VAR:CALENDAR=FIVEDAY&amp;VAR:SYMBOL=B01JCK&amp;VAR:INDEX=0"}</definedName>
    <definedName name="_138__FDSAUDITLINK__" hidden="1">{"fdsup://directions/FAT Viewer?action=UPDATE&amp;creator=factset&amp;DYN_ARGS=TRUE&amp;DOC_NAME=FAT:FQL_AUDITING_CLIENT_TEMPLATE.FAT&amp;display_string=Audit&amp;VAR:KEY=AVMJIXOVWL&amp;VAR:QUERY=RkZfRU5UUlBSX1ZBTF9EQUlMWSg0MDM2OCwsLCwsJ0RJTCcp&amp;WINDOW=FIRST_POPUP&amp;HEIGHT=450&amp;WIDTH=","450&amp;START_MAXIMIZED=FALSE&amp;VAR:CALENDAR=FIVEDAY&amp;VAR:SYMBOL=B1YVKN&amp;VAR:INDEX=0"}</definedName>
    <definedName name="_139__FDSAUDITLINK__" hidden="1">{"fdsup://directions/FAT Viewer?action=UPDATE&amp;creator=factset&amp;DYN_ARGS=TRUE&amp;DOC_NAME=FAT:FQL_AUDITING_CLIENT_TEMPLATE.FAT&amp;display_string=Audit&amp;VAR:KEY=URYJUJSZQH&amp;VAR:QUERY=RkZfRU5UUlBSX1ZBTF9EQUlMWSg0MDM2OCwsLCwsJ0RJTCcp&amp;WINDOW=FIRST_POPUP&amp;HEIGHT=450&amp;WIDTH=","450&amp;START_MAXIMIZED=FALSE&amp;VAR:CALENDAR=FIVEDAY&amp;VAR:SYMBOL=658653&amp;VAR:INDEX=0"}</definedName>
    <definedName name="_14__123Graph_ACHART_21" hidden="1">'[4]S Amer'!$B$28:$V$28</definedName>
    <definedName name="_14__FDSAUDITLINK__" hidden="1">{"fdsup://directions/FAT Viewer?action=UPDATE&amp;creator=factset&amp;DYN_ARGS=TRUE&amp;DOC_NAME=FAT:FQL_AUDITING_CLIENT_TEMPLATE.FAT&amp;display_string=Audit&amp;VAR:KEY=ANEFKFOZQB&amp;VAR:QUERY=RkZfRU5UUlBSX1ZBTF9EQUlMWSg0MDM2NiwsLCxVU0QsJ0RJTCcp&amp;WINDOW=FIRST_POPUP&amp;HEIGHT=450&amp;WI","DTH=450&amp;START_MAXIMIZED=FALSE&amp;VAR:CALENDAR=FIVEDAY&amp;VAR:SYMBOL=B15SCH&amp;VAR:INDEX=0"}</definedName>
    <definedName name="_140__FDSAUDITLINK__" hidden="1">{"fdsup://directions/FAT Viewer?action=UPDATE&amp;creator=factset&amp;DYN_ARGS=TRUE&amp;DOC_NAME=FAT:FQL_AUDITING_CLIENT_TEMPLATE.FAT&amp;display_string=Audit&amp;VAR:KEY=STGLCBWBQJ&amp;VAR:QUERY=RkZfRU5UUlBSX1ZBTF9EQUlMWSg0MDM2OCwsLCxVU0QsJ0RJTCcp&amp;WINDOW=FIRST_POPUP&amp;HEIGHT=450&amp;WI","DTH=450&amp;START_MAXIMIZED=FALSE&amp;VAR:CALENDAR=FIVEDAY&amp;VAR:SYMBOL=B3Z9VV&amp;VAR:INDEX=0"}</definedName>
    <definedName name="_141__FDSAUDITLINK__" hidden="1">{"fdsup://directions/FAT Viewer?action=UPDATE&amp;creator=factset&amp;DYN_ARGS=TRUE&amp;DOC_NAME=FAT:FQL_AUDITING_CLIENT_TEMPLATE.FAT&amp;display_string=Audit&amp;VAR:KEY=ORKVCPAFWX&amp;VAR:QUERY=RkZfRU5UUlBSX1ZBTF9EQUlMWSg0MDM2OCwsLCxVU0QsJ0RJTCcp&amp;WINDOW=FIRST_POPUP&amp;HEIGHT=450&amp;WI","DTH=450&amp;START_MAXIMIZED=FALSE&amp;VAR:CALENDAR=FIVEDAY&amp;VAR:SYMBOL=B51BL7&amp;VAR:INDEX=0"}</definedName>
    <definedName name="_142__FDSAUDITLINK__" hidden="1">{"fdsup://directions/FAT Viewer?action=UPDATE&amp;creator=factset&amp;DYN_ARGS=TRUE&amp;DOC_NAME=FAT:FQL_AUDITING_CLIENT_TEMPLATE.FAT&amp;display_string=Audit&amp;VAR:KEY=SXAFSJETSP&amp;VAR:QUERY=RkZfRU5UUlBSX1ZBTF9EQUlMWSg0MDM2OCwsLCxVU0QsJ0RJTCcp&amp;WINDOW=FIRST_POPUP&amp;HEIGHT=450&amp;WI","DTH=450&amp;START_MAXIMIZED=FALSE&amp;VAR:CALENDAR=FIVEDAY&amp;VAR:SYMBOL=B01JCK&amp;VAR:INDEX=0"}</definedName>
    <definedName name="_143__FDSAUDITLINK__" hidden="1">{"fdsup://directions/FAT Viewer?action=UPDATE&amp;creator=factset&amp;DYN_ARGS=TRUE&amp;DOC_NAME=FAT:FQL_AUDITING_CLIENT_TEMPLATE.FAT&amp;display_string=Audit&amp;VAR:KEY=WNAXITCTGZ&amp;VAR:QUERY=RkZfRU5UUlBSX1ZBTF9EQUlMWSg0MDM2OCwsLCxVU0QsJ0RJTCcp&amp;WINDOW=FIRST_POPUP&amp;HEIGHT=450&amp;WI","DTH=450&amp;START_MAXIMIZED=FALSE&amp;VAR:CALENDAR=FIVEDAY&amp;VAR:SYMBOL=B1YVKN&amp;VAR:INDEX=0"}</definedName>
    <definedName name="_144__FDSAUDITLINK__" hidden="1">{"fdsup://directions/FAT Viewer?action=UPDATE&amp;creator=factset&amp;DYN_ARGS=TRUE&amp;DOC_NAME=FAT:FQL_AUDITING_CLIENT_TEMPLATE.FAT&amp;display_string=Audit&amp;VAR:KEY=MRYVKHILWR&amp;VAR:QUERY=RkZfRU5UUlBSX1ZBTF9EQUlMWSg0MDM2OCwsLCxVU0QsJ0RJTCcp&amp;WINDOW=FIRST_POPUP&amp;HEIGHT=450&amp;WI","DTH=450&amp;START_MAXIMIZED=FALSE&amp;VAR:CALENDAR=FIVEDAY&amp;VAR:SYMBOL=658653&amp;VAR:INDEX=0"}</definedName>
    <definedName name="_145__FDSAUDITLINK__" hidden="1">{"fdsup://directions/FAT Viewer?action=UPDATE&amp;creator=factset&amp;DYN_ARGS=TRUE&amp;DOC_NAME=FAT:FQL_AUDITING_CLIENT_TEMPLATE.FAT&amp;display_string=Audit&amp;VAR:KEY=VGDOLCVOBK&amp;VAR:QUERY=RkZfRU5UUlBSX1ZBTF9EQUlMWSg0MDM2OCwsLCwsJ0RJTCcp&amp;WINDOW=FIRST_POPUP&amp;HEIGHT=450&amp;WIDTH=","450&amp;START_MAXIMIZED=FALSE&amp;VAR:CALENDAR=FIVEDAY&amp;VAR:SYMBOL=95058710&amp;VAR:INDEX=0"}</definedName>
    <definedName name="_146__FDSAUDITLINK__" hidden="1">{"fdsup://directions/FAT Viewer?action=UPDATE&amp;creator=factset&amp;DYN_ARGS=TRUE&amp;DOC_NAME=FAT:FQL_AUDITING_CLIENT_TEMPLATE.FAT&amp;display_string=Audit&amp;VAR:KEY=VQZKBABGPM&amp;VAR:QUERY=RkZfRU5UUlBSX1ZBTF9EQUlMWSg0MDM2OCwsLCwsJ0RJTCcp&amp;WINDOW=FIRST_POPUP&amp;HEIGHT=450&amp;WIDTH=","450&amp;START_MAXIMIZED=FALSE&amp;VAR:CALENDAR=FIVEDAY&amp;VAR:SYMBOL=12120820&amp;VAR:INDEX=0"}</definedName>
    <definedName name="_147__FDSAUDITLINK__" hidden="1">{"fdsup://directions/FAT Viewer?action=UPDATE&amp;creator=factset&amp;DYN_ARGS=TRUE&amp;DOC_NAME=FAT:FQL_AUDITING_CLIENT_TEMPLATE.FAT&amp;display_string=Audit&amp;VAR:KEY=FSFAPSDYPA&amp;VAR:QUERY=RkZfRU5UUlBSX1ZBTF9EQUlMWSg0MDM2OCwsLCwsJ0RJTCcp&amp;WINDOW=FIRST_POPUP&amp;HEIGHT=450&amp;WIDTH=","450&amp;START_MAXIMIZED=FALSE&amp;VAR:CALENDAR=FIVEDAY&amp;VAR:SYMBOL=98849810&amp;VAR:INDEX=0"}</definedName>
    <definedName name="_148__FDSAUDITLINK__" hidden="1">{"fdsup://directions/FAT Viewer?action=UPDATE&amp;creator=factset&amp;DYN_ARGS=TRUE&amp;DOC_NAME=FAT:FQL_AUDITING_CLIENT_TEMPLATE.FAT&amp;display_string=Audit&amp;VAR:KEY=HQTOZEFSXG&amp;VAR:QUERY=RkZfRU5UUlBSX1ZBTF9EQUlMWSg0MDM2OCwsLCwsJ0RJTCcp&amp;WINDOW=FIRST_POPUP&amp;HEIGHT=450&amp;WIDTH=","450&amp;START_MAXIMIZED=FALSE&amp;VAR:CALENDAR=FIVEDAY&amp;VAR:SYMBOL=85524410&amp;VAR:INDEX=0"}</definedName>
    <definedName name="_149__FDSAUDITLINK__" hidden="1">{"fdsup://directions/FAT Viewer?action=UPDATE&amp;creator=factset&amp;DYN_ARGS=TRUE&amp;DOC_NAME=FAT:FQL_AUDITING_CLIENT_TEMPLATE.FAT&amp;display_string=Audit&amp;VAR:KEY=PUPAJGNAHK&amp;VAR:QUERY=RkZfRU5UUlBSX1ZBTF9EQUlMWSg0MDM2OCwsLCwsJ0RJTCcp&amp;WINDOW=FIRST_POPUP&amp;HEIGHT=450&amp;WIDTH=","450&amp;START_MAXIMIZED=FALSE&amp;VAR:CALENDAR=FIVEDAY&amp;VAR:SYMBOL=58013510&amp;VAR:INDEX=0"}</definedName>
    <definedName name="_15__123Graph_ACHART_22" hidden="1">'[4]W Eur'!$B$19:$V$19</definedName>
    <definedName name="_15__FDSAUDITLINK__" hidden="1">{"fdsup://directions/FAT Viewer?action=UPDATE&amp;creator=factset&amp;DYN_ARGS=TRUE&amp;DOC_NAME=FAT:FQL_AUDITING_CLIENT_TEMPLATE.FAT&amp;display_string=Audit&amp;VAR:KEY=WBOZKRUNWH&amp;VAR:QUERY=RkZfRU5UUlBSX1ZBTF9EQUlMWSg0MDM2NiwsLCwsJ0RJTCcp&amp;WINDOW=FIRST_POPUP&amp;HEIGHT=450&amp;WIDTH=","450&amp;START_MAXIMIZED=FALSE&amp;VAR:CALENDAR=FIVEDAY&amp;VAR:SYMBOL=B07SFG&amp;VAR:INDEX=0"}</definedName>
    <definedName name="_150__FDSAUDITLINK__" hidden="1">{"fdsup://directions/FAT Viewer?action=UPDATE&amp;creator=factset&amp;DYN_ARGS=TRUE&amp;DOC_NAME=FAT:FQL_AUDITING_CLIENT_TEMPLATE.FAT&amp;display_string=Audit&amp;VAR:KEY=FEZYLQPYXS&amp;VAR:QUERY=RkZfRU5UUlBSX1ZBTF9EQUlMWSg0MDM2OCwsLCxVU0QsJ0RJTCcp&amp;WINDOW=FIRST_POPUP&amp;HEIGHT=450&amp;WI","DTH=450&amp;START_MAXIMIZED=FALSE&amp;VAR:CALENDAR=FIVEDAY&amp;VAR:SYMBOL=95058710&amp;VAR:INDEX=0"}</definedName>
    <definedName name="_151__FDSAUDITLINK__" hidden="1">{"fdsup://directions/FAT Viewer?action=UPDATE&amp;creator=factset&amp;DYN_ARGS=TRUE&amp;DOC_NAME=FAT:FQL_AUDITING_CLIENT_TEMPLATE.FAT&amp;display_string=Audit&amp;VAR:KEY=JQDYHWNYZW&amp;VAR:QUERY=RkZfRU5UUlBSX1ZBTF9EQUlMWSg0MDM2OCwsLCxVU0QsJ0RJTCcp&amp;WINDOW=FIRST_POPUP&amp;HEIGHT=450&amp;WI","DTH=450&amp;START_MAXIMIZED=FALSE&amp;VAR:CALENDAR=FIVEDAY&amp;VAR:SYMBOL=12120820&amp;VAR:INDEX=0"}</definedName>
    <definedName name="_152__FDSAUDITLINK__" hidden="1">{"fdsup://directions/FAT Viewer?action=UPDATE&amp;creator=factset&amp;DYN_ARGS=TRUE&amp;DOC_NAME=FAT:FQL_AUDITING_CLIENT_TEMPLATE.FAT&amp;display_string=Audit&amp;VAR:KEY=JIVMLCLEZG&amp;VAR:QUERY=RkZfRU5UUlBSX1ZBTF9EQUlMWSg0MDM2OCwsLCxVU0QsJ0RJTCcp&amp;WINDOW=FIRST_POPUP&amp;HEIGHT=450&amp;WI","DTH=450&amp;START_MAXIMIZED=FALSE&amp;VAR:CALENDAR=FIVEDAY&amp;VAR:SYMBOL=98849810&amp;VAR:INDEX=0"}</definedName>
    <definedName name="_153__FDSAUDITLINK__" hidden="1">{"fdsup://directions/FAT Viewer?action=UPDATE&amp;creator=factset&amp;DYN_ARGS=TRUE&amp;DOC_NAME=FAT:FQL_AUDITING_CLIENT_TEMPLATE.FAT&amp;display_string=Audit&amp;VAR:KEY=PGNKLOBGHG&amp;VAR:QUERY=RkZfRU5UUlBSX1ZBTF9EQUlMWSg0MDM2OCwsLCxVU0QsJ0RJTCcp&amp;WINDOW=FIRST_POPUP&amp;HEIGHT=450&amp;WI","DTH=450&amp;START_MAXIMIZED=FALSE&amp;VAR:CALENDAR=FIVEDAY&amp;VAR:SYMBOL=85524410&amp;VAR:INDEX=0"}</definedName>
    <definedName name="_154__FDSAUDITLINK__" hidden="1">{"fdsup://directions/FAT Viewer?action=UPDATE&amp;creator=factset&amp;DYN_ARGS=TRUE&amp;DOC_NAME=FAT:FQL_AUDITING_CLIENT_TEMPLATE.FAT&amp;display_string=Audit&amp;VAR:KEY=FOZAZKDOXS&amp;VAR:QUERY=RkZfRU5UUlBSX1ZBTF9EQUlMWSg0MDM2OCwsLCxVU0QsJ0RJTCcp&amp;WINDOW=FIRST_POPUP&amp;HEIGHT=450&amp;WI","DTH=450&amp;START_MAXIMIZED=FALSE&amp;VAR:CALENDAR=FIVEDAY&amp;VAR:SYMBOL=58013510&amp;VAR:INDEX=0"}</definedName>
    <definedName name="_155__FDSAUDITLINK__" hidden="1">{"fdsup://directions/FAT Viewer?action=UPDATE&amp;creator=factset&amp;DYN_ARGS=TRUE&amp;DOC_NAME=FAT:FQL_AUDITING_CLIENT_TEMPLATE.FAT&amp;display_string=Audit&amp;VAR:KEY=BYHEDOFMLC&amp;VAR:QUERY=RkZfRU5UUlBSX1ZBTF9EQUlMWSg0MDM2OCwsLCwsJ0RJTCcp&amp;WINDOW=FIRST_POPUP&amp;HEIGHT=450&amp;WIDTH=","450&amp;START_MAXIMIZED=FALSE&amp;VAR:CALENDAR=FIVEDAY&amp;VAR:SYMBOL=600298&amp;VAR:INDEX=0"}</definedName>
    <definedName name="_156__FDSAUDITLINK__" hidden="1">{"fdsup://directions/FAT Viewer?action=UPDATE&amp;creator=factset&amp;DYN_ARGS=TRUE&amp;DOC_NAME=FAT:FQL_AUDITING_CLIENT_TEMPLATE.FAT&amp;display_string=Audit&amp;VAR:KEY=PEHIHUDYRK&amp;VAR:QUERY=RkZfRU5UUlBSX1ZBTF9EQUlMWSg0MDM2OCwsLCwsJ0RJTCcp&amp;WINDOW=FIRST_POPUP&amp;HEIGHT=450&amp;WIDTH=","450&amp;START_MAXIMIZED=FALSE&amp;VAR:CALENDAR=FIVEDAY&amp;VAR:SYMBOL=B15SCH&amp;VAR:INDEX=0"}</definedName>
    <definedName name="_157__FDSAUDITLINK__" hidden="1">{"fdsup://directions/FAT Viewer?action=UPDATE&amp;creator=factset&amp;DYN_ARGS=TRUE&amp;DOC_NAME=FAT:FQL_AUDITING_CLIENT_TEMPLATE.FAT&amp;display_string=Audit&amp;VAR:KEY=LCVKDQTUHE&amp;VAR:QUERY=RkZfRU5UUlBSX1ZBTF9EQUlMWSg0MDM2OCwsLCwsJ0RJTCcp&amp;WINDOW=FIRST_POPUP&amp;HEIGHT=450&amp;WIDTH=","450&amp;START_MAXIMIZED=FALSE&amp;VAR:CALENDAR=FIVEDAY&amp;VAR:SYMBOL=B07SFG&amp;VAR:INDEX=0"}</definedName>
    <definedName name="_158__FDSAUDITLINK__" hidden="1">{"fdsup://directions/FAT Viewer?action=UPDATE&amp;creator=factset&amp;DYN_ARGS=TRUE&amp;DOC_NAME=FAT:FQL_AUDITING_CLIENT_TEMPLATE.FAT&amp;display_string=Audit&amp;VAR:KEY=PSLWJWJIPC&amp;VAR:QUERY=RkZfRU5UUlBSX1ZBTF9EQUlMWSg0MDM2OCwsLCwsJ0RJTCcp&amp;WINDOW=FIRST_POPUP&amp;HEIGHT=450&amp;WIDTH=","450&amp;START_MAXIMIZED=FALSE&amp;VAR:CALENDAR=FIVEDAY&amp;VAR:SYMBOL=692847&amp;VAR:INDEX=0"}</definedName>
    <definedName name="_159__FDSAUDITLINK__" hidden="1">{"fdsup://directions/FAT Viewer?action=UPDATE&amp;creator=factset&amp;DYN_ARGS=TRUE&amp;DOC_NAME=FAT:FQL_AUDITING_CLIENT_TEMPLATE.FAT&amp;display_string=Audit&amp;VAR:KEY=JEFYHKJYLC&amp;VAR:QUERY=RkZfRU5UUlBSX1ZBTF9EQUlMWSg0MDM2OCwsLCwsJ0RJTCcp&amp;WINDOW=FIRST_POPUP&amp;HEIGHT=450&amp;WIDTH=","450&amp;START_MAXIMIZED=FALSE&amp;VAR:CALENDAR=FIVEDAY&amp;VAR:SYMBOL=640409&amp;VAR:INDEX=0"}</definedName>
    <definedName name="_16__123Graph_ACHART_23" hidden="1">'[4]W Eur'!$B$14:$V$14</definedName>
    <definedName name="_16__123Graph_ACHART_30" hidden="1">[5]Menu!$D$11:$M$11</definedName>
    <definedName name="_16__FDSAUDITLINK__" hidden="1">{"fdsup://directions/FAT Viewer?action=UPDATE&amp;creator=factset&amp;DYN_ARGS=TRUE&amp;DOC_NAME=FAT:FQL_AUDITING_CLIENT_TEMPLATE.FAT&amp;display_string=Audit&amp;VAR:KEY=CNQPUPARQX&amp;VAR:QUERY=RkZfRU5UUlBSX1ZBTF9EQUlMWSg0MDM2NiwsLCxVU0QsJ0RJTCcp&amp;WINDOW=FIRST_POPUP&amp;HEIGHT=450&amp;WI","DTH=450&amp;START_MAXIMIZED=FALSE&amp;VAR:CALENDAR=FIVEDAY&amp;VAR:SYMBOL=B07SFG&amp;VAR:INDEX=0"}</definedName>
    <definedName name="_160__FDSAUDITLINK__" hidden="1">{"fdsup://directions/FAT Viewer?action=UPDATE&amp;creator=factset&amp;DYN_ARGS=TRUE&amp;DOC_NAME=FAT:FQL_AUDITING_CLIENT_TEMPLATE.FAT&amp;display_string=Audit&amp;VAR:KEY=FGVOTMBQRE&amp;VAR:QUERY=RkZfRU5UUlBSX1ZBTF9EQUlMWSg0MDM2OCwsLCwsJ0RJTCcp&amp;WINDOW=FIRST_POPUP&amp;HEIGHT=450&amp;WIDTH=","450&amp;START_MAXIMIZED=FALSE&amp;VAR:CALENDAR=FIVEDAY&amp;VAR:SYMBOL=611177&amp;VAR:INDEX=0"}</definedName>
    <definedName name="_161__FDSAUDITLINK__" hidden="1">{"fdsup://directions/FAT Viewer?action=UPDATE&amp;creator=factset&amp;DYN_ARGS=TRUE&amp;DOC_NAME=FAT:FQL_AUDITING_CLIENT_TEMPLATE.FAT&amp;display_string=Audit&amp;VAR:KEY=TWBGPOLALM&amp;VAR:QUERY=RkZfRU5UUlBSX1ZBTF9EQUlMWSg0MDM2OCwsLCwsJ0RJTCcp&amp;WINDOW=FIRST_POPUP&amp;HEIGHT=450&amp;WIDTH=","450&amp;START_MAXIMIZED=FALSE&amp;VAR:CALENDAR=FIVEDAY&amp;VAR:SYMBOL=604260&amp;VAR:INDEX=0"}</definedName>
    <definedName name="_162__FDSAUDITLINK__" hidden="1">{"fdsup://directions/FAT Viewer?action=UPDATE&amp;creator=factset&amp;DYN_ARGS=TRUE&amp;DOC_NAME=FAT:FQL_AUDITING_CLIENT_TEMPLATE.FAT&amp;display_string=Audit&amp;VAR:KEY=DMHYFMHEPY&amp;VAR:QUERY=RkZfRU5UUlBSX1ZBTF9EQUlMWSg0MDM2OCwsLCxVU0QsJ0RJTCcp&amp;WINDOW=FIRST_POPUP&amp;HEIGHT=450&amp;WI","DTH=450&amp;START_MAXIMIZED=FALSE&amp;VAR:CALENDAR=FIVEDAY&amp;VAR:SYMBOL=600298&amp;VAR:INDEX=0"}</definedName>
    <definedName name="_163__FDSAUDITLINK__" hidden="1">{"fdsup://directions/FAT Viewer?action=UPDATE&amp;creator=factset&amp;DYN_ARGS=TRUE&amp;DOC_NAME=FAT:FQL_AUDITING_CLIENT_TEMPLATE.FAT&amp;display_string=Audit&amp;VAR:KEY=BEHQVKLUBW&amp;VAR:QUERY=RkZfRU5UUlBSX1ZBTF9EQUlMWSg0MDM2OCwsLCxVU0QsJ0RJTCcp&amp;WINDOW=FIRST_POPUP&amp;HEIGHT=450&amp;WI","DTH=450&amp;START_MAXIMIZED=FALSE&amp;VAR:CALENDAR=FIVEDAY&amp;VAR:SYMBOL=B15SCH&amp;VAR:INDEX=0"}</definedName>
    <definedName name="_164__FDSAUDITLINK__" hidden="1">{"fdsup://directions/FAT Viewer?action=UPDATE&amp;creator=factset&amp;DYN_ARGS=TRUE&amp;DOC_NAME=FAT:FQL_AUDITING_CLIENT_TEMPLATE.FAT&amp;display_string=Audit&amp;VAR:KEY=XUZOPWRIJY&amp;VAR:QUERY=RkZfRU5UUlBSX1ZBTF9EQUlMWSg0MDM2OCwsLCxVU0QsJ0RJTCcp&amp;WINDOW=FIRST_POPUP&amp;HEIGHT=450&amp;WI","DTH=450&amp;START_MAXIMIZED=FALSE&amp;VAR:CALENDAR=FIVEDAY&amp;VAR:SYMBOL=B07SFG&amp;VAR:INDEX=0"}</definedName>
    <definedName name="_165__FDSAUDITLINK__" hidden="1">{"fdsup://directions/FAT Viewer?action=UPDATE&amp;creator=factset&amp;DYN_ARGS=TRUE&amp;DOC_NAME=FAT:FQL_AUDITING_CLIENT_TEMPLATE.FAT&amp;display_string=Audit&amp;VAR:KEY=LALQRGTAJO&amp;VAR:QUERY=RkZfRU5UUlBSX1ZBTF9EQUlMWSg0MDM2OCwsLCxVU0QsJ0RJTCcp&amp;WINDOW=FIRST_POPUP&amp;HEIGHT=450&amp;WI","DTH=450&amp;START_MAXIMIZED=FALSE&amp;VAR:CALENDAR=FIVEDAY&amp;VAR:SYMBOL=692847&amp;VAR:INDEX=0"}</definedName>
    <definedName name="_166__FDSAUDITLINK__" hidden="1">{"fdsup://directions/FAT Viewer?action=UPDATE&amp;creator=factset&amp;DYN_ARGS=TRUE&amp;DOC_NAME=FAT:FQL_AUDITING_CLIENT_TEMPLATE.FAT&amp;display_string=Audit&amp;VAR:KEY=ZQDUDQTIXS&amp;VAR:QUERY=RkZfRU5UUlBSX1ZBTF9EQUlMWSg0MDM2OCwsLCxVU0QsJ0RJTCcp&amp;WINDOW=FIRST_POPUP&amp;HEIGHT=450&amp;WI","DTH=450&amp;START_MAXIMIZED=FALSE&amp;VAR:CALENDAR=FIVEDAY&amp;VAR:SYMBOL=640409&amp;VAR:INDEX=0"}</definedName>
    <definedName name="_167__FDSAUDITLINK__" hidden="1">{"fdsup://directions/FAT Viewer?action=UPDATE&amp;creator=factset&amp;DYN_ARGS=TRUE&amp;DOC_NAME=FAT:FQL_AUDITING_CLIENT_TEMPLATE.FAT&amp;display_string=Audit&amp;VAR:KEY=NANEBYRIRQ&amp;VAR:QUERY=RkZfRU5UUlBSX1ZBTF9EQUlMWSg0MDM2OCwsLCxVU0QsJ0RJTCcp&amp;WINDOW=FIRST_POPUP&amp;HEIGHT=450&amp;WI","DTH=450&amp;START_MAXIMIZED=FALSE&amp;VAR:CALENDAR=FIVEDAY&amp;VAR:SYMBOL=611177&amp;VAR:INDEX=0"}</definedName>
    <definedName name="_168__FDSAUDITLINK__" hidden="1">{"fdsup://directions/FAT Viewer?action=UPDATE&amp;creator=factset&amp;DYN_ARGS=TRUE&amp;DOC_NAME=FAT:FQL_AUDITING_CLIENT_TEMPLATE.FAT&amp;display_string=Audit&amp;VAR:KEY=ZAPKDYXYRG&amp;VAR:QUERY=RkZfRU5UUlBSX1ZBTF9EQUlMWSg0MDM2OCwsLCxVU0QsJ0RJTCcp&amp;WINDOW=FIRST_POPUP&amp;HEIGHT=450&amp;WI","DTH=450&amp;START_MAXIMIZED=FALSE&amp;VAR:CALENDAR=FIVEDAY&amp;VAR:SYMBOL=604260&amp;VAR:INDEX=0"}</definedName>
    <definedName name="_169__FDSAUDITLINK__" hidden="1">{"fdsup://directions/FAT Viewer?action=UPDATE&amp;creator=factset&amp;DYN_ARGS=TRUE&amp;DOC_NAME=FAT:FQL_AUDITING_CLIENT_TEMPLATE.FAT&amp;display_string=Audit&amp;VAR:KEY=FQVQJGLSDG&amp;VAR:QUERY=RkZfRU5UUlBSX1ZBTF9EQUlMWSg0MDM2OCwsLCwsJ0RJTCcp&amp;WINDOW=FIRST_POPUP&amp;HEIGHT=450&amp;WIDTH=","450&amp;START_MAXIMIZED=FALSE&amp;VAR:CALENDAR=FIVEDAY&amp;VAR:SYMBOL=654304&amp;VAR:INDEX=0"}</definedName>
    <definedName name="_17__123Graph_ACHART_24" hidden="1">'[4]W Eur'!$B$28:$V$28</definedName>
    <definedName name="_17__FDSAUDITLINK__" hidden="1">{"fdsup://directions/FAT Viewer?action=UPDATE&amp;creator=factset&amp;DYN_ARGS=TRUE&amp;DOC_NAME=FAT:FQL_AUDITING_CLIENT_TEMPLATE.FAT&amp;display_string=Audit&amp;VAR:KEY=IRUNOBIVMN&amp;VAR:QUERY=RkZfRU5UUlBSX1ZBTF9EQUlMWSg0MDM2NiwsLCwsJ0RJTCcp&amp;WINDOW=FIRST_POPUP&amp;HEIGHT=450&amp;WIDTH=","450&amp;START_MAXIMIZED=FALSE&amp;VAR:CALENDAR=FIVEDAY&amp;VAR:SYMBOL=692847&amp;VAR:INDEX=0"}</definedName>
    <definedName name="_170__FDSAUDITLINK__" hidden="1">{"fdsup://directions/FAT Viewer?action=UPDATE&amp;creator=factset&amp;DYN_ARGS=TRUE&amp;DOC_NAME=FAT:FQL_AUDITING_CLIENT_TEMPLATE.FAT&amp;display_string=Audit&amp;VAR:KEY=HCXQLWRUTA&amp;VAR:QUERY=RkZfRU5UUlBSX1ZBTF9EQUlMWSg0MDM2OCwsLCwsJ0RJTCcp&amp;WINDOW=FIRST_POPUP&amp;HEIGHT=450&amp;WIDTH=","450&amp;START_MAXIMIZED=FALSE&amp;VAR:CALENDAR=FIVEDAY&amp;VAR:SYMBOL=B04W2V&amp;VAR:INDEX=0"}</definedName>
    <definedName name="_171__FDSAUDITLINK__" hidden="1">{"fdsup://directions/FAT Viewer?action=UPDATE&amp;creator=factset&amp;DYN_ARGS=TRUE&amp;DOC_NAME=FAT:FQL_AUDITING_CLIENT_TEMPLATE.FAT&amp;display_string=Audit&amp;VAR:KEY=ZSRKZWNMHK&amp;VAR:QUERY=RkZfRU5UUlBSX1ZBTF9EQUlMWSg0MDM2OCwsLCwsJ0RJTCcp&amp;WINDOW=FIRST_POPUP&amp;HEIGHT=450&amp;WIDTH=","450&amp;START_MAXIMIZED=FALSE&amp;VAR:CALENDAR=FIVEDAY&amp;VAR:SYMBOL=B1TNRD&amp;VAR:INDEX=0"}</definedName>
    <definedName name="_172__FDSAUDITLINK__" hidden="1">{"fdsup://directions/FAT Viewer?action=UPDATE&amp;creator=factset&amp;DYN_ARGS=TRUE&amp;DOC_NAME=FAT:FQL_AUDITING_CLIENT_TEMPLATE.FAT&amp;display_string=Audit&amp;VAR:KEY=DEVGLENORA&amp;VAR:QUERY=RkZfRU5UUlBSX1ZBTF9EQUlMWSg0MDM2OCwsLCwsJ0RJTCcp&amp;WINDOW=FIRST_POPUP&amp;HEIGHT=450&amp;WIDTH=","450&amp;START_MAXIMIZED=FALSE&amp;VAR:CALENDAR=FIVEDAY&amp;VAR:SYMBOL=616095&amp;VAR:INDEX=0"}</definedName>
    <definedName name="_173__FDSAUDITLINK__" hidden="1">{"fdsup://directions/FAT Viewer?action=UPDATE&amp;creator=factset&amp;DYN_ARGS=TRUE&amp;DOC_NAME=FAT:FQL_AUDITING_CLIENT_TEMPLATE.FAT&amp;display_string=Audit&amp;VAR:KEY=ROVSBSNIVC&amp;VAR:QUERY=RkZfRU5UUlBSX1ZBTF9EQUlMWSg0MDM2OCwsLCxVU0QsJ0RJTCcp&amp;WINDOW=FIRST_POPUP&amp;HEIGHT=450&amp;WI","DTH=450&amp;START_MAXIMIZED=FALSE&amp;VAR:CALENDAR=FIVEDAY&amp;VAR:SYMBOL=654304&amp;VAR:INDEX=0"}</definedName>
    <definedName name="_174__FDSAUDITLINK__" hidden="1">{"fdsup://directions/FAT Viewer?action=UPDATE&amp;creator=factset&amp;DYN_ARGS=TRUE&amp;DOC_NAME=FAT:FQL_AUDITING_CLIENT_TEMPLATE.FAT&amp;display_string=Audit&amp;VAR:KEY=TEDWTIDUVE&amp;VAR:QUERY=RkZfRU5UUlBSX1ZBTF9EQUlMWSg0MDM2OCwsLCxVU0QsJ0RJTCcp&amp;WINDOW=FIRST_POPUP&amp;HEIGHT=450&amp;WI","DTH=450&amp;START_MAXIMIZED=FALSE&amp;VAR:CALENDAR=FIVEDAY&amp;VAR:SYMBOL=B04W2V&amp;VAR:INDEX=0"}</definedName>
    <definedName name="_175__FDSAUDITLINK__" hidden="1">{"fdsup://directions/FAT Viewer?action=UPDATE&amp;creator=factset&amp;DYN_ARGS=TRUE&amp;DOC_NAME=FAT:FQL_AUDITING_CLIENT_TEMPLATE.FAT&amp;display_string=Audit&amp;VAR:KEY=FGNKXKXQLU&amp;VAR:QUERY=RkZfRU5UUlBSX1ZBTF9EQUlMWSg0MDM2OCwsLCxVU0QsJ0RJTCcp&amp;WINDOW=FIRST_POPUP&amp;HEIGHT=450&amp;WI","DTH=450&amp;START_MAXIMIZED=FALSE&amp;VAR:CALENDAR=FIVEDAY&amp;VAR:SYMBOL=B1TNRD&amp;VAR:INDEX=0"}</definedName>
    <definedName name="_176__FDSAUDITLINK__" hidden="1">{"fdsup://directions/FAT Viewer?action=UPDATE&amp;creator=factset&amp;DYN_ARGS=TRUE&amp;DOC_NAME=FAT:FQL_AUDITING_CLIENT_TEMPLATE.FAT&amp;display_string=Audit&amp;VAR:KEY=ZGNSRSFUXO&amp;VAR:QUERY=RkZfRU5UUlBSX1ZBTF9EQUlMWSg0MDM2OCwsLCxVU0QsJ0RJTCcp&amp;WINDOW=FIRST_POPUP&amp;HEIGHT=450&amp;WI","DTH=450&amp;START_MAXIMIZED=FALSE&amp;VAR:CALENDAR=FIVEDAY&amp;VAR:SYMBOL=616095&amp;VAR:INDEX=0"}</definedName>
    <definedName name="_177__FDSAUDITLINK__" hidden="1">{"fdsup://directions/FAT Viewer?action=UPDATE&amp;creator=factset&amp;DYN_ARGS=TRUE&amp;DOC_NAME=FAT:FQL_AUDITING_CLIENT_TEMPLATE.FAT&amp;display_string=Audit&amp;VAR:KEY=QTCZEXYPEL&amp;VAR:QUERY=RkZfRU5UUlBSX1ZBTF9EQUlMWSg0MDM3MiwsLCwsJ0RJTCcp&amp;WINDOW=FIRST_POPUP&amp;HEIGHT=450&amp;WIDTH=","450&amp;START_MAXIMIZED=FALSE&amp;VAR:CALENDAR=FIVEDAY&amp;VAR:SYMBOL=95058710&amp;VAR:INDEX=0"}</definedName>
    <definedName name="_178__FDSAUDITLINK__" hidden="1">{"fdsup://directions/FAT Viewer?action=UPDATE&amp;creator=factset&amp;DYN_ARGS=TRUE&amp;DOC_NAME=FAT:FQL_AUDITING_CLIENT_TEMPLATE.FAT&amp;display_string=Audit&amp;VAR:KEY=ITARYFEBIL&amp;VAR:QUERY=RkZfRU5UUlBSX1ZBTF9EQUlMWSg0MDM3MiwsLCwsJ0RJTCcp&amp;WINDOW=FIRST_POPUP&amp;HEIGHT=450&amp;WIDTH=","450&amp;START_MAXIMIZED=FALSE&amp;VAR:CALENDAR=FIVEDAY&amp;VAR:SYMBOL=12120820&amp;VAR:INDEX=0"}</definedName>
    <definedName name="_179__FDSAUDITLINK__" hidden="1">{"fdsup://directions/FAT Viewer?action=UPDATE&amp;creator=factset&amp;DYN_ARGS=TRUE&amp;DOC_NAME=FAT:FQL_AUDITING_CLIENT_TEMPLATE.FAT&amp;display_string=Audit&amp;VAR:KEY=WFQFALGBAH&amp;VAR:QUERY=RkZfRU5UUlBSX1ZBTF9EQUlMWSg0MDM3MiwsLCwsJ0RJTCcp&amp;WINDOW=FIRST_POPUP&amp;HEIGHT=450&amp;WIDTH=","450&amp;START_MAXIMIZED=FALSE&amp;VAR:CALENDAR=FIVEDAY&amp;VAR:SYMBOL=98849810&amp;VAR:INDEX=0"}</definedName>
    <definedName name="_18__123Graph_ACHART_3" hidden="1">[4]Africa!$B$28:$V$28</definedName>
    <definedName name="_18__FDSAUDITLINK__" hidden="1">{"fdsup://directions/FAT Viewer?action=UPDATE&amp;creator=factset&amp;DYN_ARGS=TRUE&amp;DOC_NAME=FAT:FQL_AUDITING_CLIENT_TEMPLATE.FAT&amp;display_string=Audit&amp;VAR:KEY=ILCHSVMLSV&amp;VAR:QUERY=RkZfRU5UUlBSX1ZBTF9EQUlMWSg0MDM2NiwsLCxVU0QsJ0RJTCcp&amp;WINDOW=FIRST_POPUP&amp;HEIGHT=450&amp;WI","DTH=450&amp;START_MAXIMIZED=FALSE&amp;VAR:CALENDAR=FIVEDAY&amp;VAR:SYMBOL=692847&amp;VAR:INDEX=0"}</definedName>
    <definedName name="_180__FDSAUDITLINK__" hidden="1">{"fdsup://directions/FAT Viewer?action=UPDATE&amp;creator=factset&amp;DYN_ARGS=TRUE&amp;DOC_NAME=FAT:FQL_AUDITING_CLIENT_TEMPLATE.FAT&amp;display_string=Audit&amp;VAR:KEY=QNOHKJUFYX&amp;VAR:QUERY=RkZfRU5UUlBSX1ZBTF9EQUlMWSg0MDM3MiwsLCwsJ0RJTCcp&amp;WINDOW=FIRST_POPUP&amp;HEIGHT=450&amp;WIDTH=","450&amp;START_MAXIMIZED=FALSE&amp;VAR:CALENDAR=FIVEDAY&amp;VAR:SYMBOL=85524410&amp;VAR:INDEX=0"}</definedName>
    <definedName name="_181__FDSAUDITLINK__" hidden="1">{"fdsup://directions/FAT Viewer?action=UPDATE&amp;creator=factset&amp;DYN_ARGS=TRUE&amp;DOC_NAME=FAT:FQL_AUDITING_CLIENT_TEMPLATE.FAT&amp;display_string=Audit&amp;VAR:KEY=SZILOZCNIR&amp;VAR:QUERY=RkZfRU5UUlBSX1ZBTF9EQUlMWSg0MDM3MiwsLCwsJ0RJTCcp&amp;WINDOW=FIRST_POPUP&amp;HEIGHT=450&amp;WIDTH=","450&amp;START_MAXIMIZED=FALSE&amp;VAR:CALENDAR=FIVEDAY&amp;VAR:SYMBOL=58013510&amp;VAR:INDEX=0"}</definedName>
    <definedName name="_182__FDSAUDITLINK__" hidden="1">{"fdsup://directions/FAT Viewer?action=UPDATE&amp;creator=factset&amp;DYN_ARGS=TRUE&amp;DOC_NAME=FAT:FQL_AUDITING_CLIENT_TEMPLATE.FAT&amp;display_string=Audit&amp;VAR:KEY=QPULQXKPQL&amp;VAR:QUERY=RkZfRU5UUlBSX1ZBTF9EQUlMWSg0MDM3MiwsLCxVU0QsJ0RJTCcp&amp;WINDOW=FIRST_POPUP&amp;HEIGHT=450&amp;WI","DTH=450&amp;START_MAXIMIZED=FALSE&amp;VAR:CALENDAR=FIVEDAY&amp;VAR:SYMBOL=95058710&amp;VAR:INDEX=0"}</definedName>
    <definedName name="_183__FDSAUDITLINK__" hidden="1">{"fdsup://directions/FAT Viewer?action=UPDATE&amp;creator=factset&amp;DYN_ARGS=TRUE&amp;DOC_NAME=FAT:FQL_AUDITING_CLIENT_TEMPLATE.FAT&amp;display_string=Audit&amp;VAR:KEY=MPOTONEHIZ&amp;VAR:QUERY=RkZfRU5UUlBSX1ZBTF9EQUlMWSg0MDM3MiwsLCxVU0QsJ0RJTCcp&amp;WINDOW=FIRST_POPUP&amp;HEIGHT=450&amp;WI","DTH=450&amp;START_MAXIMIZED=FALSE&amp;VAR:CALENDAR=FIVEDAY&amp;VAR:SYMBOL=12120820&amp;VAR:INDEX=0"}</definedName>
    <definedName name="_184__FDSAUDITLINK__" hidden="1">{"fdsup://directions/FAT Viewer?action=UPDATE&amp;creator=factset&amp;DYN_ARGS=TRUE&amp;DOC_NAME=FAT:FQL_AUDITING_CLIENT_TEMPLATE.FAT&amp;display_string=Audit&amp;VAR:KEY=YPIXKTQVIR&amp;VAR:QUERY=RkZfRU5UUlBSX1ZBTF9EQUlMWSg0MDM3MiwsLCxVU0QsJ0RJTCcp&amp;WINDOW=FIRST_POPUP&amp;HEIGHT=450&amp;WI","DTH=450&amp;START_MAXIMIZED=FALSE&amp;VAR:CALENDAR=FIVEDAY&amp;VAR:SYMBOL=98849810&amp;VAR:INDEX=0"}</definedName>
    <definedName name="_185__FDSAUDITLINK__" hidden="1">{"fdsup://directions/FAT Viewer?action=UPDATE&amp;creator=factset&amp;DYN_ARGS=TRUE&amp;DOC_NAME=FAT:FQL_AUDITING_CLIENT_TEMPLATE.FAT&amp;display_string=Audit&amp;VAR:KEY=IPOBOFGZMT&amp;VAR:QUERY=RkZfRU5UUlBSX1ZBTF9EQUlMWSg0MDM3MiwsLCxVU0QsJ0RJTCcp&amp;WINDOW=FIRST_POPUP&amp;HEIGHT=450&amp;WI","DTH=450&amp;START_MAXIMIZED=FALSE&amp;VAR:CALENDAR=FIVEDAY&amp;VAR:SYMBOL=85524410&amp;VAR:INDEX=0"}</definedName>
    <definedName name="_186__FDSAUDITLINK__" hidden="1">{"fdsup://directions/FAT Viewer?action=UPDATE&amp;creator=factset&amp;DYN_ARGS=TRUE&amp;DOC_NAME=FAT:FQL_AUDITING_CLIENT_TEMPLATE.FAT&amp;display_string=Audit&amp;VAR:KEY=QRILALIPCT&amp;VAR:QUERY=RkZfRU5UUlBSX1ZBTF9EQUlMWSg0MDM3MiwsLCxVU0QsJ0RJTCcp&amp;WINDOW=FIRST_POPUP&amp;HEIGHT=450&amp;WI","DTH=450&amp;START_MAXIMIZED=FALSE&amp;VAR:CALENDAR=FIVEDAY&amp;VAR:SYMBOL=58013510&amp;VAR:INDEX=0"}</definedName>
    <definedName name="_187__FDSAUDITLINK__" hidden="1">{"fdsup://directions/FAT Viewer?action=UPDATE&amp;creator=factset&amp;DYN_ARGS=TRUE&amp;DOC_NAME=FAT:FQL_AUDITING_CLIENT_TEMPLATE.FAT&amp;display_string=Audit&amp;VAR:KEY=WRILGVQDAB&amp;VAR:QUERY=RkZfRU5UUlBSX1ZBTF9EQUlMWSg0MDM3MiwsLCwsJ0RJTCcp&amp;WINDOW=FIRST_POPUP&amp;HEIGHT=450&amp;WIDTH=","450&amp;START_MAXIMIZED=FALSE&amp;VAR:CALENDAR=FIVEDAY&amp;VAR:SYMBOL=600298&amp;VAR:INDEX=0"}</definedName>
    <definedName name="_188__FDSAUDITLINK__" hidden="1">{"fdsup://directions/FAT Viewer?action=UPDATE&amp;creator=factset&amp;DYN_ARGS=TRUE&amp;DOC_NAME=FAT:FQL_AUDITING_CLIENT_TEMPLATE.FAT&amp;display_string=Audit&amp;VAR:KEY=AHYPWRAHSD&amp;VAR:QUERY=RkZfRU5UUlBSX1ZBTF9EQUlMWSg0MDM3MiwsLCwsJ0RJTCcp&amp;WINDOW=FIRST_POPUP&amp;HEIGHT=450&amp;WIDTH=","450&amp;START_MAXIMIZED=FALSE&amp;VAR:CALENDAR=FIVEDAY&amp;VAR:SYMBOL=B15SCH&amp;VAR:INDEX=0"}</definedName>
    <definedName name="_189__FDSAUDITLINK__" hidden="1">{"fdsup://directions/FAT Viewer?action=UPDATE&amp;creator=factset&amp;DYN_ARGS=TRUE&amp;DOC_NAME=FAT:FQL_AUDITING_CLIENT_TEMPLATE.FAT&amp;display_string=Audit&amp;VAR:KEY=ARUXCNSNQF&amp;VAR:QUERY=RkZfRU5UUlBSX1ZBTF9EQUlMWSg0MDM3MiwsLCwsJ0RJTCcp&amp;WINDOW=FIRST_POPUP&amp;HEIGHT=450&amp;WIDTH=","450&amp;START_MAXIMIZED=FALSE&amp;VAR:CALENDAR=FIVEDAY&amp;VAR:SYMBOL=B07SFG&amp;VAR:INDEX=0"}</definedName>
    <definedName name="_19__123Graph_ACHART_4" hidden="1">'[4]C Amer'!$B$19:$V$19</definedName>
    <definedName name="_19__FDSAUDITLINK__" hidden="1">{"fdsup://directions/FAT Viewer?action=UPDATE&amp;creator=factset&amp;DYN_ARGS=TRUE&amp;DOC_NAME=FAT:FQL_AUDITING_CLIENT_TEMPLATE.FAT&amp;display_string=Audit&amp;VAR:KEY=WDCBKNWDAH&amp;VAR:QUERY=RkZfRU5UUlBSX1ZBTF9EQUlMWSg0MDM2NiwsLCwsJ0RJTCcp&amp;WINDOW=FIRST_POPUP&amp;HEIGHT=450&amp;WIDTH=","450&amp;START_MAXIMIZED=FALSE&amp;VAR:CALENDAR=FIVEDAY&amp;VAR:SYMBOL=640409&amp;VAR:INDEX=0"}</definedName>
    <definedName name="_190__FDSAUDITLINK__" hidden="1">{"fdsup://directions/FAT Viewer?action=UPDATE&amp;creator=factset&amp;DYN_ARGS=TRUE&amp;DOC_NAME=FAT:FQL_AUDITING_CLIENT_TEMPLATE.FAT&amp;display_string=Audit&amp;VAR:KEY=KVQJKFKZWH&amp;VAR:QUERY=RkZfRU5UUlBSX1ZBTF9EQUlMWSg0MDM3MiwsLCwsJ0RJTCcp&amp;WINDOW=FIRST_POPUP&amp;HEIGHT=450&amp;WIDTH=","450&amp;START_MAXIMIZED=FALSE&amp;VAR:CALENDAR=FIVEDAY&amp;VAR:SYMBOL=692847&amp;VAR:INDEX=0"}</definedName>
    <definedName name="_191__FDSAUDITLINK__" hidden="1">{"fdsup://directions/FAT Viewer?action=UPDATE&amp;creator=factset&amp;DYN_ARGS=TRUE&amp;DOC_NAME=FAT:FQL_AUDITING_CLIENT_TEMPLATE.FAT&amp;display_string=Audit&amp;VAR:KEY=UREVUZAPOX&amp;VAR:QUERY=RkZfRU5UUlBSX1ZBTF9EQUlMWSg0MDM3MiwsLCwsJ0RJTCcp&amp;WINDOW=FIRST_POPUP&amp;HEIGHT=450&amp;WIDTH=","450&amp;START_MAXIMIZED=FALSE&amp;VAR:CALENDAR=FIVEDAY&amp;VAR:SYMBOL=640409&amp;VAR:INDEX=0"}</definedName>
    <definedName name="_192__FDSAUDITLINK__" hidden="1">{"fdsup://directions/FAT Viewer?action=UPDATE&amp;creator=factset&amp;DYN_ARGS=TRUE&amp;DOC_NAME=FAT:FQL_AUDITING_CLIENT_TEMPLATE.FAT&amp;display_string=Audit&amp;VAR:KEY=ANQPGHOPED&amp;VAR:QUERY=RkZfRU5UUlBSX1ZBTF9EQUlMWSg0MDM3MiwsLCwsJ0RJTCcp&amp;WINDOW=FIRST_POPUP&amp;HEIGHT=450&amp;WIDTH=","450&amp;START_MAXIMIZED=FALSE&amp;VAR:CALENDAR=FIVEDAY&amp;VAR:SYMBOL=611177&amp;VAR:INDEX=0"}</definedName>
    <definedName name="_193__FDSAUDITLINK__" hidden="1">{"fdsup://directions/FAT Viewer?action=UPDATE&amp;creator=factset&amp;DYN_ARGS=TRUE&amp;DOC_NAME=FAT:FQL_AUDITING_CLIENT_TEMPLATE.FAT&amp;display_string=Audit&amp;VAR:KEY=WRUPKZIXQR&amp;VAR:QUERY=RkZfRU5UUlBSX1ZBTF9EQUlMWSg0MDM3MiwsLCwsJ0RJTCcp&amp;WINDOW=FIRST_POPUP&amp;HEIGHT=450&amp;WIDTH=","450&amp;START_MAXIMIZED=FALSE&amp;VAR:CALENDAR=FIVEDAY&amp;VAR:SYMBOL=604260&amp;VAR:INDEX=0"}</definedName>
    <definedName name="_194__FDSAUDITLINK__" hidden="1">{"fdsup://directions/FAT Viewer?action=UPDATE&amp;creator=factset&amp;DYN_ARGS=TRUE&amp;DOC_NAME=FAT:FQL_AUDITING_CLIENT_TEMPLATE.FAT&amp;display_string=Audit&amp;VAR:KEY=KFALYHIRSH&amp;VAR:QUERY=RkZfRU5UUlBSX1ZBTF9EQUlMWSg0MDM3MiwsLCxVU0QsJ0RJTCcp&amp;WINDOW=FIRST_POPUP&amp;HEIGHT=450&amp;WI","DTH=450&amp;START_MAXIMIZED=FALSE&amp;VAR:CALENDAR=FIVEDAY&amp;VAR:SYMBOL=600298&amp;VAR:INDEX=0"}</definedName>
    <definedName name="_195__FDSAUDITLINK__" hidden="1">{"fdsup://directions/FAT Viewer?action=UPDATE&amp;creator=factset&amp;DYN_ARGS=TRUE&amp;DOC_NAME=FAT:FQL_AUDITING_CLIENT_TEMPLATE.FAT&amp;display_string=Audit&amp;VAR:KEY=UJUFWJCHMV&amp;VAR:QUERY=RkZfRU5UUlBSX1ZBTF9EQUlMWSg0MDM3MiwsLCxVU0QsJ0RJTCcp&amp;WINDOW=FIRST_POPUP&amp;HEIGHT=450&amp;WI","DTH=450&amp;START_MAXIMIZED=FALSE&amp;VAR:CALENDAR=FIVEDAY&amp;VAR:SYMBOL=B15SCH&amp;VAR:INDEX=0"}</definedName>
    <definedName name="_196__FDSAUDITLINK__" hidden="1">{"fdsup://directions/FAT Viewer?action=UPDATE&amp;creator=factset&amp;DYN_ARGS=TRUE&amp;DOC_NAME=FAT:FQL_AUDITING_CLIENT_TEMPLATE.FAT&amp;display_string=Audit&amp;VAR:KEY=WDSFIZGHMV&amp;VAR:QUERY=RkZfRU5UUlBSX1ZBTF9EQUlMWSg0MDM3MiwsLCxVU0QsJ0RJTCcp&amp;WINDOW=FIRST_POPUP&amp;HEIGHT=450&amp;WI","DTH=450&amp;START_MAXIMIZED=FALSE&amp;VAR:CALENDAR=FIVEDAY&amp;VAR:SYMBOL=B07SFG&amp;VAR:INDEX=0"}</definedName>
    <definedName name="_197__FDSAUDITLINK__" hidden="1">{"fdsup://directions/FAT Viewer?action=UPDATE&amp;creator=factset&amp;DYN_ARGS=TRUE&amp;DOC_NAME=FAT:FQL_AUDITING_CLIENT_TEMPLATE.FAT&amp;display_string=Audit&amp;VAR:KEY=GNYNOZIXIR&amp;VAR:QUERY=RkZfRU5UUlBSX1ZBTF9EQUlMWSg0MDM3MiwsLCxVU0QsJ0RJTCcp&amp;WINDOW=FIRST_POPUP&amp;HEIGHT=450&amp;WI","DTH=450&amp;START_MAXIMIZED=FALSE&amp;VAR:CALENDAR=FIVEDAY&amp;VAR:SYMBOL=692847&amp;VAR:INDEX=0"}</definedName>
    <definedName name="_198__FDSAUDITLINK__" hidden="1">{"fdsup://directions/FAT Viewer?action=UPDATE&amp;creator=factset&amp;DYN_ARGS=TRUE&amp;DOC_NAME=FAT:FQL_AUDITING_CLIENT_TEMPLATE.FAT&amp;display_string=Audit&amp;VAR:KEY=AJUJOHEXUJ&amp;VAR:QUERY=RkZfRU5UUlBSX1ZBTF9EQUlMWSg0MDM3MiwsLCxVU0QsJ0RJTCcp&amp;WINDOW=FIRST_POPUP&amp;HEIGHT=450&amp;WI","DTH=450&amp;START_MAXIMIZED=FALSE&amp;VAR:CALENDAR=FIVEDAY&amp;VAR:SYMBOL=640409&amp;VAR:INDEX=0"}</definedName>
    <definedName name="_199__FDSAUDITLINK__" hidden="1">{"fdsup://directions/FAT Viewer?action=UPDATE&amp;creator=factset&amp;DYN_ARGS=TRUE&amp;DOC_NAME=FAT:FQL_AUDITING_CLIENT_TEMPLATE.FAT&amp;display_string=Audit&amp;VAR:KEY=CVKJOZGNQP&amp;VAR:QUERY=RkZfRU5UUlBSX1ZBTF9EQUlMWSg0MDM3MiwsLCxVU0QsJ0RJTCcp&amp;WINDOW=FIRST_POPUP&amp;HEIGHT=450&amp;WI","DTH=450&amp;START_MAXIMIZED=FALSE&amp;VAR:CALENDAR=FIVEDAY&amp;VAR:SYMBOL=611177&amp;VAR:INDEX=0"}</definedName>
    <definedName name="_2" hidden="1">#REF!</definedName>
    <definedName name="_2__123Graph_ACHART_10" hidden="1">'[4]E Eur'!$B$14:$V$14</definedName>
    <definedName name="_2__FDSAUDITLINK__" hidden="1">{"fdsup://directions/FAT Viewer?action=UPDATE&amp;creator=factset&amp;DYN_ARGS=TRUE&amp;DOC_NAME=FAT:FQL_AUDITING_CLIENT_TEMPLATE.FAT&amp;display_string=Audit&amp;VAR:KEY=IFODUDADIP&amp;VAR:QUERY=RkZfRU5UUlBSX1ZBTF9EQUlMWSg0MDM2NiwsLCxVU0QsJ0RJTCcp&amp;WINDOW=FIRST_POPUP&amp;HEIGHT=450&amp;WI","DTH=450&amp;START_MAXIMIZED=FALSE&amp;VAR:CALENDAR=FIVEDAY&amp;VAR:SYMBOL=95058710&amp;VAR:INDEX=0"}</definedName>
    <definedName name="_20__123Graph_ACHART_5" hidden="1">'[4]C Amer'!$B$14:$V$14</definedName>
    <definedName name="_20__123Graph_BCHART_111" hidden="1">[5]Menu!$D$24:$M$24</definedName>
    <definedName name="_20__FDSAUDITLINK__" hidden="1">{"fdsup://directions/FAT Viewer?action=UPDATE&amp;creator=factset&amp;DYN_ARGS=TRUE&amp;DOC_NAME=FAT:FQL_AUDITING_CLIENT_TEMPLATE.FAT&amp;display_string=Audit&amp;VAR:KEY=UHKPODUPWH&amp;VAR:QUERY=RkZfRU5UUlBSX1ZBTF9EQUlMWSg0MDM2NiwsLCxVU0QsJ0RJTCcp&amp;WINDOW=FIRST_POPUP&amp;HEIGHT=450&amp;WI","DTH=450&amp;START_MAXIMIZED=FALSE&amp;VAR:CALENDAR=FIVEDAY&amp;VAR:SYMBOL=640409&amp;VAR:INDEX=0"}</definedName>
    <definedName name="_200__FDSAUDITLINK__" hidden="1">{"fdsup://directions/FAT Viewer?action=UPDATE&amp;creator=factset&amp;DYN_ARGS=TRUE&amp;DOC_NAME=FAT:FQL_AUDITING_CLIENT_TEMPLATE.FAT&amp;display_string=Audit&amp;VAR:KEY=GHMHQTKHAZ&amp;VAR:QUERY=RkZfRU5UUlBSX1ZBTF9EQUlMWSg0MDM3MiwsLCxVU0QsJ0RJTCcp&amp;WINDOW=FIRST_POPUP&amp;HEIGHT=450&amp;WI","DTH=450&amp;START_MAXIMIZED=FALSE&amp;VAR:CALENDAR=FIVEDAY&amp;VAR:SYMBOL=604260&amp;VAR:INDEX=0"}</definedName>
    <definedName name="_201__FDSAUDITLINK__" hidden="1">{"fdsup://directions/FAT Viewer?action=UPDATE&amp;creator=factset&amp;DYN_ARGS=TRUE&amp;DOC_NAME=FAT:FQL_AUDITING_CLIENT_TEMPLATE.FAT&amp;display_string=Audit&amp;VAR:KEY=EPAJMNEHCT&amp;VAR:QUERY=RkZfRU5UUlBSX1ZBTF9EQUlMWSg0MDM3MiwsLCwsJ0RJTCcp&amp;WINDOW=FIRST_POPUP&amp;HEIGHT=450&amp;WIDTH=","450&amp;START_MAXIMIZED=FALSE&amp;VAR:CALENDAR=FIVEDAY&amp;VAR:SYMBOL=654304&amp;VAR:INDEX=0"}</definedName>
    <definedName name="_202__FDSAUDITLINK__" hidden="1">{"fdsup://directions/FAT Viewer?action=UPDATE&amp;creator=factset&amp;DYN_ARGS=TRUE&amp;DOC_NAME=FAT:FQL_AUDITING_CLIENT_TEMPLATE.FAT&amp;display_string=Audit&amp;VAR:KEY=CZIVQZERIF&amp;VAR:QUERY=RkZfRU5UUlBSX1ZBTF9EQUlMWSg0MDM3MiwsLCwsJ0RJTCcp&amp;WINDOW=FIRST_POPUP&amp;HEIGHT=450&amp;WIDTH=","450&amp;START_MAXIMIZED=FALSE&amp;VAR:CALENDAR=FIVEDAY&amp;VAR:SYMBOL=B04W2V&amp;VAR:INDEX=0"}</definedName>
    <definedName name="_203__FDSAUDITLINK__" hidden="1">{"fdsup://directions/FAT Viewer?action=UPDATE&amp;creator=factset&amp;DYN_ARGS=TRUE&amp;DOC_NAME=FAT:FQL_AUDITING_CLIENT_TEMPLATE.FAT&amp;display_string=Audit&amp;VAR:KEY=SVIJWNUXMB&amp;VAR:QUERY=RkZfRU5UUlBSX1ZBTF9EQUlMWSg0MDM3MiwsLCwsJ0RJTCcp&amp;WINDOW=FIRST_POPUP&amp;HEIGHT=450&amp;WIDTH=","450&amp;START_MAXIMIZED=FALSE&amp;VAR:CALENDAR=FIVEDAY&amp;VAR:SYMBOL=B1TNRD&amp;VAR:INDEX=0"}</definedName>
    <definedName name="_204__FDSAUDITLINK__" hidden="1">{"fdsup://directions/FAT Viewer?action=UPDATE&amp;creator=factset&amp;DYN_ARGS=TRUE&amp;DOC_NAME=FAT:FQL_AUDITING_CLIENT_TEMPLATE.FAT&amp;display_string=Audit&amp;VAR:KEY=KFKLKHGHYP&amp;VAR:QUERY=RkZfRU5UUlBSX1ZBTF9EQUlMWSg0MDM3MiwsLCwsJ0RJTCcp&amp;WINDOW=FIRST_POPUP&amp;HEIGHT=450&amp;WIDTH=","450&amp;START_MAXIMIZED=FALSE&amp;VAR:CALENDAR=FIVEDAY&amp;VAR:SYMBOL=616095&amp;VAR:INDEX=0"}</definedName>
    <definedName name="_205__FDSAUDITLINK__" hidden="1">{"fdsup://directions/FAT Viewer?action=UPDATE&amp;creator=factset&amp;DYN_ARGS=TRUE&amp;DOC_NAME=FAT:FQL_AUDITING_CLIENT_TEMPLATE.FAT&amp;display_string=Audit&amp;VAR:KEY=YDEFUPCNAZ&amp;VAR:QUERY=RkZfRU5UUlBSX1ZBTF9EQUlMWSg0MDM3MiwsLCxVU0QsJ0RJTCcp&amp;WINDOW=FIRST_POPUP&amp;HEIGHT=450&amp;WI","DTH=450&amp;START_MAXIMIZED=FALSE&amp;VAR:CALENDAR=FIVEDAY&amp;VAR:SYMBOL=654304&amp;VAR:INDEX=0"}</definedName>
    <definedName name="_206__FDSAUDITLINK__" hidden="1">{"fdsup://directions/FAT Viewer?action=UPDATE&amp;creator=factset&amp;DYN_ARGS=TRUE&amp;DOC_NAME=FAT:FQL_AUDITING_CLIENT_TEMPLATE.FAT&amp;display_string=Audit&amp;VAR:KEY=MPQZMTIPIP&amp;VAR:QUERY=RkZfRU5UUlBSX1ZBTF9EQUlMWSg0MDM3MiwsLCxVU0QsJ0RJTCcp&amp;WINDOW=FIRST_POPUP&amp;HEIGHT=450&amp;WI","DTH=450&amp;START_MAXIMIZED=FALSE&amp;VAR:CALENDAR=FIVEDAY&amp;VAR:SYMBOL=B04W2V&amp;VAR:INDEX=0"}</definedName>
    <definedName name="_207__FDSAUDITLINK__" hidden="1">{"fdsup://directions/FAT Viewer?action=UPDATE&amp;creator=factset&amp;DYN_ARGS=TRUE&amp;DOC_NAME=FAT:FQL_AUDITING_CLIENT_TEMPLATE.FAT&amp;display_string=Audit&amp;VAR:KEY=WRWLQRWXGL&amp;VAR:QUERY=RkZfRU5UUlBSX1ZBTF9EQUlMWSg0MDM3MiwsLCxVU0QsJ0RJTCcp&amp;WINDOW=FIRST_POPUP&amp;HEIGHT=450&amp;WI","DTH=450&amp;START_MAXIMIZED=FALSE&amp;VAR:CALENDAR=FIVEDAY&amp;VAR:SYMBOL=B1TNRD&amp;VAR:INDEX=0"}</definedName>
    <definedName name="_208__FDSAUDITLINK__" hidden="1">{"fdsup://directions/FAT Viewer?action=UPDATE&amp;creator=factset&amp;DYN_ARGS=TRUE&amp;DOC_NAME=FAT:FQL_AUDITING_CLIENT_TEMPLATE.FAT&amp;display_string=Audit&amp;VAR:KEY=KNILCFQJCZ&amp;VAR:QUERY=RkZfRU5UUlBSX1ZBTF9EQUlMWSg0MDM3MiwsLCxVU0QsJ0RJTCcp&amp;WINDOW=FIRST_POPUP&amp;HEIGHT=450&amp;WI","DTH=450&amp;START_MAXIMIZED=FALSE&amp;VAR:CALENDAR=FIVEDAY&amp;VAR:SYMBOL=616095&amp;VAR:INDEX=0"}</definedName>
    <definedName name="_209__FDSAUDITLINK__" hidden="1">{"fdsup://directions/FAT Viewer?action=UPDATE&amp;creator=factset&amp;DYN_ARGS=TRUE&amp;DOC_NAME=FAT:FQL_AUDITING_CLIENT_TEMPLATE.FAT&amp;display_string=Audit&amp;VAR:KEY=SLENUHKNGJ&amp;VAR:QUERY=RkZfQ09HUyhBTk4sMTIvMzEvMjAwOSk=&amp;WINDOW=FIRST_POPUP&amp;HEIGHT=450&amp;WIDTH=450&amp;START_MAXIMI","ZED=FALSE&amp;VAR:CALENDAR=FIVEDAY&amp;VAR:SYMBOL=656946&amp;VAR:INDEX=0"}</definedName>
    <definedName name="_21__123Graph_ACHART_6" hidden="1">'[4]C Amer'!$B$28:$V$28</definedName>
    <definedName name="_21__123Graph_BCHART_112" hidden="1">[5]Menu!$D$18:$M$18</definedName>
    <definedName name="_21__FDSAUDITLINK__" hidden="1">{"fdsup://directions/FAT Viewer?action=UPDATE&amp;creator=factset&amp;DYN_ARGS=TRUE&amp;DOC_NAME=FAT:FQL_AUDITING_CLIENT_TEMPLATE.FAT&amp;display_string=Audit&amp;VAR:KEY=MDWHUFCHOV&amp;VAR:QUERY=RkZfRU5UUlBSX1ZBTF9EQUlMWSg0MDM2NiwsLCwsJ0RJTCcp&amp;WINDOW=FIRST_POPUP&amp;HEIGHT=450&amp;WIDTH=","450&amp;START_MAXIMIZED=FALSE&amp;VAR:CALENDAR=FIVEDAY&amp;VAR:SYMBOL=611177&amp;VAR:INDEX=0"}</definedName>
    <definedName name="_210__FDSAUDITLINK__" hidden="1">{"fdsup://Directions/FactSet Auditing Viewer?action=AUDIT_VALUE&amp;DB=129&amp;ID1=656946&amp;VALUEID=02101&amp;SDATE=2009&amp;PERIODTYPE=ANN_STD&amp;window=popup_no_bar&amp;width=385&amp;height=120&amp;START_MAXIMIZED=FALSE&amp;creator=factset&amp;display_string=Audit"}</definedName>
    <definedName name="_211__FDSAUDITLINK__" hidden="1">{"fdsup://directions/FAT Viewer?action=UPDATE&amp;creator=factset&amp;DYN_ARGS=TRUE&amp;DOC_NAME=FAT:FQL_AUDITING_CLIENT_TEMPLATE.FAT&amp;display_string=Audit&amp;VAR:KEY=YLURYTYTSD&amp;VAR:QUERY=RkZfQ09HUyhBTk4sMTIvMzEvMjAwOSk=&amp;WINDOW=FIRST_POPUP&amp;HEIGHT=450&amp;WIDTH=450&amp;START_MAXIMI","ZED=FALSE&amp;VAR:CALENDAR=FIVEDAY&amp;VAR:SYMBOL=685850&amp;VAR:INDEX=0"}</definedName>
    <definedName name="_212__FDSAUDITLINK__" hidden="1">{"fdsup://Directions/FactSet Auditing Viewer?action=AUDIT_VALUE&amp;DB=129&amp;ID1=685850&amp;VALUEID=02101&amp;SDATE=2009&amp;PERIODTYPE=ANN_STD&amp;window=popup_no_bar&amp;width=385&amp;height=120&amp;START_MAXIMIZED=FALSE&amp;creator=factset&amp;display_string=Audit"}</definedName>
    <definedName name="_213__FDSAUDITLINK__" hidden="1">{"fdsup://directions/FAT Viewer?action=UPDATE&amp;creator=factset&amp;DYN_ARGS=TRUE&amp;DOC_NAME=FAT:FQL_AUDITING_CLIENT_TEMPLATE.FAT&amp;display_string=Audit&amp;VAR:KEY=IVAJMDMFIN&amp;VAR:QUERY=RkZfQ09HUyhBTk4sMTIvMzEvMjAwOSk=&amp;WINDOW=FIRST_POPUP&amp;HEIGHT=450&amp;WIDTH=450&amp;START_MAXIMI","ZED=FALSE&amp;VAR:CALENDAR=FIVEDAY&amp;VAR:SYMBOL=646780&amp;VAR:INDEX=0"}</definedName>
    <definedName name="_214__FDSAUDITLINK__" hidden="1">{"fdsup://Directions/FactSet Auditing Viewer?action=AUDIT_VALUE&amp;DB=129&amp;ID1=646780&amp;VALUEID=18297&amp;SDATE=2007&amp;PERIODTYPE=ANN_STD&amp;window=popup_no_bar&amp;width=385&amp;height=120&amp;START_MAXIMIZED=FALSE&amp;creator=factset&amp;display_string=Audit"}</definedName>
    <definedName name="_215__FDSAUDITLINK__" hidden="1">{"fdsup://Directions/FactSet Auditing Viewer?action=AUDIT_VALUE&amp;DB=129&amp;ID1=646780&amp;VALUEID=02101&amp;SDATE=2009&amp;PERIODTYPE=ANN_STD&amp;window=popup_no_bar&amp;width=385&amp;height=120&amp;START_MAXIMIZED=FALSE&amp;creator=factset&amp;display_string=Audit"}</definedName>
    <definedName name="_216__FDSAUDITLINK__" hidden="1">{"fdsup://Directions/FactSet Auditing Viewer?action=AUDIT_VALUE&amp;DB=129&amp;ID1=646780&amp;VALUEID=02101&amp;SDATE=2007&amp;PERIODTYPE=ANN_STD&amp;window=popup_no_bar&amp;width=385&amp;height=120&amp;START_MAXIMIZED=FALSE&amp;creator=factset&amp;display_string=Audit"}</definedName>
    <definedName name="_217__FDSAUDITLINK__" hidden="1">{"fdsup://directions/FAT Viewer?action=UPDATE&amp;creator=factset&amp;DYN_ARGS=TRUE&amp;DOC_NAME=FAT:FQL_AUDITING_CLIENT_TEMPLATE.FAT&amp;display_string=Audit&amp;VAR:KEY=IHIHQVCNSX&amp;VAR:QUERY=RkZfQ09HUyhBTk4sMTIvMzEvMjAwOSk=&amp;WINDOW=FIRST_POPUP&amp;HEIGHT=450&amp;WIDTH=450&amp;START_MAXIMI","ZED=FALSE&amp;VAR:CALENDAR=FIVEDAY&amp;VAR:SYMBOL=659730&amp;VAR:INDEX=0"}</definedName>
    <definedName name="_218__FDSAUDITLINK__" hidden="1">{"fdsup://Directions/FactSet Auditing Viewer?action=AUDIT_VALUE&amp;DB=129&amp;ID1=659730&amp;VALUEID=18297&amp;SDATE=2007&amp;PERIODTYPE=ANN_STD&amp;window=popup_no_bar&amp;width=385&amp;height=120&amp;START_MAXIMIZED=FALSE&amp;creator=factset&amp;display_string=Audit"}</definedName>
    <definedName name="_219__FDSAUDITLINK__" hidden="1">{"fdsup://Directions/FactSet Auditing Viewer?action=AUDIT_VALUE&amp;DB=129&amp;ID1=659730&amp;VALUEID=01001&amp;SDATE=2008&amp;PERIODTYPE=ANN_STD&amp;window=popup_no_bar&amp;width=385&amp;height=120&amp;START_MAXIMIZED=FALSE&amp;creator=factset&amp;display_string=Audit"}</definedName>
    <definedName name="_22__123Graph_A_Chart_1A" hidden="1">'[6]Stock Price'!$B$4:$B$265</definedName>
    <definedName name="_22__123Graph_ACHART_7" hidden="1">'[4]E Asia'!$B$19:$V$19</definedName>
    <definedName name="_22__123Graph_BCHART_26" hidden="1">[5]Menu!$D$88:$M$88</definedName>
    <definedName name="_22__FDSAUDITLINK__" hidden="1">{"fdsup://directions/FAT Viewer?action=UPDATE&amp;creator=factset&amp;DYN_ARGS=TRUE&amp;DOC_NAME=FAT:FQL_AUDITING_CLIENT_TEMPLATE.FAT&amp;display_string=Audit&amp;VAR:KEY=OHQDWBINOJ&amp;VAR:QUERY=RkZfRU5UUlBSX1ZBTF9EQUlMWSg0MDM2NiwsLCxVU0QsJ0RJTCcp&amp;WINDOW=FIRST_POPUP&amp;HEIGHT=450&amp;WI","DTH=450&amp;START_MAXIMIZED=FALSE&amp;VAR:CALENDAR=FIVEDAY&amp;VAR:SYMBOL=611177&amp;VAR:INDEX=0"}</definedName>
    <definedName name="_220__FDSAUDITLINK__" hidden="1">{"fdsup://Directions/FactSet Auditing Viewer?action=AUDIT_VALUE&amp;DB=129&amp;ID1=659730&amp;VALUEID=02101&amp;SDATE=2009&amp;PERIODTYPE=ANN_STD&amp;window=popup_no_bar&amp;width=385&amp;height=120&amp;START_MAXIMIZED=FALSE&amp;creator=factset&amp;display_string=Audit"}</definedName>
    <definedName name="_221__FDSAUDITLINK__" hidden="1">{"fdsup://Directions/FactSet Auditing Viewer?action=AUDIT_VALUE&amp;DB=129&amp;ID1=659730&amp;VALUEID=02101&amp;SDATE=2007&amp;PERIODTYPE=ANN_STD&amp;window=popup_no_bar&amp;width=385&amp;height=120&amp;START_MAXIMIZED=FALSE&amp;creator=factset&amp;display_string=Audit"}</definedName>
    <definedName name="_222__FDSAUDITLINK__"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3__FDSAUDITLINK__" hidden="1">{"fdsup://directions/FAT Viewer?action=UPDATE&amp;creator=factset&amp;DYN_ARGS=TRUE&amp;DOC_NAME=FAT:FQL_AUDITING_CLIENT_TEMPLATE.FAT&amp;display_string=Audit&amp;VAR:KEY=ERSBWLEBSL&amp;VAR:QUERY=RkZfQ09HUyhBTk4sMTIvMzEvMjAwOSk=&amp;WINDOW=FIRST_POPUP&amp;HEIGHT=450&amp;WIDTH=450&amp;START_MAXIMI","ZED=FALSE&amp;VAR:CALENDAR=FIVEDAY&amp;VAR:INDEX=0"}</definedName>
    <definedName name="_224__FDSAUDITLINK__" hidden="1">{"fdsup://directions/FAT Viewer?action=UPDATE&amp;creator=factset&amp;DYN_ARGS=TRUE&amp;DOC_NAME=FAT:FQL_AUDITING_CLIENT_TEMPLATE.FAT&amp;display_string=Audit&amp;VAR:KEY=KRAFCPATWH&amp;VAR:QUERY=RkZfQ09HUyhBTk4sMTIvMzEvMjAwOSk=&amp;WINDOW=FIRST_POPUP&amp;HEIGHT=450&amp;WIDTH=450&amp;START_MAXIMI","ZED=FALSE&amp;VAR:CALENDAR=FIVEDAY&amp;VAR:SYMBOL=B0MK5M&amp;VAR:INDEX=0"}</definedName>
    <definedName name="_225__FDSAUDITLINK__" hidden="1">{"fdsup://Directions/FactSet Auditing Viewer?action=AUDIT_VALUE&amp;DB=129&amp;ID1=B0MK5M&amp;VALUEID=01001&amp;SDATE=2009&amp;PERIODTYPE=ANN_STD&amp;window=popup_no_bar&amp;width=385&amp;height=120&amp;START_MAXIMIZED=FALSE&amp;creator=factset&amp;display_string=Audit"}</definedName>
    <definedName name="_226__FDSAUDITLINK__" hidden="1">{"fdsup://directions/FAT Viewer?action=UPDATE&amp;creator=factset&amp;DYN_ARGS=TRUE&amp;DOC_NAME=FAT:FQL_AUDITING_CLIENT_TEMPLATE.FAT&amp;display_string=Audit&amp;VAR:KEY=EFEHOLEZUV&amp;VAR:QUERY=RkZfQ09HUyhBTk4sMTIvMzEvMjAwOSk=&amp;WINDOW=FIRST_POPUP&amp;HEIGHT=450&amp;WIDTH=450&amp;START_MAXIMI","ZED=FALSE&amp;VAR:CALENDAR=FIVEDAY&amp;VAR:SYMBOL=B0ZC0B&amp;VAR:INDEX=0"}</definedName>
    <definedName name="_227__FDSAUDITLINK__" hidden="1">{"fdsup://Directions/FactSet Auditing Viewer?action=AUDIT_VALUE&amp;DB=129&amp;ID1=B0ZC0B&amp;VALUEID=18297&amp;SDATE=2008&amp;PERIODTYPE=ANN_STD&amp;window=popup_no_bar&amp;width=385&amp;height=120&amp;START_MAXIMIZED=FALSE&amp;creator=factset&amp;display_string=Audit"}</definedName>
    <definedName name="_228__FDSAUDITLINK__" hidden="1">{"fdsup://Directions/FactSet Auditing Viewer?action=AUDIT_VALUE&amp;DB=129&amp;ID1=B0ZC0B&amp;VALUEID=01001&amp;SDATE=2009&amp;PERIODTYPE=ANN_STD&amp;window=popup_no_bar&amp;width=385&amp;height=120&amp;START_MAXIMIZED=FALSE&amp;creator=factset&amp;display_string=Audit"}</definedName>
    <definedName name="_229__FDSAUDITLINK__" hidden="1">{"fdsup://directions/FAT Viewer?action=UPDATE&amp;creator=factset&amp;DYN_ARGS=TRUE&amp;DOC_NAME=FAT:FQL_AUDITING_CLIENT_TEMPLATE.FAT&amp;display_string=Audit&amp;VAR:KEY=KZAXWXSHGR&amp;VAR:QUERY=RkZfQ09HUyhBTk4sMTIvMzEvMjAwOSk=&amp;WINDOW=FIRST_POPUP&amp;HEIGHT=450&amp;WIDTH=450&amp;START_MAXIMI","ZED=FALSE&amp;VAR:CALENDAR=FIVEDAY&amp;VAR:SYMBOL=B049DZ&amp;VAR:INDEX=0"}</definedName>
    <definedName name="_23__123Graph_AChart_1" hidden="1">[7]Total!$D$322:$D$325</definedName>
    <definedName name="_23__123Graph_ACHART_8" hidden="1">'[4]E Asia'!$B$14:$V$14</definedName>
    <definedName name="_23__FDSAUDITLINK__" hidden="1">{"fdsup://directions/FAT Viewer?action=UPDATE&amp;creator=factset&amp;DYN_ARGS=TRUE&amp;DOC_NAME=FAT:FQL_AUDITING_CLIENT_TEMPLATE.FAT&amp;display_string=Audit&amp;VAR:KEY=OFUXUVUJWN&amp;VAR:QUERY=RkZfRU5UUlBSX1ZBTF9EQUlMWSg0MDM2NiwsLCwsJ0RJTCcp&amp;WINDOW=FIRST_POPUP&amp;HEIGHT=450&amp;WIDTH=","450&amp;START_MAXIMIZED=FALSE&amp;VAR:CALENDAR=FIVEDAY&amp;VAR:SYMBOL=604260&amp;VAR:INDEX=0"}</definedName>
    <definedName name="_230__FDSAUDITLINK__" hidden="1">{"fdsup://Directions/FactSet Auditing Viewer?action=AUDIT_VALUE&amp;DB=129&amp;ID1=B049DZ&amp;VALUEID=18297&amp;SDATE=2008&amp;PERIODTYPE=ANN_STD&amp;window=popup_no_bar&amp;width=385&amp;height=120&amp;START_MAXIMIZED=FALSE&amp;creator=factset&amp;display_string=Audit"}</definedName>
    <definedName name="_231__FDSAUDITLINK__" hidden="1">{"fdsup://Directions/FactSet Auditing Viewer?action=AUDIT_VALUE&amp;DB=129&amp;ID1=B049DZ&amp;VALUEID=01001&amp;SDATE=2009&amp;PERIODTYPE=ANN_STD&amp;window=popup_no_bar&amp;width=385&amp;height=120&amp;START_MAXIMIZED=FALSE&amp;creator=factset&amp;display_string=Audit"}</definedName>
    <definedName name="_232__FDSAUDITLINK__" hidden="1">{"fdsup://Directions/FactSet Auditing Viewer?action=AUDIT_VALUE&amp;DB=129&amp;ID1=B049DZ&amp;VALUEID=02101&amp;SDATE=2008&amp;PERIODTYPE=ANN_STD&amp;window=popup_no_bar&amp;width=385&amp;height=120&amp;START_MAXIMIZED=FALSE&amp;creator=factset&amp;display_string=Audit"}</definedName>
    <definedName name="_233__FDSAUDITLINK__" hidden="1">{"fdsup://directions/FAT Viewer?action=UPDATE&amp;creator=factset&amp;DYN_ARGS=TRUE&amp;DOC_NAME=FAT:FQL_AUDITING_CLIENT_TEMPLATE.FAT&amp;display_string=Audit&amp;VAR:KEY=OBGVKZGDYP&amp;VAR:QUERY=RkZfQ09HUyhBTk4sMTIvMzEvMjAwOSk=&amp;WINDOW=FIRST_POPUP&amp;HEIGHT=450&amp;WIDTH=450&amp;START_MAXIMI","ZED=FALSE&amp;VAR:CALENDAR=FIVEDAY&amp;VAR:SYMBOL=B3KR9C&amp;VAR:INDEX=0"}</definedName>
    <definedName name="_234__FDSAUDITLINK__" hidden="1">{"fdsup://Directions/FactSet Auditing Viewer?action=AUDIT_VALUE&amp;DB=129&amp;ID1=B3KR9C&amp;VALUEID=01001&amp;SDATE=2008&amp;PERIODTYPE=ANN_STD&amp;window=popup_no_bar&amp;width=385&amp;height=120&amp;START_MAXIMIZED=FALSE&amp;creator=factset&amp;display_string=Audit"}</definedName>
    <definedName name="_235__FDSAUDITLINK__" hidden="1">{"fdsup://Directions/FactSet Auditing Viewer?action=AUDIT_VALUE&amp;DB=129&amp;ID1=B3KR9C&amp;VALUEID=02101&amp;SDATE=2009&amp;PERIODTYPE=ANN_STD&amp;window=popup_no_bar&amp;width=385&amp;height=120&amp;START_MAXIMIZED=FALSE&amp;creator=factset&amp;display_string=Audit"}</definedName>
    <definedName name="_236__FDSAUDITLINK__" hidden="1">{"fdsup://directions/FAT Viewer?action=UPDATE&amp;creator=factset&amp;DYN_ARGS=TRUE&amp;DOC_NAME=FAT:FQL_AUDITING_CLIENT_TEMPLATE.FAT&amp;display_string=Audit&amp;VAR:KEY=QZODGVOTGB&amp;VAR:QUERY=RkZfQ09HUyhBTk4sMTIvMzEvMjAwOSk=&amp;WINDOW=FIRST_POPUP&amp;HEIGHT=450&amp;WIDTH=450&amp;START_MAXIMI","ZED=FALSE&amp;VAR:CALENDAR=FIVEDAY&amp;VAR:SYMBOL=628625&amp;VAR:INDEX=0"}</definedName>
    <definedName name="_237__FDSAUDITLINK__" hidden="1">{"fdsup://Directions/FactSet Auditing Viewer?action=AUDIT_VALUE&amp;DB=129&amp;ID1=628625&amp;VALUEID=18297&amp;SDATE=2008&amp;PERIODTYPE=ANN_STD&amp;window=popup_no_bar&amp;width=385&amp;height=120&amp;START_MAXIMIZED=FALSE&amp;creator=factset&amp;display_string=Audit"}</definedName>
    <definedName name="_238__FDSAUDITLINK__" hidden="1">{"fdsup://Directions/FactSet Auditing Viewer?action=AUDIT_VALUE&amp;DB=129&amp;ID1=628625&amp;VALUEID=01001&amp;SDATE=2009&amp;PERIODTYPE=ANN_STD&amp;window=popup_no_bar&amp;width=385&amp;height=120&amp;START_MAXIMIZED=FALSE&amp;creator=factset&amp;display_string=Audit"}</definedName>
    <definedName name="_239__FDSAUDITLINK__" hidden="1">{"fdsup://Directions/FactSet Auditing Viewer?action=AUDIT_VALUE&amp;DB=129&amp;ID1=628625&amp;VALUEID=02101&amp;SDATE=2008&amp;PERIODTYPE=ANN_STD&amp;window=popup_no_bar&amp;width=385&amp;height=120&amp;START_MAXIMIZED=FALSE&amp;creator=factset&amp;display_string=Audit"}</definedName>
    <definedName name="_24__123Graph_AChart_2" hidden="1">'[8]sales vol.'!$K$398:$K$401</definedName>
    <definedName name="_24__123Graph_ACHART_9" hidden="1">'[4]E Eur'!$B$19:$V$19</definedName>
    <definedName name="_24__FDSAUDITLINK__" hidden="1">{"fdsup://directions/FAT Viewer?action=UPDATE&amp;creator=factset&amp;DYN_ARGS=TRUE&amp;DOC_NAME=FAT:FQL_AUDITING_CLIENT_TEMPLATE.FAT&amp;display_string=Audit&amp;VAR:KEY=IRGPYRITKB&amp;VAR:QUERY=RkZfRU5UUlBSX1ZBTF9EQUlMWSg0MDM2NiwsLCxVU0QsJ0RJTCcp&amp;WINDOW=FIRST_POPUP&amp;HEIGHT=450&amp;WI","DTH=450&amp;START_MAXIMIZED=FALSE&amp;VAR:CALENDAR=FIVEDAY&amp;VAR:SYMBOL=604260&amp;VAR:INDEX=0"}</definedName>
    <definedName name="_240__FDSAUDITLINK__" hidden="1">{"fdsup://directions/FAT Viewer?action=UPDATE&amp;creator=factset&amp;DYN_ARGS=TRUE&amp;DOC_NAME=FAT:FQL_AUDITING_CLIENT_TEMPLATE.FAT&amp;display_string=Audit&amp;VAR:KEY=QFSVYTWPUB&amp;VAR:QUERY=RkZfQ09HUyhBTk4sMTIvMzEvMjAwOSk=&amp;WINDOW=FIRST_POPUP&amp;HEIGHT=450&amp;WIDTH=450&amp;START_MAXIMI","ZED=FALSE&amp;VAR:CALENDAR=FIVEDAY&amp;VAR:SYMBOL=B284BK&amp;VAR:INDEX=0"}</definedName>
    <definedName name="_241__FDSAUDITLINK__" hidden="1">{"fdsup://Directions/FactSet Auditing Viewer?action=AUDIT_VALUE&amp;DB=129&amp;ID1=B284BK&amp;VALUEID=02201&amp;SDATE=2008&amp;PERIODTYPE=ANN_STD&amp;window=popup_no_bar&amp;width=385&amp;height=120&amp;START_MAXIMIZED=FALSE&amp;creator=factset&amp;display_string=Audit"}</definedName>
    <definedName name="_242__FDSAUDITLINK__" hidden="1">{"fdsup://Directions/FactSet Auditing Viewer?action=AUDIT_VALUE&amp;DB=129&amp;ID1=B284BK&amp;VALUEID=18297&amp;SDATE=2008&amp;PERIODTYPE=ANN_STD&amp;window=popup_no_bar&amp;width=385&amp;height=120&amp;START_MAXIMIZED=FALSE&amp;creator=factset&amp;display_string=Audit"}</definedName>
    <definedName name="_243__FDSAUDITLINK__" hidden="1">{"fdsup://Directions/FactSet Auditing Viewer?action=AUDIT_VALUE&amp;DB=129&amp;ID1=B284BK&amp;VALUEID=01001&amp;SDATE=2009&amp;PERIODTYPE=ANN_STD&amp;window=popup_no_bar&amp;width=385&amp;height=120&amp;START_MAXIMIZED=FALSE&amp;creator=factset&amp;display_string=Audit"}</definedName>
    <definedName name="_244__FDSAUDITLINK__" hidden="1">{"fdsup://Directions/FactSet Auditing Viewer?action=AUDIT_VALUE&amp;DB=129&amp;ID1=B284BK&amp;VALUEID=02101&amp;SDATE=2008&amp;PERIODTYPE=ANN_STD&amp;window=popup_no_bar&amp;width=385&amp;height=120&amp;START_MAXIMIZED=FALSE&amp;creator=factset&amp;display_string=Audit"}</definedName>
    <definedName name="_245__FDSAUDITLINK__" hidden="1">{"fdsup://directions/FAT Viewer?action=UPDATE&amp;creator=factset&amp;DYN_ARGS=TRUE&amp;DOC_NAME=FAT:FQL_AUDITING_CLIENT_TEMPLATE.FAT&amp;display_string=Audit&amp;VAR:KEY=UDWPAHKHWD&amp;VAR:QUERY=RkZfTElBQlMoQU5OLDEyLzMxLzIwMDkp&amp;WINDOW=FIRST_POPUP&amp;HEIGHT=450&amp;WIDTH=450&amp;START_MAXIMI","ZED=FALSE&amp;VAR:CALENDAR=FIVEDAY&amp;VAR:SYMBOL=59132A10&amp;VAR:INDEX=0"}</definedName>
    <definedName name="_246__FDSAUDITLINK__" hidden="1">{"fdsup://directions/FAT Viewer?action=UPDATE&amp;creator=factset&amp;DYN_ARGS=TRUE&amp;DOC_NAME=FAT:FQL_AUDITING_CLIENT_TEMPLATE.FAT&amp;display_string=Audit&amp;VAR:KEY=YFCVEXOHUF&amp;VAR:QUERY=RkZfTElBQlMoQU5OLDEyLzMxLzIwMDkp&amp;WINDOW=FIRST_POPUP&amp;HEIGHT=450&amp;WIDTH=450&amp;START_MAXIMI","ZED=FALSE&amp;VAR:CALENDAR=FIVEDAY&amp;VAR:SYMBOL=37468910&amp;VAR:INDEX=0"}</definedName>
    <definedName name="_247__FDSAUDITLINK__" hidden="1">{"fdsup://Directions/FactSet Auditing Viewer?action=AUDIT_VALUE&amp;DB=129&amp;ID1=37468910&amp;VALUEID=02999&amp;SDATE=2009&amp;PERIODTYPE=ANN_STD&amp;window=popup_no_bar&amp;width=385&amp;height=120&amp;START_MAXIMIZED=FALSE&amp;creator=factset&amp;display_string=Audit"}</definedName>
    <definedName name="_248__FDSAUDITLINK__" hidden="1">{"fdsup://directions/FAT Viewer?action=UPDATE&amp;creator=factset&amp;DYN_ARGS=TRUE&amp;DOC_NAME=FAT:FQL_AUDITING_CLIENT_TEMPLATE.FAT&amp;display_string=Audit&amp;VAR:KEY=IFQPUJOPUL&amp;VAR:QUERY=RkZfTElBQlMoQU5OLDEyLzMxLzIwMDkp&amp;WINDOW=FIRST_POPUP&amp;HEIGHT=450&amp;WIDTH=450&amp;START_MAXIMI","ZED=FALSE&amp;VAR:CALENDAR=FIVEDAY&amp;VAR:SYMBOL=26788810&amp;VAR:INDEX=0"}</definedName>
    <definedName name="_249__FDSAUDITLINK__" hidden="1">{"fdsup://Directions/FactSet Auditing Viewer?action=AUDIT_VALUE&amp;DB=129&amp;ID1=26788810&amp;VALUEID=02999&amp;SDATE=2009&amp;PERIODTYPE=ANN_STD&amp;window=popup_no_bar&amp;width=385&amp;height=120&amp;START_MAXIMIZED=FALSE&amp;creator=factset&amp;display_string=Audit"}</definedName>
    <definedName name="_25__123Graph_AChart_3" hidden="1">'[8]sales vol.'!$K$211:$K$214</definedName>
    <definedName name="_25__123Graph_BCHART_1" hidden="1">[4]Africa!$B$21:$V$21</definedName>
    <definedName name="_25__FDSAUDITLINK__" hidden="1">{"fdsup://directions/FAT Viewer?action=UPDATE&amp;creator=factset&amp;DYN_ARGS=TRUE&amp;DOC_NAME=FAT:FQL_AUDITING_CLIENT_TEMPLATE.FAT&amp;display_string=Audit&amp;VAR:KEY=WTONQHQDUZ&amp;VAR:QUERY=RkZfRU5UUlBSX1ZBTF9EQUlMWSg0MDM2NiwsLCwsJ0RJTCcp&amp;WINDOW=FIRST_POPUP&amp;HEIGHT=450&amp;WIDTH=","450&amp;START_MAXIMIZED=FALSE&amp;VAR:CALENDAR=FIVEDAY&amp;VAR:SYMBOL=654304&amp;VAR:INDEX=0"}</definedName>
    <definedName name="_250__FDSAUDITLINK__" hidden="1">{"fdsup://directions/FAT Viewer?action=UPDATE&amp;creator=factset&amp;DYN_ARGS=TRUE&amp;DOC_NAME=FAT:FQL_AUDITING_CLIENT_TEMPLATE.FAT&amp;display_string=Audit&amp;VAR:KEY=YJIZKLAJON&amp;VAR:QUERY=RkZfTElBQlMoQU5OLDEyLzMxLzIwMDkp&amp;WINDOW=FIRST_POPUP&amp;HEIGHT=450&amp;WIDTH=450&amp;START_MAXIMI","ZED=FALSE&amp;VAR:CALENDAR=FIVEDAY&amp;VAR:SYMBOL=78375410&amp;VAR:INDEX=0"}</definedName>
    <definedName name="_251__FDSAUDITLINK__" hidden="1">{"fdsup://directions/FAT Viewer?action=UPDATE&amp;creator=factset&amp;DYN_ARGS=TRUE&amp;DOC_NAME=FAT:FQL_AUDITING_CLIENT_TEMPLATE.FAT&amp;display_string=Audit&amp;VAR:KEY=KNUTQJCLWH&amp;VAR:QUERY=RkZfTElBQlMoQU5OLDEyLzMxLzIwMDkp&amp;WINDOW=FIRST_POPUP&amp;HEIGHT=450&amp;WIDTH=450&amp;START_MAXIMI","ZED=FALSE&amp;VAR:CALENDAR=FIVEDAY&amp;VAR:SYMBOL=85811910&amp;VAR:INDEX=0"}</definedName>
    <definedName name="_252__FDSAUDITLINK__" hidden="1">{"fdsup://Directions/FactSet Auditing Viewer?action=AUDIT_VALUE&amp;DB=129&amp;ID1=85811910&amp;VALUEID=02999&amp;SDATE=2009&amp;PERIODTYPE=ANN_STD&amp;window=popup_no_bar&amp;width=385&amp;height=120&amp;START_MAXIMIZED=FALSE&amp;creator=factset&amp;display_string=Audit"}</definedName>
    <definedName name="_253__FDSAUDITLINK__" hidden="1">{"fdsup://directions/FAT Viewer?action=UPDATE&amp;creator=factset&amp;DYN_ARGS=TRUE&amp;DOC_NAME=FAT:FQL_AUDITING_CLIENT_TEMPLATE.FAT&amp;display_string=Audit&amp;VAR:KEY=QLEBUDEHGX&amp;VAR:QUERY=RkZfTElBQlMoQU5OLDEyLzMxLzIwMDkp&amp;WINDOW=FIRST_POPUP&amp;HEIGHT=450&amp;WIDTH=450&amp;START_MAXIMI","ZED=FALSE&amp;VAR:CALENDAR=FIVEDAY&amp;VAR:SYMBOL=00154710&amp;VAR:INDEX=0"}</definedName>
    <definedName name="_254__FDSAUDITLINK__" hidden="1">{"fdsup://Directions/FactSet Auditing Viewer?action=AUDIT_VALUE&amp;DB=129&amp;ID1=00154710&amp;VALUEID=02999&amp;SDATE=2009&amp;PERIODTYPE=ANN_STD&amp;window=popup_no_bar&amp;width=385&amp;height=120&amp;START_MAXIMIZED=FALSE&amp;creator=factset&amp;display_string=Audit"}</definedName>
    <definedName name="_255__FDSAUDITLINK__" hidden="1">{"fdsup://directions/FAT Viewer?action=UPDATE&amp;creator=factset&amp;DYN_ARGS=TRUE&amp;DOC_NAME=FAT:FQL_AUDITING_CLIENT_TEMPLATE.FAT&amp;display_string=Audit&amp;VAR:KEY=GVETKLEPSB&amp;VAR:QUERY=RkZfTElBQlMoQU5OLDEyLzMxLzIwMDkp&amp;WINDOW=FIRST_POPUP&amp;HEIGHT=450&amp;WIDTH=450&amp;START_MAXIMI","ZED=FALSE&amp;VAR:CALENDAR=FIVEDAY&amp;VAR:SYMBOL=75950910&amp;VAR:INDEX=0"}</definedName>
    <definedName name="_256__FDSAUDITLINK__" hidden="1">{"fdsup://Directions/FactSet Auditing Viewer?action=AUDIT_VALUE&amp;DB=129&amp;ID1=75950910&amp;VALUEID=02999&amp;SDATE=2009&amp;PERIODTYPE=ANN_STD&amp;window=popup_no_bar&amp;width=385&amp;height=120&amp;START_MAXIMIZED=FALSE&amp;creator=factset&amp;display_string=Audit"}</definedName>
    <definedName name="_257__FDSAUDITLINK__" hidden="1">{"fdsup://directions/FAT Viewer?action=UPDATE&amp;creator=factset&amp;DYN_ARGS=TRUE&amp;DOC_NAME=FAT:FQL_AUDITING_CLIENT_TEMPLATE.FAT&amp;display_string=Audit&amp;VAR:KEY=SZQZUROTWX&amp;VAR:QUERY=RkZfTElBQlMoQU5OLDEyLzMxLzIwMDkp&amp;WINDOW=FIRST_POPUP&amp;HEIGHT=450&amp;WIDTH=450&amp;START_MAXIMI","ZED=FALSE&amp;VAR:CALENDAR=FIVEDAY&amp;VAR:SYMBOL=98181110&amp;VAR:INDEX=0"}</definedName>
    <definedName name="_258__FDSAUDITLINK__" hidden="1">{"fdsup://Directions/FactSet Auditing Viewer?action=AUDIT_VALUE&amp;DB=129&amp;ID1=98181110&amp;VALUEID=02999&amp;SDATE=2008&amp;PERIODTYPE=ANN_STD&amp;window=popup_no_bar&amp;width=385&amp;height=120&amp;START_MAXIMIZED=FALSE&amp;creator=factset&amp;display_string=Audit"}</definedName>
    <definedName name="_259__FDSAUDITLINK__" hidden="1">{"fdsup://directions/FAT Viewer?action=UPDATE&amp;creator=factset&amp;DYN_ARGS=TRUE&amp;DOC_NAME=FAT:FQL_AUDITING_CLIENT_TEMPLATE.FAT&amp;display_string=Audit&amp;VAR:KEY=KFUNQZUXSB&amp;VAR:QUERY=RkZfTElBQlMoQU5OLDEyLzMxLzIwMDkp&amp;WINDOW=FIRST_POPUP&amp;HEIGHT=450&amp;WIDTH=450&amp;START_MAXIMI","ZED=FALSE&amp;VAR:CALENDAR=FIVEDAY&amp;VAR:SYMBOL=80688210&amp;VAR:INDEX=0"}</definedName>
    <definedName name="_26__123Graph_AChart_4" hidden="1">'[8]sales vol.'!$J$1121:$J$1122</definedName>
    <definedName name="_26__123Graph_BCHART_10" hidden="1">'[4]E Eur'!$B$51:$V$51</definedName>
    <definedName name="_26__FDSAUDITLINK__" hidden="1">{"fdsup://directions/FAT Viewer?action=UPDATE&amp;creator=factset&amp;DYN_ARGS=TRUE&amp;DOC_NAME=FAT:FQL_AUDITING_CLIENT_TEMPLATE.FAT&amp;display_string=Audit&amp;VAR:KEY=QJOLOPGHWH&amp;VAR:QUERY=RkZfRU5UUlBSX1ZBTF9EQUlMWSg0MDM2NiwsLCxVU0QsJ0RJTCcp&amp;WINDOW=FIRST_POPUP&amp;HEIGHT=450&amp;WI","DTH=450&amp;START_MAXIMIZED=FALSE&amp;VAR:CALENDAR=FIVEDAY&amp;VAR:SYMBOL=654304&amp;VAR:INDEX=0"}</definedName>
    <definedName name="_260__FDSAUDITLINK__" hidden="1">{"fdsup://Directions/FactSet Auditing Viewer?action=AUDIT_VALUE&amp;DB=129&amp;ID1=80688210&amp;VALUEID=02999&amp;SDATE=2009&amp;PERIODTYPE=ANN_STD&amp;window=popup_no_bar&amp;width=385&amp;height=120&amp;START_MAXIMIZED=FALSE&amp;creator=factset&amp;display_string=Audit"}</definedName>
    <definedName name="_261__FDSAUDITLINK__" hidden="1">{"fdsup://directions/FAT Viewer?action=UPDATE&amp;creator=factset&amp;DYN_ARGS=TRUE&amp;DOC_NAME=FAT:FQL_AUDITING_CLIENT_TEMPLATE.FAT&amp;display_string=Audit&amp;VAR:KEY=EHAVOBIJIT&amp;VAR:QUERY=RkZfTElBQlMoQU5OLDEyLzMxLzIwMDkp&amp;WINDOW=FIRST_POPUP&amp;HEIGHT=450&amp;WIDTH=450&amp;START_MAXIMI","ZED=FALSE&amp;VAR:CALENDAR=FIVEDAY&amp;VAR:SYMBOL=67034610&amp;VAR:INDEX=0"}</definedName>
    <definedName name="_262__FDSAUDITLINK__" hidden="1">{"fdsup://Directions/FactSet Auditing Viewer?action=AUDIT_VALUE&amp;DB=129&amp;ID1=67034610&amp;VALUEID=02999&amp;SDATE=2009&amp;PERIODTYPE=ANN_STD&amp;window=popup_no_bar&amp;width=385&amp;height=120&amp;START_MAXIMIZED=FALSE&amp;creator=factset&amp;display_string=Audit"}</definedName>
    <definedName name="_263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4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65__FDSAUDITLINK__" hidden="1">{"fdsup://directions/FAT Viewer?action=UPDATE&amp;creator=factset&amp;DYN_ARGS=TRUE&amp;DOC_NAME=FAT:FQL_AUDITING_CLIENT_TEMPLATE.FAT&amp;display_string=Audit&amp;VAR:KEY=YTAPEHKHUN&amp;VAR:QUERY=RkZfTElBQlMoQU5OLDEyLzMxLzIwMDkp&amp;WINDOW=FIRST_POPUP&amp;HEIGHT=450&amp;WIDTH=450&amp;START_MAXIMI","ZED=FALSE&amp;VAR:CALENDAR=FIVEDAY&amp;VAR:SYMBOL=672388&amp;VAR:INDEX=0"}</definedName>
    <definedName name="_266__FDSAUDITLINK__" hidden="1">{"fdsup://Directions/FactSet Auditing Viewer?action=AUDIT_VALUE&amp;DB=129&amp;ID1=672388&amp;VALUEID=02999&amp;SDATE=2009&amp;PERIODTYPE=ANN_STD&amp;window=popup_no_bar&amp;width=385&amp;height=120&amp;START_MAXIMIZED=FALSE&amp;creator=factset&amp;display_string=Audit"}</definedName>
    <definedName name="_267__FDSAUDITLINK__" hidden="1">{"fdsup://directions/FAT Viewer?action=UPDATE&amp;creator=factset&amp;DYN_ARGS=TRUE&amp;DOC_NAME=FAT:FQL_AUDITING_CLIENT_TEMPLATE.FAT&amp;display_string=Audit&amp;VAR:KEY=WZWZCRQXEB&amp;VAR:QUERY=RkZfTElBQlMoQU5OLDEyLzMxLzIwMDkp&amp;WINDOW=FIRST_POPUP&amp;HEIGHT=450&amp;WIDTH=450&amp;START_MAXIMI","ZED=FALSE&amp;VAR:CALENDAR=FIVEDAY&amp;VAR:SYMBOL=656946&amp;VAR:INDEX=0"}</definedName>
    <definedName name="_268__FDSAUDITLINK__" hidden="1">{"fdsup://directions/FAT Viewer?action=UPDATE&amp;creator=factset&amp;DYN_ARGS=TRUE&amp;DOC_NAME=FAT:FQL_AUDITING_CLIENT_TEMPLATE.FAT&amp;display_string=Audit&amp;VAR:KEY=SPOVAPUPMR&amp;VAR:QUERY=RkZfTElBQlMoQU5OLDEyLzMxLzIwMDkp&amp;WINDOW=FIRST_POPUP&amp;HEIGHT=450&amp;WIDTH=450&amp;START_MAXIMI","ZED=FALSE&amp;VAR:CALENDAR=FIVEDAY&amp;VAR:SYMBOL=685850&amp;VAR:INDEX=0"}</definedName>
    <definedName name="_269__FDSAUDITLINK__" hidden="1">{"fdsup://directions/FAT Viewer?action=UPDATE&amp;creator=factset&amp;DYN_ARGS=TRUE&amp;DOC_NAME=FAT:FQL_AUDITING_CLIENT_TEMPLATE.FAT&amp;display_string=Audit&amp;VAR:KEY=ENYDKBIHYL&amp;VAR:QUERY=RkZfTElBQlMoQU5OLDEyLzMxLzIwMDkp&amp;WINDOW=FIRST_POPUP&amp;HEIGHT=450&amp;WIDTH=450&amp;START_MAXIMI","ZED=FALSE&amp;VAR:CALENDAR=FIVEDAY&amp;VAR:SYMBOL=646780&amp;VAR:INDEX=0"}</definedName>
    <definedName name="_27__123Graph_AChart_5" hidden="1">'[8]sales vol.'!$J$1632:$J$1635</definedName>
    <definedName name="_27__123Graph_BCHART_13" hidden="1">[4]Mideast!$B$21:$V$21</definedName>
    <definedName name="_27__123Graph_CCHART_111" hidden="1">[5]Menu!$D$25:$M$25</definedName>
    <definedName name="_27__FDSAUDITLINK__" hidden="1">{"fdsup://directions/FAT Viewer?action=UPDATE&amp;creator=factset&amp;DYN_ARGS=TRUE&amp;DOC_NAME=FAT:FQL_AUDITING_CLIENT_TEMPLATE.FAT&amp;display_string=Audit&amp;VAR:KEY=KFEZCLCRSD&amp;VAR:QUERY=RkZfRU5UUlBSX1ZBTF9EQUlMWSg0MDM2NiwsLCwsJ0RJTCcp&amp;WINDOW=FIRST_POPUP&amp;HEIGHT=450&amp;WIDTH=","450&amp;START_MAXIMIZED=FALSE&amp;VAR:CALENDAR=FIVEDAY&amp;VAR:SYMBOL=B04W2V&amp;VAR:INDEX=0"}</definedName>
    <definedName name="_270__FDSAUDITLINK__" hidden="1">{"fdsup://directions/FAT Viewer?action=UPDATE&amp;creator=factset&amp;DYN_ARGS=TRUE&amp;DOC_NAME=FAT:FQL_AUDITING_CLIENT_TEMPLATE.FAT&amp;display_string=Audit&amp;VAR:KEY=CVMXCTQTYX&amp;VAR:QUERY=RkZfTElBQlMoQU5OLDEyLzMxLzIwMDkp&amp;WINDOW=FIRST_POPUP&amp;HEIGHT=450&amp;WIDTH=450&amp;START_MAXIMI","ZED=FALSE&amp;VAR:CALENDAR=FIVEDAY&amp;VAR:SYMBOL=659730&amp;VAR:INDEX=0"}</definedName>
    <definedName name="_271__FDSAUDITLINK__" hidden="1">{"fdsup://Directions/FactSet Auditing Viewer?action=AUDIT_VALUE&amp;DB=129&amp;ID1=659730&amp;VALUEID=02999&amp;SDATE=2008&amp;PERIODTYPE=ANN_STD&amp;window=popup_no_bar&amp;width=385&amp;height=120&amp;START_MAXIMIZED=FALSE&amp;creator=factset&amp;display_string=Audit"}</definedName>
    <definedName name="_272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3__FDSAUDITLINK__" hidden="1">{"fdsup://directions/FAT Viewer?action=UPDATE&amp;creator=factset&amp;DYN_ARGS=TRUE&amp;DOC_NAME=FAT:FQL_AUDITING_CLIENT_TEMPLATE.FAT&amp;display_string=Audit&amp;VAR:KEY=IXKLCFQTYZ&amp;VAR:QUERY=RkZfTElBQlMoQU5OLDEyLzMxLzIwMDkp&amp;WINDOW=FIRST_POPUP&amp;HEIGHT=450&amp;WIDTH=450&amp;START_MAXIMI","ZED=FALSE&amp;VAR:CALENDAR=FIVEDAY&amp;VAR:INDEX=0"}</definedName>
    <definedName name="_274__FDSAUDITLINK__" hidden="1">{"fdsup://directions/FAT Viewer?action=UPDATE&amp;creator=factset&amp;DYN_ARGS=TRUE&amp;DOC_NAME=FAT:FQL_AUDITING_CLIENT_TEMPLATE.FAT&amp;display_string=Audit&amp;VAR:KEY=KXILCRYZIP&amp;VAR:QUERY=RkZfTElBQlMoQU5OLDEyLzMxLzIwMDkp&amp;WINDOW=FIRST_POPUP&amp;HEIGHT=450&amp;WIDTH=450&amp;START_MAXIMI","ZED=FALSE&amp;VAR:CALENDAR=FIVEDAY&amp;VAR:SYMBOL=B0MK5M&amp;VAR:INDEX=0"}</definedName>
    <definedName name="_275__FDSAUDITLINK__" hidden="1">{"fdsup://Directions/FactSet Auditing Viewer?action=AUDIT_VALUE&amp;DB=129&amp;ID1=B0MK5M&amp;VALUEID=02999&amp;SDATE=2009&amp;PERIODTYPE=ANN_STD&amp;window=popup_no_bar&amp;width=385&amp;height=120&amp;START_MAXIMIZED=FALSE&amp;creator=factset&amp;display_string=Audit"}</definedName>
    <definedName name="_276__FDSAUDITLINK__" hidden="1">{"fdsup://directions/FAT Viewer?action=UPDATE&amp;creator=factset&amp;DYN_ARGS=TRUE&amp;DOC_NAME=FAT:FQL_AUDITING_CLIENT_TEMPLATE.FAT&amp;display_string=Audit&amp;VAR:KEY=GBKZQNYJEB&amp;VAR:QUERY=RkZfTElBQlMoQU5OLDEyLzMxLzIwMDkp&amp;WINDOW=FIRST_POPUP&amp;HEIGHT=450&amp;WIDTH=450&amp;START_MAXIMI","ZED=FALSE&amp;VAR:CALENDAR=FIVEDAY&amp;VAR:SYMBOL=B0ZC0B&amp;VAR:INDEX=0"}</definedName>
    <definedName name="_277__FDSAUDITLINK__" hidden="1">{"fdsup://Directions/FactSet Auditing Viewer?action=AUDIT_VALUE&amp;DB=129&amp;ID1=B0ZC0B&amp;VALUEID=02999&amp;SDATE=2009&amp;PERIODTYPE=ANN_STD&amp;window=popup_no_bar&amp;width=385&amp;height=120&amp;START_MAXIMIZED=FALSE&amp;creator=factset&amp;display_string=Audit"}</definedName>
    <definedName name="_278__FDSAUDITLINK__" hidden="1">{"fdsup://Directions/FactSet Auditing Viewer?action=AUDIT_VALUE&amp;DB=129&amp;ID1=B1VT03&amp;VALUEID=02999&amp;SDATE=2009&amp;PERIODTYPE=ANN_STD&amp;window=popup_no_bar&amp;width=385&amp;height=120&amp;START_MAXIMIZED=FALSE&amp;creator=factset&amp;display_string=Audit"}</definedName>
    <definedName name="_279__FDSAUDITLINK__" hidden="1">{"fdsup://directions/FAT Viewer?action=UPDATE&amp;creator=factset&amp;DYN_ARGS=TRUE&amp;DOC_NAME=FAT:FQL_AUDITING_CLIENT_TEMPLATE.FAT&amp;display_string=Audit&amp;VAR:KEY=OLWNEPKPEB&amp;VAR:QUERY=RkZfTElBQlMoQU5OLDEyLzMxLzIwMDkp&amp;WINDOW=FIRST_POPUP&amp;HEIGHT=450&amp;WIDTH=450&amp;START_MAXIMI","ZED=FALSE&amp;VAR:CALENDAR=FIVEDAY&amp;VAR:SYMBOL=B29TMM&amp;VAR:INDEX=0"}</definedName>
    <definedName name="_28__123Graph_AChart_6" hidden="1">'[8]sales vol.'!$J$2248:$J$2251</definedName>
    <definedName name="_28__123Graph_BCHART_14" hidden="1">[4]Mideast!$B$51:$V$51</definedName>
    <definedName name="_28__123Graph_CCHART_112" hidden="1">[5]Menu!$D$19:$M$19</definedName>
    <definedName name="_28__FDSAUDITLINK__" hidden="1">{"fdsup://directions/FAT Viewer?action=UPDATE&amp;creator=factset&amp;DYN_ARGS=TRUE&amp;DOC_NAME=FAT:FQL_AUDITING_CLIENT_TEMPLATE.FAT&amp;display_string=Audit&amp;VAR:KEY=OPCBYLCVWF&amp;VAR:QUERY=RkZfRU5UUlBSX1ZBTF9EQUlMWSg0MDM2NiwsLCxVU0QsJ0RJTCcp&amp;WINDOW=FIRST_POPUP&amp;HEIGHT=450&amp;WI","DTH=450&amp;START_MAXIMIZED=FALSE&amp;VAR:CALENDAR=FIVEDAY&amp;VAR:SYMBOL=B04W2V&amp;VAR:INDEX=0"}</definedName>
    <definedName name="_280__FDSAUDITLINK__" hidden="1">{"fdsup://directions/FAT Viewer?action=UPDATE&amp;creator=factset&amp;DYN_ARGS=TRUE&amp;DOC_NAME=FAT:FQL_AUDITING_CLIENT_TEMPLATE.FAT&amp;display_string=Audit&amp;VAR:KEY=OPCBYLCVWF&amp;VAR:QUERY=RkZfTElBQlMoQU5OLDEyLzMxLzIwMDkp&amp;WINDOW=FIRST_POPUP&amp;HEIGHT=450&amp;WIDTH=450&amp;START_MAXIMI","ZED=FALSE&amp;VAR:CALENDAR=FIVEDAY&amp;VAR:SYMBOL=B0WCDT&amp;VAR:INDEX=0"}</definedName>
    <definedName name="_281__FDSAUDITLINK__" hidden="1">{"fdsup://Directions/FactSet Auditing Viewer?action=AUDIT_VALUE&amp;DB=129&amp;ID1=B0WCDT&amp;VALUEID=02999&amp;SDATE=2009&amp;PERIODTYPE=ANN_STD&amp;window=popup_no_bar&amp;width=385&amp;height=120&amp;START_MAXIMIZED=FALSE&amp;creator=factset&amp;display_string=Audit"}</definedName>
    <definedName name="_282__FDSAUDITLINK__" hidden="1">{"fdsup://directions/FAT Viewer?action=UPDATE&amp;creator=factset&amp;DYN_ARGS=TRUE&amp;DOC_NAME=FAT:FQL_AUDITING_CLIENT_TEMPLATE.FAT&amp;display_string=Audit&amp;VAR:KEY=WBEJSLQHEZ&amp;VAR:QUERY=RkZfUk9BKEFOTiwyMDA5KQ==&amp;WINDOW=FIRST_POPUP&amp;HEIGHT=450&amp;WIDTH=450&amp;START_MAXIMIZED=FALS","E&amp;VAR:CALENDAR=FIVEDAY&amp;VAR:SYMBOL=B1VT03&amp;VAR:INDEX=0"}</definedName>
    <definedName name="_283__FDSAUDITLINK__" hidden="1">{"fdsup://directions/FAT Viewer?action=UPDATE&amp;creator=factset&amp;DYN_ARGS=TRUE&amp;DOC_NAME=FAT:FQL_AUDITING_CLIENT_TEMPLATE.FAT&amp;display_string=Audit&amp;VAR:KEY=KFEZCLCRSD&amp;VAR:QUERY=RkZfUk9BKEFOTiwyMDA5KQ==&amp;WINDOW=FIRST_POPUP&amp;HEIGHT=450&amp;WIDTH=450&amp;START_MAXIMIZED=FALS","E&amp;VAR:CALENDAR=FIVEDAY&amp;VAR:SYMBOL=B29TMM&amp;VAR:INDEX=0"}</definedName>
    <definedName name="_284__FDSAUDITLINK__" hidden="1">{"fdsup://directions/FAT Viewer?action=UPDATE&amp;creator=factset&amp;DYN_ARGS=TRUE&amp;DOC_NAME=FAT:FQL_AUDITING_CLIENT_TEMPLATE.FAT&amp;display_string=Audit&amp;VAR:KEY=MZMZIRGRQD&amp;VAR:QUERY=RkZfTElBQlMoQU5OLDEyLzMxLzIwMDkp&amp;WINDOW=FIRST_POPUP&amp;HEIGHT=450&amp;WIDTH=450&amp;START_MAXIMI","ZED=FALSE&amp;VAR:CALENDAR=FIVEDAY&amp;VAR:SYMBOL=B1VT03&amp;VAR:INDEX=0"}</definedName>
    <definedName name="_285__FDSAUDITLINK__" hidden="1">{"fdsup://directions/FAT Viewer?action=UPDATE&amp;creator=factset&amp;DYN_ARGS=TRUE&amp;DOC_NAME=FAT:FQL_AUDITING_CLIENT_TEMPLATE.FAT&amp;display_string=Audit&amp;VAR:KEY=UPGVURQRIB&amp;VAR:QUERY=RkZfR1JPU1NfTUdOKEFOTiwyMDA5KQ==&amp;WINDOW=FIRST_POPUP&amp;HEIGHT=450&amp;WIDTH=450&amp;START_MAXIMI","ZED=FALSE&amp;VAR:CALENDAR=FIVEDAY&amp;VAR:SYMBOL=644662&amp;VAR:INDEX=0"}</definedName>
    <definedName name="_286__FDSAUDITLINK__" hidden="1">{"fdsup://Directions/FactSet Auditing Viewer?action=AUDIT_VALUE&amp;DB=129&amp;ID1=85811910&amp;VALUEID=02101&amp;SDATE=2009&amp;PERIODTYPE=ANN_STD&amp;window=popup_no_bar&amp;width=385&amp;height=120&amp;START_MAXIMIZED=FALSE&amp;creator=factset&amp;display_string=Audit"}</definedName>
    <definedName name="_287__FDSAUDITLINK__" hidden="1">{"fdsup://Directions/FactSet Auditing Viewer?action=AUDIT_VALUE&amp;DB=129&amp;ID1=00154710&amp;VALUEID=02101&amp;SDATE=2009&amp;PERIODTYPE=ANN_STD&amp;window=popup_no_bar&amp;width=385&amp;height=120&amp;START_MAXIMIZED=FALSE&amp;creator=factset&amp;display_string=Audit"}</definedName>
    <definedName name="_288__FDSAUDITLINK__" hidden="1">{"fdsup://Directions/FactSet Auditing Viewer?action=AUDIT_VALUE&amp;DB=129&amp;ID1=75950910&amp;VALUEID=02101&amp;SDATE=2009&amp;PERIODTYPE=ANN_STD&amp;window=popup_no_bar&amp;width=385&amp;height=120&amp;START_MAXIMIZED=FALSE&amp;creator=factset&amp;display_string=Audit"}</definedName>
    <definedName name="_289__FDSAUDITLINK__" hidden="1">{"fdsup://Directions/FactSet Auditing Viewer?action=AUDIT_VALUE&amp;DB=129&amp;ID1=98181110&amp;VALUEID=02101&amp;SDATE=2008&amp;PERIODTYPE=ANN_STD&amp;window=popup_no_bar&amp;width=385&amp;height=120&amp;START_MAXIMIZED=FALSE&amp;creator=factset&amp;display_string=Audit"}</definedName>
    <definedName name="_29__123Graph_B_Chart_1A" hidden="1">'[6]Stock Price'!$C$4:$C$265</definedName>
    <definedName name="_29__123Graph_BCHART_16" hidden="1">[4]Ocean!$B$21:$V$21</definedName>
    <definedName name="_29__123Graph_CCHART_26" hidden="1">[5]Menu!$D$92:$M$92</definedName>
    <definedName name="_29__FDSAUDITLINK__" hidden="1">{"fdsup://directions/FAT Viewer?action=UPDATE&amp;creator=factset&amp;DYN_ARGS=TRUE&amp;DOC_NAME=FAT:FQL_AUDITING_CLIENT_TEMPLATE.FAT&amp;display_string=Audit&amp;VAR:KEY=MZMZIRGRQD&amp;VAR:QUERY=RkZfRU5UUlBSX1ZBTF9EQUlMWSg0MDM2NiwsLCwsJ0RJTCcp&amp;WINDOW=FIRST_POPUP&amp;HEIGHT=450&amp;WIDTH=","450&amp;START_MAXIMIZED=FALSE&amp;VAR:CALENDAR=FIVEDAY&amp;VAR:SYMBOL=B1TNRD&amp;VAR:INDEX=0"}</definedName>
    <definedName name="_290__FDSAUDITLINK__" hidden="1">{"fdsup://Directions/FactSet Auditing Viewer?action=AUDIT_VALUE&amp;DB=129&amp;ID1=80688210&amp;VALUEID=02101&amp;SDATE=2009&amp;PERIODTYPE=ANN_STD&amp;window=popup_no_bar&amp;width=385&amp;height=120&amp;START_MAXIMIZED=FALSE&amp;creator=factset&amp;display_string=Audit"}</definedName>
    <definedName name="_291__FDSAUDITLINK__" hidden="1">{"fdsup://Directions/FactSet Auditing Viewer?action=AUDIT_VALUE&amp;DB=129&amp;ID1=67034610&amp;VALUEID=02101&amp;SDATE=2009&amp;PERIODTYPE=ANN_STD&amp;window=popup_no_bar&amp;width=385&amp;height=120&amp;START_MAXIMIZED=FALSE&amp;creator=factset&amp;display_string=Audit"}</definedName>
    <definedName name="_292__FDSAUDITLINK__" hidden="1">{"fdsup://Directions/FactSet Auditing Viewer?action=AUDIT_VALUE&amp;DB=129&amp;ID1=672388&amp;VALUEID=02101&amp;SDATE=2009&amp;PERIODTYPE=ANN_STD&amp;window=popup_no_bar&amp;width=385&amp;height=120&amp;START_MAXIMIZED=FALSE&amp;creator=factset&amp;display_string=Audit"}</definedName>
    <definedName name="_293__FDSAUDITLINK__" hidden="1">{"fdsup://Directions/FactSet Auditing Viewer?action=AUDIT_VALUE&amp;DB=129&amp;ID1=659730&amp;VALUEID=02101&amp;SDATE=2008&amp;PERIODTYPE=ANN_STD&amp;window=popup_no_bar&amp;width=385&amp;height=120&amp;START_MAXIMIZED=FALSE&amp;creator=factset&amp;display_string=Audit"}</definedName>
    <definedName name="_294__FDSAUDITLINK__" hidden="1">{"fdsup://Directions/FactSet Auditing Viewer?action=AUDIT_VALUE&amp;DB=129&amp;ID1=B0MK5M&amp;VALUEID=02101&amp;SDATE=2009&amp;PERIODTYPE=ANN_STD&amp;window=popup_no_bar&amp;width=385&amp;height=120&amp;START_MAXIMIZED=FALSE&amp;creator=factset&amp;display_string=Audit"}</definedName>
    <definedName name="_295__FDSAUDITLINK__" hidden="1">{"fdsup://Directions/FactSet Auditing Viewer?action=AUDIT_VALUE&amp;DB=129&amp;ID1=B0ZC0B&amp;VALUEID=02101&amp;SDATE=2009&amp;PERIODTYPE=ANN_STD&amp;window=popup_no_bar&amp;width=385&amp;height=120&amp;START_MAXIMIZED=FALSE&amp;creator=factset&amp;display_string=Audit"}</definedName>
    <definedName name="_296__FDSAUDITLINK__" hidden="1">{"fdsup://Directions/FactSet Auditing Viewer?action=AUDIT_VALUE&amp;DB=129&amp;ID1=B049DZ&amp;VALUEID=02101&amp;SDATE=2009&amp;PERIODTYPE=ANN_STD&amp;window=popup_no_bar&amp;width=385&amp;height=120&amp;START_MAXIMIZED=FALSE&amp;creator=factset&amp;display_string=Audit"}</definedName>
    <definedName name="_297__FDSAUDITLINK__" hidden="1">{"fdsup://Directions/FactSet Auditing Viewer?action=AUDIT_VALUE&amp;DB=129&amp;ID1=628625&amp;VALUEID=02101&amp;SDATE=2009&amp;PERIODTYPE=ANN_STD&amp;window=popup_no_bar&amp;width=385&amp;height=120&amp;START_MAXIMIZED=FALSE&amp;creator=factset&amp;display_string=Audit"}</definedName>
    <definedName name="_298__FDSAUDITLINK__" hidden="1">{"fdsup://Directions/FactSet Auditing Viewer?action=AUDIT_VALUE&amp;DB=129&amp;ID1=B284BK&amp;VALUEID=02101&amp;SDATE=2009&amp;PERIODTYPE=ANN_STD&amp;window=popup_no_bar&amp;width=385&amp;height=120&amp;START_MAXIMIZED=FALSE&amp;creator=factset&amp;display_string=Audit"}</definedName>
    <definedName name="_299__FDSAUDITLINK__" hidden="1">{"fdsup://directions/FAT Viewer?action=UPDATE&amp;creator=factset&amp;DYN_ARGS=TRUE&amp;DOC_NAME=FAT:FQL_AUDITING_CLIENT_TEMPLATE.FAT&amp;display_string=Audit&amp;VAR:KEY=GTKDCPCRGJ&amp;VAR:QUERY=RkZfTElBQlMoQU5OLDEyLzMxLzIwMDkp&amp;WINDOW=FIRST_POPUP&amp;HEIGHT=450&amp;WIDTH=450&amp;START_MAXIMI","ZED=FALSE&amp;VAR:CALENDAR=FIVEDAY&amp;VAR:SYMBOL=639331&amp;VAR:INDEX=0"}</definedName>
    <definedName name="_3__123Graph_ACHART_11" hidden="1">'[4]E Eur'!$B$28:$V$28</definedName>
    <definedName name="_3__FDSAUDITLINK__" hidden="1">{"fdsup://directions/FAT Viewer?action=UPDATE&amp;creator=factset&amp;DYN_ARGS=TRUE&amp;DOC_NAME=FAT:FQL_AUDITING_CLIENT_TEMPLATE.FAT&amp;display_string=Audit&amp;VAR:KEY=IVYHOZMZUD&amp;VAR:QUERY=RkZfRU5UUlBSX1ZBTF9EQUlMWSg0MDM2NiwsLCwsJ0RJTCcp&amp;WINDOW=FIRST_POPUP&amp;HEIGHT=450&amp;WIDTH=","450&amp;START_MAXIMIZED=FALSE&amp;VAR:CALENDAR=FIVEDAY&amp;VAR:SYMBOL=12120820&amp;VAR:INDEX=0"}</definedName>
    <definedName name="_30__123Graph_BCHART_17" hidden="1">[4]Ocean!$B$51:$V$51</definedName>
    <definedName name="_30__123Graph_C_Chart_1A" hidden="1">'[6]Stock Price'!$D$4:$D$265</definedName>
    <definedName name="_30__123Graph_CCHART_30" hidden="1">[5]Menu!$D$12:$M$12</definedName>
    <definedName name="_30__FDSAUDITLINK__" hidden="1">{"fdsup://directions/FAT Viewer?action=UPDATE&amp;creator=factset&amp;DYN_ARGS=TRUE&amp;DOC_NAME=FAT:FQL_AUDITING_CLIENT_TEMPLATE.FAT&amp;display_string=Audit&amp;VAR:KEY=OLWNEPKPEB&amp;VAR:QUERY=RkZfRU5UUlBSX1ZBTF9EQUlMWSg0MDM2NiwsLCxVU0QsJ0RJTCcp&amp;WINDOW=FIRST_POPUP&amp;HEIGHT=450&amp;WI","DTH=450&amp;START_MAXIMIZED=FALSE&amp;VAR:CALENDAR=FIVEDAY&amp;VAR:SYMBOL=B1TNRD&amp;VAR:INDEX=0"}</definedName>
    <definedName name="_300__FDSAUDITLINK__" hidden="1">{"fdsup://Directions/FactSet Auditing Viewer?action=AUDIT_VALUE&amp;DB=129&amp;ID1=639331&amp;VALUEID=02999&amp;SDATE=2009&amp;PERIODTYPE=ANN_STD&amp;window=popup_no_bar&amp;width=385&amp;height=120&amp;START_MAXIMIZED=FALSE&amp;creator=factset&amp;display_string=Audit"}</definedName>
    <definedName name="_301__FDSAUDITLINK__" hidden="1">{"fdsup://directions/FAT Viewer?action=UPDATE&amp;creator=factset&amp;DYN_ARGS=TRUE&amp;DOC_NAME=FAT:FQL_AUDITING_CLIENT_TEMPLATE.FAT&amp;display_string=Audit&amp;VAR:KEY=OPAHKDCXKX&amp;VAR:QUERY=RkZfUk9BKEFOTiwyMDA5KQ==&amp;WINDOW=FIRST_POPUP&amp;HEIGHT=450&amp;WIDTH=450&amp;START_MAXIMIZED=FALS","E&amp;VAR:CALENDAR=FIVEDAY&amp;VAR:SYMBOL=639331&amp;VAR:INDEX=0"}</definedName>
    <definedName name="_302__FDSAUDITLINK__"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3__FDSAUDITLINK__" hidden="1">{"fdsup://directions/FAT Viewer?action=UPDATE&amp;creator=factset&amp;DYN_ARGS=TRUE&amp;DOC_NAME=FAT:FQL_AUDITING_CLIENT_TEMPLATE.FAT&amp;display_string=Audit&amp;VAR:KEY=UFQBKTGRML&amp;VAR:QUERY=RkZfUk9BKEFOTiwyMDA5KQ==&amp;WINDOW=FIRST_POPUP&amp;HEIGHT=450&amp;WIDTH=450&amp;START_MAXIMIZED=FALS","E&amp;VAR:CALENDAR=FIVEDAY&amp;VAR:SYMBOL=644662&amp;VAR:INDEX=0"}</definedName>
    <definedName name="_304__FDSAUDITLINK__" hidden="1">{"fdsup://directions/FAT Viewer?action=UPDATE&amp;creator=factset&amp;DYN_ARGS=TRUE&amp;DOC_NAME=FAT:FQL_AUDITING_CLIENT_TEMPLATE.FAT&amp;display_string=Audit&amp;VAR:KEY=ARGTMJIZOT&amp;VAR:QUERY=RkZfR1JPU1NfTUdOKEFOTiwyMDA5KQ==&amp;WINDOW=FIRST_POPUP&amp;HEIGHT=450&amp;WIDTH=450&amp;START_MAXIMI","ZED=FALSE&amp;VAR:CALENDAR=FIVEDAY&amp;VAR:SYMBOL=B1VT03&amp;VAR:INDEX=0"}</definedName>
    <definedName name="_305__FDSAUDITLINK__" hidden="1">{"fdsup://directions/FAT Viewer?action=UPDATE&amp;creator=factset&amp;DYN_ARGS=TRUE&amp;DOC_NAME=FAT:FQL_AUDITING_CLIENT_TEMPLATE.FAT&amp;display_string=Audit&amp;VAR:KEY=YFWDAHKNEH&amp;VAR:QUERY=RkZfUk9FKEFOTiwyMDA5KQ==&amp;WINDOW=FIRST_POPUP&amp;HEIGHT=450&amp;WIDTH=450&amp;START_MAXIMIZED=FALS","E&amp;VAR:CALENDAR=FIVEDAY&amp;VAR:SYMBOL=B1VT03&amp;VAR:INDEX=0"}</definedName>
    <definedName name="_306__FDSAUDITLINK__" hidden="1">{"fdsup://directions/FAT Viewer?action=UPDATE&amp;creator=factset&amp;DYN_ARGS=TRUE&amp;DOC_NAME=FAT:FQL_AUDITING_CLIENT_TEMPLATE.FAT&amp;display_string=Audit&amp;VAR:KEY=YHYNERUJQZ&amp;VAR:QUERY=RkZfR1JPU1NfTUdOKEFOTiwyMDA5KQ==&amp;WINDOW=FIRST_POPUP&amp;HEIGHT=450&amp;WIDTH=450&amp;START_MAXIMI","ZED=FALSE&amp;VAR:CALENDAR=FIVEDAY&amp;VAR:SYMBOL=639331&amp;VAR:INDEX=0"}</definedName>
    <definedName name="_307__FDSAUDITLINK__" hidden="1">{"fdsup://directions/FAT Viewer?action=UPDATE&amp;creator=factset&amp;DYN_ARGS=TRUE&amp;DOC_NAME=FAT:FQL_AUDITING_CLIENT_TEMPLATE.FAT&amp;display_string=Audit&amp;VAR:KEY=EZYBKJYZCD&amp;VAR:QUERY=RkZfUk9FKEFOTiwyMDA5KQ==&amp;WINDOW=FIRST_POPUP&amp;HEIGHT=450&amp;WIDTH=450&amp;START_MAXIMIZED=FALS","E&amp;VAR:CALENDAR=FIVEDAY&amp;VAR:SYMBOL=B0WCDT&amp;VAR:INDEX=0"}</definedName>
    <definedName name="_308__FDSAUDITLINK__" hidden="1">{"fdsup://directions/FAT Viewer?action=UPDATE&amp;creator=factset&amp;DYN_ARGS=TRUE&amp;DOC_NAME=FAT:FQL_AUDITING_CLIENT_TEMPLATE.FAT&amp;display_string=Audit&amp;VAR:KEY=MTIHGRSXID&amp;VAR:QUERY=RkZfTkVUX01HTihBTk4sMjAwOSk=&amp;WINDOW=FIRST_POPUP&amp;HEIGHT=450&amp;WIDTH=450&amp;START_MAXIMIZED=","FALSE&amp;VAR:CALENDAR=FIVEDAY&amp;VAR:SYMBOL=B1VT03&amp;VAR:INDEX=0"}</definedName>
    <definedName name="_309__FDSAUDITLINK__" hidden="1">{"fdsup://directions/FAT Viewer?action=UPDATE&amp;creator=factset&amp;DYN_ARGS=TRUE&amp;DOC_NAME=FAT:FQL_AUDITING_CLIENT_TEMPLATE.FAT&amp;display_string=Audit&amp;VAR:KEY=CVWRCRIJAL&amp;VAR:QUERY=RkZfTkVUX01HTihBTk4sMjAwOSk=&amp;WINDOW=FIRST_POPUP&amp;HEIGHT=450&amp;WIDTH=450&amp;START_MAXIMIZED=","FALSE&amp;VAR:CALENDAR=FIVEDAY&amp;VAR:SYMBOL=B1VT03&amp;VAR:INDEX=0"}</definedName>
    <definedName name="_31__123Graph_BCHART_19" hidden="1">'[4]S Amer'!$B$21:$V$21</definedName>
    <definedName name="_31__123Graph_D_Chart_1A" hidden="1">'[6]Stock Price'!$E$4:$E$265</definedName>
    <definedName name="_31__FDSAUDITLINK__" hidden="1">{"fdsup://directions/FAT Viewer?action=UPDATE&amp;creator=factset&amp;DYN_ARGS=TRUE&amp;DOC_NAME=FAT:FQL_AUDITING_CLIENT_TEMPLATE.FAT&amp;display_string=Audit&amp;VAR:KEY=GTKDCPCRGJ&amp;VAR:QUERY=RkZfRU5UUlBSX1ZBTF9EQUlMWSg0MDM2NiwsLCwsJ0RJTCcp&amp;WINDOW=FIRST_POPUP&amp;HEIGHT=450&amp;WIDTH=","450&amp;START_MAXIMIZED=FALSE&amp;VAR:CALENDAR=FIVEDAY&amp;VAR:SYMBOL=616095&amp;VAR:INDEX=0"}</definedName>
    <definedName name="_310__FDSAUDITLINK__" hidden="1">{"fdsup://directions/FAT Viewer?action=UPDATE&amp;creator=factset&amp;DYN_ARGS=TRUE&amp;DOC_NAME=FAT:FQL_AUDITING_CLIENT_TEMPLATE.FAT&amp;display_string=Audit&amp;VAR:KEY=UPWXCLABOB&amp;VAR:QUERY=RkZfTkVUX01HTihBTk4sMjAwOSk=&amp;WINDOW=FIRST_POPUP&amp;HEIGHT=450&amp;WIDTH=450&amp;START_MAXIMIZED=","FALSE&amp;VAR:CALENDAR=FIVEDAY&amp;VAR:SYMBOL=639331&amp;VAR:INDEX=0"}</definedName>
    <definedName name="_311__FDSAUDITLINK__" hidden="1">{"fdsup://directions/FAT Viewer?action=UPDATE&amp;creator=factset&amp;DYN_ARGS=TRUE&amp;DOC_NAME=FAT:FQL_AUDITING_CLIENT_TEMPLATE.FAT&amp;display_string=Audit&amp;VAR:KEY=CTARMDGTAH&amp;VAR:QUERY=RkZfTkVUX01HTihBTk4sMjAwOSk=&amp;WINDOW=FIRST_POPUP&amp;HEIGHT=450&amp;WIDTH=450&amp;START_MAXIMIZED=","FALSE&amp;VAR:CALENDAR=FIVEDAY&amp;VAR:SYMBOL=677221&amp;VAR:INDEX=0"}</definedName>
    <definedName name="_312__FDSAUDITLINK__" hidden="1">{"fdsup://directions/FAT Viewer?action=UPDATE&amp;creator=factset&amp;DYN_ARGS=TRUE&amp;DOC_NAME=FAT:FQL_AUDITING_CLIENT_TEMPLATE.FAT&amp;display_string=Audit&amp;VAR:KEY=UVARSHWHYJ&amp;VAR:QUERY=RkZfR1JPU1NfTUdOKEFOTiwyMDA5KQ==&amp;WINDOW=FIRST_POPUP&amp;HEIGHT=450&amp;WIDTH=450&amp;START_MAXIMI","ZED=FALSE&amp;VAR:CALENDAR=FIVEDAY&amp;VAR:SYMBOL=677221&amp;VAR:INDEX=0"}</definedName>
    <definedName name="_313__FDSAUDITLINK__" hidden="1">{"fdsup://directions/FAT Viewer?action=UPDATE&amp;creator=factset&amp;DYN_ARGS=TRUE&amp;DOC_NAME=FAT:FQL_AUDITING_CLIENT_TEMPLATE.FAT&amp;display_string=Audit&amp;VAR:KEY=ORYZQRELQL&amp;VAR:QUERY=RkZfUk9FKEFOTiwyMDA5KQ==&amp;WINDOW=FIRST_POPUP&amp;HEIGHT=450&amp;WIDTH=450&amp;START_MAXIMIZED=FALS","E&amp;VAR:CALENDAR=FIVEDAY&amp;VAR:SYMBOL=677221&amp;VAR:INDEX=0"}</definedName>
    <definedName name="_314__FDSAUDITLINK__" hidden="1">{"fdsup://directions/FAT Viewer?action=UPDATE&amp;creator=factset&amp;DYN_ARGS=TRUE&amp;DOC_NAME=FAT:FQL_AUDITING_CLIENT_TEMPLATE.FAT&amp;display_string=Audit&amp;VAR:KEY=MNKRURCPAT&amp;VAR:QUERY=RkZfUk9BKEFOTiwyMDA5KQ==&amp;WINDOW=FIRST_POPUP&amp;HEIGHT=450&amp;WIDTH=450&amp;START_MAXIMIZED=FALS","E&amp;VAR:CALENDAR=FIVEDAY&amp;VAR:SYMBOL=677221&amp;VAR:INDEX=0"}</definedName>
    <definedName name="_315__FDSAUDITLINK__" hidden="1">{"fdsup://directions/FAT Viewer?action=UPDATE&amp;creator=factset&amp;DYN_ARGS=TRUE&amp;DOC_NAME=FAT:FQL_AUDITING_CLIENT_TEMPLATE.FAT&amp;display_string=Audit&amp;VAR:KEY=EPQNYBCXUJ&amp;VAR:QUERY=RkZfTkVUX01HTihBTk4sMjAwOSk=&amp;WINDOW=FIRST_POPUP&amp;HEIGHT=450&amp;WIDTH=450&amp;START_MAXIMIZED=","FALSE&amp;VAR:CALENDAR=FIVEDAY&amp;VAR:SYMBOL=B130MM&amp;VAR:INDEX=0"}</definedName>
    <definedName name="_316__FDSAUDITLINK__" hidden="1">{"fdsup://directions/FAT Viewer?action=UPDATE&amp;creator=factset&amp;DYN_ARGS=TRUE&amp;DOC_NAME=FAT:FQL_AUDITING_CLIENT_TEMPLATE.FAT&amp;display_string=Audit&amp;VAR:KEY=CZIPWNIRCT&amp;VAR:QUERY=RkZfTkVUX01HTihBTk4sMjAwOSk=&amp;WINDOW=FIRST_POPUP&amp;HEIGHT=450&amp;WIDTH=450&amp;START_MAXIMIZED=","FALSE&amp;VAR:CALENDAR=FIVEDAY&amp;VAR:SYMBOL=B130MM&amp;VAR:INDEX=0"}</definedName>
    <definedName name="_317__FDSAUDITLINK__" hidden="1">{"fdsup://directions/FAT Viewer?action=UPDATE&amp;creator=factset&amp;DYN_ARGS=TRUE&amp;DOC_NAME=FAT:FQL_AUDITING_CLIENT_TEMPLATE.FAT&amp;display_string=Audit&amp;VAR:KEY=WTAJYVOVGD&amp;VAR:QUERY=RkZfTkVUX01HTihBTk4sMjAwOSk=&amp;WINDOW=FIRST_POPUP&amp;HEIGHT=450&amp;WIDTH=450&amp;START_MAXIMIZED=","FALSE&amp;VAR:CALENDAR=FIVEDAY&amp;VAR:SYMBOL=613716&amp;VAR:INDEX=0"}</definedName>
    <definedName name="_318__FDSAUDITLINK__" hidden="1">{"fdsup://directions/FAT Viewer?action=UPDATE&amp;creator=factset&amp;DYN_ARGS=TRUE&amp;DOC_NAME=FAT:FQL_AUDITING_CLIENT_TEMPLATE.FAT&amp;display_string=Audit&amp;VAR:KEY=OPIBSBGHGF&amp;VAR:QUERY=RkZfR1JPU1NfTUdOKEFOTiwyMDA5KQ==&amp;WINDOW=FIRST_POPUP&amp;HEIGHT=450&amp;WIDTH=450&amp;START_MAXIMI","ZED=FALSE&amp;VAR:CALENDAR=FIVEDAY&amp;VAR:SYMBOL=613716&amp;VAR:INDEX=0"}</definedName>
    <definedName name="_319__FDSAUDITLINK__" hidden="1">{"fdsup://directions/FAT Viewer?action=UPDATE&amp;creator=factset&amp;DYN_ARGS=TRUE&amp;DOC_NAME=FAT:FQL_AUDITING_CLIENT_TEMPLATE.FAT&amp;display_string=Audit&amp;VAR:KEY=URWZOFGHOL&amp;VAR:QUERY=RkZfUk9BKEFOTiwyMDA5KQ==&amp;WINDOW=FIRST_POPUP&amp;HEIGHT=450&amp;WIDTH=450&amp;START_MAXIMIZED=FALS","E&amp;VAR:CALENDAR=FIVEDAY&amp;VAR:SYMBOL=B130MM&amp;VAR:INDEX=0"}</definedName>
    <definedName name="_32__123Graph_BCHART_2" hidden="1">[4]Africa!$B$51:$V$51</definedName>
    <definedName name="_32__123Graph_E_Chart_1A" hidden="1">'[6]Stock Price'!$F$4:$F$265</definedName>
    <definedName name="_32__FDSAUDITLINK__" hidden="1">{"fdsup://directions/FAT Viewer?action=UPDATE&amp;creator=factset&amp;DYN_ARGS=TRUE&amp;DOC_NAME=FAT:FQL_AUDITING_CLIENT_TEMPLATE.FAT&amp;display_string=Audit&amp;VAR:KEY=WFAZYZAZOH&amp;VAR:QUERY=RkZfRU5UUlBSX1ZBTF9EQUlMWSg0MDM2NiwsLCxVU0QsJ0RJTCcp&amp;WINDOW=FIRST_POPUP&amp;HEIGHT=450&amp;WI","DTH=450&amp;START_MAXIMIZED=FALSE&amp;VAR:CALENDAR=FIVEDAY&amp;VAR:SYMBOL=616095&amp;VAR:INDEX=0"}</definedName>
    <definedName name="_320__FDSAUDITLINK__" hidden="1">{"fdsup://directions/FAT Viewer?action=UPDATE&amp;creator=factset&amp;DYN_ARGS=TRUE&amp;DOC_NAME=FAT:FQL_AUDITING_CLIENT_TEMPLATE.FAT&amp;display_string=Audit&amp;VAR:KEY=UTYVSRMXOP&amp;VAR:QUERY=RkZfR1JPU1NfTUdOKEFOTiwyMDA5KQ==&amp;WINDOW=FIRST_POPUP&amp;HEIGHT=450&amp;WIDTH=450&amp;START_MAXIMI","ZED=FALSE&amp;VAR:CALENDAR=FIVEDAY&amp;VAR:SYMBOL=B130MM&amp;VAR:INDEX=0"}</definedName>
    <definedName name="_321__FDSAUDITLINK__" hidden="1">{"fdsup://directions/FAT Viewer?action=UPDATE&amp;creator=factset&amp;DYN_ARGS=TRUE&amp;DOC_NAME=FAT:FQL_AUDITING_CLIENT_TEMPLATE.FAT&amp;display_string=Audit&amp;VAR:KEY=QZYHGPQJQX&amp;VAR:QUERY=RkZfTkVUX01HTihBTk4sMjAwOSk=&amp;WINDOW=FIRST_POPUP&amp;HEIGHT=450&amp;WIDTH=450&amp;START_MAXIMIZED=","FALSE&amp;VAR:CALENDAR=FIVEDAY&amp;VAR:SYMBOL=620513&amp;VAR:INDEX=0"}</definedName>
    <definedName name="_322__FDSAUDITLINK__"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3__FDSAUDITLINK__" hidden="1">{"fdsup://directions/FAT Viewer?action=UPDATE&amp;creator=factset&amp;DYN_ARGS=TRUE&amp;DOC_NAME=FAT:FQL_AUDITING_CLIENT_TEMPLATE.FAT&amp;display_string=Audit&amp;VAR:KEY=EPATIJUPKN&amp;VAR:QUERY=RkZfR1JPU1NfTUdOKEFOTiwyMDA5KQ==&amp;WINDOW=FIRST_POPUP&amp;HEIGHT=450&amp;WIDTH=450&amp;START_MAXIMI","ZED=FALSE&amp;VAR:CALENDAR=FIVEDAY&amp;VAR:SYMBOL=620513&amp;VAR:INDEX=0"}</definedName>
    <definedName name="_324__FDSAUDITLINK__" hidden="1">{"fdsup://directions/FAT Viewer?action=UPDATE&amp;creator=factset&amp;DYN_ARGS=TRUE&amp;DOC_NAME=FAT:FQL_AUDITING_CLIENT_TEMPLATE.FAT&amp;display_string=Audit&amp;VAR:KEY=UXQLEBEZKB&amp;VAR:QUERY=RkZfUk9FKEFOTiwyMDA5KQ==&amp;WINDOW=FIRST_POPUP&amp;HEIGHT=450&amp;WIDTH=450&amp;START_MAXIMIZED=FALS","E&amp;VAR:CALENDAR=FIVEDAY&amp;VAR:SYMBOL=620513&amp;VAR:INDEX=0"}</definedName>
    <definedName name="_325__FDSAUDITLINK__" hidden="1">{"fdsup://directions/FAT Viewer?action=UPDATE&amp;creator=factset&amp;DYN_ARGS=TRUE&amp;DOC_NAME=FAT:FQL_AUDITING_CLIENT_TEMPLATE.FAT&amp;display_string=Audit&amp;VAR:KEY=MBGXSFCDCZ&amp;VAR:QUERY=RkZfUk9BKEFOTiwyMDA5KQ==&amp;WINDOW=FIRST_POPUP&amp;HEIGHT=450&amp;WIDTH=450&amp;START_MAXIMIZED=FALS","E&amp;VAR:CALENDAR=FIVEDAY&amp;VAR:SYMBOL=620513&amp;VAR:INDEX=0"}</definedName>
    <definedName name="_326__FDSAUDITLINK__" hidden="1">{"fdsup://directions/FAT Viewer?action=UPDATE&amp;creator=factset&amp;DYN_ARGS=TRUE&amp;DOC_NAME=FAT:FQL_AUDITING_CLIENT_TEMPLATE.FAT&amp;display_string=Audit&amp;VAR:KEY=MXKXGJAHSB&amp;VAR:QUERY=RkZfTkVUX01HTihBTk4sMjAwOSk=&amp;WINDOW=FIRST_POPUP&amp;HEIGHT=450&amp;WIDTH=450&amp;START_MAXIMIZED=","FALSE&amp;VAR:CALENDAR=FIVEDAY&amp;VAR:SYMBOL=B1VQ5C&amp;VAR:INDEX=0"}</definedName>
    <definedName name="_327__FDSAUDITLINK__" hidden="1">{"fdsup://directions/FAT Viewer?action=UPDATE&amp;creator=factset&amp;DYN_ARGS=TRUE&amp;DOC_NAME=FAT:FQL_AUDITING_CLIENT_TEMPLATE.FAT&amp;display_string=Audit&amp;VAR:KEY=AHOXIZANCD&amp;VAR:QUERY=RkZfUk9BKEFOTiwyMDA5KQ==&amp;WINDOW=FIRST_POPUP&amp;HEIGHT=450&amp;WIDTH=450&amp;START_MAXIMIZED=FALS","E&amp;VAR:CALENDAR=FIVEDAY&amp;VAR:SYMBOL=613716&amp;VAR:INDEX=0"}</definedName>
    <definedName name="_328__FDSAUDITLINK__" hidden="1">{"fdsup://directions/FAT Viewer?action=UPDATE&amp;creator=factset&amp;DYN_ARGS=TRUE&amp;DOC_NAME=FAT:FQL_AUDITING_CLIENT_TEMPLATE.FAT&amp;display_string=Audit&amp;VAR:KEY=AZMNOPQJQT&amp;VAR:QUERY=RkZfR1JPU1NfTUdOKEFOTiwyMDA5KQ==&amp;WINDOW=FIRST_POPUP&amp;HEIGHT=450&amp;WIDTH=450&amp;START_MAXIMI","ZED=FALSE&amp;VAR:CALENDAR=FIVEDAY&amp;VAR:SYMBOL=B1VQ5C&amp;VAR:INDEX=0"}</definedName>
    <definedName name="_33__123Graph_BCHART_20" hidden="1">'[4]S Amer'!$B$51:$V$51</definedName>
    <definedName name="_33__123Graph_DCHART_112" hidden="1">[5]Menu!$D$16:$M$16</definedName>
    <definedName name="_33__123Graph_F_Chart_1A" hidden="1">'[6]Stock Price'!$G$4:$G$265</definedName>
    <definedName name="_33__FDSAUDITLINK__" hidden="1">{"fdsup://directions/FAT Viewer?action=UPDATE&amp;creator=factset&amp;DYN_ARGS=TRUE&amp;DOC_NAME=FAT:FQL_AUDITING_CLIENT_TEMPLATE.FAT&amp;display_string=Audit&amp;VAR:KEY=GHAVGVSJQR&amp;VAR:QUERY=RkZfRU5UUlBSX1ZBTF9EQUlMWSg0MDM2NiwsLCwsJ0RJTCcp&amp;WINDOW=FIRST_POPUP&amp;HEIGHT=450&amp;WIDTH=","450&amp;START_MAXIMIZED=FALSE&amp;VAR:CALENDAR=FIVEDAY&amp;VAR:SYMBOL=B288V4&amp;VAR:INDEX=0"}</definedName>
    <definedName name="_34__123Graph_BCHART_22" hidden="1">'[4]W Eur'!$B$21:$V$21</definedName>
    <definedName name="_34__123Graph_X_Chart_1A" hidden="1">'[6]Stock Price'!$A$4:$A$265</definedName>
    <definedName name="_34__FDSAUDITLINK__" hidden="1">{"fdsup://directions/FAT Viewer?action=UPDATE&amp;creator=factset&amp;DYN_ARGS=TRUE&amp;DOC_NAME=FAT:FQL_AUDITING_CLIENT_TEMPLATE.FAT&amp;display_string=Audit&amp;VAR:KEY=YDGNULSTUR&amp;VAR:QUERY=RkZfRU5UUlBSX1ZBTF9EQUlMWSg0MDM2NiwsLCwsJ0RJTCcp&amp;WINDOW=FIRST_POPUP&amp;HEIGHT=450&amp;WIDTH=","450&amp;START_MAXIMIZED=FALSE&amp;VAR:CALENDAR=FIVEDAY&amp;VAR:SYMBOL=658653&amp;VAR:INDEX=0"}</definedName>
    <definedName name="_340__FDSAUDITLINK__" hidden="1">{"fdsup://directions/FAT Viewer?action=UPDATE&amp;creator=factset&amp;DYN_ARGS=TRUE&amp;DOC_NAME=FAT:FQL_AUDITING_CLIENT_TEMPLATE.FAT&amp;display_string=Audit&amp;VAR:KEY=NEFKFOZQBK&amp;VAR:QUERY=KChGRl9RVUlDS19SQVRJTyhBTk4sMjAwOSlAKChGRl9BU1NFVFNfQ1VSUihBTk4sMjAwOSktRkZfSU5WRU4oQ","U5OLDIwMDkpKS9GRl9MSUFCU19DVVJSKEFOTiwyMDA5KSkpQCgoRkZfRklOX0NVUlJfQVNTRVRTKEFOTiwyMDA5KS1GRl9JTlZFTihBTk4sMjAwOSkpL0ZGX0ZJTl9DVVJSX0xJQUJTKEFOTiwyMDA5KSkp&amp;WINDOW=FIRST_POPUP&amp;HEIGHT=450&amp;WIDTH=450&amp;START_MAXIMIZED=FALSE&amp;VAR:CALENDAR=FIVEDAY&amp;VAR:SYMBOL=B1W0J","F&amp;VAR:INDEX=0"}</definedName>
    <definedName name="_347__FDSAUDITLINK__" hidden="1">{"fdsup://directions/FAT Viewer?action=UPDATE&amp;creator=factset&amp;DYN_ARGS=TRUE&amp;DOC_NAME=FAT:FQL_AUDITING_CLIENT_TEMPLATE.FAT&amp;display_string=Audit&amp;VAR:KEY=BUNSBMVWPM&amp;VAR:QUERY=RkZfR1JPU1NfTUdOKEFOTiwyMDA5KQ==&amp;WINDOW=FIRST_POPUP&amp;HEIGHT=450&amp;WIDTH=450&amp;START_MAXIMI","ZED=FALSE&amp;VAR:CALENDAR=FIVEDAY&amp;VAR:SYMBOL=615816&amp;VAR:INDEX=0"}</definedName>
    <definedName name="_348__FDSAUDITLINK__" hidden="1">{"fdsup://directions/FAT Viewer?action=UPDATE&amp;creator=factset&amp;DYN_ARGS=TRUE&amp;DOC_NAME=FAT:FQL_AUDITING_CLIENT_TEMPLATE.FAT&amp;display_string=Audit&amp;VAR:KEY=TIRGRCNQPW&amp;VAR:QUERY=RkZfR1JPU1NfTUdOKEFOTiwyMDA4KQ==&amp;WINDOW=FIRST_POPUP&amp;HEIGHT=450&amp;WIDTH=450&amp;START_MAXIMI","ZED=FALSE&amp;VAR:CALENDAR=FIVEDAY&amp;VAR:SYMBOL=615816&amp;VAR:INDEX=0"}</definedName>
    <definedName name="_35__123Graph_BCHART_23" hidden="1">'[4]W Eur'!$B$51:$V$51</definedName>
    <definedName name="_35__123Graph_XChart_1" hidden="1">[7]Total!$C$322:$C$325</definedName>
    <definedName name="_35__FDSAUDITLINK__" hidden="1">{"fdsup://directions/FAT Viewer?action=UPDATE&amp;creator=factset&amp;DYN_ARGS=TRUE&amp;DOC_NAME=FAT:FQL_AUDITING_CLIENT_TEMPLATE.FAT&amp;display_string=Audit&amp;VAR:KEY=CVWZQTYLYB&amp;VAR:QUERY=RkZfRU5UUlBSX1ZBTF9EQUlMWSg0MDM2NiwsLCwsJ0RJTCcp&amp;WINDOW=FIRST_POPUP&amp;HEIGHT=450&amp;WIDTH=","450&amp;START_MAXIMIZED=FALSE&amp;VAR:CALENDAR=FIVEDAY&amp;VAR:SYMBOL=B51BL7&amp;VAR:INDEX=0"}</definedName>
    <definedName name="_350__FDSAUDITLINK__" hidden="1">{"fdsup://directions/FAT Viewer?action=UPDATE&amp;creator=factset&amp;DYN_ARGS=TRUE&amp;DOC_NAME=FAT:FQL_AUDITING_CLIENT_TEMPLATE.FAT&amp;display_string=Audit&amp;VAR:KEY=IRGPYRITKB&amp;VAR:QUERY=RkZfR1JPU1NfTUdOKEFOTiwyMDA2KQ==&amp;WINDOW=FIRST_POPUP&amp;HEIGHT=450&amp;WIDTH=450&amp;START_MAXIMI","ZED=FALSE&amp;VAR:CALENDAR=FIVEDAY&amp;VAR:SYMBOL=B1W0JF&amp;VAR:INDEX=0"}</definedName>
    <definedName name="_351__FDSAUDITLINK__" hidden="1">{"fdsup://directions/FAT Viewer?action=UPDATE&amp;creator=factset&amp;DYN_ARGS=TRUE&amp;DOC_NAME=FAT:FQL_AUDITING_CLIENT_TEMPLATE.FAT&amp;display_string=Audit&amp;VAR:KEY=VGNCPODUVU&amp;VAR:QUERY=RkZfR1JPU1NfTUdOKEFOTiwyMDA3KQ==&amp;WINDOW=FIRST_POPUP&amp;HEIGHT=450&amp;WIDTH=450&amp;START_MAXIMI","ZED=FALSE&amp;VAR:CALENDAR=FIVEDAY&amp;VAR:SYMBOL=615816&amp;VAR:INDEX=0"}</definedName>
    <definedName name="_352__FDSAUDITLINK__" hidden="1">{"fdsup://directions/FAT Viewer?action=UPDATE&amp;creator=factset&amp;DYN_ARGS=TRUE&amp;DOC_NAME=FAT:FQL_AUDITING_CLIENT_TEMPLATE.FAT&amp;display_string=Audit&amp;VAR:KEY=XGRIVODUVA&amp;VAR:QUERY=RkZfR1JPU1NfTUdOKEFOTiwyMDA2KQ==&amp;WINDOW=FIRST_POPUP&amp;HEIGHT=450&amp;WIDTH=450&amp;START_MAXIMI","ZED=FALSE&amp;VAR:CALENDAR=FIVEDAY&amp;VAR:SYMBOL=615816&amp;VAR:INDEX=0"}</definedName>
    <definedName name="_36__123Graph_BCHART_4" hidden="1">'[4]C Amer'!$B$21:$V$21</definedName>
    <definedName name="_36__123Graph_XCHART_112" hidden="1">[5]Menu!$AF$15:$AO$15</definedName>
    <definedName name="_36__123Graph_XChart_2" hidden="1">'[8]sales vol.'!$J$398:$J$401</definedName>
    <definedName name="_36__FDSAUDITLINK__" hidden="1">{"fdsup://directions/FAT Viewer?action=UPDATE&amp;creator=factset&amp;DYN_ARGS=TRUE&amp;DOC_NAME=FAT:FQL_AUDITING_CLIENT_TEMPLATE.FAT&amp;display_string=Audit&amp;VAR:KEY=KZCXOZUPOP&amp;VAR:QUERY=RkZfRU5UUlBSX1ZBTF9EQUlMWSg0MDM2NiwsLCwsJ0RJTCcp&amp;WINDOW=FIRST_POPUP&amp;HEIGHT=450&amp;WIDTH=","450&amp;START_MAXIMIZED=FALSE&amp;VAR:CALENDAR=FIVEDAY&amp;VAR:SYMBOL=B01JCK&amp;VAR:INDEX=0"}</definedName>
    <definedName name="_360__FDSAUDITLINK__" hidden="1">{"fdsup://directions/FAT Viewer?action=UPDATE&amp;creator=factset&amp;DYN_ARGS=TRUE&amp;DOC_NAME=FAT:FQL_AUDITING_CLIENT_TEMPLATE.FAT&amp;display_string=Audit&amp;VAR:KEY=ZUZKNURMZW&amp;VAR:QUERY=RkZfSU5UX0NPVkcoQU5OLDIwMDkp&amp;WINDOW=FIRST_POPUP&amp;HEIGHT=450&amp;WIDTH=450&amp;START_MAXIMIZED=","FALSE&amp;VAR:CALENDAR=FIVEDAY&amp;VAR:SYMBOL=2899&amp;VAR:INDEX=0"}</definedName>
    <definedName name="_361__FDSAUDITLINK__" hidden="1">{"fdsup://directions/FAT Viewer?action=UPDATE&amp;creator=factset&amp;DYN_ARGS=TRUE&amp;DOC_NAME=FAT:FQL_AUDITING_CLIENT_TEMPLATE.FAT&amp;display_string=Audit&amp;VAR:KEY=NGJKPCLIPI&amp;VAR:QUERY=RkZfUEFZX09VVF9SQVRJTyhBTk4sMjAwOSk=&amp;WINDOW=FIRST_POPUP&amp;HEIGHT=450&amp;WIDTH=450&amp;START_MA","XIMIZED=FALSE&amp;VAR:CALENDAR=FIVEDAY&amp;VAR:SYMBOL=2899&amp;VAR:INDEX=0"}</definedName>
    <definedName name="_362__FDSAUDITLINK__" hidden="1">{"fdsup://directions/FAT Viewer?action=UPDATE&amp;creator=factset&amp;DYN_ARGS=TRUE&amp;DOC_NAME=FAT:FQL_AUDITING_CLIENT_TEMPLATE.FAT&amp;display_string=Audit&amp;VAR:KEY=FIDWRYVYZI&amp;VAR:QUERY=RkZfREVCVF9BU1NFVFMoQU5OLDIwMDkp&amp;WINDOW=FIRST_POPUP&amp;HEIGHT=450&amp;WIDTH=450&amp;START_MAXIMI","ZED=FALSE&amp;VAR:CALENDAR=FIVEDAY&amp;VAR:SYMBOL=2899&amp;VAR:INDEX=0"}</definedName>
    <definedName name="_363__FDSAUDITLINK__" hidden="1">{"fdsup://directions/FAT Viewer?action=UPDATE&amp;creator=factset&amp;DYN_ARGS=TRUE&amp;DOC_NAME=FAT:FQL_AUDITING_CLIENT_TEMPLATE.FAT&amp;display_string=Audit&amp;VAR:KEY=JGDCFAVIHC&amp;VAR:QUERY=RkZfREVCVF9BU1NFVFMoQU5OLDIwMDgp&amp;WINDOW=FIRST_POPUP&amp;HEIGHT=450&amp;WIDTH=450&amp;START_MAXIMI","ZED=FALSE&amp;VAR:CALENDAR=FIVEDAY&amp;VAR:SYMBOL=2899&amp;VAR:INDEX=0"}</definedName>
    <definedName name="_364__FDSAUDITLINK__" hidden="1">{"fdsup://directions/FAT Viewer?action=UPDATE&amp;creator=factset&amp;DYN_ARGS=TRUE&amp;DOC_NAME=FAT:FQL_AUDITING_CLIENT_TEMPLATE.FAT&amp;display_string=Audit&amp;VAR:KEY=HYLSTETSLE&amp;VAR:QUERY=RkZfREVCVF9BU1NFVFMoQU5OLDIwMDcp&amp;WINDOW=FIRST_POPUP&amp;HEIGHT=450&amp;WIDTH=450&amp;START_MAXIMI","ZED=FALSE&amp;VAR:CALENDAR=FIVEDAY&amp;VAR:SYMBOL=2899&amp;VAR:INDEX=0"}</definedName>
    <definedName name="_365__FDSAUDITLINK__" hidden="1">{"fdsup://directions/FAT Viewer?action=UPDATE&amp;creator=factset&amp;DYN_ARGS=TRUE&amp;DOC_NAME=FAT:FQL_AUDITING_CLIENT_TEMPLATE.FAT&amp;display_string=Audit&amp;VAR:KEY=ZINSBEVSZY&amp;VAR:QUERY=RkZfREVCVF9BU1NFVFMoQU5OLDIwMDYp&amp;WINDOW=FIRST_POPUP&amp;HEIGHT=450&amp;WIDTH=450&amp;START_MAXIMI","ZED=FALSE&amp;VAR:CALENDAR=FIVEDAY&amp;VAR:SYMBOL=2899&amp;VAR:INDEX=0"}</definedName>
    <definedName name="_366__FDSAUDITLINK__" hidden="1">{"fdsup://directions/FAT Viewer?action=UPDATE&amp;creator=factset&amp;DYN_ARGS=TRUE&amp;DOC_NAME=FAT:FQL_AUDITING_CLIENT_TEMPLATE.FAT&amp;display_string=Audit&amp;VAR:KEY=PATCVMHSXU&amp;VAR:QUERY=RkZfREVCVF9FUShBTk4sMjAwOSk=&amp;WINDOW=FIRST_POPUP&amp;HEIGHT=450&amp;WIDTH=450&amp;START_MAXIMIZED=","FALSE&amp;VAR:CALENDAR=FIVEDAY&amp;VAR:SYMBOL=2899&amp;VAR:INDEX=0"}</definedName>
    <definedName name="_367__FDSAUDITLINK__" hidden="1">{"fdsup://directions/FAT Viewer?action=UPDATE&amp;creator=factset&amp;DYN_ARGS=TRUE&amp;DOC_NAME=FAT:FQL_AUDITING_CLIENT_TEMPLATE.FAT&amp;display_string=Audit&amp;VAR:KEY=HAFGTMXWZS&amp;VAR:QUERY=RkZfREVCVF9FUShBTk4sMjAwOCk=&amp;WINDOW=FIRST_POPUP&amp;HEIGHT=450&amp;WIDTH=450&amp;START_MAXIMIZED=","FALSE&amp;VAR:CALENDAR=FIVEDAY&amp;VAR:SYMBOL=2899&amp;VAR:INDEX=0"}</definedName>
    <definedName name="_368__FDSAUDITLINK__" hidden="1">{"fdsup://directions/FAT Viewer?action=UPDATE&amp;creator=factset&amp;DYN_ARGS=TRUE&amp;DOC_NAME=FAT:FQL_AUDITING_CLIENT_TEMPLATE.FAT&amp;display_string=Audit&amp;VAR:KEY=DMRKBAPUFU&amp;VAR:QUERY=RkZfREVCVF9FUShBTk4sMjAwNyk=&amp;WINDOW=FIRST_POPUP&amp;HEIGHT=450&amp;WIDTH=450&amp;START_MAXIMIZED=","FALSE&amp;VAR:CALENDAR=FIVEDAY&amp;VAR:SYMBOL=2899&amp;VAR:INDEX=0"}</definedName>
    <definedName name="_369__FDSAUDITLINK__" hidden="1">{"fdsup://directions/FAT Viewer?action=UPDATE&amp;creator=factset&amp;DYN_ARGS=TRUE&amp;DOC_NAME=FAT:FQL_AUDITING_CLIENT_TEMPLATE.FAT&amp;display_string=Audit&amp;VAR:KEY=JEJSVUDSNK&amp;VAR:QUERY=RkZfREVCVF9FUShBTk4sMjAwNik=&amp;WINDOW=FIRST_POPUP&amp;HEIGHT=450&amp;WIDTH=450&amp;START_MAXIMIZED=","FALSE&amp;VAR:CALENDAR=FIVEDAY&amp;VAR:SYMBOL=2899&amp;VAR:INDEX=0"}</definedName>
    <definedName name="_37__123Graph_BCHART_5" hidden="1">'[4]C Amer'!$B$51:$V$51</definedName>
    <definedName name="_37__123Graph_XChart_3" hidden="1">'[8]sales vol.'!$J$211:$J$214</definedName>
    <definedName name="_37__FDSAUDITLINK__" hidden="1">{"fdsup://directions/FAT Viewer?action=UPDATE&amp;creator=factset&amp;DYN_ARGS=TRUE&amp;DOC_NAME=FAT:FQL_AUDITING_CLIENT_TEMPLATE.FAT&amp;display_string=Audit&amp;VAR:KEY=MHKZORQPOH&amp;VAR:QUERY=RkZfRU5UUlBSX1ZBTF9EQUlMWSg0MDM2NiwsLCwsJ0RJTCcp&amp;WINDOW=FIRST_POPUP&amp;HEIGHT=450&amp;WIDTH=","450&amp;START_MAXIMIZED=FALSE&amp;VAR:CALENDAR=FIVEDAY&amp;VAR:SYMBOL=B1YVKN&amp;VAR:INDEX=0"}</definedName>
    <definedName name="_370__FDSAUDITLINK__" hidden="1">{"fdsup://directions/FAT Viewer?action=UPDATE&amp;creator=factset&amp;DYN_ARGS=TRUE&amp;DOC_NAME=FAT:FQL_AUDITING_CLIENT_TEMPLATE.FAT&amp;display_string=Audit&amp;VAR:KEY=RKVUXCTUVQ&amp;VAR:QUERY=RkZfTkVUX0RFQlQoQU5OLDIwMDkpL0ZGX1NITERSU19FUShBTk4sMjAwOSk=&amp;WINDOW=FIRST_POPUP&amp;HEIGH","T=450&amp;WIDTH=450&amp;START_MAXIMIZED=FALSE&amp;VAR:CALENDAR=FIVEDAY&amp;VAR:SYMBOL=2899&amp;VAR:INDEX=0"}</definedName>
    <definedName name="_371__FDSAUDITLINK__" hidden="1">{"fdsup://directions/FAT Viewer?action=UPDATE&amp;creator=factset&amp;DYN_ARGS=TRUE&amp;DOC_NAME=FAT:FQL_AUDITING_CLIENT_TEMPLATE.FAT&amp;display_string=Audit&amp;VAR:KEY=JMHMVEDSTW&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2899&amp;VAR:INDEX=0"}</definedName>
    <definedName name="_372__FDSAUDITLINK__" hidden="1">{"fdsup://directions/FAT Viewer?action=UPDATE&amp;creator=factset&amp;DYN_ARGS=TRUE&amp;DOC_NAME=FAT:FQL_AUDITING_CLIENT_TEMPLATE.FAT&amp;display_string=Audit&amp;VAR:KEY=LYXGTWRQHU&amp;VAR:QUERY=KEZGX05FVF9JTkMoQU5OLDIwMDkpL0ZGX05FVF9JTkMoQU5OLDIwMDgpKS0x&amp;WINDOW=FIRST_POPUP&amp;HEIGH","T=450&amp;WIDTH=450&amp;START_MAXIMIZED=FALSE&amp;VAR:CALENDAR=FIVEDAY&amp;VAR:SYMBOL=2899&amp;VAR:INDEX=0"}</definedName>
    <definedName name="_373__FDSAUDITLINK__" hidden="1">{"fdsup://directions/FAT Viewer?action=UPDATE&amp;creator=factset&amp;DYN_ARGS=TRUE&amp;DOC_NAME=FAT:FQL_AUDITING_CLIENT_TEMPLATE.FAT&amp;display_string=Audit&amp;VAR:KEY=JADGZILUPY&amp;VAR:QUERY=RkZfTkVUX01HTihBTk4sMjAwOSk=&amp;WINDOW=FIRST_POPUP&amp;HEIGHT=450&amp;WIDTH=450&amp;START_MAXIMIZED=","FALSE&amp;VAR:CALENDAR=FIVEDAY&amp;VAR:SYMBOL=2899&amp;VAR:INDEX=0"}</definedName>
    <definedName name="_374__FDSAUDITLINK__" hidden="1">{"fdsup://directions/FAT Viewer?action=UPDATE&amp;creator=factset&amp;DYN_ARGS=TRUE&amp;DOC_NAME=FAT:FQL_AUDITING_CLIENT_TEMPLATE.FAT&amp;display_string=Audit&amp;VAR:KEY=TGLKPIBMBO&amp;VAR:QUERY=RkZfTkVUX01HTihBTk4sMjAwOCk=&amp;WINDOW=FIRST_POPUP&amp;HEIGHT=450&amp;WIDTH=450&amp;START_MAXIMIZED=","FALSE&amp;VAR:CALENDAR=FIVEDAY&amp;VAR:SYMBOL=2899&amp;VAR:INDEX=0"}</definedName>
    <definedName name="_375__FDSAUDITLINK__" hidden="1">{"fdsup://directions/FAT Viewer?action=UPDATE&amp;creator=factset&amp;DYN_ARGS=TRUE&amp;DOC_NAME=FAT:FQL_AUDITING_CLIENT_TEMPLATE.FAT&amp;display_string=Audit&amp;VAR:KEY=HIVULOPAXW&amp;VAR:QUERY=RkZfTkVUX01HTihBTk4sMjAwNyk=&amp;WINDOW=FIRST_POPUP&amp;HEIGHT=450&amp;WIDTH=450&amp;START_MAXIMIZED=","FALSE&amp;VAR:CALENDAR=FIVEDAY&amp;VAR:SYMBOL=2899&amp;VAR:INDEX=0"}</definedName>
    <definedName name="_376__FDSAUDITLINK__" hidden="1">{"fdsup://directions/FAT Viewer?action=UPDATE&amp;creator=factset&amp;DYN_ARGS=TRUE&amp;DOC_NAME=FAT:FQL_AUDITING_CLIENT_TEMPLATE.FAT&amp;display_string=Audit&amp;VAR:KEY=HEBOTULUBC&amp;VAR:QUERY=RkZfTkVUX01HTihBTk4sMjAwNik=&amp;WINDOW=FIRST_POPUP&amp;HEIGHT=450&amp;WIDTH=450&amp;START_MAXIMIZED=","FALSE&amp;VAR:CALENDAR=FIVEDAY&amp;VAR:SYMBOL=2899&amp;VAR:INDEX=0"}</definedName>
    <definedName name="_377__FDSAUDITLINK__" hidden="1">{"fdsup://directions/FAT Viewer?action=UPDATE&amp;creator=factset&amp;DYN_ARGS=TRUE&amp;DOC_NAME=FAT:FQL_AUDITING_CLIENT_TEMPLATE.FAT&amp;display_string=Audit&amp;VAR:KEY=NGXCREVWPM&amp;VAR:QUERY=RkZfUk9BKEFOTiwyMDA5KQ==&amp;WINDOW=FIRST_POPUP&amp;HEIGHT=450&amp;WIDTH=450&amp;START_MAXIMIZED=FALS","E&amp;VAR:CALENDAR=FIVEDAY&amp;VAR:SYMBOL=2899&amp;VAR:INDEX=0"}</definedName>
    <definedName name="_378__FDSAUDITLINK__" hidden="1">{"fdsup://directions/FAT Viewer?action=UPDATE&amp;creator=factset&amp;DYN_ARGS=TRUE&amp;DOC_NAME=FAT:FQL_AUDITING_CLIENT_TEMPLATE.FAT&amp;display_string=Audit&amp;VAR:KEY=DEBOZIXARA&amp;VAR:QUERY=RkZfUk9BKEFOTiwyMDA4KQ==&amp;WINDOW=FIRST_POPUP&amp;HEIGHT=450&amp;WIDTH=450&amp;START_MAXIMIZED=FALS","E&amp;VAR:CALENDAR=FIVEDAY&amp;VAR:SYMBOL=2899&amp;VAR:INDEX=0"}</definedName>
    <definedName name="_379__FDSAUDITLINK__" hidden="1">{"fdsup://directions/FAT Viewer?action=UPDATE&amp;creator=factset&amp;DYN_ARGS=TRUE&amp;DOC_NAME=FAT:FQL_AUDITING_CLIENT_TEMPLATE.FAT&amp;display_string=Audit&amp;VAR:KEY=TYXEDATUPY&amp;VAR:QUERY=RkZfUk9BKEFOTiwyMDA3KQ==&amp;WINDOW=FIRST_POPUP&amp;HEIGHT=450&amp;WIDTH=450&amp;START_MAXIMIZED=FALS","E&amp;VAR:CALENDAR=FIVEDAY&amp;VAR:SYMBOL=2899&amp;VAR:INDEX=0"}</definedName>
    <definedName name="_38__123Graph_BCHART_7" hidden="1">'[4]E Asia'!$B$21:$V$21</definedName>
    <definedName name="_38__123Graph_XChart_4" hidden="1">'[8]sales vol.'!$I$1121:$I$1122</definedName>
    <definedName name="_38__FDSAUDITLINK__" hidden="1">{"fdsup://directions/FAT Viewer?action=UPDATE&amp;creator=factset&amp;DYN_ARGS=TRUE&amp;DOC_NAME=FAT:FQL_AUDITING_CLIENT_TEMPLATE.FAT&amp;display_string=Audit&amp;VAR:KEY=UFADQPCBSX&amp;VAR:QUERY=RkZfRU5UUlBSX1ZBTF9EQUlMWSg0MDM2NiwsLCwsJ0RJTCcp&amp;WINDOW=FIRST_POPUP&amp;HEIGHT=450&amp;WIDTH=","450&amp;START_MAXIMIZED=FALSE&amp;VAR:CALENDAR=FIVEDAY&amp;VAR:SYMBOL=B4L24Y&amp;VAR:INDEX=0"}</definedName>
    <definedName name="_380__FDSAUDITLINK__" hidden="1">{"fdsup://directions/FAT Viewer?action=UPDATE&amp;creator=factset&amp;DYN_ARGS=TRUE&amp;DOC_NAME=FAT:FQL_AUDITING_CLIENT_TEMPLATE.FAT&amp;display_string=Audit&amp;VAR:KEY=FKDAFQZUVO&amp;VAR:QUERY=RkZfUk9BKEFOTiwyMDA2KQ==&amp;WINDOW=FIRST_POPUP&amp;HEIGHT=450&amp;WIDTH=450&amp;START_MAXIMIZED=FALS","E&amp;VAR:CALENDAR=FIVEDAY&amp;VAR:SYMBOL=2899&amp;VAR:INDEX=0"}</definedName>
    <definedName name="_381__FDSAUDITLINK__" hidden="1">{"fdsup://directions/FAT Viewer?action=UPDATE&amp;creator=factset&amp;DYN_ARGS=TRUE&amp;DOC_NAME=FAT:FQL_AUDITING_CLIENT_TEMPLATE.FAT&amp;display_string=Audit&amp;VAR:KEY=BMNEJMNOTO&amp;VAR:QUERY=RkZfUk9FKEFOTiwyMDA5KQ==&amp;WINDOW=FIRST_POPUP&amp;HEIGHT=450&amp;WIDTH=450&amp;START_MAXIMIZED=FALS","E&amp;VAR:CALENDAR=FIVEDAY&amp;VAR:SYMBOL=2899&amp;VAR:INDEX=0"}</definedName>
    <definedName name="_382__FDSAUDITLINK__" hidden="1">{"fdsup://directions/FAT Viewer?action=UPDATE&amp;creator=factset&amp;DYN_ARGS=TRUE&amp;DOC_NAME=FAT:FQL_AUDITING_CLIENT_TEMPLATE.FAT&amp;display_string=Audit&amp;VAR:KEY=TSLOBCLQZM&amp;VAR:QUERY=RkZfUk9FKEFOTiwyMDA4KQ==&amp;WINDOW=FIRST_POPUP&amp;HEIGHT=450&amp;WIDTH=450&amp;START_MAXIMIZED=FALS","E&amp;VAR:CALENDAR=FIVEDAY&amp;VAR:SYMBOL=2899&amp;VAR:INDEX=0"}</definedName>
    <definedName name="_383__FDSAUDITLINK__" hidden="1">{"fdsup://directions/FAT Viewer?action=UPDATE&amp;creator=factset&amp;DYN_ARGS=TRUE&amp;DOC_NAME=FAT:FQL_AUDITING_CLIENT_TEMPLATE.FAT&amp;display_string=Audit&amp;VAR:KEY=JCPEZOLUNC&amp;VAR:QUERY=RkZfUk9FKEFOTiwyMDA3KQ==&amp;WINDOW=FIRST_POPUP&amp;HEIGHT=450&amp;WIDTH=450&amp;START_MAXIMIZED=FALS","E&amp;VAR:CALENDAR=FIVEDAY&amp;VAR:SYMBOL=2899&amp;VAR:INDEX=0"}</definedName>
    <definedName name="_384__FDSAUDITLINK__" hidden="1">{"fdsup://directions/FAT Viewer?action=UPDATE&amp;creator=factset&amp;DYN_ARGS=TRUE&amp;DOC_NAME=FAT:FQL_AUDITING_CLIENT_TEMPLATE.FAT&amp;display_string=Audit&amp;VAR:KEY=LGVATCBWTC&amp;VAR:QUERY=RkZfUk9FKEFOTiwyMDA2KQ==&amp;WINDOW=FIRST_POPUP&amp;HEIGHT=450&amp;WIDTH=450&amp;START_MAXIMIZED=FALS","E&amp;VAR:CALENDAR=FIVEDAY&amp;VAR:SYMBOL=2899&amp;VAR:INDEX=0"}</definedName>
    <definedName name="_385__FDSAUDITLINK__" hidden="1">{"fdsup://directions/FAT Viewer?action=UPDATE&amp;creator=factset&amp;DYN_ARGS=TRUE&amp;DOC_NAME=FAT:FQL_AUDITING_CLIENT_TEMPLATE.FAT&amp;display_string=Audit&amp;VAR:KEY=XUNKXMPATS&amp;VAR:QUERY=KEVDQV9NRUFOX0VQUygyMDA5LDQwNzM1KS9GRl9FUFMoQU5OLDIwMDgsLCwsRUNfQ1VSUigpKSktMS4wMDAwM","DA=&amp;WINDOW=FIRST_POPUP&amp;HEIGHT=450&amp;WIDTH=450&amp;START_MAXIMIZED=FALSE&amp;VAR:CALENDAR=FIVEDAY&amp;VAR:SYMBOL=2899&amp;VAR:INDEX=0"}</definedName>
    <definedName name="_386__FDSAUDITLINK__" hidden="1">{"fdsup://directions/FAT Viewer?action=UPDATE&amp;creator=factset&amp;DYN_ARGS=TRUE&amp;DOC_NAME=FAT:FQL_AUDITING_CLIENT_TEMPLATE.FAT&amp;display_string=Audit&amp;VAR:KEY=FSXQJILODS&amp;VAR:QUERY=RkZfSU5UX0NPVkcoQU5OLDIwMDkp&amp;WINDOW=FIRST_POPUP&amp;HEIGHT=450&amp;WIDTH=450&amp;START_MAXIMIZED=","FALSE&amp;VAR:CALENDAR=FIVEDAY&amp;VAR:SYMBOL=386&amp;VAR:INDEX=0"}</definedName>
    <definedName name="_387__FDSAUDITLINK__" hidden="1">{"fdsup://directions/FAT Viewer?action=UPDATE&amp;creator=factset&amp;DYN_ARGS=TRUE&amp;DOC_NAME=FAT:FQL_AUDITING_CLIENT_TEMPLATE.FAT&amp;display_string=Audit&amp;VAR:KEY=TWZSDAFWHA&amp;VAR:QUERY=RkZfUEFZX09VVF9SQVRJTyhBTk4sMjAwOSk=&amp;WINDOW=FIRST_POPUP&amp;HEIGHT=450&amp;WIDTH=450&amp;START_MA","XIMIZED=FALSE&amp;VAR:CALENDAR=FIVEDAY&amp;VAR:SYMBOL=386&amp;VAR:INDEX=0"}</definedName>
    <definedName name="_388__FDSAUDITLINK__" hidden="1">{"fdsup://directions/FAT Viewer?action=UPDATE&amp;creator=factset&amp;DYN_ARGS=TRUE&amp;DOC_NAME=FAT:FQL_AUDITING_CLIENT_TEMPLATE.FAT&amp;display_string=Audit&amp;VAR:KEY=VCLCJKJGRO&amp;VAR:QUERY=RkZfREVCVF9BU1NFVFMoQU5OLDIwMDkp&amp;WINDOW=FIRST_POPUP&amp;HEIGHT=450&amp;WIDTH=450&amp;START_MAXIMI","ZED=FALSE&amp;VAR:CALENDAR=FIVEDAY&amp;VAR:SYMBOL=386&amp;VAR:INDEX=0"}</definedName>
    <definedName name="_389__FDSAUDITLINK__" hidden="1">{"fdsup://directions/FAT Viewer?action=UPDATE&amp;creator=factset&amp;DYN_ARGS=TRUE&amp;DOC_NAME=FAT:FQL_AUDITING_CLIENT_TEMPLATE.FAT&amp;display_string=Audit&amp;VAR:KEY=DCTENSDEJI&amp;VAR:QUERY=RkZfREVCVF9BU1NFVFMoQU5OLDIwMDgp&amp;WINDOW=FIRST_POPUP&amp;HEIGHT=450&amp;WIDTH=450&amp;START_MAXIMI","ZED=FALSE&amp;VAR:CALENDAR=FIVEDAY&amp;VAR:SYMBOL=386&amp;VAR:INDEX=0"}</definedName>
    <definedName name="_39__123Graph_BCHART_8" hidden="1">'[4]E Asia'!$B$51:$V$51</definedName>
    <definedName name="_39__123Graph_XCHART_30" hidden="1">[5]Menu!$AF$15:$AO$15</definedName>
    <definedName name="_39__123Graph_XChart_5" hidden="1">'[8]sales vol.'!$I$1632:$I$1635</definedName>
    <definedName name="_39__FDSAUDITLINK__" hidden="1">{"fdsup://directions/FAT Viewer?action=UPDATE&amp;creator=factset&amp;DYN_ARGS=TRUE&amp;DOC_NAME=FAT:FQL_AUDITING_CLIENT_TEMPLATE.FAT&amp;display_string=Audit&amp;VAR:KEY=YROFWRWLSN&amp;VAR:QUERY=RkZfRU5UUlBSX1ZBTF9EQUlMWSg0MDM2NiwsLCwsJ0RJTCcp&amp;WINDOW=FIRST_POPUP&amp;HEIGHT=450&amp;WIDTH=","450&amp;START_MAXIMIZED=FALSE&amp;VAR:CALENDAR=FIVEDAY&amp;VAR:SYMBOL=B3LVC2&amp;VAR:INDEX=0"}</definedName>
    <definedName name="_390__FDSAUDITLINK__" hidden="1">{"fdsup://directions/FAT Viewer?action=UPDATE&amp;creator=factset&amp;DYN_ARGS=TRUE&amp;DOC_NAME=FAT:FQL_AUDITING_CLIENT_TEMPLATE.FAT&amp;display_string=Audit&amp;VAR:KEY=HUDSDOFOXW&amp;VAR:QUERY=RkZfREVCVF9BU1NFVFMoQU5OLDIwMDcp&amp;WINDOW=FIRST_POPUP&amp;HEIGHT=450&amp;WIDTH=450&amp;START_MAXIMI","ZED=FALSE&amp;VAR:CALENDAR=FIVEDAY&amp;VAR:SYMBOL=386&amp;VAR:INDEX=0"}</definedName>
    <definedName name="_391__FDSAUDITLINK__" hidden="1">{"fdsup://directions/FAT Viewer?action=UPDATE&amp;creator=factset&amp;DYN_ARGS=TRUE&amp;DOC_NAME=FAT:FQL_AUDITING_CLIENT_TEMPLATE.FAT&amp;display_string=Audit&amp;VAR:KEY=POVAPIJMTQ&amp;VAR:QUERY=RkZfREVCVF9BU1NFVFMoQU5OLDIwMDYp&amp;WINDOW=FIRST_POPUP&amp;HEIGHT=450&amp;WIDTH=450&amp;START_MAXIMI","ZED=FALSE&amp;VAR:CALENDAR=FIVEDAY&amp;VAR:SYMBOL=386&amp;VAR:INDEX=0"}</definedName>
    <definedName name="_392__FDSAUDITLINK__" hidden="1">{"fdsup://directions/FAT Viewer?action=UPDATE&amp;creator=factset&amp;DYN_ARGS=TRUE&amp;DOC_NAME=FAT:FQL_AUDITING_CLIENT_TEMPLATE.FAT&amp;display_string=Audit&amp;VAR:KEY=TSFKDUBWXK&amp;VAR:QUERY=RkZfREVCVF9FUShBTk4sMjAwOSk=&amp;WINDOW=FIRST_POPUP&amp;HEIGHT=450&amp;WIDTH=450&amp;START_MAXIMIZED=","FALSE&amp;VAR:CALENDAR=FIVEDAY&amp;VAR:SYMBOL=386&amp;VAR:INDEX=0"}</definedName>
    <definedName name="_393__FDSAUDITLINK__" hidden="1">{"fdsup://directions/FAT Viewer?action=UPDATE&amp;creator=factset&amp;DYN_ARGS=TRUE&amp;DOC_NAME=FAT:FQL_AUDITING_CLIENT_TEMPLATE.FAT&amp;display_string=Audit&amp;VAR:KEY=BUBOJIXADE&amp;VAR:QUERY=RkZfREVCVF9FUShBTk4sMjAwOCk=&amp;WINDOW=FIRST_POPUP&amp;HEIGHT=450&amp;WIDTH=450&amp;START_MAXIMIZED=","FALSE&amp;VAR:CALENDAR=FIVEDAY&amp;VAR:SYMBOL=386&amp;VAR:INDEX=0"}</definedName>
    <definedName name="_394__FDSAUDITLINK__" hidden="1">{"fdsup://directions/FAT Viewer?action=UPDATE&amp;creator=factset&amp;DYN_ARGS=TRUE&amp;DOC_NAME=FAT:FQL_AUDITING_CLIENT_TEMPLATE.FAT&amp;display_string=Audit&amp;VAR:KEY=XQBEZOZODC&amp;VAR:QUERY=RkZfREVCVF9FUShBTk4sMjAwNyk=&amp;WINDOW=FIRST_POPUP&amp;HEIGHT=450&amp;WIDTH=450&amp;START_MAXIMIZED=","FALSE&amp;VAR:CALENDAR=FIVEDAY&amp;VAR:SYMBOL=386&amp;VAR:INDEX=0"}</definedName>
    <definedName name="_395__FDSAUDITLINK__" hidden="1">{"fdsup://directions/FAT Viewer?action=UPDATE&amp;creator=factset&amp;DYN_ARGS=TRUE&amp;DOC_NAME=FAT:FQL_AUDITING_CLIENT_TEMPLATE.FAT&amp;display_string=Audit&amp;VAR:KEY=FITOPSZOBU&amp;VAR:QUERY=RkZfREVCVF9FUShBTk4sMjAwNik=&amp;WINDOW=FIRST_POPUP&amp;HEIGHT=450&amp;WIDTH=450&amp;START_MAXIMIZED=","FALSE&amp;VAR:CALENDAR=FIVEDAY&amp;VAR:SYMBOL=386&amp;VAR:INDEX=0"}</definedName>
    <definedName name="_396__FDSAUDITLINK__" hidden="1">{"fdsup://directions/FAT Viewer?action=UPDATE&amp;creator=factset&amp;DYN_ARGS=TRUE&amp;DOC_NAME=FAT:FQL_AUDITING_CLIENT_TEMPLATE.FAT&amp;display_string=Audit&amp;VAR:KEY=ZEDGLIJGZS&amp;VAR:QUERY=RkZfTkVUX0RFQlQoQU5OLDIwMDkpL0ZGX1NITERSU19FUShBTk4sMjAwOSk=&amp;WINDOW=FIRST_POPUP&amp;HEIGH","T=450&amp;WIDTH=450&amp;START_MAXIMIZED=FALSE&amp;VAR:CALENDAR=FIVEDAY&amp;VAR:SYMBOL=386&amp;VAR:INDEX=0"}</definedName>
    <definedName name="_397__FDSAUDITLINK__" hidden="1">{"fdsup://directions/FAT Viewer?action=UPDATE&amp;creator=factset&amp;DYN_ARGS=TRUE&amp;DOC_NAME=FAT:FQL_AUDITING_CLIENT_TEMPLATE.FAT&amp;display_string=Audit&amp;VAR:KEY=BCNQPGZWH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386&amp;VAR:INDEX=0"}</definedName>
    <definedName name="_398__FDSAUDITLINK__" hidden="1">{"fdsup://directions/FAT Viewer?action=UPDATE&amp;creator=factset&amp;DYN_ARGS=TRUE&amp;DOC_NAME=FAT:FQL_AUDITING_CLIENT_TEMPLATE.FAT&amp;display_string=Audit&amp;VAR:KEY=XKHARMLKZI&amp;VAR:QUERY=KEZGX05FVF9JTkMoQU5OLDIwMDkpL0ZGX05FVF9JTkMoQU5OLDIwMDgpKS0x&amp;WINDOW=FIRST_POPUP&amp;HEIGH","T=450&amp;WIDTH=450&amp;START_MAXIMIZED=FALSE&amp;VAR:CALENDAR=FIVEDAY&amp;VAR:SYMBOL=386&amp;VAR:INDEX=0"}</definedName>
    <definedName name="_399__FDSAUDITLINK__" hidden="1">{"fdsup://directions/FAT Viewer?action=UPDATE&amp;creator=factset&amp;DYN_ARGS=TRUE&amp;DOC_NAME=FAT:FQL_AUDITING_CLIENT_TEMPLATE.FAT&amp;display_string=Audit&amp;VAR:KEY=LSFOZQNYTO&amp;VAR:QUERY=RkZfTkVUX01HTihBTk4sMjAwOSk=&amp;WINDOW=FIRST_POPUP&amp;HEIGHT=450&amp;WIDTH=450&amp;START_MAXIMIZED=","FALSE&amp;VAR:CALENDAR=FIVEDAY&amp;VAR:SYMBOL=386&amp;VAR:INDEX=0"}</definedName>
    <definedName name="_4__123Graph_ACHART_12" hidden="1">'[4]E Asia'!$B$28:$V$28</definedName>
    <definedName name="_4__FDSAUDITLINK__" hidden="1">{"fdsup://directions/FAT Viewer?action=UPDATE&amp;creator=factset&amp;DYN_ARGS=TRUE&amp;DOC_NAME=FAT:FQL_AUDITING_CLIENT_TEMPLATE.FAT&amp;display_string=Audit&amp;VAR:KEY=KPUZOZGRKX&amp;VAR:QUERY=RkZfRU5UUlBSX1ZBTF9EQUlMWSg0MDM2NiwsLCxVU0QsJ0RJTCcp&amp;WINDOW=FIRST_POPUP&amp;HEIGHT=450&amp;WI","DTH=450&amp;START_MAXIMIZED=FALSE&amp;VAR:CALENDAR=FIVEDAY&amp;VAR:SYMBOL=12120820&amp;VAR:INDEX=0"}</definedName>
    <definedName name="_40__123Graph_BCHART_9" hidden="1">'[4]E Eur'!$B$21:$V$21</definedName>
    <definedName name="_40__123Graph_XChart_6" hidden="1">'[8]sales vol.'!$I$2248:$I$2251</definedName>
    <definedName name="_40__FDSAUDITLINK__" hidden="1">{"fdsup://directions/FAT Viewer?action=UPDATE&amp;creator=factset&amp;DYN_ARGS=TRUE&amp;DOC_NAME=FAT:FQL_AUDITING_CLIENT_TEMPLATE.FAT&amp;display_string=Audit&amp;VAR:KEY=ENGHOJSZUR&amp;VAR:QUERY=RkZfRU5UUlBSX1ZBTF9EQUlMWSg0MDM2NiwsLCwsJ0RJTCcp&amp;WINDOW=FIRST_POPUP&amp;HEIGHT=450&amp;WIDTH=","450&amp;START_MAXIMIZED=FALSE&amp;VAR:CALENDAR=FIVEDAY&amp;VAR:SYMBOL=B3Z9VV&amp;VAR:INDEX=0"}</definedName>
    <definedName name="_400__FDSAUDITLINK__" hidden="1">{"fdsup://directions/FAT Viewer?action=UPDATE&amp;creator=factset&amp;DYN_ARGS=TRUE&amp;DOC_NAME=FAT:FQL_AUDITING_CLIENT_TEMPLATE.FAT&amp;display_string=Audit&amp;VAR:KEY=BOZULOLMVE&amp;VAR:QUERY=RkZfTkVUX01HTihBTk4sMjAwOCk=&amp;WINDOW=FIRST_POPUP&amp;HEIGHT=450&amp;WIDTH=450&amp;START_MAXIMIZED=","FALSE&amp;VAR:CALENDAR=FIVEDAY&amp;VAR:SYMBOL=386&amp;VAR:INDEX=0"}</definedName>
    <definedName name="_401__FDSAUDITLINK__" hidden="1">{"fdsup://directions/FAT Viewer?action=UPDATE&amp;creator=factset&amp;DYN_ARGS=TRUE&amp;DOC_NAME=FAT:FQL_AUDITING_CLIENT_TEMPLATE.FAT&amp;display_string=Audit&amp;VAR:KEY=PYZQPUJGPO&amp;VAR:QUERY=RkZfTkVUX01HTihBTk4sMjAwNyk=&amp;WINDOW=FIRST_POPUP&amp;HEIGHT=450&amp;WIDTH=450&amp;START_MAXIMIZED=","FALSE&amp;VAR:CALENDAR=FIVEDAY&amp;VAR:SYMBOL=386&amp;VAR:INDEX=0"}</definedName>
    <definedName name="_402__FDSAUDITLINK__" hidden="1">{"fdsup://directions/FAT Viewer?action=UPDATE&amp;creator=factset&amp;DYN_ARGS=TRUE&amp;DOC_NAME=FAT:FQL_AUDITING_CLIENT_TEMPLATE.FAT&amp;display_string=Audit&amp;VAR:KEY=DQZYHEJWZI&amp;VAR:QUERY=RkZfTkVUX01HTihBTk4sMjAwNik=&amp;WINDOW=FIRST_POPUP&amp;HEIGHT=450&amp;WIDTH=450&amp;START_MAXIMIZED=","FALSE&amp;VAR:CALENDAR=FIVEDAY&amp;VAR:SYMBOL=386&amp;VAR:INDEX=0"}</definedName>
    <definedName name="_403__FDSAUDITLINK__" hidden="1">{"fdsup://directions/FAT Viewer?action=UPDATE&amp;creator=factset&amp;DYN_ARGS=TRUE&amp;DOC_NAME=FAT:FQL_AUDITING_CLIENT_TEMPLATE.FAT&amp;display_string=Audit&amp;VAR:KEY=BGRMLSVGPU&amp;VAR:QUERY=RkZfUk9BKEFOTiwyMDA5KQ==&amp;WINDOW=FIRST_POPUP&amp;HEIGHT=450&amp;WIDTH=450&amp;START_MAXIMIZED=FALS","E&amp;VAR:CALENDAR=FIVEDAY&amp;VAR:SYMBOL=386&amp;VAR:INDEX=0"}</definedName>
    <definedName name="_404__FDSAUDITLINK__" hidden="1">{"fdsup://directions/FAT Viewer?action=UPDATE&amp;creator=factset&amp;DYN_ARGS=TRUE&amp;DOC_NAME=FAT:FQL_AUDITING_CLIENT_TEMPLATE.FAT&amp;display_string=Audit&amp;VAR:KEY=BGXGFWLCTU&amp;VAR:QUERY=RkZfUk9BKEFOTiwyMDA4KQ==&amp;WINDOW=FIRST_POPUP&amp;HEIGHT=450&amp;WIDTH=450&amp;START_MAXIMIZED=FALS","E&amp;VAR:CALENDAR=FIVEDAY&amp;VAR:SYMBOL=386&amp;VAR:INDEX=0"}</definedName>
    <definedName name="_405__FDSAUDITLINK__" hidden="1">{"fdsup://directions/FAT Viewer?action=UPDATE&amp;creator=factset&amp;DYN_ARGS=TRUE&amp;DOC_NAME=FAT:FQL_AUDITING_CLIENT_TEMPLATE.FAT&amp;display_string=Audit&amp;VAR:KEY=XEBOJUDWTY&amp;VAR:QUERY=RkZfUk9BKEFOTiwyMDA3KQ==&amp;WINDOW=FIRST_POPUP&amp;HEIGHT=450&amp;WIDTH=450&amp;START_MAXIMIZED=FALS","E&amp;VAR:CALENDAR=FIVEDAY&amp;VAR:SYMBOL=386&amp;VAR:INDEX=0"}</definedName>
    <definedName name="_406__FDSAUDITLINK__" hidden="1">{"fdsup://directions/FAT Viewer?action=UPDATE&amp;creator=factset&amp;DYN_ARGS=TRUE&amp;DOC_NAME=FAT:FQL_AUDITING_CLIENT_TEMPLATE.FAT&amp;display_string=Audit&amp;VAR:KEY=ZKXYBGRGLO&amp;VAR:QUERY=RkZfUk9BKEFOTiwyMDA2KQ==&amp;WINDOW=FIRST_POPUP&amp;HEIGHT=450&amp;WIDTH=450&amp;START_MAXIMIZED=FALS","E&amp;VAR:CALENDAR=FIVEDAY&amp;VAR:SYMBOL=386&amp;VAR:INDEX=0"}</definedName>
    <definedName name="_407__FDSAUDITLINK__" hidden="1">{"fdsup://directions/FAT Viewer?action=UPDATE&amp;creator=factset&amp;DYN_ARGS=TRUE&amp;DOC_NAME=FAT:FQL_AUDITING_CLIENT_TEMPLATE.FAT&amp;display_string=Audit&amp;VAR:KEY=HMTOTKJQVS&amp;VAR:QUERY=RkZfUk9FKEFOTiwyMDA5KQ==&amp;WINDOW=FIRST_POPUP&amp;HEIGHT=450&amp;WIDTH=450&amp;START_MAXIMIZED=FALS","E&amp;VAR:CALENDAR=FIVEDAY&amp;VAR:SYMBOL=386&amp;VAR:INDEX=0"}</definedName>
    <definedName name="_408__FDSAUDITLINK__" hidden="1">{"fdsup://directions/FAT Viewer?action=UPDATE&amp;creator=factset&amp;DYN_ARGS=TRUE&amp;DOC_NAME=FAT:FQL_AUDITING_CLIENT_TEMPLATE.FAT&amp;display_string=Audit&amp;VAR:KEY=XQFKXWZOXI&amp;VAR:QUERY=RkZfUk9FKEFOTiwyMDA4KQ==&amp;WINDOW=FIRST_POPUP&amp;HEIGHT=450&amp;WIDTH=450&amp;START_MAXIMIZED=FALS","E&amp;VAR:CALENDAR=FIVEDAY&amp;VAR:SYMBOL=386&amp;VAR:INDEX=0"}</definedName>
    <definedName name="_409__FDSAUDITLINK__" hidden="1">{"fdsup://directions/FAT Viewer?action=UPDATE&amp;creator=factset&amp;DYN_ARGS=TRUE&amp;DOC_NAME=FAT:FQL_AUDITING_CLIENT_TEMPLATE.FAT&amp;display_string=Audit&amp;VAR:KEY=LOROZAZKDU&amp;VAR:QUERY=RkZfUk9FKEFOTiwyMDA3KQ==&amp;WINDOW=FIRST_POPUP&amp;HEIGHT=450&amp;WIDTH=450&amp;START_MAXIMIZED=FALS","E&amp;VAR:CALENDAR=FIVEDAY&amp;VAR:SYMBOL=386&amp;VAR:INDEX=0"}</definedName>
    <definedName name="_41__123Graph_CCHART_10" hidden="1">'[4]E Eur'!$B$13:$V$13</definedName>
    <definedName name="_41__FDSAUDITLINK__" hidden="1">{"fdsup://directions/FAT Viewer?action=UPDATE&amp;creator=factset&amp;DYN_ARGS=TRUE&amp;DOC_NAME=FAT:FQL_AUDITING_CLIENT_TEMPLATE.FAT&amp;display_string=Audit&amp;VAR:KEY=EBCBIJSFST&amp;VAR:QUERY=RkZfRU5UUlBSX1ZBTF9EQUlMWSg0MDM2NiwsLCxVU0QsJ0RJTCcp&amp;WINDOW=FIRST_POPUP&amp;HEIGHT=450&amp;WI","DTH=450&amp;START_MAXIMIZED=FALSE&amp;VAR:CALENDAR=FIVEDAY&amp;VAR:SYMBOL=B288V4&amp;VAR:INDEX=0"}</definedName>
    <definedName name="_410__FDSAUDITLINK__" hidden="1">{"fdsup://directions/FAT Viewer?action=UPDATE&amp;creator=factset&amp;DYN_ARGS=TRUE&amp;DOC_NAME=FAT:FQL_AUDITING_CLIENT_TEMPLATE.FAT&amp;display_string=Audit&amp;VAR:KEY=BWHCFCNCFA&amp;VAR:QUERY=RkZfUk9FKEFOTiwyMDA2KQ==&amp;WINDOW=FIRST_POPUP&amp;HEIGHT=450&amp;WIDTH=450&amp;START_MAXIMIZED=FALS","E&amp;VAR:CALENDAR=FIVEDAY&amp;VAR:SYMBOL=386&amp;VAR:INDEX=0"}</definedName>
    <definedName name="_411__FDSAUDITLINK__" hidden="1">{"fdsup://directions/FAT Viewer?action=UPDATE&amp;creator=factset&amp;DYN_ARGS=TRUE&amp;DOC_NAME=FAT:FQL_AUDITING_CLIENT_TEMPLATE.FAT&amp;display_string=Audit&amp;VAR:KEY=VKJWJQBMZY&amp;VAR:QUERY=KEVDQV9NRUFOX0VQUygyMDA5LDQwNzM1KS9GRl9FUFMoQU5OLDIwMDgsLCwsRUNfQ1VSUigpKSktMS4wMDAwM","DA=&amp;WINDOW=FIRST_POPUP&amp;HEIGHT=450&amp;WIDTH=450&amp;START_MAXIMIZED=FALSE&amp;VAR:CALENDAR=FIVEDAY&amp;VAR:SYMBOL=386&amp;VAR:INDEX=0"}</definedName>
    <definedName name="_412__FDSAUDITLINK__" hidden="1">{"fdsup://directions/FAT Viewer?action=UPDATE&amp;creator=factset&amp;DYN_ARGS=TRUE&amp;DOC_NAME=FAT:FQL_AUDITING_CLIENT_TEMPLATE.FAT&amp;display_string=Audit&amp;VAR:KEY=NYNKLQHAHC&amp;VAR:QUERY=RkZfSU5UX0NPVkcoQU5OLDIwMDkp&amp;WINDOW=FIRST_POPUP&amp;HEIGHT=450&amp;WIDTH=450&amp;START_MAXIMIZED=","FALSE&amp;VAR:CALENDAR=FIVEDAY&amp;VAR:SYMBOL=1171&amp;VAR:INDEX=0"}</definedName>
    <definedName name="_413__FDSAUDITLINK__" hidden="1">{"fdsup://directions/FAT Viewer?action=UPDATE&amp;creator=factset&amp;DYN_ARGS=TRUE&amp;DOC_NAME=FAT:FQL_AUDITING_CLIENT_TEMPLATE.FAT&amp;display_string=Audit&amp;VAR:KEY=TMDCXEZEVI&amp;VAR:QUERY=RkZfUEFZX09VVF9SQVRJTyhBTk4sMjAwOSk=&amp;WINDOW=FIRST_POPUP&amp;HEIGHT=450&amp;WIDTH=450&amp;START_MA","XIMIZED=FALSE&amp;VAR:CALENDAR=FIVEDAY&amp;VAR:SYMBOL=1171&amp;VAR:INDEX=0"}</definedName>
    <definedName name="_414__FDSAUDITLINK__" hidden="1">{"fdsup://directions/FAT Viewer?action=UPDATE&amp;creator=factset&amp;DYN_ARGS=TRUE&amp;DOC_NAME=FAT:FQL_AUDITING_CLIENT_TEMPLATE.FAT&amp;display_string=Audit&amp;VAR:KEY=NIHILETQJM&amp;VAR:QUERY=RkZfREVCVF9BU1NFVFMoQU5OLDIwMDkp&amp;WINDOW=FIRST_POPUP&amp;HEIGHT=450&amp;WIDTH=450&amp;START_MAXIMI","ZED=FALSE&amp;VAR:CALENDAR=FIVEDAY&amp;VAR:SYMBOL=1171&amp;VAR:INDEX=0"}</definedName>
    <definedName name="_415__FDSAUDITLINK__" hidden="1">{"fdsup://directions/FAT Viewer?action=UPDATE&amp;creator=factset&amp;DYN_ARGS=TRUE&amp;DOC_NAME=FAT:FQL_AUDITING_CLIENT_TEMPLATE.FAT&amp;display_string=Audit&amp;VAR:KEY=LKXYVMFEJM&amp;VAR:QUERY=RkZfREVCVF9BU1NFVFMoQU5OLDIwMDgp&amp;WINDOW=FIRST_POPUP&amp;HEIGHT=450&amp;WIDTH=450&amp;START_MAXIMI","ZED=FALSE&amp;VAR:CALENDAR=FIVEDAY&amp;VAR:SYMBOL=1171&amp;VAR:INDEX=0"}</definedName>
    <definedName name="_416__FDSAUDITLINK__" hidden="1">{"fdsup://directions/FAT Viewer?action=UPDATE&amp;creator=factset&amp;DYN_ARGS=TRUE&amp;DOC_NAME=FAT:FQL_AUDITING_CLIENT_TEMPLATE.FAT&amp;display_string=Audit&amp;VAR:KEY=DCNWVQLSXE&amp;VAR:QUERY=RkZfREVCVF9BU1NFVFMoQU5OLDIwMDcp&amp;WINDOW=FIRST_POPUP&amp;HEIGHT=450&amp;WIDTH=450&amp;START_MAXIMI","ZED=FALSE&amp;VAR:CALENDAR=FIVEDAY&amp;VAR:SYMBOL=1171&amp;VAR:INDEX=0"}</definedName>
    <definedName name="_417__FDSAUDITLINK__" hidden="1">{"fdsup://directions/FAT Viewer?action=UPDATE&amp;creator=factset&amp;DYN_ARGS=TRUE&amp;DOC_NAME=FAT:FQL_AUDITING_CLIENT_TEMPLATE.FAT&amp;display_string=Audit&amp;VAR:KEY=HGZCNOFQDE&amp;VAR:QUERY=RkZfREVCVF9BU1NFVFMoQU5OLDIwMDYp&amp;WINDOW=FIRST_POPUP&amp;HEIGHT=450&amp;WIDTH=450&amp;START_MAXIMI","ZED=FALSE&amp;VAR:CALENDAR=FIVEDAY&amp;VAR:SYMBOL=1171&amp;VAR:INDEX=0"}</definedName>
    <definedName name="_418__FDSAUDITLINK__" hidden="1">{"fdsup://directions/FAT Viewer?action=UPDATE&amp;creator=factset&amp;DYN_ARGS=TRUE&amp;DOC_NAME=FAT:FQL_AUDITING_CLIENT_TEMPLATE.FAT&amp;display_string=Audit&amp;VAR:KEY=NKLIPSDIDI&amp;VAR:QUERY=RkZfREVCVF9FUShBTk4sMjAwOSk=&amp;WINDOW=FIRST_POPUP&amp;HEIGHT=450&amp;WIDTH=450&amp;START_MAXIMIZED=","FALSE&amp;VAR:CALENDAR=FIVEDAY&amp;VAR:SYMBOL=1171&amp;VAR:INDEX=0"}</definedName>
    <definedName name="_419__FDSAUDITLINK__" hidden="1">{"fdsup://directions/FAT Viewer?action=UPDATE&amp;creator=factset&amp;DYN_ARGS=TRUE&amp;DOC_NAME=FAT:FQL_AUDITING_CLIENT_TEMPLATE.FAT&amp;display_string=Audit&amp;VAR:KEY=TCLCVAFGTE&amp;VAR:QUERY=RkZfREVCVF9FUShBTk4sMjAwOCk=&amp;WINDOW=FIRST_POPUP&amp;HEIGHT=450&amp;WIDTH=450&amp;START_MAXIMIZED=","FALSE&amp;VAR:CALENDAR=FIVEDAY&amp;VAR:SYMBOL=1171&amp;VAR:INDEX=0"}</definedName>
    <definedName name="_42__123Graph_CCHART_14" hidden="1">[4]Mideast!$B$13:$V$13</definedName>
    <definedName name="_42__FDSAUDITLINK__" hidden="1">{"fdsup://directions/FAT Viewer?action=UPDATE&amp;creator=factset&amp;DYN_ARGS=TRUE&amp;DOC_NAME=FAT:FQL_AUDITING_CLIENT_TEMPLATE.FAT&amp;display_string=Audit&amp;VAR:KEY=EPAJEXQZGJ&amp;VAR:QUERY=RkZfRU5UUlBSX1ZBTF9EQUlMWSg0MDM2NiwsLCxVU0QsJ0RJTCcp&amp;WINDOW=FIRST_POPUP&amp;HEIGHT=450&amp;WI","DTH=450&amp;START_MAXIMIZED=FALSE&amp;VAR:CALENDAR=FIVEDAY&amp;VAR:SYMBOL=658653&amp;VAR:INDEX=0"}</definedName>
    <definedName name="_420__FDSAUDITLINK__" hidden="1">{"fdsup://directions/FAT Viewer?action=UPDATE&amp;creator=factset&amp;DYN_ARGS=TRUE&amp;DOC_NAME=FAT:FQL_AUDITING_CLIENT_TEMPLATE.FAT&amp;display_string=Audit&amp;VAR:KEY=HYRUHCRCNI&amp;VAR:QUERY=RkZfREVCVF9FUShBTk4sMjAwNyk=&amp;WINDOW=FIRST_POPUP&amp;HEIGHT=450&amp;WIDTH=450&amp;START_MAXIMIZED=","FALSE&amp;VAR:CALENDAR=FIVEDAY&amp;VAR:SYMBOL=1171&amp;VAR:INDEX=0"}</definedName>
    <definedName name="_421__FDSAUDITLINK__" hidden="1">{"fdsup://directions/FAT Viewer?action=UPDATE&amp;creator=factset&amp;DYN_ARGS=TRUE&amp;DOC_NAME=FAT:FQL_AUDITING_CLIENT_TEMPLATE.FAT&amp;display_string=Audit&amp;VAR:KEY=HOVUNGXQPQ&amp;VAR:QUERY=RkZfREVCVF9FUShBTk4sMjAwNik=&amp;WINDOW=FIRST_POPUP&amp;HEIGHT=450&amp;WIDTH=450&amp;START_MAXIMIZED=","FALSE&amp;VAR:CALENDAR=FIVEDAY&amp;VAR:SYMBOL=1171&amp;VAR:INDEX=0"}</definedName>
    <definedName name="_422__FDSAUDITLINK__" hidden="1">{"fdsup://directions/FAT Viewer?action=UPDATE&amp;creator=factset&amp;DYN_ARGS=TRUE&amp;DOC_NAME=FAT:FQL_AUDITING_CLIENT_TEMPLATE.FAT&amp;display_string=Audit&amp;VAR:KEY=FARMZKPUNS&amp;VAR:QUERY=RkZfTkVUX0RFQlQoQU5OLDIwMDkpL0ZGX1NITERSU19FUShBTk4sMjAwOSk=&amp;WINDOW=FIRST_POPUP&amp;HEIGH","T=450&amp;WIDTH=450&amp;START_MAXIMIZED=FALSE&amp;VAR:CALENDAR=FIVEDAY&amp;VAR:SYMBOL=1171&amp;VAR:INDEX=0"}</definedName>
    <definedName name="_423__FDSAUDITLINK__" hidden="1">{"fdsup://directions/FAT Viewer?action=UPDATE&amp;creator=factset&amp;DYN_ARGS=TRUE&amp;DOC_NAME=FAT:FQL_AUDITING_CLIENT_TEMPLATE.FAT&amp;display_string=Audit&amp;VAR:KEY=BKFCPIVGBU&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1171&amp;VAR:INDEX=0"}</definedName>
    <definedName name="_424__FDSAUDITLINK__" hidden="1">{"fdsup://directions/FAT Viewer?action=UPDATE&amp;creator=factset&amp;DYN_ARGS=TRUE&amp;DOC_NAME=FAT:FQL_AUDITING_CLIENT_TEMPLATE.FAT&amp;display_string=Audit&amp;VAR:KEY=LUDMBIDKPS&amp;VAR:QUERY=KEZGX05FVF9JTkMoQU5OLDIwMDkpL0ZGX05FVF9JTkMoQU5OLDIwMDgpKS0x&amp;WINDOW=FIRST_POPUP&amp;HEIGH","T=450&amp;WIDTH=450&amp;START_MAXIMIZED=FALSE&amp;VAR:CALENDAR=FIVEDAY&amp;VAR:SYMBOL=1171&amp;VAR:INDEX=0"}</definedName>
    <definedName name="_425__FDSAUDITLINK__" hidden="1">{"fdsup://directions/FAT Viewer?action=UPDATE&amp;creator=factset&amp;DYN_ARGS=TRUE&amp;DOC_NAME=FAT:FQL_AUDITING_CLIENT_TEMPLATE.FAT&amp;display_string=Audit&amp;VAR:KEY=BWNSPQVAVM&amp;VAR:QUERY=RkZfTkVUX01HTihBTk4sMjAwOSk=&amp;WINDOW=FIRST_POPUP&amp;HEIGHT=450&amp;WIDTH=450&amp;START_MAXIMIZED=","FALSE&amp;VAR:CALENDAR=FIVEDAY&amp;VAR:SYMBOL=1171&amp;VAR:INDEX=0"}</definedName>
    <definedName name="_426__FDSAUDITLINK__" hidden="1">{"fdsup://directions/FAT Viewer?action=UPDATE&amp;creator=factset&amp;DYN_ARGS=TRUE&amp;DOC_NAME=FAT:FQL_AUDITING_CLIENT_TEMPLATE.FAT&amp;display_string=Audit&amp;VAR:KEY=DIRKRYZGLW&amp;VAR:QUERY=RkZfTkVUX01HTihBTk4sMjAwOCk=&amp;WINDOW=FIRST_POPUP&amp;HEIGHT=450&amp;WIDTH=450&amp;START_MAXIMIZED=","FALSE&amp;VAR:CALENDAR=FIVEDAY&amp;VAR:SYMBOL=1171&amp;VAR:INDEX=0"}</definedName>
    <definedName name="_427__FDSAUDITLINK__" hidden="1">{"fdsup://directions/FAT Viewer?action=UPDATE&amp;creator=factset&amp;DYN_ARGS=TRUE&amp;DOC_NAME=FAT:FQL_AUDITING_CLIENT_TEMPLATE.FAT&amp;display_string=Audit&amp;VAR:KEY=JCZEPYDIJK&amp;VAR:QUERY=RkZfTkVUX01HTihBTk4sMjAwNyk=&amp;WINDOW=FIRST_POPUP&amp;HEIGHT=450&amp;WIDTH=450&amp;START_MAXIMIZED=","FALSE&amp;VAR:CALENDAR=FIVEDAY&amp;VAR:SYMBOL=1171&amp;VAR:INDEX=0"}</definedName>
    <definedName name="_428__FDSAUDITLINK__" hidden="1">{"fdsup://directions/FAT Viewer?action=UPDATE&amp;creator=factset&amp;DYN_ARGS=TRUE&amp;DOC_NAME=FAT:FQL_AUDITING_CLIENT_TEMPLATE.FAT&amp;display_string=Audit&amp;VAR:KEY=BUVSHULANQ&amp;VAR:QUERY=RkZfTkVUX01HTihBTk4sMjAwNik=&amp;WINDOW=FIRST_POPUP&amp;HEIGHT=450&amp;WIDTH=450&amp;START_MAXIMIZED=","FALSE&amp;VAR:CALENDAR=FIVEDAY&amp;VAR:SYMBOL=1171&amp;VAR:INDEX=0"}</definedName>
    <definedName name="_429__FDSAUDITLINK__" hidden="1">{"fdsup://directions/FAT Viewer?action=UPDATE&amp;creator=factset&amp;DYN_ARGS=TRUE&amp;DOC_NAME=FAT:FQL_AUDITING_CLIENT_TEMPLATE.FAT&amp;display_string=Audit&amp;VAR:KEY=VEDIXWLORG&amp;VAR:QUERY=RkZfUk9BKEFOTiwyMDA5KQ==&amp;WINDOW=FIRST_POPUP&amp;HEIGHT=450&amp;WIDTH=450&amp;START_MAXIMIZED=FALS","E&amp;VAR:CALENDAR=FIVEDAY&amp;VAR:SYMBOL=1171&amp;VAR:INDEX=0"}</definedName>
    <definedName name="_43__123Graph_CCHART_17" hidden="1">[4]Ocean!$B$13:$V$13</definedName>
    <definedName name="_43__FDSAUDITLINK__" hidden="1">{"fdsup://directions/FAT Viewer?action=UPDATE&amp;creator=factset&amp;DYN_ARGS=TRUE&amp;DOC_NAME=FAT:FQL_AUDITING_CLIENT_TEMPLATE.FAT&amp;display_string=Audit&amp;VAR:KEY=KBSRCJITAB&amp;VAR:QUERY=RkZfRU5UUlBSX1ZBTF9EQUlMWSg0MDM2NiwsLCxVU0QsJ0RJTCcp&amp;WINDOW=FIRST_POPUP&amp;HEIGHT=450&amp;WI","DTH=450&amp;START_MAXIMIZED=FALSE&amp;VAR:CALENDAR=FIVEDAY&amp;VAR:SYMBOL=B51BL7&amp;VAR:INDEX=0"}</definedName>
    <definedName name="_430__FDSAUDITLINK__" hidden="1">{"fdsup://directions/FAT Viewer?action=UPDATE&amp;creator=factset&amp;DYN_ARGS=TRUE&amp;DOC_NAME=FAT:FQL_AUDITING_CLIENT_TEMPLATE.FAT&amp;display_string=Audit&amp;VAR:KEY=VYBSLCDEHA&amp;VAR:QUERY=RkZfUk9BKEFOTiwyMDA4KQ==&amp;WINDOW=FIRST_POPUP&amp;HEIGHT=450&amp;WIDTH=450&amp;START_MAXIMIZED=FALS","E&amp;VAR:CALENDAR=FIVEDAY&amp;VAR:SYMBOL=1171&amp;VAR:INDEX=0"}</definedName>
    <definedName name="_431__FDSAUDITLINK__" hidden="1">{"fdsup://directions/FAT Viewer?action=UPDATE&amp;creator=factset&amp;DYN_ARGS=TRUE&amp;DOC_NAME=FAT:FQL_AUDITING_CLIENT_TEMPLATE.FAT&amp;display_string=Audit&amp;VAR:KEY=XEDIPELYZY&amp;VAR:QUERY=RkZfUk9BKEFOTiwyMDA3KQ==&amp;WINDOW=FIRST_POPUP&amp;HEIGHT=450&amp;WIDTH=450&amp;START_MAXIMIZED=FALS","E&amp;VAR:CALENDAR=FIVEDAY&amp;VAR:SYMBOL=1171&amp;VAR:INDEX=0"}</definedName>
    <definedName name="_432__FDSAUDITLINK__" hidden="1">{"fdsup://directions/FAT Viewer?action=UPDATE&amp;creator=factset&amp;DYN_ARGS=TRUE&amp;DOC_NAME=FAT:FQL_AUDITING_CLIENT_TEMPLATE.FAT&amp;display_string=Audit&amp;VAR:KEY=FWXSLOFKVW&amp;VAR:QUERY=RkZfUk9BKEFOTiwyMDA2KQ==&amp;WINDOW=FIRST_POPUP&amp;HEIGHT=450&amp;WIDTH=450&amp;START_MAXIMIZED=FALS","E&amp;VAR:CALENDAR=FIVEDAY&amp;VAR:SYMBOL=1171&amp;VAR:INDEX=0"}</definedName>
    <definedName name="_433__FDSAUDITLINK__" hidden="1">{"fdsup://directions/FAT Viewer?action=UPDATE&amp;creator=factset&amp;DYN_ARGS=TRUE&amp;DOC_NAME=FAT:FQL_AUDITING_CLIENT_TEMPLATE.FAT&amp;display_string=Audit&amp;VAR:KEY=ZIVMXMXWRE&amp;VAR:QUERY=RkZfUk9FKEFOTiwyMDA5KQ==&amp;WINDOW=FIRST_POPUP&amp;HEIGHT=450&amp;WIDTH=450&amp;START_MAXIMIZED=FALS","E&amp;VAR:CALENDAR=FIVEDAY&amp;VAR:SYMBOL=1171&amp;VAR:INDEX=0"}</definedName>
    <definedName name="_434__FDSAUDITLINK__" hidden="1">{"fdsup://directions/FAT Viewer?action=UPDATE&amp;creator=factset&amp;DYN_ARGS=TRUE&amp;DOC_NAME=FAT:FQL_AUDITING_CLIENT_TEMPLATE.FAT&amp;display_string=Audit&amp;VAR:KEY=BIPGHWJSDK&amp;VAR:QUERY=RkZfUk9FKEFOTiwyMDA4KQ==&amp;WINDOW=FIRST_POPUP&amp;HEIGHT=450&amp;WIDTH=450&amp;START_MAXIMIZED=FALS","E&amp;VAR:CALENDAR=FIVEDAY&amp;VAR:SYMBOL=1171&amp;VAR:INDEX=0"}</definedName>
    <definedName name="_435__FDSAUDITLINK__" hidden="1">{"fdsup://directions/FAT Viewer?action=UPDATE&amp;creator=factset&amp;DYN_ARGS=TRUE&amp;DOC_NAME=FAT:FQL_AUDITING_CLIENT_TEMPLATE.FAT&amp;display_string=Audit&amp;VAR:KEY=TOJMHAPCNE&amp;VAR:QUERY=RkZfUk9FKEFOTiwyMDA3KQ==&amp;WINDOW=FIRST_POPUP&amp;HEIGHT=450&amp;WIDTH=450&amp;START_MAXIMIZED=FALS","E&amp;VAR:CALENDAR=FIVEDAY&amp;VAR:SYMBOL=1171&amp;VAR:INDEX=0"}</definedName>
    <definedName name="_436__FDSAUDITLINK__" hidden="1">{"fdsup://directions/FAT Viewer?action=UPDATE&amp;creator=factset&amp;DYN_ARGS=TRUE&amp;DOC_NAME=FAT:FQL_AUDITING_CLIENT_TEMPLATE.FAT&amp;display_string=Audit&amp;VAR:KEY=XYFCHWXARI&amp;VAR:QUERY=RkZfUk9FKEFOTiwyMDA2KQ==&amp;WINDOW=FIRST_POPUP&amp;HEIGHT=450&amp;WIDTH=450&amp;START_MAXIMIZED=FALS","E&amp;VAR:CALENDAR=FIVEDAY&amp;VAR:SYMBOL=1171&amp;VAR:INDEX=0"}</definedName>
    <definedName name="_437__FDSAUDITLINK__" hidden="1">{"fdsup://directions/FAT Viewer?action=UPDATE&amp;creator=factset&amp;DYN_ARGS=TRUE&amp;DOC_NAME=FAT:FQL_AUDITING_CLIENT_TEMPLATE.FAT&amp;display_string=Audit&amp;VAR:KEY=DYLGNOZSPQ&amp;VAR:QUERY=KEVDQV9NRUFOX0VQUygyMDA5LDQwNzM1KS9GRl9FUFMoQU5OLDIwMDgsLCwsRUNfQ1VSUigpKSktMS4wMDAwM","DA=&amp;WINDOW=FIRST_POPUP&amp;HEIGHT=450&amp;WIDTH=450&amp;START_MAXIMIZED=FALSE&amp;VAR:CALENDAR=FIVEDAY&amp;VAR:SYMBOL=1171&amp;VAR:INDEX=0"}</definedName>
    <definedName name="_438__FDSAUDITLINK__" hidden="1">{"fdsup://directions/FAT Viewer?action=UPDATE&amp;creator=factset&amp;DYN_ARGS=TRUE&amp;DOC_NAME=FAT:FQL_AUDITING_CLIENT_TEMPLATE.FAT&amp;display_string=Audit&amp;VAR:KEY=ZORMPCHQRM&amp;VAR:QUERY=RkZfSU5UX0NPVkcoQU5OLDIwMDkp&amp;WINDOW=FIRST_POPUP&amp;HEIGHT=450&amp;WIDTH=450&amp;START_MAXIMIZED=","FALSE&amp;VAR:CALENDAR=FIVEDAY&amp;VAR:SYMBOL=2883&amp;VAR:INDEX=0"}</definedName>
    <definedName name="_439__FDSAUDITLINK__" hidden="1">{"fdsup://directions/FAT Viewer?action=UPDATE&amp;creator=factset&amp;DYN_ARGS=TRUE&amp;DOC_NAME=FAT:FQL_AUDITING_CLIENT_TEMPLATE.FAT&amp;display_string=Audit&amp;VAR:KEY=HIDATUFYJI&amp;VAR:QUERY=RkZfUEFZX09VVF9SQVRJTyhBTk4sMjAwOSk=&amp;WINDOW=FIRST_POPUP&amp;HEIGHT=450&amp;WIDTH=450&amp;START_MA","XIMIZED=FALSE&amp;VAR:CALENDAR=FIVEDAY&amp;VAR:SYMBOL=2883&amp;VAR:INDEX=0"}</definedName>
    <definedName name="_44__123Graph_CCHART_2" hidden="1">[4]Africa!$B$13:$V$13</definedName>
    <definedName name="_44__FDSAUDITLINK__" hidden="1">{"fdsup://directions/FAT Viewer?action=UPDATE&amp;creator=factset&amp;DYN_ARGS=TRUE&amp;DOC_NAME=FAT:FQL_AUDITING_CLIENT_TEMPLATE.FAT&amp;display_string=Audit&amp;VAR:KEY=WTMHUJSXMB&amp;VAR:QUERY=RkZfRU5UUlBSX1ZBTF9EQUlMWSg0MDM2NiwsLCxVU0QsJ0RJTCcp&amp;WINDOW=FIRST_POPUP&amp;HEIGHT=450&amp;WI","DTH=450&amp;START_MAXIMIZED=FALSE&amp;VAR:CALENDAR=FIVEDAY&amp;VAR:SYMBOL=B01JCK&amp;VAR:INDEX=0"}</definedName>
    <definedName name="_440__FDSAUDITLINK__" hidden="1">{"fdsup://directions/FAT Viewer?action=UPDATE&amp;creator=factset&amp;DYN_ARGS=TRUE&amp;DOC_NAME=FAT:FQL_AUDITING_CLIENT_TEMPLATE.FAT&amp;display_string=Audit&amp;VAR:KEY=NQBOTIFKZE&amp;VAR:QUERY=RkZfREVCVF9BU1NFVFMoQU5OLDIwMDkp&amp;WINDOW=FIRST_POPUP&amp;HEIGHT=450&amp;WIDTH=450&amp;START_MAXIMI","ZED=FALSE&amp;VAR:CALENDAR=FIVEDAY&amp;VAR:SYMBOL=2883&amp;VAR:INDEX=0"}</definedName>
    <definedName name="_441__FDSAUDITLINK__" hidden="1">{"fdsup://directions/FAT Viewer?action=UPDATE&amp;creator=factset&amp;DYN_ARGS=TRUE&amp;DOC_NAME=FAT:FQL_AUDITING_CLIENT_TEMPLATE.FAT&amp;display_string=Audit&amp;VAR:KEY=JUDWPANINY&amp;VAR:QUERY=RkZfREVCVF9BU1NFVFMoQU5OLDIwMDgp&amp;WINDOW=FIRST_POPUP&amp;HEIGHT=450&amp;WIDTH=450&amp;START_MAXIMI","ZED=FALSE&amp;VAR:CALENDAR=FIVEDAY&amp;VAR:SYMBOL=2883&amp;VAR:INDEX=0"}</definedName>
    <definedName name="_442__FDSAUDITLINK__" hidden="1">{"fdsup://directions/FAT Viewer?action=UPDATE&amp;creator=factset&amp;DYN_ARGS=TRUE&amp;DOC_NAME=FAT:FQL_AUDITING_CLIENT_TEMPLATE.FAT&amp;display_string=Audit&amp;VAR:KEY=FAPUNSFWJY&amp;VAR:QUERY=RkZfREVCVF9BU1NFVFMoQU5OLDIwMDcp&amp;WINDOW=FIRST_POPUP&amp;HEIGHT=450&amp;WIDTH=450&amp;START_MAXIMI","ZED=FALSE&amp;VAR:CALENDAR=FIVEDAY&amp;VAR:SYMBOL=2883&amp;VAR:INDEX=0"}</definedName>
    <definedName name="_443__FDSAUDITLINK__" hidden="1">{"fdsup://directions/FAT Viewer?action=UPDATE&amp;creator=factset&amp;DYN_ARGS=TRUE&amp;DOC_NAME=FAT:FQL_AUDITING_CLIENT_TEMPLATE.FAT&amp;display_string=Audit&amp;VAR:KEY=DWZYHQLYPW&amp;VAR:QUERY=RkZfREVCVF9BU1NFVFMoQU5OLDIwMDYp&amp;WINDOW=FIRST_POPUP&amp;HEIGHT=450&amp;WIDTH=450&amp;START_MAXIMI","ZED=FALSE&amp;VAR:CALENDAR=FIVEDAY&amp;VAR:SYMBOL=2883&amp;VAR:INDEX=0"}</definedName>
    <definedName name="_444__FDSAUDITLINK__" hidden="1">{"fdsup://directions/FAT Viewer?action=UPDATE&amp;creator=factset&amp;DYN_ARGS=TRUE&amp;DOC_NAME=FAT:FQL_AUDITING_CLIENT_TEMPLATE.FAT&amp;display_string=Audit&amp;VAR:KEY=HILQPEHSZW&amp;VAR:QUERY=RkZfREVCVF9FUShBTk4sMjAwOSk=&amp;WINDOW=FIRST_POPUP&amp;HEIGHT=450&amp;WIDTH=450&amp;START_MAXIMIZED=","FALSE&amp;VAR:CALENDAR=FIVEDAY&amp;VAR:SYMBOL=2883&amp;VAR:INDEX=0"}</definedName>
    <definedName name="_445__FDSAUDITLINK__" hidden="1">{"fdsup://directions/FAT Viewer?action=UPDATE&amp;creator=factset&amp;DYN_ARGS=TRUE&amp;DOC_NAME=FAT:FQL_AUDITING_CLIENT_TEMPLATE.FAT&amp;display_string=Audit&amp;VAR:KEY=HSXEZQRIFY&amp;VAR:QUERY=RkZfREVCVF9FUShBTk4sMjAwOCk=&amp;WINDOW=FIRST_POPUP&amp;HEIGHT=450&amp;WIDTH=450&amp;START_MAXIMIZED=","FALSE&amp;VAR:CALENDAR=FIVEDAY&amp;VAR:SYMBOL=2883&amp;VAR:INDEX=0"}</definedName>
    <definedName name="_446__FDSAUDITLINK__" hidden="1">{"fdsup://directions/FAT Viewer?action=UPDATE&amp;creator=factset&amp;DYN_ARGS=TRUE&amp;DOC_NAME=FAT:FQL_AUDITING_CLIENT_TEMPLATE.FAT&amp;display_string=Audit&amp;VAR:KEY=ZOXGHULCXA&amp;VAR:QUERY=RkZfREVCVF9FUShBTk4sMjAwNyk=&amp;WINDOW=FIRST_POPUP&amp;HEIGHT=450&amp;WIDTH=450&amp;START_MAXIMIZED=","FALSE&amp;VAR:CALENDAR=FIVEDAY&amp;VAR:SYMBOL=2883&amp;VAR:INDEX=0"}</definedName>
    <definedName name="_447__FDSAUDITLINK__" hidden="1">{"fdsup://directions/FAT Viewer?action=UPDATE&amp;creator=factset&amp;DYN_ARGS=TRUE&amp;DOC_NAME=FAT:FQL_AUDITING_CLIENT_TEMPLATE.FAT&amp;display_string=Audit&amp;VAR:KEY=XYJIPEVYNQ&amp;VAR:QUERY=RkZfREVCVF9FUShBTk4sMjAwNik=&amp;WINDOW=FIRST_POPUP&amp;HEIGHT=450&amp;WIDTH=450&amp;START_MAXIMIZED=","FALSE&amp;VAR:CALENDAR=FIVEDAY&amp;VAR:SYMBOL=2883&amp;VAR:INDEX=0"}</definedName>
    <definedName name="_448__FDSAUDITLINK__" hidden="1">{"fdsup://directions/FAT Viewer?action=UPDATE&amp;creator=factset&amp;DYN_ARGS=TRUE&amp;DOC_NAME=FAT:FQL_AUDITING_CLIENT_TEMPLATE.FAT&amp;display_string=Audit&amp;VAR:KEY=BMVWPMXCPO&amp;VAR:QUERY=RkZfTkVUX0RFQlQoQU5OLDIwMDkpL0ZGX1NITERSU19FUShBTk4sMjAwOSk=&amp;WINDOW=FIRST_POPUP&amp;HEIGH","T=450&amp;WIDTH=450&amp;START_MAXIMIZED=FALSE&amp;VAR:CALENDAR=FIVEDAY&amp;VAR:SYMBOL=2883&amp;VAR:INDEX=0"}</definedName>
    <definedName name="_449__FDSAUDITLINK__" hidden="1">{"fdsup://directions/FAT Viewer?action=UPDATE&amp;creator=factset&amp;DYN_ARGS=TRUE&amp;DOC_NAME=FAT:FQL_AUDITING_CLIENT_TEMPLATE.FAT&amp;display_string=Audit&amp;VAR:KEY=RCNQPWVGJE&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2883&amp;VAR:INDEX=0"}</definedName>
    <definedName name="_45__123Graph_CCHART_20" hidden="1">'[4]S Amer'!$B$13:$V$13</definedName>
    <definedName name="_45__FDSAUDITLINK__" hidden="1">{"fdsup://directions/FAT Viewer?action=UPDATE&amp;creator=factset&amp;DYN_ARGS=TRUE&amp;DOC_NAME=FAT:FQL_AUDITING_CLIENT_TEMPLATE.FAT&amp;display_string=Audit&amp;VAR:KEY=KBSJAVQNCR&amp;VAR:QUERY=RkZfRU5UUlBSX1ZBTF9EQUlMWSg0MDM2NiwsLCxVU0QsJ0RJTCcp&amp;WINDOW=FIRST_POPUP&amp;HEIGHT=450&amp;WI","DTH=450&amp;START_MAXIMIZED=FALSE&amp;VAR:CALENDAR=FIVEDAY&amp;VAR:SYMBOL=B1YVKN&amp;VAR:INDEX=0"}</definedName>
    <definedName name="_450__FDSAUDITLINK__" hidden="1">{"fdsup://directions/FAT Viewer?action=UPDATE&amp;creator=factset&amp;DYN_ARGS=TRUE&amp;DOC_NAME=FAT:FQL_AUDITING_CLIENT_TEMPLATE.FAT&amp;display_string=Audit&amp;VAR:KEY=PODUVUTYJI&amp;VAR:QUERY=KEZGX05FVF9JTkMoQU5OLDIwMDkpL0ZGX05FVF9JTkMoQU5OLDIwMDgpKS0x&amp;WINDOW=FIRST_POPUP&amp;HEIGH","T=450&amp;WIDTH=450&amp;START_MAXIMIZED=FALSE&amp;VAR:CALENDAR=FIVEDAY&amp;VAR:SYMBOL=2883&amp;VAR:INDEX=0"}</definedName>
    <definedName name="_451__FDSAUDITLINK__" hidden="1">{"fdsup://directions/FAT Viewer?action=UPDATE&amp;creator=factset&amp;DYN_ARGS=TRUE&amp;DOC_NAME=FAT:FQL_AUDITING_CLIENT_TEMPLATE.FAT&amp;display_string=Audit&amp;VAR:KEY=VODUVABYBG&amp;VAR:QUERY=RkZfTkVUX01HTihBTk4sMjAwOSk=&amp;WINDOW=FIRST_POPUP&amp;HEIGHT=450&amp;WIDTH=450&amp;START_MAXIMIZED=","FALSE&amp;VAR:CALENDAR=FIVEDAY&amp;VAR:SYMBOL=2883&amp;VAR:INDEX=0"}</definedName>
    <definedName name="_452__FDSAUDITLINK__" hidden="1">{"fdsup://directions/FAT Viewer?action=UPDATE&amp;creator=factset&amp;DYN_ARGS=TRUE&amp;DOC_NAME=FAT:FQL_AUDITING_CLIENT_TEMPLATE.FAT&amp;display_string=Audit&amp;VAR:KEY=ROXQDYDAXO&amp;VAR:QUERY=RkZfTkVUX01HTihBTk4sMjAwOCk=&amp;WINDOW=FIRST_POPUP&amp;HEIGHT=450&amp;WIDTH=450&amp;START_MAXIMIZED=","FALSE&amp;VAR:CALENDAR=FIVEDAY&amp;VAR:SYMBOL=2883&amp;VAR:INDEX=0"}</definedName>
    <definedName name="_453__FDSAUDITLINK__" hidden="1">{"fdsup://directions/FAT Viewer?action=UPDATE&amp;creator=factset&amp;DYN_ARGS=TRUE&amp;DOC_NAME=FAT:FQL_AUDITING_CLIENT_TEMPLATE.FAT&amp;display_string=Audit&amp;VAR:KEY=LCLGJUJUXG&amp;VAR:QUERY=RkZfTkVUX01HTihBTk4sMjAwNyk=&amp;WINDOW=FIRST_POPUP&amp;HEIGHT=450&amp;WIDTH=450&amp;START_MAXIMIZED=","FALSE&amp;VAR:CALENDAR=FIVEDAY&amp;VAR:SYMBOL=2883&amp;VAR:INDEX=0"}</definedName>
    <definedName name="_454__FDSAUDITLINK__" hidden="1">{"fdsup://directions/FAT Viewer?action=UPDATE&amp;creator=factset&amp;DYN_ARGS=TRUE&amp;DOC_NAME=FAT:FQL_AUDITING_CLIENT_TEMPLATE.FAT&amp;display_string=Audit&amp;VAR:KEY=LSBADEBMNW&amp;VAR:QUERY=RkZfTkVUX01HTihBTk4sMjAwNik=&amp;WINDOW=FIRST_POPUP&amp;HEIGHT=450&amp;WIDTH=450&amp;START_MAXIMIZED=","FALSE&amp;VAR:CALENDAR=FIVEDAY&amp;VAR:SYMBOL=2883&amp;VAR:INDEX=0"}</definedName>
    <definedName name="_455__FDSAUDITLINK__" hidden="1">{"fdsup://directions/FAT Viewer?action=UPDATE&amp;creator=factset&amp;DYN_ARGS=TRUE&amp;DOC_NAME=FAT:FQL_AUDITING_CLIENT_TEMPLATE.FAT&amp;display_string=Audit&amp;VAR:KEY=VWVCXSPGXK&amp;VAR:QUERY=RkZfUk9BKEFOTiwyMDA5KQ==&amp;WINDOW=FIRST_POPUP&amp;HEIGHT=450&amp;WIDTH=450&amp;START_MAXIMIZED=FALS","E&amp;VAR:CALENDAR=FIVEDAY&amp;VAR:SYMBOL=2883&amp;VAR:INDEX=0"}</definedName>
    <definedName name="_456__FDSAUDITLINK__" hidden="1">{"fdsup://directions/FAT Viewer?action=UPDATE&amp;creator=factset&amp;DYN_ARGS=TRUE&amp;DOC_NAME=FAT:FQL_AUDITING_CLIENT_TEMPLATE.FAT&amp;display_string=Audit&amp;VAR:KEY=RWBWPYJQJM&amp;VAR:QUERY=RkZfUk9BKEFOTiwyMDA4KQ==&amp;WINDOW=FIRST_POPUP&amp;HEIGHT=450&amp;WIDTH=450&amp;START_MAXIMIZED=FALS","E&amp;VAR:CALENDAR=FIVEDAY&amp;VAR:SYMBOL=2883&amp;VAR:INDEX=0"}</definedName>
    <definedName name="_457__FDSAUDITLINK__" hidden="1">{"fdsup://directions/FAT Viewer?action=UPDATE&amp;creator=factset&amp;DYN_ARGS=TRUE&amp;DOC_NAME=FAT:FQL_AUDITING_CLIENT_TEMPLATE.FAT&amp;display_string=Audit&amp;VAR:KEY=BYDQBYRGNY&amp;VAR:QUERY=RkZfUk9BKEFOTiwyMDA3KQ==&amp;WINDOW=FIRST_POPUP&amp;HEIGHT=450&amp;WIDTH=450&amp;START_MAXIMIZED=FALS","E&amp;VAR:CALENDAR=FIVEDAY&amp;VAR:SYMBOL=2883&amp;VAR:INDEX=0"}</definedName>
    <definedName name="_458__FDSAUDITLINK__" hidden="1">{"fdsup://directions/FAT Viewer?action=UPDATE&amp;creator=factset&amp;DYN_ARGS=TRUE&amp;DOC_NAME=FAT:FQL_AUDITING_CLIENT_TEMPLATE.FAT&amp;display_string=Audit&amp;VAR:KEY=NIDUNITCHM&amp;VAR:QUERY=RkZfUk9BKEFOTiwyMDA2KQ==&amp;WINDOW=FIRST_POPUP&amp;HEIGHT=450&amp;WIDTH=450&amp;START_MAXIMIZED=FALS","E&amp;VAR:CALENDAR=FIVEDAY&amp;VAR:SYMBOL=2883&amp;VAR:INDEX=0"}</definedName>
    <definedName name="_459__FDSAUDITLINK__" hidden="1">{"fdsup://directions/FAT Viewer?action=UPDATE&amp;creator=factset&amp;DYN_ARGS=TRUE&amp;DOC_NAME=FAT:FQL_AUDITING_CLIENT_TEMPLATE.FAT&amp;display_string=Audit&amp;VAR:KEY=DADIPCVATU&amp;VAR:QUERY=RkZfUk9FKEFOTiwyMDA5KQ==&amp;WINDOW=FIRST_POPUP&amp;HEIGHT=450&amp;WIDTH=450&amp;START_MAXIMIZED=FALS","E&amp;VAR:CALENDAR=FIVEDAY&amp;VAR:SYMBOL=2883&amp;VAR:INDEX=0"}</definedName>
    <definedName name="_46__123Graph_CCHART_23" hidden="1">'[4]W Eur'!$B$13:$V$13</definedName>
    <definedName name="_46__FDSAUDITLINK__" hidden="1">{"fdsup://directions/FAT Viewer?action=UPDATE&amp;creator=factset&amp;DYN_ARGS=TRUE&amp;DOC_NAME=FAT:FQL_AUDITING_CLIENT_TEMPLATE.FAT&amp;display_string=Audit&amp;VAR:KEY=MTQDUPKZGV&amp;VAR:QUERY=RkZfRU5UUlBSX1ZBTF9EQUlMWSg0MDM2NiwsLCxVU0QsJ0RJTCcp&amp;WINDOW=FIRST_POPUP&amp;HEIGHT=450&amp;WI","DTH=450&amp;START_MAXIMIZED=FALSE&amp;VAR:CALENDAR=FIVEDAY&amp;VAR:SYMBOL=B4L24Y&amp;VAR:INDEX=0"}</definedName>
    <definedName name="_460__FDSAUDITLINK__" hidden="1">{"fdsup://directions/FAT Viewer?action=UPDATE&amp;creator=factset&amp;DYN_ARGS=TRUE&amp;DOC_NAME=FAT:FQL_AUDITING_CLIENT_TEMPLATE.FAT&amp;display_string=Audit&amp;VAR:KEY=ZMZUDYTGDQ&amp;VAR:QUERY=RkZfUk9FKEFOTiwyMDA4KQ==&amp;WINDOW=FIRST_POPUP&amp;HEIGHT=450&amp;WIDTH=450&amp;START_MAXIMIZED=FALS","E&amp;VAR:CALENDAR=FIVEDAY&amp;VAR:SYMBOL=2883&amp;VAR:INDEX=0"}</definedName>
    <definedName name="_461__FDSAUDITLINK__" hidden="1">{"fdsup://directions/FAT Viewer?action=UPDATE&amp;creator=factset&amp;DYN_ARGS=TRUE&amp;DOC_NAME=FAT:FQL_AUDITING_CLIENT_TEMPLATE.FAT&amp;display_string=Audit&amp;VAR:KEY=ZGRKXKLQBG&amp;VAR:QUERY=RkZfUk9FKEFOTiwyMDA3KQ==&amp;WINDOW=FIRST_POPUP&amp;HEIGHT=450&amp;WIDTH=450&amp;START_MAXIMIZED=FALS","E&amp;VAR:CALENDAR=FIVEDAY&amp;VAR:SYMBOL=2883&amp;VAR:INDEX=0"}</definedName>
    <definedName name="_462__FDSAUDITLINK__" hidden="1">{"fdsup://directions/FAT Viewer?action=UPDATE&amp;creator=factset&amp;DYN_ARGS=TRUE&amp;DOC_NAME=FAT:FQL_AUDITING_CLIENT_TEMPLATE.FAT&amp;display_string=Audit&amp;VAR:KEY=VONSRIPQBO&amp;VAR:QUERY=RkZfUk9FKEFOTiwyMDA2KQ==&amp;WINDOW=FIRST_POPUP&amp;HEIGHT=450&amp;WIDTH=450&amp;START_MAXIMIZED=FALS","E&amp;VAR:CALENDAR=FIVEDAY&amp;VAR:SYMBOL=2883&amp;VAR:INDEX=0"}</definedName>
    <definedName name="_463__FDSAUDITLINK__" hidden="1">{"fdsup://directions/FAT Viewer?action=UPDATE&amp;creator=factset&amp;DYN_ARGS=TRUE&amp;DOC_NAME=FAT:FQL_AUDITING_CLIENT_TEMPLATE.FAT&amp;display_string=Audit&amp;VAR:KEY=FETWBYZUPA&amp;VAR:QUERY=KEVDQV9NRUFOX0VQUygyMDA5LDQwNzM1KS9GRl9FUFMoQU5OLDIwMDgsLCwsRUNfQ1VSUigpKSktMS4wMDAwM","DA=&amp;WINDOW=FIRST_POPUP&amp;HEIGHT=450&amp;WIDTH=450&amp;START_MAXIMIZED=FALSE&amp;VAR:CALENDAR=FIVEDAY&amp;VAR:SYMBOL=2883&amp;VAR:INDEX=0"}</definedName>
    <definedName name="_464__FDSAUDITLINK__" hidden="1">{"fdsup://directions/FAT Viewer?action=UPDATE&amp;creator=factset&amp;DYN_ARGS=TRUE&amp;DOC_NAME=FAT:FQL_AUDITING_CLIENT_TEMPLATE.FAT&amp;display_string=Audit&amp;VAR:KEY=TYBGPKXAVQ&amp;VAR:QUERY=RkZfSU5UX0NPVkcoQU5OLDIwMDkp&amp;WINDOW=FIRST_POPUP&amp;HEIGHT=450&amp;WIDTH=450&amp;START_MAXIMIZED=","FALSE&amp;VAR:CALENDAR=FIVEDAY&amp;VAR:SYMBOL=2600.HK&amp;VAR:INDEX=0"}</definedName>
    <definedName name="_465__FDSAUDITLINK__" hidden="1">{"fdsup://directions/FAT Viewer?action=UPDATE&amp;creator=factset&amp;DYN_ARGS=TRUE&amp;DOC_NAME=FAT:FQL_AUDITING_CLIENT_TEMPLATE.FAT&amp;display_string=Audit&amp;VAR:KEY=NQXAZSRMTC&amp;VAR:QUERY=RkZfUEFZX09VVF9SQVRJTyhBTk4sMjAwOSk=&amp;WINDOW=FIRST_POPUP&amp;HEIGHT=450&amp;WIDTH=450&amp;START_MA","XIMIZED=FALSE&amp;VAR:CALENDAR=FIVEDAY&amp;VAR:SYMBOL=2600.HK&amp;VAR:INDEX=0"}</definedName>
    <definedName name="_466__FDSAUDITLINK__" hidden="1">{"fdsup://directions/FAT Viewer?action=UPDATE&amp;creator=factset&amp;DYN_ARGS=TRUE&amp;DOC_NAME=FAT:FQL_AUDITING_CLIENT_TEMPLATE.FAT&amp;display_string=Audit&amp;VAR:KEY=NGJUZGBGBU&amp;VAR:QUERY=RkZfREVCVF9BU1NFVFMoQU5OLDIwMDkp&amp;WINDOW=FIRST_POPUP&amp;HEIGHT=450&amp;WIDTH=450&amp;START_MAXIMI","ZED=FALSE&amp;VAR:CALENDAR=FIVEDAY&amp;VAR:SYMBOL=2600.HK&amp;VAR:INDEX=0"}</definedName>
    <definedName name="_467__FDSAUDITLINK__" hidden="1">{"fdsup://directions/FAT Viewer?action=UPDATE&amp;creator=factset&amp;DYN_ARGS=TRUE&amp;DOC_NAME=FAT:FQL_AUDITING_CLIENT_TEMPLATE.FAT&amp;display_string=Audit&amp;VAR:KEY=FQRWTMNEHU&amp;VAR:QUERY=RkZfREVCVF9BU1NFVFMoQU5OLDIwMDgp&amp;WINDOW=FIRST_POPUP&amp;HEIGHT=450&amp;WIDTH=450&amp;START_MAXIMI","ZED=FALSE&amp;VAR:CALENDAR=FIVEDAY&amp;VAR:SYMBOL=2600.HK&amp;VAR:INDEX=0"}</definedName>
    <definedName name="_468__FDSAUDITLINK__" hidden="1">{"fdsup://directions/FAT Viewer?action=UPDATE&amp;creator=factset&amp;DYN_ARGS=TRUE&amp;DOC_NAME=FAT:FQL_AUDITING_CLIENT_TEMPLATE.FAT&amp;display_string=Audit&amp;VAR:KEY=TMNEHCFILA&amp;VAR:QUERY=RkZfREVCVF9BU1NFVFMoQU5OLDIwMDcp&amp;WINDOW=FIRST_POPUP&amp;HEIGHT=450&amp;WIDTH=450&amp;START_MAXIMI","ZED=FALSE&amp;VAR:CALENDAR=FIVEDAY&amp;VAR:SYMBOL=2600.HK&amp;VAR:INDEX=0"}</definedName>
    <definedName name="_469__FDSAUDITLINK__" hidden="1">{"fdsup://directions/FAT Viewer?action=UPDATE&amp;creator=factset&amp;DYN_ARGS=TRUE&amp;DOC_NAME=FAT:FQL_AUDITING_CLIENT_TEMPLATE.FAT&amp;display_string=Audit&amp;VAR:KEY=DAVAVWLCLE&amp;VAR:QUERY=RkZfREVCVF9BU1NFVFMoQU5OLDIwMDYp&amp;WINDOW=FIRST_POPUP&amp;HEIGHT=450&amp;WIDTH=450&amp;START_MAXIMI","ZED=FALSE&amp;VAR:CALENDAR=FIVEDAY&amp;VAR:SYMBOL=2600.HK&amp;VAR:INDEX=0"}</definedName>
    <definedName name="_47__123Graph_CCHART_5" hidden="1">'[4]C Amer'!$B$13:$V$13</definedName>
    <definedName name="_47__FDSAUDITLINK__" hidden="1">{"fdsup://directions/FAT Viewer?action=UPDATE&amp;creator=factset&amp;DYN_ARGS=TRUE&amp;DOC_NAME=FAT:FQL_AUDITING_CLIENT_TEMPLATE.FAT&amp;display_string=Audit&amp;VAR:KEY=AVQJYXCDQZ&amp;VAR:QUERY=RkZfRU5UUlBSX1ZBTF9EQUlMWSg0MDM2NiwsLCxVU0QsJ0RJTCcp&amp;WINDOW=FIRST_POPUP&amp;HEIGHT=450&amp;WI","DTH=450&amp;START_MAXIMIZED=FALSE&amp;VAR:CALENDAR=FIVEDAY&amp;VAR:SYMBOL=B3LVC2&amp;VAR:INDEX=0"}</definedName>
    <definedName name="_470__FDSAUDITLINK__" hidden="1">{"fdsup://directions/FAT Viewer?action=UPDATE&amp;creator=factset&amp;DYN_ARGS=TRUE&amp;DOC_NAME=FAT:FQL_AUDITING_CLIENT_TEMPLATE.FAT&amp;display_string=Audit&amp;VAR:KEY=LIHQZUJEFW&amp;VAR:QUERY=RkZfREVCVF9FUShBTk4sMjAwOSk=&amp;WINDOW=FIRST_POPUP&amp;HEIGHT=450&amp;WIDTH=450&amp;START_MAXIMIZED=","FALSE&amp;VAR:CALENDAR=FIVEDAY&amp;VAR:SYMBOL=2600.HK&amp;VAR:INDEX=0"}</definedName>
    <definedName name="_471__FDSAUDITLINK__" hidden="1">{"fdsup://directions/FAT Viewer?action=UPDATE&amp;creator=factset&amp;DYN_ARGS=TRUE&amp;DOC_NAME=FAT:FQL_AUDITING_CLIENT_TEMPLATE.FAT&amp;display_string=Audit&amp;VAR:KEY=FOZQBKXWPU&amp;VAR:QUERY=RkZfREVCVF9FUShBTk4sMjAwOCk=&amp;WINDOW=FIRST_POPUP&amp;HEIGHT=450&amp;WIDTH=450&amp;START_MAXIMIZED=","FALSE&amp;VAR:CALENDAR=FIVEDAY&amp;VAR:SYMBOL=2600.HK&amp;VAR:INDEX=0"}</definedName>
    <definedName name="_472__FDSAUDITLINK__" hidden="1">{"fdsup://directions/FAT Viewer?action=UPDATE&amp;creator=factset&amp;DYN_ARGS=TRUE&amp;DOC_NAME=FAT:FQL_AUDITING_CLIENT_TEMPLATE.FAT&amp;display_string=Audit&amp;VAR:KEY=RUNWHILQLA&amp;VAR:QUERY=RkZfREVCVF9FUShBTk4sMjAwNyk=&amp;WINDOW=FIRST_POPUP&amp;HEIGHT=450&amp;WIDTH=450&amp;START_MAXIMIZED=","FALSE&amp;VAR:CALENDAR=FIVEDAY&amp;VAR:SYMBOL=2600.HK&amp;VAR:INDEX=0"}</definedName>
    <definedName name="_473__FDSAUDITLINK__" hidden="1">{"fdsup://directions/FAT Viewer?action=UPDATE&amp;creator=factset&amp;DYN_ARGS=TRUE&amp;DOC_NAME=FAT:FQL_AUDITING_CLIENT_TEMPLATE.FAT&amp;display_string=Audit&amp;VAR:KEY=PARQXUXGFQ&amp;VAR:QUERY=RkZfREVCVF9FUShBTk4sMjAwNik=&amp;WINDOW=FIRST_POPUP&amp;HEIGHT=450&amp;WIDTH=450&amp;START_MAXIMIZED=","FALSE&amp;VAR:CALENDAR=FIVEDAY&amp;VAR:SYMBOL=2600.HK&amp;VAR:INDEX=0"}</definedName>
    <definedName name="_474__FDSAUDITLINK__" hidden="1">{"fdsup://directions/FAT Viewer?action=UPDATE&amp;creator=factset&amp;DYN_ARGS=TRUE&amp;DOC_NAME=FAT:FQL_AUDITING_CLIENT_TEMPLATE.FAT&amp;display_string=Audit&amp;VAR:KEY=BIVMNGPEHM&amp;VAR:QUERY=RkZfTkVUX0RFQlQoQU5OLDIwMDkpL0ZGX1NITERSU19FUShBTk4sMjAwOSk=&amp;WINDOW=FIRST_POPUP&amp;HEIGH","T=450&amp;WIDTH=450&amp;START_MAXIMIZED=FALSE&amp;VAR:CALENDAR=FIVEDAY&amp;VAR:SYMBOL=2600.HK&amp;VAR:INDEX=0"}</definedName>
    <definedName name="_475__FDSAUDITLINK__" hidden="1">{"fdsup://directions/FAT Viewer?action=UPDATE&amp;creator=factset&amp;DYN_ARGS=TRUE&amp;DOC_NAME=FAT:FQL_AUDITING_CLIENT_TEMPLATE.FAT&amp;display_string=Audit&amp;VAR:KEY=VMLSVYHGNG&amp;VAR:QUERY=KChGRl9DVVJSX1JBVElPKEFOTiwyMDA5KUAoRkZfQVNTRVRTX0NVUlIoQU5OLDIwMDkpL0ZGX0xJQUJTX0NVU","lIoQU5OLDIwMDkpKSlAKEZGX0ZJTl9DVVJSX0FTU0VUUyhBTk4sMjAwOSkvRkZfRklOX0NVUlJfTElBQlMoQU5OLDIwMDkpKSk=&amp;WINDOW=FIRST_POPUP&amp;HEIGHT=450&amp;WIDTH=450&amp;START_MAXIMIZED=FALSE&amp;VAR:CALENDAR=FIVEDAY&amp;VAR:SYMBOL=2600.HK&amp;VAR:INDEX=0"}</definedName>
    <definedName name="_476__FDSAUDITLINK__" hidden="1">{"fdsup://directions/FAT Viewer?action=UPDATE&amp;creator=factset&amp;DYN_ARGS=TRUE&amp;DOC_NAME=FAT:FQL_AUDITING_CLIENT_TEMPLATE.FAT&amp;display_string=Audit&amp;VAR:KEY=KNWDAHKJOV&amp;VAR:QUERY=KEZGX05FVF9JTkMoQU5OLDIwMDkpL0ZGX05FVF9JTkMoQU5OLDIwMDgpKS0x&amp;WINDOW=FIRST_POPUP&amp;HEIGH","T=450&amp;WIDTH=450&amp;START_MAXIMIZED=FALSE&amp;VAR:CALENDAR=FIVEDAY&amp;VAR:SYMBOL=2600.HK&amp;VAR:INDEX=0"}</definedName>
    <definedName name="_477__FDSAUDITLINK__" hidden="1">{"fdsup://directions/FAT Viewer?action=UPDATE&amp;creator=factset&amp;DYN_ARGS=TRUE&amp;DOC_NAME=FAT:FQL_AUDITING_CLIENT_TEMPLATE.FAT&amp;display_string=Audit&amp;VAR:KEY=ODUPWHYRQR&amp;VAR:QUERY=RkZfTkVUX01HTihBTk4sMjAwOSk=&amp;WINDOW=FIRST_POPUP&amp;HEIGHT=450&amp;WIDTH=450&amp;START_MAXIMIZED=","FALSE&amp;VAR:CALENDAR=FIVEDAY&amp;VAR:SYMBOL=2600.HK&amp;VAR:INDEX=0"}</definedName>
    <definedName name="_478__FDSAUDITLINK__" hidden="1">{"fdsup://directions/FAT Viewer?action=UPDATE&amp;creator=factset&amp;DYN_ARGS=TRUE&amp;DOC_NAME=FAT:FQL_AUDITING_CLIENT_TEMPLATE.FAT&amp;display_string=Audit&amp;VAR:KEY=UFCHOVANIL&amp;VAR:QUERY=RkZfTkVUX01HTihBTk4sMjAwOCk=&amp;WINDOW=FIRST_POPUP&amp;HEIGHT=450&amp;WIDTH=450&amp;START_MAXIMIZED=","FALSE&amp;VAR:CALENDAR=FIVEDAY&amp;VAR:SYMBOL=2600.HK&amp;VAR:INDEX=0"}</definedName>
    <definedName name="_479__FDSAUDITLINK__" hidden="1">{"fdsup://directions/FAT Viewer?action=UPDATE&amp;creator=factset&amp;DYN_ARGS=TRUE&amp;DOC_NAME=FAT:FQL_AUDITING_CLIENT_TEMPLATE.FAT&amp;display_string=Audit&amp;VAR:KEY=WBINOJIHCL&amp;VAR:QUERY=RkZfTkVUX01HTihBTk4sMjAwNyk=&amp;WINDOW=FIRST_POPUP&amp;HEIGHT=450&amp;WIDTH=450&amp;START_MAXIMIZED=","FALSE&amp;VAR:CALENDAR=FIVEDAY&amp;VAR:SYMBOL=2600.HK&amp;VAR:INDEX=0"}</definedName>
    <definedName name="_48__123Graph_CCHART_8" hidden="1">'[4]E Asia'!$B$13:$V$13</definedName>
    <definedName name="_48__FDSAUDITLINK__" hidden="1">{"fdsup://directions/FAT Viewer?action=UPDATE&amp;creator=factset&amp;DYN_ARGS=TRUE&amp;DOC_NAME=FAT:FQL_AUDITING_CLIENT_TEMPLATE.FAT&amp;display_string=Audit&amp;VAR:KEY=GPIDYBWPQH&amp;VAR:QUERY=RkZfRU5UUlBSX1ZBTF9EQUlMWSg0MDM2NiwsLCxVU0QsJ0RJTCcp&amp;WINDOW=FIRST_POPUP&amp;HEIGHT=450&amp;WI","DTH=450&amp;START_MAXIMIZED=FALSE&amp;VAR:CALENDAR=FIVEDAY&amp;VAR:SYMBOL=B3Z9VV&amp;VAR:INDEX=0"}</definedName>
    <definedName name="_480__FDSAUDITLINK__" hidden="1">{"fdsup://directions/FAT Viewer?action=UPDATE&amp;creator=factset&amp;DYN_ARGS=TRUE&amp;DOC_NAME=FAT:FQL_AUDITING_CLIENT_TEMPLATE.FAT&amp;display_string=Audit&amp;VAR:KEY=UVUJWNOHGF&amp;VAR:QUERY=RkZfTkVUX01HTihBTk4sMjAwNik=&amp;WINDOW=FIRST_POPUP&amp;HEIGHT=450&amp;WIDTH=450&amp;START_MAXIMIZED=","FALSE&amp;VAR:CALENDAR=FIVEDAY&amp;VAR:SYMBOL=2600.HK&amp;VAR:INDEX=0"}</definedName>
    <definedName name="_481__FDSAUDITLINK__" hidden="1">{"fdsup://directions/FAT Viewer?action=UPDATE&amp;creator=factset&amp;DYN_ARGS=TRUE&amp;DOC_NAME=FAT:FQL_AUDITING_CLIENT_TEMPLATE.FAT&amp;display_string=Audit&amp;VAR:KEY=YRITKBWHOH&amp;VAR:QUERY=RkZfUk9BKEFOTiwyMDA5KQ==&amp;WINDOW=FIRST_POPUP&amp;HEIGHT=450&amp;WIDTH=450&amp;START_MAXIMIZED=FALS","E&amp;VAR:CALENDAR=FIVEDAY&amp;VAR:SYMBOL=2600.HK&amp;VAR:INDEX=0"}</definedName>
    <definedName name="_482__FDSAUDITLINK__" hidden="1">{"fdsup://directions/FAT Viewer?action=UPDATE&amp;creator=factset&amp;DYN_ARGS=TRUE&amp;DOC_NAME=FAT:FQL_AUDITING_CLIENT_TEMPLATE.FAT&amp;display_string=Audit&amp;VAR:KEY=QHQDUZKFCH&amp;VAR:QUERY=RkZfUk9BKEFOTiwyMDA4KQ==&amp;WINDOW=FIRST_POPUP&amp;HEIGHT=450&amp;WIDTH=450&amp;START_MAXIMIZED=FALS","E&amp;VAR:CALENDAR=FIVEDAY&amp;VAR:SYMBOL=2600.HK&amp;VAR:INDEX=0"}</definedName>
    <definedName name="_483__FDSAUDITLINK__" hidden="1">{"fdsup://directions/FAT Viewer?action=UPDATE&amp;creator=factset&amp;DYN_ARGS=TRUE&amp;DOC_NAME=FAT:FQL_AUDITING_CLIENT_TEMPLATE.FAT&amp;display_string=Audit&amp;VAR:KEY=OPGHWHAPUT&amp;VAR:QUERY=RkZfUk9BKEFOTiwyMDA3KQ==&amp;WINDOW=FIRST_POPUP&amp;HEIGHT=450&amp;WIDTH=450&amp;START_MAXIMIZED=FALS","E&amp;VAR:CALENDAR=FIVEDAY&amp;VAR:SYMBOL=2600.HK&amp;VAR:INDEX=0"}</definedName>
    <definedName name="_484__FDSAUDITLINK__" hidden="1">{"fdsup://directions/FAT Viewer?action=UPDATE&amp;creator=factset&amp;DYN_ARGS=TRUE&amp;DOC_NAME=FAT:FQL_AUDITING_CLIENT_TEMPLATE.FAT&amp;display_string=Audit&amp;VAR:KEY=CLCRSDAPSX&amp;VAR:QUERY=RkZfUk9BKEFOTiwyMDA2KQ==&amp;WINDOW=FIRST_POPUP&amp;HEIGHT=450&amp;WIDTH=450&amp;START_MAXIMIZED=FALS","E&amp;VAR:CALENDAR=FIVEDAY&amp;VAR:SYMBOL=2600.HK&amp;VAR:INDEX=0"}</definedName>
    <definedName name="_485__FDSAUDITLINK__" hidden="1">{"fdsup://directions/FAT Viewer?action=UPDATE&amp;creator=factset&amp;DYN_ARGS=TRUE&amp;DOC_NAME=FAT:FQL_AUDITING_CLIENT_TEMPLATE.FAT&amp;display_string=Audit&amp;VAR:KEY=YLCVWFIZGL&amp;VAR:QUERY=RkZfUk9FKEFOTiwyMDA5KQ==&amp;WINDOW=FIRST_POPUP&amp;HEIGHT=450&amp;WIDTH=450&amp;START_MAXIMIZED=FALS","E&amp;VAR:CALENDAR=FIVEDAY&amp;VAR:SYMBOL=2600.HK&amp;VAR:INDEX=0"}</definedName>
    <definedName name="_486__FDSAUDITLINK__" hidden="1">{"fdsup://directions/FAT Viewer?action=UPDATE&amp;creator=factset&amp;DYN_ARGS=TRUE&amp;DOC_NAME=FAT:FQL_AUDITING_CLIENT_TEMPLATE.FAT&amp;display_string=Audit&amp;VAR:KEY=IRGRQDQTWB&amp;VAR:QUERY=RkZfUk9FKEFOTiwyMDA4KQ==&amp;WINDOW=FIRST_POPUP&amp;HEIGHT=450&amp;WIDTH=450&amp;START_MAXIMIZED=FALS","E&amp;VAR:CALENDAR=FIVEDAY&amp;VAR:SYMBOL=2600.HK&amp;VAR:INDEX=0"}</definedName>
    <definedName name="_487__FDSAUDITLINK__" hidden="1">{"fdsup://directions/FAT Viewer?action=UPDATE&amp;creator=factset&amp;DYN_ARGS=TRUE&amp;DOC_NAME=FAT:FQL_AUDITING_CLIENT_TEMPLATE.FAT&amp;display_string=Audit&amp;VAR:KEY=EPKPEBABGZ&amp;VAR:QUERY=RkZfUk9FKEFOTiwyMDA3KQ==&amp;WINDOW=FIRST_POPUP&amp;HEIGHT=450&amp;WIDTH=450&amp;START_MAXIMIZED=FALS","E&amp;VAR:CALENDAR=FIVEDAY&amp;VAR:SYMBOL=2600.HK&amp;VAR:INDEX=0"}</definedName>
    <definedName name="_488__FDSAUDITLINK__" hidden="1">{"fdsup://directions/FAT Viewer?action=UPDATE&amp;creator=factset&amp;DYN_ARGS=TRUE&amp;DOC_NAME=FAT:FQL_AUDITING_CLIENT_TEMPLATE.FAT&amp;display_string=Audit&amp;VAR:KEY=CPCRGJOXSD&amp;VAR:QUERY=RkZfUk9FKEFOTiwyMDA2KQ==&amp;WINDOW=FIRST_POPUP&amp;HEIGHT=450&amp;WIDTH=450&amp;START_MAXIMIZED=FALS","E&amp;VAR:CALENDAR=FIVEDAY&amp;VAR:SYMBOL=2600.HK&amp;VAR:INDEX=0"}</definedName>
    <definedName name="_489__FDSAUDITLINK__" hidden="1">{"fdsup://directions/FAT Viewer?action=UPDATE&amp;creator=factset&amp;DYN_ARGS=TRUE&amp;DOC_NAME=FAT:FQL_AUDITING_CLIENT_TEMPLATE.FAT&amp;display_string=Audit&amp;VAR:KEY=YZAZOHSNGH&amp;VAR:QUERY=KEVDQV9NRUFOX0VQUygyMDA5LDQwNzM1KS9GRl9FUFMoQU5OLDIwMDgsLCwsRUNfQ1VSUigpKSktMS4wMDAwM","DA=&amp;WINDOW=FIRST_POPUP&amp;HEIGHT=450&amp;WIDTH=450&amp;START_MAXIMIZED=FALSE&amp;VAR:CALENDAR=FIVEDAY&amp;VAR:SYMBOL=2600.HK&amp;VAR:INDEX=0"}</definedName>
    <definedName name="_49__123Graph_XCHART_10" hidden="1">'[4]E Eur'!$B$8:$V$8</definedName>
    <definedName name="_49__FDSAUDITLINK__"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5__123Graph_ACHART_13" hidden="1">[4]Mideast!$B$19:$V$19</definedName>
    <definedName name="_5__FDSAUDITLINK__" hidden="1">{"fdsup://directions/FAT Viewer?action=UPDATE&amp;creator=factset&amp;DYN_ARGS=TRUE&amp;DOC_NAME=FAT:FQL_AUDITING_CLIENT_TEMPLATE.FAT&amp;display_string=Audit&amp;VAR:KEY=YHQTSVONSR&amp;VAR:QUERY=RkZfRU5UUlBSX1ZBTF9EQUlMWSg0MDM2NiwsLCwsJ0RJTCcp&amp;WINDOW=FIRST_POPUP&amp;HEIGHT=450&amp;WIDTH=","450&amp;START_MAXIMIZED=FALSE&amp;VAR:CALENDAR=FIVEDAY&amp;VAR:SYMBOL=98849810&amp;VAR:INDEX=0"}</definedName>
    <definedName name="_50__123Graph_XCHART_11" hidden="1">'[4]E Eur'!$B$8:$V$8</definedName>
    <definedName name="_50__FDSAUDITLINK__" hidden="1">{"fdsup://directions/FAT Viewer?action=UPDATE&amp;creator=factset&amp;DYN_ARGS=TRUE&amp;DOC_NAME=FAT:FQL_AUDITING_CLIENT_TEMPLATE.FAT&amp;display_string=Audit&amp;VAR:KEY=IJCBUVOZKL&amp;VAR:QUERY=RkZfRU5UUlBSX1ZBTF9EQUlMWSg0MDM2NSwsLCwsJ0RJTCcp&amp;WINDOW=FIRST_POPUP&amp;HEIGHT=450&amp;WIDTH=","450&amp;START_MAXIMIZED=FALSE&amp;VAR:CALENDAR=FIVEDAY&amp;VAR:SYMBOL=B288V4&amp;VAR:INDEX=0"}</definedName>
    <definedName name="_51__123Graph_XCHART_14" hidden="1">[4]Mideast!$B$8:$V$8</definedName>
    <definedName name="_51__FDSAUDITLINK__" hidden="1">{"fdsup://directions/FAT Viewer?action=UPDATE&amp;creator=factset&amp;DYN_ARGS=TRUE&amp;DOC_NAME=FAT:FQL_AUDITING_CLIENT_TEMPLATE.FAT&amp;display_string=Audit&amp;VAR:KEY=OJGTINCTML&amp;VAR:QUERY=RkZfRU5UUlBSX1ZBTF9EQUlMWSg0MDM2NSwsLCwsJ0RJTCcp&amp;WINDOW=FIRST_POPUP&amp;HEIGHT=450&amp;WIDTH=","450&amp;START_MAXIMIZED=FALSE&amp;VAR:CALENDAR=FIVEDAY&amp;VAR:SYMBOL=658653&amp;VAR:INDEX=0"}</definedName>
    <definedName name="_52__123Graph_XCHART_15" hidden="1">[4]Mideast!$B$8:$V$8</definedName>
    <definedName name="_52__FDSAUDITLINK__" hidden="1">{"fdsup://directions/FAT Viewer?action=UPDATE&amp;creator=factset&amp;DYN_ARGS=TRUE&amp;DOC_NAME=FAT:FQL_AUDITING_CLIENT_TEMPLATE.FAT&amp;display_string=Audit&amp;VAR:KEY=YPUVKXOLSR&amp;VAR:QUERY=RkZfRU5UUlBSX1ZBTF9EQUlMWSg0MDM2NSwsLCwsJ0RJTCcp&amp;WINDOW=FIRST_POPUP&amp;HEIGHT=450&amp;WIDTH=","450&amp;START_MAXIMIZED=FALSE&amp;VAR:CALENDAR=FIVEDAY&amp;VAR:SYMBOL=B51BL7&amp;VAR:INDEX=0"}</definedName>
    <definedName name="_53__123Graph_XCHART_17" hidden="1">[4]Ocean!$B$8:$V$8</definedName>
    <definedName name="_53__FDSAUDITLINK__" hidden="1">{"fdsup://directions/FAT Viewer?action=UPDATE&amp;creator=factset&amp;DYN_ARGS=TRUE&amp;DOC_NAME=FAT:FQL_AUDITING_CLIENT_TEMPLATE.FAT&amp;display_string=Audit&amp;VAR:KEY=QXSXUTKHQD&amp;VAR:QUERY=RkZfRU5UUlBSX1ZBTF9EQUlMWSg0MDM2NSwsLCwsJ0RJTCcp&amp;WINDOW=FIRST_POPUP&amp;HEIGHT=450&amp;WIDTH=","450&amp;START_MAXIMIZED=FALSE&amp;VAR:CALENDAR=FIVEDAY&amp;VAR:SYMBOL=B01JCK&amp;VAR:INDEX=0"}</definedName>
    <definedName name="_54__123Graph_XCHART_18" hidden="1">[4]Ocean!$B$8:$V$8</definedName>
    <definedName name="_54__FDSAUDITLINK__" hidden="1">{"fdsup://directions/FAT Viewer?action=UPDATE&amp;creator=factset&amp;DYN_ARGS=TRUE&amp;DOC_NAME=FAT:FQL_AUDITING_CLIENT_TEMPLATE.FAT&amp;display_string=Audit&amp;VAR:KEY=AJIHUNYRMR&amp;VAR:QUERY=RkZfRU5UUlBSX1ZBTF9EQUlMWSg0MDM2NSwsLCwsJ0RJTCcp&amp;WINDOW=FIRST_POPUP&amp;HEIGHT=450&amp;WIDTH=","450&amp;START_MAXIMIZED=FALSE&amp;VAR:CALENDAR=FIVEDAY&amp;VAR:SYMBOL=B1YVKN&amp;VAR:INDEX=0"}</definedName>
    <definedName name="_55__123Graph_XCHART_2" hidden="1">[4]Africa!$B$8:$V$8</definedName>
    <definedName name="_55__FDSAUDITLINK__" hidden="1">{"fdsup://directions/FAT Viewer?action=UPDATE&amp;creator=factset&amp;DYN_ARGS=TRUE&amp;DOC_NAME=FAT:FQL_AUDITING_CLIENT_TEMPLATE.FAT&amp;display_string=Audit&amp;VAR:KEY=IPSRSDKVGD&amp;VAR:QUERY=RkZfRU5UUlBSX1ZBTF9EQUlMWSg0MDM2NSwsLCwsJ0RJTCcp&amp;WINDOW=FIRST_POPUP&amp;HEIGHT=450&amp;WIDTH=","450&amp;START_MAXIMIZED=FALSE&amp;VAR:CALENDAR=FIVEDAY&amp;VAR:SYMBOL=B4L24Y&amp;VAR:INDEX=0"}</definedName>
    <definedName name="_56__123Graph_XCHART_20" hidden="1">'[4]S Amer'!$B$8:$V$8</definedName>
    <definedName name="_56__FDSAUDITLINK__" hidden="1">{"fdsup://directions/FAT Viewer?action=UPDATE&amp;creator=factset&amp;DYN_ARGS=TRUE&amp;DOC_NAME=FAT:FQL_AUDITING_CLIENT_TEMPLATE.FAT&amp;display_string=Audit&amp;VAR:KEY=KDUZQJOFWP&amp;VAR:QUERY=RkZfRU5UUlBSX1ZBTF9EQUlMWSg0MDM2NSwsLCwsJ0RJTCcp&amp;WINDOW=FIRST_POPUP&amp;HEIGHT=450&amp;WIDTH=","450&amp;START_MAXIMIZED=FALSE&amp;VAR:CALENDAR=FIVEDAY&amp;VAR:SYMBOL=B3LVC2&amp;VAR:INDEX=0"}</definedName>
    <definedName name="_57__123Graph_XCHART_21" hidden="1">'[4]S Amer'!$B$8:$V$8</definedName>
    <definedName name="_57__FDSAUDITLINK__" hidden="1">{"fdsup://directions/FAT Viewer?action=UPDATE&amp;creator=factset&amp;DYN_ARGS=TRUE&amp;DOC_NAME=FAT:FQL_AUDITING_CLIENT_TEMPLATE.FAT&amp;display_string=Audit&amp;VAR:KEY=CVALMJGTUF&amp;VAR:QUERY=RkZfRU5UUlBSX1ZBTF9EQUlMWSg0MDM2NSwsLCwsJ0RJTCcp&amp;WINDOW=FIRST_POPUP&amp;HEIGHT=450&amp;WIDTH=","450&amp;START_MAXIMIZED=FALSE&amp;VAR:CALENDAR=FIVEDAY&amp;VAR:SYMBOL=B3Z9VV&amp;VAR:INDEX=0"}</definedName>
    <definedName name="_58__123Graph_XCHART_23" hidden="1">'[4]W Eur'!$B$8:$V$8</definedName>
    <definedName name="_58__FDSAUDITLINK__"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59__123Graph_XCHART_24" hidden="1">'[4]W Eur'!$B$8:$V$8</definedName>
    <definedName name="_59__FDSAUDITLINK__" hidden="1">{"fdsup://directions/FAT Viewer?action=UPDATE&amp;creator=factset&amp;DYN_ARGS=TRUE&amp;DOC_NAME=FAT:FQL_AUDITING_CLIENT_TEMPLATE.FAT&amp;display_string=Audit&amp;VAR:KEY=OBQBAHIVQL&amp;VAR:QUERY=RkZfRU5UUlBSX1ZBTF9EQUlMWSg0MDM2NSwsLCxVU0QsJ0RJTCcp&amp;WINDOW=FIRST_POPUP&amp;HEIGHT=450&amp;WI","DTH=450&amp;START_MAXIMIZED=FALSE&amp;VAR:CALENDAR=FIVEDAY&amp;VAR:SYMBOL=B288V4&amp;VAR:INDEX=0"}</definedName>
    <definedName name="_6__123Graph_ACHART_14" hidden="1">[4]Mideast!$B$14:$V$14</definedName>
    <definedName name="_6__FDSAUDITLINK__" hidden="1">{"fdsup://directions/FAT Viewer?action=UPDATE&amp;creator=factset&amp;DYN_ARGS=TRUE&amp;DOC_NAME=FAT:FQL_AUDITING_CLIENT_TEMPLATE.FAT&amp;display_string=Audit&amp;VAR:KEY=KLSZKFETWB&amp;VAR:QUERY=RkZfRU5UUlBSX1ZBTF9EQUlMWSg0MDM2NiwsLCxVU0QsJ0RJTCcp&amp;WINDOW=FIRST_POPUP&amp;HEIGHT=450&amp;WI","DTH=450&amp;START_MAXIMIZED=FALSE&amp;VAR:CALENDAR=FIVEDAY&amp;VAR:SYMBOL=98849810&amp;VAR:INDEX=0"}</definedName>
    <definedName name="_60__123Graph_XCHART_3" hidden="1">[4]Africa!$B$8:$V$8</definedName>
    <definedName name="_60__FDSAUDITLINK__" hidden="1">{"fdsup://directions/FAT Viewer?action=UPDATE&amp;creator=factset&amp;DYN_ARGS=TRUE&amp;DOC_NAME=FAT:FQL_AUDITING_CLIENT_TEMPLATE.FAT&amp;display_string=Audit&amp;VAR:KEY=UDGJCXONCL&amp;VAR:QUERY=RkZfRU5UUlBSX1ZBTF9EQUlMWSg0MDM2NSwsLCxVU0QsJ0RJTCcp&amp;WINDOW=FIRST_POPUP&amp;HEIGHT=450&amp;WI","DTH=450&amp;START_MAXIMIZED=FALSE&amp;VAR:CALENDAR=FIVEDAY&amp;VAR:SYMBOL=658653&amp;VAR:INDEX=0"}</definedName>
    <definedName name="_61__123Graph_XCHART_5" hidden="1">'[4]C Amer'!$B$8:$V$8</definedName>
    <definedName name="_61__FDSAUDITLINK__" hidden="1">{"fdsup://directions/FAT Viewer?action=UPDATE&amp;creator=factset&amp;DYN_ARGS=TRUE&amp;DOC_NAME=FAT:FQL_AUDITING_CLIENT_TEMPLATE.FAT&amp;display_string=Audit&amp;VAR:KEY=MJIZOLGHUD&amp;VAR:QUERY=RkZfRU5UUlBSX1ZBTF9EQUlMWSg0MDM2NSwsLCxVU0QsJ0RJTCcp&amp;WINDOW=FIRST_POPUP&amp;HEIGHT=450&amp;WI","DTH=450&amp;START_MAXIMIZED=FALSE&amp;VAR:CALENDAR=FIVEDAY&amp;VAR:SYMBOL=B51BL7&amp;VAR:INDEX=0"}</definedName>
    <definedName name="_62__123Graph_XCHART_6" hidden="1">'[4]C Amer'!$B$8:$V$8</definedName>
    <definedName name="_62__FDSAUDITLINK__" hidden="1">{"fdsup://directions/FAT Viewer?action=UPDATE&amp;creator=factset&amp;DYN_ARGS=TRUE&amp;DOC_NAME=FAT:FQL_AUDITING_CLIENT_TEMPLATE.FAT&amp;display_string=Audit&amp;VAR:KEY=WPUBOZERAJ&amp;VAR:QUERY=RkZfRU5UUlBSX1ZBTF9EQUlMWSg0MDM2NSwsLCxVU0QsJ0RJTCcp&amp;WINDOW=FIRST_POPUP&amp;HEIGHT=450&amp;WI","DTH=450&amp;START_MAXIMIZED=FALSE&amp;VAR:CALENDAR=FIVEDAY&amp;VAR:SYMBOL=B01JCK&amp;VAR:INDEX=0"}</definedName>
    <definedName name="_63__123Graph_XCHART_8" hidden="1">'[4]E Asia'!$B$8:$V$8</definedName>
    <definedName name="_63__FDSAUDITLINK__" hidden="1">{"fdsup://directions/FAT Viewer?action=UPDATE&amp;creator=factset&amp;DYN_ARGS=TRUE&amp;DOC_NAME=FAT:FQL_AUDITING_CLIENT_TEMPLATE.FAT&amp;display_string=Audit&amp;VAR:KEY=SVIJQHQFWF&amp;VAR:QUERY=RkZfRU5UUlBSX1ZBTF9EQUlMWSg0MDM2NSwsLCxVU0QsJ0RJTCcp&amp;WINDOW=FIRST_POPUP&amp;HEIGHT=450&amp;WI","DTH=450&amp;START_MAXIMIZED=FALSE&amp;VAR:CALENDAR=FIVEDAY&amp;VAR:SYMBOL=B1YVKN&amp;VAR:INDEX=0"}</definedName>
    <definedName name="_64__FDSAUDITLINK__" hidden="1">{"fdsup://directions/FAT Viewer?action=UPDATE&amp;creator=factset&amp;DYN_ARGS=TRUE&amp;DOC_NAME=FAT:FQL_AUDITING_CLIENT_TEMPLATE.FAT&amp;display_string=Audit&amp;VAR:KEY=CDSFCNMJOZ&amp;VAR:QUERY=RkZfRU5UUlBSX1ZBTF9EQUlMWSg0MDM2NSwsLCxVU0QsJ0RJTCcp&amp;WINDOW=FIRST_POPUP&amp;HEIGHT=450&amp;WI","DTH=450&amp;START_MAXIMIZED=FALSE&amp;VAR:CALENDAR=FIVEDAY&amp;VAR:SYMBOL=B4L24Y&amp;VAR:INDEX=0"}</definedName>
    <definedName name="_64_0_0Cwvu.GREY_A" localSheetId="37" hidden="1">[9]TargIS!#REF!</definedName>
    <definedName name="_64_0_0Cwvu.GREY_A" localSheetId="48" hidden="1">[9]TargIS!#REF!</definedName>
    <definedName name="_64_0_0Cwvu.GREY_A" localSheetId="77" hidden="1">[9]TargIS!#REF!</definedName>
    <definedName name="_64_0_0Cwvu.GREY_A" localSheetId="31" hidden="1">[9]TargIS!#REF!</definedName>
    <definedName name="_64_0_0Cwvu.GREY_A" localSheetId="32" hidden="1">[9]TargIS!#REF!</definedName>
    <definedName name="_64_0_0Cwvu.GREY_A" localSheetId="33" hidden="1">[9]TargIS!#REF!</definedName>
    <definedName name="_64_0_0Cwvu.GREY_A" localSheetId="4" hidden="1">[9]TargIS!#REF!</definedName>
    <definedName name="_64_0_0Cwvu.GREY_A" localSheetId="40" hidden="1">[9]TargIS!#REF!</definedName>
    <definedName name="_64_0_0Cwvu.GREY_A" localSheetId="79" hidden="1">[9]TargIS!#REF!</definedName>
    <definedName name="_64_0_0Cwvu.GREY_A" localSheetId="78" hidden="1">[9]TargIS!#REF!</definedName>
    <definedName name="_64_0_0Cwvu.GREY_A" localSheetId="75" hidden="1">[9]TargIS!#REF!</definedName>
    <definedName name="_64_0_0Cwvu.GREY_A" localSheetId="42" hidden="1">[9]TargIS!#REF!</definedName>
    <definedName name="_64_0_0Cwvu.GREY_A" localSheetId="14" hidden="1">[9]TargIS!#REF!</definedName>
    <definedName name="_64_0_0Cwvu.GREY_A" localSheetId="49" hidden="1">[9]TargIS!#REF!</definedName>
    <definedName name="_64_0_0Cwvu.GREY_A" hidden="1">[9]TargIS!#REF!</definedName>
    <definedName name="_65__FDSAUDITLINK__" hidden="1">{"fdsup://directions/FAT Viewer?action=UPDATE&amp;creator=factset&amp;DYN_ARGS=TRUE&amp;DOC_NAME=FAT:FQL_AUDITING_CLIENT_TEMPLATE.FAT&amp;display_string=Audit&amp;VAR:KEY=UZOXMHYZWF&amp;VAR:QUERY=RkZfRU5UUlBSX1ZBTF9EQUlMWSg0MDM2NSwsLCxVU0QsJ0RJTCcp&amp;WINDOW=FIRST_POPUP&amp;HEIGHT=450&amp;WI","DTH=450&amp;START_MAXIMIZED=FALSE&amp;VAR:CALENDAR=FIVEDAY&amp;VAR:SYMBOL=B3LVC2&amp;VAR:INDEX=0"}</definedName>
    <definedName name="_66__FDSAUDITLINK__" hidden="1">{"fdsup://directions/FAT Viewer?action=UPDATE&amp;creator=factset&amp;DYN_ARGS=TRUE&amp;DOC_NAME=FAT:FQL_AUDITING_CLIENT_TEMPLATE.FAT&amp;display_string=Audit&amp;VAR:KEY=SFWLIZCFIN&amp;VAR:QUERY=RkZfRU5UUlBSX1ZBTF9EQUlMWSg0MDM2NSwsLCxVU0QsJ0RJTCcp&amp;WINDOW=FIRST_POPUP&amp;HEIGHT=450&amp;WI","DTH=450&amp;START_MAXIMIZED=FALSE&amp;VAR:CALENDAR=FIVEDAY&amp;VAR:SYMBOL=B3Z9VV&amp;VAR:INDEX=0"}</definedName>
    <definedName name="_67__FDSAUDITLINK__" hidden="1">{"fdsup://directions/FAT Viewer?action=UPDATE&amp;creator=factset&amp;DYN_ARGS=TRUE&amp;DOC_NAME=FAT:FQL_AUDITING_CLIENT_TEMPLATE.FAT&amp;display_string=Audit&amp;VAR:KEY=FGZUXCZGDO&amp;VAR:QUERY=RkZfRU5UUlBSX1ZBTF9EQUlMWSg0MDM2NSwsLCwsJ0RJTCcp&amp;WINDOW=FIRST_POPUP&amp;HEIGHT=450&amp;WIDTH=","450&amp;START_MAXIMIZED=FALSE&amp;VAR:CALENDAR=FIVEDAY&amp;VAR:SYMBOL=669615&amp;VAR:INDEX=0"}</definedName>
    <definedName name="_68__FDSAUDITLINK__" hidden="1">{"fdsup://directions/FAT Viewer?action=UPDATE&amp;creator=factset&amp;DYN_ARGS=TRUE&amp;DOC_NAME=FAT:FQL_AUDITING_CLIENT_TEMPLATE.FAT&amp;display_string=Audit&amp;VAR:KEY=HOBGJYXWRQ&amp;VAR:QUERY=RkZfRU5UUlBSX1ZBTF9EQUlMWSg0MDM2NSwsLCxVU0QsJ0RJTCcp&amp;WINDOW=FIRST_POPUP&amp;HEIGHT=450&amp;WI","DTH=450&amp;START_MAXIMIZED=FALSE&amp;VAR:CALENDAR=FIVEDAY&amp;VAR:SYMBOL=669615&amp;VAR:INDEX=0"}</definedName>
    <definedName name="_69__FDSAUDITLINK__" hidden="1">{"fdsup://directions/FAT Viewer?action=UPDATE&amp;creator=factset&amp;DYN_ARGS=TRUE&amp;DOC_NAME=FAT:FQL_AUDITING_CLIENT_TEMPLATE.FAT&amp;display_string=Audit&amp;VAR:KEY=AXIBKVCFQL&amp;VAR:QUERY=RkZfRU5UUlBSX1ZBTF9EQUlMWSg0MDM2NSwsLCwsJ0RJTCcp&amp;WINDOW=FIRST_POPUP&amp;HEIGHT=450&amp;WIDTH=","450&amp;START_MAXIMIZED=FALSE&amp;VAR:CALENDAR=FIVEDAY&amp;VAR:SYMBOL=506472&amp;VAR:INDEX=0"}</definedName>
    <definedName name="_7__123Graph_ACHART_15" hidden="1">[4]Mideast!$B$28:$V$28</definedName>
    <definedName name="_7__FDSAUDITLINK__" hidden="1">{"fdsup://directions/FAT Viewer?action=UPDATE&amp;creator=factset&amp;DYN_ARGS=TRUE&amp;DOC_NAME=FAT:FQL_AUDITING_CLIENT_TEMPLATE.FAT&amp;display_string=Audit&amp;VAR:KEY=WFALUTYBGP&amp;VAR:QUERY=RkZfRU5UUlBSX1ZBTF9EQUlMWSg0MDM2NiwsLCwsJ0RJTCcp&amp;WINDOW=FIRST_POPUP&amp;HEIGHT=450&amp;WIDTH=","450&amp;START_MAXIMIZED=FALSE&amp;VAR:CALENDAR=FIVEDAY&amp;VAR:SYMBOL=85524410&amp;VAR:INDEX=0"}</definedName>
    <definedName name="_70__FDSAUDITLINK__" hidden="1">{"fdsup://directions/FAT Viewer?action=UPDATE&amp;creator=factset&amp;DYN_ARGS=TRUE&amp;DOC_NAME=FAT:FQL_AUDITING_CLIENT_TEMPLATE.FAT&amp;display_string=Audit&amp;VAR:KEY=MXUPYJUFYL&amp;VAR:QUERY=RkZfRU5UUlBSX1ZBTF9EQUlMWSg0MDM2NSwsLCwsJ0RJTCcp&amp;WINDOW=FIRST_POPUP&amp;HEIGHT=450&amp;WIDTH=","450&amp;START_MAXIMIZED=FALSE&amp;VAR:CALENDAR=FIVEDAY&amp;VAR:SYMBOL=403197&amp;VAR:INDEX=0"}</definedName>
    <definedName name="_71__FDSAUDITLINK__" hidden="1">{"fdsup://directions/FAT Viewer?action=UPDATE&amp;creator=factset&amp;DYN_ARGS=TRUE&amp;DOC_NAME=FAT:FQL_AUDITING_CLIENT_TEMPLATE.FAT&amp;display_string=Audit&amp;VAR:KEY=OVCFAVYZWD&amp;VAR:QUERY=RkZfRU5UUlBSX1ZBTF9EQUlMWSg0MDM2NSwsLCwsJ0RJTCcp&amp;WINDOW=FIRST_POPUP&amp;HEIGHT=450&amp;WIDTH=","450&amp;START_MAXIMIZED=FALSE&amp;VAR:CALENDAR=FIVEDAY&amp;VAR:SYMBOL=NIKE-USA&amp;VAR:INDEX=0"}</definedName>
    <definedName name="_72__FDSAUDITLINK__" hidden="1">{"fdsup://directions/FAT Viewer?action=UPDATE&amp;creator=factset&amp;DYN_ARGS=TRUE&amp;DOC_NAME=FAT:FQL_AUDITING_CLIENT_TEMPLATE.FAT&amp;display_string=Audit&amp;VAR:KEY=ULEJAHKDUB&amp;VAR:QUERY=RkZfRU5UUlBSX1ZBTF9EQUlMWSg0MDM2NSwsLCwsJ0RJTCcp&amp;WINDOW=FIRST_POPUP&amp;HEIGHT=450&amp;WIDTH=","450&amp;START_MAXIMIZED=FALSE&amp;VAR:CALENDAR=FIVEDAY&amp;VAR:SYMBOL=605737&amp;VAR:INDEX=0"}</definedName>
    <definedName name="_73__FDSAUDITLINK__" hidden="1">{"fdsup://directions/FAT Viewer?action=UPDATE&amp;creator=factset&amp;DYN_ARGS=TRUE&amp;DOC_NAME=FAT:FQL_AUDITING_CLIENT_TEMPLATE.FAT&amp;display_string=Audit&amp;VAR:KEY=GBSPKJYXGJ&amp;VAR:QUERY=RkZfRU5UUlBSX1ZBTF9EQUlMWSg0MDM2NSwsLCxVU0QsJ0RJTCcp&amp;WINDOW=FIRST_POPUP&amp;HEIGHT=450&amp;WI","DTH=450&amp;START_MAXIMIZED=FALSE&amp;VAR:CALENDAR=FIVEDAY&amp;VAR:SYMBOL=506472&amp;VAR:INDEX=0"}</definedName>
    <definedName name="_74__FDSAUDITLINK__" hidden="1">{"fdsup://directions/FAT Viewer?action=UPDATE&amp;creator=factset&amp;DYN_ARGS=TRUE&amp;DOC_NAME=FAT:FQL_AUDITING_CLIENT_TEMPLATE.FAT&amp;display_string=Audit&amp;VAR:KEY=UZSTYDAXAF&amp;VAR:QUERY=RkZfRU5UUlBSX1ZBTF9EQUlMWSg0MDM2NSwsLCxVU0QsJ0RJTCcp&amp;WINDOW=FIRST_POPUP&amp;HEIGHT=450&amp;WI","DTH=450&amp;START_MAXIMIZED=FALSE&amp;VAR:CALENDAR=FIVEDAY&amp;VAR:SYMBOL=403197&amp;VAR:INDEX=0"}</definedName>
    <definedName name="_75__FDSAUDITLINK__" hidden="1">{"fdsup://directions/FAT Viewer?action=UPDATE&amp;creator=factset&amp;DYN_ARGS=TRUE&amp;DOC_NAME=FAT:FQL_AUDITING_CLIENT_TEMPLATE.FAT&amp;display_string=Audit&amp;VAR:KEY=GRADAJEFET&amp;VAR:QUERY=RkZfRU5UUlBSX1ZBTF9EQUlMWSg0MDM2NSwsLCxVU0QsJ0RJTCcp&amp;WINDOW=FIRST_POPUP&amp;HEIGHT=450&amp;WI","DTH=450&amp;START_MAXIMIZED=FALSE&amp;VAR:CALENDAR=FIVEDAY&amp;VAR:SYMBOL=NIKE-USA&amp;VAR:INDEX=0"}</definedName>
    <definedName name="_76__FDSAUDITLINK__" hidden="1">{"fdsup://directions/FAT Viewer?action=UPDATE&amp;creator=factset&amp;DYN_ARGS=TRUE&amp;DOC_NAME=FAT:FQL_AUDITING_CLIENT_TEMPLATE.FAT&amp;display_string=Audit&amp;VAR:KEY=CLOJEDEHSF&amp;VAR:QUERY=RkZfRU5UUlBSX1ZBTF9EQUlMWSg0MDM2NSwsLCxVU0QsJ0RJTCcp&amp;WINDOW=FIRST_POPUP&amp;HEIGHT=450&amp;WI","DTH=450&amp;START_MAXIMIZED=FALSE&amp;VAR:CALENDAR=FIVEDAY&amp;VAR:SYMBOL=605737&amp;VAR:INDEX=0"}</definedName>
    <definedName name="_77__FDSAUDITLINK__" hidden="1">{"fdsup://directions/FAT Viewer?action=UPDATE&amp;creator=factset&amp;DYN_ARGS=TRUE&amp;DOC_NAME=FAT:FQL_AUDITING_CLIENT_TEMPLATE.FAT&amp;display_string=Audit&amp;VAR:KEY=CVYZYNALSJ&amp;VAR:QUERY=RkZfRU5UUlBSX1ZBTF9EQUlMWSg0MDM2NSwsLCwsJ0RJTCcp&amp;WINDOW=FIRST_POPUP&amp;HEIGHT=450&amp;WIDTH=","450&amp;START_MAXIMIZED=FALSE&amp;VAR:CALENDAR=FIVEDAY&amp;VAR:SYMBOL=NIKE-US&amp;VAR:INDEX=0"}</definedName>
    <definedName name="_78__FDSAUDITLINK__" hidden="1">{"fdsup://directions/FAT Viewer?action=UPDATE&amp;creator=factset&amp;DYN_ARGS=TRUE&amp;DOC_NAME=FAT:FQL_AUDITING_CLIENT_TEMPLATE.FAT&amp;display_string=Audit&amp;VAR:KEY=UHKLOBWDYJ&amp;VAR:QUERY=RkZfRU5UUlBSX1ZBTF9EQUlMWSg0MDM2NSwsLCxVU0QsJ0RJTCcp&amp;WINDOW=FIRST_POPUP&amp;HEIGHT=450&amp;WI","DTH=450&amp;START_MAXIMIZED=FALSE&amp;VAR:CALENDAR=FIVEDAY&amp;VAR:SYMBOL=NIKE-US&amp;VAR:INDEX=0"}</definedName>
    <definedName name="_79__FDSAUDITLINK__" hidden="1">{"fdsup://directions/FAT Viewer?action=UPDATE&amp;creator=factset&amp;DYN_ARGS=TRUE&amp;DOC_NAME=FAT:FQL_AUDITING_CLIENT_TEMPLATE.FAT&amp;display_string=Audit&amp;VAR:KEY=TQZQVSVCRU&amp;VAR:QUERY=RkZfRU5UUlBSX1ZBTF9EQUlMWSg0MDM2NSwsLCwsJ0RJTCcp&amp;WINDOW=FIRST_POPUP&amp;HEIGHT=450&amp;WIDTH=","450&amp;START_MAXIMIZED=FALSE&amp;VAR:CALENDAR=FIVEDAY&amp;VAR:SYMBOL=65410610&amp;VAR:INDEX=0"}</definedName>
    <definedName name="_8__123Graph_ACHART_16" hidden="1">[4]Ocean!$B$19:$V$19</definedName>
    <definedName name="_8__FDSAUDITLINK__" hidden="1">{"fdsup://directions/FAT Viewer?action=UPDATE&amp;creator=factset&amp;DYN_ARGS=TRUE&amp;DOC_NAME=FAT:FQL_AUDITING_CLIENT_TEMPLATE.FAT&amp;display_string=Audit&amp;VAR:KEY=ODYHONQXAZ&amp;VAR:QUERY=RkZfRU5UUlBSX1ZBTF9EQUlMWSg0MDM2NiwsLCxVU0QsJ0RJTCcp&amp;WINDOW=FIRST_POPUP&amp;HEIGHT=450&amp;WI","DTH=450&amp;START_MAXIMIZED=FALSE&amp;VAR:CALENDAR=FIVEDAY&amp;VAR:SYMBOL=85524410&amp;VAR:INDEX=0"}</definedName>
    <definedName name="_80__FDSAUDITLINK__" hidden="1">{"fdsup://directions/FAT Viewer?action=UPDATE&amp;creator=factset&amp;DYN_ARGS=TRUE&amp;DOC_NAME=FAT:FQL_AUDITING_CLIENT_TEMPLATE.FAT&amp;display_string=Audit&amp;VAR:KEY=DYFMDWRGXE&amp;VAR:QUERY=RkZfRU5UUlBSX1ZBTF9EQUlMWSg0MDM2NSwsLCxVU0QsJ0RJTCcp&amp;WINDOW=FIRST_POPUP&amp;HEIGHT=450&amp;WI","DTH=450&amp;START_MAXIMIZED=FALSE&amp;VAR:CALENDAR=FIVEDAY&amp;VAR:SYMBOL=65410610&amp;VAR:INDEX=0"}</definedName>
    <definedName name="_81__FDSAUDITLINK__" hidden="1">{"fdsup://directions/FAT Viewer?action=UPDATE&amp;creator=factset&amp;DYN_ARGS=TRUE&amp;DOC_NAME=FAT:FQL_AUDITING_CLIENT_TEMPLATE.FAT&amp;display_string=Audit&amp;VAR:KEY=HWFIDITOJC&amp;VAR:QUERY=RkZfRU5UUlBSX1ZBTF9EQUlMWSg0MDM2NSwsLCwsJ0RJTCcp&amp;WINDOW=FIRST_POPUP&amp;HEIGHT=450&amp;WIDTH=","450&amp;START_MAXIMIZED=FALSE&amp;VAR:CALENDAR=FIVEDAY&amp;VAR:SYMBOL=506472&amp;VAR:INDEX=0"}</definedName>
    <definedName name="_82__FDSAUDITLINK__" hidden="1">{"fdsup://directions/FAT Viewer?action=UPDATE&amp;creator=factset&amp;DYN_ARGS=TRUE&amp;DOC_NAME=FAT:FQL_AUDITING_CLIENT_TEMPLATE.FAT&amp;display_string=Audit&amp;VAR:KEY=TCNOLYHYVK&amp;VAR:QUERY=RkZfRU5UUlBSX1ZBTF9EQUlMWSg0MDM2NSwsLCwsJ0RJTCcp&amp;WINDOW=FIRST_POPUP&amp;HEIGHT=450&amp;WIDTH=","450&amp;START_MAXIMIZED=FALSE&amp;VAR:CALENDAR=FIVEDAY&amp;VAR:SYMBOL=403197&amp;VAR:INDEX=0"}</definedName>
    <definedName name="_83__FDSAUDITLINK__" hidden="1">{"fdsup://directions/FAT Viewer?action=UPDATE&amp;creator=factset&amp;DYN_ARGS=TRUE&amp;DOC_NAME=FAT:FQL_AUDITING_CLIENT_TEMPLATE.FAT&amp;display_string=Audit&amp;VAR:KEY=BEZIDYJCVA&amp;VAR:QUERY=RkZfRU5UUlBSX1ZBTF9EQUlMWSg0MDM2NSwsLCwsJ0RJTCcp&amp;WINDOW=FIRST_POPUP&amp;HEIGHT=450&amp;WIDTH=","450&amp;START_MAXIMIZED=FALSE&amp;VAR:CALENDAR=FIVEDAY&amp;VAR:SYMBOL=65410610&amp;VAR:INDEX=0"}</definedName>
    <definedName name="_84__FDSAUDITLINK__" hidden="1">{"fdsup://directions/FAT Viewer?action=UPDATE&amp;creator=factset&amp;DYN_ARGS=TRUE&amp;DOC_NAME=FAT:FQL_AUDITING_CLIENT_TEMPLATE.FAT&amp;display_string=Audit&amp;VAR:KEY=PCNUZAZYNE&amp;VAR:QUERY=RkZfRU5UUlBSX1ZBTF9EQUlMWSg0MDM2NSwsLCwsJ0RJTCcp&amp;WINDOW=FIRST_POPUP&amp;HEIGHT=450&amp;WIDTH=","450&amp;START_MAXIMIZED=FALSE&amp;VAR:CALENDAR=FIVEDAY&amp;VAR:SYMBOL=605737&amp;VAR:INDEX=0"}</definedName>
    <definedName name="_85__FDSAUDITLINK__" hidden="1">{"fdsup://directions/FAT Viewer?action=UPDATE&amp;creator=factset&amp;DYN_ARGS=TRUE&amp;DOC_NAME=FAT:FQL_AUDITING_CLIENT_TEMPLATE.FAT&amp;display_string=Audit&amp;VAR:KEY=LYXWVCDWPS&amp;VAR:QUERY=RkZfRU5UUlBSX1ZBTF9EQUlMWSg0MDM2NSwsLCwsJ0RJTCcp&amp;WINDOW=FIRST_POPUP&amp;HEIGHT=450&amp;WIDTH=","450&amp;START_MAXIMIZED=FALSE&amp;VAR:CALENDAR=FIVEDAY&amp;VAR:SYMBOL=669615&amp;VAR:INDEX=0"}</definedName>
    <definedName name="_86__FDSAUDITLINK__" hidden="1">{"fdsup://directions/FAT Viewer?action=UPDATE&amp;creator=factset&amp;DYN_ARGS=TRUE&amp;DOC_NAME=FAT:FQL_AUDITING_CLIENT_TEMPLATE.FAT&amp;display_string=Audit&amp;VAR:KEY=JQVEJORIFK&amp;VAR:QUERY=RkZfRU5UUlBSX1ZBTF9EQUlMWSg0MDM2NSwsLCxVU0QsJ0RJTCcp&amp;WINDOW=FIRST_POPUP&amp;HEIGHT=450&amp;WI","DTH=450&amp;START_MAXIMIZED=FALSE&amp;VAR:CALENDAR=FIVEDAY&amp;VAR:SYMBOL=506472&amp;VAR:INDEX=0"}</definedName>
    <definedName name="_87__FDSAUDITLINK__" hidden="1">{"fdsup://directions/FAT Viewer?action=UPDATE&amp;creator=factset&amp;DYN_ARGS=TRUE&amp;DOC_NAME=FAT:FQL_AUDITING_CLIENT_TEMPLATE.FAT&amp;display_string=Audit&amp;VAR:KEY=LYBEXUBGJS&amp;VAR:QUERY=RkZfRU5UUlBSX1ZBTF9EQUlMWSg0MDM2NSwsLCxVU0QsJ0RJTCcp&amp;WINDOW=FIRST_POPUP&amp;HEIGHT=450&amp;WI","DTH=450&amp;START_MAXIMIZED=FALSE&amp;VAR:CALENDAR=FIVEDAY&amp;VAR:SYMBOL=403197&amp;VAR:INDEX=0"}</definedName>
    <definedName name="_88__FDSAUDITLINK__" hidden="1">{"fdsup://directions/FAT Viewer?action=UPDATE&amp;creator=factset&amp;DYN_ARGS=TRUE&amp;DOC_NAME=FAT:FQL_AUDITING_CLIENT_TEMPLATE.FAT&amp;display_string=Audit&amp;VAR:KEY=RARIBEBMRQ&amp;VAR:QUERY=RkZfRU5UUlBSX1ZBTF9EQUlMWSg0MDM2NSwsLCxVU0QsJ0RJTCcp&amp;WINDOW=FIRST_POPUP&amp;HEIGHT=450&amp;WI","DTH=450&amp;START_MAXIMIZED=FALSE&amp;VAR:CALENDAR=FIVEDAY&amp;VAR:SYMBOL=65410610&amp;VAR:INDEX=0"}</definedName>
    <definedName name="_89__FDSAUDITLINK__" hidden="1">{"fdsup://directions/FAT Viewer?action=UPDATE&amp;creator=factset&amp;DYN_ARGS=TRUE&amp;DOC_NAME=FAT:FQL_AUDITING_CLIENT_TEMPLATE.FAT&amp;display_string=Audit&amp;VAR:KEY=NQDCPIVADY&amp;VAR:QUERY=RkZfRU5UUlBSX1ZBTF9EQUlMWSg0MDM2NSwsLCxVU0QsJ0RJTCcp&amp;WINDOW=FIRST_POPUP&amp;HEIGHT=450&amp;WI","DTH=450&amp;START_MAXIMIZED=FALSE&amp;VAR:CALENDAR=FIVEDAY&amp;VAR:SYMBOL=605737&amp;VAR:INDEX=0"}</definedName>
    <definedName name="_9__123Graph_ACHART_17" hidden="1">[4]Ocean!$B$14:$V$14</definedName>
    <definedName name="_9__FDSAUDITLINK__" hidden="1">{"fdsup://directions/FAT Viewer?action=UPDATE&amp;creator=factset&amp;DYN_ARGS=TRUE&amp;DOC_NAME=FAT:FQL_AUDITING_CLIENT_TEMPLATE.FAT&amp;display_string=Audit&amp;VAR:KEY=YDGFSNGJUZ&amp;VAR:QUERY=RkZfRU5UUlBSX1ZBTF9EQUlMWSg0MDM2NiwsLCwsJ0RJTCcp&amp;WINDOW=FIRST_POPUP&amp;HEIGHT=450&amp;WIDTH=","450&amp;START_MAXIMIZED=FALSE&amp;VAR:CALENDAR=FIVEDAY&amp;VAR:SYMBOL=58013510&amp;VAR:INDEX=0"}</definedName>
    <definedName name="_90__FDSAUDITLINK__" hidden="1">{"fdsup://directions/FAT Viewer?action=UPDATE&amp;creator=factset&amp;DYN_ARGS=TRUE&amp;DOC_NAME=FAT:FQL_AUDITING_CLIENT_TEMPLATE.FAT&amp;display_string=Audit&amp;VAR:KEY=FARKZWZSPA&amp;VAR:QUERY=RkZfRU5UUlBSX1ZBTF9EQUlMWSg0MDM2NSwsLCxVU0QsJ0RJTCcp&amp;WINDOW=FIRST_POPUP&amp;HEIGHT=450&amp;WI","DTH=450&amp;START_MAXIMIZED=FALSE&amp;VAR:CALENDAR=FIVEDAY&amp;VAR:SYMBOL=669615&amp;VAR:INDEX=0"}</definedName>
    <definedName name="_91__FDSAUDITLINK__"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2__FDSAUDITLINK__" hidden="1">{"fdsup://directions/FAT Viewer?action=UPDATE&amp;creator=factset&amp;DYN_ARGS=TRUE&amp;DOC_NAME=FAT:FQL_AUDITING_CLIENT_TEMPLATE.FAT&amp;display_string=Audit&amp;VAR:KEY=ZAHGTETQLO&amp;VAR:QUERY=RkZfRU5UUlBSX1ZBTF9EQUlMWSg0MDM2NSwsLCwsJ0RJTCcp&amp;WINDOW=FIRST_POPUP&amp;HEIGHT=450&amp;WIDTH=","450&amp;START_MAXIMIZED=FALSE&amp;VAR:CALENDAR=FIVEDAY&amp;VAR:SYMBOL=658653&amp;VAR:INDEX=0"}</definedName>
    <definedName name="_93__FDSAUDITLINK__" hidden="1">{"fdsup://directions/FAT Viewer?action=UPDATE&amp;creator=factset&amp;DYN_ARGS=TRUE&amp;DOC_NAME=FAT:FQL_AUDITING_CLIENT_TEMPLATE.FAT&amp;display_string=Audit&amp;VAR:KEY=RWRCNONOJG&amp;VAR:QUERY=RkZfRU5UUlBSX1ZBTF9EQUlMWSg0MDM2NSwsLCwsJ0RJTCcp&amp;WINDOW=FIRST_POPUP&amp;HEIGHT=450&amp;WIDTH=","450&amp;START_MAXIMIZED=FALSE&amp;VAR:CALENDAR=FIVEDAY&amp;VAR:SYMBOL=B51BL7&amp;VAR:INDEX=0"}</definedName>
    <definedName name="_94__FDSAUDITLINK__" hidden="1">{"fdsup://directions/FAT Viewer?action=UPDATE&amp;creator=factset&amp;DYN_ARGS=TRUE&amp;DOC_NAME=FAT:FQL_AUDITING_CLIENT_TEMPLATE.FAT&amp;display_string=Audit&amp;VAR:KEY=FWTAHYDMJE&amp;VAR:QUERY=RkZfRU5UUlBSX1ZBTF9EQUlMWSg0MDM2NSwsLCwsJ0RJTCcp&amp;WINDOW=FIRST_POPUP&amp;HEIGHT=450&amp;WIDTH=","450&amp;START_MAXIMIZED=FALSE&amp;VAR:CALENDAR=FIVEDAY&amp;VAR:SYMBOL=B01JCK&amp;VAR:INDEX=0"}</definedName>
    <definedName name="_95__FDSAUDITLINK__" hidden="1">{"fdsup://directions/FAT Viewer?action=UPDATE&amp;creator=factset&amp;DYN_ARGS=TRUE&amp;DOC_NAME=FAT:FQL_AUDITING_CLIENT_TEMPLATE.FAT&amp;display_string=Audit&amp;VAR:KEY=LODQTAHGBU&amp;VAR:QUERY=RkZfRU5UUlBSX1ZBTF9EQUlMWSg0MDM2NSwsLCwsJ0RJTCcp&amp;WINDOW=FIRST_POPUP&amp;HEIGHT=450&amp;WIDTH=","450&amp;START_MAXIMIZED=FALSE&amp;VAR:CALENDAR=FIVEDAY&amp;VAR:SYMBOL=B1YVKN&amp;VAR:INDEX=0"}</definedName>
    <definedName name="_96__FDSAUDITLINK__" hidden="1">{"fdsup://directions/FAT Viewer?action=UPDATE&amp;creator=factset&amp;DYN_ARGS=TRUE&amp;DOC_NAME=FAT:FQL_AUDITING_CLIENT_TEMPLATE.FAT&amp;display_string=Audit&amp;VAR:KEY=DSDQLEVSVK&amp;VAR:QUERY=RkZfRU5UUlBSX1ZBTF9EQUlMWSg0MDM2NSwsLCwsJ0RJTCcp&amp;WINDOW=FIRST_POPUP&amp;HEIGHT=450&amp;WIDTH=","450&amp;START_MAXIMIZED=FALSE&amp;VAR:CALENDAR=FIVEDAY&amp;VAR:SYMBOL=B3Z9VV&amp;VAR:INDEX=0"}</definedName>
    <definedName name="_97__FDSAUDITLINK__" hidden="1">{"fdsup://directions/FAT Viewer?action=UPDATE&amp;creator=factset&amp;DYN_ARGS=TRUE&amp;DOC_NAME=FAT:FQL_AUDITING_CLIENT_TEMPLATE.FAT&amp;display_string=Audit&amp;VAR:KEY=VENSJAPABO&amp;VAR:QUERY=RkZfRU5UUlBSX1ZBTF9EQUlMWSg0MDM2NSwsLCxVU0QsJ0RJTCcp&amp;WINDOW=FIRST_POPUP&amp;HEIGHT=450&amp;WI","DTH=450&amp;START_MAXIMIZED=FALSE&amp;VAR:CALENDAR=FIVEDAY&amp;VAR:SYMBOL=B1YVKN&amp;VAR:INDEX=0"}</definedName>
    <definedName name="_98__FDSAUDITLINK__" hidden="1">{"fdsup://directions/FAT Viewer?action=UPDATE&amp;creator=factset&amp;DYN_ARGS=TRUE&amp;DOC_NAME=FAT:FQL_AUDITING_CLIENT_TEMPLATE.FAT&amp;display_string=Audit&amp;VAR:KEY=TOHSTIFQBO&amp;VAR:QUERY=RkZfRU5UUlBSX1ZBTF9EQUlMWSg0MDM2NSwsLCxVU0QsJ0RJTCcp&amp;WINDOW=FIRST_POPUP&amp;HEIGHT=450&amp;WI","DTH=450&amp;START_MAXIMIZED=FALSE&amp;VAR:CALENDAR=FIVEDAY&amp;VAR:SYMBOL=658653&amp;VAR:INDEX=0"}</definedName>
    <definedName name="_99__FDSAUDITLINK__" hidden="1">{"fdsup://directions/FAT Viewer?action=UPDATE&amp;creator=factset&amp;DYN_ARGS=TRUE&amp;DOC_NAME=FAT:FQL_AUDITING_CLIENT_TEMPLATE.FAT&amp;display_string=Audit&amp;VAR:KEY=NAZQBMFKHK&amp;VAR:QUERY=RkZfRU5UUlBSX1ZBTF9EQUlMWSg0MDM2NSwsLCxVU0QsJ0RJTCcp&amp;WINDOW=FIRST_POPUP&amp;HEIGHT=450&amp;WI","DTH=450&amp;START_MAXIMIZED=FALSE&amp;VAR:CALENDAR=FIVEDAY&amp;VAR:SYMBOL=B51BL7&amp;VAR:INDEX=0"}</definedName>
    <definedName name="_a1" hidden="1">{#N/A,#N/A,FALSE,"Synth";"parc_DC",#N/A,FALSE,"parc";#N/A,#N/A,FALSE,"CA prest";#N/A,#N/A,FALSE,"Ratio CA";#N/A,#N/A,FALSE,"Trafic";"CR_GSM_acté_DC",#N/A,FALSE,"CR GSM_acté";#N/A,#N/A,FALSE,"Abonnés";#N/A,#N/A,FALSE,"Créances";#N/A,#N/A,FALSE,"Effectifs"}</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B84D84CF474431BF3309B4E0A950BA.edm" hidden="1">#REF!</definedName>
    <definedName name="_bdm.03164F8F16BB44DD8BE84B189920E60C.edm" hidden="1">#REF!</definedName>
    <definedName name="_bdm.062E9B5C62DA48D1AE65C2F5E227D77A.edm" hidden="1">#REF!</definedName>
    <definedName name="_bdm.0654A41C2E9749138D2F862E2DCA3F12.edm" hidden="1">#REF!</definedName>
    <definedName name="_bdm.079C06B39FC94ECA9808BF244AC556A2.edm" hidden="1">#REF!</definedName>
    <definedName name="_bdm.088FF989DC79482F851933796F072ACD.edm" hidden="1">#REF!</definedName>
    <definedName name="_bdm.0DFC1073718145AE8DB29B81CF2609C2.edm" hidden="1">#REF!</definedName>
    <definedName name="_bdm.1142DCAF8DCE497EABDCCD183CB8043F.edm" hidden="1">#REF!</definedName>
    <definedName name="_bdm.14DD19457D6F4082A4A7265E9FD06E04.edm" hidden="1">#REF!</definedName>
    <definedName name="_bdm.1B7FBA5858C441258B931E25AF3D720F.edm" hidden="1">#REF!</definedName>
    <definedName name="_bdm.20407EB1DD22405BA7C911C166A81B6F.edm" hidden="1">#REF!</definedName>
    <definedName name="_bdm.2281237ECB0B4CF5A16CD701637C4234.edm" hidden="1">#REF!</definedName>
    <definedName name="_bdm.23FD40C7DD6A46E7BD359AE91D48115A.edm" hidden="1">#REF!</definedName>
    <definedName name="_bdm.2735D34EFDA941F9AEA7CCA74899F4CC.edm" hidden="1">#REF!</definedName>
    <definedName name="_bdm.2A65A2EF1EAE48F29888EC4D58F407C8.edm" hidden="1">#REF!</definedName>
    <definedName name="_bdm.2d5b7211e9f04bada878245682862189.edm" hidden="1">#REF!</definedName>
    <definedName name="_bdm.2D775EEE0D8D4081B77C46F3831676CF.edm" hidden="1">#REF!</definedName>
    <definedName name="_bdm.33BB18A72C5F4DC7B9B065743EE17D0E.edm" hidden="1">#REF!</definedName>
    <definedName name="_bdm.35973A419E824D54BCB5CDDE2F8DB3DC.edm" hidden="1">#REF!</definedName>
    <definedName name="_bdm.3B40835E2A4A420B8BC3C3945DB9F5BE.edm" hidden="1">#REF!</definedName>
    <definedName name="_bdm.400062792e0b460ca167291177ce5943.edm" hidden="1">#REF!</definedName>
    <definedName name="_bdm.4327CBA45C314CC5877B41AE4C5512A5.edm" hidden="1">#REF!</definedName>
    <definedName name="_bdm.43D14E50C7F448A98D0125C04EC486FD.edm" hidden="1">#REF!</definedName>
    <definedName name="_bdm.44CC4A5E20D3428D8819613E3AE45C57.edm" hidden="1">#REF!</definedName>
    <definedName name="_bdm.46a18ed9dffd4cd6880b56437874ece9.edm" localSheetId="37" hidden="1">#REF!</definedName>
    <definedName name="_bdm.46a18ed9dffd4cd6880b56437874ece9.edm" localSheetId="48" hidden="1">#REF!</definedName>
    <definedName name="_bdm.46a18ed9dffd4cd6880b56437874ece9.edm" localSheetId="77" hidden="1">#REF!</definedName>
    <definedName name="_bdm.46a18ed9dffd4cd6880b56437874ece9.edm" localSheetId="31" hidden="1">#REF!</definedName>
    <definedName name="_bdm.46a18ed9dffd4cd6880b56437874ece9.edm" localSheetId="32" hidden="1">#REF!</definedName>
    <definedName name="_bdm.46a18ed9dffd4cd6880b56437874ece9.edm" localSheetId="33" hidden="1">#REF!</definedName>
    <definedName name="_bdm.46a18ed9dffd4cd6880b56437874ece9.edm" localSheetId="4" hidden="1">#REF!</definedName>
    <definedName name="_bdm.46a18ed9dffd4cd6880b56437874ece9.edm" localSheetId="92" hidden="1">#REF!</definedName>
    <definedName name="_bdm.46a18ed9dffd4cd6880b56437874ece9.edm" localSheetId="75" hidden="1">#REF!</definedName>
    <definedName name="_bdm.46a18ed9dffd4cd6880b56437874ece9.edm" localSheetId="14" hidden="1">#REF!</definedName>
    <definedName name="_bdm.46a18ed9dffd4cd6880b56437874ece9.edm" localSheetId="49" hidden="1">#REF!</definedName>
    <definedName name="_bdm.46a18ed9dffd4cd6880b56437874ece9.edm" hidden="1">#REF!</definedName>
    <definedName name="_bdm.480A122C7E194149AA7456103BE1B04C.edm" hidden="1">#REF!</definedName>
    <definedName name="_bdm.5011E812AA6A4219853CBFA434D47F03.edm" hidden="1">#REF!</definedName>
    <definedName name="_bdm.52B116371D6D47489B9992BCCD03504E.edm" hidden="1">#REF!</definedName>
    <definedName name="_bdm.56CDA3413C60459DBDFDC7958425B806.edm" hidden="1">#REF!</definedName>
    <definedName name="_bdm.60ADB7E6B95B464D8A42362B7C073A72.edm" hidden="1">#REF!</definedName>
    <definedName name="_bdm.62F30BCC4AA746B19C338E690FDAAAC9.edm" hidden="1">#REF!</definedName>
    <definedName name="_bdm.72676EAC37E848A9810470094F50D305.edm" hidden="1">#REF!</definedName>
    <definedName name="_bdm.75EBF64EABBF49C29F06AC78EF42783F.edm" hidden="1">#REF!</definedName>
    <definedName name="_bdm.8CF46EE8F6FE426FB0FA9C095C4D59CB.edm" hidden="1">#REF!</definedName>
    <definedName name="_bdm.8FA9BCE690A6460EA8EE1AEF1456D9A4.edm" hidden="1">#REF!</definedName>
    <definedName name="_bdm.91A064DFD5EB49A4B692C0D850DB9BF9.edm" hidden="1">#REF!</definedName>
    <definedName name="_bdm.9BAEA0934CEA4177A77D7E5729014AF4.edm" hidden="1">#REF!</definedName>
    <definedName name="_bdm.9C21F7CE18C144BCAACC794697872EB1.edm" hidden="1">#REF!</definedName>
    <definedName name="_bdm.9C5732A581A74753AA20EF438FBB1351.edm" hidden="1">#REF!</definedName>
    <definedName name="_bdm.B10F867B2077420696A57497E27C0845.edm" hidden="1">#REF!</definedName>
    <definedName name="_bdm.B2BD76839904495DB34D75886A9C7C15.edm" hidden="1">#REF!</definedName>
    <definedName name="_bdm.B2CA565AE56645E2BFA7A662474EC760.edm" hidden="1">#REF!</definedName>
    <definedName name="_bdm.B305AEF054AD45D99C26618F79D1D471.edm" hidden="1">#REF!</definedName>
    <definedName name="_bdm.B36879ED32C04E7EB20FBFBB2688EE58.edm" hidden="1">#REF!</definedName>
    <definedName name="_bdm.B7DDA8AE0D404B54BCFEBF8497F01CDB.edm" hidden="1">#REF!</definedName>
    <definedName name="_bdm.B812E24AA25A4610ADD94022A8636091.edm" hidden="1">#REF!</definedName>
    <definedName name="_bdm.BC184B26B2FB497C9A88DCB567482CDC.edm" hidden="1">#REF!</definedName>
    <definedName name="_bdm.BC20F706760E4E0B822B9BA1BF2DABB0.edm" hidden="1">#REF!</definedName>
    <definedName name="_bdm.C29256EA72564D138FF3EE2073239CCC.edm" hidden="1">#REF!</definedName>
    <definedName name="_bdm.C4D776DED0BB4B5C8F647EF786727E82.edm" hidden="1">#REF!</definedName>
    <definedName name="_bdm.CACE8760DEAF48D287F23134332B6B7B.edm" hidden="1">#REF!</definedName>
    <definedName name="_bdm.d437fcb6dd254b7a8c2aff490de850e3.edm" localSheetId="37" hidden="1">#REF!</definedName>
    <definedName name="_bdm.d437fcb6dd254b7a8c2aff490de850e3.edm" localSheetId="48" hidden="1">#REF!</definedName>
    <definedName name="_bdm.d437fcb6dd254b7a8c2aff490de850e3.edm" localSheetId="77" hidden="1">#REF!</definedName>
    <definedName name="_bdm.d437fcb6dd254b7a8c2aff490de850e3.edm" localSheetId="31" hidden="1">#REF!</definedName>
    <definedName name="_bdm.d437fcb6dd254b7a8c2aff490de850e3.edm" localSheetId="32" hidden="1">#REF!</definedName>
    <definedName name="_bdm.d437fcb6dd254b7a8c2aff490de850e3.edm" localSheetId="33" hidden="1">#REF!</definedName>
    <definedName name="_bdm.d437fcb6dd254b7a8c2aff490de850e3.edm" localSheetId="4" hidden="1">#REF!</definedName>
    <definedName name="_bdm.d437fcb6dd254b7a8c2aff490de850e3.edm" localSheetId="92" hidden="1">#REF!</definedName>
    <definedName name="_bdm.d437fcb6dd254b7a8c2aff490de850e3.edm" localSheetId="75" hidden="1">#REF!</definedName>
    <definedName name="_bdm.d437fcb6dd254b7a8c2aff490de850e3.edm" localSheetId="14" hidden="1">#REF!</definedName>
    <definedName name="_bdm.d437fcb6dd254b7a8c2aff490de850e3.edm" localSheetId="49" hidden="1">#REF!</definedName>
    <definedName name="_bdm.d437fcb6dd254b7a8c2aff490de850e3.edm" hidden="1">#REF!</definedName>
    <definedName name="_bdm.D5947DAEC3574E4C972592C3AEA417DF.edm" hidden="1">#REF!</definedName>
    <definedName name="_bdm.D6293C70428D4B748020F608527398F9.edm" hidden="1">#REF!</definedName>
    <definedName name="_bdm.D9121CA535634B77954496228CCA11D7.edm" hidden="1">#REF!</definedName>
    <definedName name="_bdm.d97762a431bc47a188ab7c2f84c57d3e.edm" localSheetId="37" hidden="1">#REF!</definedName>
    <definedName name="_bdm.d97762a431bc47a188ab7c2f84c57d3e.edm" localSheetId="48" hidden="1">#REF!</definedName>
    <definedName name="_bdm.d97762a431bc47a188ab7c2f84c57d3e.edm" localSheetId="77" hidden="1">#REF!</definedName>
    <definedName name="_bdm.d97762a431bc47a188ab7c2f84c57d3e.edm" localSheetId="31" hidden="1">#REF!</definedName>
    <definedName name="_bdm.d97762a431bc47a188ab7c2f84c57d3e.edm" localSheetId="32" hidden="1">#REF!</definedName>
    <definedName name="_bdm.d97762a431bc47a188ab7c2f84c57d3e.edm" localSheetId="33" hidden="1">#REF!</definedName>
    <definedName name="_bdm.d97762a431bc47a188ab7c2f84c57d3e.edm" localSheetId="4" hidden="1">#REF!</definedName>
    <definedName name="_bdm.d97762a431bc47a188ab7c2f84c57d3e.edm" localSheetId="40" hidden="1">#REF!</definedName>
    <definedName name="_bdm.d97762a431bc47a188ab7c2f84c57d3e.edm" localSheetId="79" hidden="1">#REF!</definedName>
    <definedName name="_bdm.d97762a431bc47a188ab7c2f84c57d3e.edm" localSheetId="78" hidden="1">#REF!</definedName>
    <definedName name="_bdm.d97762a431bc47a188ab7c2f84c57d3e.edm" localSheetId="75" hidden="1">#REF!</definedName>
    <definedName name="_bdm.d97762a431bc47a188ab7c2f84c57d3e.edm" localSheetId="42" hidden="1">#REF!</definedName>
    <definedName name="_bdm.d97762a431bc47a188ab7c2f84c57d3e.edm" localSheetId="14" hidden="1">#REF!</definedName>
    <definedName name="_bdm.d97762a431bc47a188ab7c2f84c57d3e.edm" localSheetId="49" hidden="1">#REF!</definedName>
    <definedName name="_bdm.d97762a431bc47a188ab7c2f84c57d3e.edm" hidden="1">#REF!</definedName>
    <definedName name="_bdm.D97763A431BC47A188AB7C2F84C57D3E.edm" localSheetId="37" hidden="1">#REF!</definedName>
    <definedName name="_bdm.D97763A431BC47A188AB7C2F84C57D3E.edm" localSheetId="48" hidden="1">#REF!</definedName>
    <definedName name="_bdm.D97763A431BC47A188AB7C2F84C57D3E.edm" localSheetId="77" hidden="1">#REF!</definedName>
    <definedName name="_bdm.D97763A431BC47A188AB7C2F84C57D3E.edm" localSheetId="31" hidden="1">#REF!</definedName>
    <definedName name="_bdm.D97763A431BC47A188AB7C2F84C57D3E.edm" localSheetId="32" hidden="1">#REF!</definedName>
    <definedName name="_bdm.D97763A431BC47A188AB7C2F84C57D3E.edm" localSheetId="33" hidden="1">#REF!</definedName>
    <definedName name="_bdm.D97763A431BC47A188AB7C2F84C57D3E.edm" localSheetId="4" hidden="1">#REF!</definedName>
    <definedName name="_bdm.D97763A431BC47A188AB7C2F84C57D3E.edm" localSheetId="40" hidden="1">#REF!</definedName>
    <definedName name="_bdm.D97763A431BC47A188AB7C2F84C57D3E.edm" localSheetId="79" hidden="1">#REF!</definedName>
    <definedName name="_bdm.D97763A431BC47A188AB7C2F84C57D3E.edm" localSheetId="78" hidden="1">#REF!</definedName>
    <definedName name="_bdm.D97763A431BC47A188AB7C2F84C57D3E.edm" localSheetId="75" hidden="1">#REF!</definedName>
    <definedName name="_bdm.D97763A431BC47A188AB7C2F84C57D3E.edm" localSheetId="42" hidden="1">#REF!</definedName>
    <definedName name="_bdm.D97763A431BC47A188AB7C2F84C57D3E.edm" localSheetId="14" hidden="1">#REF!</definedName>
    <definedName name="_bdm.D97763A431BC47A188AB7C2F84C57D3E.edm" localSheetId="49" hidden="1">#REF!</definedName>
    <definedName name="_bdm.D97763A431BC47A188AB7C2F84C57D3E.edm" hidden="1">#REF!</definedName>
    <definedName name="_bdm.DD6DF6637088483684C08D4D65BCC9B4.edm" hidden="1">#REF!</definedName>
    <definedName name="_bdm.DDCD110EBB2045B6B75B0BBA46AA89AA.edm" hidden="1">#REF!</definedName>
    <definedName name="_bdm.DE0D627EFC54441F9DB1CD9A7FC5B107.edm" hidden="1">#REF!</definedName>
    <definedName name="_bdm.E2B3006912884B5799762BFE600AE19F.edm" hidden="1">#REF!</definedName>
    <definedName name="_bdm.E3A0D2CD872B4F279C26D9EB0E000B5A.edm" hidden="1">#REF!</definedName>
    <definedName name="_bdm.e539c4946a95413aad273c460e98ea49.edm" hidden="1">#REF!</definedName>
    <definedName name="_bdm.E64D216D12D443A5AEB8AC2980D00906.edm" hidden="1">#REF!</definedName>
    <definedName name="_bdm.E6C31896CE324AE8A4F9DF69FD58A267.edm" hidden="1">#REF!</definedName>
    <definedName name="_bdm.E7436F07D9EE4694862CA51961075DC8.edm" hidden="1">#REF!</definedName>
    <definedName name="_bdm.E8F2B8798E3141D2B2B699E0F0171771.edm" hidden="1">#REF!</definedName>
    <definedName name="_bdm.F77595722EBB4377842E5CD84131AF9C.edm" hidden="1">#REF!</definedName>
    <definedName name="_bdm.F881136CE05643618CB3AB046A177136.edm" hidden="1">#REF!</definedName>
    <definedName name="_bdm.FBC8F4734CD44B95848F689416B40C4F.edm" localSheetId="37" hidden="1">#REF!</definedName>
    <definedName name="_bdm.FBC8F4734CD44B95848F689416B40C4F.edm" localSheetId="48" hidden="1">#REF!</definedName>
    <definedName name="_bdm.FBC8F4734CD44B95848F689416B40C4F.edm" localSheetId="77" hidden="1">#REF!</definedName>
    <definedName name="_bdm.FBC8F4734CD44B95848F689416B40C4F.edm" localSheetId="31" hidden="1">#REF!</definedName>
    <definedName name="_bdm.FBC8F4734CD44B95848F689416B40C4F.edm" localSheetId="32" hidden="1">#REF!</definedName>
    <definedName name="_bdm.FBC8F4734CD44B95848F689416B40C4F.edm" localSheetId="33" hidden="1">#REF!</definedName>
    <definedName name="_bdm.FBC8F4734CD44B95848F689416B40C4F.edm" localSheetId="4" hidden="1">#REF!</definedName>
    <definedName name="_bdm.FBC8F4734CD44B95848F689416B40C4F.edm" localSheetId="92" hidden="1">#REF!</definedName>
    <definedName name="_bdm.FBC8F4734CD44B95848F689416B40C4F.edm" localSheetId="91" hidden="1">#REF!</definedName>
    <definedName name="_bdm.FBC8F4734CD44B95848F689416B40C4F.edm" localSheetId="40" hidden="1">#REF!</definedName>
    <definedName name="_bdm.FBC8F4734CD44B95848F689416B40C4F.edm" localSheetId="79" hidden="1">#REF!</definedName>
    <definedName name="_bdm.FBC8F4734CD44B95848F689416B40C4F.edm" localSheetId="78" hidden="1">#REF!</definedName>
    <definedName name="_bdm.FBC8F4734CD44B95848F689416B40C4F.edm" localSheetId="75" hidden="1">#REF!</definedName>
    <definedName name="_bdm.FBC8F4734CD44B95848F689416B40C4F.edm" localSheetId="42" hidden="1">#REF!</definedName>
    <definedName name="_bdm.FBC8F4734CD44B95848F689416B40C4F.edm" localSheetId="14" hidden="1">#REF!</definedName>
    <definedName name="_bdm.FBC8F4734CD44B95848F689416B40C4F.edm" localSheetId="49" hidden="1">#REF!</definedName>
    <definedName name="_bdm.FBC8F4734CD44B95848F689416B40C4F.edm" localSheetId="69" hidden="1">#REF!</definedName>
    <definedName name="_bdm.FBC8F4734CD44B95848F689416B40C4F.edm" hidden="1">#REF!</definedName>
    <definedName name="_Dist_Values" localSheetId="37" hidden="1">#REF!</definedName>
    <definedName name="_Dist_Values" localSheetId="48" hidden="1">#REF!</definedName>
    <definedName name="_Dist_Values" localSheetId="77" hidden="1">#REF!</definedName>
    <definedName name="_Dist_Values" localSheetId="31" hidden="1">#REF!</definedName>
    <definedName name="_Dist_Values" localSheetId="32" hidden="1">#REF!</definedName>
    <definedName name="_Dist_Values" localSheetId="33" hidden="1">#REF!</definedName>
    <definedName name="_Dist_Values" localSheetId="4" hidden="1">#REF!</definedName>
    <definedName name="_Dist_Values" localSheetId="92" hidden="1">#REF!</definedName>
    <definedName name="_Dist_Values" localSheetId="91" hidden="1">#REF!</definedName>
    <definedName name="_Dist_Values" localSheetId="40" hidden="1">#REF!</definedName>
    <definedName name="_Dist_Values" localSheetId="79" hidden="1">#REF!</definedName>
    <definedName name="_Dist_Values" localSheetId="78" hidden="1">#REF!</definedName>
    <definedName name="_Dist_Values" localSheetId="75" hidden="1">#REF!</definedName>
    <definedName name="_Dist_Values" localSheetId="42" hidden="1">#REF!</definedName>
    <definedName name="_Dist_Values" localSheetId="14" hidden="1">#REF!</definedName>
    <definedName name="_Dist_Values" localSheetId="49" hidden="1">#REF!</definedName>
    <definedName name="_Dist_Values" localSheetId="69" hidden="1">#REF!</definedName>
    <definedName name="_Dist_Values" hidden="1">#REF!</definedName>
    <definedName name="_Dist_Values2" hidden="1">#REF!</definedName>
    <definedName name="_Fill" localSheetId="37" hidden="1">#REF!</definedName>
    <definedName name="_Fill" localSheetId="48" hidden="1">#REF!</definedName>
    <definedName name="_Fill" localSheetId="77" hidden="1">#REF!</definedName>
    <definedName name="_Fill" localSheetId="31" hidden="1">#REF!</definedName>
    <definedName name="_Fill" localSheetId="32" hidden="1">#REF!</definedName>
    <definedName name="_Fill" localSheetId="33" hidden="1">#REF!</definedName>
    <definedName name="_Fill" localSheetId="4" hidden="1">#REF!</definedName>
    <definedName name="_Fill" localSheetId="92" hidden="1">#REF!</definedName>
    <definedName name="_Fill" localSheetId="91" hidden="1">#REF!</definedName>
    <definedName name="_Fill" localSheetId="40" hidden="1">#REF!</definedName>
    <definedName name="_Fill" localSheetId="79" hidden="1">#REF!</definedName>
    <definedName name="_Fill" localSheetId="78" hidden="1">#REF!</definedName>
    <definedName name="_Fill" localSheetId="75" hidden="1">#REF!</definedName>
    <definedName name="_Fill" localSheetId="42" hidden="1">#REF!</definedName>
    <definedName name="_Fill" localSheetId="14" hidden="1">#REF!</definedName>
    <definedName name="_Fill" localSheetId="49" hidden="1">#REF!</definedName>
    <definedName name="_Fill" localSheetId="69" hidden="1">#REF!</definedName>
    <definedName name="_Fill" hidden="1">#REF!</definedName>
    <definedName name="_Fill2" hidden="1">#REF!</definedName>
    <definedName name="_xlnm._FilterDatabase" localSheetId="40" hidden="1">'IPO Data_BioPharma'!$B$10:$AI$125</definedName>
    <definedName name="_xlnm._FilterDatabase" localSheetId="79" hidden="1">'IPO Data_Diagnostic'!$B$10:$AB$135</definedName>
    <definedName name="_xlnm._FilterDatabase" localSheetId="78" hidden="1">'IPO Data_Med Device'!#REF!</definedName>
    <definedName name="_xlnm._FilterDatabase" localSheetId="38" hidden="1">'Licensing Deals'!$B$6:$M$67</definedName>
    <definedName name="_xlnm._FilterDatabase" hidden="1">#REF!</definedName>
    <definedName name="_GSRATESR_1" hidden="1">[10]Financials!#REF!</definedName>
    <definedName name="_hq1" hidden="1">{#N/A,#N/A,FALSE,"6405";#N/A,#N/A,FALSE,"6406";#N/A,#N/A,FALSE,"6409";#N/A,#N/A,FALSE,"6425";#N/A,#N/A,FALSE,"6426";#N/A,#N/A,FALSE,"6427";#N/A,#N/A,FALSE,"6440";#N/A,#N/A,FALSE,"6441";#N/A,#N/A,FALSE,"6442";#N/A,#N/A,FALSE,"6443"}</definedName>
    <definedName name="_I2" localSheetId="37" hidden="1">{"PVGraph2",#N/A,FALSE,"PV Data"}</definedName>
    <definedName name="_I2" localSheetId="92" hidden="1">{"PVGraph2",#N/A,FALSE,"PV Data"}</definedName>
    <definedName name="_I2" localSheetId="43" hidden="1">{"PVGraph2",#N/A,FALSE,"PV Data"}</definedName>
    <definedName name="_I2" hidden="1">{"PVGraph2",#N/A,FALSE,"PV Data"}</definedName>
    <definedName name="_I3" localSheetId="37" hidden="1">{"PVGraph2",#N/A,FALSE,"PV Data"}</definedName>
    <definedName name="_I3" localSheetId="92" hidden="1">{"PVGraph2",#N/A,FALSE,"PV Data"}</definedName>
    <definedName name="_I3" localSheetId="43" hidden="1">{"PVGraph2",#N/A,FALSE,"PV Data"}</definedName>
    <definedName name="_I3" hidden="1">{"PVGraph2",#N/A,FALSE,"PV Data"}</definedName>
    <definedName name="_Key1" localSheetId="37" hidden="1">#REF!</definedName>
    <definedName name="_Key1" localSheetId="48" hidden="1">#REF!</definedName>
    <definedName name="_Key1" localSheetId="77" hidden="1">#REF!</definedName>
    <definedName name="_Key1" localSheetId="31" hidden="1">#REF!</definedName>
    <definedName name="_Key1" localSheetId="32" hidden="1">#REF!</definedName>
    <definedName name="_Key1" localSheetId="33" hidden="1">#REF!</definedName>
    <definedName name="_Key1" localSheetId="4" hidden="1">#REF!</definedName>
    <definedName name="_Key1" localSheetId="92" hidden="1">#REF!</definedName>
    <definedName name="_Key1" localSheetId="91" hidden="1">#REF!</definedName>
    <definedName name="_Key1" localSheetId="40" hidden="1">#REF!</definedName>
    <definedName name="_Key1" localSheetId="79" hidden="1">#REF!</definedName>
    <definedName name="_Key1" localSheetId="78" hidden="1">#REF!</definedName>
    <definedName name="_Key1" localSheetId="75" hidden="1">#REF!</definedName>
    <definedName name="_Key1" localSheetId="42" hidden="1">#REF!</definedName>
    <definedName name="_Key1" localSheetId="14" hidden="1">#REF!</definedName>
    <definedName name="_Key1" localSheetId="49" hidden="1">#REF!</definedName>
    <definedName name="_Key1" localSheetId="69" hidden="1">#REF!</definedName>
    <definedName name="_Key1" hidden="1">#REF!</definedName>
    <definedName name="_Key2" localSheetId="37" hidden="1">#REF!</definedName>
    <definedName name="_Key2" localSheetId="48" hidden="1">#REF!</definedName>
    <definedName name="_Key2" localSheetId="77" hidden="1">#REF!</definedName>
    <definedName name="_Key2" localSheetId="31" hidden="1">#REF!</definedName>
    <definedName name="_Key2" localSheetId="32" hidden="1">#REF!</definedName>
    <definedName name="_Key2" localSheetId="33" hidden="1">#REF!</definedName>
    <definedName name="_Key2" localSheetId="4" hidden="1">#REF!</definedName>
    <definedName name="_Key2" localSheetId="92" hidden="1">#REF!</definedName>
    <definedName name="_Key2" localSheetId="91" hidden="1">#REF!</definedName>
    <definedName name="_Key2" localSheetId="40" hidden="1">#REF!</definedName>
    <definedName name="_Key2" localSheetId="79" hidden="1">#REF!</definedName>
    <definedName name="_Key2" localSheetId="78" hidden="1">#REF!</definedName>
    <definedName name="_Key2" localSheetId="75" hidden="1">#REF!</definedName>
    <definedName name="_Key2" localSheetId="42" hidden="1">#REF!</definedName>
    <definedName name="_Key2" localSheetId="14" hidden="1">#REF!</definedName>
    <definedName name="_Key2" localSheetId="49" hidden="1">#REF!</definedName>
    <definedName name="_Key2" localSheetId="69" hidden="1">#REF!</definedName>
    <definedName name="_Key2" hidden="1">#REF!</definedName>
    <definedName name="_m" localSheetId="37" hidden="1">#REF!</definedName>
    <definedName name="_m" localSheetId="48" hidden="1">#REF!</definedName>
    <definedName name="_m" localSheetId="77" hidden="1">#REF!</definedName>
    <definedName name="_m" localSheetId="31" hidden="1">#REF!</definedName>
    <definedName name="_m" localSheetId="32" hidden="1">#REF!</definedName>
    <definedName name="_m" localSheetId="33" hidden="1">#REF!</definedName>
    <definedName name="_m" localSheetId="4" hidden="1">#REF!</definedName>
    <definedName name="_m" localSheetId="40" hidden="1">#REF!</definedName>
    <definedName name="_m" localSheetId="79" hidden="1">#REF!</definedName>
    <definedName name="_m" localSheetId="78" hidden="1">#REF!</definedName>
    <definedName name="_m" localSheetId="75" hidden="1">#REF!</definedName>
    <definedName name="_m" localSheetId="42" hidden="1">#REF!</definedName>
    <definedName name="_m" localSheetId="14" hidden="1">#REF!</definedName>
    <definedName name="_m" localSheetId="49" hidden="1">#REF!</definedName>
    <definedName name="_m" hidden="1">#REF!</definedName>
    <definedName name="_mgs" hidden="1">#REF!</definedName>
    <definedName name="_Order1" hidden="1">0</definedName>
    <definedName name="_Order2" hidden="1">255</definedName>
    <definedName name="_r" hidden="1">{#N/A,#N/A,TRUE,"Total Market";#N/A,#N/A,TRUE,"Pricing Table";#N/A,#N/A,TRUE,"Residential Minutes";#N/A,#N/A,TRUE,"Small Bus Minutes";#N/A,#N/A,TRUE,"Medium Bus Minures";#N/A,#N/A,TRUE,"Corporate Min penetration";#N/A,#N/A,TRUE,"Line Penetration";#N/A,#N/A,TRUE,"Direct Line Penetration";#N/A,#N/A,TRUE,"Indirect Lines";#N/A,#N/A,TRUE,"Penetration% by Customer";#N/A,#N/A,TRUE,"Penetration% by Product";#N/A,#N/A,TRUE,"Minutes-Revenue by Product";#N/A,#N/A,TRUE,"Product Minute penetration";#N/A,#N/A,TRUE,"Customer Minutes Penetration"}</definedName>
    <definedName name="_Regression_Int" hidden="1">1</definedName>
    <definedName name="_s1" hidden="1">'[8]sales vol.'!$J$34:$J$37</definedName>
    <definedName name="_s2" hidden="1">'[8]sales vol.'!$J$398:$J$401</definedName>
    <definedName name="_s3" hidden="1">'[8]sales vol.'!$J$211:$J$214</definedName>
    <definedName name="_s4" hidden="1">'[8]sales vol.'!$I$1121:$I$1122</definedName>
    <definedName name="_s5" hidden="1">'[8]sales vol.'!$I$1632:$I$1635</definedName>
    <definedName name="_s6" hidden="1">'[8]sales vol.'!$I$2248:$I$2251</definedName>
    <definedName name="_sga" hidden="1">#REF!</definedName>
    <definedName name="_Sort" localSheetId="37" hidden="1">#REF!</definedName>
    <definedName name="_Sort" localSheetId="48" hidden="1">#REF!</definedName>
    <definedName name="_Sort" localSheetId="77" hidden="1">#REF!</definedName>
    <definedName name="_Sort" localSheetId="31" hidden="1">#REF!</definedName>
    <definedName name="_Sort" localSheetId="32" hidden="1">#REF!</definedName>
    <definedName name="_Sort" localSheetId="33" hidden="1">#REF!</definedName>
    <definedName name="_Sort" localSheetId="4" hidden="1">#REF!</definedName>
    <definedName name="_Sort" localSheetId="92" hidden="1">#REF!</definedName>
    <definedName name="_Sort" localSheetId="91" hidden="1">#REF!</definedName>
    <definedName name="_Sort" localSheetId="40" hidden="1">#REF!</definedName>
    <definedName name="_Sort" localSheetId="79" hidden="1">#REF!</definedName>
    <definedName name="_Sort" localSheetId="78" hidden="1">#REF!</definedName>
    <definedName name="_Sort" localSheetId="75" hidden="1">#REF!</definedName>
    <definedName name="_Sort" localSheetId="42" hidden="1">#REF!</definedName>
    <definedName name="_Sort" localSheetId="14" hidden="1">#REF!</definedName>
    <definedName name="_Sort" localSheetId="49" hidden="1">#REF!</definedName>
    <definedName name="_Sort" localSheetId="69" hidden="1">#REF!</definedName>
    <definedName name="_Sort" hidden="1">#REF!</definedName>
    <definedName name="_Table1_In1" localSheetId="37" hidden="1">#REF!</definedName>
    <definedName name="_Table1_In1" localSheetId="48" hidden="1">#REF!</definedName>
    <definedName name="_Table1_In1" localSheetId="77" hidden="1">#REF!</definedName>
    <definedName name="_Table1_In1" localSheetId="31" hidden="1">#REF!</definedName>
    <definedName name="_Table1_In1" localSheetId="32" hidden="1">#REF!</definedName>
    <definedName name="_Table1_In1" localSheetId="33" hidden="1">#REF!</definedName>
    <definedName name="_Table1_In1" localSheetId="4" hidden="1">#REF!</definedName>
    <definedName name="_Table1_In1" localSheetId="92" hidden="1">#REF!</definedName>
    <definedName name="_Table1_In1" localSheetId="91" hidden="1">#REF!</definedName>
    <definedName name="_Table1_In1" localSheetId="40" hidden="1">#REF!</definedName>
    <definedName name="_Table1_In1" localSheetId="79" hidden="1">#REF!</definedName>
    <definedName name="_Table1_In1" localSheetId="78" hidden="1">#REF!</definedName>
    <definedName name="_Table1_In1" localSheetId="75" hidden="1">#REF!</definedName>
    <definedName name="_Table1_In1" localSheetId="42" hidden="1">#REF!</definedName>
    <definedName name="_Table1_In1" localSheetId="14" hidden="1">#REF!</definedName>
    <definedName name="_Table1_In1" localSheetId="49" hidden="1">#REF!</definedName>
    <definedName name="_Table1_In1" localSheetId="69" hidden="1">#REF!</definedName>
    <definedName name="_Table1_In1" hidden="1">#REF!</definedName>
    <definedName name="_Table1_In2" hidden="1">#REF!</definedName>
    <definedName name="_Table1_Out" localSheetId="37" hidden="1">#REF!</definedName>
    <definedName name="_Table1_Out" localSheetId="48" hidden="1">#REF!</definedName>
    <definedName name="_Table1_Out" localSheetId="77" hidden="1">#REF!</definedName>
    <definedName name="_Table1_Out" localSheetId="31" hidden="1">#REF!</definedName>
    <definedName name="_Table1_Out" localSheetId="32" hidden="1">#REF!</definedName>
    <definedName name="_Table1_Out" localSheetId="33" hidden="1">#REF!</definedName>
    <definedName name="_Table1_Out" localSheetId="4" hidden="1">#REF!</definedName>
    <definedName name="_Table1_Out" localSheetId="92" hidden="1">#REF!</definedName>
    <definedName name="_Table1_Out" localSheetId="91" hidden="1">#REF!</definedName>
    <definedName name="_Table1_Out" localSheetId="40" hidden="1">#REF!</definedName>
    <definedName name="_Table1_Out" localSheetId="79" hidden="1">#REF!</definedName>
    <definedName name="_Table1_Out" localSheetId="78" hidden="1">#REF!</definedName>
    <definedName name="_Table1_Out" localSheetId="75" hidden="1">#REF!</definedName>
    <definedName name="_Table1_Out" localSheetId="42" hidden="1">#REF!</definedName>
    <definedName name="_Table1_Out" localSheetId="14" hidden="1">#REF!</definedName>
    <definedName name="_Table1_Out" localSheetId="49" hidden="1">#REF!</definedName>
    <definedName name="_Table1_Out" localSheetId="69" hidden="1">#REF!</definedName>
    <definedName name="_Table1_Out" hidden="1">#REF!</definedName>
    <definedName name="_Table1_Out2" hidden="1">#REF!</definedName>
    <definedName name="_Table2_In1" localSheetId="37" hidden="1">#REF!</definedName>
    <definedName name="_Table2_In1" localSheetId="48" hidden="1">#REF!</definedName>
    <definedName name="_Table2_In1" localSheetId="77" hidden="1">#REF!</definedName>
    <definedName name="_Table2_In1" localSheetId="31" hidden="1">#REF!</definedName>
    <definedName name="_Table2_In1" localSheetId="32" hidden="1">#REF!</definedName>
    <definedName name="_Table2_In1" localSheetId="33" hidden="1">#REF!</definedName>
    <definedName name="_Table2_In1" localSheetId="4" hidden="1">#REF!</definedName>
    <definedName name="_Table2_In1" localSheetId="92" hidden="1">#REF!</definedName>
    <definedName name="_Table2_In1" localSheetId="91" hidden="1">#REF!</definedName>
    <definedName name="_Table2_In1" localSheetId="40" hidden="1">#REF!</definedName>
    <definedName name="_Table2_In1" localSheetId="79" hidden="1">#REF!</definedName>
    <definedName name="_Table2_In1" localSheetId="78" hidden="1">#REF!</definedName>
    <definedName name="_Table2_In1" localSheetId="75" hidden="1">#REF!</definedName>
    <definedName name="_Table2_In1" localSheetId="42" hidden="1">#REF!</definedName>
    <definedName name="_Table2_In1" localSheetId="14" hidden="1">#REF!</definedName>
    <definedName name="_Table2_In1" localSheetId="49" hidden="1">#REF!</definedName>
    <definedName name="_Table2_In1" localSheetId="69" hidden="1">#REF!</definedName>
    <definedName name="_Table2_In1" hidden="1">#REF!</definedName>
    <definedName name="_Table2_In2" localSheetId="37" hidden="1">#REF!</definedName>
    <definedName name="_Table2_In2" localSheetId="48" hidden="1">#REF!</definedName>
    <definedName name="_Table2_In2" localSheetId="77" hidden="1">#REF!</definedName>
    <definedName name="_Table2_In2" localSheetId="31" hidden="1">#REF!</definedName>
    <definedName name="_Table2_In2" localSheetId="32" hidden="1">#REF!</definedName>
    <definedName name="_Table2_In2" localSheetId="33" hidden="1">#REF!</definedName>
    <definedName name="_Table2_In2" localSheetId="4" hidden="1">#REF!</definedName>
    <definedName name="_Table2_In2" localSheetId="40" hidden="1">#REF!</definedName>
    <definedName name="_Table2_In2" localSheetId="79" hidden="1">#REF!</definedName>
    <definedName name="_Table2_In2" localSheetId="78" hidden="1">#REF!</definedName>
    <definedName name="_Table2_In2" localSheetId="75" hidden="1">#REF!</definedName>
    <definedName name="_Table2_In2" localSheetId="42" hidden="1">#REF!</definedName>
    <definedName name="_Table2_In2" localSheetId="14" hidden="1">#REF!</definedName>
    <definedName name="_Table2_In2" localSheetId="49" hidden="1">#REF!</definedName>
    <definedName name="_Table2_In2" hidden="1">#REF!</definedName>
    <definedName name="_Table2_In3" hidden="1">#REF!</definedName>
    <definedName name="_Table2_Out" localSheetId="37" hidden="1">#REF!</definedName>
    <definedName name="_Table2_Out" localSheetId="48" hidden="1">#REF!</definedName>
    <definedName name="_Table2_Out" localSheetId="77" hidden="1">#REF!</definedName>
    <definedName name="_Table2_Out" localSheetId="31" hidden="1">#REF!</definedName>
    <definedName name="_Table2_Out" localSheetId="32" hidden="1">#REF!</definedName>
    <definedName name="_Table2_Out" localSheetId="33" hidden="1">#REF!</definedName>
    <definedName name="_Table2_Out" localSheetId="4" hidden="1">#REF!</definedName>
    <definedName name="_Table2_Out" localSheetId="92" hidden="1">#REF!</definedName>
    <definedName name="_Table2_Out" localSheetId="91" hidden="1">#REF!</definedName>
    <definedName name="_Table2_Out" localSheetId="40" hidden="1">#REF!</definedName>
    <definedName name="_Table2_Out" localSheetId="79" hidden="1">#REF!</definedName>
    <definedName name="_Table2_Out" localSheetId="78" hidden="1">#REF!</definedName>
    <definedName name="_Table2_Out" localSheetId="75" hidden="1">#REF!</definedName>
    <definedName name="_Table2_Out" localSheetId="42" hidden="1">#REF!</definedName>
    <definedName name="_Table2_Out" localSheetId="14" hidden="1">#REF!</definedName>
    <definedName name="_Table2_Out" localSheetId="49" hidden="1">#REF!</definedName>
    <definedName name="_Table2_Out" localSheetId="69" hidden="1">#REF!</definedName>
    <definedName name="_Table2_Out" hidden="1">#REF!</definedName>
    <definedName name="_Table2_Out2" hidden="1">#REF!</definedName>
    <definedName name="_w1" localSheetId="37" hidden="1">{"PVGraph2",#N/A,FALSE,"PV Data"}</definedName>
    <definedName name="_w1" localSheetId="92" hidden="1">{"PVGraph2",#N/A,FALSE,"PV Data"}</definedName>
    <definedName name="_w1" localSheetId="43" hidden="1">{"PVGraph2",#N/A,FALSE,"PV Data"}</definedName>
    <definedName name="_w1" hidden="1">{"PVGraph2",#N/A,FALSE,"PV Data"}</definedName>
    <definedName name="_w2" localSheetId="37" hidden="1">{"PVGraph2",#N/A,FALSE,"PV Data"}</definedName>
    <definedName name="_w2" localSheetId="92" hidden="1">{"PVGraph2",#N/A,FALSE,"PV Data"}</definedName>
    <definedName name="_w2" localSheetId="43" hidden="1">{"PVGraph2",#N/A,FALSE,"PV Data"}</definedName>
    <definedName name="_w2" hidden="1">{"PVGraph2",#N/A,FALSE,"PV Data"}</definedName>
    <definedName name="_w3" localSheetId="37" hidden="1">{"PVGraph2",#N/A,FALSE,"PV Data"}</definedName>
    <definedName name="_w3" localSheetId="92" hidden="1">{"PVGraph2",#N/A,FALSE,"PV Data"}</definedName>
    <definedName name="_w3" localSheetId="43" hidden="1">{"PVGraph2",#N/A,FALSE,"PV Data"}</definedName>
    <definedName name="_w3" hidden="1">{"PVGraph2",#N/A,FALSE,"PV Data"}</definedName>
    <definedName name="_wrn.Aging._.and._.Trend._.Analysis" hidden="1">{#N/A,#N/A,FALSE,"Aging Summary";#N/A,#N/A,FALSE,"Ratio Analysis";#N/A,#N/A,FALSE,"Test 120 Day Accts";#N/A,#N/A,FALSE,"Tickmarks"}</definedName>
    <definedName name="_wrn3" hidden="1">{#N/A,#N/A,FALSE,"Aging Summary";#N/A,#N/A,FALSE,"Ratio Analysis";#N/A,#N/A,FALSE,"Test 120 Day Accts";#N/A,#N/A,FALSE,"Tickmarks"}</definedName>
    <definedName name="_xz4" hidden="1">{0,0,0,0;0,0,0,0;0,0,0,0;0,0,0,0;0,0,0,0;0,0,0,0}</definedName>
    <definedName name="_y2" localSheetId="37" hidden="1">{"PVGraph2",#N/A,FALSE,"PV Data"}</definedName>
    <definedName name="_y2" localSheetId="92" hidden="1">{"PVGraph2",#N/A,FALSE,"PV Data"}</definedName>
    <definedName name="_y2" localSheetId="43" hidden="1">{"PVGraph2",#N/A,FALSE,"PV Data"}</definedName>
    <definedName name="_y2" hidden="1">{"PVGraph2",#N/A,FALSE,"PV Data"}</definedName>
    <definedName name="a" hidden="1">{#N/A,#N/A,FALSE,"Projections";#N/A,#N/A,FALSE,"Multiples Valuation";#N/A,#N/A,FALSE,"LBO";#N/A,#N/A,FALSE,"Multiples_Sensitivity";#N/A,#N/A,FALSE,"Summary"}</definedName>
    <definedName name="aaa" hidden="1">42462.6078819444</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aubn" hidden="1">{"page1",#N/A,FALSE,"Model";"page2",#N/A,FALSE,"Model";"page3",#N/A,FALSE,"Model";"page4",#N/A,FALSE,"Model";"page5",#N/A,FALSE,"Model";"page6",#N/A,FALSE,"Model";"page7",#N/A,FALSE,"Model";"page8",#N/A,FALSE,"Model";"page9",#N/A,FALSE,"Model";"page10",#N/A,FALSE,"Model";"page11",#N/A,FALSE,"Model";"page12",#N/A,FALSE,"Model";"page13",#N/A,FALSE,"Model"}</definedName>
    <definedName name="abc" localSheetId="37" hidden="1">#REF!</definedName>
    <definedName name="abc" localSheetId="48" hidden="1">#REF!</definedName>
    <definedName name="abc" localSheetId="77" hidden="1">#REF!</definedName>
    <definedName name="abc" localSheetId="31" hidden="1">#REF!</definedName>
    <definedName name="abc" localSheetId="32" hidden="1">#REF!</definedName>
    <definedName name="abc" localSheetId="33" hidden="1">#REF!</definedName>
    <definedName name="abc" localSheetId="4" hidden="1">#REF!</definedName>
    <definedName name="ABC" localSheetId="92" hidden="1">#REF!</definedName>
    <definedName name="abc" localSheetId="40" hidden="1">#REF!</definedName>
    <definedName name="abc" localSheetId="79" hidden="1">#REF!</definedName>
    <definedName name="abc" localSheetId="78" hidden="1">#REF!</definedName>
    <definedName name="abc" localSheetId="75" hidden="1">#REF!</definedName>
    <definedName name="abc" localSheetId="42" hidden="1">#REF!</definedName>
    <definedName name="abc" localSheetId="14" hidden="1">#REF!</definedName>
    <definedName name="abc" localSheetId="49" hidden="1">#REF!</definedName>
    <definedName name="abc" hidden="1">#REF!</definedName>
    <definedName name="ABS" localSheetId="37" hidden="1">#REF!</definedName>
    <definedName name="ABS" localSheetId="48" hidden="1">#REF!</definedName>
    <definedName name="ABS" localSheetId="77" hidden="1">#REF!</definedName>
    <definedName name="ABS" localSheetId="31" hidden="1">#REF!</definedName>
    <definedName name="ABS" localSheetId="32" hidden="1">#REF!</definedName>
    <definedName name="ABS" localSheetId="33" hidden="1">#REF!</definedName>
    <definedName name="ABS" localSheetId="4" hidden="1">#REF!</definedName>
    <definedName name="ABS" localSheetId="40" hidden="1">#REF!</definedName>
    <definedName name="ABS" localSheetId="79" hidden="1">#REF!</definedName>
    <definedName name="ABS" localSheetId="78" hidden="1">#REF!</definedName>
    <definedName name="ABS" localSheetId="75" hidden="1">#REF!</definedName>
    <definedName name="ABS" localSheetId="42" hidden="1">#REF!</definedName>
    <definedName name="ABS" localSheetId="14" hidden="1">#REF!</definedName>
    <definedName name="ABS" localSheetId="49" hidden="1">#REF!</definedName>
    <definedName name="ABS" hidden="1">#REF!</definedName>
    <definedName name="AccessDatabase" hidden="1">"I:\DEPT8900\OEL\FY01\Reports\Budget Comparison\Comparitive Budget TEST.mdb"</definedName>
    <definedName name="ACwvu.CapersView." hidden="1">[11]MASTER!#REF!</definedName>
    <definedName name="ACwvu.Japan_Capers_Ed_Pub." hidden="1">'[12]THREE VARIABLES'!$N$1:$V$165</definedName>
    <definedName name="ACwvu.KJP_CC." hidden="1">'[12]THREE VARIABLES'!$N$4:$U$165</definedName>
    <definedName name="adj" hidden="1">{"MM Visits",#N/A,TRUE,"Moderately Managed";"MM Dollars per Hour",#N/A,TRUE,"Moderately Managed";"MM Hours per Visit",#N/A,TRUE,"Moderately Managed";"MM Dollars per Visit",#N/A,TRUE,"Moderately Managed";"MM Total Visits",#N/A,TRUE,"Moderately Managed";"MM PMPM",#N/A,TRUE,"Moderately Managed"}</definedName>
    <definedName name="adj_lm" hidden="1">{"UM Visits",#N/A,FALSE,"Unmanaged";"UM Dollars per Hour",#N/A,FALSE,"Unmanaged";"UM Hours per Visit",#N/A,FALSE,"Unmanaged";"UM Dollars per Visit",#N/A,FALSE,"Unmanaged";"UM Total Visits",#N/A,FALSE,"Unmanaged";"UM PMPM",#N/A,FALSE,"Unmanaged"}</definedName>
    <definedName name="adj_opt" hidden="1">{"OM Visits",#N/A,TRUE,"Optimal";"OM Dollars per Hour",#N/A,TRUE,"Optimal";"OM Hours per Visit",#N/A,TRUE,"Optimal";"OM Dollars per Visit",#N/A,TRUE,"Optimal";"OM Total Visits",#N/A,TRUE,"Optimal";"OM PMPM",#N/A,TRUE,"Optimal"}</definedName>
    <definedName name="adjnb" hidden="1">{"page1",#N/A,FALSE,"Model";"page2",#N/A,FALSE,"Model";"page3",#N/A,FALSE,"Model";"page4",#N/A,FALSE,"Model";"page5",#N/A,FALSE,"Model";"page6",#N/A,FALSE,"Model";"page7",#N/A,FALSE,"Model";"page8",#N/A,FALSE,"Model";"page9",#N/A,FALSE,"Model";"page10",#N/A,FALSE,"Model";"page11",#N/A,FALSE,"Model";"page12",#N/A,FALSE,"Model";"page13",#N/A,FALSE,"Model"}</definedName>
    <definedName name="adkjbn" hidden="1">{"page1",#N/A,FALSE,"Model";"page2",#N/A,FALSE,"Model";"page3",#N/A,FALSE,"Model";"page4",#N/A,FALSE,"Model";"page5",#N/A,FALSE,"Model";"page6",#N/A,FALSE,"Model";"page7",#N/A,FALSE,"Model";"page8",#N/A,FALSE,"Model";"page9",#N/A,FALSE,"Model";"page10",#N/A,FALSE,"Model";"page11",#N/A,FALSE,"Model";"page12",#N/A,FALSE,"Model";"page13",#N/A,FALSE,"Model"}</definedName>
    <definedName name="adohfvbr" hidden="1">{"page1",#N/A,FALSE,"Model";"page2",#N/A,FALSE,"Model";"page3",#N/A,FALSE,"Model";"page4",#N/A,FALSE,"Model";"page5",#N/A,FALSE,"Model";"page6",#N/A,FALSE,"Model";"page7",#N/A,FALSE,"Model";"page8",#N/A,FALSE,"Model";"page9",#N/A,FALSE,"Model";"page10",#N/A,FALSE,"Model";"page11",#N/A,FALSE,"Model";"page12",#N/A,FALSE,"Model";"page13",#N/A,FALSE,"Model"}</definedName>
    <definedName name="adsf" localSheetId="37" hidden="1">#REF!</definedName>
    <definedName name="adsf" localSheetId="48" hidden="1">#REF!</definedName>
    <definedName name="adsf" localSheetId="77" hidden="1">#REF!</definedName>
    <definedName name="adsf" localSheetId="31" hidden="1">#REF!</definedName>
    <definedName name="adsf" localSheetId="32" hidden="1">#REF!</definedName>
    <definedName name="adsf" localSheetId="33" hidden="1">#REF!</definedName>
    <definedName name="adsf" localSheetId="4" hidden="1">#REF!</definedName>
    <definedName name="adsf" localSheetId="40" hidden="1">#REF!</definedName>
    <definedName name="adsf" localSheetId="79" hidden="1">#REF!</definedName>
    <definedName name="adsf" localSheetId="78" hidden="1">#REF!</definedName>
    <definedName name="adsf" localSheetId="75" hidden="1">#REF!</definedName>
    <definedName name="adsf" localSheetId="42" hidden="1">#REF!</definedName>
    <definedName name="adsf" localSheetId="14" hidden="1">#REF!</definedName>
    <definedName name="adsf" localSheetId="49" hidden="1">#REF!</definedName>
    <definedName name="adsf" hidden="1">#REF!</definedName>
    <definedName name="adskvb" hidden="1">{"page1",#N/A,FALSE,"Model";"page2",#N/A,FALSE,"Model";"page3",#N/A,FALSE,"Model";"page4",#N/A,FALSE,"Model";"page5",#N/A,FALSE,"Model";"page6",#N/A,FALSE,"Model";"page7",#N/A,FALSE,"Model";"page8",#N/A,FALSE,"Model";"page9",#N/A,FALSE,"Model";"page10",#N/A,FALSE,"Model";"page11",#N/A,FALSE,"Model";"page12",#N/A,FALSE,"Model";"page13",#N/A,FALSE,"Model"}</definedName>
    <definedName name="ahebgr" hidden="1">{"page1",#N/A,FALSE,"Model";"page2",#N/A,FALSE,"Model";"page3",#N/A,FALSE,"Model";"page4",#N/A,FALSE,"Model";"page5",#N/A,FALSE,"Model";"page6",#N/A,FALSE,"Model";"page7",#N/A,FALSE,"Model";"page8",#N/A,FALSE,"Model";"page9",#N/A,FALSE,"Model";"page10",#N/A,FALSE,"Model";"page11",#N/A,FALSE,"Model";"page12",#N/A,FALSE,"Model";"page13",#N/A,FALSE,"Model"}</definedName>
    <definedName name="akdunb" hidden="1">{"page1",#N/A,FALSE,"Model";"page2",#N/A,FALSE,"Model";"page3",#N/A,FALSE,"Model";"page4",#N/A,FALSE,"Model";"page5",#N/A,FALSE,"Model";"page6",#N/A,FALSE,"Model";"page7",#N/A,FALSE,"Model";"page8",#N/A,FALSE,"Model";"page9",#N/A,FALSE,"Model";"page10",#N/A,FALSE,"Model";"page11",#N/A,FALSE,"Model";"page12",#N/A,FALSE,"Model";"page13",#N/A,FALSE,"Model"}</definedName>
    <definedName name="akhdsvb" hidden="1">{"page1",#N/A,FALSE,"Model";"page2",#N/A,FALSE,"Model";"page3",#N/A,FALSE,"Model";"page4",#N/A,FALSE,"Model";"page5",#N/A,FALSE,"Model";"page6",#N/A,FALSE,"Model";"page7",#N/A,FALSE,"Model";"page8",#N/A,FALSE,"Model";"page9",#N/A,FALSE,"Model";"page10",#N/A,FALSE,"Model";"page11",#N/A,FALSE,"Model";"page12",#N/A,FALSE,"Model";"page13",#N/A,FALSE,"Model"}</definedName>
    <definedName name="Alignment" hidden="1">"a1"</definedName>
    <definedName name="alireu" hidden="1">{"page1",#N/A,FALSE,"Model";"page2",#N/A,FALSE,"Model";"page3",#N/A,FALSE,"Model";"page4",#N/A,FALSE,"Model";"page5",#N/A,FALSE,"Model";"page6",#N/A,FALSE,"Model";"page7",#N/A,FALSE,"Model";"page8",#N/A,FALSE,"Model";"page9",#N/A,FALSE,"Model";"page10",#N/A,FALSE,"Model";"page11",#N/A,FALSE,"Model";"page12",#N/A,FALSE,"Model";"page13",#N/A,FALSE,"Model"}</definedName>
    <definedName name="allocation" hidden="1">{#N/A,#N/A,FALSE,"Allocation"}</definedName>
    <definedName name="anscount" hidden="1">6</definedName>
    <definedName name="as" localSheetId="37" hidden="1">{"ModelPage1",#N/A,TRUE,"Model";"ModelSum_Debt",#N/A,TRUE,"Model"}</definedName>
    <definedName name="as" localSheetId="92" hidden="1">{"ModelPage1",#N/A,TRUE,"Model";"ModelSum_Debt",#N/A,TRUE,"Model"}</definedName>
    <definedName name="as" localSheetId="43" hidden="1">{"ModelPage1",#N/A,TRUE,"Model";"ModelSum_Debt",#N/A,TRUE,"Model"}</definedName>
    <definedName name="as" hidden="1">{"ModelPage1",#N/A,TRUE,"Model";"ModelSum_Debt",#N/A,TRUE,"Model"}</definedName>
    <definedName name="AS2DocOpenMode" hidden="1">"AS2DocumentEdit"</definedName>
    <definedName name="AS2HasNoAutoHeaderFooter" hidden="1">" "</definedName>
    <definedName name="AS2NamedRange" hidden="1">6</definedName>
    <definedName name="AS2ReportLS" hidden="1">1</definedName>
    <definedName name="AS2StaticLS" hidden="1">#REF!</definedName>
    <definedName name="AS2SyncStepLS" hidden="1">0</definedName>
    <definedName name="AS2VersionLS" hidden="1">300</definedName>
    <definedName name="asd" localSheetId="92" hidden="1">{"DCF","UPSIDE CASE",FALSE,"Sheet1";"DCF","BASE CASE",FALSE,"Sheet1";"DCF","DOWNSIDE CASE",FALSE,"Sheet1"}</definedName>
    <definedName name="asd" localSheetId="43" hidden="1">{"DCF","UPSIDE CASE",FALSE,"Sheet1";"DCF","BASE CASE",FALSE,"Sheet1";"DCF","DOWNSIDE CASE",FALSE,"Sheet1"}</definedName>
    <definedName name="ASD">{"DCF","UPSIDE CASE",FALSE,"Sheet1";"DCF","BASE CASE",FALSE,"Sheet1";"DCF","DOWNSIDE CASE",FALSE,"Sheet1"}</definedName>
    <definedName name="asdfasdfdddd" localSheetId="37" hidden="1">{"DCF","UPSIDE CASE",FALSE,"Sheet1";"DCF","BASE CASE",FALSE,"Sheet1";"DCF","DOWNSIDE CASE",FALSE,"Sheet1"}</definedName>
    <definedName name="asdfasdfdddd" localSheetId="92" hidden="1">{"DCF","UPSIDE CASE",FALSE,"Sheet1";"DCF","BASE CASE",FALSE,"Sheet1";"DCF","DOWNSIDE CASE",FALSE,"Sheet1"}</definedName>
    <definedName name="asdfasdfdddd" localSheetId="91" hidden="1">{"DCF","UPSIDE CASE",FALSE,"Sheet1";"DCF","BASE CASE",FALSE,"Sheet1";"DCF","DOWNSIDE CASE",FALSE,"Sheet1"}</definedName>
    <definedName name="asdfasdfdddd" localSheetId="43" hidden="1">{"DCF","UPSIDE CASE",FALSE,"Sheet1";"DCF","BASE CASE",FALSE,"Sheet1";"DCF","DOWNSIDE CASE",FALSE,"Sheet1"}</definedName>
    <definedName name="asdfasdfdddd" hidden="1">{"DCF","UPSIDE CASE",FALSE,"Sheet1";"DCF","BASE CASE",FALSE,"Sheet1";"DCF","DOWNSIDE CASE",FALSE,"Sheet1"}</definedName>
    <definedName name="asspts" hidden="1">{#N/A,#N/A,FALSE,"Assumptions"}</definedName>
    <definedName name="avegmultiple" localSheetId="37" hidden="1">#REF!</definedName>
    <definedName name="avegmultiple" localSheetId="48" hidden="1">#REF!</definedName>
    <definedName name="avegmultiple" localSheetId="77" hidden="1">#REF!</definedName>
    <definedName name="avegmultiple" localSheetId="31" hidden="1">#REF!</definedName>
    <definedName name="avegmultiple" localSheetId="32" hidden="1">#REF!</definedName>
    <definedName name="avegmultiple" localSheetId="33" hidden="1">#REF!</definedName>
    <definedName name="avegmultiple" localSheetId="4" hidden="1">#REF!</definedName>
    <definedName name="avegmultiple" localSheetId="40" hidden="1">#REF!</definedName>
    <definedName name="avegmultiple" localSheetId="79" hidden="1">#REF!</definedName>
    <definedName name="avegmultiple" localSheetId="78" hidden="1">#REF!</definedName>
    <definedName name="avegmultiple" localSheetId="75" hidden="1">#REF!</definedName>
    <definedName name="avegmultiple" localSheetId="42" hidden="1">#REF!</definedName>
    <definedName name="avegmultiple" localSheetId="14" hidden="1">#REF!</definedName>
    <definedName name="avegmultiple" localSheetId="49" hidden="1">#REF!</definedName>
    <definedName name="avegmultiple" hidden="1">#REF!</definedName>
    <definedName name="ax" hidden="1">{#N/A,#N/A,FALSE,"Projections";#N/A,#N/A,FALSE,"Multiples Valuation";#N/A,#N/A,FALSE,"LBO";#N/A,#N/A,FALSE,"Multiples_Sensitivity";#N/A,#N/A,FALSE,"Summary"}</definedName>
    <definedName name="b" hidden="1">{#N/A,#N/A,FALSE,"Projections";#N/A,#N/A,FALSE,"AccrDil";#N/A,#N/A,FALSE,"PurchPriMult";#N/A,#N/A,FALSE,"Mults7_13";#N/A,#N/A,FALSE,"Mkt Mults";#N/A,#N/A,FALSE,"Acq Mults";#N/A,#N/A,FALSE,"StockPrices";#N/A,#N/A,FALSE,"Prem Paid";#N/A,#N/A,FALSE,"DCF";#N/A,#N/A,FALSE,"AUTO";#N/A,#N/A,FALSE,"Relative Trading";#N/A,#N/A,FALSE,"Mkt Val";#N/A,#N/A,FALSE,"Acq Val"}</definedName>
    <definedName name="balufdh" hidden="1">{"page1",#N/A,FALSE,"Model";"page2",#N/A,FALSE,"Model";"page3",#N/A,FALSE,"Model";"page4",#N/A,FALSE,"Model";"page5",#N/A,FALSE,"Model";"page6",#N/A,FALSE,"Model";"page7",#N/A,FALSE,"Model";"page8",#N/A,FALSE,"Model";"page9",#N/A,FALSE,"Model";"page10",#N/A,FALSE,"Model";"page11",#N/A,FALSE,"Model";"page12",#N/A,FALSE,"Model";"page13",#N/A,FALSE,"Model"}</definedName>
    <definedName name="bar" hidden="1">{"OM Visits",#N/A,TRUE,"Optimal";"OM Dollars per Hour",#N/A,TRUE,"Optimal";"OM Hours per Visit",#N/A,TRUE,"Optimal";"OM Dollars per Visit",#N/A,TRUE,"Optimal";"OM Total Visits",#N/A,TRUE,"Optimal";"OM PMPM",#N/A,TRUE,"Optimal"}</definedName>
    <definedName name="BBB" hidden="1">{#N/A,#N/A,TRUE,"Assumptions";#N/A,#N/A,TRUE,"Sources of Revenue";#N/A,#N/A,TRUE,"P&amp;L";#N/A,#N/A,TRUE,"Bal. Sheet";#N/A,#N/A,TRUE,"Rights Issue &amp; X Adjustment";#N/A,#N/A,TRUE,"Transaction Model"}</definedName>
    <definedName name="Bear" hidden="1">{#N/A,#N/A,FALSE,"TS";#N/A,#N/A,FALSE,"Combo";#N/A,#N/A,FALSE,"FAIR";#N/A,#N/A,FALSE,"RBC";#N/A,#N/A,FALSE,"xxxx";#N/A,#N/A,FALSE,"A_D";#N/A,#N/A,FALSE,"WACC";#N/A,#N/A,FALSE,"DCF";#N/A,#N/A,FALSE,"LBO";#N/A,#N/A,FALSE,"AcqMults";#N/A,#N/A,FALSE,"CompMults"}</definedName>
    <definedName name="Bearx" hidden="1">{#N/A,#N/A,FALSE,"TS";#N/A,#N/A,FALSE,"Combo";#N/A,#N/A,FALSE,"FAIR";#N/A,#N/A,FALSE,"RBC";#N/A,#N/A,FALSE,"xxxx";#N/A,#N/A,FALSE,"A_D";#N/A,#N/A,FALSE,"WACC";#N/A,#N/A,FALSE,"DCF";#N/A,#N/A,FALSE,"LBO";#N/A,#N/A,FALSE,"AcqMults";#N/A,#N/A,FALSE,"CompMults"}</definedName>
    <definedName name="bei" localSheetId="37" hidden="1">{#N/A,#N/A,FALSE,"softdraw";#N/A,#N/A,FALSE,"linereclass";"northpint loan",#N/A,FALSE,"LOAN"}</definedName>
    <definedName name="bei" localSheetId="92" hidden="1">{#N/A,#N/A,FALSE,"softdraw";#N/A,#N/A,FALSE,"linereclass";"northpint loan",#N/A,FALSE,"LOAN"}</definedName>
    <definedName name="bei" localSheetId="43" hidden="1">{#N/A,#N/A,FALSE,"softdraw";#N/A,#N/A,FALSE,"linereclass";"northpint loan",#N/A,FALSE,"LOAN"}</definedName>
    <definedName name="bei" hidden="1">{#N/A,#N/A,FALSE,"softdraw";#N/A,#N/A,FALSE,"linereclass";"northpint loan",#N/A,FALSE,"LOAN"}</definedName>
    <definedName name="Benefits">350</definedName>
    <definedName name="BG_Del" hidden="1">15</definedName>
    <definedName name="BG_Ins" hidden="1">4</definedName>
    <definedName name="BG_Mod" hidden="1">6</definedName>
    <definedName name="bjnd" hidden="1">{"page1",#N/A,FALSE,"Model";"page2",#N/A,FALSE,"Model";"page3",#N/A,FALSE,"Model";"page4",#N/A,FALSE,"Model";"page5",#N/A,FALSE,"Model";"page6",#N/A,FALSE,"Model";"page7",#N/A,FALSE,"Model";"page8",#N/A,FALSE,"Model";"page9",#N/A,FALSE,"Model";"page10",#N/A,FALSE,"Model";"page11",#N/A,FALSE,"Model";"page12",#N/A,FALSE,"Model";"page13",#N/A,FALSE,"Model"}</definedName>
    <definedName name="blah" hidden="1">{"MM Visits",#N/A,TRUE,"Moderately Managed";"MM Dollars per Hour",#N/A,TRUE,"Moderately Managed";"MM Hours per Visit",#N/A,TRUE,"Moderately Managed";"MM Dollars per Visit",#N/A,TRUE,"Moderately Managed";"MM Total Visits",#N/A,TRUE,"Moderately Managed";"MM PMPM",#N/A,TRUE,"Moderately Managed"}</definedName>
    <definedName name="BLPH1" localSheetId="37" hidden="1">#REF!</definedName>
    <definedName name="BLPH1" localSheetId="48" hidden="1">#REF!</definedName>
    <definedName name="BLPH1" localSheetId="77" hidden="1">#REF!</definedName>
    <definedName name="BLPH1" localSheetId="31" hidden="1">#REF!</definedName>
    <definedName name="BLPH1" localSheetId="32" hidden="1">#REF!</definedName>
    <definedName name="BLPH1" localSheetId="33" hidden="1">#REF!</definedName>
    <definedName name="BLPH1" localSheetId="4" hidden="1">#REF!</definedName>
    <definedName name="BLPH1" localSheetId="43" hidden="1">#REF!</definedName>
    <definedName name="BLPH1" localSheetId="40" hidden="1">#REF!</definedName>
    <definedName name="BLPH1" localSheetId="79" hidden="1">#REF!</definedName>
    <definedName name="BLPH1" localSheetId="78" hidden="1">#REF!</definedName>
    <definedName name="BLPH1" localSheetId="75" hidden="1">#REF!</definedName>
    <definedName name="BLPH1" localSheetId="42" hidden="1">#REF!</definedName>
    <definedName name="BLPH1" localSheetId="14" hidden="1">#REF!</definedName>
    <definedName name="BLPH1" localSheetId="49" hidden="1">#REF!</definedName>
    <definedName name="BLPH1" hidden="1">#REF!</definedName>
    <definedName name="BLPH10" localSheetId="37" hidden="1">#REF!</definedName>
    <definedName name="BLPH10" localSheetId="48" hidden="1">#REF!</definedName>
    <definedName name="BLPH10" localSheetId="77" hidden="1">#REF!</definedName>
    <definedName name="BLPH10" localSheetId="31" hidden="1">#REF!</definedName>
    <definedName name="BLPH10" localSheetId="32" hidden="1">#REF!</definedName>
    <definedName name="BLPH10" localSheetId="33" hidden="1">#REF!</definedName>
    <definedName name="BLPH10" localSheetId="4" hidden="1">#REF!</definedName>
    <definedName name="BLPH10" localSheetId="40" hidden="1">#REF!</definedName>
    <definedName name="BLPH10" localSheetId="79" hidden="1">#REF!</definedName>
    <definedName name="BLPH10" localSheetId="78" hidden="1">#REF!</definedName>
    <definedName name="BLPH10" localSheetId="75" hidden="1">#REF!</definedName>
    <definedName name="BLPH10" localSheetId="42" hidden="1">#REF!</definedName>
    <definedName name="BLPH10" localSheetId="14" hidden="1">#REF!</definedName>
    <definedName name="BLPH10" localSheetId="49" hidden="1">#REF!</definedName>
    <definedName name="BLPH10" hidden="1">#REF!</definedName>
    <definedName name="BLPH11" localSheetId="37" hidden="1">#REF!</definedName>
    <definedName name="BLPH11" localSheetId="48" hidden="1">#REF!</definedName>
    <definedName name="BLPH11" localSheetId="77" hidden="1">#REF!</definedName>
    <definedName name="BLPH11" localSheetId="31" hidden="1">#REF!</definedName>
    <definedName name="BLPH11" localSheetId="32" hidden="1">#REF!</definedName>
    <definedName name="BLPH11" localSheetId="33" hidden="1">#REF!</definedName>
    <definedName name="BLPH11" localSheetId="4" hidden="1">#REF!</definedName>
    <definedName name="BLPH11" localSheetId="40" hidden="1">#REF!</definedName>
    <definedName name="BLPH11" localSheetId="79" hidden="1">#REF!</definedName>
    <definedName name="BLPH11" localSheetId="78" hidden="1">#REF!</definedName>
    <definedName name="BLPH11" localSheetId="75" hidden="1">#REF!</definedName>
    <definedName name="BLPH11" localSheetId="42" hidden="1">#REF!</definedName>
    <definedName name="BLPH11" localSheetId="14" hidden="1">#REF!</definedName>
    <definedName name="BLPH11" localSheetId="49" hidden="1">#REF!</definedName>
    <definedName name="BLPH11" hidden="1">#REF!</definedName>
    <definedName name="BLPH12" localSheetId="37" hidden="1">#REF!</definedName>
    <definedName name="BLPH12" localSheetId="48" hidden="1">#REF!</definedName>
    <definedName name="BLPH12" localSheetId="77" hidden="1">#REF!</definedName>
    <definedName name="BLPH12" localSheetId="31" hidden="1">#REF!</definedName>
    <definedName name="BLPH12" localSheetId="32" hidden="1">#REF!</definedName>
    <definedName name="BLPH12" localSheetId="33" hidden="1">#REF!</definedName>
    <definedName name="BLPH12" localSheetId="4" hidden="1">#REF!</definedName>
    <definedName name="BLPH12" localSheetId="40" hidden="1">#REF!</definedName>
    <definedName name="BLPH12" localSheetId="79" hidden="1">#REF!</definedName>
    <definedName name="BLPH12" localSheetId="78" hidden="1">#REF!</definedName>
    <definedName name="BLPH12" localSheetId="75" hidden="1">#REF!</definedName>
    <definedName name="BLPH12" localSheetId="42" hidden="1">#REF!</definedName>
    <definedName name="BLPH12" localSheetId="14" hidden="1">#REF!</definedName>
    <definedName name="BLPH12" localSheetId="49" hidden="1">#REF!</definedName>
    <definedName name="BLPH12" hidden="1">#REF!</definedName>
    <definedName name="BLPH13" localSheetId="37" hidden="1">#REF!</definedName>
    <definedName name="BLPH13" localSheetId="48" hidden="1">#REF!</definedName>
    <definedName name="BLPH13" localSheetId="77" hidden="1">#REF!</definedName>
    <definedName name="BLPH13" localSheetId="31" hidden="1">#REF!</definedName>
    <definedName name="BLPH13" localSheetId="32" hidden="1">#REF!</definedName>
    <definedName name="BLPH13" localSheetId="33" hidden="1">#REF!</definedName>
    <definedName name="BLPH13" localSheetId="4" hidden="1">#REF!</definedName>
    <definedName name="BLPH13" localSheetId="40" hidden="1">#REF!</definedName>
    <definedName name="BLPH13" localSheetId="79" hidden="1">#REF!</definedName>
    <definedName name="BLPH13" localSheetId="78" hidden="1">#REF!</definedName>
    <definedName name="BLPH13" localSheetId="75" hidden="1">#REF!</definedName>
    <definedName name="BLPH13" localSheetId="42" hidden="1">#REF!</definedName>
    <definedName name="BLPH13" localSheetId="14" hidden="1">#REF!</definedName>
    <definedName name="BLPH13" localSheetId="49" hidden="1">#REF!</definedName>
    <definedName name="BLPH13" hidden="1">#REF!</definedName>
    <definedName name="BLPH14" localSheetId="37" hidden="1">#REF!</definedName>
    <definedName name="BLPH14" localSheetId="48" hidden="1">#REF!</definedName>
    <definedName name="BLPH14" localSheetId="77" hidden="1">#REF!</definedName>
    <definedName name="BLPH14" localSheetId="31" hidden="1">#REF!</definedName>
    <definedName name="BLPH14" localSheetId="32" hidden="1">#REF!</definedName>
    <definedName name="BLPH14" localSheetId="33" hidden="1">#REF!</definedName>
    <definedName name="BLPH14" localSheetId="4" hidden="1">#REF!</definedName>
    <definedName name="BLPH14" localSheetId="40" hidden="1">#REF!</definedName>
    <definedName name="BLPH14" localSheetId="79" hidden="1">#REF!</definedName>
    <definedName name="BLPH14" localSheetId="78" hidden="1">#REF!</definedName>
    <definedName name="BLPH14" localSheetId="75" hidden="1">#REF!</definedName>
    <definedName name="BLPH14" localSheetId="42" hidden="1">#REF!</definedName>
    <definedName name="BLPH14" localSheetId="14" hidden="1">#REF!</definedName>
    <definedName name="BLPH14" localSheetId="49" hidden="1">#REF!</definedName>
    <definedName name="BLPH14" hidden="1">#REF!</definedName>
    <definedName name="BLPH15" localSheetId="37" hidden="1">#REF!</definedName>
    <definedName name="BLPH15" localSheetId="48" hidden="1">#REF!</definedName>
    <definedName name="BLPH15" localSheetId="77" hidden="1">#REF!</definedName>
    <definedName name="BLPH15" localSheetId="31" hidden="1">#REF!</definedName>
    <definedName name="BLPH15" localSheetId="32" hidden="1">#REF!</definedName>
    <definedName name="BLPH15" localSheetId="33" hidden="1">#REF!</definedName>
    <definedName name="BLPH15" localSheetId="4" hidden="1">#REF!</definedName>
    <definedName name="BLPH15" localSheetId="40" hidden="1">#REF!</definedName>
    <definedName name="BLPH15" localSheetId="79" hidden="1">#REF!</definedName>
    <definedName name="BLPH15" localSheetId="78" hidden="1">#REF!</definedName>
    <definedName name="BLPH15" localSheetId="75" hidden="1">#REF!</definedName>
    <definedName name="BLPH15" localSheetId="42" hidden="1">#REF!</definedName>
    <definedName name="BLPH15" localSheetId="14" hidden="1">#REF!</definedName>
    <definedName name="BLPH15" localSheetId="49" hidden="1">#REF!</definedName>
    <definedName name="BLPH15" hidden="1">#REF!</definedName>
    <definedName name="BLPH16" localSheetId="37" hidden="1">#REF!</definedName>
    <definedName name="BLPH16" localSheetId="48" hidden="1">#REF!</definedName>
    <definedName name="BLPH16" localSheetId="77" hidden="1">#REF!</definedName>
    <definedName name="BLPH16" localSheetId="31" hidden="1">#REF!</definedName>
    <definedName name="BLPH16" localSheetId="32" hidden="1">#REF!</definedName>
    <definedName name="BLPH16" localSheetId="33" hidden="1">#REF!</definedName>
    <definedName name="BLPH16" localSheetId="4" hidden="1">#REF!</definedName>
    <definedName name="BLPH16" localSheetId="40" hidden="1">#REF!</definedName>
    <definedName name="BLPH16" localSheetId="79" hidden="1">#REF!</definedName>
    <definedName name="BLPH16" localSheetId="78" hidden="1">#REF!</definedName>
    <definedName name="BLPH16" localSheetId="75" hidden="1">#REF!</definedName>
    <definedName name="BLPH16" localSheetId="42" hidden="1">#REF!</definedName>
    <definedName name="BLPH16" localSheetId="14" hidden="1">#REF!</definedName>
    <definedName name="BLPH16" localSheetId="49" hidden="1">#REF!</definedName>
    <definedName name="BLPH16" hidden="1">#REF!</definedName>
    <definedName name="BLPH2" localSheetId="37" hidden="1">#REF!</definedName>
    <definedName name="BLPH2" localSheetId="48" hidden="1">#REF!</definedName>
    <definedName name="BLPH2" localSheetId="77" hidden="1">#REF!</definedName>
    <definedName name="BLPH2" localSheetId="31" hidden="1">#REF!</definedName>
    <definedName name="BLPH2" localSheetId="32" hidden="1">#REF!</definedName>
    <definedName name="BLPH2" localSheetId="33" hidden="1">#REF!</definedName>
    <definedName name="BLPH2" localSheetId="4" hidden="1">#REF!</definedName>
    <definedName name="BLPH2" localSheetId="40" hidden="1">#REF!</definedName>
    <definedName name="BLPH2" localSheetId="79" hidden="1">#REF!</definedName>
    <definedName name="BLPH2" localSheetId="78" hidden="1">#REF!</definedName>
    <definedName name="BLPH2" localSheetId="75" hidden="1">#REF!</definedName>
    <definedName name="BLPH2" localSheetId="42" hidden="1">#REF!</definedName>
    <definedName name="BLPH2" localSheetId="14" hidden="1">#REF!</definedName>
    <definedName name="BLPH2" localSheetId="49" hidden="1">#REF!</definedName>
    <definedName name="BLPH2" hidden="1">#REF!</definedName>
    <definedName name="BLPH3" localSheetId="37" hidden="1">#REF!</definedName>
    <definedName name="BLPH3" localSheetId="48" hidden="1">#REF!</definedName>
    <definedName name="BLPH3" localSheetId="77" hidden="1">#REF!</definedName>
    <definedName name="BLPH3" localSheetId="31" hidden="1">#REF!</definedName>
    <definedName name="BLPH3" localSheetId="32" hidden="1">#REF!</definedName>
    <definedName name="BLPH3" localSheetId="33" hidden="1">#REF!</definedName>
    <definedName name="BLPH3" localSheetId="4" hidden="1">#REF!</definedName>
    <definedName name="BLPH3" localSheetId="40" hidden="1">#REF!</definedName>
    <definedName name="BLPH3" localSheetId="79" hidden="1">#REF!</definedName>
    <definedName name="BLPH3" localSheetId="78" hidden="1">#REF!</definedName>
    <definedName name="BLPH3" localSheetId="75" hidden="1">#REF!</definedName>
    <definedName name="BLPH3" localSheetId="42" hidden="1">#REF!</definedName>
    <definedName name="BLPH3" localSheetId="14" hidden="1">#REF!</definedName>
    <definedName name="BLPH3" localSheetId="49" hidden="1">#REF!</definedName>
    <definedName name="BLPH3" hidden="1">#REF!</definedName>
    <definedName name="BLPH4" localSheetId="37" hidden="1">#REF!</definedName>
    <definedName name="BLPH4" localSheetId="48" hidden="1">#REF!</definedName>
    <definedName name="BLPH4" localSheetId="77" hidden="1">#REF!</definedName>
    <definedName name="BLPH4" localSheetId="31" hidden="1">#REF!</definedName>
    <definedName name="BLPH4" localSheetId="32" hidden="1">#REF!</definedName>
    <definedName name="BLPH4" localSheetId="33" hidden="1">#REF!</definedName>
    <definedName name="BLPH4" localSheetId="4" hidden="1">#REF!</definedName>
    <definedName name="BLPH4" localSheetId="40" hidden="1">#REF!</definedName>
    <definedName name="BLPH4" localSheetId="79" hidden="1">#REF!</definedName>
    <definedName name="BLPH4" localSheetId="78" hidden="1">#REF!</definedName>
    <definedName name="BLPH4" localSheetId="75" hidden="1">#REF!</definedName>
    <definedName name="BLPH4" localSheetId="42" hidden="1">#REF!</definedName>
    <definedName name="BLPH4" localSheetId="14" hidden="1">#REF!</definedName>
    <definedName name="BLPH4" localSheetId="49" hidden="1">#REF!</definedName>
    <definedName name="BLPH4" hidden="1">#REF!</definedName>
    <definedName name="BLPH5" localSheetId="37" hidden="1">#REF!</definedName>
    <definedName name="BLPH5" localSheetId="48" hidden="1">#REF!</definedName>
    <definedName name="BLPH5" localSheetId="77" hidden="1">#REF!</definedName>
    <definedName name="BLPH5" localSheetId="31" hidden="1">#REF!</definedName>
    <definedName name="BLPH5" localSheetId="32" hidden="1">#REF!</definedName>
    <definedName name="BLPH5" localSheetId="33" hidden="1">#REF!</definedName>
    <definedName name="BLPH5" localSheetId="4" hidden="1">#REF!</definedName>
    <definedName name="BLPH5" localSheetId="40" hidden="1">#REF!</definedName>
    <definedName name="BLPH5" localSheetId="79" hidden="1">#REF!</definedName>
    <definedName name="BLPH5" localSheetId="78" hidden="1">#REF!</definedName>
    <definedName name="BLPH5" localSheetId="75" hidden="1">#REF!</definedName>
    <definedName name="BLPH5" localSheetId="42" hidden="1">#REF!</definedName>
    <definedName name="BLPH5" localSheetId="14" hidden="1">#REF!</definedName>
    <definedName name="BLPH5" localSheetId="49" hidden="1">#REF!</definedName>
    <definedName name="BLPH5" hidden="1">#REF!</definedName>
    <definedName name="BLPH6" localSheetId="37" hidden="1">#REF!</definedName>
    <definedName name="BLPH6" localSheetId="48" hidden="1">#REF!</definedName>
    <definedName name="BLPH6" localSheetId="77" hidden="1">#REF!</definedName>
    <definedName name="BLPH6" localSheetId="31" hidden="1">#REF!</definedName>
    <definedName name="BLPH6" localSheetId="32" hidden="1">#REF!</definedName>
    <definedName name="BLPH6" localSheetId="33" hidden="1">#REF!</definedName>
    <definedName name="BLPH6" localSheetId="4" hidden="1">#REF!</definedName>
    <definedName name="BLPH6" localSheetId="40" hidden="1">#REF!</definedName>
    <definedName name="BLPH6" localSheetId="79" hidden="1">#REF!</definedName>
    <definedName name="BLPH6" localSheetId="78" hidden="1">#REF!</definedName>
    <definedName name="BLPH6" localSheetId="75" hidden="1">#REF!</definedName>
    <definedName name="BLPH6" localSheetId="42" hidden="1">#REF!</definedName>
    <definedName name="BLPH6" localSheetId="14" hidden="1">#REF!</definedName>
    <definedName name="BLPH6" localSheetId="49" hidden="1">#REF!</definedName>
    <definedName name="BLPH6" hidden="1">#REF!</definedName>
    <definedName name="BLPH7" localSheetId="37" hidden="1">#REF!</definedName>
    <definedName name="BLPH7" localSheetId="48" hidden="1">#REF!</definedName>
    <definedName name="BLPH7" localSheetId="77" hidden="1">#REF!</definedName>
    <definedName name="BLPH7" localSheetId="31" hidden="1">#REF!</definedName>
    <definedName name="BLPH7" localSheetId="32" hidden="1">#REF!</definedName>
    <definedName name="BLPH7" localSheetId="33" hidden="1">#REF!</definedName>
    <definedName name="BLPH7" localSheetId="4" hidden="1">#REF!</definedName>
    <definedName name="BLPH7" localSheetId="40" hidden="1">#REF!</definedName>
    <definedName name="BLPH7" localSheetId="79" hidden="1">#REF!</definedName>
    <definedName name="BLPH7" localSheetId="78" hidden="1">#REF!</definedName>
    <definedName name="BLPH7" localSheetId="75" hidden="1">#REF!</definedName>
    <definedName name="BLPH7" localSheetId="42" hidden="1">#REF!</definedName>
    <definedName name="BLPH7" localSheetId="14" hidden="1">#REF!</definedName>
    <definedName name="BLPH7" localSheetId="49" hidden="1">#REF!</definedName>
    <definedName name="BLPH7" hidden="1">#REF!</definedName>
    <definedName name="BLPH8" localSheetId="37" hidden="1">#REF!</definedName>
    <definedName name="BLPH8" localSheetId="48" hidden="1">#REF!</definedName>
    <definedName name="BLPH8" localSheetId="77" hidden="1">#REF!</definedName>
    <definedName name="BLPH8" localSheetId="31" hidden="1">#REF!</definedName>
    <definedName name="BLPH8" localSheetId="32" hidden="1">#REF!</definedName>
    <definedName name="BLPH8" localSheetId="33" hidden="1">#REF!</definedName>
    <definedName name="BLPH8" localSheetId="4" hidden="1">#REF!</definedName>
    <definedName name="BLPH8" localSheetId="40" hidden="1">#REF!</definedName>
    <definedName name="BLPH8" localSheetId="79" hidden="1">#REF!</definedName>
    <definedName name="BLPH8" localSheetId="78" hidden="1">#REF!</definedName>
    <definedName name="BLPH8" localSheetId="75" hidden="1">#REF!</definedName>
    <definedName name="BLPH8" localSheetId="42" hidden="1">#REF!</definedName>
    <definedName name="BLPH8" localSheetId="14" hidden="1">#REF!</definedName>
    <definedName name="BLPH8" localSheetId="49" hidden="1">#REF!</definedName>
    <definedName name="BLPH8" hidden="1">#REF!</definedName>
    <definedName name="BLPH9" localSheetId="37" hidden="1">#REF!</definedName>
    <definedName name="BLPH9" localSheetId="48" hidden="1">#REF!</definedName>
    <definedName name="BLPH9" localSheetId="77" hidden="1">#REF!</definedName>
    <definedName name="BLPH9" localSheetId="31" hidden="1">#REF!</definedName>
    <definedName name="BLPH9" localSheetId="32" hidden="1">#REF!</definedName>
    <definedName name="BLPH9" localSheetId="33" hidden="1">#REF!</definedName>
    <definedName name="BLPH9" localSheetId="4" hidden="1">#REF!</definedName>
    <definedName name="BLPH9" localSheetId="40" hidden="1">#REF!</definedName>
    <definedName name="BLPH9" localSheetId="79" hidden="1">#REF!</definedName>
    <definedName name="BLPH9" localSheetId="78" hidden="1">#REF!</definedName>
    <definedName name="BLPH9" localSheetId="75" hidden="1">#REF!</definedName>
    <definedName name="BLPH9" localSheetId="42" hidden="1">#REF!</definedName>
    <definedName name="BLPH9" localSheetId="14" hidden="1">#REF!</definedName>
    <definedName name="BLPH9" localSheetId="49" hidden="1">#REF!</definedName>
    <definedName name="BLPH9" hidden="1">#REF!</definedName>
    <definedName name="BNE_MESSAGES_HIDDEN" localSheetId="37" hidden="1">#REF!</definedName>
    <definedName name="BNE_MESSAGES_HIDDEN" localSheetId="48" hidden="1">#REF!</definedName>
    <definedName name="BNE_MESSAGES_HIDDEN" localSheetId="77" hidden="1">#REF!</definedName>
    <definedName name="BNE_MESSAGES_HIDDEN" localSheetId="31" hidden="1">#REF!</definedName>
    <definedName name="BNE_MESSAGES_HIDDEN" localSheetId="32" hidden="1">#REF!</definedName>
    <definedName name="BNE_MESSAGES_HIDDEN" localSheetId="33" hidden="1">#REF!</definedName>
    <definedName name="BNE_MESSAGES_HIDDEN" localSheetId="4" hidden="1">#REF!</definedName>
    <definedName name="BNE_MESSAGES_HIDDEN" localSheetId="40" hidden="1">#REF!</definedName>
    <definedName name="BNE_MESSAGES_HIDDEN" localSheetId="79" hidden="1">#REF!</definedName>
    <definedName name="BNE_MESSAGES_HIDDEN" localSheetId="78" hidden="1">#REF!</definedName>
    <definedName name="BNE_MESSAGES_HIDDEN" localSheetId="75" hidden="1">#REF!</definedName>
    <definedName name="BNE_MESSAGES_HIDDEN" localSheetId="42" hidden="1">#REF!</definedName>
    <definedName name="BNE_MESSAGES_HIDDEN" localSheetId="14" hidden="1">#REF!</definedName>
    <definedName name="BNE_MESSAGES_HIDDEN" localSheetId="49" hidden="1">#REF!</definedName>
    <definedName name="BNE_MESSAGES_HIDDEN" hidden="1">#REF!</definedName>
    <definedName name="Bridge_mo" localSheetId="37" hidden="1">{#N/A,#N/A,FALSE,"Model";#N/A,#N/A,FALSE,"Gen Pts &amp; Rts 2000";#N/A,#N/A,FALSE,"AcqsAss";#N/A,#N/A,FALSE,"Acqs &amp; De Novos"}</definedName>
    <definedName name="Bridge_mo" localSheetId="92" hidden="1">{#N/A,#N/A,FALSE,"Model";#N/A,#N/A,FALSE,"Gen Pts &amp; Rts 2000";#N/A,#N/A,FALSE,"AcqsAss";#N/A,#N/A,FALSE,"Acqs &amp; De Novos"}</definedName>
    <definedName name="Bridge_mo" localSheetId="43" hidden="1">{#N/A,#N/A,FALSE,"Model";#N/A,#N/A,FALSE,"Gen Pts &amp; Rts 2000";#N/A,#N/A,FALSE,"AcqsAss";#N/A,#N/A,FALSE,"Acqs &amp; De Novos"}</definedName>
    <definedName name="Bridge_mo" hidden="1">{#N/A,#N/A,FALSE,"Model";#N/A,#N/A,FALSE,"Gen Pts &amp; Rts 2000";#N/A,#N/A,FALSE,"AcqsAss";#N/A,#N/A,FALSE,"Acqs &amp; De Novos"}</definedName>
    <definedName name="bridge_month" localSheetId="37" hidden="1">{#N/A,#N/A,FALSE,"Model";#N/A,#N/A,FALSE,"Gen Pts &amp; Rts 2000";#N/A,#N/A,FALSE,"AcqsAss";#N/A,#N/A,FALSE,"Acqs &amp; De Novos"}</definedName>
    <definedName name="bridge_month" localSheetId="92" hidden="1">{#N/A,#N/A,FALSE,"Model";#N/A,#N/A,FALSE,"Gen Pts &amp; Rts 2000";#N/A,#N/A,FALSE,"AcqsAss";#N/A,#N/A,FALSE,"Acqs &amp; De Novos"}</definedName>
    <definedName name="bridge_month" localSheetId="43" hidden="1">{#N/A,#N/A,FALSE,"Model";#N/A,#N/A,FALSE,"Gen Pts &amp; Rts 2000";#N/A,#N/A,FALSE,"AcqsAss";#N/A,#N/A,FALSE,"Acqs &amp; De Novos"}</definedName>
    <definedName name="bridge_month" hidden="1">{#N/A,#N/A,FALSE,"Model";#N/A,#N/A,FALSE,"Gen Pts &amp; Rts 2000";#N/A,#N/A,FALSE,"AcqsAss";#N/A,#N/A,FALSE,"Acqs &amp; De Novos"}</definedName>
    <definedName name="bridge_qtr" localSheetId="37" hidden="1">{#N/A,#N/A,FALSE,"Model";#N/A,#N/A,FALSE,"Gen Pts &amp; Rts 2000";#N/A,#N/A,FALSE,"AcqsAss";#N/A,#N/A,FALSE,"Acqs &amp; De Novos"}</definedName>
    <definedName name="bridge_qtr" localSheetId="92" hidden="1">{#N/A,#N/A,FALSE,"Model";#N/A,#N/A,FALSE,"Gen Pts &amp; Rts 2000";#N/A,#N/A,FALSE,"AcqsAss";#N/A,#N/A,FALSE,"Acqs &amp; De Novos"}</definedName>
    <definedName name="bridge_qtr" localSheetId="43" hidden="1">{#N/A,#N/A,FALSE,"Model";#N/A,#N/A,FALSE,"Gen Pts &amp; Rts 2000";#N/A,#N/A,FALSE,"AcqsAss";#N/A,#N/A,FALSE,"Acqs &amp; De Novos"}</definedName>
    <definedName name="bridge_qtr" hidden="1">{#N/A,#N/A,FALSE,"Model";#N/A,#N/A,FALSE,"Gen Pts &amp; Rts 2000";#N/A,#N/A,FALSE,"AcqsAss";#N/A,#N/A,FALSE,"Acqs &amp; De Novos"}</definedName>
    <definedName name="bridger_qtr" localSheetId="37" hidden="1">{#N/A,#N/A,FALSE,"Model";#N/A,#N/A,FALSE,"Gen Pts &amp; Rts 2000";#N/A,#N/A,FALSE,"AcqsAss";#N/A,#N/A,FALSE,"Acqs &amp; De Novos"}</definedName>
    <definedName name="bridger_qtr" localSheetId="92" hidden="1">{#N/A,#N/A,FALSE,"Model";#N/A,#N/A,FALSE,"Gen Pts &amp; Rts 2000";#N/A,#N/A,FALSE,"AcqsAss";#N/A,#N/A,FALSE,"Acqs &amp; De Novos"}</definedName>
    <definedName name="bridger_qtr" localSheetId="43" hidden="1">{#N/A,#N/A,FALSE,"Model";#N/A,#N/A,FALSE,"Gen Pts &amp; Rts 2000";#N/A,#N/A,FALSE,"AcqsAss";#N/A,#N/A,FALSE,"Acqs &amp; De Novos"}</definedName>
    <definedName name="bridger_qtr" hidden="1">{#N/A,#N/A,FALSE,"Model";#N/A,#N/A,FALSE,"Gen Pts &amp; Rts 2000";#N/A,#N/A,FALSE,"AcqsAss";#N/A,#N/A,FALSE,"Acqs &amp; De Novos"}</definedName>
    <definedName name="bskjnd" hidden="1">{"page1",#N/A,FALSE,"Model";"page2",#N/A,FALSE,"Model";"page3",#N/A,FALSE,"Model";"page4",#N/A,FALSE,"Model";"page5",#N/A,FALSE,"Model";"page6",#N/A,FALSE,"Model";"page7",#N/A,FALSE,"Model";"page8",#N/A,FALSE,"Model";"page9",#N/A,FALSE,"Model";"page10",#N/A,FALSE,"Model";"page11",#N/A,FALSE,"Model";"page12",#N/A,FALSE,"Model";"page13",#N/A,FALSE,"Model"}</definedName>
    <definedName name="build" localSheetId="37" hidden="1">{#N/A,#N/A,FALSE,"softdraw";#N/A,#N/A,FALSE,"linereclass";"northpint loan",#N/A,FALSE,"LOAN"}</definedName>
    <definedName name="build" localSheetId="92" hidden="1">{#N/A,#N/A,FALSE,"softdraw";#N/A,#N/A,FALSE,"linereclass";"northpint loan",#N/A,FALSE,"LOAN"}</definedName>
    <definedName name="build" localSheetId="43" hidden="1">{#N/A,#N/A,FALSE,"softdraw";#N/A,#N/A,FALSE,"linereclass";"northpint loan",#N/A,FALSE,"LOAN"}</definedName>
    <definedName name="build" hidden="1">{#N/A,#N/A,FALSE,"softdraw";#N/A,#N/A,FALSE,"linereclass";"northpint loan",#N/A,FALSE,"LOAN"}</definedName>
    <definedName name="bx" hidden="1">{#N/A,#N/A,FALSE,"Projections";#N/A,#N/A,FALSE,"AccrDil";#N/A,#N/A,FALSE,"PurchPriMult";#N/A,#N/A,FALSE,"Mults7_13";#N/A,#N/A,FALSE,"Mkt Mults";#N/A,#N/A,FALSE,"Acq Mults";#N/A,#N/A,FALSE,"StockPrices";#N/A,#N/A,FALSE,"Prem Paid";#N/A,#N/A,FALSE,"DCF";#N/A,#N/A,FALSE,"AUTO";#N/A,#N/A,FALSE,"Relative Trading";#N/A,#N/A,FALSE,"Mkt Val";#N/A,#N/A,FALSE,"Acq Val"}</definedName>
    <definedName name="cb_Add_CalloutChart_24_opts" hidden="1">"1, 9, 1, False, 2, False, False, , 0, False, False, 1, 1"</definedName>
    <definedName name="cb_Add_CalloutChart_25_opts" hidden="1">"1, 10, 1, False, 2, False, False, , 0, False, True, 1, 1"</definedName>
    <definedName name="cb_Add_CalloutChart_26_opts" hidden="1">"1, 9, 1, False, 2, False, False, , 0, False, True, 1, 1"</definedName>
    <definedName name="cb_ALT_STACKED_COLUMNChart_22_opts" hidden="1">"1, 3, 1, False, 2, True, False, , 0, False, True, 1, 2"</definedName>
    <definedName name="cb_ALT_STACKED_COLUMNChart_23_opts" hidden="1">"1, 3, 1, False, 2, True, False, , 0, False, True, 1, 2"</definedName>
    <definedName name="cb_Chart_1_opts" hidden="1">"1, 6, 1, False, 2, False, False, , 0, False, True, 1, 2"</definedName>
    <definedName name="cb_Chart_10_opts" hidden="1">"1, 8, 1, False, 2, False, False, , 0, False, False, 1, 1"</definedName>
    <definedName name="cb_Chart_100032_opts" hidden="1">"1, 10, 1, False, 2, True, False, , 0, False, False, 2, 2"</definedName>
    <definedName name="cb_Chart_10104_opts" hidden="1">"1, 5, 1, False, 2, True, False, , 0, True, False, 2, 1"</definedName>
    <definedName name="cb_Chart_10401_opts" hidden="1">"1, 5, 1, False, 2, False, False, , 0, True, False, 2, 1"</definedName>
    <definedName name="cb_Chart_10736_opts" hidden="1">"1, 10, 1, False, 2, False, False, , 0, False, False, 2, 2"</definedName>
    <definedName name="cb_Chart_11_opts" hidden="1">"1, 5, 1, False, 2, False, False, , 0, False, False, 1, 2"</definedName>
    <definedName name="cb_Chart_12_opts" hidden="1">"1, 5, 1, False, 2, True, False, , 0, True, False, 1, 2"</definedName>
    <definedName name="cb_Chart_13_opts" hidden="1">"1, 5, 1, False, 2, True, False, , 0, True, False, 1, 2"</definedName>
    <definedName name="cb_Chart_14_opts" hidden="1">"2, 2, 2, True, 2, False, False, , 0, False, True, 1, 2"</definedName>
    <definedName name="cb_Chart_15_opts" hidden="1">"2, 1, 2, True, 2, False, False, , 0, False, True, 1, 2"</definedName>
    <definedName name="cb_Chart_1501_opts" hidden="1">"1, 10, 1, False, 2, True, False, , 0, False, False, 2, 2"</definedName>
    <definedName name="cb_Chart_16_opts" hidden="1">"2, 1, 2, True, 2, False, False, , 0, False, True, 1, 2"</definedName>
    <definedName name="cb_Chart_1670_opts" hidden="1">"1, 5, 1, False, 2, True, False, , 0, False, False, 2, 1"</definedName>
    <definedName name="cb_Chart_17_opts" hidden="1">"1, 9, 1, False, 2, False, False, , 0, False, False, 1, 1"</definedName>
    <definedName name="cb_Chart_18_opts" hidden="1">"1, 9, 1, False, 2, False, False, , 0, False, False, 1, 1"</definedName>
    <definedName name="cb_Chart_19_opts" hidden="1">"1, 2, 1, False, 2, True, False, , 0, True, False, 2, 1"</definedName>
    <definedName name="cb_Chart_2_opts" hidden="1">"1, 6, 1, False, 2, False, False, , 0, False, False, 1, 2"</definedName>
    <definedName name="cb_Chart_20_opts" hidden="1">"1, 9, 1, False, 2, False, False, , 0, False, False, 1, 1"</definedName>
    <definedName name="cb_Chart_21_opts" hidden="1">"1, 2, 1, False, 2, False, False, , 0, False, False, 2, 1"</definedName>
    <definedName name="cb_Chart_22_opts" hidden="1">"1, 2, 1, False, 2, True, False, , 0, False, False, 2, 1"</definedName>
    <definedName name="cb_Chart_22784_opts" hidden="1">"1, 9, 1, False, 2, False, False, , 0, False, True, 1, 2"</definedName>
    <definedName name="cb_Chart_23_opts" hidden="1">"1, 9, 1, False, 2, False, False, , 0, False, False, 1, 1"</definedName>
    <definedName name="cb_Chart_24_opts" hidden="1">"1, 2, 1, False, 2, False, False, , 0, False, False, 2, 1"</definedName>
    <definedName name="cb_Chart_24490_opts" hidden="1">"1, 10, 1, False, 2, True, False, , 0, False, False, 2, 2"</definedName>
    <definedName name="cb_Chart_25_opts" hidden="1">"1, 3, 1, False, 2, False, False, , 0, True, True, 1, 2"</definedName>
    <definedName name="cb_Chart_26_opts" hidden="1">"1, 2, 1, False, 2, False, False, , 0, False, False, 2, 1"</definedName>
    <definedName name="cb_Chart_26476_opts" hidden="1">"1, 1, 1, False, 2, True, False, , 0, False, False, 1, 2"</definedName>
    <definedName name="cb_Chart_27_opts" hidden="1">"1, 1, 1, False, 2, True, False, , 0, False, True, 1, 2"</definedName>
    <definedName name="cb_Chart_28_opts" hidden="1">"1, 3, 1, False, 2, True, False, , 0, False, True, 1, 2"</definedName>
    <definedName name="cb_Chart_28031_opts" hidden="1">"1, 1, 1, False, 2, True, False, , 0, False, False, 1, 2"</definedName>
    <definedName name="cb_Chart_28545_opts" hidden="1">"1, 5, 1, False, 2, True, False, , 0, False, True, 2, 1"</definedName>
    <definedName name="cb_Chart_29_opts" hidden="1">"1, 3, 1, False, 2, False, False, , 0, False, False, 1, 1"</definedName>
    <definedName name="cb_Chart_29053_opts" hidden="1">"1, 10, 1, False, 2, True, False, , 0, False, False, 2, 2"</definedName>
    <definedName name="cb_Chart_29913_opts" hidden="1">"1, 1, 1, False, 2, False, False, , 0, False, False, 1, 1"</definedName>
    <definedName name="cb_Chart_3_opts" hidden="1">"1, 1, 1, False, 2, True, False, , 0, False, False, 2, 2"</definedName>
    <definedName name="cb_Chart_30_opts" hidden="1">"1, 3, 1, False, 2, True, False, , 0, False, True, 1, 2"</definedName>
    <definedName name="cb_Chart_30292_opts" hidden="1">"1, 1, 1, False, 2, False, False, , 0, False, False, 1, 2"</definedName>
    <definedName name="cb_Chart_31_opts" hidden="1">"1, 1, 1, False, 2, True, False, , 0, True, True, 2, 2"</definedName>
    <definedName name="cb_Chart_32_opts" hidden="1">"1, 1, 1, False, 2, True, False, , 0, False, False, 2, 2"</definedName>
    <definedName name="cb_Chart_33_opts" hidden="1">"1, 1, 1, False, 2, True, False, , 0, False, True, 3, 2"</definedName>
    <definedName name="cb_Chart_34_opts" hidden="1">"1, 10, 1, False, 2, True, False, , 0, False, False, 2, 2"</definedName>
    <definedName name="cb_Chart_36498_opts" hidden="1">"1, 1, 1, False, 2, True, False, , 0, False, False, 1, 2"</definedName>
    <definedName name="cb_Chart_37450_opts" hidden="1">"1, 10, 1, False, 2, True, False, , 0, False, False, 2, 2"</definedName>
    <definedName name="cb_Chart_4_opts" hidden="1">"1, 7, 1, False, 2, False, False, , 0, False, True, 1, 2"</definedName>
    <definedName name="cb_Chart_41_opts" hidden="1">"1, 10, 1, False, 2, True, False, , 0, False, False, 2, 1"</definedName>
    <definedName name="cb_Chart_41499_opts" hidden="1">"1, 10, 1, False, 2, True, False, , 0, False, False, 2, 2"</definedName>
    <definedName name="cb_Chart_42_opts" hidden="1">"1, 10, 1, False, 2, True, False, , 0, False, False, 2, 1"</definedName>
    <definedName name="cb_Chart_43_opts" hidden="1">"1, 10, 1, False, 2, True, False, , 0, False, False, 2, 1"</definedName>
    <definedName name="cb_Chart_4634_opts" hidden="1">"1, 10, 1, False, 2, True, False, , 0, False, False, 2, 2"</definedName>
    <definedName name="cb_Chart_4664_opts" hidden="1">"1, 5, 1, False, 2, True, False, , 0, False, True, 1, 2"</definedName>
    <definedName name="cb_Chart_46965_opts" hidden="1">"1, 1, 1, False, 2, False, False, , 0, False, False, 1, 1"</definedName>
    <definedName name="cb_Chart_5_opts" hidden="1">"1, 8, 1, False, 2, False, False, , 0, False, False, 1, 2"</definedName>
    <definedName name="cb_Chart_52582_opts" hidden="1">"1, 1, 1, False, 2, False, False, , 0, False, False, 1, 2"</definedName>
    <definedName name="cb_Chart_53437_opts" hidden="1">"1, 10, 1, False, 2, True, False, , 0, False, False, 2, 2"</definedName>
    <definedName name="cb_Chart_53482_opts" hidden="1">"1, 10, 1, False, 2, True, False, , 0, False, False, 2, 2"</definedName>
    <definedName name="cb_Chart_54_opts" hidden="1">"1, 3, 1, False, 2, False, False, , 0, False, True, 2, 2"</definedName>
    <definedName name="cb_Chart_5449_opts" hidden="1">"1, 1, 1, False, 2, False, False, , 0, False, False, 1, 1"</definedName>
    <definedName name="cb_Chart_5723_opts" hidden="1">"1, 1, 1, False, 2, True, False, , 0, False, True, 1, 2"</definedName>
    <definedName name="cb_Chart_57613_opts" hidden="1">"1, 5, 1, False, 2, True, False, , 0, False, True, 2, 1"</definedName>
    <definedName name="cb_Chart_58046_opts" hidden="1">"1, 10, 1, False, 2, True, False, , 0, False, False, 2, 2"</definedName>
    <definedName name="cb_Chart_59010_opts" hidden="1">"1, 2, 1, False, 2, False, False, , 0, False, False, 2, 1"</definedName>
    <definedName name="cb_Chart_59340_opts" hidden="1">"1, 1, 1, False, 2, False, False, , 0, False, False, 1, 1"</definedName>
    <definedName name="cb_Chart_6_opts" hidden="1">"1, 10, 1, False, 2, True, False, , 0, False, False, 2, 2"</definedName>
    <definedName name="cb_Chart_62364_opts" hidden="1">"1, 1, 1, False, 2, True, False, , 0, False, False, 1, 2"</definedName>
    <definedName name="cb_Chart_64876_opts" hidden="1">"1, 1, 1, False, 2, True, False, , 0, False, False, 1, 2"</definedName>
    <definedName name="cb_Chart_67711_opts" hidden="1">"1, 10, 1, False, 2, True, False, , 0, False, False, 2, 2"</definedName>
    <definedName name="cb_Chart_69605_opts" hidden="1">"1, 2, 1, False, 2, False, False, , 0, False, False, 2, 1"</definedName>
    <definedName name="cb_Chart_7_opts" hidden="1">"2, 1, 2, True, 2, False, False, , 0, False, True, 1, 2"</definedName>
    <definedName name="cb_Chart_70_opts" hidden="1">"1, 10, 1, False, 2, True, False, , 0, False, False, 1, 1"</definedName>
    <definedName name="cb_Chart_70648_opts" hidden="1">"1, 1, 1, False, 2, True, False, , 0, False, False, 2, 2"</definedName>
    <definedName name="cb_Chart_70997_opts" hidden="1">"1, 10, 1, False, 2, False, False, , 0, False, False, 1, 1"</definedName>
    <definedName name="cb_Chart_71_opts" hidden="1">"1, 10, 1, False, 2, False, False, , 0, False, False, 1, 1"</definedName>
    <definedName name="cb_Chart_72_opts" hidden="1">"1, 10, 1, False, 2, True, False, , 0, False, False, 1, 1"</definedName>
    <definedName name="cb_Chart_73_opts" hidden="1">"1, 10, 1, False, 2, False, False, , 0, False, False, 1, 1"</definedName>
    <definedName name="cb_Chart_76165_opts" hidden="1">"1, 10, 1, False, 2, True, False, , 0, False, False, 2, 2"</definedName>
    <definedName name="cb_Chart_76804_opts" hidden="1">"1, 1, 1, False, 2, False, False, , 0, False, False, 1, 1"</definedName>
    <definedName name="cb_Chart_77567_opts" hidden="1">"1, 10, 1, False, 2, False, False, , 0, False, False, 1, 1"</definedName>
    <definedName name="cb_Chart_79140_opts" hidden="1">"1, 10, 1, False, 2, True, False, , 0, False, False, 2, 2"</definedName>
    <definedName name="cb_Chart_79981_opts" hidden="1">"1, 5, 1, False, 2, True, False, , 0, True, False, 2, 1"</definedName>
    <definedName name="cb_Chart_8_opts" hidden="1">"2, 1, 2, True, 2, False, False, , 0, False, True, 1, 2"</definedName>
    <definedName name="cb_Chart_81541_opts" hidden="1">"1, 10, 1, False, 2, True, False, , 0, False, False, 2, 2"</definedName>
    <definedName name="cb_Chart_82552_opts" hidden="1">"1, 1, 1, False, 2, True, False, , 0, False, False, 1, 2"</definedName>
    <definedName name="cb_Chart_83072_opts" hidden="1">"1, 1, 1, False, 2, True, False, , 0, False, False, 1, 2"</definedName>
    <definedName name="cb_Chart_86354_opts" hidden="1">"1, 10, 1, False, 2, False, False, , 0, False, False, 1, 1"</definedName>
    <definedName name="cb_Chart_87236_opts" hidden="1">"1, 1, 1, False, 2, True, False, , 0, False, False, 1, 2"</definedName>
    <definedName name="cb_Chart_9_opts" hidden="1">"1, 8, 1, False, 2, False, False, , 0, False, False, 1, 1"</definedName>
    <definedName name="cb_Chart_91188_opts" hidden="1">"1, 8, 1, False, 2, False, False, , 0, False, False, 1, 2"</definedName>
    <definedName name="cb_Chart_95047_opts" hidden="1">"1, 1, 1, False, 2, False, False, , 0, False, False, 1, 2"</definedName>
    <definedName name="cb_Chart_96286_opts" hidden="1">"1, 10, 1, False, 2, True, False, , 0, False, False, 2, 2"</definedName>
    <definedName name="cb_Chart_98091_opts" hidden="1">"1, 2, 1, False, 2, False, False, , 0, False, False, 2, 1"</definedName>
    <definedName name="cb_Chart_98700_opts" hidden="1">"1, 8, 1, False, 2, False, False, , 0, False, False, 1, 2"</definedName>
    <definedName name="cb_Copy_Chart_w_New_DataChart_10_opts" hidden="1">"2, 1, 1, True, 4, False, False, , 0, False, False, 2, 2"</definedName>
    <definedName name="cb_Copy_Chart_w_New_DataChart_7_opts" hidden="1">"2, 1, 1, True, 4, False, False, , 0, False, False, 2, 2"</definedName>
    <definedName name="cb_Copy_Chart_w_New_DataChart_8_opts" hidden="1">"2, 1, 1, True, 4, False, False, , 0, False, False, 2, 2"</definedName>
    <definedName name="cb_Copy_Chart_w_New_DataChart_9_opts" hidden="1">"2, 1, 1, True, 4, False, False, , 0, False, False, 2, 2"</definedName>
    <definedName name="cb_Dimension_Pie_ChartsChart_1_opts" hidden="1">"1, 1, 1, False, 2, True, False, , 0, False, False, 2, 2"</definedName>
    <definedName name="cb_Dimension_Pie_ChartsChart_2_opts" hidden="1">"1, 10, 1, False, 2, True, False, , 0, False, False, 2, 2"</definedName>
    <definedName name="cb_Export_LegendChart_14_opts" hidden="1">"1, 10, 1, False, 2, True, False, , 0, False, False, 2, 2"</definedName>
    <definedName name="cb_Export_LegendChart_15_opts" hidden="1">"1, 10, 1, False, 2, True, False, , 0, False, False, 2, 2"</definedName>
    <definedName name="cb_PieChart_16_opts" hidden="1">"1, 10, 1, False, 2, True, False, , 0, False, False, 2, 2"</definedName>
    <definedName name="cb_sChart_1501_opts" hidden="1">"1, 2, 1, False, 2, False, False, , 0, False, False, 2, 1"</definedName>
    <definedName name="cb_sChart_26476_opts" hidden="1">"1, 4, 1, False, 2, True, False, , 0, False, False, 1, 2"</definedName>
    <definedName name="cb_sChart_28031_opts" hidden="1">"1, 4, 1, False, 2, True, False, , 0, False, False, 1, 1"</definedName>
    <definedName name="cb_sChart_29053_opts" hidden="1">"1, 2, 1, False, 2, False, False, , 0, False, False, 2, 1"</definedName>
    <definedName name="cb_sChart_29913_opts" hidden="1">"1, 3, 1, False, 2, False, False, , 0, False, True, 2, 2"</definedName>
    <definedName name="cb_sChart_30292_opts" hidden="1">"1, 2, 1, False, 2, False, False, , 0, False, False, 2, 1"</definedName>
    <definedName name="cb_sChart_36498_opts" hidden="1">"1, 3, 1, False, 2, False, False, , 0, False, False, 1, 2"</definedName>
    <definedName name="cb_sChart_37450_opts" hidden="1">"1, 1, 1, False, 2, True, False, , 0, False, False, 1, 2"</definedName>
    <definedName name="cb_sChart_41499_opts" hidden="1">"1, 2, 1, False, 2, False, False, , 0, False, False, 2, 1"</definedName>
    <definedName name="cb_sChart_4634_opts" hidden="1">"1, 2, 1, False, 2, False, False, , 0, False, False, 2, 1"</definedName>
    <definedName name="cb_sChart_46965_opts" hidden="1">"1, 1, 1, False, 2, False, False, , 0, False, False, 1, 1"</definedName>
    <definedName name="cb_sChart_52582_opts" hidden="1">"1, 5, 1, False, 2, False, False, , 0, False, True, 1, 2"</definedName>
    <definedName name="cb_sChart_53437_opts" hidden="1">"1, 1, 1, False, 2, True, False, , 0, False, False, 1, 2"</definedName>
    <definedName name="cb_sChart_5449_opts" hidden="1">"1, 3, 1, False, 2, False, False, , 0, False, True, 2, 2"</definedName>
    <definedName name="cb_sChart_5723_opts" hidden="1">"1, 1, 1, False, 2, True, False, , 0, False, False, 2, 1"</definedName>
    <definedName name="cb_sChart_58046_opts" hidden="1">"1, 1, 1, False, 2, True, False, , 0, False, False, 1, 2"</definedName>
    <definedName name="cb_sChart_59010_opts" hidden="1">"1, 5, 1, False, 2, True, False, , 0, False, False, 2, 1"</definedName>
    <definedName name="cb_sChart_59340_opts" hidden="1">"1, 3, 1, False, 2, False, False, , 0, False, True, 2, 2"</definedName>
    <definedName name="cb_sChart_62364_opts" hidden="1">"1, 3, 1, False, 2, False, False, , 0, False, True, 2, 2"</definedName>
    <definedName name="cb_sChart_64876_opts" hidden="1">"1, 5, 1, False, 2, True, False, , 0, False, False, 2, 2"</definedName>
    <definedName name="cb_sChart_70648_opts" hidden="1">"1, 1, 1, False, 2, False, False, , 0, False, False, 1, 1"</definedName>
    <definedName name="cb_sChart_70997_opts" hidden="1">"1, 2, 1, False, 2, False, False, , 0, False, False, 2, 1"</definedName>
    <definedName name="cb_sChart_76165_opts" hidden="1">"1, 2, 1, False, 2, False, False, , 0, False, False, 2, 1"</definedName>
    <definedName name="cb_sChart_76804_opts" hidden="1">"1, 3, 1, False, 2, False, False, , 0, False, True, 2, 2"</definedName>
    <definedName name="cb_sChart_77567_opts" hidden="1">"1, 2, 1, False, 2, False, False, , 0, False, False, 2, 1"</definedName>
    <definedName name="cb_sChart_79140_opts" hidden="1">"1, 1, 1, False, 2, True, False, , 0, False, False, 1, 2"</definedName>
    <definedName name="cb_sChart_81541_opts" hidden="1">"1, 2, 1, False, 2, False, False, , 0, False, False, 2, 1"</definedName>
    <definedName name="cb_sChart_82552_opts" hidden="1">"1, 4, 1, False, 2, True, False, , 0, False, False, 2, 1"</definedName>
    <definedName name="cb_sChart_83072_opts" hidden="1">"1, 4, 1, False, 2, True, False, , 0, False, False, 2, 1"</definedName>
    <definedName name="cb_sChart_86354_opts" hidden="1">"1, 1, 1, False, 2, True, False, , 0, False, False, 1, 2"</definedName>
    <definedName name="cb_sChart_87236_opts" hidden="1">"1, 2, 1, False, 2, False, False, , 0, False, False, 2, 1"</definedName>
    <definedName name="cb_sChart_95047_opts" hidden="1">"1, 3, 1, False, 2, False, False, , 0, False, False, 1, 2"</definedName>
    <definedName name="cb_sChart_96286_opts" hidden="1">"1, 2, 1, False, 2, False, False, , 0, False, False, 2, 1"</definedName>
    <definedName name="cb_sChart11DCFB24_opts" hidden="1">"1, 9, 1, False, 2, False, False, , 0, False, True, 1, 1"</definedName>
    <definedName name="cb_sChart11EADA92_opts" hidden="1">"1, 1, 1, False, 2, False, False, , 0, False, True, 2, 2"</definedName>
    <definedName name="cb_sChart11EAED4A_opts" hidden="1">"1, 1, 1, False, 2, False, False, , 0, False, True, 2, 2"</definedName>
    <definedName name="cb_sChart11EB049E_opts" hidden="1">"1, 1, 1, False, 2, False, False, , 0, False, True, 2, 2"</definedName>
    <definedName name="cb_sChart11FB1BDC_opts" hidden="1">"1, 1, 1, False, 2, True, False, , 0, False, True, 2, 2"</definedName>
    <definedName name="cb_sChart11FB2467_opts" hidden="1">"1, 1, 1, False, 2, True, False, , 0, False, True, 2, 2"</definedName>
    <definedName name="cb_sChart11FB271E_opts" hidden="1">"1, 1, 1, False, 2, True, False, , 0, False, True, 2, 2"</definedName>
    <definedName name="cb_sChart11FB296C_opts" hidden="1">"1, 1, 1, False, 2, True, False, , 0, False, True, 2, 2"</definedName>
    <definedName name="cb_sChart11FB4DE8_opts" hidden="1">"1, 9, 1, False, 2, False, False, , 0, False, True, 1, 2"</definedName>
    <definedName name="cb_sChart11FCA363_opts" hidden="1">"2, 1, 2, True, 2, False, False, , 0, False, True, 2, 2"</definedName>
    <definedName name="cb_sChart11FCA851_opts" hidden="1">"2, 1, 2, True, 2, False, False, , 0, False, True, 2, 2"</definedName>
    <definedName name="cb_sChart11FCE81C_opts" hidden="1">"1, 9, 1, False, 2, False, False, , 0, False, True, 2, 2"</definedName>
    <definedName name="cb_sChart12073B79_opts" hidden="1">"1, 9, 1, False, 2, False, False, , 0, False, True, 2, 2"</definedName>
    <definedName name="cb_sChart12074F69_opts" hidden="1">"1, 9, 1, False, 2, False, False, , 0, False, True, 2, 2"</definedName>
    <definedName name="cb_sChart1216F828_opts" hidden="1">"2, 1, 1, False, 2, False, False, , 0, False, True, 2, 2"</definedName>
    <definedName name="cb_sChart122574E1_opts" hidden="1">"1, 1, 1, False, 2, False, False, , 0, False, True, 2, 2"</definedName>
    <definedName name="cb_sChart12285211_opts" hidden="1">"1, 9, 1, False, 2, False, False, , 0, False, False, 1, 2"</definedName>
    <definedName name="cb_sChart12291B1F_opts" hidden="1">"2, 1, 1, True, 3, False, False, , 0, False, False, 1, 2"</definedName>
    <definedName name="cb_sChart1248DE96_opts" hidden="1">"1, 9, 1, False, 2, False, False, , 0, False, False, 1, 2"</definedName>
    <definedName name="cb_sChart1248E206_opts" hidden="1">"1, 9, 1, False, 2, False, False, , 0, False, False, 1, 2"</definedName>
    <definedName name="cb_sChart15CA0E0A_opts" hidden="1">"1, 9, 1, False, 2, False, False, , 0, False, False, 1, 2"</definedName>
    <definedName name="cb_sChart15CA1FFD_opts" hidden="1">"1, 10, 1, False, 2, False, False, , 0, False, False, 1, 1"</definedName>
    <definedName name="cb_sChart15CA20AB_opts" hidden="1">"1, 9, 1, False, 2, False, False, , 0, False, False, 1, 1"</definedName>
    <definedName name="cb_sChart15CA2F5C_opts" hidden="1">"1, 9, 1, False, 2, False, False, , 0, False, False, 1, 1"</definedName>
    <definedName name="cb_sChart15CA30C3_opts" hidden="1">"1, 9, 1, False, 2, False, False, , 0, False, True, 1, 1"</definedName>
    <definedName name="cb_sChart1A3873A1_opts" hidden="1">"1, 1, 1, False, 2, True, False, , 0, False, True, 1, 1"</definedName>
    <definedName name="cb_sChart1A3875D8_opts" hidden="1">"1, 1, 1, False, 2, False, False, , 0, False, False, 1, 1"</definedName>
    <definedName name="cb_sChart1A3877BF_opts" hidden="1">"1, 1, 1, False, 2, True, False, , 0, False, True, 1, 1"</definedName>
    <definedName name="cb_sChart1A387878_opts" hidden="1">"1, 1, 1, False, 2, True, False, , 0, False, True, 1, 1"</definedName>
    <definedName name="cb_sChart1A387AF4_opts" hidden="1">"1, 3, 1, False, 2, False, False, , 0, False, False, 1, 1"</definedName>
    <definedName name="cb_sChart1A38BEAE_opts" hidden="1">"1, 10, 1, False, 2, True, False, , 0, False, False, 1, 1"</definedName>
    <definedName name="cb_sChart1A43A019_opts" hidden="1">"1, 1, 1, False, 2, True, False, , 0, False, False, 1, 1"</definedName>
    <definedName name="cb_sChart1A4414D6_opts" hidden="1">"1, 1, 1, False, 2, True, False, , 0, False, False, 1, 1"</definedName>
    <definedName name="cb_sChart1A4416BC_opts" hidden="1">"1, 1, 1, False, 2, True, False, , 0, False, False, 1, 1"</definedName>
    <definedName name="cb_sChart1A4418D0_opts" hidden="1">"1, 1, 1, False, 2, True, False, , 0, False, False, 1, 1"</definedName>
    <definedName name="cb_sChart1A4419DA_opts" hidden="1">"1, 1, 1, False, 2, True, False, , 0, False, False, 1, 1"</definedName>
    <definedName name="cb_sChart41E9A35_opts" hidden="1">"1, 9, 1, False, 2, False, False, , 0, False, True, 1, 1"</definedName>
    <definedName name="cb_sChart7F59C8D_opts" hidden="1">"1, 4, 1, False, 2, False, False, , 0, False, False, 1, 1"</definedName>
    <definedName name="cb_sChart7F59D80_opts" hidden="1">"1, 1, 1, False, 2, True, False, , 0, False, False, 1, 1"</definedName>
    <definedName name="cb_sChart7F5A913_opts" hidden="1">"1, 1, 1, False, 2, True, False, , 0, False, False, 3, 1"</definedName>
    <definedName name="cb_sChart7F5AA63_opts" hidden="1">"1, 1, 1, False, 2, False, False, , 0, False, False, 3, 1"</definedName>
    <definedName name="cb_sChart7F5AB6D_opts" hidden="1">"1, 1, 1, False, 2, False, False, , 0, False, False, 3, 1"</definedName>
    <definedName name="cb_sChart7F5AED1_opts" hidden="1">"1, 1, 1, False, 2, False, False, , 0, False, False, 3, 1"</definedName>
    <definedName name="cb_sChartD68BCC9_opts" hidden="1">"1, 1, 1, False, 2, True, False, , 0, False, True, 1, 1"</definedName>
    <definedName name="cb_sChartD6B06A2_opts" hidden="1">"1, 1, 1, False, 2, False, False, , 0, False, False, 2, 2"</definedName>
    <definedName name="cb_sChartD6B1FA3_opts" hidden="1">"1, 1, 1, False, 2, False, False, , 0, False, False, 2, 2"</definedName>
    <definedName name="cb_sChartD6B69B1_opts" hidden="1">"1, 1, 1, False, 2, False, False, , 0, False, False, 1, 2"</definedName>
    <definedName name="cb_sChartD6B76F0_opts" hidden="1">"2, 1, 1, False, 2, False, False, , 0, False, False, 1, 2"</definedName>
    <definedName name="cb_sChartD6B943C_opts" hidden="1">"2, 1, 1, False, 3, False, False, , 0, False, False, 1, 2"</definedName>
    <definedName name="cb_sChartD6C1C01_opts" hidden="1">"2, 1, 1, True, 2, False, False, , 0, False, False, 1, 2"</definedName>
    <definedName name="cb_sChartD6FD60D_opts" hidden="1">"1, 1, 1, False, 2, False, False, , 0, False, False, 1, 1"</definedName>
    <definedName name="cb_sChartD78B484_opts" hidden="1">"2, 1, 1, False, 2, True, False, , 0, False, False, 1, 2"</definedName>
    <definedName name="cb_sChartD78C2AA_opts" hidden="1">"2, 1, 1, True, 2, True, False, , 0, False, False, 1, 2"</definedName>
    <definedName name="cb_sChartD78C76A_opts" hidden="1">"2, 1, 1, True, 2, True, False, , 0, False, False, 1, 1"</definedName>
    <definedName name="cb_sChartD78CF99_opts" hidden="1">"2, 1, 3, True, 2, False, False, , 0, False, False, 1, 1"</definedName>
    <definedName name="cb_sChartD78D2CE_opts" hidden="1">"1, 1, 1, False, 2, False, False, , 0, False, False, 1, 2"</definedName>
    <definedName name="cb_sChartD78D365_opts" hidden="1">"1, 1, 1, False, 2, False, False, , 0, False, False, 1, 2"</definedName>
    <definedName name="cb_sChartD78D5B3_opts" hidden="1">"1, 1, 1, False, 2, False, False, , 0, False, False, 1, 2"</definedName>
    <definedName name="cb_sChartD78D655_opts" hidden="1">"1, 1, 1, False, 2, True, False, , 0, False, False, 1, 2"</definedName>
    <definedName name="cb_sChartD78DFD4_opts" hidden="1">"2, 1, 1, True, 2, False, False, , 0, False, False, 1, 2"</definedName>
    <definedName name="cb_sChartD78E27F_opts" hidden="1">"2, 1, 1, True, 2, False, False, , 0, False, False, 1, 2"</definedName>
    <definedName name="cb_sChartD78E924_opts" hidden="1">"2, 1, 1, True, 3, False, False, , 0, False, False, 1, 2"</definedName>
    <definedName name="cb_sChartD7A9852_opts" hidden="1">"2, 1, 1, True, 3, False, False, , 0, False, False, 1, 2"</definedName>
    <definedName name="cb_Size_by_height_and_widthChart_16_opts" hidden="1">"1, 4, 1, False, 2, False, False, , 0, False, False, 1, 1"</definedName>
    <definedName name="cb_Size_by_height_and_widthChart_7_opts" hidden="1">"1, 4, 1, False, 2, False, False, , 0, False, False, 1, 1"</definedName>
    <definedName name="cb_Size_by_height_and_widthChart_8_opts" hidden="1">"1, 4, 1, False, 2, False, False, , 0, False, False, 1, 1"</definedName>
    <definedName name="CBWorkbookPriority" hidden="1">-1959504492</definedName>
    <definedName name="CIQWBGuid" localSheetId="91" hidden="1">"fbaca8dc-146f-4192-88d0-0ff1a2eb9703"</definedName>
    <definedName name="CIQWBGuid" localSheetId="68" hidden="1">"fbe512cc-6749-4c8e-993d-8a4c49fb67e0"</definedName>
    <definedName name="CIQWBGuid" localSheetId="69" hidden="1">"fbe512cc-6749-4c8e-993d-8a4c49fb67e0"</definedName>
    <definedName name="CIQWBGuid" hidden="1">"4c317e69-d429-41e3-b46a-b4c398e620fd"</definedName>
    <definedName name="CIQWBGuid2" hidden="1">"f85ff77f-824d-4f3f-a631-cc3a67ab4a20"</definedName>
    <definedName name="ClientMatter" hidden="1">"b1"</definedName>
    <definedName name="COBRA" localSheetId="37" hidden="1">{#N/A,#N/A,FALSE,"softdraw";#N/A,#N/A,FALSE,"linereclass";"northpint loan",#N/A,FALSE,"LOAN"}</definedName>
    <definedName name="COBRA" localSheetId="92" hidden="1">{#N/A,#N/A,FALSE,"softdraw";#N/A,#N/A,FALSE,"linereclass";"northpint loan",#N/A,FALSE,"LOAN"}</definedName>
    <definedName name="COBRA" localSheetId="43" hidden="1">{#N/A,#N/A,FALSE,"softdraw";#N/A,#N/A,FALSE,"linereclass";"northpint loan",#N/A,FALSE,"LOAN"}</definedName>
    <definedName name="COBRA" hidden="1">{#N/A,#N/A,FALSE,"softdraw";#N/A,#N/A,FALSE,"linereclass";"northpint loan",#N/A,FALSE,"LOAN"}</definedName>
    <definedName name="COBRA1" localSheetId="37" hidden="1">{#N/A,#N/A,FALSE,"softdraw";#N/A,#N/A,FALSE,"linereclass";"northpint loan",#N/A,FALSE,"LOAN"}</definedName>
    <definedName name="COBRA1" localSheetId="92" hidden="1">{#N/A,#N/A,FALSE,"softdraw";#N/A,#N/A,FALSE,"linereclass";"northpint loan",#N/A,FALSE,"LOAN"}</definedName>
    <definedName name="COBRA1" localSheetId="43" hidden="1">{#N/A,#N/A,FALSE,"softdraw";#N/A,#N/A,FALSE,"linereclass";"northpint loan",#N/A,FALSE,"LOAN"}</definedName>
    <definedName name="COBRA1" hidden="1">{#N/A,#N/A,FALSE,"softdraw";#N/A,#N/A,FALSE,"linereclass";"northpint loan",#N/A,FALSE,"LOAN"}</definedName>
    <definedName name="Company_Name" hidden="1">[13]Settings!$C$56</definedName>
    <definedName name="CompanyName" localSheetId="43">[14]Setup!$C$1</definedName>
    <definedName name="compnam" localSheetId="37" hidden="1">[15]KeyMultInputs!#REF!</definedName>
    <definedName name="compnam" localSheetId="48" hidden="1">[15]KeyMultInputs!#REF!</definedName>
    <definedName name="compnam" localSheetId="77" hidden="1">[15]KeyMultInputs!#REF!</definedName>
    <definedName name="compnam" localSheetId="31" hidden="1">[15]KeyMultInputs!#REF!</definedName>
    <definedName name="compnam" localSheetId="32" hidden="1">[15]KeyMultInputs!#REF!</definedName>
    <definedName name="compnam" localSheetId="33" hidden="1">[15]KeyMultInputs!#REF!</definedName>
    <definedName name="compnam" localSheetId="4" hidden="1">[15]KeyMultInputs!#REF!</definedName>
    <definedName name="compnam" localSheetId="43" hidden="1">[15]KeyMultInputs!#REF!</definedName>
    <definedName name="compnam" localSheetId="40" hidden="1">[15]KeyMultInputs!#REF!</definedName>
    <definedName name="compnam" localSheetId="79" hidden="1">[15]KeyMultInputs!#REF!</definedName>
    <definedName name="compnam" localSheetId="78" hidden="1">[15]KeyMultInputs!#REF!</definedName>
    <definedName name="compnam" localSheetId="75" hidden="1">[15]KeyMultInputs!#REF!</definedName>
    <definedName name="compnam" localSheetId="42" hidden="1">[15]KeyMultInputs!#REF!</definedName>
    <definedName name="compnam" localSheetId="14" hidden="1">[15]KeyMultInputs!#REF!</definedName>
    <definedName name="compnam" localSheetId="49" hidden="1">[15]KeyMultInputs!#REF!</definedName>
    <definedName name="compnam" hidden="1">[15]KeyMultInputs!#REF!</definedName>
    <definedName name="copy" localSheetId="37" hidden="1">{#N/A,#N/A,FALSE,"Title Page";#N/A,#N/A,FALSE,"Conclusions";#N/A,#N/A,FALSE,"Assum.";#N/A,#N/A,FALSE,"Sun  DCF-WC-Dep";#N/A,#N/A,FALSE,"MarketValue";#N/A,#N/A,FALSE,"BalSheet";#N/A,#N/A,FALSE,"WACC";#N/A,#N/A,FALSE,"PC+ Info.";#N/A,#N/A,FALSE,"PC+Info_2"}</definedName>
    <definedName name="copy" localSheetId="92" hidden="1">{#N/A,#N/A,FALSE,"Title Page";#N/A,#N/A,FALSE,"Conclusions";#N/A,#N/A,FALSE,"Assum.";#N/A,#N/A,FALSE,"Sun  DCF-WC-Dep";#N/A,#N/A,FALSE,"MarketValue";#N/A,#N/A,FALSE,"BalSheet";#N/A,#N/A,FALSE,"WACC";#N/A,#N/A,FALSE,"PC+ Info.";#N/A,#N/A,FALSE,"PC+Info_2"}</definedName>
    <definedName name="copy" localSheetId="43"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CP" hidden="1">{#N/A,#N/A,FALSE,"DI 2 YEAR MASTER SCHEDULE"}</definedName>
    <definedName name="CR" hidden="1">{"Cntrl PL",#N/A,TRUE,"CONS P&amp;L";"Controller BS",#N/A,TRUE,"CONS BS";"MthCF",#N/A,TRUE,"CONS CF";"Hot Sheet Year",#N/A,TRUE,"Hot Sheet";"Project Comparison",#N/A,TRUE,"Prj Sum"}</definedName>
    <definedName name="Curascript" hidden="1">{#N/A,#N/A,FALSE,"Projections";#N/A,#N/A,FALSE,"Multiples Valuation";#N/A,#N/A,FALSE,"LBO";#N/A,#N/A,FALSE,"Multiples_Sensitivity";#N/A,#N/A,FALSE,"Summary"}</definedName>
    <definedName name="Curascriptx" hidden="1">{#N/A,#N/A,FALSE,"Projections";#N/A,#N/A,FALSE,"Multiples Valuation";#N/A,#N/A,FALSE,"LBO";#N/A,#N/A,FALSE,"Multiples_Sensitivity";#N/A,#N/A,FALSE,"Summary"}</definedName>
    <definedName name="CV"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CVM_m" hidden="1">{"PVGraph2",#N/A,FALSE,"PV Data"}</definedName>
    <definedName name="Cwvu.CapersView." hidden="1">[11]MASTER!#REF!</definedName>
    <definedName name="Cwvu.Japan_Capers_Ed_Pub." hidden="1">[11]MASTER!#REF!</definedName>
    <definedName name="Cwvu.KJP_CC." hidden="1">[11]MASTER!#REF!,[11]MASTER!#REF!,[11]MASTER!#REF!,[11]MASTER!#REF!,[11]MASTER!#REF!,[11]MASTER!#REF!,[11]MASTER!#REF!,[11]MASTER!#REF!,[11]MASTER!#REF!,[11]MASTER!#REF!,[11]MASTER!#REF!,[11]MASTER!#REF!,[11]MASTER!#REF!,[11]MASTER!#REF!,[11]MASTER!#REF!,[11]MASTER!#REF!,[11]MASTER!#REF!,[11]MASTER!#REF!,[11]MASTER!#REF!,[11]MASTER!#REF!</definedName>
    <definedName name="D" hidden="1">{#N/A,#N/A,FALSE,"AD_Purch";#N/A,#N/A,FALSE,"Projections";#N/A,#N/A,FALSE,"DCF";#N/A,#N/A,FALSE,"Mkt Val"}</definedName>
    <definedName name="DA_2164615669000001165" hidden="1">'[16]2 Monthly Expense Actuals'!#REF!</definedName>
    <definedName name="dafhvb" hidden="1">{"page1",#N/A,FALSE,"Model";"page2",#N/A,FALSE,"Model";"page3",#N/A,FALSE,"Model";"page4",#N/A,FALSE,"Model";"page5",#N/A,FALSE,"Model";"page6",#N/A,FALSE,"Model";"page7",#N/A,FALSE,"Model";"page8",#N/A,FALSE,"Model";"page9",#N/A,FALSE,"Model";"page10",#N/A,FALSE,"Model";"page11",#N/A,FALSE,"Model";"page12",#N/A,FALSE,"Model";"page13",#N/A,FALSE,"Model"}</definedName>
    <definedName name="Data.Dump" localSheetId="37" hidden="1">OFFSET([0]!Data.Top.Left,1,0)</definedName>
    <definedName name="Data.Dump" localSheetId="48" hidden="1">OFFSET([0]!Data.Top.Left,1,0)</definedName>
    <definedName name="Data.Dump" localSheetId="77" hidden="1">OFFSET([0]!Data.Top.Left,1,0)</definedName>
    <definedName name="Data.Dump" localSheetId="31" hidden="1">OFFSET([0]!Data.Top.Left,1,0)</definedName>
    <definedName name="Data.Dump" localSheetId="32" hidden="1">OFFSET([0]!Data.Top.Left,1,0)</definedName>
    <definedName name="Data.Dump" localSheetId="33" hidden="1">OFFSET([0]!Data.Top.Left,1,0)</definedName>
    <definedName name="Data.Dump" localSheetId="4" hidden="1">OFFSET([0]!Data.Top.Left,1,0)</definedName>
    <definedName name="Data.Dump" localSheetId="92" hidden="1">OFFSET([0]!Data.Top.Left,1,0)</definedName>
    <definedName name="Data.Dump" localSheetId="43" hidden="1">OFFSET([0]!Data.Top.Left,1,0)</definedName>
    <definedName name="Data.Dump" localSheetId="40" hidden="1">OFFSET([0]!Data.Top.Left,1,0)</definedName>
    <definedName name="Data.Dump" localSheetId="79" hidden="1">OFFSET([0]!Data.Top.Left,1,0)</definedName>
    <definedName name="Data.Dump" localSheetId="78" hidden="1">OFFSET([0]!Data.Top.Left,1,0)</definedName>
    <definedName name="Data.Dump" localSheetId="75" hidden="1">OFFSET([0]!Data.Top.Left,1,0)</definedName>
    <definedName name="Data.Dump" localSheetId="42" hidden="1">OFFSET([0]!Data.Top.Left,1,0)</definedName>
    <definedName name="Data.Dump" localSheetId="14" hidden="1">OFFSET([0]!Data.Top.Left,1,0)</definedName>
    <definedName name="Data.Dump" localSheetId="49" hidden="1">OFFSET([0]!Data.Top.Left,1,0)</definedName>
    <definedName name="Data.Dump" hidden="1">OFFSET([0]!Data.Top.Left,1,0)</definedName>
    <definedName name="Dates">[17]Lookup!$K$2:$K$55</definedName>
    <definedName name="DCF_"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CF_x"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dd" localSheetId="37" hidden="1">{#N/A,#N/A,FALSE,"Bakersfield PCs";#N/A,#N/A,FALSE,"Bremer PCs";#N/A,#N/A,FALSE,"Bakersfield Notebooks"}</definedName>
    <definedName name="dd" localSheetId="92" hidden="1">{#N/A,#N/A,FALSE,"Model";#N/A,#N/A,FALSE,"Gen Pts &amp; Rts 2000";#N/A,#N/A,FALSE,"AcqsAss";#N/A,#N/A,FALSE,"Acqs &amp; De Novos"}</definedName>
    <definedName name="dd" localSheetId="43" hidden="1">{#N/A,#N/A,FALSE,"Bakersfield PCs";#N/A,#N/A,FALSE,"Bremer PCs";#N/A,#N/A,FALSE,"Bakersfield Notebooks"}</definedName>
    <definedName name="dd" hidden="1">{#N/A,#N/A,FALSE,"Bakersfield PCs";#N/A,#N/A,FALSE,"Bremer PCs";#N/A,#N/A,FALSE,"Bakersfield Notebooks"}</definedName>
    <definedName name="ddd" hidden="1">{#N/A,#N/A,TRUE,"Assumptions";#N/A,#N/A,TRUE,"Sources of Revenue";#N/A,#N/A,TRUE,"P&amp;L";#N/A,#N/A,TRUE,"Bal. Sheet";#N/A,#N/A,TRUE,"Rights Issue &amp; X Adjustment";#N/A,#N/A,TRUE,"Transaction Model"}</definedName>
    <definedName name="dddddddddddddddd" localSheetId="37" hidden="1">Main.SAPF4Help()</definedName>
    <definedName name="dddddddddddddddd" localSheetId="48" hidden="1">Main.SAPF4Help()</definedName>
    <definedName name="dddddddddddddddd" localSheetId="77" hidden="1">Main.SAPF4Help()</definedName>
    <definedName name="dddddddddddddddd" localSheetId="31" hidden="1">Main.SAPF4Help()</definedName>
    <definedName name="dddddddddddddddd" localSheetId="32" hidden="1">Main.SAPF4Help()</definedName>
    <definedName name="dddddddddddddddd" localSheetId="33" hidden="1">Main.SAPF4Help()</definedName>
    <definedName name="dddddddddddddddd" localSheetId="4" hidden="1">Main.SAPF4Help()</definedName>
    <definedName name="dddddddddddddddd" localSheetId="92" hidden="1">Main.SAPF4Help()</definedName>
    <definedName name="dddddddddddddddd" localSheetId="91" hidden="1">Main.SAPF4Help()</definedName>
    <definedName name="dddddddddddddddd" localSheetId="43" hidden="1">Main.SAPF4Help()</definedName>
    <definedName name="dddddddddddddddd" localSheetId="40" hidden="1">Main.SAPF4Help()</definedName>
    <definedName name="dddddddddddddddd" localSheetId="79" hidden="1">Main.SAPF4Help()</definedName>
    <definedName name="dddddddddddddddd" localSheetId="78" hidden="1">Main.SAPF4Help()</definedName>
    <definedName name="dddddddddddddddd" localSheetId="75" hidden="1">Main.SAPF4Help()</definedName>
    <definedName name="dddddddddddddddd" localSheetId="42" hidden="1">Main.SAPF4Help()</definedName>
    <definedName name="dddddddddddddddd" localSheetId="14" hidden="1">Main.SAPF4Help()</definedName>
    <definedName name="dddddddddddddddd" localSheetId="49" hidden="1">Main.SAPF4Help()</definedName>
    <definedName name="dddddddddddddddd" hidden="1">Main.SAPF4Help()</definedName>
    <definedName name="del" localSheetId="37" hidden="1">{#N/A,#N/A,FALSE,"Cov";#N/A,#N/A,FALSE,"sum";#N/A,#N/A,FALSE,"baladj";#N/A,#N/A,FALSE,"bs";#N/A,#N/A,FALSE,"is";#N/A,#N/A,FALSE,"pis";#N/A,#N/A,FALSE,"pis";#N/A,#N/A,FALSE,"cf";#N/A,#N/A,FALSE,"balhist";#N/A,#N/A,FALSE,"wc";#N/A,#N/A,FALSE,"ltd";#N/A,#N/A,FALSE,"cover";#N/A,#N/A,FALSE,"fa";#N/A,#N/A,FALSE,"tax";#N/A,#N/A,FALSE,"irr";#N/A,#N/A,FALSE,"in";#N/A,#N/A,FALSE,"DCF Cov";#N/A,#N/A,FALSE,"dcf"}</definedName>
    <definedName name="del" localSheetId="92" hidden="1">{#N/A,#N/A,FALSE,"Cov";#N/A,#N/A,FALSE,"sum";#N/A,#N/A,FALSE,"baladj";#N/A,#N/A,FALSE,"bs";#N/A,#N/A,FALSE,"is";#N/A,#N/A,FALSE,"pis";#N/A,#N/A,FALSE,"pis";#N/A,#N/A,FALSE,"cf";#N/A,#N/A,FALSE,"balhist";#N/A,#N/A,FALSE,"wc";#N/A,#N/A,FALSE,"ltd";#N/A,#N/A,FALSE,"cover";#N/A,#N/A,FALSE,"fa";#N/A,#N/A,FALSE,"tax";#N/A,#N/A,FALSE,"irr";#N/A,#N/A,FALSE,"in";#N/A,#N/A,FALSE,"DCF Cov";#N/A,#N/A,FALSE,"dcf"}</definedName>
    <definedName name="del" localSheetId="43"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37" hidden="1">{#N/A,#N/A,FALSE,"Cov";#N/A,#N/A,FALSE,"sum";#N/A,#N/A,FALSE,"baladj";#N/A,#N/A,FALSE,"bs";#N/A,#N/A,FALSE,"is";#N/A,#N/A,FALSE,"pis";#N/A,#N/A,FALSE,"cf";#N/A,#N/A,FALSE,"balhist";#N/A,#N/A,FALSE,"wc";#N/A,#N/A,FALSE,"ltd";#N/A,#N/A,FALSE,"cover";#N/A,#N/A,FALSE,"fa";#N/A,#N/A,FALSE,"tax";#N/A,#N/A,FALSE,"irr";#N/A,#N/A,FALSE,"in"}</definedName>
    <definedName name="dele" localSheetId="92" hidden="1">{#N/A,#N/A,FALSE,"Cov";#N/A,#N/A,FALSE,"sum";#N/A,#N/A,FALSE,"baladj";#N/A,#N/A,FALSE,"bs";#N/A,#N/A,FALSE,"is";#N/A,#N/A,FALSE,"pis";#N/A,#N/A,FALSE,"cf";#N/A,#N/A,FALSE,"balhist";#N/A,#N/A,FALSE,"wc";#N/A,#N/A,FALSE,"ltd";#N/A,#N/A,FALSE,"cover";#N/A,#N/A,FALSE,"fa";#N/A,#N/A,FALSE,"tax";#N/A,#N/A,FALSE,"irr";#N/A,#N/A,FALSE,"in"}</definedName>
    <definedName name="dele" localSheetId="43"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37" hidden="1">{#N/A,#N/A,FALSE,"DCF Cov";#N/A,#N/A,FALSE,"dcf"}</definedName>
    <definedName name="delete" localSheetId="92" hidden="1">{#N/A,#N/A,FALSE,"DCF Cov";#N/A,#N/A,FALSE,"dcf"}</definedName>
    <definedName name="delete" localSheetId="43" hidden="1">{#N/A,#N/A,FALSE,"DCF Cov";#N/A,#N/A,FALSE,"dcf"}</definedName>
    <definedName name="delete" hidden="1">{#N/A,#N/A,FALSE,"DCF Cov";#N/A,#N/A,FALSE,"dcf"}</definedName>
    <definedName name="detail" hidden="1">{"umarea",#N/A,FALSE,"Starting Cost";"umagesex",#N/A,FALSE,"Starting Cost";"umbenlim",#N/A,FALSE,"Starting Cost";"umprovdisc",#N/A,FALSE,"Starting Cost";"umother",#N/A,FALSE,"Starting Cost";"umtrend",#N/A,FALSE,"Starting Cost"}</definedName>
    <definedName name="DetailedCapShares" localSheetId="37">'[18]Detailed Cap'!$N$66</definedName>
    <definedName name="DetailedCapShares">'Detailed Cap'!$N$68</definedName>
    <definedName name="dfanb" hidden="1">{"page1",#N/A,FALSE,"Model";"page2",#N/A,FALSE,"Model";"page3",#N/A,FALSE,"Model";"page4",#N/A,FALSE,"Model";"page5",#N/A,FALSE,"Model";"page6",#N/A,FALSE,"Model";"page7",#N/A,FALSE,"Model";"page8",#N/A,FALSE,"Model";"page9",#N/A,FALSE,"Model";"page10",#N/A,FALSE,"Model";"page11",#N/A,FALSE,"Model";"page12",#N/A,FALSE,"Model";"page13",#N/A,FALSE,"Model"}</definedName>
    <definedName name="dfd" hidden="1">{#N/A,#N/A,FALSE,"e-Svc Level";#N/A,#N/A,FALSE,"e-Hosted";#N/A,#N/A,FALSE,"e-Licensed";#N/A,#N/A,FALSE,"Assumptions"}</definedName>
    <definedName name="dhfbvg" hidden="1">{"page1",#N/A,FALSE,"Model";"page2",#N/A,FALSE,"Model";"page3",#N/A,FALSE,"Model";"page4",#N/A,FALSE,"Model";"page5",#N/A,FALSE,"Model";"page6",#N/A,FALSE,"Model";"page7",#N/A,FALSE,"Model";"page8",#N/A,FALSE,"Model";"page9",#N/A,FALSE,"Model";"page10",#N/A,FALSE,"Model";"page11",#N/A,FALSE,"Model";"page12",#N/A,FALSE,"Model";"page13",#N/A,FALSE,"Model"}</definedName>
    <definedName name="djalfnb" hidden="1">{"page1",#N/A,FALSE,"Model";"page2",#N/A,FALSE,"Model";"page3",#N/A,FALSE,"Model";"page4",#N/A,FALSE,"Model";"page5",#N/A,FALSE,"Model";"page6",#N/A,FALSE,"Model";"page7",#N/A,FALSE,"Model";"page8",#N/A,FALSE,"Model";"page9",#N/A,FALSE,"Model";"page10",#N/A,FALSE,"Model";"page11",#N/A,FALSE,"Model";"page12",#N/A,FALSE,"Model";"page13",#N/A,FALSE,"Model"}</definedName>
    <definedName name="djfnbd" hidden="1">{"page1",#N/A,FALSE,"Model";"page2",#N/A,FALSE,"Model";"page3",#N/A,FALSE,"Model";"page4",#N/A,FALSE,"Model";"page5",#N/A,FALSE,"Model";"page6",#N/A,FALSE,"Model";"page7",#N/A,FALSE,"Model";"page8",#N/A,FALSE,"Model";"page9",#N/A,FALSE,"Model";"page10",#N/A,FALSE,"Model";"page11",#N/A,FALSE,"Model";"page12",#N/A,FALSE,"Model";"page13",#N/A,FALSE,"Model"}</definedName>
    <definedName name="dkfjnb" hidden="1">{"page1",#N/A,FALSE,"Model";"page2",#N/A,FALSE,"Model";"page3",#N/A,FALSE,"Model";"page4",#N/A,FALSE,"Model";"page5",#N/A,FALSE,"Model";"page6",#N/A,FALSE,"Model";"page7",#N/A,FALSE,"Model";"page8",#N/A,FALSE,"Model";"page9",#N/A,FALSE,"Model";"page10",#N/A,FALSE,"Model";"page11",#N/A,FALSE,"Model";"page12",#N/A,FALSE,"Model";"page13",#N/A,FALSE,"Model"}</definedName>
    <definedName name="dkjabn" hidden="1">{"page1",#N/A,FALSE,"Model";"page2",#N/A,FALSE,"Model";"page3",#N/A,FALSE,"Model";"page4",#N/A,FALSE,"Model";"page5",#N/A,FALSE,"Model";"page6",#N/A,FALSE,"Model";"page7",#N/A,FALSE,"Model";"page8",#N/A,FALSE,"Model";"page9",#N/A,FALSE,"Model";"page10",#N/A,FALSE,"Model";"page11",#N/A,FALSE,"Model";"page12",#N/A,FALSE,"Model";"page13",#N/A,FALSE,"Model"}</definedName>
    <definedName name="dkjanb" hidden="1">{"page1",#N/A,FALSE,"Model";"page2",#N/A,FALSE,"Model";"page3",#N/A,FALSE,"Model";"page4",#N/A,FALSE,"Model";"page5",#N/A,FALSE,"Model";"page6",#N/A,FALSE,"Model";"page7",#N/A,FALSE,"Model";"page8",#N/A,FALSE,"Model";"page9",#N/A,FALSE,"Model";"page10",#N/A,FALSE,"Model";"page11",#N/A,FALSE,"Model";"page12",#N/A,FALSE,"Model";"page13",#N/A,FALSE,"Model"}</definedName>
    <definedName name="dkjlfnb" hidden="1">{"page1",#N/A,FALSE,"Model";"page2",#N/A,FALSE,"Model";"page3",#N/A,FALSE,"Model";"page4",#N/A,FALSE,"Model";"page5",#N/A,FALSE,"Model";"page6",#N/A,FALSE,"Model";"page7",#N/A,FALSE,"Model";"page8",#N/A,FALSE,"Model";"page9",#N/A,FALSE,"Model";"page10",#N/A,FALSE,"Model";"page11",#N/A,FALSE,"Model";"page12",#N/A,FALSE,"Model";"page13",#N/A,FALSE,"Model"}</definedName>
    <definedName name="dkjnb" hidden="1">{"page1",#N/A,FALSE,"Model";"page2",#N/A,FALSE,"Model";"page3",#N/A,FALSE,"Model";"page4",#N/A,FALSE,"Model";"page5",#N/A,FALSE,"Model";"page6",#N/A,FALSE,"Model";"page7",#N/A,FALSE,"Model";"page8",#N/A,FALSE,"Model";"page9",#N/A,FALSE,"Model";"page10",#N/A,FALSE,"Model";"page11",#N/A,FALSE,"Model";"page12",#N/A,FALSE,"Model";"page13",#N/A,FALSE,"Model"}</definedName>
    <definedName name="dlakjnb" hidden="1">{"page1",#N/A,FALSE,"Model";"page2",#N/A,FALSE,"Model";"page3",#N/A,FALSE,"Model";"page4",#N/A,FALSE,"Model";"page5",#N/A,FALSE,"Model";"page6",#N/A,FALSE,"Model";"page7",#N/A,FALSE,"Model";"page8",#N/A,FALSE,"Model";"page9",#N/A,FALSE,"Model";"page10",#N/A,FALSE,"Model";"page11",#N/A,FALSE,"Model";"page12",#N/A,FALSE,"Model";"page13",#N/A,FALSE,"Model"}</definedName>
    <definedName name="dlkjfnb" hidden="1">{"page1",#N/A,FALSE,"Model";"page2",#N/A,FALSE,"Model";"page3",#N/A,FALSE,"Model";"page4",#N/A,FALSE,"Model";"page5",#N/A,FALSE,"Model";"page6",#N/A,FALSE,"Model";"page7",#N/A,FALSE,"Model";"page8",#N/A,FALSE,"Model";"page9",#N/A,FALSE,"Model";"page10",#N/A,FALSE,"Model";"page11",#N/A,FALSE,"Model";"page12",#N/A,FALSE,"Model";"page13",#N/A,FALSE,"Model"}</definedName>
    <definedName name="dlnb" hidden="1">{"page1",#N/A,FALSE,"Model";"page2",#N/A,FALSE,"Model";"page3",#N/A,FALSE,"Model";"page4",#N/A,FALSE,"Model";"page5",#N/A,FALSE,"Model";"page6",#N/A,FALSE,"Model";"page7",#N/A,FALSE,"Model";"page8",#N/A,FALSE,"Model";"page9",#N/A,FALSE,"Model";"page10",#N/A,FALSE,"Model";"page11",#N/A,FALSE,"Model";"page12",#N/A,FALSE,"Model";"page13",#N/A,FALSE,"Model"}</definedName>
    <definedName name="DME_Dirty" hidden="1">"False"</definedName>
    <definedName name="DME_DocumentFlags" hidden="1">"1"</definedName>
    <definedName name="DME_DocumentID" hidden="1">"::ODMA\DME-MSE\London-44356"</definedName>
    <definedName name="DME_DocumentOpened" hidden="1">"True"</definedName>
    <definedName name="DME_DocumentTitle" hidden="1">"London-44356 - impress model"</definedName>
    <definedName name="DME_LocalFile" hidden="1">"False"</definedName>
    <definedName name="DME_NextWindowNumber" hidden="1">"2"</definedName>
    <definedName name="DocumentName" hidden="1">"b1"</definedName>
    <definedName name="DocumentNum" hidden="1">"a1"</definedName>
    <definedName name="dse" localSheetId="37" hidden="1">{#N/A,#N/A,FALSE,"Model";#N/A,#N/A,FALSE,"Gen Pts &amp; Rts 2000";#N/A,#N/A,FALSE,"AcqsAss";#N/A,#N/A,FALSE,"Acqs &amp; De Novos"}</definedName>
    <definedName name="dse" localSheetId="92" hidden="1">{#N/A,#N/A,FALSE,"Model";#N/A,#N/A,FALSE,"Gen Pts &amp; Rts 2000";#N/A,#N/A,FALSE,"AcqsAss";#N/A,#N/A,FALSE,"Acqs &amp; De Novos"}</definedName>
    <definedName name="dse" localSheetId="43" hidden="1">{#N/A,#N/A,FALSE,"Model";#N/A,#N/A,FALSE,"Gen Pts &amp; Rts 2000";#N/A,#N/A,FALSE,"AcqsAss";#N/A,#N/A,FALSE,"Acqs &amp; De Novos"}</definedName>
    <definedName name="dse" hidden="1">{#N/A,#N/A,FALSE,"Model";#N/A,#N/A,FALSE,"Gen Pts &amp; Rts 2000";#N/A,#N/A,FALSE,"AcqsAss";#N/A,#N/A,FALSE,"Acqs &amp; De Novos"}</definedName>
    <definedName name="dsnb" hidden="1">{"page1",#N/A,FALSE,"Model";"page2",#N/A,FALSE,"Model";"page3",#N/A,FALSE,"Model";"page4",#N/A,FALSE,"Model";"page5",#N/A,FALSE,"Model";"page6",#N/A,FALSE,"Model";"page7",#N/A,FALSE,"Model";"page8",#N/A,FALSE,"Model";"page9",#N/A,FALSE,"Model";"page10",#N/A,FALSE,"Model";"page11",#N/A,FALSE,"Model";"page12",#N/A,FALSE,"Model";"page13",#N/A,FALSE,"Model"}</definedName>
    <definedName name="Dx" hidden="1">{#N/A,#N/A,FALSE,"AD_Purch";#N/A,#N/A,FALSE,"Projections";#N/A,#N/A,FALSE,"DCF";#N/A,#N/A,FALSE,"Mkt Val"}</definedName>
    <definedName name="e" hidden="1">{#N/A,#N/A,FALSE,"e-Svc Level";#N/A,#N/A,FALSE,"e-Hosted";#N/A,#N/A,FALSE,"e-Licensed";#N/A,#N/A,FALSE,"Assumptions"}</definedName>
    <definedName name="eakb" hidden="1">{"page1",#N/A,FALSE,"Model";"page2",#N/A,FALSE,"Model";"page3",#N/A,FALSE,"Model";"page4",#N/A,FALSE,"Model";"page5",#N/A,FALSE,"Model";"page6",#N/A,FALSE,"Model";"page7",#N/A,FALSE,"Model";"page8",#N/A,FALSE,"Model";"page9",#N/A,FALSE,"Model";"page10",#N/A,FALSE,"Model";"page11",#N/A,FALSE,"Model";"page12",#N/A,FALSE,"Model";"page13",#N/A,FALSE,"Model"}</definedName>
    <definedName name="eakjnb" hidden="1">{"page1",#N/A,FALSE,"Model";"page2",#N/A,FALSE,"Model";"page3",#N/A,FALSE,"Model";"page4",#N/A,FALSE,"Model";"page5",#N/A,FALSE,"Model";"page6",#N/A,FALSE,"Model";"page7",#N/A,FALSE,"Model";"page8",#N/A,FALSE,"Model";"page9",#N/A,FALSE,"Model";"page10",#N/A,FALSE,"Model";"page11",#N/A,FALSE,"Model";"page12",#N/A,FALSE,"Model";"page13",#N/A,FALSE,"Model"}</definedName>
    <definedName name="earvb" hidden="1">{"page1",#N/A,FALSE,"Model";"page2",#N/A,FALSE,"Model";"page3",#N/A,FALSE,"Model";"page4",#N/A,FALSE,"Model";"page5",#N/A,FALSE,"Model";"page6",#N/A,FALSE,"Model";"page7",#N/A,FALSE,"Model";"page8",#N/A,FALSE,"Model";"page9",#N/A,FALSE,"Model";"page10",#N/A,FALSE,"Model";"page11",#N/A,FALSE,"Model";"page12",#N/A,FALSE,"Model";"page13",#N/A,FALSE,"Model"}</definedName>
    <definedName name="eaur" hidden="1">{"page1",#N/A,FALSE,"Model";"page2",#N/A,FALSE,"Model";"page3",#N/A,FALSE,"Model";"page4",#N/A,FALSE,"Model";"page5",#N/A,FALSE,"Model";"page6",#N/A,FALSE,"Model";"page7",#N/A,FALSE,"Model";"page8",#N/A,FALSE,"Model";"page9",#N/A,FALSE,"Model";"page10",#N/A,FALSE,"Model";"page11",#N/A,FALSE,"Model";"page12",#N/A,FALSE,"Model";"page13",#N/A,FALSE,"Model"}</definedName>
    <definedName name="ee" hidden="1">{#N/A,#N/A,FALSE,"e-Svc Level";#N/A,#N/A,FALSE,"e-Hosted";#N/A,#N/A,FALSE,"e-Licensed";#N/A,#N/A,FALSE,"Assumptions"}</definedName>
    <definedName name="ef." localSheetId="37" hidden="1">{#N/A,"A",FALSE,"DCF"}</definedName>
    <definedName name="ef." localSheetId="92" hidden="1">{#N/A,"A",FALSE,"DCF"}</definedName>
    <definedName name="ef." localSheetId="43" hidden="1">{#N/A,"A",FALSE,"DCF"}</definedName>
    <definedName name="ef." hidden="1">{#N/A,"A",FALSE,"DCF"}</definedName>
    <definedName name="eirubg" hidden="1">{"page1",#N/A,FALSE,"Model";"page2",#N/A,FALSE,"Model";"page3",#N/A,FALSE,"Model";"page4",#N/A,FALSE,"Model";"page5",#N/A,FALSE,"Model";"page6",#N/A,FALSE,"Model";"page7",#N/A,FALSE,"Model";"page8",#N/A,FALSE,"Model";"page9",#N/A,FALSE,"Model";"page10",#N/A,FALSE,"Model";"page11",#N/A,FALSE,"Model";"page12",#N/A,FALSE,"Model";"page13",#N/A,FALSE,"Model"}</definedName>
    <definedName name="ejbg" hidden="1">{"page1",#N/A,FALSE,"Model";"page2",#N/A,FALSE,"Model";"page3",#N/A,FALSE,"Model";"page4",#N/A,FALSE,"Model";"page5",#N/A,FALSE,"Model";"page6",#N/A,FALSE,"Model";"page7",#N/A,FALSE,"Model";"page8",#N/A,FALSE,"Model";"page9",#N/A,FALSE,"Model";"page10",#N/A,FALSE,"Model";"page11",#N/A,FALSE,"Model";"page12",#N/A,FALSE,"Model";"page13",#N/A,FALSE,"Model"}</definedName>
    <definedName name="ejrgb" hidden="1">{"page1",#N/A,FALSE,"Model";"page2",#N/A,FALSE,"Model";"page3",#N/A,FALSE,"Model";"page4",#N/A,FALSE,"Model";"page5",#N/A,FALSE,"Model";"page6",#N/A,FALSE,"Model";"page7",#N/A,FALSE,"Model";"page8",#N/A,FALSE,"Model";"page9",#N/A,FALSE,"Model";"page10",#N/A,FALSE,"Model";"page11",#N/A,FALSE,"Model";"page12",#N/A,FALSE,"Model";"page13",#N/A,FALSE,"Model"}</definedName>
    <definedName name="eliurbg" hidden="1">{"page1",#N/A,FALSE,"Model";"page2",#N/A,FALSE,"Model";"page3",#N/A,FALSE,"Model";"page4",#N/A,FALSE,"Model";"page5",#N/A,FALSE,"Model";"page6",#N/A,FALSE,"Model";"page7",#N/A,FALSE,"Model";"page8",#N/A,FALSE,"Model";"page9",#N/A,FALSE,"Model";"page10",#N/A,FALSE,"Model";"page11",#N/A,FALSE,"Model";"page12",#N/A,FALSE,"Model";"page13",#N/A,FALSE,"Model"}</definedName>
    <definedName name="eojhrbg" hidden="1">{"page1",#N/A,FALSE,"Model";"page2",#N/A,FALSE,"Model";"page3",#N/A,FALSE,"Model";"page4",#N/A,FALSE,"Model";"page5",#N/A,FALSE,"Model";"page6",#N/A,FALSE,"Model";"page7",#N/A,FALSE,"Model";"page8",#N/A,FALSE,"Model";"page9",#N/A,FALSE,"Model";"page10",#N/A,FALSE,"Model";"page11",#N/A,FALSE,"Model";"page12",#N/A,FALSE,"Model";"page13",#N/A,FALSE,"Model"}</definedName>
    <definedName name="eouhg" hidden="1">{"page1",#N/A,FALSE,"Model";"page2",#N/A,FALSE,"Model";"page3",#N/A,FALSE,"Model";"page4",#N/A,FALSE,"Model";"page5",#N/A,FALSE,"Model";"page6",#N/A,FALSE,"Model";"page7",#N/A,FALSE,"Model";"page8",#N/A,FALSE,"Model";"page9",#N/A,FALSE,"Model";"page10",#N/A,FALSE,"Model";"page11",#N/A,FALSE,"Model";"page12",#N/A,FALSE,"Model";"page13",#N/A,FALSE,"Model"}</definedName>
    <definedName name="eown" hidden="1">{#N/A,#N/A,FALSE,"Assumptions"}</definedName>
    <definedName name="EPL" hidden="1">{#N/A,#N/A,FALSE,"DI 2 YEAR MASTER SCHEDULE"}</definedName>
    <definedName name="epwouhg" hidden="1">{"page1",#N/A,FALSE,"Model";"page2",#N/A,FALSE,"Model";"page3",#N/A,FALSE,"Model";"page4",#N/A,FALSE,"Model";"page5",#N/A,FALSE,"Model";"page6",#N/A,FALSE,"Model";"page7",#N/A,FALSE,"Model";"page8",#N/A,FALSE,"Model";"page9",#N/A,FALSE,"Model";"page10",#N/A,FALSE,"Model";"page11",#N/A,FALSE,"Model";"page12",#N/A,FALSE,"Model";"page13",#N/A,FALSE,"Model"}</definedName>
    <definedName name="eqbgroieqg" hidden="1">{"page1",#N/A,FALSE,"Model";"page2",#N/A,FALSE,"Model";"page3",#N/A,FALSE,"Model";"page4",#N/A,FALSE,"Model";"page5",#N/A,FALSE,"Model";"page6",#N/A,FALSE,"Model";"page7",#N/A,FALSE,"Model";"page8",#N/A,FALSE,"Model";"page9",#N/A,FALSE,"Model";"page10",#N/A,FALSE,"Model";"page11",#N/A,FALSE,"Model";"page12",#N/A,FALSE,"Model";"page13",#N/A,FALSE,"Model"}</definedName>
    <definedName name="eqipug" hidden="1">{"page1",#N/A,FALSE,"Model";"page2",#N/A,FALSE,"Model";"page3",#N/A,FALSE,"Model";"page4",#N/A,FALSE,"Model";"page5",#N/A,FALSE,"Model";"page6",#N/A,FALSE,"Model";"page7",#N/A,FALSE,"Model";"page8",#N/A,FALSE,"Model";"page9",#N/A,FALSE,"Model";"page10",#N/A,FALSE,"Model";"page11",#N/A,FALSE,"Model";"page12",#N/A,FALSE,"Model";"page13",#N/A,FALSE,"Model"}</definedName>
    <definedName name="eqouibg" hidden="1">{"page1",#N/A,FALSE,"Model";"page2",#N/A,FALSE,"Model";"page3",#N/A,FALSE,"Model";"page4",#N/A,FALSE,"Model";"page5",#N/A,FALSE,"Model";"page6",#N/A,FALSE,"Model";"page7",#N/A,FALSE,"Model";"page8",#N/A,FALSE,"Model";"page9",#N/A,FALSE,"Model";"page10",#N/A,FALSE,"Model";"page11",#N/A,FALSE,"Model";"page12",#N/A,FALSE,"Model";"page13",#N/A,FALSE,"Model"}</definedName>
    <definedName name="eqrng" hidden="1">{"page1",#N/A,FALSE,"Model";"page2",#N/A,FALSE,"Model";"page3",#N/A,FALSE,"Model";"page4",#N/A,FALSE,"Model";"page5",#N/A,FALSE,"Model";"page6",#N/A,FALSE,"Model";"page7",#N/A,FALSE,"Model";"page8",#N/A,FALSE,"Model";"page9",#N/A,FALSE,"Model";"page10",#N/A,FALSE,"Model";"page11",#N/A,FALSE,"Model";"page12",#N/A,FALSE,"Model";"page13",#N/A,FALSE,"Model"}</definedName>
    <definedName name="erbgebr" hidden="1">{"page1",#N/A,FALSE,"Model";"page2",#N/A,FALSE,"Model";"page3",#N/A,FALSE,"Model";"page4",#N/A,FALSE,"Model";"page5",#N/A,FALSE,"Model";"page6",#N/A,FALSE,"Model";"page7",#N/A,FALSE,"Model";"page8",#N/A,FALSE,"Model";"page9",#N/A,FALSE,"Model";"page10",#N/A,FALSE,"Model";"page11",#N/A,FALSE,"Model";"page12",#N/A,FALSE,"Model";"page13",#N/A,FALSE,"Model"}</definedName>
    <definedName name="erljg" hidden="1">{"page1",#N/A,FALSE,"Model";"page2",#N/A,FALSE,"Model";"page3",#N/A,FALSE,"Model";"page4",#N/A,FALSE,"Model";"page5",#N/A,FALSE,"Model";"page6",#N/A,FALSE,"Model";"page7",#N/A,FALSE,"Model";"page8",#N/A,FALSE,"Model";"page9",#N/A,FALSE,"Model";"page10",#N/A,FALSE,"Model";"page11",#N/A,FALSE,"Model";"page12",#N/A,FALSE,"Model";"page13",#N/A,FALSE,"Model"}</definedName>
    <definedName name="Error_Amount" hidden="1">"'Error_Checks'!B10"</definedName>
    <definedName name="Error_Check" hidden="1">"ABS(Error_Amount)&gt;Error_Threshold"</definedName>
    <definedName name="Error_Threshold" hidden="1">0.05</definedName>
    <definedName name="eshrvbe" hidden="1">{"page1",#N/A,FALSE,"Model";"page2",#N/A,FALSE,"Model";"page3",#N/A,FALSE,"Model";"page4",#N/A,FALSE,"Model";"page5",#N/A,FALSE,"Model";"page6",#N/A,FALSE,"Model";"page7",#N/A,FALSE,"Model";"page8",#N/A,FALSE,"Model";"page9",#N/A,FALSE,"Model";"page10",#N/A,FALSE,"Model";"page11",#N/A,FALSE,"Model";"page12",#N/A,FALSE,"Model";"page13",#N/A,FALSE,"Model"}</definedName>
    <definedName name="etc" hidden="1">#REF!</definedName>
    <definedName name="ev.Calculation" hidden="1">-4105</definedName>
    <definedName name="ev.Initialized" hidden="1">FALSE</definedName>
    <definedName name="ewkrhg" hidden="1">{"page1",#N/A,FALSE,"Model";"page2",#N/A,FALSE,"Model";"page3",#N/A,FALSE,"Model";"page4",#N/A,FALSE,"Model";"page5",#N/A,FALSE,"Model";"page6",#N/A,FALSE,"Model";"page7",#N/A,FALSE,"Model";"page8",#N/A,FALSE,"Model";"page9",#N/A,FALSE,"Model";"page10",#N/A,FALSE,"Model";"page11",#N/A,FALSE,"Model";"page12",#N/A,FALSE,"Model";"page13",#N/A,FALSE,"Model"}</definedName>
    <definedName name="ewpohg" hidden="1">{"page1",#N/A,FALSE,"Model";"page2",#N/A,FALSE,"Model";"page3",#N/A,FALSE,"Model";"page4",#N/A,FALSE,"Model";"page5",#N/A,FALSE,"Model";"page6",#N/A,FALSE,"Model";"page7",#N/A,FALSE,"Model";"page8",#N/A,FALSE,"Model";"page9",#N/A,FALSE,"Model";"page10",#N/A,FALSE,"Model";"page11",#N/A,FALSE,"Model";"page12",#N/A,FALSE,"Model";"page13",#N/A,FALSE,"Model"}</definedName>
    <definedName name="ExactAddinReports" hidden="1">1</definedName>
    <definedName name="ExbMult_Total" localSheetId="37" hidden="1">#REF!</definedName>
    <definedName name="ExbMult_Total" localSheetId="48" hidden="1">#REF!</definedName>
    <definedName name="ExbMult_Total" localSheetId="77" hidden="1">#REF!</definedName>
    <definedName name="ExbMult_Total" localSheetId="31" hidden="1">#REF!</definedName>
    <definedName name="ExbMult_Total" localSheetId="32" hidden="1">#REF!</definedName>
    <definedName name="ExbMult_Total" localSheetId="33" hidden="1">#REF!</definedName>
    <definedName name="ExbMult_Total" localSheetId="4" hidden="1">#REF!</definedName>
    <definedName name="ExbMult_Total" localSheetId="40" hidden="1">#REF!</definedName>
    <definedName name="ExbMult_Total" localSheetId="79" hidden="1">#REF!</definedName>
    <definedName name="ExbMult_Total" localSheetId="78" hidden="1">#REF!</definedName>
    <definedName name="ExbMult_Total" localSheetId="75" hidden="1">#REF!</definedName>
    <definedName name="ExbMult_Total" localSheetId="42" hidden="1">#REF!</definedName>
    <definedName name="ExbMult_Total" localSheetId="14" hidden="1">#REF!</definedName>
    <definedName name="ExbMult_Total" localSheetId="49" hidden="1">#REF!</definedName>
    <definedName name="ExbMult_Total" hidden="1">#REF!</definedName>
    <definedName name="Facilities">1700</definedName>
    <definedName name="factors" hidden="1">{#N/A,#N/A,FALSE,"Factors"}</definedName>
    <definedName name="fasldkjfs" hidden="1">{#N/A,#N/A,FALSE,"ACQ_GRAPHS";#N/A,#N/A,FALSE,"T_1 GRAPHS";#N/A,#N/A,FALSE,"T_2 GRAPHS";#N/A,#N/A,FALSE,"COMB_GRAPHS"}</definedName>
    <definedName name="FDD_0_0" hidden="1">"A30681"</definedName>
    <definedName name="FDD_0_1" hidden="1">"A31047"</definedName>
    <definedName name="FDD_0_10" hidden="1">"A34334"</definedName>
    <definedName name="FDD_0_11" hidden="1">"A34699"</definedName>
    <definedName name="FDD_0_12" hidden="1">"A35064"</definedName>
    <definedName name="FDD_0_13" hidden="1">"A35430"</definedName>
    <definedName name="FDD_0_14" hidden="1">"A35795"</definedName>
    <definedName name="FDD_0_2" hidden="1">"A31412"</definedName>
    <definedName name="FDD_0_3" hidden="1">"A31777"</definedName>
    <definedName name="FDD_0_4" hidden="1">"A32142"</definedName>
    <definedName name="FDD_0_5" hidden="1">"A32508"</definedName>
    <definedName name="FDD_0_6" hidden="1">"A32873"</definedName>
    <definedName name="FDD_0_7" hidden="1">"A33238"</definedName>
    <definedName name="FDD_0_8" hidden="1">"A33603"</definedName>
    <definedName name="FDD_0_9" hidden="1">"A33969"</definedName>
    <definedName name="FDD_1_0" hidden="1">"U25569"</definedName>
    <definedName name="FDD_10_0" hidden="1">"A25569"</definedName>
    <definedName name="FDD_100_0" hidden="1">"A25569"</definedName>
    <definedName name="FDD_101_0" hidden="1">"A25569"</definedName>
    <definedName name="FDD_102_0" hidden="1">"A25569"</definedName>
    <definedName name="FDD_103_0" hidden="1">"A25569"</definedName>
    <definedName name="FDD_104_0" hidden="1">"A25569"</definedName>
    <definedName name="FDD_105_0" hidden="1">"A25569"</definedName>
    <definedName name="FDD_106_0" hidden="1">"A25569"</definedName>
    <definedName name="FDD_107_0" hidden="1">"A25569"</definedName>
    <definedName name="FDD_108_0" hidden="1">"A25569"</definedName>
    <definedName name="FDD_109_0" hidden="1">"A25569"</definedName>
    <definedName name="FDD_11_0" hidden="1">"A25569"</definedName>
    <definedName name="FDD_110_0" hidden="1">"A25569"</definedName>
    <definedName name="FDD_111_0" hidden="1">"A25569"</definedName>
    <definedName name="FDD_112_0" hidden="1">"A25569"</definedName>
    <definedName name="FDD_113_0" hidden="1">"A25569"</definedName>
    <definedName name="FDD_114_0" hidden="1">"A25569"</definedName>
    <definedName name="FDD_115_0" hidden="1">"A25569"</definedName>
    <definedName name="FDD_116_0" hidden="1">"A25569"</definedName>
    <definedName name="FDD_117_0" hidden="1">"A30681"</definedName>
    <definedName name="FDD_117_1" hidden="1">"A31047"</definedName>
    <definedName name="FDD_117_10" hidden="1">"A34334"</definedName>
    <definedName name="FDD_117_11" hidden="1">"A34699"</definedName>
    <definedName name="FDD_117_12" hidden="1">"A35064"</definedName>
    <definedName name="FDD_117_13" hidden="1">"A35430"</definedName>
    <definedName name="FDD_117_14" hidden="1">"A35795"</definedName>
    <definedName name="FDD_117_2" hidden="1">"A31412"</definedName>
    <definedName name="FDD_117_3" hidden="1">"A31777"</definedName>
    <definedName name="FDD_117_4" hidden="1">"A32142"</definedName>
    <definedName name="FDD_117_5" hidden="1">"A32508"</definedName>
    <definedName name="FDD_117_6" hidden="1">"A32873"</definedName>
    <definedName name="FDD_117_7" hidden="1">"A33238"</definedName>
    <definedName name="FDD_117_8" hidden="1">"A33603"</definedName>
    <definedName name="FDD_117_9" hidden="1">"A33969"</definedName>
    <definedName name="FDD_118_0" hidden="1">"A30681"</definedName>
    <definedName name="FDD_118_1" hidden="1">"A31047"</definedName>
    <definedName name="FDD_118_10" hidden="1">"A34334"</definedName>
    <definedName name="FDD_118_11" hidden="1">"A34699"</definedName>
    <definedName name="FDD_118_12" hidden="1">"A35064"</definedName>
    <definedName name="FDD_118_13" hidden="1">"A35430"</definedName>
    <definedName name="FDD_118_14" hidden="1">"A35795"</definedName>
    <definedName name="FDD_118_2" hidden="1">"A31412"</definedName>
    <definedName name="FDD_118_3" hidden="1">"A31777"</definedName>
    <definedName name="FDD_118_4" hidden="1">"A32142"</definedName>
    <definedName name="FDD_118_5" hidden="1">"A32508"</definedName>
    <definedName name="FDD_118_6" hidden="1">"A32873"</definedName>
    <definedName name="FDD_118_7" hidden="1">"A33238"</definedName>
    <definedName name="FDD_118_8" hidden="1">"A33603"</definedName>
    <definedName name="FDD_118_9" hidden="1">"A33969"</definedName>
    <definedName name="FDD_119_0" hidden="1">"A30681"</definedName>
    <definedName name="FDD_119_1" hidden="1">"A31047"</definedName>
    <definedName name="FDD_119_10" hidden="1">"A34334"</definedName>
    <definedName name="FDD_119_11" hidden="1">"A34699"</definedName>
    <definedName name="FDD_119_12" hidden="1">"A35064"</definedName>
    <definedName name="FDD_119_13" hidden="1">"A35430"</definedName>
    <definedName name="FDD_119_14" hidden="1">"A35795"</definedName>
    <definedName name="FDD_119_2" hidden="1">"A31412"</definedName>
    <definedName name="FDD_119_3" hidden="1">"A31777"</definedName>
    <definedName name="FDD_119_4" hidden="1">"A32142"</definedName>
    <definedName name="FDD_119_5" hidden="1">"A32508"</definedName>
    <definedName name="FDD_119_6" hidden="1">"A32873"</definedName>
    <definedName name="FDD_119_7" hidden="1">"A33238"</definedName>
    <definedName name="FDD_119_8" hidden="1">"A33603"</definedName>
    <definedName name="FDD_119_9" hidden="1">"A33969"</definedName>
    <definedName name="FDD_12_0" hidden="1">"A25569"</definedName>
    <definedName name="FDD_120_0" hidden="1">"A30681"</definedName>
    <definedName name="FDD_120_1" hidden="1">"A31047"</definedName>
    <definedName name="FDD_120_10" hidden="1">"A34334"</definedName>
    <definedName name="FDD_120_11" hidden="1">"A34699"</definedName>
    <definedName name="FDD_120_12" hidden="1">"A35064"</definedName>
    <definedName name="FDD_120_13" hidden="1">"A35430"</definedName>
    <definedName name="FDD_120_14" hidden="1">"A35795"</definedName>
    <definedName name="FDD_120_2" hidden="1">"A31412"</definedName>
    <definedName name="FDD_120_3" hidden="1">"A31777"</definedName>
    <definedName name="FDD_120_4" hidden="1">"A32142"</definedName>
    <definedName name="FDD_120_5" hidden="1">"A32508"</definedName>
    <definedName name="FDD_120_6" hidden="1">"A32873"</definedName>
    <definedName name="FDD_120_7" hidden="1">"A33238"</definedName>
    <definedName name="FDD_120_8" hidden="1">"A33603"</definedName>
    <definedName name="FDD_120_9" hidden="1">"A33969"</definedName>
    <definedName name="FDD_121_0" hidden="1">"A30681"</definedName>
    <definedName name="FDD_121_1" hidden="1">"A31047"</definedName>
    <definedName name="FDD_121_10" hidden="1">"A34334"</definedName>
    <definedName name="FDD_121_11" hidden="1">"A34699"</definedName>
    <definedName name="FDD_121_12" hidden="1">"A35064"</definedName>
    <definedName name="FDD_121_13" hidden="1">"A35430"</definedName>
    <definedName name="FDD_121_14" hidden="1">"A35795"</definedName>
    <definedName name="FDD_121_2" hidden="1">"A31412"</definedName>
    <definedName name="FDD_121_3" hidden="1">"A31777"</definedName>
    <definedName name="FDD_121_4" hidden="1">"A32142"</definedName>
    <definedName name="FDD_121_5" hidden="1">"A32508"</definedName>
    <definedName name="FDD_121_6" hidden="1">"A32873"</definedName>
    <definedName name="FDD_121_7" hidden="1">"A33238"</definedName>
    <definedName name="FDD_121_8" hidden="1">"A33603"</definedName>
    <definedName name="FDD_121_9" hidden="1">"A33969"</definedName>
    <definedName name="FDD_122_0" hidden="1">"A30681"</definedName>
    <definedName name="FDD_122_1" hidden="1">"A31047"</definedName>
    <definedName name="FDD_122_10" hidden="1">"A34334"</definedName>
    <definedName name="FDD_122_11" hidden="1">"A34699"</definedName>
    <definedName name="FDD_122_12" hidden="1">"A35064"</definedName>
    <definedName name="FDD_122_13" hidden="1">"A35430"</definedName>
    <definedName name="FDD_122_14" hidden="1">"A35795"</definedName>
    <definedName name="FDD_122_2" hidden="1">"A31412"</definedName>
    <definedName name="FDD_122_3" hidden="1">"A31777"</definedName>
    <definedName name="FDD_122_4" hidden="1">"A32142"</definedName>
    <definedName name="FDD_122_5" hidden="1">"A32508"</definedName>
    <definedName name="FDD_122_6" hidden="1">"A32873"</definedName>
    <definedName name="FDD_122_7" hidden="1">"A33238"</definedName>
    <definedName name="FDD_122_8" hidden="1">"A33603"</definedName>
    <definedName name="FDD_122_9" hidden="1">"A33969"</definedName>
    <definedName name="FDD_123_0" hidden="1">"A30681"</definedName>
    <definedName name="FDD_123_1" hidden="1">"A31047"</definedName>
    <definedName name="FDD_123_10" hidden="1">"A34334"</definedName>
    <definedName name="FDD_123_11" hidden="1">"A34699"</definedName>
    <definedName name="FDD_123_12" hidden="1">"A35064"</definedName>
    <definedName name="FDD_123_13" hidden="1">"A35430"</definedName>
    <definedName name="FDD_123_14" hidden="1">"A35795"</definedName>
    <definedName name="FDD_123_2" hidden="1">"A31412"</definedName>
    <definedName name="FDD_123_3" hidden="1">"A31777"</definedName>
    <definedName name="FDD_123_4" hidden="1">"A32142"</definedName>
    <definedName name="FDD_123_5" hidden="1">"A32508"</definedName>
    <definedName name="FDD_123_6" hidden="1">"A32873"</definedName>
    <definedName name="FDD_123_7" hidden="1">"A33238"</definedName>
    <definedName name="FDD_123_8" hidden="1">"A33603"</definedName>
    <definedName name="FDD_123_9" hidden="1">"A33969"</definedName>
    <definedName name="FDD_124_0" hidden="1">"A30681"</definedName>
    <definedName name="FDD_124_1" hidden="1">"A31047"</definedName>
    <definedName name="FDD_124_10" hidden="1">"A34334"</definedName>
    <definedName name="FDD_124_11" hidden="1">"A34699"</definedName>
    <definedName name="FDD_124_12" hidden="1">"A35064"</definedName>
    <definedName name="FDD_124_13" hidden="1">"A35430"</definedName>
    <definedName name="FDD_124_14" hidden="1">"A35795"</definedName>
    <definedName name="FDD_124_2" hidden="1">"A31412"</definedName>
    <definedName name="FDD_124_3" hidden="1">"A31777"</definedName>
    <definedName name="FDD_124_4" hidden="1">"A32142"</definedName>
    <definedName name="FDD_124_5" hidden="1">"A32508"</definedName>
    <definedName name="FDD_124_6" hidden="1">"A32873"</definedName>
    <definedName name="FDD_124_7" hidden="1">"A33238"</definedName>
    <definedName name="FDD_124_8" hidden="1">"A33603"</definedName>
    <definedName name="FDD_124_9" hidden="1">"A33969"</definedName>
    <definedName name="FDD_125_0" hidden="1">"A30681"</definedName>
    <definedName name="FDD_125_1" hidden="1">"A31047"</definedName>
    <definedName name="FDD_125_10" hidden="1">"A34334"</definedName>
    <definedName name="FDD_125_11" hidden="1">"A34699"</definedName>
    <definedName name="FDD_125_12" hidden="1">"A35064"</definedName>
    <definedName name="FDD_125_13" hidden="1">"A35430"</definedName>
    <definedName name="FDD_125_14" hidden="1">"A35795"</definedName>
    <definedName name="FDD_125_2" hidden="1">"A31412"</definedName>
    <definedName name="FDD_125_3" hidden="1">"A31777"</definedName>
    <definedName name="FDD_125_4" hidden="1">"A32142"</definedName>
    <definedName name="FDD_125_5" hidden="1">"A32508"</definedName>
    <definedName name="FDD_125_6" hidden="1">"A32873"</definedName>
    <definedName name="FDD_125_7" hidden="1">"A33238"</definedName>
    <definedName name="FDD_125_8" hidden="1">"A33603"</definedName>
    <definedName name="FDD_125_9" hidden="1">"A33969"</definedName>
    <definedName name="FDD_126_0" hidden="1">"A30681"</definedName>
    <definedName name="FDD_126_1" hidden="1">"A31047"</definedName>
    <definedName name="FDD_126_10" hidden="1">"A34334"</definedName>
    <definedName name="FDD_126_11" hidden="1">"A34699"</definedName>
    <definedName name="FDD_126_12" hidden="1">"A35064"</definedName>
    <definedName name="FDD_126_13" hidden="1">"A35430"</definedName>
    <definedName name="FDD_126_14" hidden="1">"A35795"</definedName>
    <definedName name="FDD_126_2" hidden="1">"A31412"</definedName>
    <definedName name="FDD_126_3" hidden="1">"A31777"</definedName>
    <definedName name="FDD_126_4" hidden="1">"A32142"</definedName>
    <definedName name="FDD_126_5" hidden="1">"A32508"</definedName>
    <definedName name="FDD_126_6" hidden="1">"A32873"</definedName>
    <definedName name="FDD_126_7" hidden="1">"A33238"</definedName>
    <definedName name="FDD_126_8" hidden="1">"A33603"</definedName>
    <definedName name="FDD_126_9" hidden="1">"A33969"</definedName>
    <definedName name="FDD_127_0" hidden="1">"A30681"</definedName>
    <definedName name="FDD_127_1" hidden="1">"A31047"</definedName>
    <definedName name="FDD_127_10" hidden="1">"A34334"</definedName>
    <definedName name="FDD_127_11" hidden="1">"A34699"</definedName>
    <definedName name="FDD_127_12" hidden="1">"A35064"</definedName>
    <definedName name="FDD_127_13" hidden="1">"A35430"</definedName>
    <definedName name="FDD_127_14" hidden="1">"A35795"</definedName>
    <definedName name="FDD_127_2" hidden="1">"A31412"</definedName>
    <definedName name="FDD_127_3" hidden="1">"A31777"</definedName>
    <definedName name="FDD_127_4" hidden="1">"A32142"</definedName>
    <definedName name="FDD_127_5" hidden="1">"A32508"</definedName>
    <definedName name="FDD_127_6" hidden="1">"A32873"</definedName>
    <definedName name="FDD_127_7" hidden="1">"A33238"</definedName>
    <definedName name="FDD_127_8" hidden="1">"A33603"</definedName>
    <definedName name="FDD_127_9" hidden="1">"A33969"</definedName>
    <definedName name="FDD_128_0" hidden="1">"A30681"</definedName>
    <definedName name="FDD_128_1" hidden="1">"A31047"</definedName>
    <definedName name="FDD_128_10" hidden="1">"A34334"</definedName>
    <definedName name="FDD_128_11" hidden="1">"A34699"</definedName>
    <definedName name="FDD_128_12" hidden="1">"A35064"</definedName>
    <definedName name="FDD_128_13" hidden="1">"A35430"</definedName>
    <definedName name="FDD_128_14" hidden="1">"A35795"</definedName>
    <definedName name="FDD_128_2" hidden="1">"A31412"</definedName>
    <definedName name="FDD_128_3" hidden="1">"A31777"</definedName>
    <definedName name="FDD_128_4" hidden="1">"A32142"</definedName>
    <definedName name="FDD_128_5" hidden="1">"A32508"</definedName>
    <definedName name="FDD_128_6" hidden="1">"A32873"</definedName>
    <definedName name="FDD_128_7" hidden="1">"A33238"</definedName>
    <definedName name="FDD_128_8" hidden="1">"A33603"</definedName>
    <definedName name="FDD_128_9" hidden="1">"A33969"</definedName>
    <definedName name="FDD_129_0" hidden="1">"A30681"</definedName>
    <definedName name="FDD_129_1" hidden="1">"A31047"</definedName>
    <definedName name="FDD_129_10" hidden="1">"A34334"</definedName>
    <definedName name="FDD_129_11" hidden="1">"A34699"</definedName>
    <definedName name="FDD_129_12" hidden="1">"A35064"</definedName>
    <definedName name="FDD_129_13" hidden="1">"A35430"</definedName>
    <definedName name="FDD_129_14" hidden="1">"A35795"</definedName>
    <definedName name="FDD_129_2" hidden="1">"A31412"</definedName>
    <definedName name="FDD_129_3" hidden="1">"A31777"</definedName>
    <definedName name="FDD_129_4" hidden="1">"A32142"</definedName>
    <definedName name="FDD_129_5" hidden="1">"A32508"</definedName>
    <definedName name="FDD_129_6" hidden="1">"A32873"</definedName>
    <definedName name="FDD_129_7" hidden="1">"A33238"</definedName>
    <definedName name="FDD_129_8" hidden="1">"A33603"</definedName>
    <definedName name="FDD_129_9" hidden="1">"A33969"</definedName>
    <definedName name="FDD_13_0" hidden="1">"A25569"</definedName>
    <definedName name="FDD_130_0" hidden="1">"A30681"</definedName>
    <definedName name="FDD_130_1" hidden="1">"A31047"</definedName>
    <definedName name="FDD_130_10" hidden="1">"A34334"</definedName>
    <definedName name="FDD_130_11" hidden="1">"A34699"</definedName>
    <definedName name="FDD_130_12" hidden="1">"A35064"</definedName>
    <definedName name="FDD_130_13" hidden="1">"A35430"</definedName>
    <definedName name="FDD_130_14" hidden="1">"A35795"</definedName>
    <definedName name="FDD_130_2" hidden="1">"A31412"</definedName>
    <definedName name="FDD_130_3" hidden="1">"A31777"</definedName>
    <definedName name="FDD_130_4" hidden="1">"A32142"</definedName>
    <definedName name="FDD_130_5" hidden="1">"A32508"</definedName>
    <definedName name="FDD_130_6" hidden="1">"A32873"</definedName>
    <definedName name="FDD_130_7" hidden="1">"A33238"</definedName>
    <definedName name="FDD_130_8" hidden="1">"A33603"</definedName>
    <definedName name="FDD_130_9" hidden="1">"A33969"</definedName>
    <definedName name="FDD_131_0" hidden="1">"A30681"</definedName>
    <definedName name="FDD_131_1" hidden="1">"A31047"</definedName>
    <definedName name="FDD_131_10" hidden="1">"A34334"</definedName>
    <definedName name="FDD_131_11" hidden="1">"A34699"</definedName>
    <definedName name="FDD_131_12" hidden="1">"A35064"</definedName>
    <definedName name="FDD_131_13" hidden="1">"A35430"</definedName>
    <definedName name="FDD_131_14" hidden="1">"A35795"</definedName>
    <definedName name="FDD_131_2" hidden="1">"A31412"</definedName>
    <definedName name="FDD_131_3" hidden="1">"A31777"</definedName>
    <definedName name="FDD_131_4" hidden="1">"A32142"</definedName>
    <definedName name="FDD_131_5" hidden="1">"A32508"</definedName>
    <definedName name="FDD_131_6" hidden="1">"A32873"</definedName>
    <definedName name="FDD_131_7" hidden="1">"A33238"</definedName>
    <definedName name="FDD_131_8" hidden="1">"A33603"</definedName>
    <definedName name="FDD_131_9" hidden="1">"A33969"</definedName>
    <definedName name="FDD_132_0" hidden="1">"U30681"</definedName>
    <definedName name="FDD_132_1" hidden="1">"U31047"</definedName>
    <definedName name="FDD_132_10" hidden="1">"U34334"</definedName>
    <definedName name="FDD_132_11" hidden="1">"U34699"</definedName>
    <definedName name="FDD_132_12" hidden="1">"U35064"</definedName>
    <definedName name="FDD_132_13" hidden="1">"U35430"</definedName>
    <definedName name="FDD_132_14" hidden="1">"U35795"</definedName>
    <definedName name="FDD_132_2" hidden="1">"U31412"</definedName>
    <definedName name="FDD_132_3" hidden="1">"U31777"</definedName>
    <definedName name="FDD_132_4" hidden="1">"U32142"</definedName>
    <definedName name="FDD_132_5" hidden="1">"U32508"</definedName>
    <definedName name="FDD_132_6" hidden="1">"U32873"</definedName>
    <definedName name="FDD_132_7" hidden="1">"U33238"</definedName>
    <definedName name="FDD_132_8" hidden="1">"U33603"</definedName>
    <definedName name="FDD_132_9" hidden="1">"U33969"</definedName>
    <definedName name="FDD_133_0" hidden="1">"A30681"</definedName>
    <definedName name="FDD_133_1" hidden="1">"A31047"</definedName>
    <definedName name="FDD_133_10" hidden="1">"A34334"</definedName>
    <definedName name="FDD_133_11" hidden="1">"A34699"</definedName>
    <definedName name="FDD_133_12" hidden="1">"A35064"</definedName>
    <definedName name="FDD_133_13" hidden="1">"A35430"</definedName>
    <definedName name="FDD_133_14" hidden="1">"A35795"</definedName>
    <definedName name="FDD_133_2" hidden="1">"A31412"</definedName>
    <definedName name="FDD_133_3" hidden="1">"A31777"</definedName>
    <definedName name="FDD_133_4" hidden="1">"A32142"</definedName>
    <definedName name="FDD_133_5" hidden="1">"A32508"</definedName>
    <definedName name="FDD_133_6" hidden="1">"A32873"</definedName>
    <definedName name="FDD_133_7" hidden="1">"A33238"</definedName>
    <definedName name="FDD_133_8" hidden="1">"A33603"</definedName>
    <definedName name="FDD_133_9" hidden="1">"A33969"</definedName>
    <definedName name="FDD_134_0" hidden="1">"A30681"</definedName>
    <definedName name="FDD_134_1" hidden="1">"A31047"</definedName>
    <definedName name="FDD_134_10" hidden="1">"A34334"</definedName>
    <definedName name="FDD_134_11" hidden="1">"A34699"</definedName>
    <definedName name="FDD_134_12" hidden="1">"A35064"</definedName>
    <definedName name="FDD_134_13" hidden="1">"A35430"</definedName>
    <definedName name="FDD_134_14" hidden="1">"A35795"</definedName>
    <definedName name="FDD_134_2" hidden="1">"A31412"</definedName>
    <definedName name="FDD_134_3" hidden="1">"A31777"</definedName>
    <definedName name="FDD_134_4" hidden="1">"A32142"</definedName>
    <definedName name="FDD_134_5" hidden="1">"A32508"</definedName>
    <definedName name="FDD_134_6" hidden="1">"A32873"</definedName>
    <definedName name="FDD_134_7" hidden="1">"A33238"</definedName>
    <definedName name="FDD_134_8" hidden="1">"A33603"</definedName>
    <definedName name="FDD_134_9" hidden="1">"A33969"</definedName>
    <definedName name="FDD_135_0" hidden="1">"A30681"</definedName>
    <definedName name="FDD_135_1" hidden="1">"A31047"</definedName>
    <definedName name="FDD_135_10" hidden="1">"A34334"</definedName>
    <definedName name="FDD_135_11" hidden="1">"A34699"</definedName>
    <definedName name="FDD_135_12" hidden="1">"A35064"</definedName>
    <definedName name="FDD_135_13" hidden="1">"A35430"</definedName>
    <definedName name="FDD_135_14" hidden="1">"A35795"</definedName>
    <definedName name="FDD_135_2" hidden="1">"A31412"</definedName>
    <definedName name="FDD_135_3" hidden="1">"A31777"</definedName>
    <definedName name="FDD_135_4" hidden="1">"A32142"</definedName>
    <definedName name="FDD_135_5" hidden="1">"A32508"</definedName>
    <definedName name="FDD_135_6" hidden="1">"A32873"</definedName>
    <definedName name="FDD_135_7" hidden="1">"A33238"</definedName>
    <definedName name="FDD_135_8" hidden="1">"A33603"</definedName>
    <definedName name="FDD_135_9" hidden="1">"A33969"</definedName>
    <definedName name="FDD_136_0" hidden="1">"A30681"</definedName>
    <definedName name="FDD_136_1" hidden="1">"A31047"</definedName>
    <definedName name="FDD_136_10" hidden="1">"A34334"</definedName>
    <definedName name="FDD_136_11" hidden="1">"A34699"</definedName>
    <definedName name="FDD_136_12" hidden="1">"A35064"</definedName>
    <definedName name="FDD_136_13" hidden="1">"A35430"</definedName>
    <definedName name="FDD_136_14" hidden="1">"A35795"</definedName>
    <definedName name="FDD_136_2" hidden="1">"A31412"</definedName>
    <definedName name="FDD_136_3" hidden="1">"A31777"</definedName>
    <definedName name="FDD_136_4" hidden="1">"A32142"</definedName>
    <definedName name="FDD_136_5" hidden="1">"A32508"</definedName>
    <definedName name="FDD_136_6" hidden="1">"A32873"</definedName>
    <definedName name="FDD_136_7" hidden="1">"A33238"</definedName>
    <definedName name="FDD_136_8" hidden="1">"A33603"</definedName>
    <definedName name="FDD_136_9" hidden="1">"A33969"</definedName>
    <definedName name="FDD_137_0" hidden="1">"A30681"</definedName>
    <definedName name="FDD_137_1" hidden="1">"A31047"</definedName>
    <definedName name="FDD_137_10" hidden="1">"A34334"</definedName>
    <definedName name="FDD_137_11" hidden="1">"A34699"</definedName>
    <definedName name="FDD_137_12" hidden="1">"A35064"</definedName>
    <definedName name="FDD_137_13" hidden="1">"A35430"</definedName>
    <definedName name="FDD_137_14" hidden="1">"A35795"</definedName>
    <definedName name="FDD_137_2" hidden="1">"A31412"</definedName>
    <definedName name="FDD_137_3" hidden="1">"A31777"</definedName>
    <definedName name="FDD_137_4" hidden="1">"A32142"</definedName>
    <definedName name="FDD_137_5" hidden="1">"A32508"</definedName>
    <definedName name="FDD_137_6" hidden="1">"A32873"</definedName>
    <definedName name="FDD_137_7" hidden="1">"A33238"</definedName>
    <definedName name="FDD_137_8" hidden="1">"A33603"</definedName>
    <definedName name="FDD_137_9" hidden="1">"A33969"</definedName>
    <definedName name="FDD_138_0" hidden="1">"A30681"</definedName>
    <definedName name="FDD_138_1" hidden="1">"A31047"</definedName>
    <definedName name="FDD_138_10" hidden="1">"A34334"</definedName>
    <definedName name="FDD_138_11" hidden="1">"A34699"</definedName>
    <definedName name="FDD_138_12" hidden="1">"A35064"</definedName>
    <definedName name="FDD_138_13" hidden="1">"A35430"</definedName>
    <definedName name="FDD_138_14" hidden="1">"A35795"</definedName>
    <definedName name="FDD_138_2" hidden="1">"A31412"</definedName>
    <definedName name="FDD_138_3" hidden="1">"A31777"</definedName>
    <definedName name="FDD_138_4" hidden="1">"A32142"</definedName>
    <definedName name="FDD_138_5" hidden="1">"A32508"</definedName>
    <definedName name="FDD_138_6" hidden="1">"A32873"</definedName>
    <definedName name="FDD_138_7" hidden="1">"A33238"</definedName>
    <definedName name="FDD_138_8" hidden="1">"A33603"</definedName>
    <definedName name="FDD_138_9" hidden="1">"A33969"</definedName>
    <definedName name="FDD_139_0" hidden="1">"A30681"</definedName>
    <definedName name="FDD_139_1" hidden="1">"A31047"</definedName>
    <definedName name="FDD_139_10" hidden="1">"U34334"</definedName>
    <definedName name="FDD_139_11" hidden="1">"U34699"</definedName>
    <definedName name="FDD_139_12" hidden="1">"U35064"</definedName>
    <definedName name="FDD_139_13" hidden="1">"U35430"</definedName>
    <definedName name="FDD_139_14" hidden="1">"U35795"</definedName>
    <definedName name="FDD_139_2" hidden="1">"A31412"</definedName>
    <definedName name="FDD_139_3" hidden="1">"U31777"</definedName>
    <definedName name="FDD_139_4" hidden="1">"U32142"</definedName>
    <definedName name="FDD_139_5" hidden="1">"U32508"</definedName>
    <definedName name="FDD_139_6" hidden="1">"U32873"</definedName>
    <definedName name="FDD_139_7" hidden="1">"U33238"</definedName>
    <definedName name="FDD_139_8" hidden="1">"U33603"</definedName>
    <definedName name="FDD_139_9" hidden="1">"U33969"</definedName>
    <definedName name="FDD_14_0" hidden="1">"A25569"</definedName>
    <definedName name="FDD_140_0" hidden="1">"A25569"</definedName>
    <definedName name="FDD_141_0" hidden="1">"A30681"</definedName>
    <definedName name="FDD_141_1" hidden="1">"A31047"</definedName>
    <definedName name="FDD_141_10" hidden="1">"A34334"</definedName>
    <definedName name="FDD_141_11" hidden="1">"A34699"</definedName>
    <definedName name="FDD_141_12" hidden="1">"A35064"</definedName>
    <definedName name="FDD_141_13" hidden="1">"A35430"</definedName>
    <definedName name="FDD_141_14" hidden="1">"A35795"</definedName>
    <definedName name="FDD_141_2" hidden="1">"A31412"</definedName>
    <definedName name="FDD_141_3" hidden="1">"A31777"</definedName>
    <definedName name="FDD_141_4" hidden="1">"A32142"</definedName>
    <definedName name="FDD_141_5" hidden="1">"A32508"</definedName>
    <definedName name="FDD_141_6" hidden="1">"A32873"</definedName>
    <definedName name="FDD_141_7" hidden="1">"A33238"</definedName>
    <definedName name="FDD_141_8" hidden="1">"A33603"</definedName>
    <definedName name="FDD_141_9" hidden="1">"A33969"</definedName>
    <definedName name="FDD_142_0" hidden="1">"A30681"</definedName>
    <definedName name="FDD_142_1" hidden="1">"A31047"</definedName>
    <definedName name="FDD_142_10" hidden="1">"A34334"</definedName>
    <definedName name="FDD_142_11" hidden="1">"A34699"</definedName>
    <definedName name="FDD_142_12" hidden="1">"A35064"</definedName>
    <definedName name="FDD_142_13" hidden="1">"A35430"</definedName>
    <definedName name="FDD_142_14" hidden="1">"A35795"</definedName>
    <definedName name="FDD_142_2" hidden="1">"A31412"</definedName>
    <definedName name="FDD_142_3" hidden="1">"A31777"</definedName>
    <definedName name="FDD_142_4" hidden="1">"A32142"</definedName>
    <definedName name="FDD_142_5" hidden="1">"A32508"</definedName>
    <definedName name="FDD_142_6" hidden="1">"A32873"</definedName>
    <definedName name="FDD_142_7" hidden="1">"A33238"</definedName>
    <definedName name="FDD_142_8" hidden="1">"A33603"</definedName>
    <definedName name="FDD_142_9" hidden="1">"A33969"</definedName>
    <definedName name="FDD_143_0" hidden="1">"A30681"</definedName>
    <definedName name="FDD_143_1" hidden="1">"A31047"</definedName>
    <definedName name="FDD_143_10" hidden="1">"A34334"</definedName>
    <definedName name="FDD_143_11" hidden="1">"A34699"</definedName>
    <definedName name="FDD_143_12" hidden="1">"A35064"</definedName>
    <definedName name="FDD_143_13" hidden="1">"A35430"</definedName>
    <definedName name="FDD_143_14" hidden="1">"A35795"</definedName>
    <definedName name="FDD_143_2" hidden="1">"A31412"</definedName>
    <definedName name="FDD_143_3" hidden="1">"A31777"</definedName>
    <definedName name="FDD_143_4" hidden="1">"A32142"</definedName>
    <definedName name="FDD_143_5" hidden="1">"A32508"</definedName>
    <definedName name="FDD_143_6" hidden="1">"A32873"</definedName>
    <definedName name="FDD_143_7" hidden="1">"A33238"</definedName>
    <definedName name="FDD_143_8" hidden="1">"A33603"</definedName>
    <definedName name="FDD_143_9" hidden="1">"A33969"</definedName>
    <definedName name="FDD_144_0" hidden="1">"A30681"</definedName>
    <definedName name="FDD_144_1" hidden="1">"A31047"</definedName>
    <definedName name="FDD_144_10" hidden="1">"A34334"</definedName>
    <definedName name="FDD_144_11" hidden="1">"A34699"</definedName>
    <definedName name="FDD_144_12" hidden="1">"A35064"</definedName>
    <definedName name="FDD_144_13" hidden="1">"A35430"</definedName>
    <definedName name="FDD_144_14" hidden="1">"A35795"</definedName>
    <definedName name="FDD_144_2" hidden="1">"A31412"</definedName>
    <definedName name="FDD_144_3" hidden="1">"A31777"</definedName>
    <definedName name="FDD_144_4" hidden="1">"A32142"</definedName>
    <definedName name="FDD_144_5" hidden="1">"A32508"</definedName>
    <definedName name="FDD_144_6" hidden="1">"A32873"</definedName>
    <definedName name="FDD_144_7" hidden="1">"A33238"</definedName>
    <definedName name="FDD_144_8" hidden="1">"A33603"</definedName>
    <definedName name="FDD_144_9" hidden="1">"A33969"</definedName>
    <definedName name="FDD_145_0" hidden="1">"A30681"</definedName>
    <definedName name="FDD_145_1" hidden="1">"A31047"</definedName>
    <definedName name="FDD_145_10" hidden="1">"A34334"</definedName>
    <definedName name="FDD_145_11" hidden="1">"A34699"</definedName>
    <definedName name="FDD_145_12" hidden="1">"A35064"</definedName>
    <definedName name="FDD_145_13" hidden="1">"A35430"</definedName>
    <definedName name="FDD_145_14" hidden="1">"A35795"</definedName>
    <definedName name="FDD_145_2" hidden="1">"A31412"</definedName>
    <definedName name="FDD_145_3" hidden="1">"A31777"</definedName>
    <definedName name="FDD_145_4" hidden="1">"A32142"</definedName>
    <definedName name="FDD_145_5" hidden="1">"A32508"</definedName>
    <definedName name="FDD_145_6" hidden="1">"A32873"</definedName>
    <definedName name="FDD_145_7" hidden="1">"A33238"</definedName>
    <definedName name="FDD_145_8" hidden="1">"A33603"</definedName>
    <definedName name="FDD_145_9" hidden="1">"A33969"</definedName>
    <definedName name="FDD_146_0" hidden="1">"A30681"</definedName>
    <definedName name="FDD_146_1" hidden="1">"A31047"</definedName>
    <definedName name="FDD_146_10" hidden="1">"A34334"</definedName>
    <definedName name="FDD_146_11" hidden="1">"A34699"</definedName>
    <definedName name="FDD_146_12" hidden="1">"A35064"</definedName>
    <definedName name="FDD_146_13" hidden="1">"A35430"</definedName>
    <definedName name="FDD_146_14" hidden="1">"A35795"</definedName>
    <definedName name="FDD_146_2" hidden="1">"A31412"</definedName>
    <definedName name="FDD_146_3" hidden="1">"A31777"</definedName>
    <definedName name="FDD_146_4" hidden="1">"A32142"</definedName>
    <definedName name="FDD_146_5" hidden="1">"A32508"</definedName>
    <definedName name="FDD_146_6" hidden="1">"A32873"</definedName>
    <definedName name="FDD_146_7" hidden="1">"A33238"</definedName>
    <definedName name="FDD_146_8" hidden="1">"A33603"</definedName>
    <definedName name="FDD_146_9" hidden="1">"A33969"</definedName>
    <definedName name="FDD_147_0" hidden="1">"U30681"</definedName>
    <definedName name="FDD_147_1" hidden="1">"U31047"</definedName>
    <definedName name="FDD_147_10" hidden="1">"U34334"</definedName>
    <definedName name="FDD_147_11" hidden="1">"U34699"</definedName>
    <definedName name="FDD_147_12" hidden="1">"U35064"</definedName>
    <definedName name="FDD_147_13" hidden="1">"U35430"</definedName>
    <definedName name="FDD_147_14" hidden="1">"U35795"</definedName>
    <definedName name="FDD_147_2" hidden="1">"U31412"</definedName>
    <definedName name="FDD_147_3" hidden="1">"U31777"</definedName>
    <definedName name="FDD_147_4" hidden="1">"U32142"</definedName>
    <definedName name="FDD_147_5" hidden="1">"U32508"</definedName>
    <definedName name="FDD_147_6" hidden="1">"U32873"</definedName>
    <definedName name="FDD_147_7" hidden="1">"U33238"</definedName>
    <definedName name="FDD_147_8" hidden="1">"U33603"</definedName>
    <definedName name="FDD_147_9" hidden="1">"U33969"</definedName>
    <definedName name="FDD_148_0" hidden="1">"A30681"</definedName>
    <definedName name="FDD_148_1" hidden="1">"A31047"</definedName>
    <definedName name="FDD_148_10" hidden="1">"A34334"</definedName>
    <definedName name="FDD_148_11" hidden="1">"A34699"</definedName>
    <definedName name="FDD_148_12" hidden="1">"A35064"</definedName>
    <definedName name="FDD_148_13" hidden="1">"A35430"</definedName>
    <definedName name="FDD_148_14" hidden="1">"A35795"</definedName>
    <definedName name="FDD_148_2" hidden="1">"A31412"</definedName>
    <definedName name="FDD_148_3" hidden="1">"A31777"</definedName>
    <definedName name="FDD_148_4" hidden="1">"A32142"</definedName>
    <definedName name="FDD_148_5" hidden="1">"A32508"</definedName>
    <definedName name="FDD_148_6" hidden="1">"A32873"</definedName>
    <definedName name="FDD_148_7" hidden="1">"A33238"</definedName>
    <definedName name="FDD_148_8" hidden="1">"A33603"</definedName>
    <definedName name="FDD_148_9" hidden="1">"A33969"</definedName>
    <definedName name="FDD_149_0" hidden="1">"U30681"</definedName>
    <definedName name="FDD_149_1" hidden="1">"U31047"</definedName>
    <definedName name="FDD_149_10" hidden="1">"U34334"</definedName>
    <definedName name="FDD_149_11" hidden="1">"U34699"</definedName>
    <definedName name="FDD_149_12" hidden="1">"U35064"</definedName>
    <definedName name="FDD_149_13" hidden="1">"U35430"</definedName>
    <definedName name="FDD_149_14" hidden="1">"A35795"</definedName>
    <definedName name="FDD_149_2" hidden="1">"U31412"</definedName>
    <definedName name="FDD_149_3" hidden="1">"U31777"</definedName>
    <definedName name="FDD_149_4" hidden="1">"U32142"</definedName>
    <definedName name="FDD_149_5" hidden="1">"U32508"</definedName>
    <definedName name="FDD_149_6" hidden="1">"U32873"</definedName>
    <definedName name="FDD_149_7" hidden="1">"U33238"</definedName>
    <definedName name="FDD_149_8" hidden="1">"U33603"</definedName>
    <definedName name="FDD_149_9" hidden="1">"U33969"</definedName>
    <definedName name="FDD_15_0" hidden="1">"A25569"</definedName>
    <definedName name="FDD_151_0" hidden="1">"A30681"</definedName>
    <definedName name="FDD_151_1" hidden="1">"A31047"</definedName>
    <definedName name="FDD_151_10" hidden="1">"A34334"</definedName>
    <definedName name="FDD_151_11" hidden="1">"A34699"</definedName>
    <definedName name="FDD_151_12" hidden="1">"A35064"</definedName>
    <definedName name="FDD_151_13" hidden="1">"A35430"</definedName>
    <definedName name="FDD_151_14" hidden="1">"A35795"</definedName>
    <definedName name="FDD_151_2" hidden="1">"A31412"</definedName>
    <definedName name="FDD_151_3" hidden="1">"A31777"</definedName>
    <definedName name="FDD_151_4" hidden="1">"A32142"</definedName>
    <definedName name="FDD_151_5" hidden="1">"A32508"</definedName>
    <definedName name="FDD_151_6" hidden="1">"A32873"</definedName>
    <definedName name="FDD_151_7" hidden="1">"A33238"</definedName>
    <definedName name="FDD_151_8" hidden="1">"A33603"</definedName>
    <definedName name="FDD_151_9" hidden="1">"A33969"</definedName>
    <definedName name="FDD_152_0" hidden="1">"A30681"</definedName>
    <definedName name="FDD_152_1" hidden="1">"A31047"</definedName>
    <definedName name="FDD_152_10" hidden="1">"A34334"</definedName>
    <definedName name="FDD_152_11" hidden="1">"A34699"</definedName>
    <definedName name="FDD_152_12" hidden="1">"A35064"</definedName>
    <definedName name="FDD_152_13" hidden="1">"A35430"</definedName>
    <definedName name="FDD_152_14" hidden="1">"A35795"</definedName>
    <definedName name="FDD_152_15" hidden="1">"E36160"</definedName>
    <definedName name="FDD_152_2" hidden="1">"A31412"</definedName>
    <definedName name="FDD_152_3" hidden="1">"A31777"</definedName>
    <definedName name="FDD_152_4" hidden="1">"A32142"</definedName>
    <definedName name="FDD_152_5" hidden="1">"A32508"</definedName>
    <definedName name="FDD_152_6" hidden="1">"A32873"</definedName>
    <definedName name="FDD_152_7" hidden="1">"A33238"</definedName>
    <definedName name="FDD_152_8" hidden="1">"A33603"</definedName>
    <definedName name="FDD_152_9" hidden="1">"A33969"</definedName>
    <definedName name="FDD_153_0" hidden="1">"A30681"</definedName>
    <definedName name="FDD_153_1" hidden="1">"A31047"</definedName>
    <definedName name="FDD_153_10" hidden="1">"A34334"</definedName>
    <definedName name="FDD_153_11" hidden="1">"A34699"</definedName>
    <definedName name="FDD_153_12" hidden="1">"A35064"</definedName>
    <definedName name="FDD_153_13" hidden="1">"A35430"</definedName>
    <definedName name="FDD_153_14" hidden="1">"A35795"</definedName>
    <definedName name="FDD_153_2" hidden="1">"A31412"</definedName>
    <definedName name="FDD_153_3" hidden="1">"A31777"</definedName>
    <definedName name="FDD_153_4" hidden="1">"A32142"</definedName>
    <definedName name="FDD_153_5" hidden="1">"A32508"</definedName>
    <definedName name="FDD_153_6" hidden="1">"A32873"</definedName>
    <definedName name="FDD_153_7" hidden="1">"A33238"</definedName>
    <definedName name="FDD_153_8" hidden="1">"A33603"</definedName>
    <definedName name="FDD_153_9" hidden="1">"A33969"</definedName>
    <definedName name="FDD_154_0" hidden="1">"A30681"</definedName>
    <definedName name="FDD_154_1" hidden="1">"A31047"</definedName>
    <definedName name="FDD_154_10" hidden="1">"A34334"</definedName>
    <definedName name="FDD_154_11" hidden="1">"A34699"</definedName>
    <definedName name="FDD_154_12" hidden="1">"A35064"</definedName>
    <definedName name="FDD_154_13" hidden="1">"A35430"</definedName>
    <definedName name="FDD_154_14" hidden="1">"A35795"</definedName>
    <definedName name="FDD_154_2" hidden="1">"A31412"</definedName>
    <definedName name="FDD_154_3" hidden="1">"A31777"</definedName>
    <definedName name="FDD_154_4" hidden="1">"A32142"</definedName>
    <definedName name="FDD_154_5" hidden="1">"A32508"</definedName>
    <definedName name="FDD_154_6" hidden="1">"A32873"</definedName>
    <definedName name="FDD_154_7" hidden="1">"A33238"</definedName>
    <definedName name="FDD_154_8" hidden="1">"A33603"</definedName>
    <definedName name="FDD_154_9" hidden="1">"A33969"</definedName>
    <definedName name="FDD_155_0" hidden="1">"A25569"</definedName>
    <definedName name="FDD_156_0" hidden="1">"A30681"</definedName>
    <definedName name="FDD_156_1" hidden="1">"A31047"</definedName>
    <definedName name="FDD_156_10" hidden="1">"A34334"</definedName>
    <definedName name="FDD_156_11" hidden="1">"A34699"</definedName>
    <definedName name="FDD_156_12" hidden="1">"A35064"</definedName>
    <definedName name="FDD_156_13" hidden="1">"A35430"</definedName>
    <definedName name="FDD_156_14" hidden="1">"A35795"</definedName>
    <definedName name="FDD_156_15" hidden="1">"E36160"</definedName>
    <definedName name="FDD_156_2" hidden="1">"A31412"</definedName>
    <definedName name="FDD_156_3" hidden="1">"A31777"</definedName>
    <definedName name="FDD_156_4" hidden="1">"A32142"</definedName>
    <definedName name="FDD_156_5" hidden="1">"A32508"</definedName>
    <definedName name="FDD_156_6" hidden="1">"A32873"</definedName>
    <definedName name="FDD_156_7" hidden="1">"A33238"</definedName>
    <definedName name="FDD_156_8" hidden="1">"A33603"</definedName>
    <definedName name="FDD_156_9" hidden="1">"A33969"</definedName>
    <definedName name="FDD_157_0" hidden="1">"A30681"</definedName>
    <definedName name="FDD_157_1" hidden="1">"A31047"</definedName>
    <definedName name="FDD_157_10" hidden="1">"A34334"</definedName>
    <definedName name="FDD_157_11" hidden="1">"A34699"</definedName>
    <definedName name="FDD_157_12" hidden="1">"A35064"</definedName>
    <definedName name="FDD_157_13" hidden="1">"A35430"</definedName>
    <definedName name="FDD_157_14" hidden="1">"A35795"</definedName>
    <definedName name="FDD_157_2" hidden="1">"A31412"</definedName>
    <definedName name="FDD_157_3" hidden="1">"A31777"</definedName>
    <definedName name="FDD_157_4" hidden="1">"A32142"</definedName>
    <definedName name="FDD_157_5" hidden="1">"A32508"</definedName>
    <definedName name="FDD_157_6" hidden="1">"A32873"</definedName>
    <definedName name="FDD_157_7" hidden="1">"A33238"</definedName>
    <definedName name="FDD_157_8" hidden="1">"A33603"</definedName>
    <definedName name="FDD_157_9" hidden="1">"A33969"</definedName>
    <definedName name="FDD_158_0" hidden="1">"A30681"</definedName>
    <definedName name="FDD_158_1" hidden="1">"A31047"</definedName>
    <definedName name="FDD_158_10" hidden="1">"A34334"</definedName>
    <definedName name="FDD_158_11" hidden="1">"A34699"</definedName>
    <definedName name="FDD_158_12" hidden="1">"A35064"</definedName>
    <definedName name="FDD_158_13" hidden="1">"A35430"</definedName>
    <definedName name="FDD_158_14" hidden="1">"A35795"</definedName>
    <definedName name="FDD_158_15" hidden="1">"E36160"</definedName>
    <definedName name="FDD_158_2" hidden="1">"A31412"</definedName>
    <definedName name="FDD_158_3" hidden="1">"A31777"</definedName>
    <definedName name="FDD_158_4" hidden="1">"A32142"</definedName>
    <definedName name="FDD_158_5" hidden="1">"A32508"</definedName>
    <definedName name="FDD_158_6" hidden="1">"A32873"</definedName>
    <definedName name="FDD_158_7" hidden="1">"A33238"</definedName>
    <definedName name="FDD_158_8" hidden="1">"A33603"</definedName>
    <definedName name="FDD_158_9" hidden="1">"A33969"</definedName>
    <definedName name="FDD_159_0" hidden="1">"A30681"</definedName>
    <definedName name="FDD_159_1" hidden="1">"A31047"</definedName>
    <definedName name="FDD_159_10" hidden="1">"A34334"</definedName>
    <definedName name="FDD_159_11" hidden="1">"A34699"</definedName>
    <definedName name="FDD_159_12" hidden="1">"A35064"</definedName>
    <definedName name="FDD_159_13" hidden="1">"A35430"</definedName>
    <definedName name="FDD_159_14" hidden="1">"A35795"</definedName>
    <definedName name="FDD_159_2" hidden="1">"A31412"</definedName>
    <definedName name="FDD_159_3" hidden="1">"A31777"</definedName>
    <definedName name="FDD_159_4" hidden="1">"A32142"</definedName>
    <definedName name="FDD_159_5" hidden="1">"A32508"</definedName>
    <definedName name="FDD_159_6" hidden="1">"A32873"</definedName>
    <definedName name="FDD_159_7" hidden="1">"A33238"</definedName>
    <definedName name="FDD_159_8" hidden="1">"A33603"</definedName>
    <definedName name="FDD_159_9" hidden="1">"A33969"</definedName>
    <definedName name="FDD_16_0" hidden="1">"A25569"</definedName>
    <definedName name="FDD_160_0" hidden="1">"A30681"</definedName>
    <definedName name="FDD_160_1" hidden="1">"A31047"</definedName>
    <definedName name="FDD_160_10" hidden="1">"A34334"</definedName>
    <definedName name="FDD_160_11" hidden="1">"A34699"</definedName>
    <definedName name="FDD_160_12" hidden="1">"A35064"</definedName>
    <definedName name="FDD_160_13" hidden="1">"A35430"</definedName>
    <definedName name="FDD_160_14" hidden="1">"A35795"</definedName>
    <definedName name="FDD_160_15" hidden="1">"E36160"</definedName>
    <definedName name="FDD_160_2" hidden="1">"A31412"</definedName>
    <definedName name="FDD_160_3" hidden="1">"A31777"</definedName>
    <definedName name="FDD_160_4" hidden="1">"A32142"</definedName>
    <definedName name="FDD_160_5" hidden="1">"A32508"</definedName>
    <definedName name="FDD_160_6" hidden="1">"A32873"</definedName>
    <definedName name="FDD_160_7" hidden="1">"A33238"</definedName>
    <definedName name="FDD_160_8" hidden="1">"A33603"</definedName>
    <definedName name="FDD_160_9" hidden="1">"A33969"</definedName>
    <definedName name="FDD_161_0" hidden="1">"A30681"</definedName>
    <definedName name="FDD_161_1" hidden="1">"A31047"</definedName>
    <definedName name="FDD_161_10" hidden="1">"A34334"</definedName>
    <definedName name="FDD_161_11" hidden="1">"A34699"</definedName>
    <definedName name="FDD_161_12" hidden="1">"A35064"</definedName>
    <definedName name="FDD_161_13" hidden="1">"A35430"</definedName>
    <definedName name="FDD_161_14" hidden="1">"A35795"</definedName>
    <definedName name="FDD_161_2" hidden="1">"A31412"</definedName>
    <definedName name="FDD_161_3" hidden="1">"A31777"</definedName>
    <definedName name="FDD_161_4" hidden="1">"A32142"</definedName>
    <definedName name="FDD_161_5" hidden="1">"A32508"</definedName>
    <definedName name="FDD_161_6" hidden="1">"A32873"</definedName>
    <definedName name="FDD_161_7" hidden="1">"A33238"</definedName>
    <definedName name="FDD_161_8" hidden="1">"A33603"</definedName>
    <definedName name="FDD_161_9" hidden="1">"A33969"</definedName>
    <definedName name="FDD_162_0" hidden="1">"A30681"</definedName>
    <definedName name="FDD_162_1" hidden="1">"A31047"</definedName>
    <definedName name="FDD_162_10" hidden="1">"A34334"</definedName>
    <definedName name="FDD_162_11" hidden="1">"A34699"</definedName>
    <definedName name="FDD_162_12" hidden="1">"A35064"</definedName>
    <definedName name="FDD_162_13" hidden="1">"A35430"</definedName>
    <definedName name="FDD_162_14" hidden="1">"A35795"</definedName>
    <definedName name="FDD_162_2" hidden="1">"A31412"</definedName>
    <definedName name="FDD_162_3" hidden="1">"A31777"</definedName>
    <definedName name="FDD_162_4" hidden="1">"A32142"</definedName>
    <definedName name="FDD_162_5" hidden="1">"A32508"</definedName>
    <definedName name="FDD_162_6" hidden="1">"A32873"</definedName>
    <definedName name="FDD_162_7" hidden="1">"A33238"</definedName>
    <definedName name="FDD_162_8" hidden="1">"A33603"</definedName>
    <definedName name="FDD_162_9" hidden="1">"A33969"</definedName>
    <definedName name="FDD_163_0" hidden="1">"A30681"</definedName>
    <definedName name="FDD_163_1" hidden="1">"A31047"</definedName>
    <definedName name="FDD_163_10" hidden="1">"A34334"</definedName>
    <definedName name="FDD_163_11" hidden="1">"A34699"</definedName>
    <definedName name="FDD_163_12" hidden="1">"A35064"</definedName>
    <definedName name="FDD_163_13" hidden="1">"A35430"</definedName>
    <definedName name="FDD_163_14" hidden="1">"A35795"</definedName>
    <definedName name="FDD_163_2" hidden="1">"A31412"</definedName>
    <definedName name="FDD_163_3" hidden="1">"A31777"</definedName>
    <definedName name="FDD_163_4" hidden="1">"A32142"</definedName>
    <definedName name="FDD_163_5" hidden="1">"A32508"</definedName>
    <definedName name="FDD_163_6" hidden="1">"A32873"</definedName>
    <definedName name="FDD_163_7" hidden="1">"A33238"</definedName>
    <definedName name="FDD_163_8" hidden="1">"A33603"</definedName>
    <definedName name="FDD_163_9" hidden="1">"A33969"</definedName>
    <definedName name="FDD_164_0" hidden="1">"A25569"</definedName>
    <definedName name="FDD_165_0" hidden="1">"A30681"</definedName>
    <definedName name="FDD_165_1" hidden="1">"A31047"</definedName>
    <definedName name="FDD_165_10" hidden="1">"A34334"</definedName>
    <definedName name="FDD_165_11" hidden="1">"A34699"</definedName>
    <definedName name="FDD_165_12" hidden="1">"A35064"</definedName>
    <definedName name="FDD_165_13" hidden="1">"A35430"</definedName>
    <definedName name="FDD_165_14" hidden="1">"A35795"</definedName>
    <definedName name="FDD_165_2" hidden="1">"A31412"</definedName>
    <definedName name="FDD_165_3" hidden="1">"A31777"</definedName>
    <definedName name="FDD_165_4" hidden="1">"A32142"</definedName>
    <definedName name="FDD_165_5" hidden="1">"A32508"</definedName>
    <definedName name="FDD_165_6" hidden="1">"A32873"</definedName>
    <definedName name="FDD_165_7" hidden="1">"A33238"</definedName>
    <definedName name="FDD_165_8" hidden="1">"A33603"</definedName>
    <definedName name="FDD_165_9" hidden="1">"A33969"</definedName>
    <definedName name="FDD_166_0" hidden="1">"A30681"</definedName>
    <definedName name="FDD_166_1" hidden="1">"A31047"</definedName>
    <definedName name="FDD_166_10" hidden="1">"A34334"</definedName>
    <definedName name="FDD_166_11" hidden="1">"A34699"</definedName>
    <definedName name="FDD_166_12" hidden="1">"A35064"</definedName>
    <definedName name="FDD_166_13" hidden="1">"A35430"</definedName>
    <definedName name="FDD_166_14" hidden="1">"A35795"</definedName>
    <definedName name="FDD_166_2" hidden="1">"A31412"</definedName>
    <definedName name="FDD_166_3" hidden="1">"A31777"</definedName>
    <definedName name="FDD_166_4" hidden="1">"A32142"</definedName>
    <definedName name="FDD_166_5" hidden="1">"A32508"</definedName>
    <definedName name="FDD_166_6" hidden="1">"A32873"</definedName>
    <definedName name="FDD_166_7" hidden="1">"A33238"</definedName>
    <definedName name="FDD_166_8" hidden="1">"A33603"</definedName>
    <definedName name="FDD_166_9" hidden="1">"A33969"</definedName>
    <definedName name="FDD_167_0" hidden="1">"A30681"</definedName>
    <definedName name="FDD_167_1" hidden="1">"A31047"</definedName>
    <definedName name="FDD_167_10" hidden="1">"A34334"</definedName>
    <definedName name="FDD_167_11" hidden="1">"A34699"</definedName>
    <definedName name="FDD_167_12" hidden="1">"A35064"</definedName>
    <definedName name="FDD_167_13" hidden="1">"A35430"</definedName>
    <definedName name="FDD_167_14" hidden="1">"A35795"</definedName>
    <definedName name="FDD_167_2" hidden="1">"A31412"</definedName>
    <definedName name="FDD_167_3" hidden="1">"A31777"</definedName>
    <definedName name="FDD_167_4" hidden="1">"A32142"</definedName>
    <definedName name="FDD_167_5" hidden="1">"A32508"</definedName>
    <definedName name="FDD_167_6" hidden="1">"A32873"</definedName>
    <definedName name="FDD_167_7" hidden="1">"A33238"</definedName>
    <definedName name="FDD_167_8" hidden="1">"A33603"</definedName>
    <definedName name="FDD_167_9" hidden="1">"A33969"</definedName>
    <definedName name="FDD_168_0" hidden="1">"E36160"</definedName>
    <definedName name="FDD_168_1" hidden="1">"E36525"</definedName>
    <definedName name="FDD_168_2" hidden="1">"E36891"</definedName>
    <definedName name="FDD_169_0" hidden="1">"A30681"</definedName>
    <definedName name="FDD_169_1" hidden="1">"A31047"</definedName>
    <definedName name="FDD_169_10" hidden="1">"A34334"</definedName>
    <definedName name="FDD_169_11" hidden="1">"A34699"</definedName>
    <definedName name="FDD_169_12" hidden="1">"A35064"</definedName>
    <definedName name="FDD_169_13" hidden="1">"A35430"</definedName>
    <definedName name="FDD_169_14" hidden="1">"A35795"</definedName>
    <definedName name="FDD_169_2" hidden="1">"A31412"</definedName>
    <definedName name="FDD_169_3" hidden="1">"A31777"</definedName>
    <definedName name="FDD_169_4" hidden="1">"A32142"</definedName>
    <definedName name="FDD_169_5" hidden="1">"A32508"</definedName>
    <definedName name="FDD_169_6" hidden="1">"A32873"</definedName>
    <definedName name="FDD_169_7" hidden="1">"A33238"</definedName>
    <definedName name="FDD_169_8" hidden="1">"A33603"</definedName>
    <definedName name="FDD_169_9" hidden="1">"A33969"</definedName>
    <definedName name="FDD_17_0" hidden="1">"A25569"</definedName>
    <definedName name="FDD_170_0" hidden="1">"A30681"</definedName>
    <definedName name="FDD_170_1" hidden="1">"A31047"</definedName>
    <definedName name="FDD_170_10" hidden="1">"A34334"</definedName>
    <definedName name="FDD_170_11" hidden="1">"A34699"</definedName>
    <definedName name="FDD_170_12" hidden="1">"A35064"</definedName>
    <definedName name="FDD_170_13" hidden="1">"A35430"</definedName>
    <definedName name="FDD_170_14" hidden="1">"A35795"</definedName>
    <definedName name="FDD_170_2" hidden="1">"A31412"</definedName>
    <definedName name="FDD_170_3" hidden="1">"A31777"</definedName>
    <definedName name="FDD_170_4" hidden="1">"A32142"</definedName>
    <definedName name="FDD_170_5" hidden="1">"A32508"</definedName>
    <definedName name="FDD_170_6" hidden="1">"A32873"</definedName>
    <definedName name="FDD_170_7" hidden="1">"A33238"</definedName>
    <definedName name="FDD_170_8" hidden="1">"A33603"</definedName>
    <definedName name="FDD_170_9" hidden="1">"A33969"</definedName>
    <definedName name="FDD_171_0" hidden="1">"A30681"</definedName>
    <definedName name="FDD_171_1" hidden="1">"A31047"</definedName>
    <definedName name="FDD_171_10" hidden="1">"A34334"</definedName>
    <definedName name="FDD_171_11" hidden="1">"A34699"</definedName>
    <definedName name="FDD_171_12" hidden="1">"A35064"</definedName>
    <definedName name="FDD_171_13" hidden="1">"A35430"</definedName>
    <definedName name="FDD_171_14" hidden="1">"A35795"</definedName>
    <definedName name="FDD_171_2" hidden="1">"A31412"</definedName>
    <definedName name="FDD_171_3" hidden="1">"A31777"</definedName>
    <definedName name="FDD_171_4" hidden="1">"A32142"</definedName>
    <definedName name="FDD_171_5" hidden="1">"A32508"</definedName>
    <definedName name="FDD_171_6" hidden="1">"A32873"</definedName>
    <definedName name="FDD_171_7" hidden="1">"A33238"</definedName>
    <definedName name="FDD_171_8" hidden="1">"A33603"</definedName>
    <definedName name="FDD_171_9" hidden="1">"A33969"</definedName>
    <definedName name="FDD_172_0" hidden="1">"A30681"</definedName>
    <definedName name="FDD_172_1" hidden="1">"A31047"</definedName>
    <definedName name="FDD_172_10" hidden="1">"A34334"</definedName>
    <definedName name="FDD_172_11" hidden="1">"A34699"</definedName>
    <definedName name="FDD_172_12" hidden="1">"A35064"</definedName>
    <definedName name="FDD_172_13" hidden="1">"A35430"</definedName>
    <definedName name="FDD_172_14" hidden="1">"A35795"</definedName>
    <definedName name="FDD_172_2" hidden="1">"A31412"</definedName>
    <definedName name="FDD_172_3" hidden="1">"A31777"</definedName>
    <definedName name="FDD_172_4" hidden="1">"A32142"</definedName>
    <definedName name="FDD_172_5" hidden="1">"A32508"</definedName>
    <definedName name="FDD_172_6" hidden="1">"A32873"</definedName>
    <definedName name="FDD_172_7" hidden="1">"A33238"</definedName>
    <definedName name="FDD_172_8" hidden="1">"A33603"</definedName>
    <definedName name="FDD_172_9" hidden="1">"A33969"</definedName>
    <definedName name="FDD_173_0" hidden="1">"A30681"</definedName>
    <definedName name="FDD_173_1" hidden="1">"A31047"</definedName>
    <definedName name="FDD_173_10" hidden="1">"A34334"</definedName>
    <definedName name="FDD_173_11" hidden="1">"A34699"</definedName>
    <definedName name="FDD_173_12" hidden="1">"A35064"</definedName>
    <definedName name="FDD_173_13" hidden="1">"A35430"</definedName>
    <definedName name="FDD_173_14" hidden="1">"A35795"</definedName>
    <definedName name="FDD_173_2" hidden="1">"A31412"</definedName>
    <definedName name="FDD_173_3" hidden="1">"A31777"</definedName>
    <definedName name="FDD_173_4" hidden="1">"A32142"</definedName>
    <definedName name="FDD_173_5" hidden="1">"A32508"</definedName>
    <definedName name="FDD_173_6" hidden="1">"A32873"</definedName>
    <definedName name="FDD_173_7" hidden="1">"A33238"</definedName>
    <definedName name="FDD_173_8" hidden="1">"A33603"</definedName>
    <definedName name="FDD_173_9" hidden="1">"A33969"</definedName>
    <definedName name="FDD_174_0" hidden="1">"A30681"</definedName>
    <definedName name="FDD_174_1" hidden="1">"A31047"</definedName>
    <definedName name="FDD_174_10" hidden="1">"A34334"</definedName>
    <definedName name="FDD_174_11" hidden="1">"A34699"</definedName>
    <definedName name="FDD_174_12" hidden="1">"A35064"</definedName>
    <definedName name="FDD_174_13" hidden="1">"A35430"</definedName>
    <definedName name="FDD_174_14" hidden="1">"A35795"</definedName>
    <definedName name="FDD_174_2" hidden="1">"A31412"</definedName>
    <definedName name="FDD_174_3" hidden="1">"A31777"</definedName>
    <definedName name="FDD_174_4" hidden="1">"A32142"</definedName>
    <definedName name="FDD_174_5" hidden="1">"A32508"</definedName>
    <definedName name="FDD_174_6" hidden="1">"A32873"</definedName>
    <definedName name="FDD_174_7" hidden="1">"A33238"</definedName>
    <definedName name="FDD_174_8" hidden="1">"A33603"</definedName>
    <definedName name="FDD_174_9" hidden="1">"A33969"</definedName>
    <definedName name="FDD_175_0" hidden="1">"E36160"</definedName>
    <definedName name="FDD_175_1" hidden="1">"E36525"</definedName>
    <definedName name="FDD_175_2" hidden="1">"E36891"</definedName>
    <definedName name="FDD_176_0" hidden="1">"E36160"</definedName>
    <definedName name="FDD_176_1" hidden="1">"E36525"</definedName>
    <definedName name="FDD_176_2" hidden="1">"E36891"</definedName>
    <definedName name="FDD_177_0" hidden="1">"E36160"</definedName>
    <definedName name="FDD_177_1" hidden="1">"E36525"</definedName>
    <definedName name="FDD_177_2" hidden="1">"E36891"</definedName>
    <definedName name="FDD_178_0" hidden="1">"E36160"</definedName>
    <definedName name="FDD_178_1" hidden="1">"E36525"</definedName>
    <definedName name="FDD_178_2" hidden="1">"E36891"</definedName>
    <definedName name="FDD_179_0" hidden="1">"E36160"</definedName>
    <definedName name="FDD_179_1" hidden="1">"E36525"</definedName>
    <definedName name="FDD_179_2" hidden="1">"E36891"</definedName>
    <definedName name="FDD_18_0" hidden="1">"A25569"</definedName>
    <definedName name="FDD_180_0" hidden="1">"E36160"</definedName>
    <definedName name="FDD_180_1" hidden="1">"E36525"</definedName>
    <definedName name="FDD_180_2" hidden="1">"E36891"</definedName>
    <definedName name="FDD_181_0" hidden="1">"E36160"</definedName>
    <definedName name="FDD_181_1" hidden="1">"E36525"</definedName>
    <definedName name="FDD_181_2" hidden="1">"E36891"</definedName>
    <definedName name="FDD_182_0" hidden="1">"E36160"</definedName>
    <definedName name="FDD_182_1" hidden="1">"E36525"</definedName>
    <definedName name="FDD_182_2" hidden="1">"E36891"</definedName>
    <definedName name="FDD_183_0" hidden="1">"E36160"</definedName>
    <definedName name="FDD_183_1" hidden="1">"E36525"</definedName>
    <definedName name="FDD_183_2" hidden="1">"E36891"</definedName>
    <definedName name="FDD_184_0" hidden="1">"E36160"</definedName>
    <definedName name="FDD_184_1" hidden="1">"E36525"</definedName>
    <definedName name="FDD_184_2" hidden="1">"E36891"</definedName>
    <definedName name="FDD_185_0" hidden="1">"E36160"</definedName>
    <definedName name="FDD_185_1" hidden="1">"E36525"</definedName>
    <definedName name="FDD_185_2" hidden="1">"E36891"</definedName>
    <definedName name="FDD_186_0" hidden="1">"E36160"</definedName>
    <definedName name="FDD_186_1" hidden="1">"E36525"</definedName>
    <definedName name="FDD_186_2" hidden="1">"E36891"</definedName>
    <definedName name="FDD_187_0" hidden="1">"E36160"</definedName>
    <definedName name="FDD_187_1" hidden="1">"E36525"</definedName>
    <definedName name="FDD_187_2" hidden="1">"E36891"</definedName>
    <definedName name="FDD_188_0" hidden="1">"A30681"</definedName>
    <definedName name="FDD_188_1" hidden="1">"A31047"</definedName>
    <definedName name="FDD_188_10" hidden="1">"A34334"</definedName>
    <definedName name="FDD_188_11" hidden="1">"A34699"</definedName>
    <definedName name="FDD_188_12" hidden="1">"A35064"</definedName>
    <definedName name="FDD_188_13" hidden="1">"A35430"</definedName>
    <definedName name="FDD_188_14" hidden="1">"A35795"</definedName>
    <definedName name="FDD_188_2" hidden="1">"A31412"</definedName>
    <definedName name="FDD_188_3" hidden="1">"A31777"</definedName>
    <definedName name="FDD_188_4" hidden="1">"A32142"</definedName>
    <definedName name="FDD_188_5" hidden="1">"A32508"</definedName>
    <definedName name="FDD_188_6" hidden="1">"A32873"</definedName>
    <definedName name="FDD_188_7" hidden="1">"A33238"</definedName>
    <definedName name="FDD_188_8" hidden="1">"A33603"</definedName>
    <definedName name="FDD_188_9" hidden="1">"A33969"</definedName>
    <definedName name="FDD_189_0" hidden="1">"A30681"</definedName>
    <definedName name="FDD_189_1" hidden="1">"A31047"</definedName>
    <definedName name="FDD_189_10" hidden="1">"A34334"</definedName>
    <definedName name="FDD_189_11" hidden="1">"A34699"</definedName>
    <definedName name="FDD_189_12" hidden="1">"A35064"</definedName>
    <definedName name="FDD_189_13" hidden="1">"A35430"</definedName>
    <definedName name="FDD_189_14" hidden="1">"A35795"</definedName>
    <definedName name="FDD_189_2" hidden="1">"A31412"</definedName>
    <definedName name="FDD_189_3" hidden="1">"A31777"</definedName>
    <definedName name="FDD_189_4" hidden="1">"A32142"</definedName>
    <definedName name="FDD_189_5" hidden="1">"A32508"</definedName>
    <definedName name="FDD_189_6" hidden="1">"A32873"</definedName>
    <definedName name="FDD_189_7" hidden="1">"A33238"</definedName>
    <definedName name="FDD_189_8" hidden="1">"A33603"</definedName>
    <definedName name="FDD_189_9" hidden="1">"A33969"</definedName>
    <definedName name="FDD_19_0" hidden="1">"A25569"</definedName>
    <definedName name="FDD_190_0" hidden="1">"A30681"</definedName>
    <definedName name="FDD_190_1" hidden="1">"A31047"</definedName>
    <definedName name="FDD_190_10" hidden="1">"A34334"</definedName>
    <definedName name="FDD_190_11" hidden="1">"A34699"</definedName>
    <definedName name="FDD_190_12" hidden="1">"A35064"</definedName>
    <definedName name="FDD_190_13" hidden="1">"A35430"</definedName>
    <definedName name="FDD_190_14" hidden="1">"A35795"</definedName>
    <definedName name="FDD_190_2" hidden="1">"A31412"</definedName>
    <definedName name="FDD_190_3" hidden="1">"A31777"</definedName>
    <definedName name="FDD_190_4" hidden="1">"A32142"</definedName>
    <definedName name="FDD_190_5" hidden="1">"A32508"</definedName>
    <definedName name="FDD_190_6" hidden="1">"A32873"</definedName>
    <definedName name="FDD_190_7" hidden="1">"A33238"</definedName>
    <definedName name="FDD_190_8" hidden="1">"A33603"</definedName>
    <definedName name="FDD_190_9" hidden="1">"A33969"</definedName>
    <definedName name="FDD_191_0" hidden="1">"A30681"</definedName>
    <definedName name="FDD_191_1" hidden="1">"A31047"</definedName>
    <definedName name="FDD_191_10" hidden="1">"A34334"</definedName>
    <definedName name="FDD_191_11" hidden="1">"A34699"</definedName>
    <definedName name="FDD_191_12" hidden="1">"A35064"</definedName>
    <definedName name="FDD_191_13" hidden="1">"A35430"</definedName>
    <definedName name="FDD_191_14" hidden="1">"A35795"</definedName>
    <definedName name="FDD_191_2" hidden="1">"A31412"</definedName>
    <definedName name="FDD_191_3" hidden="1">"A31777"</definedName>
    <definedName name="FDD_191_4" hidden="1">"A32142"</definedName>
    <definedName name="FDD_191_5" hidden="1">"A32508"</definedName>
    <definedName name="FDD_191_6" hidden="1">"A32873"</definedName>
    <definedName name="FDD_191_7" hidden="1">"A33238"</definedName>
    <definedName name="FDD_191_8" hidden="1">"A33603"</definedName>
    <definedName name="FDD_191_9" hidden="1">"A33969"</definedName>
    <definedName name="FDD_192_0" hidden="1">"E36160"</definedName>
    <definedName name="FDD_192_1" hidden="1">"E36525"</definedName>
    <definedName name="FDD_192_2" hidden="1">"E36891"</definedName>
    <definedName name="FDD_193_0" hidden="1">"A30681"</definedName>
    <definedName name="FDD_193_1" hidden="1">"A31047"</definedName>
    <definedName name="FDD_193_10" hidden="1">"A34334"</definedName>
    <definedName name="FDD_193_11" hidden="1">"A34699"</definedName>
    <definedName name="FDD_193_12" hidden="1">"A35064"</definedName>
    <definedName name="FDD_193_13" hidden="1">"A35430"</definedName>
    <definedName name="FDD_193_14" hidden="1">"A35795"</definedName>
    <definedName name="FDD_193_2" hidden="1">"A31412"</definedName>
    <definedName name="FDD_193_3" hidden="1">"A31777"</definedName>
    <definedName name="FDD_193_4" hidden="1">"A32142"</definedName>
    <definedName name="FDD_193_5" hidden="1">"A32508"</definedName>
    <definedName name="FDD_193_6" hidden="1">"A32873"</definedName>
    <definedName name="FDD_193_7" hidden="1">"A33238"</definedName>
    <definedName name="FDD_193_8" hidden="1">"A33603"</definedName>
    <definedName name="FDD_193_9" hidden="1">"A33969"</definedName>
    <definedName name="FDD_194_0" hidden="1">"A30681"</definedName>
    <definedName name="FDD_194_1" hidden="1">"A31047"</definedName>
    <definedName name="FDD_194_10" hidden="1">"A34334"</definedName>
    <definedName name="FDD_194_11" hidden="1">"A34699"</definedName>
    <definedName name="FDD_194_12" hidden="1">"A35064"</definedName>
    <definedName name="FDD_194_13" hidden="1">"A35430"</definedName>
    <definedName name="FDD_194_14" hidden="1">"A35795"</definedName>
    <definedName name="FDD_194_2" hidden="1">"A31412"</definedName>
    <definedName name="FDD_194_3" hidden="1">"A31777"</definedName>
    <definedName name="FDD_194_4" hidden="1">"A32142"</definedName>
    <definedName name="FDD_194_5" hidden="1">"A32508"</definedName>
    <definedName name="FDD_194_6" hidden="1">"A32873"</definedName>
    <definedName name="FDD_194_7" hidden="1">"A33238"</definedName>
    <definedName name="FDD_194_8" hidden="1">"A33603"</definedName>
    <definedName name="FDD_194_9" hidden="1">"A33969"</definedName>
    <definedName name="FDD_195_0" hidden="1">"A30681"</definedName>
    <definedName name="FDD_195_1" hidden="1">"A31047"</definedName>
    <definedName name="FDD_195_10" hidden="1">"A34334"</definedName>
    <definedName name="FDD_195_11" hidden="1">"A34699"</definedName>
    <definedName name="FDD_195_12" hidden="1">"A35064"</definedName>
    <definedName name="FDD_195_13" hidden="1">"A35430"</definedName>
    <definedName name="FDD_195_14" hidden="1">"A35795"</definedName>
    <definedName name="FDD_195_2" hidden="1">"A31412"</definedName>
    <definedName name="FDD_195_3" hidden="1">"A31777"</definedName>
    <definedName name="FDD_195_4" hidden="1">"A32142"</definedName>
    <definedName name="FDD_195_5" hidden="1">"A32508"</definedName>
    <definedName name="FDD_195_6" hidden="1">"A32873"</definedName>
    <definedName name="FDD_195_7" hidden="1">"A33238"</definedName>
    <definedName name="FDD_195_8" hidden="1">"A33603"</definedName>
    <definedName name="FDD_195_9" hidden="1">"A33969"</definedName>
    <definedName name="FDD_196_0" hidden="1">"E36160"</definedName>
    <definedName name="FDD_196_1" hidden="1">"E36525"</definedName>
    <definedName name="FDD_196_2" hidden="1">"E36891"</definedName>
    <definedName name="FDD_197_0" hidden="1">"A30681"</definedName>
    <definedName name="FDD_197_1" hidden="1">"A31047"</definedName>
    <definedName name="FDD_197_10" hidden="1">"A34334"</definedName>
    <definedName name="FDD_197_11" hidden="1">"A34699"</definedName>
    <definedName name="FDD_197_12" hidden="1">"A35064"</definedName>
    <definedName name="FDD_197_13" hidden="1">"A35430"</definedName>
    <definedName name="FDD_197_14" hidden="1">"A35795"</definedName>
    <definedName name="FDD_197_2" hidden="1">"A31412"</definedName>
    <definedName name="FDD_197_3" hidden="1">"A31777"</definedName>
    <definedName name="FDD_197_4" hidden="1">"A32142"</definedName>
    <definedName name="FDD_197_5" hidden="1">"A32508"</definedName>
    <definedName name="FDD_197_6" hidden="1">"A32873"</definedName>
    <definedName name="FDD_197_7" hidden="1">"A33238"</definedName>
    <definedName name="FDD_197_8" hidden="1">"A33603"</definedName>
    <definedName name="FDD_197_9" hidden="1">"A33969"</definedName>
    <definedName name="FDD_198_0" hidden="1">"A30681"</definedName>
    <definedName name="FDD_198_1" hidden="1">"A31047"</definedName>
    <definedName name="FDD_198_10" hidden="1">"U34334"</definedName>
    <definedName name="FDD_198_11" hidden="1">"U34699"</definedName>
    <definedName name="FDD_198_12" hidden="1">"U35064"</definedName>
    <definedName name="FDD_198_13" hidden="1">"U35430"</definedName>
    <definedName name="FDD_198_14" hidden="1">"U35795"</definedName>
    <definedName name="FDD_198_2" hidden="1">"A31412"</definedName>
    <definedName name="FDD_198_3" hidden="1">"U31777"</definedName>
    <definedName name="FDD_198_4" hidden="1">"U32142"</definedName>
    <definedName name="FDD_198_5" hidden="1">"U32508"</definedName>
    <definedName name="FDD_198_6" hidden="1">"U32873"</definedName>
    <definedName name="FDD_198_7" hidden="1">"U33238"</definedName>
    <definedName name="FDD_198_8" hidden="1">"U33603"</definedName>
    <definedName name="FDD_198_9" hidden="1">"U33969"</definedName>
    <definedName name="FDD_199_0" hidden="1">"E36160"</definedName>
    <definedName name="FDD_199_1" hidden="1">"E36525"</definedName>
    <definedName name="FDD_199_2" hidden="1">"E36891"</definedName>
    <definedName name="FDD_2_0" hidden="1">"A25569"</definedName>
    <definedName name="FDD_20_0" hidden="1">"A25569"</definedName>
    <definedName name="FDD_200_0" hidden="1">"E36160"</definedName>
    <definedName name="FDD_200_1" hidden="1">"E36525"</definedName>
    <definedName name="FDD_200_2" hidden="1">"E36891"</definedName>
    <definedName name="FDD_201_0" hidden="1">"A30681"</definedName>
    <definedName name="FDD_201_1" hidden="1">"A31047"</definedName>
    <definedName name="FDD_201_10" hidden="1">"A34334"</definedName>
    <definedName name="FDD_201_11" hidden="1">"A34699"</definedName>
    <definedName name="FDD_201_12" hidden="1">"A35064"</definedName>
    <definedName name="FDD_201_13" hidden="1">"A35430"</definedName>
    <definedName name="FDD_201_14" hidden="1">"A35795"</definedName>
    <definedName name="FDD_201_2" hidden="1">"A31412"</definedName>
    <definedName name="FDD_201_3" hidden="1">"A31777"</definedName>
    <definedName name="FDD_201_4" hidden="1">"A32142"</definedName>
    <definedName name="FDD_201_5" hidden="1">"A32508"</definedName>
    <definedName name="FDD_201_6" hidden="1">"A32873"</definedName>
    <definedName name="FDD_201_7" hidden="1">"A33238"</definedName>
    <definedName name="FDD_201_8" hidden="1">"A33603"</definedName>
    <definedName name="FDD_201_9" hidden="1">"A33969"</definedName>
    <definedName name="FDD_202_0" hidden="1">"A30681"</definedName>
    <definedName name="FDD_202_1" hidden="1">"A31047"</definedName>
    <definedName name="FDD_202_10" hidden="1">"A34334"</definedName>
    <definedName name="FDD_202_11" hidden="1">"A34699"</definedName>
    <definedName name="FDD_202_12" hidden="1">"A35064"</definedName>
    <definedName name="FDD_202_13" hidden="1">"A35430"</definedName>
    <definedName name="FDD_202_14" hidden="1">"A35795"</definedName>
    <definedName name="FDD_202_2" hidden="1">"A31412"</definedName>
    <definedName name="FDD_202_3" hidden="1">"A31777"</definedName>
    <definedName name="FDD_202_4" hidden="1">"A32142"</definedName>
    <definedName name="FDD_202_5" hidden="1">"A32508"</definedName>
    <definedName name="FDD_202_6" hidden="1">"A32873"</definedName>
    <definedName name="FDD_202_7" hidden="1">"A33238"</definedName>
    <definedName name="FDD_202_8" hidden="1">"A33603"</definedName>
    <definedName name="FDD_202_9" hidden="1">"A33969"</definedName>
    <definedName name="FDD_203_0" hidden="1">"E36160"</definedName>
    <definedName name="FDD_203_1" hidden="1">"E36525"</definedName>
    <definedName name="FDD_203_2" hidden="1">"E36891"</definedName>
    <definedName name="FDD_204_0" hidden="1">"A25569"</definedName>
    <definedName name="FDD_205_0" hidden="1">"A25569"</definedName>
    <definedName name="FDD_206_0" hidden="1">"A25569"</definedName>
    <definedName name="FDD_207_0" hidden="1">"A25569"</definedName>
    <definedName name="FDD_208_0" hidden="1">"E36160"</definedName>
    <definedName name="FDD_208_1" hidden="1">"E36525"</definedName>
    <definedName name="FDD_208_2" hidden="1">"E36891"</definedName>
    <definedName name="FDD_209_0" hidden="1">"A25569"</definedName>
    <definedName name="FDD_21_0" hidden="1">"A25569"</definedName>
    <definedName name="FDD_210_0" hidden="1">"A25569"</definedName>
    <definedName name="FDD_211_0" hidden="1">"A25569"</definedName>
    <definedName name="FDD_212_0" hidden="1">"A25569"</definedName>
    <definedName name="FDD_213_0" hidden="1">"E36160"</definedName>
    <definedName name="FDD_213_1" hidden="1">"E36525"</definedName>
    <definedName name="FDD_213_2" hidden="1">"E36891"</definedName>
    <definedName name="FDD_214_0" hidden="1">"A25569"</definedName>
    <definedName name="FDD_215_0" hidden="1">"A25569"</definedName>
    <definedName name="FDD_216_0" hidden="1">"A25569"</definedName>
    <definedName name="FDD_217_0" hidden="1">"A25569"</definedName>
    <definedName name="FDD_218_0" hidden="1">"E36160"</definedName>
    <definedName name="FDD_218_1" hidden="1">"E36525"</definedName>
    <definedName name="FDD_218_2" hidden="1">"E36891"</definedName>
    <definedName name="FDD_219_0" hidden="1">"U25569"</definedName>
    <definedName name="FDD_22_0" hidden="1">"A25569"</definedName>
    <definedName name="FDD_220_0" hidden="1">"U25569"</definedName>
    <definedName name="FDD_221_0" hidden="1">"U25569"</definedName>
    <definedName name="FDD_222_0" hidden="1">"U25569"</definedName>
    <definedName name="FDD_223_0" hidden="1">"E36160"</definedName>
    <definedName name="FDD_223_1" hidden="1">"E36525"</definedName>
    <definedName name="FDD_223_2" hidden="1">"E36891"</definedName>
    <definedName name="FDD_224_0" hidden="1">"A25569"</definedName>
    <definedName name="FDD_225_0" hidden="1">"A25569"</definedName>
    <definedName name="FDD_226_0" hidden="1">"A25569"</definedName>
    <definedName name="FDD_227_0" hidden="1">"A25569"</definedName>
    <definedName name="FDD_228_0" hidden="1">"E36160"</definedName>
    <definedName name="FDD_228_1" hidden="1">"E36525"</definedName>
    <definedName name="FDD_228_2" hidden="1">"E36891"</definedName>
    <definedName name="FDD_229_0" hidden="1">"A25569"</definedName>
    <definedName name="FDD_23_0" hidden="1">"A25569"</definedName>
    <definedName name="FDD_230_0" hidden="1">"A25569"</definedName>
    <definedName name="FDD_231_0" hidden="1">"A25569"</definedName>
    <definedName name="FDD_232_0" hidden="1">"A25569"</definedName>
    <definedName name="FDD_233_0" hidden="1">"A25569"</definedName>
    <definedName name="FDD_234_0" hidden="1">"A25569"</definedName>
    <definedName name="FDD_235_0" hidden="1">"A25569"</definedName>
    <definedName name="FDD_236_0" hidden="1">"A25569"</definedName>
    <definedName name="FDD_237_0" hidden="1">"A25569"</definedName>
    <definedName name="FDD_238_0" hidden="1">"A30681"</definedName>
    <definedName name="FDD_238_1" hidden="1">"A31047"</definedName>
    <definedName name="FDD_238_10" hidden="1">"A34334"</definedName>
    <definedName name="FDD_238_11" hidden="1">"A34699"</definedName>
    <definedName name="FDD_238_12" hidden="1">"A35064"</definedName>
    <definedName name="FDD_238_13" hidden="1">"A35430"</definedName>
    <definedName name="FDD_238_14" hidden="1">"A35795"</definedName>
    <definedName name="FDD_238_2" hidden="1">"A31412"</definedName>
    <definedName name="FDD_238_3" hidden="1">"A31777"</definedName>
    <definedName name="FDD_238_4" hidden="1">"A32142"</definedName>
    <definedName name="FDD_238_5" hidden="1">"A32508"</definedName>
    <definedName name="FDD_238_6" hidden="1">"A32873"</definedName>
    <definedName name="FDD_238_7" hidden="1">"A33238"</definedName>
    <definedName name="FDD_238_8" hidden="1">"A33603"</definedName>
    <definedName name="FDD_238_9" hidden="1">"A33969"</definedName>
    <definedName name="FDD_24_0" hidden="1">"A25569"</definedName>
    <definedName name="FDD_243_0" hidden="1">"E36160"</definedName>
    <definedName name="FDD_243_1" hidden="1">"E36525"</definedName>
    <definedName name="FDD_243_2" hidden="1">"E36891"</definedName>
    <definedName name="FDD_244_0" hidden="1">"A25569"</definedName>
    <definedName name="FDD_245_0" hidden="1">"A25569"</definedName>
    <definedName name="FDD_246_0" hidden="1">"A25569"</definedName>
    <definedName name="FDD_247_0" hidden="1">"A25569"</definedName>
    <definedName name="FDD_248_0" hidden="1">"E36160"</definedName>
    <definedName name="FDD_248_1" hidden="1">"E36525"</definedName>
    <definedName name="FDD_248_2" hidden="1">"E36891"</definedName>
    <definedName name="FDD_249_0" hidden="1">"A25569"</definedName>
    <definedName name="FDD_25_0" hidden="1">"A25569"</definedName>
    <definedName name="FDD_250_0" hidden="1">"A25569"</definedName>
    <definedName name="FDD_251_0" hidden="1">"A25569"</definedName>
    <definedName name="FDD_252_0" hidden="1">"A25569"</definedName>
    <definedName name="FDD_253_0" hidden="1">"E36160"</definedName>
    <definedName name="FDD_253_1" hidden="1">"E36525"</definedName>
    <definedName name="FDD_253_2" hidden="1">"E36891"</definedName>
    <definedName name="FDD_254_0" hidden="1">"E36160"</definedName>
    <definedName name="FDD_254_1" hidden="1">"E36525"</definedName>
    <definedName name="FDD_254_2" hidden="1">"E36891"</definedName>
    <definedName name="FDD_255_0" hidden="1">"E36160"</definedName>
    <definedName name="FDD_255_1" hidden="1">"E36525"</definedName>
    <definedName name="FDD_255_2" hidden="1">"E36891"</definedName>
    <definedName name="FDD_256_0" hidden="1">"U36160"</definedName>
    <definedName name="FDD_256_1" hidden="1">"U36525"</definedName>
    <definedName name="FDD_256_2" hidden="1">"U36891"</definedName>
    <definedName name="FDD_257_0" hidden="1">"E36160"</definedName>
    <definedName name="FDD_257_1" hidden="1">"E36525"</definedName>
    <definedName name="FDD_257_2" hidden="1">"E36891"</definedName>
    <definedName name="FDD_258_0" hidden="1">"E36160"</definedName>
    <definedName name="FDD_258_1" hidden="1">"E36525"</definedName>
    <definedName name="FDD_258_2" hidden="1">"E36891"</definedName>
    <definedName name="FDD_259_0" hidden="1">"E36160"</definedName>
    <definedName name="FDD_259_1" hidden="1">"E36525"</definedName>
    <definedName name="FDD_259_2" hidden="1">"E36891"</definedName>
    <definedName name="FDD_26_0" hidden="1">"A25569"</definedName>
    <definedName name="FDD_260_0" hidden="1">"E36160"</definedName>
    <definedName name="FDD_260_1" hidden="1">"E36525"</definedName>
    <definedName name="FDD_260_2" hidden="1">"E36891"</definedName>
    <definedName name="FDD_261_0" hidden="1">"E36160"</definedName>
    <definedName name="FDD_261_1" hidden="1">"E36525"</definedName>
    <definedName name="FDD_261_2" hidden="1">"E36891"</definedName>
    <definedName name="FDD_264_0" hidden="1">"E36160"</definedName>
    <definedName name="FDD_264_1" hidden="1">"E36525"</definedName>
    <definedName name="FDD_264_2" hidden="1">"E36891"</definedName>
    <definedName name="FDD_265_0" hidden="1">"A25569"</definedName>
    <definedName name="FDD_266_0" hidden="1">"A25569"</definedName>
    <definedName name="FDD_267_0" hidden="1">"A25569"</definedName>
    <definedName name="FDD_268_0" hidden="1">"A25569"</definedName>
    <definedName name="FDD_269_0" hidden="1">"E36160"</definedName>
    <definedName name="FDD_269_1" hidden="1">"E36525"</definedName>
    <definedName name="FDD_269_2" hidden="1">"E36891"</definedName>
    <definedName name="FDD_27_0" hidden="1">"A25569"</definedName>
    <definedName name="FDD_270_0" hidden="1">"A25569"</definedName>
    <definedName name="FDD_271_0" hidden="1">"A25569"</definedName>
    <definedName name="FDD_272_0" hidden="1">"A25569"</definedName>
    <definedName name="FDD_273_0" hidden="1">"A25569"</definedName>
    <definedName name="FDD_274_0" hidden="1">"E36160"</definedName>
    <definedName name="FDD_274_1" hidden="1">"E36525"</definedName>
    <definedName name="FDD_274_2" hidden="1">"E36891"</definedName>
    <definedName name="FDD_275_0" hidden="1">"A25569"</definedName>
    <definedName name="FDD_276_0" hidden="1">"A25569"</definedName>
    <definedName name="FDD_277_0" hidden="1">"A25569"</definedName>
    <definedName name="FDD_278_0" hidden="1">"A25569"</definedName>
    <definedName name="FDD_279_0" hidden="1">"E36160"</definedName>
    <definedName name="FDD_279_1" hidden="1">"E36525"</definedName>
    <definedName name="FDD_279_2" hidden="1">"E36891"</definedName>
    <definedName name="FDD_28_0" hidden="1">"A25569"</definedName>
    <definedName name="FDD_280_0" hidden="1">"E36160"</definedName>
    <definedName name="FDD_280_1" hidden="1">"E36525"</definedName>
    <definedName name="FDD_280_2" hidden="1">"E36891"</definedName>
    <definedName name="FDD_281_0" hidden="1">"E36160"</definedName>
    <definedName name="FDD_281_1" hidden="1">"E36525"</definedName>
    <definedName name="FDD_281_2" hidden="1">"E36891"</definedName>
    <definedName name="FDD_282_0" hidden="1">"E36160"</definedName>
    <definedName name="FDD_282_1" hidden="1">"E36525"</definedName>
    <definedName name="FDD_282_2" hidden="1">"E36891"</definedName>
    <definedName name="FDD_283_0" hidden="1">"E36160"</definedName>
    <definedName name="FDD_283_1" hidden="1">"E36525"</definedName>
    <definedName name="FDD_283_2" hidden="1">"E36891"</definedName>
    <definedName name="FDD_284_0" hidden="1">"A30681"</definedName>
    <definedName name="FDD_284_1" hidden="1">"A31047"</definedName>
    <definedName name="FDD_284_10" hidden="1">"A34334"</definedName>
    <definedName name="FDD_284_11" hidden="1">"A34699"</definedName>
    <definedName name="FDD_284_12" hidden="1">"A35064"</definedName>
    <definedName name="FDD_284_13" hidden="1">"A35430"</definedName>
    <definedName name="FDD_284_14" hidden="1">"A35795"</definedName>
    <definedName name="FDD_284_2" hidden="1">"A31412"</definedName>
    <definedName name="FDD_284_3" hidden="1">"A31777"</definedName>
    <definedName name="FDD_284_4" hidden="1">"A32142"</definedName>
    <definedName name="FDD_284_5" hidden="1">"A32508"</definedName>
    <definedName name="FDD_284_6" hidden="1">"A32873"</definedName>
    <definedName name="FDD_284_7" hidden="1">"A33238"</definedName>
    <definedName name="FDD_284_8" hidden="1">"A33603"</definedName>
    <definedName name="FDD_284_9" hidden="1">"A33969"</definedName>
    <definedName name="FDD_285_0" hidden="1">"A35795"</definedName>
    <definedName name="FDD_285_1" hidden="1">"E36160"</definedName>
    <definedName name="FDD_285_10" hidden="1">"E39447"</definedName>
    <definedName name="FDD_285_11" hidden="1">"E39813"</definedName>
    <definedName name="FDD_285_12" hidden="1">"E40178"</definedName>
    <definedName name="FDD_285_13" hidden="1">"E40543"</definedName>
    <definedName name="FDD_285_14" hidden="1">"E40908"</definedName>
    <definedName name="FDD_285_15" hidden="1">"E41274"</definedName>
    <definedName name="FDD_285_16" hidden="1">"E41639"</definedName>
    <definedName name="FDD_285_17" hidden="1">"E42004"</definedName>
    <definedName name="FDD_285_18" hidden="1">"E42369"</definedName>
    <definedName name="FDD_285_19" hidden="1">"E42735"</definedName>
    <definedName name="FDD_285_2" hidden="1">"E36525"</definedName>
    <definedName name="FDD_285_20" hidden="1">"E43100"</definedName>
    <definedName name="FDD_285_21" hidden="1">"E43465"</definedName>
    <definedName name="FDD_285_22" hidden="1">"E43830"</definedName>
    <definedName name="FDD_285_23" hidden="1">"E44196"</definedName>
    <definedName name="FDD_285_24" hidden="1">"E44561"</definedName>
    <definedName name="FDD_285_25" hidden="1">"E44926"</definedName>
    <definedName name="FDD_285_3" hidden="1">"E36891"</definedName>
    <definedName name="FDD_285_4" hidden="1">"E37256"</definedName>
    <definedName name="FDD_285_5" hidden="1">"E37621"</definedName>
    <definedName name="FDD_285_6" hidden="1">"E37986"</definedName>
    <definedName name="FDD_285_7" hidden="1">"E38352"</definedName>
    <definedName name="FDD_285_8" hidden="1">"E38717"</definedName>
    <definedName name="FDD_285_9" hidden="1">"E39082"</definedName>
    <definedName name="FDD_286_0" hidden="1">"E36160"</definedName>
    <definedName name="FDD_286_1" hidden="1">"E36525"</definedName>
    <definedName name="FDD_286_10" hidden="1">"E39813"</definedName>
    <definedName name="FDD_286_11" hidden="1">"E40178"</definedName>
    <definedName name="FDD_286_12" hidden="1">"E40543"</definedName>
    <definedName name="FDD_286_13" hidden="1">"E40908"</definedName>
    <definedName name="FDD_286_14" hidden="1">"E41274"</definedName>
    <definedName name="FDD_286_15" hidden="1">"E41639"</definedName>
    <definedName name="FDD_286_16" hidden="1">"E42004"</definedName>
    <definedName name="FDD_286_17" hidden="1">"E42369"</definedName>
    <definedName name="FDD_286_18" hidden="1">"E42735"</definedName>
    <definedName name="FDD_286_19" hidden="1">"E43100"</definedName>
    <definedName name="FDD_286_2" hidden="1">"E36891"</definedName>
    <definedName name="FDD_286_20" hidden="1">"E43465"</definedName>
    <definedName name="FDD_286_21" hidden="1">"E43830"</definedName>
    <definedName name="FDD_286_22" hidden="1">"E44196"</definedName>
    <definedName name="FDD_286_23" hidden="1">"E44561"</definedName>
    <definedName name="FDD_286_24" hidden="1">"E44926"</definedName>
    <definedName name="FDD_286_3" hidden="1">"E37256"</definedName>
    <definedName name="FDD_286_4" hidden="1">"E37621"</definedName>
    <definedName name="FDD_286_5" hidden="1">"E37986"</definedName>
    <definedName name="FDD_286_6" hidden="1">"E38352"</definedName>
    <definedName name="FDD_286_7" hidden="1">"E38717"</definedName>
    <definedName name="FDD_286_8" hidden="1">"E39082"</definedName>
    <definedName name="FDD_286_9" hidden="1">"E39447"</definedName>
    <definedName name="FDD_287_0" hidden="1">"A25569"</definedName>
    <definedName name="FDD_288_0" hidden="1">"A25569"</definedName>
    <definedName name="FDD_289_0" hidden="1">"A36890"</definedName>
    <definedName name="FDD_29_0" hidden="1">"A25569"</definedName>
    <definedName name="FDD_290_0" hidden="1">"A36890"</definedName>
    <definedName name="FDD_291_0" hidden="1">"A25569"</definedName>
    <definedName name="FDD_295_0" hidden="1">"U25569"</definedName>
    <definedName name="FDD_296_0" hidden="1">"A25569"</definedName>
    <definedName name="FDD_297_0" hidden="1">"A25569"</definedName>
    <definedName name="FDD_298_0" hidden="1">"A25569"</definedName>
    <definedName name="FDD_299_0" hidden="1">"A25569"</definedName>
    <definedName name="FDD_3_0" hidden="1">"A25569"</definedName>
    <definedName name="FDD_30_0" hidden="1">"A25569"</definedName>
    <definedName name="FDD_300_0" hidden="1">"U25569"</definedName>
    <definedName name="FDD_301_0" hidden="1">"U35795"</definedName>
    <definedName name="FDD_301_1" hidden="1">"U36160"</definedName>
    <definedName name="FDD_301_2" hidden="1">"U36525"</definedName>
    <definedName name="FDD_302_0" hidden="1">"U35795"</definedName>
    <definedName name="FDD_302_1" hidden="1">"U36160"</definedName>
    <definedName name="FDD_302_2" hidden="1">"U36525"</definedName>
    <definedName name="FDD_303_0" hidden="1">"U35795"</definedName>
    <definedName name="FDD_303_1" hidden="1">"U36160"</definedName>
    <definedName name="FDD_303_2" hidden="1">"U36525"</definedName>
    <definedName name="FDD_304_0" hidden="1">"U35795"</definedName>
    <definedName name="FDD_304_1" hidden="1">"U36160"</definedName>
    <definedName name="FDD_304_2" hidden="1">"U36525"</definedName>
    <definedName name="FDD_305_0" hidden="1">"A30681"</definedName>
    <definedName name="FDD_305_1" hidden="1">"A31047"</definedName>
    <definedName name="FDD_305_10" hidden="1">"U34334"</definedName>
    <definedName name="FDD_305_11" hidden="1">"U34699"</definedName>
    <definedName name="FDD_305_12" hidden="1">"U35064"</definedName>
    <definedName name="FDD_305_13" hidden="1">"U35430"</definedName>
    <definedName name="FDD_305_14" hidden="1">"U35795"</definedName>
    <definedName name="FDD_305_2" hidden="1">"A31412"</definedName>
    <definedName name="FDD_305_3" hidden="1">"U31777"</definedName>
    <definedName name="FDD_305_4" hidden="1">"U32142"</definedName>
    <definedName name="FDD_305_5" hidden="1">"U32508"</definedName>
    <definedName name="FDD_305_6" hidden="1">"U32873"</definedName>
    <definedName name="FDD_305_7" hidden="1">"U33238"</definedName>
    <definedName name="FDD_305_8" hidden="1">"U33603"</definedName>
    <definedName name="FDD_305_9" hidden="1">"U33969"</definedName>
    <definedName name="FDD_306_0" hidden="1">"U35795"</definedName>
    <definedName name="FDD_306_1" hidden="1">"E36160"</definedName>
    <definedName name="FDD_306_2" hidden="1">"U36525"</definedName>
    <definedName name="FDD_307_0" hidden="1">"A35795"</definedName>
    <definedName name="FDD_307_1" hidden="1">"U36160"</definedName>
    <definedName name="FDD_307_2" hidden="1">"U36525"</definedName>
    <definedName name="FDD_31_0" hidden="1">"A25569"</definedName>
    <definedName name="FDD_32_0" hidden="1">"A25569"</definedName>
    <definedName name="FDD_33_0" hidden="1">"A25569"</definedName>
    <definedName name="FDD_34_0" hidden="1">"A25569"</definedName>
    <definedName name="FDD_35_0" hidden="1">"A25569"</definedName>
    <definedName name="FDD_36_0" hidden="1">"A25569"</definedName>
    <definedName name="FDD_37_0" hidden="1">"A25569"</definedName>
    <definedName name="FDD_38_0" hidden="1">"A25569"</definedName>
    <definedName name="FDD_39_0" hidden="1">"A25569"</definedName>
    <definedName name="FDD_4_0" hidden="1">"A25569"</definedName>
    <definedName name="FDD_40_0" hidden="1">"A25569"</definedName>
    <definedName name="FDD_41_0" hidden="1">"U25569"</definedName>
    <definedName name="FDD_42_0" hidden="1">"U25569"</definedName>
    <definedName name="FDD_43_0" hidden="1">"A25569"</definedName>
    <definedName name="FDD_44_0" hidden="1">"A30681"</definedName>
    <definedName name="FDD_44_1" hidden="1">"A31047"</definedName>
    <definedName name="FDD_44_10" hidden="1">"A34334"</definedName>
    <definedName name="FDD_44_11" hidden="1">"A34699"</definedName>
    <definedName name="FDD_44_12" hidden="1">"A35064"</definedName>
    <definedName name="FDD_44_13" hidden="1">"A35430"</definedName>
    <definedName name="FDD_44_14" hidden="1">"A35795"</definedName>
    <definedName name="FDD_44_2" hidden="1">"A31412"</definedName>
    <definedName name="FDD_44_3" hidden="1">"A31777"</definedName>
    <definedName name="FDD_44_4" hidden="1">"A32142"</definedName>
    <definedName name="FDD_44_5" hidden="1">"A32508"</definedName>
    <definedName name="FDD_44_6" hidden="1">"A32873"</definedName>
    <definedName name="FDD_44_7" hidden="1">"A33238"</definedName>
    <definedName name="FDD_44_8" hidden="1">"A33603"</definedName>
    <definedName name="FDD_44_9" hidden="1">"A33969"</definedName>
    <definedName name="FDD_45_0" hidden="1">"A30681"</definedName>
    <definedName name="FDD_45_1" hidden="1">"A31047"</definedName>
    <definedName name="FDD_45_10" hidden="1">"A34334"</definedName>
    <definedName name="FDD_45_11" hidden="1">"A34699"</definedName>
    <definedName name="FDD_45_12" hidden="1">"A35064"</definedName>
    <definedName name="FDD_45_13" hidden="1">"A35430"</definedName>
    <definedName name="FDD_45_14" hidden="1">"A35795"</definedName>
    <definedName name="FDD_45_2" hidden="1">"A31412"</definedName>
    <definedName name="FDD_45_3" hidden="1">"A31777"</definedName>
    <definedName name="FDD_45_4" hidden="1">"A32142"</definedName>
    <definedName name="FDD_45_5" hidden="1">"A32508"</definedName>
    <definedName name="FDD_45_6" hidden="1">"A32873"</definedName>
    <definedName name="FDD_45_7" hidden="1">"A33238"</definedName>
    <definedName name="FDD_45_8" hidden="1">"A33603"</definedName>
    <definedName name="FDD_45_9" hidden="1">"A33969"</definedName>
    <definedName name="FDD_46_0" hidden="1">"A30681"</definedName>
    <definedName name="FDD_46_1" hidden="1">"A31047"</definedName>
    <definedName name="FDD_46_10" hidden="1">"A34334"</definedName>
    <definedName name="FDD_46_11" hidden="1">"A34699"</definedName>
    <definedName name="FDD_46_12" hidden="1">"A35064"</definedName>
    <definedName name="FDD_46_13" hidden="1">"A35430"</definedName>
    <definedName name="FDD_46_14" hidden="1">"A35795"</definedName>
    <definedName name="FDD_46_2" hidden="1">"A31412"</definedName>
    <definedName name="FDD_46_3" hidden="1">"A31777"</definedName>
    <definedName name="FDD_46_4" hidden="1">"A32142"</definedName>
    <definedName name="FDD_46_5" hidden="1">"A32508"</definedName>
    <definedName name="FDD_46_6" hidden="1">"A32873"</definedName>
    <definedName name="FDD_46_7" hidden="1">"A33238"</definedName>
    <definedName name="FDD_46_8" hidden="1">"A33603"</definedName>
    <definedName name="FDD_46_9" hidden="1">"A33969"</definedName>
    <definedName name="FDD_47_0" hidden="1">"A30681"</definedName>
    <definedName name="FDD_47_1" hidden="1">"A31047"</definedName>
    <definedName name="FDD_47_10" hidden="1">"A34334"</definedName>
    <definedName name="FDD_47_11" hidden="1">"A34699"</definedName>
    <definedName name="FDD_47_12" hidden="1">"A35064"</definedName>
    <definedName name="FDD_47_13" hidden="1">"A35430"</definedName>
    <definedName name="FDD_47_14" hidden="1">"A35795"</definedName>
    <definedName name="FDD_47_2" hidden="1">"A31412"</definedName>
    <definedName name="FDD_47_3" hidden="1">"A31777"</definedName>
    <definedName name="FDD_47_4" hidden="1">"A32142"</definedName>
    <definedName name="FDD_47_5" hidden="1">"A32508"</definedName>
    <definedName name="FDD_47_6" hidden="1">"A32873"</definedName>
    <definedName name="FDD_47_7" hidden="1">"A33238"</definedName>
    <definedName name="FDD_47_8" hidden="1">"A33603"</definedName>
    <definedName name="FDD_47_9" hidden="1">"A33969"</definedName>
    <definedName name="FDD_48_0" hidden="1">"A30681"</definedName>
    <definedName name="FDD_48_1" hidden="1">"A31047"</definedName>
    <definedName name="FDD_48_10" hidden="1">"A34334"</definedName>
    <definedName name="FDD_48_11" hidden="1">"A34699"</definedName>
    <definedName name="FDD_48_12" hidden="1">"A35064"</definedName>
    <definedName name="FDD_48_13" hidden="1">"A35430"</definedName>
    <definedName name="FDD_48_14" hidden="1">"A35795"</definedName>
    <definedName name="FDD_48_2" hidden="1">"A31412"</definedName>
    <definedName name="FDD_48_3" hidden="1">"A31777"</definedName>
    <definedName name="FDD_48_4" hidden="1">"A32142"</definedName>
    <definedName name="FDD_48_5" hidden="1">"A32508"</definedName>
    <definedName name="FDD_48_6" hidden="1">"A32873"</definedName>
    <definedName name="FDD_48_7" hidden="1">"A33238"</definedName>
    <definedName name="FDD_48_8" hidden="1">"A33603"</definedName>
    <definedName name="FDD_48_9" hidden="1">"A33969"</definedName>
    <definedName name="FDD_49_0" hidden="1">"A30681"</definedName>
    <definedName name="FDD_49_1" hidden="1">"A31047"</definedName>
    <definedName name="FDD_49_10" hidden="1">"A34334"</definedName>
    <definedName name="FDD_49_11" hidden="1">"A34699"</definedName>
    <definedName name="FDD_49_12" hidden="1">"A35064"</definedName>
    <definedName name="FDD_49_13" hidden="1">"A35430"</definedName>
    <definedName name="FDD_49_14" hidden="1">"A35795"</definedName>
    <definedName name="FDD_49_2" hidden="1">"A31412"</definedName>
    <definedName name="FDD_49_3" hidden="1">"A31777"</definedName>
    <definedName name="FDD_49_4" hidden="1">"A32142"</definedName>
    <definedName name="FDD_49_5" hidden="1">"A32508"</definedName>
    <definedName name="FDD_49_6" hidden="1">"A32873"</definedName>
    <definedName name="FDD_49_7" hidden="1">"A33238"</definedName>
    <definedName name="FDD_49_8" hidden="1">"A33603"</definedName>
    <definedName name="FDD_49_9" hidden="1">"A33969"</definedName>
    <definedName name="FDD_5_0" hidden="1">"A25569"</definedName>
    <definedName name="FDD_50_0" hidden="1">"A30681"</definedName>
    <definedName name="FDD_50_1" hidden="1">"A31047"</definedName>
    <definedName name="FDD_50_10" hidden="1">"A34334"</definedName>
    <definedName name="FDD_50_11" hidden="1">"A34699"</definedName>
    <definedName name="FDD_50_12" hidden="1">"A35064"</definedName>
    <definedName name="FDD_50_13" hidden="1">"A35430"</definedName>
    <definedName name="FDD_50_14" hidden="1">"A35795"</definedName>
    <definedName name="FDD_50_2" hidden="1">"A31412"</definedName>
    <definedName name="FDD_50_3" hidden="1">"A31777"</definedName>
    <definedName name="FDD_50_4" hidden="1">"A32142"</definedName>
    <definedName name="FDD_50_5" hidden="1">"A32508"</definedName>
    <definedName name="FDD_50_6" hidden="1">"A32873"</definedName>
    <definedName name="FDD_50_7" hidden="1">"A33238"</definedName>
    <definedName name="FDD_50_8" hidden="1">"A33603"</definedName>
    <definedName name="FDD_50_9" hidden="1">"A33969"</definedName>
    <definedName name="FDD_51_0" hidden="1">"A30681"</definedName>
    <definedName name="FDD_51_1" hidden="1">"A31047"</definedName>
    <definedName name="FDD_51_10" hidden="1">"A34334"</definedName>
    <definedName name="FDD_51_11" hidden="1">"A34699"</definedName>
    <definedName name="FDD_51_12" hidden="1">"A35064"</definedName>
    <definedName name="FDD_51_13" hidden="1">"A35430"</definedName>
    <definedName name="FDD_51_14" hidden="1">"A35795"</definedName>
    <definedName name="FDD_51_2" hidden="1">"A31412"</definedName>
    <definedName name="FDD_51_3" hidden="1">"A31777"</definedName>
    <definedName name="FDD_51_4" hidden="1">"A32142"</definedName>
    <definedName name="FDD_51_5" hidden="1">"A32508"</definedName>
    <definedName name="FDD_51_6" hidden="1">"A32873"</definedName>
    <definedName name="FDD_51_7" hidden="1">"A33238"</definedName>
    <definedName name="FDD_51_8" hidden="1">"A33603"</definedName>
    <definedName name="FDD_51_9" hidden="1">"A33969"</definedName>
    <definedName name="FDD_52_0" hidden="1">"A30681"</definedName>
    <definedName name="FDD_52_1" hidden="1">"A31047"</definedName>
    <definedName name="FDD_52_10" hidden="1">"A34334"</definedName>
    <definedName name="FDD_52_11" hidden="1">"A34699"</definedName>
    <definedName name="FDD_52_12" hidden="1">"A35064"</definedName>
    <definedName name="FDD_52_13" hidden="1">"A35430"</definedName>
    <definedName name="FDD_52_14" hidden="1">"A35795"</definedName>
    <definedName name="FDD_52_2" hidden="1">"A31412"</definedName>
    <definedName name="FDD_52_3" hidden="1">"A31777"</definedName>
    <definedName name="FDD_52_4" hidden="1">"A32142"</definedName>
    <definedName name="FDD_52_5" hidden="1">"A32508"</definedName>
    <definedName name="FDD_52_6" hidden="1">"A32873"</definedName>
    <definedName name="FDD_52_7" hidden="1">"A33238"</definedName>
    <definedName name="FDD_52_8" hidden="1">"A33603"</definedName>
    <definedName name="FDD_52_9" hidden="1">"A33969"</definedName>
    <definedName name="FDD_53_0" hidden="1">"U30681"</definedName>
    <definedName name="FDD_53_1" hidden="1">"A31047"</definedName>
    <definedName name="FDD_53_10" hidden="1">"A34334"</definedName>
    <definedName name="FDD_53_11" hidden="1">"A34699"</definedName>
    <definedName name="FDD_53_12" hidden="1">"A35064"</definedName>
    <definedName name="FDD_53_13" hidden="1">"A35430"</definedName>
    <definedName name="FDD_53_14" hidden="1">"A35795"</definedName>
    <definedName name="FDD_53_2" hidden="1">"A31412"</definedName>
    <definedName name="FDD_53_3" hidden="1">"A31777"</definedName>
    <definedName name="FDD_53_4" hidden="1">"A32142"</definedName>
    <definedName name="FDD_53_5" hidden="1">"A32508"</definedName>
    <definedName name="FDD_53_6" hidden="1">"A32873"</definedName>
    <definedName name="FDD_53_7" hidden="1">"A33238"</definedName>
    <definedName name="FDD_53_8" hidden="1">"A33603"</definedName>
    <definedName name="FDD_53_9" hidden="1">"A33969"</definedName>
    <definedName name="FDD_54_0" hidden="1">"A30681"</definedName>
    <definedName name="FDD_54_1" hidden="1">"A31047"</definedName>
    <definedName name="FDD_54_10" hidden="1">"A34334"</definedName>
    <definedName name="FDD_54_11" hidden="1">"A34699"</definedName>
    <definedName name="FDD_54_12" hidden="1">"A35064"</definedName>
    <definedName name="FDD_54_13" hidden="1">"A35430"</definedName>
    <definedName name="FDD_54_14" hidden="1">"A35795"</definedName>
    <definedName name="FDD_54_2" hidden="1">"A31412"</definedName>
    <definedName name="FDD_54_3" hidden="1">"A31777"</definedName>
    <definedName name="FDD_54_4" hidden="1">"A32142"</definedName>
    <definedName name="FDD_54_5" hidden="1">"A32508"</definedName>
    <definedName name="FDD_54_6" hidden="1">"A32873"</definedName>
    <definedName name="FDD_54_7" hidden="1">"A33238"</definedName>
    <definedName name="FDD_54_8" hidden="1">"A33603"</definedName>
    <definedName name="FDD_54_9" hidden="1">"A33969"</definedName>
    <definedName name="FDD_55_0" hidden="1">"A30681"</definedName>
    <definedName name="FDD_55_1" hidden="1">"A31047"</definedName>
    <definedName name="FDD_55_10" hidden="1">"A34334"</definedName>
    <definedName name="FDD_55_11" hidden="1">"A34699"</definedName>
    <definedName name="FDD_55_12" hidden="1">"A35064"</definedName>
    <definedName name="FDD_55_13" hidden="1">"A35430"</definedName>
    <definedName name="FDD_55_14" hidden="1">"A35795"</definedName>
    <definedName name="FDD_55_2" hidden="1">"A31412"</definedName>
    <definedName name="FDD_55_3" hidden="1">"A31777"</definedName>
    <definedName name="FDD_55_4" hidden="1">"A32142"</definedName>
    <definedName name="FDD_55_5" hidden="1">"A32508"</definedName>
    <definedName name="FDD_55_6" hidden="1">"A32873"</definedName>
    <definedName name="FDD_55_7" hidden="1">"A33238"</definedName>
    <definedName name="FDD_55_8" hidden="1">"A33603"</definedName>
    <definedName name="FDD_55_9" hidden="1">"A33969"</definedName>
    <definedName name="FDD_56_0" hidden="1">"A30681"</definedName>
    <definedName name="FDD_56_1" hidden="1">"A31047"</definedName>
    <definedName name="FDD_56_10" hidden="1">"A34334"</definedName>
    <definedName name="FDD_56_11" hidden="1">"A34699"</definedName>
    <definedName name="FDD_56_12" hidden="1">"A35064"</definedName>
    <definedName name="FDD_56_13" hidden="1">"A35430"</definedName>
    <definedName name="FDD_56_14" hidden="1">"A35795"</definedName>
    <definedName name="FDD_56_2" hidden="1">"A31412"</definedName>
    <definedName name="FDD_56_3" hidden="1">"A31777"</definedName>
    <definedName name="FDD_56_4" hidden="1">"A32142"</definedName>
    <definedName name="FDD_56_5" hidden="1">"A32508"</definedName>
    <definedName name="FDD_56_6" hidden="1">"A32873"</definedName>
    <definedName name="FDD_56_7" hidden="1">"A33238"</definedName>
    <definedName name="FDD_56_8" hidden="1">"A33603"</definedName>
    <definedName name="FDD_56_9" hidden="1">"A33969"</definedName>
    <definedName name="FDD_57_0" hidden="1">"A30681"</definedName>
    <definedName name="FDD_57_1" hidden="1">"A31047"</definedName>
    <definedName name="FDD_57_10" hidden="1">"A34334"</definedName>
    <definedName name="FDD_57_11" hidden="1">"A34699"</definedName>
    <definedName name="FDD_57_12" hidden="1">"A35064"</definedName>
    <definedName name="FDD_57_13" hidden="1">"A35430"</definedName>
    <definedName name="FDD_57_14" hidden="1">"A35795"</definedName>
    <definedName name="FDD_57_2" hidden="1">"A31412"</definedName>
    <definedName name="FDD_57_3" hidden="1">"A31777"</definedName>
    <definedName name="FDD_57_4" hidden="1">"A32142"</definedName>
    <definedName name="FDD_57_5" hidden="1">"A32508"</definedName>
    <definedName name="FDD_57_6" hidden="1">"A32873"</definedName>
    <definedName name="FDD_57_7" hidden="1">"A33238"</definedName>
    <definedName name="FDD_57_8" hidden="1">"A33603"</definedName>
    <definedName name="FDD_57_9" hidden="1">"A33969"</definedName>
    <definedName name="FDD_58_0" hidden="1">"A30681"</definedName>
    <definedName name="FDD_58_1" hidden="1">"A31047"</definedName>
    <definedName name="FDD_58_10" hidden="1">"A34334"</definedName>
    <definedName name="FDD_58_11" hidden="1">"A34699"</definedName>
    <definedName name="FDD_58_12" hidden="1">"A35064"</definedName>
    <definedName name="FDD_58_13" hidden="1">"A35430"</definedName>
    <definedName name="FDD_58_14" hidden="1">"A35795"</definedName>
    <definedName name="FDD_58_2" hidden="1">"A31412"</definedName>
    <definedName name="FDD_58_3" hidden="1">"A31777"</definedName>
    <definedName name="FDD_58_4" hidden="1">"A32142"</definedName>
    <definedName name="FDD_58_5" hidden="1">"A32508"</definedName>
    <definedName name="FDD_58_6" hidden="1">"A32873"</definedName>
    <definedName name="FDD_58_7" hidden="1">"A33238"</definedName>
    <definedName name="FDD_58_8" hidden="1">"A33603"</definedName>
    <definedName name="FDD_58_9" hidden="1">"A33969"</definedName>
    <definedName name="FDD_59_0" hidden="1">"A30681"</definedName>
    <definedName name="FDD_59_1" hidden="1">"A31047"</definedName>
    <definedName name="FDD_59_10" hidden="1">"A34334"</definedName>
    <definedName name="FDD_59_11" hidden="1">"A34699"</definedName>
    <definedName name="FDD_59_12" hidden="1">"A35064"</definedName>
    <definedName name="FDD_59_13" hidden="1">"A35430"</definedName>
    <definedName name="FDD_59_14" hidden="1">"A35795"</definedName>
    <definedName name="FDD_59_2" hidden="1">"A31412"</definedName>
    <definedName name="FDD_59_3" hidden="1">"A31777"</definedName>
    <definedName name="FDD_59_4" hidden="1">"A32142"</definedName>
    <definedName name="FDD_59_5" hidden="1">"A32508"</definedName>
    <definedName name="FDD_59_6" hidden="1">"A32873"</definedName>
    <definedName name="FDD_59_7" hidden="1">"A33238"</definedName>
    <definedName name="FDD_59_8" hidden="1">"A33603"</definedName>
    <definedName name="FDD_59_9" hidden="1">"A33969"</definedName>
    <definedName name="FDD_6_0" hidden="1">"A25569"</definedName>
    <definedName name="FDD_60_0" hidden="1">"A30681"</definedName>
    <definedName name="FDD_60_1" hidden="1">"A31047"</definedName>
    <definedName name="FDD_60_10" hidden="1">"A34334"</definedName>
    <definedName name="FDD_60_11" hidden="1">"A34699"</definedName>
    <definedName name="FDD_60_12" hidden="1">"A35064"</definedName>
    <definedName name="FDD_60_13" hidden="1">"A35430"</definedName>
    <definedName name="FDD_60_14" hidden="1">"A35795"</definedName>
    <definedName name="FDD_60_2" hidden="1">"A31412"</definedName>
    <definedName name="FDD_60_3" hidden="1">"A31777"</definedName>
    <definedName name="FDD_60_4" hidden="1">"A32142"</definedName>
    <definedName name="FDD_60_5" hidden="1">"A32508"</definedName>
    <definedName name="FDD_60_6" hidden="1">"A32873"</definedName>
    <definedName name="FDD_60_7" hidden="1">"A33238"</definedName>
    <definedName name="FDD_60_8" hidden="1">"A33603"</definedName>
    <definedName name="FDD_60_9" hidden="1">"A33969"</definedName>
    <definedName name="FDD_61_0" hidden="1">"A30681"</definedName>
    <definedName name="FDD_61_1" hidden="1">"A31047"</definedName>
    <definedName name="FDD_61_10" hidden="1">"A34334"</definedName>
    <definedName name="FDD_61_11" hidden="1">"A34699"</definedName>
    <definedName name="FDD_61_12" hidden="1">"A35064"</definedName>
    <definedName name="FDD_61_13" hidden="1">"A35430"</definedName>
    <definedName name="FDD_61_14" hidden="1">"A35795"</definedName>
    <definedName name="FDD_61_2" hidden="1">"A31412"</definedName>
    <definedName name="FDD_61_3" hidden="1">"A31777"</definedName>
    <definedName name="FDD_61_4" hidden="1">"A32142"</definedName>
    <definedName name="FDD_61_5" hidden="1">"A32508"</definedName>
    <definedName name="FDD_61_6" hidden="1">"A32873"</definedName>
    <definedName name="FDD_61_7" hidden="1">"A33238"</definedName>
    <definedName name="FDD_61_8" hidden="1">"A33603"</definedName>
    <definedName name="FDD_61_9" hidden="1">"A33969"</definedName>
    <definedName name="FDD_62_0" hidden="1">"A30681"</definedName>
    <definedName name="FDD_62_1" hidden="1">"A31047"</definedName>
    <definedName name="FDD_62_10" hidden="1">"A34334"</definedName>
    <definedName name="FDD_62_11" hidden="1">"A34699"</definedName>
    <definedName name="FDD_62_12" hidden="1">"A35064"</definedName>
    <definedName name="FDD_62_13" hidden="1">"A35430"</definedName>
    <definedName name="FDD_62_14" hidden="1">"A35795"</definedName>
    <definedName name="FDD_62_2" hidden="1">"A31412"</definedName>
    <definedName name="FDD_62_3" hidden="1">"A31777"</definedName>
    <definedName name="FDD_62_4" hidden="1">"A32142"</definedName>
    <definedName name="FDD_62_5" hidden="1">"A32508"</definedName>
    <definedName name="FDD_62_6" hidden="1">"A32873"</definedName>
    <definedName name="FDD_62_7" hidden="1">"A33238"</definedName>
    <definedName name="FDD_62_8" hidden="1">"A33603"</definedName>
    <definedName name="FDD_62_9" hidden="1">"A33969"</definedName>
    <definedName name="FDD_63_0" hidden="1">"A30681"</definedName>
    <definedName name="FDD_63_1" hidden="1">"A31047"</definedName>
    <definedName name="FDD_63_10" hidden="1">"A34334"</definedName>
    <definedName name="FDD_63_11" hidden="1">"A34699"</definedName>
    <definedName name="FDD_63_12" hidden="1">"A35064"</definedName>
    <definedName name="FDD_63_13" hidden="1">"A35430"</definedName>
    <definedName name="FDD_63_14" hidden="1">"A35795"</definedName>
    <definedName name="FDD_63_2" hidden="1">"A31412"</definedName>
    <definedName name="FDD_63_3" hidden="1">"A31777"</definedName>
    <definedName name="FDD_63_4" hidden="1">"A32142"</definedName>
    <definedName name="FDD_63_5" hidden="1">"A32508"</definedName>
    <definedName name="FDD_63_6" hidden="1">"A32873"</definedName>
    <definedName name="FDD_63_7" hidden="1">"A33238"</definedName>
    <definedName name="FDD_63_8" hidden="1">"A33603"</definedName>
    <definedName name="FDD_63_9" hidden="1">"A33969"</definedName>
    <definedName name="FDD_64_0" hidden="1">"A30681"</definedName>
    <definedName name="FDD_64_1" hidden="1">"A31047"</definedName>
    <definedName name="FDD_64_10" hidden="1">"A34334"</definedName>
    <definedName name="FDD_64_11" hidden="1">"A34699"</definedName>
    <definedName name="FDD_64_12" hidden="1">"A35064"</definedName>
    <definedName name="FDD_64_13" hidden="1">"A35430"</definedName>
    <definedName name="FDD_64_14" hidden="1">"A35795"</definedName>
    <definedName name="FDD_64_2" hidden="1">"A31412"</definedName>
    <definedName name="FDD_64_3" hidden="1">"A31777"</definedName>
    <definedName name="FDD_64_4" hidden="1">"A32142"</definedName>
    <definedName name="FDD_64_5" hidden="1">"A32508"</definedName>
    <definedName name="FDD_64_6" hidden="1">"A32873"</definedName>
    <definedName name="FDD_64_7" hidden="1">"A33238"</definedName>
    <definedName name="FDD_64_8" hidden="1">"A33603"</definedName>
    <definedName name="FDD_64_9" hidden="1">"A33969"</definedName>
    <definedName name="FDD_65_0" hidden="1">"A30681"</definedName>
    <definedName name="FDD_65_1" hidden="1">"A31047"</definedName>
    <definedName name="FDD_65_10" hidden="1">"A34334"</definedName>
    <definedName name="FDD_65_11" hidden="1">"A34699"</definedName>
    <definedName name="FDD_65_12" hidden="1">"A35064"</definedName>
    <definedName name="FDD_65_13" hidden="1">"A35430"</definedName>
    <definedName name="FDD_65_14" hidden="1">"A35795"</definedName>
    <definedName name="FDD_65_2" hidden="1">"A31412"</definedName>
    <definedName name="FDD_65_3" hidden="1">"A31777"</definedName>
    <definedName name="FDD_65_4" hidden="1">"A32142"</definedName>
    <definedName name="FDD_65_5" hidden="1">"A32508"</definedName>
    <definedName name="FDD_65_6" hidden="1">"A32873"</definedName>
    <definedName name="FDD_65_7" hidden="1">"A33238"</definedName>
    <definedName name="FDD_65_8" hidden="1">"A33603"</definedName>
    <definedName name="FDD_65_9" hidden="1">"A33969"</definedName>
    <definedName name="FDD_66_0" hidden="1">"A30681"</definedName>
    <definedName name="FDD_66_1" hidden="1">"A31047"</definedName>
    <definedName name="FDD_66_10" hidden="1">"A34334"</definedName>
    <definedName name="FDD_66_11" hidden="1">"A34699"</definedName>
    <definedName name="FDD_66_12" hidden="1">"A35064"</definedName>
    <definedName name="FDD_66_13" hidden="1">"A35430"</definedName>
    <definedName name="FDD_66_14" hidden="1">"A35795"</definedName>
    <definedName name="FDD_66_2" hidden="1">"A31412"</definedName>
    <definedName name="FDD_66_3" hidden="1">"A31777"</definedName>
    <definedName name="FDD_66_4" hidden="1">"A32142"</definedName>
    <definedName name="FDD_66_5" hidden="1">"A32508"</definedName>
    <definedName name="FDD_66_6" hidden="1">"A32873"</definedName>
    <definedName name="FDD_66_7" hidden="1">"A33238"</definedName>
    <definedName name="FDD_66_8" hidden="1">"A33603"</definedName>
    <definedName name="FDD_66_9" hidden="1">"A33969"</definedName>
    <definedName name="FDD_67_0" hidden="1">"A30681"</definedName>
    <definedName name="FDD_67_1" hidden="1">"A31047"</definedName>
    <definedName name="FDD_67_10" hidden="1">"A34334"</definedName>
    <definedName name="FDD_67_11" hidden="1">"A34699"</definedName>
    <definedName name="FDD_67_12" hidden="1">"A35064"</definedName>
    <definedName name="FDD_67_13" hidden="1">"A35430"</definedName>
    <definedName name="FDD_67_14" hidden="1">"A35795"</definedName>
    <definedName name="FDD_67_2" hidden="1">"A31412"</definedName>
    <definedName name="FDD_67_3" hidden="1">"A31777"</definedName>
    <definedName name="FDD_67_4" hidden="1">"A32142"</definedName>
    <definedName name="FDD_67_5" hidden="1">"A32508"</definedName>
    <definedName name="FDD_67_6" hidden="1">"A32873"</definedName>
    <definedName name="FDD_67_7" hidden="1">"A33238"</definedName>
    <definedName name="FDD_67_8" hidden="1">"A33603"</definedName>
    <definedName name="FDD_67_9" hidden="1">"A33969"</definedName>
    <definedName name="FDD_68_0" hidden="1">"A30681"</definedName>
    <definedName name="FDD_68_1" hidden="1">"A31047"</definedName>
    <definedName name="FDD_68_10" hidden="1">"A34334"</definedName>
    <definedName name="FDD_68_11" hidden="1">"A34699"</definedName>
    <definedName name="FDD_68_12" hidden="1">"A35064"</definedName>
    <definedName name="FDD_68_13" hidden="1">"A35430"</definedName>
    <definedName name="FDD_68_14" hidden="1">"A35795"</definedName>
    <definedName name="FDD_68_2" hidden="1">"A31412"</definedName>
    <definedName name="FDD_68_3" hidden="1">"A31777"</definedName>
    <definedName name="FDD_68_4" hidden="1">"A32142"</definedName>
    <definedName name="FDD_68_5" hidden="1">"A32508"</definedName>
    <definedName name="FDD_68_6" hidden="1">"A32873"</definedName>
    <definedName name="FDD_68_7" hidden="1">"A33238"</definedName>
    <definedName name="FDD_68_8" hidden="1">"A33603"</definedName>
    <definedName name="FDD_68_9" hidden="1">"A33969"</definedName>
    <definedName name="FDD_69_0" hidden="1">"U30681"</definedName>
    <definedName name="FDD_69_1" hidden="1">"A31047"</definedName>
    <definedName name="FDD_69_10" hidden="1">"A34334"</definedName>
    <definedName name="FDD_69_11" hidden="1">"A34699"</definedName>
    <definedName name="FDD_69_12" hidden="1">"A35064"</definedName>
    <definedName name="FDD_69_13" hidden="1">"A35430"</definedName>
    <definedName name="FDD_69_14" hidden="1">"A35795"</definedName>
    <definedName name="FDD_69_2" hidden="1">"A31412"</definedName>
    <definedName name="FDD_69_3" hidden="1">"A31777"</definedName>
    <definedName name="FDD_69_4" hidden="1">"A32142"</definedName>
    <definedName name="FDD_69_5" hidden="1">"A32508"</definedName>
    <definedName name="FDD_69_6" hidden="1">"A32873"</definedName>
    <definedName name="FDD_69_7" hidden="1">"A33238"</definedName>
    <definedName name="FDD_69_8" hidden="1">"A33603"</definedName>
    <definedName name="FDD_69_9" hidden="1">"A33969"</definedName>
    <definedName name="FDD_7_0" hidden="1">"A25569"</definedName>
    <definedName name="FDD_70_0" hidden="1">"A30681"</definedName>
    <definedName name="FDD_70_1" hidden="1">"A31047"</definedName>
    <definedName name="FDD_70_10" hidden="1">"A34334"</definedName>
    <definedName name="FDD_70_11" hidden="1">"A34699"</definedName>
    <definedName name="FDD_70_12" hidden="1">"A35064"</definedName>
    <definedName name="FDD_70_13" hidden="1">"A35430"</definedName>
    <definedName name="FDD_70_14" hidden="1">"A35795"</definedName>
    <definedName name="FDD_70_2" hidden="1">"A31412"</definedName>
    <definedName name="FDD_70_3" hidden="1">"A31777"</definedName>
    <definedName name="FDD_70_4" hidden="1">"A32142"</definedName>
    <definedName name="FDD_70_5" hidden="1">"A32508"</definedName>
    <definedName name="FDD_70_6" hidden="1">"A32873"</definedName>
    <definedName name="FDD_70_7" hidden="1">"A33238"</definedName>
    <definedName name="FDD_70_8" hidden="1">"A33603"</definedName>
    <definedName name="FDD_70_9" hidden="1">"A33969"</definedName>
    <definedName name="FDD_71_0" hidden="1">"A30681"</definedName>
    <definedName name="FDD_71_1" hidden="1">"A31047"</definedName>
    <definedName name="FDD_71_10" hidden="1">"A34334"</definedName>
    <definedName name="FDD_71_11" hidden="1">"A34699"</definedName>
    <definedName name="FDD_71_12" hidden="1">"A35064"</definedName>
    <definedName name="FDD_71_13" hidden="1">"A35430"</definedName>
    <definedName name="FDD_71_14" hidden="1">"A35795"</definedName>
    <definedName name="FDD_71_2" hidden="1">"A31412"</definedName>
    <definedName name="FDD_71_3" hidden="1">"A31777"</definedName>
    <definedName name="FDD_71_4" hidden="1">"A32142"</definedName>
    <definedName name="FDD_71_5" hidden="1">"A32508"</definedName>
    <definedName name="FDD_71_6" hidden="1">"A32873"</definedName>
    <definedName name="FDD_71_7" hidden="1">"A33238"</definedName>
    <definedName name="FDD_71_8" hidden="1">"A33603"</definedName>
    <definedName name="FDD_71_9" hidden="1">"A33969"</definedName>
    <definedName name="FDD_72_0" hidden="1">"A30681"</definedName>
    <definedName name="FDD_72_1" hidden="1">"A31047"</definedName>
    <definedName name="FDD_72_10" hidden="1">"A34334"</definedName>
    <definedName name="FDD_72_11" hidden="1">"A34699"</definedName>
    <definedName name="FDD_72_12" hidden="1">"A35064"</definedName>
    <definedName name="FDD_72_13" hidden="1">"A35430"</definedName>
    <definedName name="FDD_72_14" hidden="1">"A35795"</definedName>
    <definedName name="FDD_72_2" hidden="1">"A31412"</definedName>
    <definedName name="FDD_72_3" hidden="1">"A31777"</definedName>
    <definedName name="FDD_72_4" hidden="1">"A32142"</definedName>
    <definedName name="FDD_72_5" hidden="1">"A32508"</definedName>
    <definedName name="FDD_72_6" hidden="1">"A32873"</definedName>
    <definedName name="FDD_72_7" hidden="1">"A33238"</definedName>
    <definedName name="FDD_72_8" hidden="1">"A33603"</definedName>
    <definedName name="FDD_72_9" hidden="1">"A33969"</definedName>
    <definedName name="FDD_73_0" hidden="1">"A30681"</definedName>
    <definedName name="FDD_73_1" hidden="1">"A31047"</definedName>
    <definedName name="FDD_73_10" hidden="1">"A34334"</definedName>
    <definedName name="FDD_73_11" hidden="1">"A34699"</definedName>
    <definedName name="FDD_73_12" hidden="1">"A35064"</definedName>
    <definedName name="FDD_73_13" hidden="1">"A35430"</definedName>
    <definedName name="FDD_73_14" hidden="1">"A35795"</definedName>
    <definedName name="FDD_73_2" hidden="1">"A31412"</definedName>
    <definedName name="FDD_73_3" hidden="1">"A31777"</definedName>
    <definedName name="FDD_73_4" hidden="1">"A32142"</definedName>
    <definedName name="FDD_73_5" hidden="1">"A32508"</definedName>
    <definedName name="FDD_73_6" hidden="1">"A32873"</definedName>
    <definedName name="FDD_73_7" hidden="1">"A33238"</definedName>
    <definedName name="FDD_73_8" hidden="1">"A33603"</definedName>
    <definedName name="FDD_73_9" hidden="1">"A33969"</definedName>
    <definedName name="FDD_74_0" hidden="1">"A30681"</definedName>
    <definedName name="FDD_74_1" hidden="1">"A31047"</definedName>
    <definedName name="FDD_74_10" hidden="1">"A34334"</definedName>
    <definedName name="FDD_74_11" hidden="1">"A34699"</definedName>
    <definedName name="FDD_74_12" hidden="1">"A35064"</definedName>
    <definedName name="FDD_74_13" hidden="1">"A35430"</definedName>
    <definedName name="FDD_74_14" hidden="1">"A35795"</definedName>
    <definedName name="FDD_74_2" hidden="1">"A31412"</definedName>
    <definedName name="FDD_74_3" hidden="1">"A31777"</definedName>
    <definedName name="FDD_74_4" hidden="1">"A32142"</definedName>
    <definedName name="FDD_74_5" hidden="1">"A32508"</definedName>
    <definedName name="FDD_74_6" hidden="1">"A32873"</definedName>
    <definedName name="FDD_74_7" hidden="1">"A33238"</definedName>
    <definedName name="FDD_74_8" hidden="1">"A33603"</definedName>
    <definedName name="FDD_74_9" hidden="1">"A33969"</definedName>
    <definedName name="FDD_75_0" hidden="1">"A30681"</definedName>
    <definedName name="FDD_75_1" hidden="1">"A31047"</definedName>
    <definedName name="FDD_75_10" hidden="1">"A34334"</definedName>
    <definedName name="FDD_75_11" hidden="1">"A34699"</definedName>
    <definedName name="FDD_75_12" hidden="1">"A35064"</definedName>
    <definedName name="FDD_75_13" hidden="1">"A35430"</definedName>
    <definedName name="FDD_75_14" hidden="1">"A35795"</definedName>
    <definedName name="FDD_75_2" hidden="1">"A31412"</definedName>
    <definedName name="FDD_75_3" hidden="1">"A31777"</definedName>
    <definedName name="FDD_75_4" hidden="1">"A32142"</definedName>
    <definedName name="FDD_75_5" hidden="1">"A32508"</definedName>
    <definedName name="FDD_75_6" hidden="1">"A32873"</definedName>
    <definedName name="FDD_75_7" hidden="1">"A33238"</definedName>
    <definedName name="FDD_75_8" hidden="1">"A33603"</definedName>
    <definedName name="FDD_75_9" hidden="1">"A33969"</definedName>
    <definedName name="FDD_76_0" hidden="1">"A30681"</definedName>
    <definedName name="FDD_76_1" hidden="1">"A31047"</definedName>
    <definedName name="FDD_76_10" hidden="1">"A34334"</definedName>
    <definedName name="FDD_76_11" hidden="1">"A34699"</definedName>
    <definedName name="FDD_76_12" hidden="1">"A35064"</definedName>
    <definedName name="FDD_76_13" hidden="1">"A35430"</definedName>
    <definedName name="FDD_76_14" hidden="1">"A35795"</definedName>
    <definedName name="FDD_76_2" hidden="1">"A31412"</definedName>
    <definedName name="FDD_76_3" hidden="1">"A31777"</definedName>
    <definedName name="FDD_76_4" hidden="1">"A32142"</definedName>
    <definedName name="FDD_76_5" hidden="1">"A32508"</definedName>
    <definedName name="FDD_76_6" hidden="1">"A32873"</definedName>
    <definedName name="FDD_76_7" hidden="1">"A33238"</definedName>
    <definedName name="FDD_76_8" hidden="1">"A33603"</definedName>
    <definedName name="FDD_76_9" hidden="1">"A33969"</definedName>
    <definedName name="FDD_77_0" hidden="1">"A30681"</definedName>
    <definedName name="FDD_77_1" hidden="1">"A31047"</definedName>
    <definedName name="FDD_77_10" hidden="1">"A34334"</definedName>
    <definedName name="FDD_77_11" hidden="1">"A34699"</definedName>
    <definedName name="FDD_77_12" hidden="1">"A35064"</definedName>
    <definedName name="FDD_77_13" hidden="1">"A35430"</definedName>
    <definedName name="FDD_77_14" hidden="1">"A35795"</definedName>
    <definedName name="FDD_77_2" hidden="1">"A31412"</definedName>
    <definedName name="FDD_77_3" hidden="1">"A31777"</definedName>
    <definedName name="FDD_77_4" hidden="1">"A32142"</definedName>
    <definedName name="FDD_77_5" hidden="1">"A32508"</definedName>
    <definedName name="FDD_77_6" hidden="1">"A32873"</definedName>
    <definedName name="FDD_77_7" hidden="1">"A33238"</definedName>
    <definedName name="FDD_77_8" hidden="1">"A33603"</definedName>
    <definedName name="FDD_77_9" hidden="1">"A33969"</definedName>
    <definedName name="FDD_78_0" hidden="1">"A30681"</definedName>
    <definedName name="FDD_78_1" hidden="1">"A31047"</definedName>
    <definedName name="FDD_78_10" hidden="1">"A34334"</definedName>
    <definedName name="FDD_78_11" hidden="1">"A34699"</definedName>
    <definedName name="FDD_78_12" hidden="1">"A35064"</definedName>
    <definedName name="FDD_78_13" hidden="1">"A35430"</definedName>
    <definedName name="FDD_78_14" hidden="1">"A35795"</definedName>
    <definedName name="FDD_78_2" hidden="1">"A31412"</definedName>
    <definedName name="FDD_78_3" hidden="1">"A31777"</definedName>
    <definedName name="FDD_78_4" hidden="1">"A32142"</definedName>
    <definedName name="FDD_78_5" hidden="1">"A32508"</definedName>
    <definedName name="FDD_78_6" hidden="1">"A32873"</definedName>
    <definedName name="FDD_78_7" hidden="1">"A33238"</definedName>
    <definedName name="FDD_78_8" hidden="1">"A33603"</definedName>
    <definedName name="FDD_78_9" hidden="1">"A33969"</definedName>
    <definedName name="FDD_79_0" hidden="1">"A30681"</definedName>
    <definedName name="FDD_79_1" hidden="1">"A31047"</definedName>
    <definedName name="FDD_79_10" hidden="1">"A34334"</definedName>
    <definedName name="FDD_79_11" hidden="1">"A34699"</definedName>
    <definedName name="FDD_79_12" hidden="1">"A35064"</definedName>
    <definedName name="FDD_79_13" hidden="1">"A35430"</definedName>
    <definedName name="FDD_79_14" hidden="1">"A35795"</definedName>
    <definedName name="FDD_79_2" hidden="1">"A31412"</definedName>
    <definedName name="FDD_79_3" hidden="1">"A31777"</definedName>
    <definedName name="FDD_79_4" hidden="1">"A32142"</definedName>
    <definedName name="FDD_79_5" hidden="1">"A32508"</definedName>
    <definedName name="FDD_79_6" hidden="1">"A32873"</definedName>
    <definedName name="FDD_79_7" hidden="1">"A33238"</definedName>
    <definedName name="FDD_79_8" hidden="1">"A33603"</definedName>
    <definedName name="FDD_79_9" hidden="1">"A33969"</definedName>
    <definedName name="FDD_8_0" hidden="1">"A25569"</definedName>
    <definedName name="FDD_80_0" hidden="1">"A30681"</definedName>
    <definedName name="FDD_80_1" hidden="1">"A31047"</definedName>
    <definedName name="FDD_80_10" hidden="1">"A34334"</definedName>
    <definedName name="FDD_80_11" hidden="1">"A34699"</definedName>
    <definedName name="FDD_80_12" hidden="1">"A35064"</definedName>
    <definedName name="FDD_80_13" hidden="1">"A35430"</definedName>
    <definedName name="FDD_80_14" hidden="1">"A35795"</definedName>
    <definedName name="FDD_80_2" hidden="1">"A31412"</definedName>
    <definedName name="FDD_80_3" hidden="1">"A31777"</definedName>
    <definedName name="FDD_80_4" hidden="1">"A32142"</definedName>
    <definedName name="FDD_80_5" hidden="1">"A32508"</definedName>
    <definedName name="FDD_80_6" hidden="1">"A32873"</definedName>
    <definedName name="FDD_80_7" hidden="1">"A33238"</definedName>
    <definedName name="FDD_80_8" hidden="1">"A33603"</definedName>
    <definedName name="FDD_80_9" hidden="1">"A33969"</definedName>
    <definedName name="FDD_81_0" hidden="1">"A30681"</definedName>
    <definedName name="FDD_81_1" hidden="1">"A31047"</definedName>
    <definedName name="FDD_81_10" hidden="1">"A34334"</definedName>
    <definedName name="FDD_81_11" hidden="1">"A34699"</definedName>
    <definedName name="FDD_81_12" hidden="1">"A35064"</definedName>
    <definedName name="FDD_81_13" hidden="1">"A35430"</definedName>
    <definedName name="FDD_81_14" hidden="1">"A35795"</definedName>
    <definedName name="FDD_81_2" hidden="1">"A31412"</definedName>
    <definedName name="FDD_81_3" hidden="1">"A31777"</definedName>
    <definedName name="FDD_81_4" hidden="1">"A32142"</definedName>
    <definedName name="FDD_81_5" hidden="1">"A32508"</definedName>
    <definedName name="FDD_81_6" hidden="1">"A32873"</definedName>
    <definedName name="FDD_81_7" hidden="1">"A33238"</definedName>
    <definedName name="FDD_81_8" hidden="1">"A33603"</definedName>
    <definedName name="FDD_81_9" hidden="1">"A33969"</definedName>
    <definedName name="FDD_82_0" hidden="1">"A30681"</definedName>
    <definedName name="FDD_82_1" hidden="1">"A31047"</definedName>
    <definedName name="FDD_82_10" hidden="1">"A34334"</definedName>
    <definedName name="FDD_82_11" hidden="1">"A34699"</definedName>
    <definedName name="FDD_82_12" hidden="1">"A35064"</definedName>
    <definedName name="FDD_82_13" hidden="1">"A35430"</definedName>
    <definedName name="FDD_82_14" hidden="1">"A35795"</definedName>
    <definedName name="FDD_82_2" hidden="1">"A31412"</definedName>
    <definedName name="FDD_82_3" hidden="1">"A31777"</definedName>
    <definedName name="FDD_82_4" hidden="1">"A32142"</definedName>
    <definedName name="FDD_82_5" hidden="1">"A32508"</definedName>
    <definedName name="FDD_82_6" hidden="1">"A32873"</definedName>
    <definedName name="FDD_82_7" hidden="1">"A33238"</definedName>
    <definedName name="FDD_82_8" hidden="1">"A33603"</definedName>
    <definedName name="FDD_82_9" hidden="1">"A33969"</definedName>
    <definedName name="FDD_83_0" hidden="1">"A30681"</definedName>
    <definedName name="FDD_83_1" hidden="1">"A31047"</definedName>
    <definedName name="FDD_83_10" hidden="1">"A34334"</definedName>
    <definedName name="FDD_83_11" hidden="1">"A34699"</definedName>
    <definedName name="FDD_83_12" hidden="1">"A35064"</definedName>
    <definedName name="FDD_83_13" hidden="1">"A35430"</definedName>
    <definedName name="FDD_83_14" hidden="1">"A35795"</definedName>
    <definedName name="FDD_83_2" hidden="1">"A31412"</definedName>
    <definedName name="FDD_83_3" hidden="1">"A31777"</definedName>
    <definedName name="FDD_83_4" hidden="1">"A32142"</definedName>
    <definedName name="FDD_83_5" hidden="1">"A32508"</definedName>
    <definedName name="FDD_83_6" hidden="1">"A32873"</definedName>
    <definedName name="FDD_83_7" hidden="1">"A33238"</definedName>
    <definedName name="FDD_83_8" hidden="1">"A33603"</definedName>
    <definedName name="FDD_83_9" hidden="1">"A33969"</definedName>
    <definedName name="FDD_84_0" hidden="1">"A30681"</definedName>
    <definedName name="FDD_84_1" hidden="1">"A31047"</definedName>
    <definedName name="FDD_84_10" hidden="1">"A34334"</definedName>
    <definedName name="FDD_84_11" hidden="1">"A34699"</definedName>
    <definedName name="FDD_84_12" hidden="1">"A35064"</definedName>
    <definedName name="FDD_84_13" hidden="1">"A35430"</definedName>
    <definedName name="FDD_84_14" hidden="1">"A35795"</definedName>
    <definedName name="FDD_84_2" hidden="1">"A31412"</definedName>
    <definedName name="FDD_84_3" hidden="1">"A31777"</definedName>
    <definedName name="FDD_84_4" hidden="1">"A32142"</definedName>
    <definedName name="FDD_84_5" hidden="1">"A32508"</definedName>
    <definedName name="FDD_84_6" hidden="1">"A32873"</definedName>
    <definedName name="FDD_84_7" hidden="1">"A33238"</definedName>
    <definedName name="FDD_84_8" hidden="1">"A33603"</definedName>
    <definedName name="FDD_84_9" hidden="1">"A33969"</definedName>
    <definedName name="FDD_85_0" hidden="1">"A30681"</definedName>
    <definedName name="FDD_85_1" hidden="1">"A31047"</definedName>
    <definedName name="FDD_85_10" hidden="1">"A34334"</definedName>
    <definedName name="FDD_85_11" hidden="1">"A34699"</definedName>
    <definedName name="FDD_85_12" hidden="1">"A35064"</definedName>
    <definedName name="FDD_85_13" hidden="1">"A35430"</definedName>
    <definedName name="FDD_85_14" hidden="1">"A35795"</definedName>
    <definedName name="FDD_85_2" hidden="1">"A31412"</definedName>
    <definedName name="FDD_85_3" hidden="1">"A31777"</definedName>
    <definedName name="FDD_85_4" hidden="1">"A32142"</definedName>
    <definedName name="FDD_85_5" hidden="1">"A32508"</definedName>
    <definedName name="FDD_85_6" hidden="1">"A32873"</definedName>
    <definedName name="FDD_85_7" hidden="1">"A33238"</definedName>
    <definedName name="FDD_85_8" hidden="1">"A33603"</definedName>
    <definedName name="FDD_85_9" hidden="1">"A33969"</definedName>
    <definedName name="FDD_86_0" hidden="1">"A30681"</definedName>
    <definedName name="FDD_86_1" hidden="1">"A31047"</definedName>
    <definedName name="FDD_86_10" hidden="1">"A34334"</definedName>
    <definedName name="FDD_86_11" hidden="1">"A34699"</definedName>
    <definedName name="FDD_86_12" hidden="1">"A35064"</definedName>
    <definedName name="FDD_86_13" hidden="1">"A35430"</definedName>
    <definedName name="FDD_86_14" hidden="1">"A35795"</definedName>
    <definedName name="FDD_86_2" hidden="1">"A31412"</definedName>
    <definedName name="FDD_86_3" hidden="1">"A31777"</definedName>
    <definedName name="FDD_86_4" hidden="1">"A32142"</definedName>
    <definedName name="FDD_86_5" hidden="1">"A32508"</definedName>
    <definedName name="FDD_86_6" hidden="1">"A32873"</definedName>
    <definedName name="FDD_86_7" hidden="1">"A33238"</definedName>
    <definedName name="FDD_86_8" hidden="1">"A33603"</definedName>
    <definedName name="FDD_86_9" hidden="1">"A33969"</definedName>
    <definedName name="FDD_87_0" hidden="1">"A30681"</definedName>
    <definedName name="FDD_87_1" hidden="1">"A31047"</definedName>
    <definedName name="FDD_87_10" hidden="1">"A34334"</definedName>
    <definedName name="FDD_87_11" hidden="1">"A34699"</definedName>
    <definedName name="FDD_87_12" hidden="1">"A35064"</definedName>
    <definedName name="FDD_87_13" hidden="1">"A35430"</definedName>
    <definedName name="FDD_87_14" hidden="1">"A35795"</definedName>
    <definedName name="FDD_87_2" hidden="1">"A31412"</definedName>
    <definedName name="FDD_87_3" hidden="1">"A31777"</definedName>
    <definedName name="FDD_87_4" hidden="1">"A32142"</definedName>
    <definedName name="FDD_87_5" hidden="1">"A32508"</definedName>
    <definedName name="FDD_87_6" hidden="1">"A32873"</definedName>
    <definedName name="FDD_87_7" hidden="1">"A33238"</definedName>
    <definedName name="FDD_87_8" hidden="1">"A33603"</definedName>
    <definedName name="FDD_87_9" hidden="1">"A33969"</definedName>
    <definedName name="FDD_88_0" hidden="1">"A30681"</definedName>
    <definedName name="FDD_88_1" hidden="1">"A31047"</definedName>
    <definedName name="FDD_88_10" hidden="1">"A34334"</definedName>
    <definedName name="FDD_88_11" hidden="1">"A34699"</definedName>
    <definedName name="FDD_88_12" hidden="1">"A35064"</definedName>
    <definedName name="FDD_88_13" hidden="1">"A35430"</definedName>
    <definedName name="FDD_88_14" hidden="1">"A35795"</definedName>
    <definedName name="FDD_88_2" hidden="1">"A31412"</definedName>
    <definedName name="FDD_88_3" hidden="1">"A31777"</definedName>
    <definedName name="FDD_88_4" hidden="1">"A32142"</definedName>
    <definedName name="FDD_88_5" hidden="1">"A32508"</definedName>
    <definedName name="FDD_88_6" hidden="1">"A32873"</definedName>
    <definedName name="FDD_88_7" hidden="1">"A33238"</definedName>
    <definedName name="FDD_88_8" hidden="1">"A33603"</definedName>
    <definedName name="FDD_88_9" hidden="1">"A33969"</definedName>
    <definedName name="FDD_89_0" hidden="1">"A30681"</definedName>
    <definedName name="FDD_89_1" hidden="1">"A31047"</definedName>
    <definedName name="FDD_89_10" hidden="1">"A34334"</definedName>
    <definedName name="FDD_89_11" hidden="1">"A34699"</definedName>
    <definedName name="FDD_89_12" hidden="1">"A35064"</definedName>
    <definedName name="FDD_89_13" hidden="1">"A35430"</definedName>
    <definedName name="FDD_89_14" hidden="1">"A35795"</definedName>
    <definedName name="FDD_89_2" hidden="1">"A31412"</definedName>
    <definedName name="FDD_89_3" hidden="1">"A31777"</definedName>
    <definedName name="FDD_89_4" hidden="1">"A32142"</definedName>
    <definedName name="FDD_89_5" hidden="1">"A32508"</definedName>
    <definedName name="FDD_89_6" hidden="1">"A32873"</definedName>
    <definedName name="FDD_89_7" hidden="1">"A33238"</definedName>
    <definedName name="FDD_89_8" hidden="1">"A33603"</definedName>
    <definedName name="FDD_89_9" hidden="1">"A33969"</definedName>
    <definedName name="FDD_9_0" hidden="1">"A25569"</definedName>
    <definedName name="FDD_90_0" hidden="1">"A30681"</definedName>
    <definedName name="FDD_90_1" hidden="1">"A31047"</definedName>
    <definedName name="FDD_90_10" hidden="1">"A34334"</definedName>
    <definedName name="FDD_90_11" hidden="1">"A34699"</definedName>
    <definedName name="FDD_90_12" hidden="1">"A35064"</definedName>
    <definedName name="FDD_90_13" hidden="1">"A35430"</definedName>
    <definedName name="FDD_90_14" hidden="1">"A35795"</definedName>
    <definedName name="FDD_90_2" hidden="1">"A31412"</definedName>
    <definedName name="FDD_90_3" hidden="1">"A31777"</definedName>
    <definedName name="FDD_90_4" hidden="1">"A32142"</definedName>
    <definedName name="FDD_90_5" hidden="1">"A32508"</definedName>
    <definedName name="FDD_90_6" hidden="1">"A32873"</definedName>
    <definedName name="FDD_90_7" hidden="1">"A33238"</definedName>
    <definedName name="FDD_90_8" hidden="1">"A33603"</definedName>
    <definedName name="FDD_90_9" hidden="1">"A33969"</definedName>
    <definedName name="FDD_91_0" hidden="1">"A30681"</definedName>
    <definedName name="FDD_91_1" hidden="1">"A31047"</definedName>
    <definedName name="FDD_91_10" hidden="1">"A34334"</definedName>
    <definedName name="FDD_91_11" hidden="1">"A34699"</definedName>
    <definedName name="FDD_91_12" hidden="1">"A35064"</definedName>
    <definedName name="FDD_91_13" hidden="1">"A35430"</definedName>
    <definedName name="FDD_91_14" hidden="1">"A35795"</definedName>
    <definedName name="FDD_91_2" hidden="1">"A31412"</definedName>
    <definedName name="FDD_91_3" hidden="1">"A31777"</definedName>
    <definedName name="FDD_91_4" hidden="1">"A32142"</definedName>
    <definedName name="FDD_91_5" hidden="1">"A32508"</definedName>
    <definedName name="FDD_91_6" hidden="1">"A32873"</definedName>
    <definedName name="FDD_91_7" hidden="1">"A33238"</definedName>
    <definedName name="FDD_91_8" hidden="1">"A33603"</definedName>
    <definedName name="FDD_91_9" hidden="1">"A33969"</definedName>
    <definedName name="FDD_92_0" hidden="1">"A30681"</definedName>
    <definedName name="FDD_92_1" hidden="1">"A31047"</definedName>
    <definedName name="FDD_92_10" hidden="1">"A34334"</definedName>
    <definedName name="FDD_92_11" hidden="1">"A34699"</definedName>
    <definedName name="FDD_92_12" hidden="1">"A35064"</definedName>
    <definedName name="FDD_92_13" hidden="1">"A35430"</definedName>
    <definedName name="FDD_92_14" hidden="1">"A35795"</definedName>
    <definedName name="FDD_92_2" hidden="1">"A31412"</definedName>
    <definedName name="FDD_92_3" hidden="1">"A31777"</definedName>
    <definedName name="FDD_92_4" hidden="1">"A32142"</definedName>
    <definedName name="FDD_92_5" hidden="1">"A32508"</definedName>
    <definedName name="FDD_92_6" hidden="1">"A32873"</definedName>
    <definedName name="FDD_92_7" hidden="1">"A33238"</definedName>
    <definedName name="FDD_92_8" hidden="1">"A33603"</definedName>
    <definedName name="FDD_92_9" hidden="1">"A33969"</definedName>
    <definedName name="FDD_93_0" hidden="1">"A30681"</definedName>
    <definedName name="FDD_93_1" hidden="1">"A31047"</definedName>
    <definedName name="FDD_93_10" hidden="1">"A34334"</definedName>
    <definedName name="FDD_93_11" hidden="1">"A34699"</definedName>
    <definedName name="FDD_93_12" hidden="1">"A35064"</definedName>
    <definedName name="FDD_93_13" hidden="1">"A35430"</definedName>
    <definedName name="FDD_93_14" hidden="1">"A35795"</definedName>
    <definedName name="FDD_93_2" hidden="1">"A31412"</definedName>
    <definedName name="FDD_93_3" hidden="1">"A31777"</definedName>
    <definedName name="FDD_93_4" hidden="1">"A32142"</definedName>
    <definedName name="FDD_93_5" hidden="1">"A32508"</definedName>
    <definedName name="FDD_93_6" hidden="1">"A32873"</definedName>
    <definedName name="FDD_93_7" hidden="1">"A33238"</definedName>
    <definedName name="FDD_93_8" hidden="1">"A33603"</definedName>
    <definedName name="FDD_93_9" hidden="1">"A33969"</definedName>
    <definedName name="FDD_94_0" hidden="1">"A30681"</definedName>
    <definedName name="FDD_94_1" hidden="1">"A31047"</definedName>
    <definedName name="FDD_94_10" hidden="1">"A34334"</definedName>
    <definedName name="FDD_94_11" hidden="1">"A34699"</definedName>
    <definedName name="FDD_94_12" hidden="1">"A35064"</definedName>
    <definedName name="FDD_94_13" hidden="1">"A35430"</definedName>
    <definedName name="FDD_94_14" hidden="1">"A35795"</definedName>
    <definedName name="FDD_94_2" hidden="1">"A31412"</definedName>
    <definedName name="FDD_94_3" hidden="1">"A31777"</definedName>
    <definedName name="FDD_94_4" hidden="1">"A32142"</definedName>
    <definedName name="FDD_94_5" hidden="1">"A32508"</definedName>
    <definedName name="FDD_94_6" hidden="1">"A32873"</definedName>
    <definedName name="FDD_94_7" hidden="1">"A33238"</definedName>
    <definedName name="FDD_94_8" hidden="1">"A33603"</definedName>
    <definedName name="FDD_94_9" hidden="1">"A33969"</definedName>
    <definedName name="FDD_95_0" hidden="1">"A30681"</definedName>
    <definedName name="FDD_95_1" hidden="1">"A31047"</definedName>
    <definedName name="FDD_95_10" hidden="1">"A34334"</definedName>
    <definedName name="FDD_95_11" hidden="1">"A34699"</definedName>
    <definedName name="FDD_95_12" hidden="1">"A35064"</definedName>
    <definedName name="FDD_95_13" hidden="1">"A35430"</definedName>
    <definedName name="FDD_95_14" hidden="1">"A35795"</definedName>
    <definedName name="FDD_95_2" hidden="1">"A31412"</definedName>
    <definedName name="FDD_95_3" hidden="1">"A31777"</definedName>
    <definedName name="FDD_95_4" hidden="1">"A32142"</definedName>
    <definedName name="FDD_95_5" hidden="1">"A32508"</definedName>
    <definedName name="FDD_95_6" hidden="1">"A32873"</definedName>
    <definedName name="FDD_95_7" hidden="1">"A33238"</definedName>
    <definedName name="FDD_95_8" hidden="1">"A33603"</definedName>
    <definedName name="FDD_95_9" hidden="1">"A33969"</definedName>
    <definedName name="FDD_96_0" hidden="1">"U30681"</definedName>
    <definedName name="FDD_96_1" hidden="1">"A31047"</definedName>
    <definedName name="FDD_96_10" hidden="1">"A34334"</definedName>
    <definedName name="FDD_96_11" hidden="1">"A34699"</definedName>
    <definedName name="FDD_96_12" hidden="1">"A35064"</definedName>
    <definedName name="FDD_96_13" hidden="1">"A35430"</definedName>
    <definedName name="FDD_96_14" hidden="1">"A35795"</definedName>
    <definedName name="FDD_96_2" hidden="1">"A31412"</definedName>
    <definedName name="FDD_96_3" hidden="1">"A31777"</definedName>
    <definedName name="FDD_96_4" hidden="1">"A32142"</definedName>
    <definedName name="FDD_96_5" hidden="1">"A32508"</definedName>
    <definedName name="FDD_96_6" hidden="1">"A32873"</definedName>
    <definedName name="FDD_96_7" hidden="1">"A33238"</definedName>
    <definedName name="FDD_96_8" hidden="1">"A33603"</definedName>
    <definedName name="FDD_96_9" hidden="1">"A33969"</definedName>
    <definedName name="FDD_97_0" hidden="1">"U30681"</definedName>
    <definedName name="FDD_97_1" hidden="1">"A31047"</definedName>
    <definedName name="FDD_97_10" hidden="1">"A34334"</definedName>
    <definedName name="FDD_97_11" hidden="1">"A34699"</definedName>
    <definedName name="FDD_97_12" hidden="1">"A35064"</definedName>
    <definedName name="FDD_97_13" hidden="1">"A35430"</definedName>
    <definedName name="FDD_97_14" hidden="1">"A35795"</definedName>
    <definedName name="FDD_97_2" hidden="1">"A31412"</definedName>
    <definedName name="FDD_97_3" hidden="1">"A31777"</definedName>
    <definedName name="FDD_97_4" hidden="1">"A32142"</definedName>
    <definedName name="FDD_97_5" hidden="1">"A32508"</definedName>
    <definedName name="FDD_97_6" hidden="1">"A32873"</definedName>
    <definedName name="FDD_97_7" hidden="1">"A33238"</definedName>
    <definedName name="FDD_97_8" hidden="1">"A33603"</definedName>
    <definedName name="FDD_97_9" hidden="1">"A33969"</definedName>
    <definedName name="FDD_98_0" hidden="1">"U30681"</definedName>
    <definedName name="FDD_98_1" hidden="1">"A31047"</definedName>
    <definedName name="FDD_98_10" hidden="1">"A34334"</definedName>
    <definedName name="FDD_98_11" hidden="1">"A34699"</definedName>
    <definedName name="FDD_98_12" hidden="1">"A35064"</definedName>
    <definedName name="FDD_98_13" hidden="1">"A35430"</definedName>
    <definedName name="FDD_98_14" hidden="1">"A35795"</definedName>
    <definedName name="FDD_98_2" hidden="1">"A31412"</definedName>
    <definedName name="FDD_98_3" hidden="1">"A31777"</definedName>
    <definedName name="FDD_98_4" hidden="1">"A32142"</definedName>
    <definedName name="FDD_98_5" hidden="1">"A32508"</definedName>
    <definedName name="FDD_98_6" hidden="1">"A32873"</definedName>
    <definedName name="FDD_98_7" hidden="1">"A33238"</definedName>
    <definedName name="FDD_98_8" hidden="1">"A33603"</definedName>
    <definedName name="FDD_98_9" hidden="1">"A33969"</definedName>
    <definedName name="FDD_99_0" hidden="1">"U30681"</definedName>
    <definedName name="FDD_99_1" hidden="1">"A31047"</definedName>
    <definedName name="FDD_99_10" hidden="1">"A34334"</definedName>
    <definedName name="FDD_99_11" hidden="1">"A34699"</definedName>
    <definedName name="FDD_99_12" hidden="1">"A35064"</definedName>
    <definedName name="FDD_99_13" hidden="1">"A35430"</definedName>
    <definedName name="FDD_99_14" hidden="1">"A35795"</definedName>
    <definedName name="FDD_99_2" hidden="1">"A31412"</definedName>
    <definedName name="FDD_99_3" hidden="1">"A31777"</definedName>
    <definedName name="FDD_99_4" hidden="1">"A32142"</definedName>
    <definedName name="FDD_99_5" hidden="1">"A32508"</definedName>
    <definedName name="FDD_99_6" hidden="1">"A32873"</definedName>
    <definedName name="FDD_99_7" hidden="1">"A33238"</definedName>
    <definedName name="FDD_99_8" hidden="1">"A33603"</definedName>
    <definedName name="FDD_99_9" hidden="1">"A33969"</definedName>
    <definedName name="ff" hidden="1">{#N/A,#N/A,FALSE,"e-Svc Level";#N/A,#N/A,FALSE,"e-Hosted";#N/A,#N/A,FALSE,"e-Licensed";#N/A,#N/A,FALSE,"Assumptions"}</definedName>
    <definedName name="finres" localSheetId="37" hidden="1">#REF!</definedName>
    <definedName name="finres" localSheetId="48" hidden="1">#REF!</definedName>
    <definedName name="finres" localSheetId="77" hidden="1">#REF!</definedName>
    <definedName name="finres" localSheetId="31" hidden="1">#REF!</definedName>
    <definedName name="finres" localSheetId="32" hidden="1">#REF!</definedName>
    <definedName name="finres" localSheetId="33" hidden="1">#REF!</definedName>
    <definedName name="finres" localSheetId="4" hidden="1">#REF!</definedName>
    <definedName name="finres" localSheetId="40" hidden="1">#REF!</definedName>
    <definedName name="finres" localSheetId="79" hidden="1">#REF!</definedName>
    <definedName name="finres" localSheetId="78" hidden="1">#REF!</definedName>
    <definedName name="finres" localSheetId="75" hidden="1">#REF!</definedName>
    <definedName name="finres" localSheetId="42" hidden="1">#REF!</definedName>
    <definedName name="finres" localSheetId="14" hidden="1">#REF!</definedName>
    <definedName name="finres" localSheetId="49" hidden="1">#REF!</definedName>
    <definedName name="finres" hidden="1">#REF!</definedName>
    <definedName name="FirstProj" localSheetId="43">[14]Setup!$C$14</definedName>
    <definedName name="fleebarg" hidden="1">{"rates",#N/A,FALSE,"Summary"}</definedName>
    <definedName name="flurb" hidden="1">{"umarea",#N/A,FALSE,"Starting Cost";"umagesex",#N/A,FALSE,"Starting Cost";"umbenlim",#N/A,FALSE,"Starting Cost";"umprovdisc",#N/A,FALSE,"Starting Cost";"umother",#N/A,FALSE,"Starting Cost";"umtrend",#N/A,FALSE,"Starting Cost"}</definedName>
    <definedName name="fw" localSheetId="37" hidden="1">{#N/A,#N/A,FALSE,"Model";#N/A,#N/A,FALSE,"Gen Pts &amp; Rts 2000";#N/A,#N/A,FALSE,"AcqsAss";#N/A,#N/A,FALSE,"Acqs &amp; De Novos"}</definedName>
    <definedName name="fw" localSheetId="92" hidden="1">{#N/A,#N/A,FALSE,"Model";#N/A,#N/A,FALSE,"Gen Pts &amp; Rts 2000";#N/A,#N/A,FALSE,"AcqsAss";#N/A,#N/A,FALSE,"Acqs &amp; De Novos"}</definedName>
    <definedName name="fw" localSheetId="43" hidden="1">{#N/A,#N/A,FALSE,"Model";#N/A,#N/A,FALSE,"Gen Pts &amp; Rts 2000";#N/A,#N/A,FALSE,"AcqsAss";#N/A,#N/A,FALSE,"Acqs &amp; De Novos"}</definedName>
    <definedName name="fw" hidden="1">{#N/A,#N/A,FALSE,"Model";#N/A,#N/A,FALSE,"Gen Pts &amp; Rts 2000";#N/A,#N/A,FALSE,"AcqsAss";#N/A,#N/A,FALSE,"Acqs &amp; De Novos"}</definedName>
    <definedName name="fwap" hidden="1">{#N/A,#N/A,FALSE,"Allocation"}</definedName>
    <definedName name="fweep" hidden="1">{"OM Visits",#N/A,TRUE,"Optimal";"OM Dollars per Hour",#N/A,TRUE,"Optimal";"OM Hours per Visit",#N/A,TRUE,"Optimal";"OM Dollars per Visit",#N/A,TRUE,"Optimal";"OM Total Visits",#N/A,TRUE,"Optimal";"OM PMPM",#N/A,TRUE,"Optimal"}</definedName>
    <definedName name="g" hidden="1">{"page1",#N/A,FALSE,"Model";"page2",#N/A,FALSE,"Model";"page3",#N/A,FALSE,"Model";"page4",#N/A,FALSE,"Model";"page5",#N/A,FALSE,"Model";"page6",#N/A,FALSE,"Model";"page7",#N/A,FALSE,"Model";"page8",#N/A,FALSE,"Model";"page9",#N/A,FALSE,"Model";"page10",#N/A,FALSE,"Model";"page11",#N/A,FALSE,"Model";"page12",#N/A,FALSE,"Model";"page13",#N/A,FALSE,"Model"}</definedName>
    <definedName name="gasf" hidden="1">{#N/A,#N/A,FALSE,"Model"}</definedName>
    <definedName name="ggg" hidden="1">{#N/A,#N/A,FALSE,"e-Svc Level";#N/A,#N/A,FALSE,"e-Hosted";#N/A,#N/A,FALSE,"e-Licensed";#N/A,#N/A,FALSE,"Assumptions"}</definedName>
    <definedName name="gin" localSheetId="37" hidden="1">#REF!</definedName>
    <definedName name="gin" localSheetId="48" hidden="1">#REF!</definedName>
    <definedName name="gin" localSheetId="77" hidden="1">#REF!</definedName>
    <definedName name="gin" localSheetId="31" hidden="1">#REF!</definedName>
    <definedName name="gin" localSheetId="32" hidden="1">#REF!</definedName>
    <definedName name="gin" localSheetId="33" hidden="1">#REF!</definedName>
    <definedName name="gin" localSheetId="4" hidden="1">#REF!</definedName>
    <definedName name="gin" localSheetId="92" hidden="1">#REF!</definedName>
    <definedName name="gin" localSheetId="40" hidden="1">#REF!</definedName>
    <definedName name="gin" localSheetId="79" hidden="1">#REF!</definedName>
    <definedName name="gin" localSheetId="78" hidden="1">#REF!</definedName>
    <definedName name="gin" localSheetId="75" hidden="1">#REF!</definedName>
    <definedName name="gin" localSheetId="42" hidden="1">#REF!</definedName>
    <definedName name="gin" localSheetId="14" hidden="1">#REF!</definedName>
    <definedName name="gin" localSheetId="49" hidden="1">#REF!</definedName>
    <definedName name="gin" hidden="1">#REF!</definedName>
    <definedName name="hh" localSheetId="37" hidden="1">{#N/A,#N/A,FALSE,"Bakersfield PCs";#N/A,#N/A,FALSE,"Bremer PCs";#N/A,#N/A,FALSE,"Bakersfield Notebooks"}</definedName>
    <definedName name="hh" localSheetId="92" hidden="1">{#N/A,#N/A,FALSE,"Bakersfield PCs";#N/A,#N/A,FALSE,"Bremer PCs";#N/A,#N/A,FALSE,"Bakersfield Notebooks"}</definedName>
    <definedName name="hh" localSheetId="43" hidden="1">{#N/A,#N/A,FALSE,"Bakersfield PCs";#N/A,#N/A,FALSE,"Bremer PCs";#N/A,#N/A,FALSE,"Bakersfield Notebooks"}</definedName>
    <definedName name="hh" hidden="1">{#N/A,#N/A,FALSE,"Bakersfield PCs";#N/A,#N/A,FALSE,"Bremer PCs";#N/A,#N/A,FALSE,"Bakersfield Notebooks"}</definedName>
    <definedName name="hhhh" localSheetId="37" hidden="1">{#N/A,#N/A,FALSE,"Bakersfield PCs";#N/A,#N/A,FALSE,"Bremer PCs";#N/A,#N/A,FALSE,"Bakersfield Notebooks"}</definedName>
    <definedName name="hhhh" localSheetId="92" hidden="1">{#N/A,#N/A,FALSE,"Bakersfield PCs";#N/A,#N/A,FALSE,"Bremer PCs";#N/A,#N/A,FALSE,"Bakersfield Notebooks"}</definedName>
    <definedName name="hhhh" localSheetId="43" hidden="1">{#N/A,#N/A,FALSE,"Bakersfield PCs";#N/A,#N/A,FALSE,"Bremer PCs";#N/A,#N/A,FALSE,"Bakersfield Notebooks"}</definedName>
    <definedName name="hhhh" hidden="1">{#N/A,#N/A,FALSE,"Bakersfield PCs";#N/A,#N/A,FALSE,"Bremer PCs";#N/A,#N/A,FALSE,"Bakersfield Notebooks"}</definedName>
    <definedName name="hhhhh" localSheetId="37" hidden="1">{#N/A,#N/A,FALSE,"Bakersfield PCs";#N/A,#N/A,FALSE,"Bremer PCs";#N/A,#N/A,FALSE,"Bakersfield Notebooks"}</definedName>
    <definedName name="hhhhh" localSheetId="92" hidden="1">{#N/A,#N/A,FALSE,"Bakersfield PCs";#N/A,#N/A,FALSE,"Bremer PCs";#N/A,#N/A,FALSE,"Bakersfield Notebooks"}</definedName>
    <definedName name="hhhhh" localSheetId="43" hidden="1">{#N/A,#N/A,FALSE,"Bakersfield PCs";#N/A,#N/A,FALSE,"Bremer PCs";#N/A,#N/A,FALSE,"Bakersfield Notebooks"}</definedName>
    <definedName name="hhhhh" hidden="1">{#N/A,#N/A,FALSE,"Bakersfield PCs";#N/A,#N/A,FALSE,"Bremer PCs";#N/A,#N/A,FALSE,"Bakersfield Notebooks"}</definedName>
    <definedName name="hhhw" localSheetId="37" hidden="1">{#N/A,#N/A,FALSE,"Bakersfield PCs";#N/A,#N/A,FALSE,"Bremer PCs";#N/A,#N/A,FALSE,"Bakersfield Notebooks"}</definedName>
    <definedName name="hhhw" localSheetId="92" hidden="1">{#N/A,#N/A,FALSE,"Bakersfield PCs";#N/A,#N/A,FALSE,"Bremer PCs";#N/A,#N/A,FALSE,"Bakersfield Notebooks"}</definedName>
    <definedName name="hhhw" localSheetId="43"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od" hidden="1">{#N/A,#N/A,FALSE,"TS";#N/A,#N/A,FALSE,"Combo";#N/A,#N/A,FALSE,"FAIR";#N/A,#N/A,FALSE,"RBC";#N/A,#N/A,FALSE,"xxxx";#N/A,#N/A,FALSE,"A_D";#N/A,#N/A,FALSE,"WACC";#N/A,#N/A,FALSE,"DCF";#N/A,#N/A,FALSE,"LBO";#N/A,#N/A,FALSE,"AcqMults";#N/A,#N/A,FALSE,"CompMults"}</definedName>
    <definedName name="houy" hidden="1">{#N/A,#N/A,FALSE,"AD_Purchase";#N/A,#N/A,FALSE,"Credit";#N/A,#N/A,FALSE,"PF Acquisition";#N/A,#N/A,FALSE,"PF Offering"}</definedName>
    <definedName name="HQ" hidden="1">{#N/A,#N/A,FALSE,"6405";#N/A,#N/A,FALSE,"6406";#N/A,#N/A,FALSE,"6409";#N/A,#N/A,FALSE,"6425";#N/A,#N/A,FALSE,"6426";#N/A,#N/A,FALSE,"6427";#N/A,#N/A,FALSE,"6440";#N/A,#N/A,FALSE,"6441";#N/A,#N/A,FALSE,"6442";#N/A,#N/A,FALSE,"6443"}</definedName>
    <definedName name="HTML" hidden="1">{"'PRODUCTIONCOST SHEET'!$B$3:$G$48"}</definedName>
    <definedName name="HTML_CodePage" hidden="1">1252</definedName>
    <definedName name="HTML_Control" localSheetId="37" hidden="1">{"'Leverage'!$B$2:$M$418"}</definedName>
    <definedName name="HTML_Control" localSheetId="92" hidden="1">{"'Leverage'!$B$2:$M$418"}</definedName>
    <definedName name="HTML_Control" localSheetId="43"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3"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PathTemplate" hidden="1">"C:\Mes documents\HTMLTemp.htm"</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hvb" hidden="1">{"page1",#N/A,FALSE,"Model";"page2",#N/A,FALSE,"Model";"page3",#N/A,FALSE,"Model";"page4",#N/A,FALSE,"Model";"page5",#N/A,FALSE,"Model";"page6",#N/A,FALSE,"Model";"page7",#N/A,FALSE,"Model";"page8",#N/A,FALSE,"Model";"page9",#N/A,FALSE,"Model";"page10",#N/A,FALSE,"Model";"page11",#N/A,FALSE,"Model";"page12",#N/A,FALSE,"Model";"page13",#N/A,FALSE,"Model"}</definedName>
    <definedName name="ick" hidden="1">{"UM Visits",#N/A,FALSE,"Unmanaged";"UM Dollars per Hour",#N/A,FALSE,"Unmanaged";"UM Hours per Visit",#N/A,FALSE,"Unmanaged";"UM Dollars per Visit",#N/A,FALSE,"Unmanaged";"UM Total Visits",#N/A,FALSE,"Unmanaged";"UM PMPM",#N/A,FALSE,"Unmanaged"}</definedName>
    <definedName name="iequwbg" hidden="1">{"page1",#N/A,FALSE,"Model";"page2",#N/A,FALSE,"Model";"page3",#N/A,FALSE,"Model";"page4",#N/A,FALSE,"Model";"page5",#N/A,FALSE,"Model";"page6",#N/A,FALSE,"Model";"page7",#N/A,FALSE,"Model";"page8",#N/A,FALSE,"Model";"page9",#N/A,FALSE,"Model";"page10",#N/A,FALSE,"Model";"page11",#N/A,FALSE,"Model";"page12",#N/A,FALSE,"Model";"page13",#N/A,FALSE,"Model"}</definedName>
    <definedName name="iiii" localSheetId="37" hidden="1">{#N/A,#N/A,FALSE,"Bakersfield PCs";#N/A,#N/A,FALSE,"Bremer PCs";#N/A,#N/A,FALSE,"Bakersfield Notebooks"}</definedName>
    <definedName name="iiii" localSheetId="92" hidden="1">{#N/A,#N/A,FALSE,"Bakersfield PCs";#N/A,#N/A,FALSE,"Bremer PCs";#N/A,#N/A,FALSE,"Bakersfield Notebooks"}</definedName>
    <definedName name="iiii" localSheetId="43" hidden="1">{#N/A,#N/A,FALSE,"Bakersfield PCs";#N/A,#N/A,FALSE,"Bremer PCs";#N/A,#N/A,FALSE,"Bakersfield Notebooks"}</definedName>
    <definedName name="iiii" hidden="1">{#N/A,#N/A,FALSE,"Bakersfield PCs";#N/A,#N/A,FALSE,"Bremer PCs";#N/A,#N/A,FALSE,"Bakersfield Notebooks"}</definedName>
    <definedName name="int_ext_sel">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OOK_VALUE" hidden="1">"IQ_BOOK_VALUE"</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PRIMARY_GIC" hidden="1">"c15584"</definedName>
    <definedName name="IQ_BUS_SEG_PRIMARY_GIC_ABS" hidden="1">"c15572"</definedName>
    <definedName name="IQ_BUS_SEG_SECONDARY_GIC" hidden="1">"c15585"</definedName>
    <definedName name="IQ_BUS_SEG_SECONDARY_GIC_ABS" hidden="1">"c15573"</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_REUT" hidden="1">"c6800"</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QUIV" hidden="1">"c118"</definedName>
    <definedName name="IQ_CASH_FINAN" hidden="1">"c119"</definedName>
    <definedName name="IQ_CASH_IN_PROCESS_FDIC" hidden="1">"c6386"</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hidden="1">"c359"</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_REUT" hidden="1">"c3641"</definedName>
    <definedName name="IQ_EBITDA_NO_EST" hidden="1">"c267"</definedName>
    <definedName name="IQ_EBITDA_NUM_EST" hidden="1">"c374"</definedName>
    <definedName name="IQ_EBITDA_NUM_EST_REUT" hidden="1">"c3644"</definedName>
    <definedName name="IQ_EBITDA_OVER_TOTAL_IE" hidden="1">"c373"</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EST_1" hidden="1">"IQ_EPS_EST_1"</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hidden="1">"c403"</definedName>
    <definedName name="IQ_EPS_STDDEV_EST_REUT" hidden="1">"c5452"</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SHARE_SHARE_THOM" hidden="1">"c4005"</definedName>
    <definedName name="IQ_EST_ACT_FFO_THOM" hidden="1">"c4005"</definedName>
    <definedName name="IQ_EST_ACT_NI_GW_THOM" hidden="1">"c5139"</definedName>
    <definedName name="IQ_EST_BV_DIFF_CIQ" hidden="1">"c4765"</definedName>
    <definedName name="IQ_EST_BV_DIFF_REUT" hidden="1">"c5433"</definedName>
    <definedName name="IQ_EST_BV_DIFF_THOM" hidden="1">"c5204"</definedName>
    <definedName name="IQ_EST_BV_SURPRISE_PERCENT_CIQ" hidden="1">"c4766"</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HARE_SHARE_DIFF_THOM" hidden="1">"c5186"</definedName>
    <definedName name="IQ_EST_FFO_SHARE_SHARE_SURPRISE_PERCENT_THOM" hidden="1">"c5187"</definedName>
    <definedName name="IQ_EST_FFO_SURPRISE_PERCENT_REUT" hidden="1">"c3891"</definedName>
    <definedName name="IQ_EST_FFO_SURPRISE_PERCENT_THOM" hidden="1">"c5187"</definedName>
    <definedName name="IQ_EST_NI_GW_DIFF_THOM" hidden="1">"c5200"</definedName>
    <definedName name="IQ_EST_NI_GW_SURPRISE_PERCENT_THOM" hidden="1">"c5201"</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UT_ACT_CAPEX" hidden="1">"c3975"</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"c165"</definedName>
    <definedName name="IQ_EV_OVER_REVENUE_EST_1" hidden="1">"c166"</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CURRENCY_THOM" hidden="1">"c12487"</definedName>
    <definedName name="IQ_FFO_EST_DET_EST_DATE" hidden="1">"c12212"</definedName>
    <definedName name="IQ_FFO_EST_DET_EST_DATE_CIQ" hidden="1">"c12267"</definedName>
    <definedName name="IQ_FFO_EST_DET_EST_DATE_REUT" hidden="1">"c12295"</definedName>
    <definedName name="IQ_FFO_EST_DET_EST_DATE_THOM" hidden="1">"c12238"</definedName>
    <definedName name="IQ_FFO_EST_DET_EST_INCL" hidden="1">"c12349"</definedName>
    <definedName name="IQ_FFO_EST_DET_EST_INCL_CIQ" hidden="1">"c12395"</definedName>
    <definedName name="IQ_FFO_EST_DET_EST_INCL_REUT" hidden="1">"c12419"</definedName>
    <definedName name="IQ_FFO_EST_DET_EST_INCL_THOM" hidden="1">"c12370"</definedName>
    <definedName name="IQ_FFO_EST_DET_EST_ORIGIN" hidden="1">"c12722"</definedName>
    <definedName name="IQ_FFO_EST_DET_EST_ORIGIN_CIQ" hidden="1">"c12720"</definedName>
    <definedName name="IQ_FFO_EST_DET_EST_ORIGIN_REUT" hidden="1">"c12724"</definedName>
    <definedName name="IQ_FFO_EST_DET_EST_ORIGIN_THOM" hidden="1">"c12608"</definedName>
    <definedName name="IQ_FFO_EST_DET_EST_REUT" hidden="1">"c12153"</definedName>
    <definedName name="IQ_FFO_EST_DET_EST_THOM" hidden="1">"c12088"</definedName>
    <definedName name="IQ_FFO_EST_REUT" hidden="1">"c3837"</definedName>
    <definedName name="IQ_FFO_EST_THOM" hidden="1">"c3999"</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HARE_SHARE_EST_DET_EST" hidden="1">"c12059"</definedName>
    <definedName name="IQ_FFO_SHARE_SHARE_EST_DET_EST_CURRENCY" hidden="1">"c12466"</definedName>
    <definedName name="IQ_FFO_SHARE_SHARE_EST_DET_EST_CURRENCY_THOM" hidden="1">"c12487"</definedName>
    <definedName name="IQ_FFO_SHARE_SHARE_EST_DET_EST_DATE" hidden="1">"c12212"</definedName>
    <definedName name="IQ_FFO_SHARE_SHARE_EST_DET_EST_DATE_THOM" hidden="1">"c12238"</definedName>
    <definedName name="IQ_FFO_SHARE_SHARE_EST_DET_EST_INCL" hidden="1">"c12349"</definedName>
    <definedName name="IQ_FFO_SHARE_SHARE_EST_DET_EST_INCL_THOM" hidden="1">"c12370"</definedName>
    <definedName name="IQ_FFO_SHARE_SHARE_EST_DET_EST_ORIGIN" hidden="1">"c12722"</definedName>
    <definedName name="IQ_FFO_SHARE_SHARE_EST_DET_EST_ORIGIN_THOM" hidden="1">"c12608"</definedName>
    <definedName name="IQ_FFO_SHARE_SHARE_EST_DET_EST_THOM" hidden="1">"c12088"</definedName>
    <definedName name="IQ_FFO_SHARE_SHARE_EST_THOM" hidden="1">"c3999"</definedName>
    <definedName name="IQ_FFO_SHARE_SHARE_HIGH_EST_THOM" hidden="1">"c4001"</definedName>
    <definedName name="IQ_FFO_SHARE_SHARE_LOW_EST_THOM" hidden="1">"c4002"</definedName>
    <definedName name="IQ_FFO_SHARE_SHARE_MEDIAN_EST_THOM" hidden="1">"c4000"</definedName>
    <definedName name="IQ_FFO_SHARE_SHARE_NUM_EST_THOM" hidden="1">"c4003"</definedName>
    <definedName name="IQ_FFO_SHARE_SHARE_STDDEV_EST_THOM" hidden="1">"c4004"</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_REUT" hidden="1">"c6798"</definedName>
    <definedName name="IQ_FISCAL_Y" hidden="1">"c441"</definedName>
    <definedName name="IQ_FISCAL_Y_EST_REUT" hidden="1">"c6799"</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"100"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37" hidden="1">43021.2359837963</definedName>
    <definedName name="IQ_NAMES_REVISION_DATE_" localSheetId="92" hidden="1">42308.5232523148</definedName>
    <definedName name="IQ_NAMES_REVISION_DATE_" localSheetId="91" hidden="1">41596.122662037</definedName>
    <definedName name="IQ_NAMES_REVISION_DATE_" localSheetId="50" hidden="1">42418.5945138889</definedName>
    <definedName name="IQ_NAMES_REVISION_DATE_" localSheetId="69" hidden="1">42571.2669444444</definedName>
    <definedName name="IQ_NAMES_REVISION_DATE_" hidden="1">43096.4881481481</definedName>
    <definedName name="IQ_NAMES_REVISION_DATE__1" hidden="1">41449.5435763889</definedName>
    <definedName name="IQ_NAMES_REVISION_DATE_1" hidden="1">42469.6971527778</definedName>
    <definedName name="IQ_NAV_ACT_OR_EST" hidden="1">"c2225"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"c158"</definedName>
    <definedName name="IQ_NET_INC_GROWTH_2" hidden="1">"c162"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GW_EST_THOM" hidden="1">"c5133"</definedName>
    <definedName name="IQ_NI_GW_HIGH_EST_THOM" hidden="1">"c5135"</definedName>
    <definedName name="IQ_NI_GW_LOW_EST_THOM" hidden="1">"c5136"</definedName>
    <definedName name="IQ_NI_GW_MEDIAN_EST_THOM" hidden="1">"c5134"</definedName>
    <definedName name="IQ_NI_GW_NUM_EST_THOM" hidden="1">"c5137"</definedName>
    <definedName name="IQ_NI_GW_STDDEV_EST_THOM" hidden="1">"c5138"</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MINING_REVENUE_COAL" hidden="1">"c15931"</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SHARE_SHARE_12MONTHS" hidden="1">"c1828"</definedName>
    <definedName name="IQ_PERCENT_CHANGE_EST_FFO_SHARE_SHARE_12MONTHS_THOM" hidden="1">"c5248"</definedName>
    <definedName name="IQ_PERCENT_CHANGE_EST_FFO_SHARE_SHARE_18MONTHS" hidden="1">"c1829"</definedName>
    <definedName name="IQ_PERCENT_CHANGE_EST_FFO_SHARE_SHARE_18MONTHS_THOM" hidden="1">"c5249"</definedName>
    <definedName name="IQ_PERCENT_CHANGE_EST_FFO_SHARE_SHARE_3MONTHS" hidden="1">"c1825"</definedName>
    <definedName name="IQ_PERCENT_CHANGE_EST_FFO_SHARE_SHARE_3MONTHS_THOM" hidden="1">"c5245"</definedName>
    <definedName name="IQ_PERCENT_CHANGE_EST_FFO_SHARE_SHARE_6MONTHS" hidden="1">"c1826"</definedName>
    <definedName name="IQ_PERCENT_CHANGE_EST_FFO_SHARE_SHARE_6MONTHS_THOM" hidden="1">"c5246"</definedName>
    <definedName name="IQ_PERCENT_CHANGE_EST_FFO_SHARE_SHARE_9MONTHS" hidden="1">"c1827"</definedName>
    <definedName name="IQ_PERCENT_CHANGE_EST_FFO_SHARE_SHARE_9MONTHS_THOM" hidden="1">"c5247"</definedName>
    <definedName name="IQ_PERCENT_CHANGE_EST_FFO_SHARE_SHARE_DAY" hidden="1">"c1822"</definedName>
    <definedName name="IQ_PERCENT_CHANGE_EST_FFO_SHARE_SHARE_DAY_THOM" hidden="1">"c5243"</definedName>
    <definedName name="IQ_PERCENT_CHANGE_EST_FFO_SHARE_SHARE_MONTH" hidden="1">"c1824"</definedName>
    <definedName name="IQ_PERCENT_CHANGE_EST_FFO_SHARE_SHARE_MONTH_THOM" hidden="1">"c5244"</definedName>
    <definedName name="IQ_PERCENT_CHANGE_EST_FFO_SHARE_SHARE_WEEK" hidden="1">"c1823"</definedName>
    <definedName name="IQ_PERCENT_CHANGE_EST_FFO_SHARE_SHARE_WEEK_THOM" hidden="1">"c5274"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hidden="1">"c1026"</definedName>
    <definedName name="IQ_PRICE_OVER_EPS_EST" hidden="1">"c174"</definedName>
    <definedName name="IQ_PRICE_OVER_EPS_EST_1" hidden="1">"c175"</definedName>
    <definedName name="IQ_PRICE_OVER_LTM_EPS" hidden="1">"c1029"</definedName>
    <definedName name="IQ_PRICE_TARGET" hidden="1">"c82"</definedName>
    <definedName name="IQ_PRICE_TARGET_REUT" hidden="1">"c3631"</definedName>
    <definedName name="IQ_PRICEDATE" hidden="1">"c1069"</definedName>
    <definedName name="IQ_PRICEDATETIME" hidden="1">"IQ_PRICEDATETIME"</definedName>
    <definedName name="IQ_PRICING_DATE" hidden="1">"c1613"</definedName>
    <definedName name="IQ_PRIMARY_EPS_TYPE_THOM" hidden="1">"c5297"</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hidden="1">"c1126"</definedName>
    <definedName name="IQ_REVENUE_EST_1" hidden="1">"IQ_REVENUE_EST_1"</definedName>
    <definedName name="IQ_REVENUE_EST_REUT" hidden="1">"c3634"</definedName>
    <definedName name="IQ_REVENUE_GROWTH_1" hidden="1">"c155"</definedName>
    <definedName name="IQ_REVENUE_GROWTH_2" hidden="1">"c159"</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hidden="1">"c1129"</definedName>
    <definedName name="IQ_REVENUE_NUM_EST_REUT" hidden="1">"c3638"</definedName>
    <definedName name="IQ_REVISION_DATE__1" hidden="1">39244.4696180556</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ROYALTY_REVENUE_COAL" hidden="1">"c15932"</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hidden="1">"c1337"</definedName>
    <definedName name="IQ_YEARHIGH_DATE" hidden="1">"c2250"</definedName>
    <definedName name="IQ_YEARLOW" hidden="1">"c1338"</definedName>
    <definedName name="IQ_YEARLOW_DATE" hidden="1">"c2251"</definedName>
    <definedName name="IQ_YTD">3000</definedName>
    <definedName name="IQ_YTDMONTH" hidden="1">130000</definedName>
    <definedName name="IQ_Z_SCORE" hidden="1">"c1339"</definedName>
    <definedName name="IQRA1" hidden="1">"$A$2:$A$368"</definedName>
    <definedName name="IQRA10" hidden="1">"$A$11:$A$2912"</definedName>
    <definedName name="IQRA11" hidden="1">"$A$12:$A$73"</definedName>
    <definedName name="IQRA20" hidden="1">"$A$21:$A$31"</definedName>
    <definedName name="IQRA22" hidden="1">"$A$23:$A$42"</definedName>
    <definedName name="IQRA4" hidden="1">"$A$5:$A$15"</definedName>
    <definedName name="IQRA5" hidden="1">"$A$6"</definedName>
    <definedName name="IQRA6" hidden="1">"$A$7:$A$36"</definedName>
    <definedName name="IQRA7" hidden="1">"$A$8:$A$82"</definedName>
    <definedName name="IQRA8" hidden="1">"$A$9:$A$260"</definedName>
    <definedName name="IQRAB22" hidden="1">"$AB$23:$AB$42"</definedName>
    <definedName name="IQRAD53" hidden="1">"$AD$54:$AD$63"</definedName>
    <definedName name="IQRAD54" hidden="1">"$AE$54:$AG$54"</definedName>
    <definedName name="IQRAD55" hidden="1">"$AE$55:$AH$55"</definedName>
    <definedName name="IQRAD56" hidden="1">"$AE$56:$AO$56"</definedName>
    <definedName name="IQRAD57" hidden="1">"$AE$57:$AH$57"</definedName>
    <definedName name="IQRAE22" hidden="1">"$AE$23:$AE$42"</definedName>
    <definedName name="IQRAE53" hidden="1">"$AE$54:$AE$56"</definedName>
    <definedName name="IQRAF16" hidden="1">"$AF$17:$AF$268"</definedName>
    <definedName name="IQRAF17" hidden="1">"$AF$18:$AF$269"</definedName>
    <definedName name="IQRAF53" hidden="1">"$AF$54:$AF$57"</definedName>
    <definedName name="IQRAG53" hidden="1">"$AG$54:$AG$64"</definedName>
    <definedName name="IQRAH22" hidden="1">"$AH$23:$AH$42"</definedName>
    <definedName name="IQRAH53" hidden="1">"$AH$54:$AH$56"</definedName>
    <definedName name="IQRAJ53" hidden="1">"$AJ$54:$AJ$61"</definedName>
    <definedName name="IQRAK22" hidden="1">"$AK$23:$AK$42"</definedName>
    <definedName name="IQRAK53" hidden="1">"$AK$54:$AK$57"</definedName>
    <definedName name="IQRAL53" hidden="1">"$AL$54:$AL$64"</definedName>
    <definedName name="IQRAM53" hidden="1">"$AM$54:$AM$61"</definedName>
    <definedName name="IQRAN22" hidden="1">"$AN$23:$AN$42"</definedName>
    <definedName name="IQRAN53" hidden="1">"$AN$54:$AN$64"</definedName>
    <definedName name="IQRAP53" hidden="1">"$AP$54:$AP$61"</definedName>
    <definedName name="IQRAQ22" hidden="1">"$AQ$23:$AQ$42"</definedName>
    <definedName name="IQRAQ53" hidden="1">"$AQ$54:$AQ$57"</definedName>
    <definedName name="IQRAS53" hidden="1">"$AS$54:$AS$61"</definedName>
    <definedName name="IQRAV53" hidden="1">"$AV$54:$AV$118"</definedName>
    <definedName name="IQRAW53" hidden="1">"$AW$54:$AW$66"</definedName>
    <definedName name="IQRAX53" hidden="1">"$AX$54:$AX$182"</definedName>
    <definedName name="IQRB14" hidden="1">"$B$15:$B$518"</definedName>
    <definedName name="IQRB16" hidden="1">"$B$17:$B$520"</definedName>
    <definedName name="IQRB17" hidden="1">"$B$18:$B$78"</definedName>
    <definedName name="IQRB17_1" hidden="1">"$B$18:$B$78"</definedName>
    <definedName name="IQRB18" hidden="1">"$B$19:$B$522"</definedName>
    <definedName name="IQRB5" hidden="1">"$B$6:$B$2020"</definedName>
    <definedName name="IQRB6" hidden="1">"$B$7:$B$1730"</definedName>
    <definedName name="IQRB7" hidden="1">"$B$8:$B$385"</definedName>
    <definedName name="IQRB8" hidden="1">"$B$9:$B$260"</definedName>
    <definedName name="IQRBB17" hidden="1">"$BB$18:$BB$1299"</definedName>
    <definedName name="IQRbetacalcA7" hidden="1">'[19]beta calc'!$A$8:$A$66</definedName>
    <definedName name="IQRBetaDATASHEETB17" hidden="1">#REF!</definedName>
    <definedName name="IQRC100" hidden="1">"$C$101:$C$102"</definedName>
    <definedName name="IQRC104" hidden="1">"$C$105:$C$107"</definedName>
    <definedName name="IQRC109" hidden="1">"$C$110:$C$113"</definedName>
    <definedName name="IQRC115" hidden="1">"$C$116:$C$117"</definedName>
    <definedName name="IQRC14" hidden="1">"$C$15:$C$119"</definedName>
    <definedName name="IQRC16" hidden="1">"$C$17:$C$19"</definedName>
    <definedName name="IQRC2" hidden="1">"$C$3:$C$13"</definedName>
    <definedName name="IQRC21" hidden="1">"$C$22:$C$26"</definedName>
    <definedName name="IQRC27" hidden="1">"$C$28:$C$32"</definedName>
    <definedName name="IQRC33" hidden="1">"$C$34:$C$36"</definedName>
    <definedName name="IQRC37" hidden="1">"$C$38:$C$40"</definedName>
    <definedName name="IQRC42" hidden="1">"$C$43:$C$47"</definedName>
    <definedName name="IQRC49" hidden="1">"$C$50:$C$54"</definedName>
    <definedName name="IQRC5" hidden="1">"$C$6:$C$70"</definedName>
    <definedName name="IQRC56" hidden="1">"$C$57:$C$59"</definedName>
    <definedName name="IQRC67" hidden="1">"$C$68:$C$72"</definedName>
    <definedName name="IQRC74" hidden="1">"$C$75:$C$77"</definedName>
    <definedName name="IQRC8" hidden="1">"$C$9:$C$260"</definedName>
    <definedName name="IQRC82" hidden="1">"$C$83:$C$87"</definedName>
    <definedName name="IQRC89" hidden="1">"$C$90:$C$94"</definedName>
    <definedName name="IQRC9" hidden="1">"$C$10:$C$14"</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Comp11F44" hidden="1">#REF!</definedName>
    <definedName name="IQRComp13G98" hidden="1">#REF!</definedName>
    <definedName name="IQRComp13R109" hidden="1">#REF!</definedName>
    <definedName name="IQRComp8I85" hidden="1">#REF!</definedName>
    <definedName name="IQRCtrlPremiumSupplementQ8" hidden="1">[20]CtrlPremiumSupplement!$Q$9:$Q$25</definedName>
    <definedName name="IQRD100" hidden="1">"$D$101:$D$102"</definedName>
    <definedName name="IQRD101" hidden="1">"$D$102:$D$103"</definedName>
    <definedName name="IQRD102" hidden="1">"$D$103:$D$104"</definedName>
    <definedName name="IQRD103" hidden="1">"$D$104:$D$108"</definedName>
    <definedName name="IQRD104" hidden="1">"$D$105:$D$109"</definedName>
    <definedName name="IQRD105" hidden="1">"$D$106:$D$108"</definedName>
    <definedName name="IQRD106" hidden="1">"$D$107:$D$109"</definedName>
    <definedName name="IQRD107" hidden="1">"$D$108:$D$110"</definedName>
    <definedName name="IQRD108" hidden="1">"$D$109:$D$111"</definedName>
    <definedName name="IQRD109" hidden="1">"$D$110:$D$112"</definedName>
    <definedName name="IQRD110" hidden="1">"$D$111:$D$114"</definedName>
    <definedName name="IQRD111" hidden="1">"$D$112:$D$115"</definedName>
    <definedName name="IQRD112" hidden="1">"$D$113:$D$116"</definedName>
    <definedName name="IQRD113" hidden="1">"$D$114:$D$117"</definedName>
    <definedName name="IQRD114" hidden="1">"$D$115:$D$118"</definedName>
    <definedName name="IQRD115" hidden="1">"$D$116:$D$119"</definedName>
    <definedName name="IQRD116" hidden="1">"$D$117:$D$118"</definedName>
    <definedName name="IQRD117" hidden="1">"$D$118:$D$119"</definedName>
    <definedName name="IQRD118" hidden="1">"$D$119:$D$120"</definedName>
    <definedName name="IQRD119" hidden="1">"$D$120:$D$121"</definedName>
    <definedName name="IQRD120" hidden="1">"$D$121:$D$123"</definedName>
    <definedName name="IQRD121" hidden="1">"$D$122:$D$123"</definedName>
    <definedName name="IQRD122" hidden="1">"$D$123:$D$125"</definedName>
    <definedName name="IQRD123" hidden="1">"$D$124:$D$125"</definedName>
    <definedName name="IQRD124" hidden="1">"$D$125:$D$128"</definedName>
    <definedName name="IQRD125" hidden="1">"$D$126:$D$127"</definedName>
    <definedName name="IQRD126" hidden="1">"$D$127:$D$130"</definedName>
    <definedName name="IQRD127" hidden="1">"$D$128:$D$129"</definedName>
    <definedName name="IQRD128" hidden="1">"$D$129:$D$130"</definedName>
    <definedName name="IQRD129" hidden="1">"$D$130"</definedName>
    <definedName name="IQRD130" hidden="1">"$D$131:$D$132"</definedName>
    <definedName name="IQRD131" hidden="1">"$D$132:$D$133"</definedName>
    <definedName name="IQRD132" hidden="1">"$D$133"</definedName>
    <definedName name="IQRD133" hidden="1">"$D$134:$D$135"</definedName>
    <definedName name="IQRD134" hidden="1">"$D$135"</definedName>
    <definedName name="IQRD135" hidden="1">"$D$136:$D$140"</definedName>
    <definedName name="IQRD136" hidden="1">"$D$137"</definedName>
    <definedName name="IQRD137" hidden="1">"$D$138:$D$141"</definedName>
    <definedName name="IQRD138" hidden="1">"$D$139"</definedName>
    <definedName name="IQRD139" hidden="1">"$D$140:$D$144"</definedName>
    <definedName name="IQRD14" hidden="1">"$D$15:$D$38"</definedName>
    <definedName name="IQRD140" hidden="1">"$D$141:$D$143"</definedName>
    <definedName name="IQRD141" hidden="1">"$D$142:$D$143"</definedName>
    <definedName name="IQRD142" hidden="1">"$D$143:$D$147"</definedName>
    <definedName name="IQRD143" hidden="1">"$D$144:$D$148"</definedName>
    <definedName name="IQRD144" hidden="1">"$D$145"</definedName>
    <definedName name="IQRD145" hidden="1">"$D$146"</definedName>
    <definedName name="IQRD146" hidden="1">"$D$147:$D$149"</definedName>
    <definedName name="IQRD147" hidden="1">"$D$148:$D$149"</definedName>
    <definedName name="IQRD148" hidden="1">"$D$149"</definedName>
    <definedName name="IQRD149" hidden="1">"$D$150:$D$154"</definedName>
    <definedName name="IQRD151" hidden="1">"$D$152:$D$156"</definedName>
    <definedName name="IQRD152" hidden="1">"$D$153:$D$154"</definedName>
    <definedName name="IQRD153" hidden="1">"$D$154"</definedName>
    <definedName name="IQRD154" hidden="1">"$D$155:$D$159"</definedName>
    <definedName name="IQRD155" hidden="1">"$D$156:$D$160"</definedName>
    <definedName name="IQRD156" hidden="1">"$D$157:$D$159"</definedName>
    <definedName name="IQRD157" hidden="1">"$D$158:$D$159"</definedName>
    <definedName name="IQRD158" hidden="1">"$D$159:$D$161"</definedName>
    <definedName name="IQRD16" hidden="1">"$D$17:$D$19"</definedName>
    <definedName name="IQRD160" hidden="1">"$D$161"</definedName>
    <definedName name="IQRD161" hidden="1">"$D$162:$D$163"</definedName>
    <definedName name="IQRD162" hidden="1">"$D$163:$D$167"</definedName>
    <definedName name="IQRD163" hidden="1">"$D$164:$D$168"</definedName>
    <definedName name="IQRD164" hidden="1">"$D$165:$D$166"</definedName>
    <definedName name="IQRD165" hidden="1">"$D$166:$D$167"</definedName>
    <definedName name="IQRD166" hidden="1">"$D$167"</definedName>
    <definedName name="IQRD167" hidden="1">"$D$168:$D$169"</definedName>
    <definedName name="IQRD168" hidden="1">"$D$169:$D$172"</definedName>
    <definedName name="IQRD169" hidden="1">"$D$170"</definedName>
    <definedName name="IQRD170" hidden="1">"$D$171:$D$173"</definedName>
    <definedName name="IQRD171" hidden="1">"$D$172:$D$173"</definedName>
    <definedName name="IQRD172" hidden="1">"$D$173:$D$177"</definedName>
    <definedName name="IQRD175" hidden="1">"$D$176"</definedName>
    <definedName name="IQRD176" hidden="1">"$D$177:$D$178"</definedName>
    <definedName name="IQRD177" hidden="1">"$D$178:$D$179"</definedName>
    <definedName name="IQRD178" hidden="1">"$D$179:$D$180"</definedName>
    <definedName name="IQRD180" hidden="1">"$D$181:$D$182"</definedName>
    <definedName name="IQRD181" hidden="1">"$D$182:$D$183"</definedName>
    <definedName name="IQRD185" hidden="1">"$D$186:$D$190"</definedName>
    <definedName name="IQRD186" hidden="1">"$D$187:$D$188"</definedName>
    <definedName name="IQRD189" hidden="1">"$D$190"</definedName>
    <definedName name="IQRD190" hidden="1">"$D$191:$D$195"</definedName>
    <definedName name="IQRD191" hidden="1">"$D$192:$D$196"</definedName>
    <definedName name="IQRD192" hidden="1">"$D$193:$D$194"</definedName>
    <definedName name="IQRD194" hidden="1">"$D$195:$D$199"</definedName>
    <definedName name="IQRD2" hidden="1">"$D$3"</definedName>
    <definedName name="IQRD200" hidden="1">"$D$201:$D$205"</definedName>
    <definedName name="IQRD206" hidden="1">"$D$207:$D$211"</definedName>
    <definedName name="IQRD21" hidden="1">"$D$22:$D$26"</definedName>
    <definedName name="IQRD214" hidden="1">"$D$215:$D$219"</definedName>
    <definedName name="IQRD22" hidden="1">"$D$23:$D$42"</definedName>
    <definedName name="IQRD24" hidden="1">"$D$25:$D$29"</definedName>
    <definedName name="IQRD27" hidden="1">"$D$28:$D$32"</definedName>
    <definedName name="IQRD28" hidden="1">"$D$29:$D$33"</definedName>
    <definedName name="IQRD29" hidden="1">"$D$30:$D$34"</definedName>
    <definedName name="IQRD30" hidden="1">"$D$31:$D$35"</definedName>
    <definedName name="IQRD33" hidden="1">"$D$34:$D$36"</definedName>
    <definedName name="IQRD35" hidden="1">"$D$36:$D$38"</definedName>
    <definedName name="IQRD36" hidden="1">"$D$37:$D$39"</definedName>
    <definedName name="IQRD37" hidden="1">"$D$38:$D$40"</definedName>
    <definedName name="IQRD39" hidden="1">"$D$40:$D$42"</definedName>
    <definedName name="IQRD40" hidden="1">"$D$41:$D$43"</definedName>
    <definedName name="IQRD42" hidden="1">"$D$43:$D$47"</definedName>
    <definedName name="IQRD44" hidden="1">"$D$45:$D$49"</definedName>
    <definedName name="IQRD45" hidden="1">"$D$46:$D$50"</definedName>
    <definedName name="IQRD48" hidden="1">"$D$49:$D$51"</definedName>
    <definedName name="IQRD49" hidden="1">"$D$50:$D$54"</definedName>
    <definedName name="IQRD5" hidden="1">"$D$6:$D$70"</definedName>
    <definedName name="IQRD50" hidden="1">"$D$51:$D$55"</definedName>
    <definedName name="IQRD51" hidden="1">"$D$52:$D$56"</definedName>
    <definedName name="IQRD52" hidden="1">"$D$53:$D$57"</definedName>
    <definedName name="IQRD53" hidden="1">"$D$54:$D$58"</definedName>
    <definedName name="IQRD55" hidden="1">"$D$56:$D$60"</definedName>
    <definedName name="IQRD56" hidden="1">"$D$57:$D$59"</definedName>
    <definedName name="IQRD57" hidden="1">"$D$58:$D$60"</definedName>
    <definedName name="IQRD58" hidden="1">"$D$59:$D$61"</definedName>
    <definedName name="IQRD59" hidden="1">"$D$60:$D$62"</definedName>
    <definedName name="IQRD60" hidden="1">"$D$61:$D$63"</definedName>
    <definedName name="IQRD61" hidden="1">"$D$62:$D$64"</definedName>
    <definedName name="IQRD62" hidden="1">"$D$63:$D$67"</definedName>
    <definedName name="IQRD64" hidden="1">"$D$65:$D$68"</definedName>
    <definedName name="IQRD65" hidden="1">"$D$66:$D$69"</definedName>
    <definedName name="IQRD66" hidden="1">"$D$67:$D$70"</definedName>
    <definedName name="IQRD67" hidden="1">"$D$68:$D$71"</definedName>
    <definedName name="IQRD69" hidden="1">"$D$70:$D$74"</definedName>
    <definedName name="IQRD70" hidden="1">"$D$71:$D$75"</definedName>
    <definedName name="IQRD71" hidden="1">"$D$72:$D$76"</definedName>
    <definedName name="IQRD72" hidden="1">"$D$73:$D$77"</definedName>
    <definedName name="IQRD73" hidden="1">"$D$74:$D$78"</definedName>
    <definedName name="IQRD74" hidden="1">"$D$75:$D$79"</definedName>
    <definedName name="IQRD75" hidden="1">"$D$76:$D$80"</definedName>
    <definedName name="IQRD76" hidden="1">"$D$77:$D$79"</definedName>
    <definedName name="IQRD77" hidden="1">"$D$78:$D$80"</definedName>
    <definedName name="IQRD78" hidden="1">"$D$79"</definedName>
    <definedName name="IQRD79" hidden="1">"$D$80:$D$82"</definedName>
    <definedName name="IQRD80" hidden="1">"$D$81"</definedName>
    <definedName name="IQRD81" hidden="1">"$D$82:$D$84"</definedName>
    <definedName name="IQRD82" hidden="1">"$D$83"</definedName>
    <definedName name="IQRD83" hidden="1">"$D$84:$D$86"</definedName>
    <definedName name="IQRD84" hidden="1">"$D$85"</definedName>
    <definedName name="IQRD85" hidden="1">"$D$86:$D$90"</definedName>
    <definedName name="IQRD86" hidden="1">"$D$87"</definedName>
    <definedName name="IQRD87" hidden="1">"$D$88:$D$92"</definedName>
    <definedName name="IQRD88" hidden="1">"$D$89"</definedName>
    <definedName name="IQRD89" hidden="1">"$D$90"</definedName>
    <definedName name="IQRD9" hidden="1">"$D$10:$D$14"</definedName>
    <definedName name="IQRD90" hidden="1">"$D$91"</definedName>
    <definedName name="IQRD91" hidden="1">"$D$92"</definedName>
    <definedName name="IQRD92" hidden="1">"$D$93:$D$97"</definedName>
    <definedName name="IQRD93" hidden="1">"$D$94:$D$98"</definedName>
    <definedName name="IQRD94" hidden="1">"$D$95"</definedName>
    <definedName name="IQRD95" hidden="1">"$D$96:$D$100"</definedName>
    <definedName name="IQRD96" hidden="1">"$D$97:$D$101"</definedName>
    <definedName name="IQRD97" hidden="1">"$D$98:$D$102"</definedName>
    <definedName name="IQRD98" hidden="1">"$D$99:$D$103"</definedName>
    <definedName name="IQRD99" hidden="1">"$D$100:$D$104"</definedName>
    <definedName name="IQRE27" hidden="1">"$E$28"</definedName>
    <definedName name="IQRE5" hidden="1">"$E$6:$E$70"</definedName>
    <definedName name="IQRF3" hidden="1">"$F$4:$F$68"</definedName>
    <definedName name="IQRF5" hidden="1">"$F$6:$F$70"</definedName>
    <definedName name="IQRF7" hidden="1">"$F$8:$F$1832"</definedName>
    <definedName name="IQRF8" hidden="1">"$F$9:$F$269"</definedName>
    <definedName name="IQRG22" hidden="1">"$G$23:$G$42"</definedName>
    <definedName name="IQRG3" hidden="1">"$G$4:$G$68"</definedName>
    <definedName name="IQRG41" hidden="1">"$G$42:$G$1300"</definedName>
    <definedName name="IQRG5" hidden="1">"$G$6:$G$70"</definedName>
    <definedName name="IQRG7" hidden="1">"$G$8:$G$1832"</definedName>
    <definedName name="IQRGG11" hidden="1">"$GG$12:$GG$17"</definedName>
    <definedName name="IQRGH11" hidden="1">"$GH$12"</definedName>
    <definedName name="IQRGI11" hidden="1">"$GI$12"</definedName>
    <definedName name="IQRH13" hidden="1">"$H$14"</definedName>
    <definedName name="IQRHistoricMultiplesAR9" localSheetId="37" hidden="1">#REF!</definedName>
    <definedName name="IQRHistoricMultiplesAR9" localSheetId="48" hidden="1">#REF!</definedName>
    <definedName name="IQRHistoricMultiplesAR9" localSheetId="77" hidden="1">#REF!</definedName>
    <definedName name="IQRHistoricMultiplesAR9" localSheetId="31" hidden="1">#REF!</definedName>
    <definedName name="IQRHistoricMultiplesAR9" localSheetId="32" hidden="1">#REF!</definedName>
    <definedName name="IQRHistoricMultiplesAR9" localSheetId="33" hidden="1">#REF!</definedName>
    <definedName name="IQRHistoricMultiplesAR9" localSheetId="4" hidden="1">#REF!</definedName>
    <definedName name="IQRHistoricMultiplesAR9" localSheetId="40" hidden="1">#REF!</definedName>
    <definedName name="IQRHistoricMultiplesAR9" localSheetId="79" hidden="1">#REF!</definedName>
    <definedName name="IQRHistoricMultiplesAR9" localSheetId="78" hidden="1">#REF!</definedName>
    <definedName name="IQRHistoricMultiplesAR9" localSheetId="75" hidden="1">#REF!</definedName>
    <definedName name="IQRHistoricMultiplesAR9" localSheetId="42" hidden="1">#REF!</definedName>
    <definedName name="IQRHistoricMultiplesAR9" localSheetId="14" hidden="1">#REF!</definedName>
    <definedName name="IQRHistoricMultiplesAR9" localSheetId="49" hidden="1">#REF!</definedName>
    <definedName name="IQRHistoricMultiplesAR9" hidden="1">#REF!</definedName>
    <definedName name="IQRHistoricMultiplesAW9" localSheetId="37" hidden="1">#REF!</definedName>
    <definedName name="IQRHistoricMultiplesAW9" localSheetId="48" hidden="1">#REF!</definedName>
    <definedName name="IQRHistoricMultiplesAW9" localSheetId="77" hidden="1">#REF!</definedName>
    <definedName name="IQRHistoricMultiplesAW9" localSheetId="31" hidden="1">#REF!</definedName>
    <definedName name="IQRHistoricMultiplesAW9" localSheetId="32" hidden="1">#REF!</definedName>
    <definedName name="IQRHistoricMultiplesAW9" localSheetId="33" hidden="1">#REF!</definedName>
    <definedName name="IQRHistoricMultiplesAW9" localSheetId="4" hidden="1">#REF!</definedName>
    <definedName name="IQRHistoricMultiplesAW9" localSheetId="40" hidden="1">#REF!</definedName>
    <definedName name="IQRHistoricMultiplesAW9" localSheetId="79" hidden="1">#REF!</definedName>
    <definedName name="IQRHistoricMultiplesAW9" localSheetId="78" hidden="1">#REF!</definedName>
    <definedName name="IQRHistoricMultiplesAW9" localSheetId="75" hidden="1">#REF!</definedName>
    <definedName name="IQRHistoricMultiplesAW9" localSheetId="42" hidden="1">#REF!</definedName>
    <definedName name="IQRHistoricMultiplesAW9" localSheetId="14" hidden="1">#REF!</definedName>
    <definedName name="IQRHistoricMultiplesAW9" localSheetId="49" hidden="1">#REF!</definedName>
    <definedName name="IQRHistoricMultiplesAW9" hidden="1">#REF!</definedName>
    <definedName name="IQRHistoricMultiplesBB9" localSheetId="37" hidden="1">#REF!</definedName>
    <definedName name="IQRHistoricMultiplesBB9" localSheetId="48" hidden="1">#REF!</definedName>
    <definedName name="IQRHistoricMultiplesBB9" localSheetId="77" hidden="1">#REF!</definedName>
    <definedName name="IQRHistoricMultiplesBB9" localSheetId="31" hidden="1">#REF!</definedName>
    <definedName name="IQRHistoricMultiplesBB9" localSheetId="32" hidden="1">#REF!</definedName>
    <definedName name="IQRHistoricMultiplesBB9" localSheetId="33" hidden="1">#REF!</definedName>
    <definedName name="IQRHistoricMultiplesBB9" localSheetId="4" hidden="1">#REF!</definedName>
    <definedName name="IQRHistoricMultiplesBB9" localSheetId="40" hidden="1">#REF!</definedName>
    <definedName name="IQRHistoricMultiplesBB9" localSheetId="79" hidden="1">#REF!</definedName>
    <definedName name="IQRHistoricMultiplesBB9" localSheetId="78" hidden="1">#REF!</definedName>
    <definedName name="IQRHistoricMultiplesBB9" localSheetId="75" hidden="1">#REF!</definedName>
    <definedName name="IQRHistoricMultiplesBB9" localSheetId="42" hidden="1">#REF!</definedName>
    <definedName name="IQRHistoricMultiplesBB9" localSheetId="14" hidden="1">#REF!</definedName>
    <definedName name="IQRHistoricMultiplesBB9" localSheetId="49" hidden="1">#REF!</definedName>
    <definedName name="IQRHistoricMultiplesBB9" hidden="1">#REF!</definedName>
    <definedName name="IQRHistoricMultiplesBG9" localSheetId="37" hidden="1">#REF!</definedName>
    <definedName name="IQRHistoricMultiplesBG9" localSheetId="48" hidden="1">#REF!</definedName>
    <definedName name="IQRHistoricMultiplesBG9" localSheetId="77" hidden="1">#REF!</definedName>
    <definedName name="IQRHistoricMultiplesBG9" localSheetId="31" hidden="1">#REF!</definedName>
    <definedName name="IQRHistoricMultiplesBG9" localSheetId="32" hidden="1">#REF!</definedName>
    <definedName name="IQRHistoricMultiplesBG9" localSheetId="33" hidden="1">#REF!</definedName>
    <definedName name="IQRHistoricMultiplesBG9" localSheetId="4" hidden="1">#REF!</definedName>
    <definedName name="IQRHistoricMultiplesBG9" localSheetId="40" hidden="1">#REF!</definedName>
    <definedName name="IQRHistoricMultiplesBG9" localSheetId="79" hidden="1">#REF!</definedName>
    <definedName name="IQRHistoricMultiplesBG9" localSheetId="78" hidden="1">#REF!</definedName>
    <definedName name="IQRHistoricMultiplesBG9" localSheetId="75" hidden="1">#REF!</definedName>
    <definedName name="IQRHistoricMultiplesBG9" localSheetId="42" hidden="1">#REF!</definedName>
    <definedName name="IQRHistoricMultiplesBG9" localSheetId="14" hidden="1">#REF!</definedName>
    <definedName name="IQRHistoricMultiplesBG9" localSheetId="49" hidden="1">#REF!</definedName>
    <definedName name="IQRHistoricMultiplesBG9" hidden="1">#REF!</definedName>
    <definedName name="IQRHistoricMultiplesBL9" localSheetId="37" hidden="1">#REF!</definedName>
    <definedName name="IQRHistoricMultiplesBL9" localSheetId="48" hidden="1">#REF!</definedName>
    <definedName name="IQRHistoricMultiplesBL9" localSheetId="77" hidden="1">#REF!</definedName>
    <definedName name="IQRHistoricMultiplesBL9" localSheetId="31" hidden="1">#REF!</definedName>
    <definedName name="IQRHistoricMultiplesBL9" localSheetId="32" hidden="1">#REF!</definedName>
    <definedName name="IQRHistoricMultiplesBL9" localSheetId="33" hidden="1">#REF!</definedName>
    <definedName name="IQRHistoricMultiplesBL9" localSheetId="4" hidden="1">#REF!</definedName>
    <definedName name="IQRHistoricMultiplesBL9" localSheetId="40" hidden="1">#REF!</definedName>
    <definedName name="IQRHistoricMultiplesBL9" localSheetId="79" hidden="1">#REF!</definedName>
    <definedName name="IQRHistoricMultiplesBL9" localSheetId="78" hidden="1">#REF!</definedName>
    <definedName name="IQRHistoricMultiplesBL9" localSheetId="75" hidden="1">#REF!</definedName>
    <definedName name="IQRHistoricMultiplesBL9" localSheetId="42" hidden="1">#REF!</definedName>
    <definedName name="IQRHistoricMultiplesBL9" localSheetId="14" hidden="1">#REF!</definedName>
    <definedName name="IQRHistoricMultiplesBL9" localSheetId="49" hidden="1">#REF!</definedName>
    <definedName name="IQRHistoricMultiplesBL9" hidden="1">#REF!</definedName>
    <definedName name="IQRHistoricMultiplesBQ9" localSheetId="37" hidden="1">#REF!</definedName>
    <definedName name="IQRHistoricMultiplesBQ9" localSheetId="48" hidden="1">#REF!</definedName>
    <definedName name="IQRHistoricMultiplesBQ9" localSheetId="77" hidden="1">#REF!</definedName>
    <definedName name="IQRHistoricMultiplesBQ9" localSheetId="31" hidden="1">#REF!</definedName>
    <definedName name="IQRHistoricMultiplesBQ9" localSheetId="32" hidden="1">#REF!</definedName>
    <definedName name="IQRHistoricMultiplesBQ9" localSheetId="33" hidden="1">#REF!</definedName>
    <definedName name="IQRHistoricMultiplesBQ9" localSheetId="4" hidden="1">#REF!</definedName>
    <definedName name="IQRHistoricMultiplesBQ9" localSheetId="40" hidden="1">#REF!</definedName>
    <definedName name="IQRHistoricMultiplesBQ9" localSheetId="79" hidden="1">#REF!</definedName>
    <definedName name="IQRHistoricMultiplesBQ9" localSheetId="78" hidden="1">#REF!</definedName>
    <definedName name="IQRHistoricMultiplesBQ9" localSheetId="75" hidden="1">#REF!</definedName>
    <definedName name="IQRHistoricMultiplesBQ9" localSheetId="42" hidden="1">#REF!</definedName>
    <definedName name="IQRHistoricMultiplesBQ9" localSheetId="14" hidden="1">#REF!</definedName>
    <definedName name="IQRHistoricMultiplesBQ9" localSheetId="49" hidden="1">#REF!</definedName>
    <definedName name="IQRHistoricMultiplesBQ9" hidden="1">#REF!</definedName>
    <definedName name="IQRHistoricMultiplesBV9" localSheetId="37" hidden="1">#REF!</definedName>
    <definedName name="IQRHistoricMultiplesBV9" localSheetId="48" hidden="1">#REF!</definedName>
    <definedName name="IQRHistoricMultiplesBV9" localSheetId="77" hidden="1">#REF!</definedName>
    <definedName name="IQRHistoricMultiplesBV9" localSheetId="31" hidden="1">#REF!</definedName>
    <definedName name="IQRHistoricMultiplesBV9" localSheetId="32" hidden="1">#REF!</definedName>
    <definedName name="IQRHistoricMultiplesBV9" localSheetId="33" hidden="1">#REF!</definedName>
    <definedName name="IQRHistoricMultiplesBV9" localSheetId="4" hidden="1">#REF!</definedName>
    <definedName name="IQRHistoricMultiplesBV9" localSheetId="40" hidden="1">#REF!</definedName>
    <definedName name="IQRHistoricMultiplesBV9" localSheetId="79" hidden="1">#REF!</definedName>
    <definedName name="IQRHistoricMultiplesBV9" localSheetId="78" hidden="1">#REF!</definedName>
    <definedName name="IQRHistoricMultiplesBV9" localSheetId="75" hidden="1">#REF!</definedName>
    <definedName name="IQRHistoricMultiplesBV9" localSheetId="42" hidden="1">#REF!</definedName>
    <definedName name="IQRHistoricMultiplesBV9" localSheetId="14" hidden="1">#REF!</definedName>
    <definedName name="IQRHistoricMultiplesBV9" localSheetId="49" hidden="1">#REF!</definedName>
    <definedName name="IQRHistoricMultiplesBV9" hidden="1">#REF!</definedName>
    <definedName name="IQRHistoricMultiplesCA9" localSheetId="37" hidden="1">#REF!</definedName>
    <definedName name="IQRHistoricMultiplesCA9" localSheetId="48" hidden="1">#REF!</definedName>
    <definedName name="IQRHistoricMultiplesCA9" localSheetId="77" hidden="1">#REF!</definedName>
    <definedName name="IQRHistoricMultiplesCA9" localSheetId="31" hidden="1">#REF!</definedName>
    <definedName name="IQRHistoricMultiplesCA9" localSheetId="32" hidden="1">#REF!</definedName>
    <definedName name="IQRHistoricMultiplesCA9" localSheetId="33" hidden="1">#REF!</definedName>
    <definedName name="IQRHistoricMultiplesCA9" localSheetId="4" hidden="1">#REF!</definedName>
    <definedName name="IQRHistoricMultiplesCA9" localSheetId="40" hidden="1">#REF!</definedName>
    <definedName name="IQRHistoricMultiplesCA9" localSheetId="79" hidden="1">#REF!</definedName>
    <definedName name="IQRHistoricMultiplesCA9" localSheetId="78" hidden="1">#REF!</definedName>
    <definedName name="IQRHistoricMultiplesCA9" localSheetId="75" hidden="1">#REF!</definedName>
    <definedName name="IQRHistoricMultiplesCA9" localSheetId="42" hidden="1">#REF!</definedName>
    <definedName name="IQRHistoricMultiplesCA9" localSheetId="14" hidden="1">#REF!</definedName>
    <definedName name="IQRHistoricMultiplesCA9" localSheetId="49" hidden="1">#REF!</definedName>
    <definedName name="IQRHistoricMultiplesCA9" hidden="1">#REF!</definedName>
    <definedName name="IQRHistoricMultiplesCF9" localSheetId="37" hidden="1">#REF!</definedName>
    <definedName name="IQRHistoricMultiplesCF9" localSheetId="48" hidden="1">#REF!</definedName>
    <definedName name="IQRHistoricMultiplesCF9" localSheetId="77" hidden="1">#REF!</definedName>
    <definedName name="IQRHistoricMultiplesCF9" localSheetId="31" hidden="1">#REF!</definedName>
    <definedName name="IQRHistoricMultiplesCF9" localSheetId="32" hidden="1">#REF!</definedName>
    <definedName name="IQRHistoricMultiplesCF9" localSheetId="33" hidden="1">#REF!</definedName>
    <definedName name="IQRHistoricMultiplesCF9" localSheetId="4" hidden="1">#REF!</definedName>
    <definedName name="IQRHistoricMultiplesCF9" localSheetId="40" hidden="1">#REF!</definedName>
    <definedName name="IQRHistoricMultiplesCF9" localSheetId="79" hidden="1">#REF!</definedName>
    <definedName name="IQRHistoricMultiplesCF9" localSheetId="78" hidden="1">#REF!</definedName>
    <definedName name="IQRHistoricMultiplesCF9" localSheetId="75" hidden="1">#REF!</definedName>
    <definedName name="IQRHistoricMultiplesCF9" localSheetId="42" hidden="1">#REF!</definedName>
    <definedName name="IQRHistoricMultiplesCF9" localSheetId="14" hidden="1">#REF!</definedName>
    <definedName name="IQRHistoricMultiplesCF9" localSheetId="49" hidden="1">#REF!</definedName>
    <definedName name="IQRHistoricMultiplesCF9" hidden="1">#REF!</definedName>
    <definedName name="IQRHistoricMultiplesCK9" localSheetId="37" hidden="1">#REF!</definedName>
    <definedName name="IQRHistoricMultiplesCK9" localSheetId="48" hidden="1">#REF!</definedName>
    <definedName name="IQRHistoricMultiplesCK9" localSheetId="77" hidden="1">#REF!</definedName>
    <definedName name="IQRHistoricMultiplesCK9" localSheetId="31" hidden="1">#REF!</definedName>
    <definedName name="IQRHistoricMultiplesCK9" localSheetId="32" hidden="1">#REF!</definedName>
    <definedName name="IQRHistoricMultiplesCK9" localSheetId="33" hidden="1">#REF!</definedName>
    <definedName name="IQRHistoricMultiplesCK9" localSheetId="4" hidden="1">#REF!</definedName>
    <definedName name="IQRHistoricMultiplesCK9" localSheetId="40" hidden="1">#REF!</definedName>
    <definedName name="IQRHistoricMultiplesCK9" localSheetId="79" hidden="1">#REF!</definedName>
    <definedName name="IQRHistoricMultiplesCK9" localSheetId="78" hidden="1">#REF!</definedName>
    <definedName name="IQRHistoricMultiplesCK9" localSheetId="75" hidden="1">#REF!</definedName>
    <definedName name="IQRHistoricMultiplesCK9" localSheetId="42" hidden="1">#REF!</definedName>
    <definedName name="IQRHistoricMultiplesCK9" localSheetId="14" hidden="1">#REF!</definedName>
    <definedName name="IQRHistoricMultiplesCK9" localSheetId="49" hidden="1">#REF!</definedName>
    <definedName name="IQRHistoricMultiplesCK9" hidden="1">#REF!</definedName>
    <definedName name="IQRI9" hidden="1">"$I$10:$I$1267"</definedName>
    <definedName name="IQRInputs2K27" hidden="1">'[20]Inputs (2)'!$K$28:$K$37</definedName>
    <definedName name="IQRInputs3K27" hidden="1">'[20]Inputs (3)'!$K$28:$K$37</definedName>
    <definedName name="IQRInputs4K27" hidden="1">'[20]Inputs (4)'!$K$28:$K$37</definedName>
    <definedName name="IQRInputs5K27" hidden="1">'[20]Inputs (5)'!$K$28:$K$37</definedName>
    <definedName name="IQRInputsBKK27" hidden="1">'[20]Inputs (B&amp;K)'!$K$28:$K$37</definedName>
    <definedName name="IQRInputsC80" hidden="1">[21]Inputs!#REF!</definedName>
    <definedName name="IQRInputsI34" hidden="1">[22]Inputs!$I$35</definedName>
    <definedName name="IQRInputsI39" hidden="1">[23]Inputs!$I$40</definedName>
    <definedName name="IQRIPOAF12" localSheetId="37" hidden="1">#REF!</definedName>
    <definedName name="IQRIPOAF12" localSheetId="48" hidden="1">#REF!</definedName>
    <definedName name="IQRIPOAF12" localSheetId="77" hidden="1">#REF!</definedName>
    <definedName name="IQRIPOAF12" localSheetId="31" hidden="1">#REF!</definedName>
    <definedName name="IQRIPOAF12" localSheetId="32" hidden="1">#REF!</definedName>
    <definedName name="IQRIPOAF12" localSheetId="33" hidden="1">#REF!</definedName>
    <definedName name="IQRIPOAF12" localSheetId="4" hidden="1">#REF!</definedName>
    <definedName name="IQRIPOAF12" localSheetId="92" hidden="1">#REF!</definedName>
    <definedName name="IQRIPOAF12" localSheetId="40" hidden="1">#REF!</definedName>
    <definedName name="IQRIPOAF12" localSheetId="79" hidden="1">#REF!</definedName>
    <definedName name="IQRIPOAF12" localSheetId="78" hidden="1">#REF!</definedName>
    <definedName name="IQRIPOAF12" localSheetId="75" hidden="1">#REF!</definedName>
    <definedName name="IQRIPOAF12" localSheetId="42" hidden="1">#REF!</definedName>
    <definedName name="IQRIPOAF12" localSheetId="14" hidden="1">#REF!</definedName>
    <definedName name="IQRIPOAF12" localSheetId="49" hidden="1">#REF!</definedName>
    <definedName name="IQRIPOAF12" hidden="1">#REF!</definedName>
    <definedName name="IQRIPOAF13" localSheetId="37" hidden="1">#REF!</definedName>
    <definedName name="IQRIPOAF13" localSheetId="48" hidden="1">#REF!</definedName>
    <definedName name="IQRIPOAF13" localSheetId="77" hidden="1">#REF!</definedName>
    <definedName name="IQRIPOAF13" localSheetId="31" hidden="1">#REF!</definedName>
    <definedName name="IQRIPOAF13" localSheetId="32" hidden="1">#REF!</definedName>
    <definedName name="IQRIPOAF13" localSheetId="33" hidden="1">#REF!</definedName>
    <definedName name="IQRIPOAF13" localSheetId="4" hidden="1">#REF!</definedName>
    <definedName name="IQRIPOAF13" localSheetId="92" hidden="1">#REF!</definedName>
    <definedName name="IQRIPOAF13" localSheetId="40" hidden="1">#REF!</definedName>
    <definedName name="IQRIPOAF13" localSheetId="79" hidden="1">#REF!</definedName>
    <definedName name="IQRIPOAF13" localSheetId="78" hidden="1">#REF!</definedName>
    <definedName name="IQRIPOAF13" localSheetId="75" hidden="1">#REF!</definedName>
    <definedName name="IQRIPOAF13" localSheetId="42" hidden="1">#REF!</definedName>
    <definedName name="IQRIPOAF13" localSheetId="14" hidden="1">#REF!</definedName>
    <definedName name="IQRIPOAF13" localSheetId="49" hidden="1">#REF!</definedName>
    <definedName name="IQRIPOAF13" hidden="1">#REF!</definedName>
    <definedName name="IQRIPOAF14" localSheetId="37" hidden="1">[24]IPO!#REF!</definedName>
    <definedName name="IQRIPOAF14" localSheetId="48" hidden="1">[24]IPO!#REF!</definedName>
    <definedName name="IQRIPOAF14" localSheetId="77" hidden="1">[24]IPO!#REF!</definedName>
    <definedName name="IQRIPOAF14" localSheetId="31" hidden="1">[24]IPO!#REF!</definedName>
    <definedName name="IQRIPOAF14" localSheetId="32" hidden="1">[24]IPO!#REF!</definedName>
    <definedName name="IQRIPOAF14" localSheetId="33" hidden="1">[24]IPO!#REF!</definedName>
    <definedName name="IQRIPOAF14" localSheetId="4" hidden="1">[24]IPO!#REF!</definedName>
    <definedName name="IQRIPOAF14" localSheetId="92" hidden="1">[25]IPO!#REF!</definedName>
    <definedName name="IQRIPOAF14" localSheetId="43" hidden="1">[26]IPO!#REF!</definedName>
    <definedName name="IQRIPOAF14" localSheetId="40" hidden="1">[24]IPO!#REF!</definedName>
    <definedName name="IQRIPOAF14" localSheetId="79" hidden="1">[24]IPO!#REF!</definedName>
    <definedName name="IQRIPOAF14" localSheetId="78" hidden="1">[24]IPO!#REF!</definedName>
    <definedName name="IQRIPOAF14" localSheetId="75" hidden="1">[24]IPO!#REF!</definedName>
    <definedName name="IQRIPOAF14" localSheetId="42" hidden="1">[24]IPO!#REF!</definedName>
    <definedName name="IQRIPOAF14" localSheetId="14" hidden="1">[24]IPO!#REF!</definedName>
    <definedName name="IQRIPOAF14" localSheetId="49" hidden="1">[24]IPO!#REF!</definedName>
    <definedName name="IQRIPOAF14" hidden="1">[24]IPO!#REF!</definedName>
    <definedName name="IQRIPOAF15" localSheetId="37" hidden="1">#REF!</definedName>
    <definedName name="IQRIPOAF15" localSheetId="48" hidden="1">#REF!</definedName>
    <definedName name="IQRIPOAF15" localSheetId="77" hidden="1">#REF!</definedName>
    <definedName name="IQRIPOAF15" localSheetId="31" hidden="1">#REF!</definedName>
    <definedName name="IQRIPOAF15" localSheetId="32" hidden="1">#REF!</definedName>
    <definedName name="IQRIPOAF15" localSheetId="33" hidden="1">#REF!</definedName>
    <definedName name="IQRIPOAF15" localSheetId="4" hidden="1">#REF!</definedName>
    <definedName name="IQRIPOAF15" localSheetId="92" hidden="1">#REF!</definedName>
    <definedName name="IQRIPOAF15" localSheetId="40" hidden="1">#REF!</definedName>
    <definedName name="IQRIPOAF15" localSheetId="79" hidden="1">#REF!</definedName>
    <definedName name="IQRIPOAF15" localSheetId="78" hidden="1">#REF!</definedName>
    <definedName name="IQRIPOAF15" localSheetId="75" hidden="1">#REF!</definedName>
    <definedName name="IQRIPOAF15" localSheetId="42" hidden="1">#REF!</definedName>
    <definedName name="IQRIPOAF15" localSheetId="14" hidden="1">#REF!</definedName>
    <definedName name="IQRIPOAF15" localSheetId="49" hidden="1">#REF!</definedName>
    <definedName name="IQRIPOAF15" hidden="1">#REF!</definedName>
    <definedName name="IQRIPOAF16" localSheetId="37" hidden="1">#REF!</definedName>
    <definedName name="IQRIPOAF16" localSheetId="48" hidden="1">#REF!</definedName>
    <definedName name="IQRIPOAF16" localSheetId="77" hidden="1">#REF!</definedName>
    <definedName name="IQRIPOAF16" localSheetId="31" hidden="1">#REF!</definedName>
    <definedName name="IQRIPOAF16" localSheetId="32" hidden="1">#REF!</definedName>
    <definedName name="IQRIPOAF16" localSheetId="33" hidden="1">#REF!</definedName>
    <definedName name="IQRIPOAF16" localSheetId="4" hidden="1">#REF!</definedName>
    <definedName name="IQRIPOAF16" localSheetId="92" hidden="1">#REF!</definedName>
    <definedName name="IQRIPOAF16" localSheetId="40" hidden="1">#REF!</definedName>
    <definedName name="IQRIPOAF16" localSheetId="79" hidden="1">#REF!</definedName>
    <definedName name="IQRIPOAF16" localSheetId="78" hidden="1">#REF!</definedName>
    <definedName name="IQRIPOAF16" localSheetId="75" hidden="1">#REF!</definedName>
    <definedName name="IQRIPOAF16" localSheetId="42" hidden="1">#REF!</definedName>
    <definedName name="IQRIPOAF16" localSheetId="14" hidden="1">#REF!</definedName>
    <definedName name="IQRIPOAF16" localSheetId="49" hidden="1">#REF!</definedName>
    <definedName name="IQRIPOAF16" hidden="1">#REF!</definedName>
    <definedName name="IQRIPOAF17" localSheetId="37" hidden="1">#REF!</definedName>
    <definedName name="IQRIPOAF17" localSheetId="48" hidden="1">#REF!</definedName>
    <definedName name="IQRIPOAF17" localSheetId="77" hidden="1">#REF!</definedName>
    <definedName name="IQRIPOAF17" localSheetId="31" hidden="1">#REF!</definedName>
    <definedName name="IQRIPOAF17" localSheetId="32" hidden="1">#REF!</definedName>
    <definedName name="IQRIPOAF17" localSheetId="33" hidden="1">#REF!</definedName>
    <definedName name="IQRIPOAF17" localSheetId="4" hidden="1">#REF!</definedName>
    <definedName name="IQRIPOAF17" localSheetId="92" hidden="1">#REF!</definedName>
    <definedName name="IQRIPOAF17" localSheetId="40" hidden="1">#REF!</definedName>
    <definedName name="IQRIPOAF17" localSheetId="79" hidden="1">#REF!</definedName>
    <definedName name="IQRIPOAF17" localSheetId="78" hidden="1">#REF!</definedName>
    <definedName name="IQRIPOAF17" localSheetId="75" hidden="1">#REF!</definedName>
    <definedName name="IQRIPOAF17" localSheetId="42" hidden="1">#REF!</definedName>
    <definedName name="IQRIPOAF17" localSheetId="14" hidden="1">#REF!</definedName>
    <definedName name="IQRIPOAF17" localSheetId="49" hidden="1">#REF!</definedName>
    <definedName name="IQRIPOAF17" hidden="1">#REF!</definedName>
    <definedName name="IQRIPOAF18" localSheetId="37" hidden="1">#REF!</definedName>
    <definedName name="IQRIPOAF18" localSheetId="48" hidden="1">#REF!</definedName>
    <definedName name="IQRIPOAF18" localSheetId="77" hidden="1">#REF!</definedName>
    <definedName name="IQRIPOAF18" localSheetId="31" hidden="1">#REF!</definedName>
    <definedName name="IQRIPOAF18" localSheetId="32" hidden="1">#REF!</definedName>
    <definedName name="IQRIPOAF18" localSheetId="33" hidden="1">#REF!</definedName>
    <definedName name="IQRIPOAF18" localSheetId="4" hidden="1">#REF!</definedName>
    <definedName name="IQRIPOAF18" localSheetId="92" hidden="1">#REF!</definedName>
    <definedName name="IQRIPOAF18" localSheetId="40" hidden="1">#REF!</definedName>
    <definedName name="IQRIPOAF18" localSheetId="79" hidden="1">#REF!</definedName>
    <definedName name="IQRIPOAF18" localSheetId="78" hidden="1">#REF!</definedName>
    <definedName name="IQRIPOAF18" localSheetId="75" hidden="1">#REF!</definedName>
    <definedName name="IQRIPOAF18" localSheetId="42" hidden="1">#REF!</definedName>
    <definedName name="IQRIPOAF18" localSheetId="14" hidden="1">#REF!</definedName>
    <definedName name="IQRIPOAF18" localSheetId="49" hidden="1">#REF!</definedName>
    <definedName name="IQRIPOAF18" hidden="1">#REF!</definedName>
    <definedName name="IQRIPOAF19" localSheetId="37" hidden="1">#REF!</definedName>
    <definedName name="IQRIPOAF19" localSheetId="48" hidden="1">#REF!</definedName>
    <definedName name="IQRIPOAF19" localSheetId="77" hidden="1">#REF!</definedName>
    <definedName name="IQRIPOAF19" localSheetId="31" hidden="1">#REF!</definedName>
    <definedName name="IQRIPOAF19" localSheetId="32" hidden="1">#REF!</definedName>
    <definedName name="IQRIPOAF19" localSheetId="33" hidden="1">#REF!</definedName>
    <definedName name="IQRIPOAF19" localSheetId="4" hidden="1">#REF!</definedName>
    <definedName name="IQRIPOAF19" localSheetId="92" hidden="1">#REF!</definedName>
    <definedName name="IQRIPOAF19" localSheetId="40" hidden="1">#REF!</definedName>
    <definedName name="IQRIPOAF19" localSheetId="79" hidden="1">#REF!</definedName>
    <definedName name="IQRIPOAF19" localSheetId="78" hidden="1">#REF!</definedName>
    <definedName name="IQRIPOAF19" localSheetId="75" hidden="1">#REF!</definedName>
    <definedName name="IQRIPOAF19" localSheetId="42" hidden="1">#REF!</definedName>
    <definedName name="IQRIPOAF19" localSheetId="14" hidden="1">#REF!</definedName>
    <definedName name="IQRIPOAF19" localSheetId="49" hidden="1">#REF!</definedName>
    <definedName name="IQRIPOAF19" hidden="1">#REF!</definedName>
    <definedName name="IQRIPOAF20" localSheetId="37" hidden="1">#REF!</definedName>
    <definedName name="IQRIPOAF20" localSheetId="48" hidden="1">#REF!</definedName>
    <definedName name="IQRIPOAF20" localSheetId="77" hidden="1">#REF!</definedName>
    <definedName name="IQRIPOAF20" localSheetId="31" hidden="1">#REF!</definedName>
    <definedName name="IQRIPOAF20" localSheetId="32" hidden="1">#REF!</definedName>
    <definedName name="IQRIPOAF20" localSheetId="33" hidden="1">#REF!</definedName>
    <definedName name="IQRIPOAF20" localSheetId="4" hidden="1">#REF!</definedName>
    <definedName name="IQRIPOAF20" localSheetId="92" hidden="1">#REF!</definedName>
    <definedName name="IQRIPOAF20" localSheetId="40" hidden="1">#REF!</definedName>
    <definedName name="IQRIPOAF20" localSheetId="79" hidden="1">#REF!</definedName>
    <definedName name="IQRIPOAF20" localSheetId="78" hidden="1">#REF!</definedName>
    <definedName name="IQRIPOAF20" localSheetId="75" hidden="1">#REF!</definedName>
    <definedName name="IQRIPOAF20" localSheetId="42" hidden="1">#REF!</definedName>
    <definedName name="IQRIPOAF20" localSheetId="14" hidden="1">#REF!</definedName>
    <definedName name="IQRIPOAF20" localSheetId="49" hidden="1">#REF!</definedName>
    <definedName name="IQRIPOAF20" hidden="1">#REF!</definedName>
    <definedName name="IQRIPOAF21" localSheetId="37" hidden="1">#REF!</definedName>
    <definedName name="IQRIPOAF21" localSheetId="48" hidden="1">#REF!</definedName>
    <definedName name="IQRIPOAF21" localSheetId="77" hidden="1">#REF!</definedName>
    <definedName name="IQRIPOAF21" localSheetId="31" hidden="1">#REF!</definedName>
    <definedName name="IQRIPOAF21" localSheetId="32" hidden="1">#REF!</definedName>
    <definedName name="IQRIPOAF21" localSheetId="33" hidden="1">#REF!</definedName>
    <definedName name="IQRIPOAF21" localSheetId="4" hidden="1">#REF!</definedName>
    <definedName name="IQRIPOAF21" localSheetId="92" hidden="1">#REF!</definedName>
    <definedName name="IQRIPOAF21" localSheetId="40" hidden="1">#REF!</definedName>
    <definedName name="IQRIPOAF21" localSheetId="79" hidden="1">#REF!</definedName>
    <definedName name="IQRIPOAF21" localSheetId="78" hidden="1">#REF!</definedName>
    <definedName name="IQRIPOAF21" localSheetId="75" hidden="1">#REF!</definedName>
    <definedName name="IQRIPOAF21" localSheetId="42" hidden="1">#REF!</definedName>
    <definedName name="IQRIPOAF21" localSheetId="14" hidden="1">#REF!</definedName>
    <definedName name="IQRIPOAF21" localSheetId="49" hidden="1">#REF!</definedName>
    <definedName name="IQRIPOAF21" hidden="1">#REF!</definedName>
    <definedName name="IQRIPOAF22" localSheetId="37" hidden="1">#REF!</definedName>
    <definedName name="IQRIPOAF22" localSheetId="48" hidden="1">#REF!</definedName>
    <definedName name="IQRIPOAF22" localSheetId="77" hidden="1">#REF!</definedName>
    <definedName name="IQRIPOAF22" localSheetId="31" hidden="1">#REF!</definedName>
    <definedName name="IQRIPOAF22" localSheetId="32" hidden="1">#REF!</definedName>
    <definedName name="IQRIPOAF22" localSheetId="33" hidden="1">#REF!</definedName>
    <definedName name="IQRIPOAF22" localSheetId="4" hidden="1">#REF!</definedName>
    <definedName name="IQRIPOAF22" localSheetId="92" hidden="1">#REF!</definedName>
    <definedName name="IQRIPOAF22" localSheetId="40" hidden="1">#REF!</definedName>
    <definedName name="IQRIPOAF22" localSheetId="79" hidden="1">#REF!</definedName>
    <definedName name="IQRIPOAF22" localSheetId="78" hidden="1">#REF!</definedName>
    <definedName name="IQRIPOAF22" localSheetId="75" hidden="1">#REF!</definedName>
    <definedName name="IQRIPOAF22" localSheetId="42" hidden="1">#REF!</definedName>
    <definedName name="IQRIPOAF22" localSheetId="14" hidden="1">#REF!</definedName>
    <definedName name="IQRIPOAF22" localSheetId="49" hidden="1">#REF!</definedName>
    <definedName name="IQRIPOAF22" hidden="1">#REF!</definedName>
    <definedName name="IQRIPOAF23" localSheetId="37" hidden="1">#REF!</definedName>
    <definedName name="IQRIPOAF23" localSheetId="48" hidden="1">#REF!</definedName>
    <definedName name="IQRIPOAF23" localSheetId="77" hidden="1">#REF!</definedName>
    <definedName name="IQRIPOAF23" localSheetId="31" hidden="1">#REF!</definedName>
    <definedName name="IQRIPOAF23" localSheetId="32" hidden="1">#REF!</definedName>
    <definedName name="IQRIPOAF23" localSheetId="33" hidden="1">#REF!</definedName>
    <definedName name="IQRIPOAF23" localSheetId="4" hidden="1">#REF!</definedName>
    <definedName name="IQRIPOAF23" localSheetId="92" hidden="1">#REF!</definedName>
    <definedName name="IQRIPOAF23" localSheetId="40" hidden="1">#REF!</definedName>
    <definedName name="IQRIPOAF23" localSheetId="79" hidden="1">#REF!</definedName>
    <definedName name="IQRIPOAF23" localSheetId="78" hidden="1">#REF!</definedName>
    <definedName name="IQRIPOAF23" localSheetId="75" hidden="1">#REF!</definedName>
    <definedName name="IQRIPOAF23" localSheetId="42" hidden="1">#REF!</definedName>
    <definedName name="IQRIPOAF23" localSheetId="14" hidden="1">#REF!</definedName>
    <definedName name="IQRIPOAF23" localSheetId="49" hidden="1">#REF!</definedName>
    <definedName name="IQRIPOAF23" hidden="1">#REF!</definedName>
    <definedName name="IQRIPOAF24" localSheetId="37" hidden="1">#REF!</definedName>
    <definedName name="IQRIPOAF24" localSheetId="48" hidden="1">#REF!</definedName>
    <definedName name="IQRIPOAF24" localSheetId="77" hidden="1">#REF!</definedName>
    <definedName name="IQRIPOAF24" localSheetId="31" hidden="1">#REF!</definedName>
    <definedName name="IQRIPOAF24" localSheetId="32" hidden="1">#REF!</definedName>
    <definedName name="IQRIPOAF24" localSheetId="33" hidden="1">#REF!</definedName>
    <definedName name="IQRIPOAF24" localSheetId="4" hidden="1">#REF!</definedName>
    <definedName name="IQRIPOAF24" localSheetId="92" hidden="1">#REF!</definedName>
    <definedName name="IQRIPOAF24" localSheetId="40" hidden="1">#REF!</definedName>
    <definedName name="IQRIPOAF24" localSheetId="79" hidden="1">#REF!</definedName>
    <definedName name="IQRIPOAF24" localSheetId="78" hidden="1">#REF!</definedName>
    <definedName name="IQRIPOAF24" localSheetId="75" hidden="1">#REF!</definedName>
    <definedName name="IQRIPOAF24" localSheetId="42" hidden="1">#REF!</definedName>
    <definedName name="IQRIPOAF24" localSheetId="14" hidden="1">#REF!</definedName>
    <definedName name="IQRIPOAF24" localSheetId="49" hidden="1">#REF!</definedName>
    <definedName name="IQRIPOAF24" hidden="1">#REF!</definedName>
    <definedName name="IQRIPOAF25" localSheetId="37" hidden="1">[24]IPO!#REF!</definedName>
    <definedName name="IQRIPOAF25" localSheetId="48" hidden="1">[24]IPO!#REF!</definedName>
    <definedName name="IQRIPOAF25" localSheetId="77" hidden="1">[24]IPO!#REF!</definedName>
    <definedName name="IQRIPOAF25" localSheetId="31" hidden="1">[24]IPO!#REF!</definedName>
    <definedName name="IQRIPOAF25" localSheetId="32" hidden="1">[24]IPO!#REF!</definedName>
    <definedName name="IQRIPOAF25" localSheetId="33" hidden="1">[24]IPO!#REF!</definedName>
    <definedName name="IQRIPOAF25" localSheetId="4" hidden="1">[24]IPO!#REF!</definedName>
    <definedName name="IQRIPOAF25" localSheetId="92" hidden="1">[25]IPO!#REF!</definedName>
    <definedName name="IQRIPOAF25" localSheetId="43" hidden="1">[26]IPO!#REF!</definedName>
    <definedName name="IQRIPOAF25" localSheetId="40" hidden="1">[24]IPO!#REF!</definedName>
    <definedName name="IQRIPOAF25" localSheetId="79" hidden="1">[24]IPO!#REF!</definedName>
    <definedName name="IQRIPOAF25" localSheetId="78" hidden="1">[24]IPO!#REF!</definedName>
    <definedName name="IQRIPOAF25" localSheetId="75" hidden="1">[24]IPO!#REF!</definedName>
    <definedName name="IQRIPOAF25" localSheetId="42" hidden="1">[24]IPO!#REF!</definedName>
    <definedName name="IQRIPOAF25" localSheetId="14" hidden="1">[24]IPO!#REF!</definedName>
    <definedName name="IQRIPOAF25" localSheetId="49" hidden="1">[24]IPO!#REF!</definedName>
    <definedName name="IQRIPOAF25" hidden="1">[24]IPO!#REF!</definedName>
    <definedName name="IQRIPOAF26" localSheetId="37" hidden="1">#REF!</definedName>
    <definedName name="IQRIPOAF26" localSheetId="48" hidden="1">#REF!</definedName>
    <definedName name="IQRIPOAF26" localSheetId="77" hidden="1">#REF!</definedName>
    <definedName name="IQRIPOAF26" localSheetId="31" hidden="1">#REF!</definedName>
    <definedName name="IQRIPOAF26" localSheetId="32" hidden="1">#REF!</definedName>
    <definedName name="IQRIPOAF26" localSheetId="33" hidden="1">#REF!</definedName>
    <definedName name="IQRIPOAF26" localSheetId="4" hidden="1">#REF!</definedName>
    <definedName name="IQRIPOAF26" localSheetId="92" hidden="1">#REF!</definedName>
    <definedName name="IQRIPOAF26" localSheetId="40" hidden="1">#REF!</definedName>
    <definedName name="IQRIPOAF26" localSheetId="79" hidden="1">#REF!</definedName>
    <definedName name="IQRIPOAF26" localSheetId="78" hidden="1">#REF!</definedName>
    <definedName name="IQRIPOAF26" localSheetId="75" hidden="1">#REF!</definedName>
    <definedName name="IQRIPOAF26" localSheetId="42" hidden="1">#REF!</definedName>
    <definedName name="IQRIPOAF26" localSheetId="14" hidden="1">#REF!</definedName>
    <definedName name="IQRIPOAF26" localSheetId="49" hidden="1">#REF!</definedName>
    <definedName name="IQRIPOAF26" hidden="1">#REF!</definedName>
    <definedName name="IQRIPOAF27" localSheetId="37" hidden="1">#REF!</definedName>
    <definedName name="IQRIPOAF27" localSheetId="48" hidden="1">#REF!</definedName>
    <definedName name="IQRIPOAF27" localSheetId="77" hidden="1">#REF!</definedName>
    <definedName name="IQRIPOAF27" localSheetId="31" hidden="1">#REF!</definedName>
    <definedName name="IQRIPOAF27" localSheetId="32" hidden="1">#REF!</definedName>
    <definedName name="IQRIPOAF27" localSheetId="33" hidden="1">#REF!</definedName>
    <definedName name="IQRIPOAF27" localSheetId="4" hidden="1">#REF!</definedName>
    <definedName name="IQRIPOAF27" localSheetId="92" hidden="1">#REF!</definedName>
    <definedName name="IQRIPOAF27" localSheetId="40" hidden="1">#REF!</definedName>
    <definedName name="IQRIPOAF27" localSheetId="79" hidden="1">#REF!</definedName>
    <definedName name="IQRIPOAF27" localSheetId="78" hidden="1">#REF!</definedName>
    <definedName name="IQRIPOAF27" localSheetId="75" hidden="1">#REF!</definedName>
    <definedName name="IQRIPOAF27" localSheetId="42" hidden="1">#REF!</definedName>
    <definedName name="IQRIPOAF27" localSheetId="14" hidden="1">#REF!</definedName>
    <definedName name="IQRIPOAF27" localSheetId="49" hidden="1">#REF!</definedName>
    <definedName name="IQRIPOAF27" hidden="1">#REF!</definedName>
    <definedName name="IQRIPOAF28" localSheetId="37" hidden="1">#REF!</definedName>
    <definedName name="IQRIPOAF28" localSheetId="48" hidden="1">#REF!</definedName>
    <definedName name="IQRIPOAF28" localSheetId="77" hidden="1">#REF!</definedName>
    <definedName name="IQRIPOAF28" localSheetId="31" hidden="1">#REF!</definedName>
    <definedName name="IQRIPOAF28" localSheetId="32" hidden="1">#REF!</definedName>
    <definedName name="IQRIPOAF28" localSheetId="33" hidden="1">#REF!</definedName>
    <definedName name="IQRIPOAF28" localSheetId="4" hidden="1">#REF!</definedName>
    <definedName name="IQRIPOAF28" localSheetId="92" hidden="1">#REF!</definedName>
    <definedName name="IQRIPOAF28" localSheetId="40" hidden="1">#REF!</definedName>
    <definedName name="IQRIPOAF28" localSheetId="79" hidden="1">#REF!</definedName>
    <definedName name="IQRIPOAF28" localSheetId="78" hidden="1">#REF!</definedName>
    <definedName name="IQRIPOAF28" localSheetId="75" hidden="1">#REF!</definedName>
    <definedName name="IQRIPOAF28" localSheetId="42" hidden="1">#REF!</definedName>
    <definedName name="IQRIPOAF28" localSheetId="14" hidden="1">#REF!</definedName>
    <definedName name="IQRIPOAF28" localSheetId="49" hidden="1">#REF!</definedName>
    <definedName name="IQRIPOAF28" hidden="1">#REF!</definedName>
    <definedName name="IQRIPOAF29" localSheetId="37" hidden="1">[24]IPO!#REF!</definedName>
    <definedName name="IQRIPOAF29" localSheetId="48" hidden="1">[24]IPO!#REF!</definedName>
    <definedName name="IQRIPOAF29" localSheetId="77" hidden="1">[24]IPO!#REF!</definedName>
    <definedName name="IQRIPOAF29" localSheetId="31" hidden="1">[24]IPO!#REF!</definedName>
    <definedName name="IQRIPOAF29" localSheetId="32" hidden="1">[24]IPO!#REF!</definedName>
    <definedName name="IQRIPOAF29" localSheetId="33" hidden="1">[24]IPO!#REF!</definedName>
    <definedName name="IQRIPOAF29" localSheetId="4" hidden="1">[24]IPO!#REF!</definedName>
    <definedName name="IQRIPOAF29" localSheetId="92" hidden="1">[25]IPO!#REF!</definedName>
    <definedName name="IQRIPOAF29" localSheetId="43" hidden="1">[26]IPO!#REF!</definedName>
    <definedName name="IQRIPOAF29" localSheetId="40" hidden="1">[24]IPO!#REF!</definedName>
    <definedName name="IQRIPOAF29" localSheetId="79" hidden="1">[24]IPO!#REF!</definedName>
    <definedName name="IQRIPOAF29" localSheetId="78" hidden="1">[24]IPO!#REF!</definedName>
    <definedName name="IQRIPOAF29" localSheetId="75" hidden="1">[24]IPO!#REF!</definedName>
    <definedName name="IQRIPOAF29" localSheetId="42" hidden="1">[24]IPO!#REF!</definedName>
    <definedName name="IQRIPOAF29" localSheetId="14" hidden="1">[24]IPO!#REF!</definedName>
    <definedName name="IQRIPOAF29" localSheetId="49" hidden="1">[24]IPO!#REF!</definedName>
    <definedName name="IQRIPOAF29" hidden="1">[24]IPO!#REF!</definedName>
    <definedName name="IQRJ22" hidden="1">"$J$23:$J$42"</definedName>
    <definedName name="IQRK7" hidden="1">"$K$8:$K$1832"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37" hidden="1">'[27]Option Val.'!#REF!</definedName>
    <definedName name="IQROptionValI16" localSheetId="48" hidden="1">'[28]Option Val.'!#REF!</definedName>
    <definedName name="IQROptionValI16" localSheetId="77" hidden="1">'[28]Option Val.'!#REF!</definedName>
    <definedName name="IQROptionValI16" localSheetId="31" hidden="1">'[28]Option Val.'!#REF!</definedName>
    <definedName name="IQROptionValI16" localSheetId="32" hidden="1">'[28]Option Val.'!#REF!</definedName>
    <definedName name="IQROptionValI16" localSheetId="33" hidden="1">'[28]Option Val.'!#REF!</definedName>
    <definedName name="IQROptionValI16" localSheetId="4" hidden="1">'[28]Option Val.'!#REF!</definedName>
    <definedName name="IQROptionValI16" localSheetId="92" hidden="1">'[27]Option Val.'!#REF!</definedName>
    <definedName name="IQROptionValI16" localSheetId="43" hidden="1">'[27]Option Val.'!#REF!</definedName>
    <definedName name="IQROptionValI16" localSheetId="75" hidden="1">'[28]Option Val.'!#REF!</definedName>
    <definedName name="IQROptionValI16" localSheetId="14" hidden="1">'[28]Option Val.'!#REF!</definedName>
    <definedName name="IQROptionValI16" localSheetId="49" hidden="1">'[28]Option Val.'!#REF!</definedName>
    <definedName name="IQROptionValI16" hidden="1">'[28]Option Val.'!#REF!</definedName>
    <definedName name="IQRP22" hidden="1">"$P$23:$P$42"</definedName>
    <definedName name="IQRQ27" hidden="1">"$Q$28"</definedName>
    <definedName name="IQRS115" hidden="1">"$S$116:$S$119"</definedName>
    <definedName name="IQRS22" hidden="1">"$S$23:$S$42"</definedName>
    <definedName name="IQRT115" hidden="1">"$T$116"</definedName>
    <definedName name="IQRT117" hidden="1">"$T$118:$T$121"</definedName>
    <definedName name="IQRT120" hidden="1">"$T$121:$T$124"</definedName>
    <definedName name="IQRT124" hidden="1">"$T$125:$T$128"</definedName>
    <definedName name="IQRT125" hidden="1">"$T$126:$T$129"</definedName>
    <definedName name="IQRT128" hidden="1">"$T$129:$T$132"</definedName>
    <definedName name="IQRT130" hidden="1">"$T$131:$T$132"</definedName>
    <definedName name="IQRT131" hidden="1">"$T$132:$T$135"</definedName>
    <definedName name="IQRT132" hidden="1">"$T$133:$T$134"</definedName>
    <definedName name="IQRT133" hidden="1">"$T$134:$T$137"</definedName>
    <definedName name="IQRT135" hidden="1">"$T$136:$T$137"</definedName>
    <definedName name="IQRT139" hidden="1">"$T$140:$T$141"</definedName>
    <definedName name="IQRT140" hidden="1">"$T$141:$T$142"</definedName>
    <definedName name="IQRT142" hidden="1">"$T$143:$T$146"</definedName>
    <definedName name="IQRT143" hidden="1">"$T$144:$T$145"</definedName>
    <definedName name="IQRT144" hidden="1">"$T$145:$T$148"</definedName>
    <definedName name="IQRT146" hidden="1">"$T$147:$T$148"</definedName>
    <definedName name="IQRT147" hidden="1">"$T$148:$T$151"</definedName>
    <definedName name="IQRT148" hidden="1">"$T$149:$T$150"</definedName>
    <definedName name="IQRT157" hidden="1">"$T$158:$T$159"</definedName>
    <definedName name="IQRT159" hidden="1">"$T$160:$T$161"</definedName>
    <definedName name="IQRT161" hidden="1">"$T$162:$T$165"</definedName>
    <definedName name="IQRT162" hidden="1">"$T$163:$T$164"</definedName>
    <definedName name="IQRT163" hidden="1">"$T$164:$T$167"</definedName>
    <definedName name="IQRT166" hidden="1">"$T$167:$T$170"</definedName>
    <definedName name="IQRT168" hidden="1">"$T$169:$T$172"</definedName>
    <definedName name="IQRT170" hidden="1">"$T$171:$T$172"</definedName>
    <definedName name="IQRT172" hidden="1">"$T$173:$T$174"</definedName>
    <definedName name="IQRT175" hidden="1">"$T$176:$T$177"</definedName>
    <definedName name="IQRT176" hidden="1">"$T$177:$T$178"</definedName>
    <definedName name="IQRT181" hidden="1">"$T$182:$T$183"</definedName>
    <definedName name="IQRT187" hidden="1">"$T$188:$T$189"</definedName>
    <definedName name="IQRT22" hidden="1">"$T$23:$T$32"</definedName>
    <definedName name="IQRU105" hidden="1">"$U$106:$U$109"</definedName>
    <definedName name="IQRU112" hidden="1">"$U$113:$U$114"</definedName>
    <definedName name="IQRU14" hidden="1">"$U$15:$U$266"</definedName>
    <definedName name="IQRU27" hidden="1">"$U$28:$U$31"</definedName>
    <definedName name="IQRU34" hidden="1">"$U$35:$U$36"</definedName>
    <definedName name="IQRU39" hidden="1">"$U$40:$U$44"</definedName>
    <definedName name="IQRU52" hidden="1">"$U$53:$U$56"</definedName>
    <definedName name="IQRU53" hidden="1">"$U$54:$U$58"</definedName>
    <definedName name="IQRU59" hidden="1">"$U$60:$U$61"</definedName>
    <definedName name="IQRU75" hidden="1">"$U$76:$U$79"</definedName>
    <definedName name="IQRU82" hidden="1">"$U$83:$U$84"</definedName>
    <definedName name="IQRV22" hidden="1">"$V$23:$V$42"</definedName>
    <definedName name="IQRV41" hidden="1">"$V$42:$V$45"</definedName>
    <definedName name="IQRV48" hidden="1">"$V$49:$V$50"</definedName>
    <definedName name="IQRV8" hidden="1">"$V$9:$V$261"</definedName>
    <definedName name="IQRVIXB9" hidden="1">[22]VIX!$B$10:$B$1269</definedName>
    <definedName name="IQRvolccalcB6" hidden="1">'[29]volc calc'!$B$7:$B$1979</definedName>
    <definedName name="IQRWACCCapIQBV10" localSheetId="37" hidden="1">#REF!</definedName>
    <definedName name="IQRWACCCapIQBV10" localSheetId="48" hidden="1">#REF!</definedName>
    <definedName name="IQRWACCCapIQBV10" localSheetId="77" hidden="1">#REF!</definedName>
    <definedName name="IQRWACCCapIQBV10" localSheetId="31" hidden="1">#REF!</definedName>
    <definedName name="IQRWACCCapIQBV10" localSheetId="32" hidden="1">#REF!</definedName>
    <definedName name="IQRWACCCapIQBV10" localSheetId="33" hidden="1">#REF!</definedName>
    <definedName name="IQRWACCCapIQBV10" localSheetId="4" hidden="1">#REF!</definedName>
    <definedName name="IQRWACCCapIQBV10" localSheetId="75" hidden="1">#REF!</definedName>
    <definedName name="IQRWACCCapIQBV10" localSheetId="14" hidden="1">#REF!</definedName>
    <definedName name="IQRWACCCapIQBV10" localSheetId="49" hidden="1">#REF!</definedName>
    <definedName name="IQRWACCCapIQBV10" hidden="1">#REF!</definedName>
    <definedName name="IQRWACCCapIQCD10" localSheetId="37" hidden="1">#REF!</definedName>
    <definedName name="IQRWACCCapIQCD10" localSheetId="48" hidden="1">#REF!</definedName>
    <definedName name="IQRWACCCapIQCD10" localSheetId="77" hidden="1">#REF!</definedName>
    <definedName name="IQRWACCCapIQCD10" localSheetId="31" hidden="1">#REF!</definedName>
    <definedName name="IQRWACCCapIQCD10" localSheetId="32" hidden="1">#REF!</definedName>
    <definedName name="IQRWACCCapIQCD10" localSheetId="33" hidden="1">#REF!</definedName>
    <definedName name="IQRWACCCapIQCD10" localSheetId="4" hidden="1">#REF!</definedName>
    <definedName name="IQRWACCCapIQCD10" localSheetId="75" hidden="1">#REF!</definedName>
    <definedName name="IQRWACCCapIQCD10" localSheetId="14" hidden="1">#REF!</definedName>
    <definedName name="IQRWACCCapIQCD10" localSheetId="49" hidden="1">#REF!</definedName>
    <definedName name="IQRWACCCapIQCD10" hidden="1">#REF!</definedName>
    <definedName name="IQRY22" hidden="1">"$Y$23:$Y$42"</definedName>
    <definedName name="IsColHidden" hidden="1">FALSE</definedName>
    <definedName name="IsLTMColHidden" hidden="1">FALSE</definedName>
    <definedName name="j" hidden="1">{#N/A,#N/A,FALSE,"Allocation"}</definedName>
    <definedName name="jbdf" hidden="1">{"page1",#N/A,FALSE,"Model";"page2",#N/A,FALSE,"Model";"page3",#N/A,FALSE,"Model";"page4",#N/A,FALSE,"Model";"page5",#N/A,FALSE,"Model";"page6",#N/A,FALSE,"Model";"page7",#N/A,FALSE,"Model";"page8",#N/A,FALSE,"Model";"page9",#N/A,FALSE,"Model";"page10",#N/A,FALSE,"Model";"page11",#N/A,FALSE,"Model";"page12",#N/A,FALSE,"Model";"page13",#N/A,FALSE,"Model"}</definedName>
    <definedName name="JCE"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JCEP" hidden="1">{"Japan_Capers_Ed_Pub",#N/A,FALSE,"DI 2 YEAR MASTER SCHEDULE"}</definedName>
    <definedName name="jdabn" hidden="1">{"page1",#N/A,FALSE,"Model";"page2",#N/A,FALSE,"Model";"page3",#N/A,FALSE,"Model";"page4",#N/A,FALSE,"Model";"page5",#N/A,FALSE,"Model";"page6",#N/A,FALSE,"Model";"page7",#N/A,FALSE,"Model";"page8",#N/A,FALSE,"Model";"page9",#N/A,FALSE,"Model";"page10",#N/A,FALSE,"Model";"page11",#N/A,FALSE,"Model";"page12",#N/A,FALSE,"Model";"page13",#N/A,FALSE,"Model"}</definedName>
    <definedName name="jdfnhb" hidden="1">{"page1",#N/A,FALSE,"Model";"page2",#N/A,FALSE,"Model";"page3",#N/A,FALSE,"Model";"page4",#N/A,FALSE,"Model";"page5",#N/A,FALSE,"Model";"page6",#N/A,FALSE,"Model";"page7",#N/A,FALSE,"Model";"page8",#N/A,FALSE,"Model";"page9",#N/A,FALSE,"Model";"page10",#N/A,FALSE,"Model";"page11",#N/A,FALSE,"Model";"page12",#N/A,FALSE,"Model";"page13",#N/A,FALSE,"Model"}</definedName>
    <definedName name="jdvb" hidden="1">{"page1",#N/A,FALSE,"Model";"page2",#N/A,FALSE,"Model";"page3",#N/A,FALSE,"Model";"page4",#N/A,FALSE,"Model";"page5",#N/A,FALSE,"Model";"page6",#N/A,FALSE,"Model";"page7",#N/A,FALSE,"Model";"page8",#N/A,FALSE,"Model";"page9",#N/A,FALSE,"Model";"page10",#N/A,FALSE,"Model";"page11",#N/A,FALSE,"Model";"page12",#N/A,FALSE,"Model";"page13",#N/A,FALSE,"Model"}</definedName>
    <definedName name="jfdnb" hidden="1">{"page1",#N/A,FALSE,"Model";"page2",#N/A,FALSE,"Model";"page3",#N/A,FALSE,"Model";"page4",#N/A,FALSE,"Model";"page5",#N/A,FALSE,"Model";"page6",#N/A,FALSE,"Model";"page7",#N/A,FALSE,"Model";"page8",#N/A,FALSE,"Model";"page9",#N/A,FALSE,"Model";"page10",#N/A,FALSE,"Model";"page11",#N/A,FALSE,"Model";"page12",#N/A,FALSE,"Model";"page13",#N/A,FALSE,"Model"}</definedName>
    <definedName name="jfvb" hidden="1">{"page1",#N/A,FALSE,"Model";"page2",#N/A,FALSE,"Model";"page3",#N/A,FALSE,"Model";"page4",#N/A,FALSE,"Model";"page5",#N/A,FALSE,"Model";"page6",#N/A,FALSE,"Model";"page7",#N/A,FALSE,"Model";"page8",#N/A,FALSE,"Model";"page9",#N/A,FALSE,"Model";"page10",#N/A,FALSE,"Model";"page11",#N/A,FALSE,"Model";"page12",#N/A,FALSE,"Model";"page13",#N/A,FALSE,"Model"}</definedName>
    <definedName name="jjj" localSheetId="37" hidden="1">{#N/A,#N/A,FALSE,"Bakersfield PCs";#N/A,#N/A,FALSE,"Bremer PCs";#N/A,#N/A,FALSE,"Bakersfield Notebooks"}</definedName>
    <definedName name="jjj" localSheetId="92" hidden="1">{#N/A,#N/A,FALSE,"Bakersfield PCs";#N/A,#N/A,FALSE,"Bremer PCs";#N/A,#N/A,FALSE,"Bakersfield Notebooks"}</definedName>
    <definedName name="jjj" localSheetId="43" hidden="1">{#N/A,#N/A,FALSE,"Bakersfield PCs";#N/A,#N/A,FALSE,"Bremer PCs";#N/A,#N/A,FALSE,"Bakersfield Notebooks"}</definedName>
    <definedName name="jjj" hidden="1">{#N/A,#N/A,FALSE,"Bakersfield PCs";#N/A,#N/A,FALSE,"Bremer PCs";#N/A,#N/A,FALSE,"Bakersfield Notebooks"}</definedName>
    <definedName name="jlklkjlk" localSheetId="37" hidden="1">{#N/A,#N/A,FALSE,"Bakersfield PCs";#N/A,#N/A,FALSE,"Bremer PCs";#N/A,#N/A,FALSE,"Bakersfield Notebooks"}</definedName>
    <definedName name="jlklkjlk" localSheetId="92" hidden="1">{#N/A,#N/A,FALSE,"Bakersfield PCs";#N/A,#N/A,FALSE,"Bremer PCs";#N/A,#N/A,FALSE,"Bakersfield Notebooks"}</definedName>
    <definedName name="jlklkjlk" localSheetId="43" hidden="1">{#N/A,#N/A,FALSE,"Bakersfield PCs";#N/A,#N/A,FALSE,"Bremer PCs";#N/A,#N/A,FALSE,"Bakersfield Notebooks"}</definedName>
    <definedName name="jlklkjlk" hidden="1">{#N/A,#N/A,FALSE,"Bakersfield PCs";#N/A,#N/A,FALSE,"Bremer PCs";#N/A,#N/A,FALSE,"Bakersfield Notebooks"}</definedName>
    <definedName name="jsnb" hidden="1">{"page1",#N/A,FALSE,"Model";"page2",#N/A,FALSE,"Model";"page3",#N/A,FALSE,"Model";"page4",#N/A,FALSE,"Model";"page5",#N/A,FALSE,"Model";"page6",#N/A,FALSE,"Model";"page7",#N/A,FALSE,"Model";"page8",#N/A,FALSE,"Model";"page9",#N/A,FALSE,"Model";"page10",#N/A,FALSE,"Model";"page11",#N/A,FALSE,"Model";"page12",#N/A,FALSE,"Model";"page13",#N/A,FALSE,"Model"}</definedName>
    <definedName name="k" hidden="1">#REF!</definedName>
    <definedName name="K2_WBEVMODE" hidden="1">-1</definedName>
    <definedName name="kajdbv" hidden="1">{"page1",#N/A,FALSE,"Model";"page2",#N/A,FALSE,"Model";"page3",#N/A,FALSE,"Model";"page4",#N/A,FALSE,"Model";"page5",#N/A,FALSE,"Model";"page6",#N/A,FALSE,"Model";"page7",#N/A,FALSE,"Model";"page8",#N/A,FALSE,"Model";"page9",#N/A,FALSE,"Model";"page10",#N/A,FALSE,"Model";"page11",#N/A,FALSE,"Model";"page12",#N/A,FALSE,"Model";"page13",#N/A,FALSE,"Model"}</definedName>
    <definedName name="kdsjnb" hidden="1">{"page1",#N/A,FALSE,"Model";"page2",#N/A,FALSE,"Model";"page3",#N/A,FALSE,"Model";"page4",#N/A,FALSE,"Model";"page5",#N/A,FALSE,"Model";"page6",#N/A,FALSE,"Model";"page7",#N/A,FALSE,"Model";"page8",#N/A,FALSE,"Model";"page9",#N/A,FALSE,"Model";"page10",#N/A,FALSE,"Model";"page11",#N/A,FALSE,"Model";"page12",#N/A,FALSE,"Model";"page13",#N/A,FALSE,"Model"}</definedName>
    <definedName name="keajhvbr" hidden="1">{"page1",#N/A,FALSE,"Model";"page2",#N/A,FALSE,"Model";"page3",#N/A,FALSE,"Model";"page4",#N/A,FALSE,"Model";"page5",#N/A,FALSE,"Model";"page6",#N/A,FALSE,"Model";"page7",#N/A,FALSE,"Model";"page8",#N/A,FALSE,"Model";"page9",#N/A,FALSE,"Model";"page10",#N/A,FALSE,"Model";"page11",#N/A,FALSE,"Model";"page12",#N/A,FALSE,"Model";"page13",#N/A,FALSE,"Model"}</definedName>
    <definedName name="keyrbf" hidden="1">{"page1",#N/A,FALSE,"Model";"page2",#N/A,FALSE,"Model";"page3",#N/A,FALSE,"Model";"page4",#N/A,FALSE,"Model";"page5",#N/A,FALSE,"Model";"page6",#N/A,FALSE,"Model";"page7",#N/A,FALSE,"Model";"page8",#N/A,FALSE,"Model";"page9",#N/A,FALSE,"Model";"page10",#N/A,FALSE,"Model";"page11",#N/A,FALSE,"Model";"page12",#N/A,FALSE,"Model";"page13",#N/A,FALSE,"Model"}</definedName>
    <definedName name="kin" localSheetId="37" hidden="1">#REF!</definedName>
    <definedName name="kin" localSheetId="48" hidden="1">#REF!</definedName>
    <definedName name="kin" localSheetId="77" hidden="1">#REF!</definedName>
    <definedName name="kin" localSheetId="31" hidden="1">#REF!</definedName>
    <definedName name="kin" localSheetId="32" hidden="1">#REF!</definedName>
    <definedName name="kin" localSheetId="33" hidden="1">#REF!</definedName>
    <definedName name="kin" localSheetId="4" hidden="1">#REF!</definedName>
    <definedName name="kin" localSheetId="92" hidden="1">#REF!</definedName>
    <definedName name="kin" localSheetId="40" hidden="1">#REF!</definedName>
    <definedName name="kin" localSheetId="79" hidden="1">#REF!</definedName>
    <definedName name="kin" localSheetId="78" hidden="1">#REF!</definedName>
    <definedName name="kin" localSheetId="75" hidden="1">#REF!</definedName>
    <definedName name="kin" localSheetId="42" hidden="1">#REF!</definedName>
    <definedName name="kin" localSheetId="14" hidden="1">#REF!</definedName>
    <definedName name="kin" localSheetId="49" hidden="1">#REF!</definedName>
    <definedName name="kin" hidden="1">#REF!</definedName>
    <definedName name="kjadbv" hidden="1">{"page1",#N/A,FALSE,"Model";"page2",#N/A,FALSE,"Model";"page3",#N/A,FALSE,"Model";"page4",#N/A,FALSE,"Model";"page5",#N/A,FALSE,"Model";"page6",#N/A,FALSE,"Model";"page7",#N/A,FALSE,"Model";"page8",#N/A,FALSE,"Model";"page9",#N/A,FALSE,"Model";"page10",#N/A,FALSE,"Model";"page11",#N/A,FALSE,"Model";"page12",#N/A,FALSE,"Model";"page13",#N/A,FALSE,"Model"}</definedName>
    <definedName name="kjdafnb" hidden="1">{"page1",#N/A,FALSE,"Model";"page2",#N/A,FALSE,"Model";"page3",#N/A,FALSE,"Model";"page4",#N/A,FALSE,"Model";"page5",#N/A,FALSE,"Model";"page6",#N/A,FALSE,"Model";"page7",#N/A,FALSE,"Model";"page8",#N/A,FALSE,"Model";"page9",#N/A,FALSE,"Model";"page10",#N/A,FALSE,"Model";"page11",#N/A,FALSE,"Model";"page12",#N/A,FALSE,"Model";"page13",#N/A,FALSE,"Model"}</definedName>
    <definedName name="kjdnb" hidden="1">{"page1",#N/A,FALSE,"Model";"page2",#N/A,FALSE,"Model";"page3",#N/A,FALSE,"Model";"page4",#N/A,FALSE,"Model";"page5",#N/A,FALSE,"Model";"page6",#N/A,FALSE,"Model";"page7",#N/A,FALSE,"Model";"page8",#N/A,FALSE,"Model";"page9",#N/A,FALSE,"Model";"page10",#N/A,FALSE,"Model";"page11",#N/A,FALSE,"Model";"page12",#N/A,FALSE,"Model";"page13",#N/A,FALSE,"Model"}</definedName>
    <definedName name="kjfd" hidden="1">{"page1",#N/A,FALSE,"Model";"page2",#N/A,FALSE,"Model";"page3",#N/A,FALSE,"Model";"page4",#N/A,FALSE,"Model";"page5",#N/A,FALSE,"Model";"page6",#N/A,FALSE,"Model";"page7",#N/A,FALSE,"Model";"page8",#N/A,FALSE,"Model";"page9",#N/A,FALSE,"Model";"page10",#N/A,FALSE,"Model";"page11",#N/A,FALSE,"Model";"page12",#N/A,FALSE,"Model";"page13",#N/A,FALSE,"Model"}</definedName>
    <definedName name="KJP"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kl">#N/A</definedName>
    <definedName name="krenb" hidden="1">{"page1",#N/A,FALSE,"Model";"page2",#N/A,FALSE,"Model";"page3",#N/A,FALSE,"Model";"page4",#N/A,FALSE,"Model";"page5",#N/A,FALSE,"Model";"page6",#N/A,FALSE,"Model";"page7",#N/A,FALSE,"Model";"page8",#N/A,FALSE,"Model";"page9",#N/A,FALSE,"Model";"page10",#N/A,FALSE,"Model";"page11",#N/A,FALSE,"Model";"page12",#N/A,FALSE,"Model";"page13",#N/A,FALSE,"Model"}</definedName>
    <definedName name="laebgr" hidden="1">{"page1",#N/A,FALSE,"Model";"page2",#N/A,FALSE,"Model";"page3",#N/A,FALSE,"Model";"page4",#N/A,FALSE,"Model";"page5",#N/A,FALSE,"Model";"page6",#N/A,FALSE,"Model";"page7",#N/A,FALSE,"Model";"page8",#N/A,FALSE,"Model";"page9",#N/A,FALSE,"Model";"page10",#N/A,FALSE,"Model";"page11",#N/A,FALSE,"Model";"page12",#N/A,FALSE,"Model";"page13",#N/A,FALSE,"Model"}</definedName>
    <definedName name="laevb" hidden="1">{"page1",#N/A,FALSE,"Model";"page2",#N/A,FALSE,"Model";"page3",#N/A,FALSE,"Model";"page4",#N/A,FALSE,"Model";"page5",#N/A,FALSE,"Model";"page6",#N/A,FALSE,"Model";"page7",#N/A,FALSE,"Model";"page8",#N/A,FALSE,"Model";"page9",#N/A,FALSE,"Model";"page10",#N/A,FALSE,"Model";"page11",#N/A,FALSE,"Model";"page12",#N/A,FALSE,"Model";"page13",#N/A,FALSE,"Model"}</definedName>
    <definedName name="lakdbjrvhe" hidden="1">{"page1",#N/A,FALSE,"Model";"page2",#N/A,FALSE,"Model";"page3",#N/A,FALSE,"Model";"page4",#N/A,FALSE,"Model";"page5",#N/A,FALSE,"Model";"page6",#N/A,FALSE,"Model";"page7",#N/A,FALSE,"Model";"page8",#N/A,FALSE,"Model";"page9",#N/A,FALSE,"Model";"page10",#N/A,FALSE,"Model";"page11",#N/A,FALSE,"Model";"page12",#N/A,FALSE,"Model";"page13",#N/A,FALSE,"Model"}</definedName>
    <definedName name="Last_Row" localSheetId="43">#N/A</definedName>
    <definedName name="Last_Row">#N/A</definedName>
    <definedName name="ldarhgeahg" hidden="1">{"page1",#N/A,FALSE,"Model";"page2",#N/A,FALSE,"Model";"page3",#N/A,FALSE,"Model";"page4",#N/A,FALSE,"Model";"page5",#N/A,FALSE,"Model";"page6",#N/A,FALSE,"Model";"page7",#N/A,FALSE,"Model";"page8",#N/A,FALSE,"Model";"page9",#N/A,FALSE,"Model";"page10",#N/A,FALSE,"Model";"page11",#N/A,FALSE,"Model";"page12",#N/A,FALSE,"Model";"page13",#N/A,FALSE,"Model"}</definedName>
    <definedName name="ldkjnb" hidden="1">{"page1",#N/A,FALSE,"Model";"page2",#N/A,FALSE,"Model";"page3",#N/A,FALSE,"Model";"page4",#N/A,FALSE,"Model";"page5",#N/A,FALSE,"Model";"page6",#N/A,FALSE,"Model";"page7",#N/A,FALSE,"Model";"page8",#N/A,FALSE,"Model";"page9",#N/A,FALSE,"Model";"page10",#N/A,FALSE,"Model";"page11",#N/A,FALSE,"Model";"page12",#N/A,FALSE,"Model";"page13",#N/A,FALSE,"Model"}</definedName>
    <definedName name="learvb" hidden="1">{"page1",#N/A,FALSE,"Model";"page2",#N/A,FALSE,"Model";"page3",#N/A,FALSE,"Model";"page4",#N/A,FALSE,"Model";"page5",#N/A,FALSE,"Model";"page6",#N/A,FALSE,"Model";"page7",#N/A,FALSE,"Model";"page8",#N/A,FALSE,"Model";"page9",#N/A,FALSE,"Model";"page10",#N/A,FALSE,"Model";"page11",#N/A,FALSE,"Model";"page12",#N/A,FALSE,"Model";"page13",#N/A,FALSE,"Model"}</definedName>
    <definedName name="leauir" hidden="1">{"page1",#N/A,FALSE,"Model";"page2",#N/A,FALSE,"Model";"page3",#N/A,FALSE,"Model";"page4",#N/A,FALSE,"Model";"page5",#N/A,FALSE,"Model";"page6",#N/A,FALSE,"Model";"page7",#N/A,FALSE,"Model";"page8",#N/A,FALSE,"Model";"page9",#N/A,FALSE,"Model";"page10",#N/A,FALSE,"Model";"page11",#N/A,FALSE,"Model";"page12",#N/A,FALSE,"Model";"page13",#N/A,FALSE,"Model"}</definedName>
    <definedName name="Ledger_Code" hidden="1">" "</definedName>
    <definedName name="Ledger_Selection" hidden="1">" "</definedName>
    <definedName name="Library" hidden="1">"a1"</definedName>
    <definedName name="LicenseCOS">0.01</definedName>
    <definedName name="limcount" hidden="1">2</definedName>
    <definedName name="lin" localSheetId="37" hidden="1">#REF!</definedName>
    <definedName name="lin" localSheetId="48" hidden="1">#REF!</definedName>
    <definedName name="lin" localSheetId="77" hidden="1">#REF!</definedName>
    <definedName name="lin" localSheetId="31" hidden="1">#REF!</definedName>
    <definedName name="lin" localSheetId="32" hidden="1">#REF!</definedName>
    <definedName name="lin" localSheetId="33" hidden="1">#REF!</definedName>
    <definedName name="lin" localSheetId="4" hidden="1">#REF!</definedName>
    <definedName name="lin" localSheetId="92" hidden="1">#REF!</definedName>
    <definedName name="lin" localSheetId="40" hidden="1">#REF!</definedName>
    <definedName name="lin" localSheetId="79" hidden="1">#REF!</definedName>
    <definedName name="lin" localSheetId="78" hidden="1">#REF!</definedName>
    <definedName name="lin" localSheetId="75" hidden="1">#REF!</definedName>
    <definedName name="lin" localSheetId="42" hidden="1">#REF!</definedName>
    <definedName name="lin" localSheetId="14" hidden="1">#REF!</definedName>
    <definedName name="lin" localSheetId="49" hidden="1">#REF!</definedName>
    <definedName name="lin" hidden="1">#REF!</definedName>
    <definedName name="ListOffset" hidden="1">1</definedName>
    <definedName name="liureag" hidden="1">{"page1",#N/A,FALSE,"Model";"page2",#N/A,FALSE,"Model";"page3",#N/A,FALSE,"Model";"page4",#N/A,FALSE,"Model";"page5",#N/A,FALSE,"Model";"page6",#N/A,FALSE,"Model";"page7",#N/A,FALSE,"Model";"page8",#N/A,FALSE,"Model";"page9",#N/A,FALSE,"Model";"page10",#N/A,FALSE,"Model";"page11",#N/A,FALSE,"Model";"page12",#N/A,FALSE,"Model";"page13",#N/A,FALSE,"Model"}</definedName>
    <definedName name="ljnbd" hidden="1">{"page1",#N/A,FALSE,"Model";"page2",#N/A,FALSE,"Model";"page3",#N/A,FALSE,"Model";"page4",#N/A,FALSE,"Model";"page5",#N/A,FALSE,"Model";"page6",#N/A,FALSE,"Model";"page7",#N/A,FALSE,"Model";"page8",#N/A,FALSE,"Model";"page9",#N/A,FALSE,"Model";"page10",#N/A,FALSE,"Model";"page11",#N/A,FALSE,"Model";"page12",#N/A,FALSE,"Model";"page13",#N/A,FALSE,"Model"}</definedName>
    <definedName name="lkafvb" hidden="1">{"page1",#N/A,FALSE,"Model";"page2",#N/A,FALSE,"Model";"page3",#N/A,FALSE,"Model";"page4",#N/A,FALSE,"Model";"page5",#N/A,FALSE,"Model";"page6",#N/A,FALSE,"Model";"page7",#N/A,FALSE,"Model";"page8",#N/A,FALSE,"Model";"page9",#N/A,FALSE,"Model";"page10",#N/A,FALSE,"Model";"page11",#N/A,FALSE,"Model";"page12",#N/A,FALSE,"Model";"page13",#N/A,FALSE,"Model"}</definedName>
    <definedName name="lkdajfb" hidden="1">{"page1",#N/A,FALSE,"Model";"page2",#N/A,FALSE,"Model";"page3",#N/A,FALSE,"Model";"page4",#N/A,FALSE,"Model";"page5",#N/A,FALSE,"Model";"page6",#N/A,FALSE,"Model";"page7",#N/A,FALSE,"Model";"page8",#N/A,FALSE,"Model";"page9",#N/A,FALSE,"Model";"page10",#N/A,FALSE,"Model";"page11",#N/A,FALSE,"Model";"page12",#N/A,FALSE,"Model";"page13",#N/A,FALSE,"Model"}</definedName>
    <definedName name="LOC">20000000</definedName>
    <definedName name="loinbv" hidden="1">{"page1",#N/A,FALSE,"Model";"page2",#N/A,FALSE,"Model";"page3",#N/A,FALSE,"Model";"page4",#N/A,FALSE,"Model";"page5",#N/A,FALSE,"Model";"page6",#N/A,FALSE,"Model";"page7",#N/A,FALSE,"Model";"page8",#N/A,FALSE,"Model";"page9",#N/A,FALSE,"Model";"page10",#N/A,FALSE,"Model";"page11",#N/A,FALSE,"Model";"page12",#N/A,FALSE,"Model";"page13",#N/A,FALSE,"Model"}</definedName>
    <definedName name="MA" localSheetId="37" hidden="1">#REF!</definedName>
    <definedName name="MA" hidden="1">#REF!</definedName>
    <definedName name="Maintenance">0.15</definedName>
    <definedName name="mark" hidden="1">{#N/A,#N/A,FALSE,"Projections";#N/A,#N/A,FALSE,"Multiples Valuation";#N/A,#N/A,FALSE,"LBO";#N/A,#N/A,FALSE,"Multiples_Sensitivity";#N/A,#N/A,FALSE,"Summary"}</definedName>
    <definedName name="mb_inputLocation" localSheetId="37" hidden="1">#REF!</definedName>
    <definedName name="mb_inputLocation" localSheetId="48" hidden="1">#REF!</definedName>
    <definedName name="mb_inputLocation" localSheetId="77" hidden="1">#REF!</definedName>
    <definedName name="mb_inputLocation" localSheetId="31" hidden="1">#REF!</definedName>
    <definedName name="mb_inputLocation" localSheetId="32" hidden="1">#REF!</definedName>
    <definedName name="mb_inputLocation" localSheetId="33" hidden="1">#REF!</definedName>
    <definedName name="mb_inputLocation" localSheetId="4" hidden="1">#REF!</definedName>
    <definedName name="mb_inputLocation" localSheetId="40" hidden="1">#REF!</definedName>
    <definedName name="mb_inputLocation" localSheetId="79" hidden="1">#REF!</definedName>
    <definedName name="mb_inputLocation" localSheetId="78" hidden="1">#REF!</definedName>
    <definedName name="mb_inputLocation" localSheetId="75" hidden="1">#REF!</definedName>
    <definedName name="mb_inputLocation" localSheetId="42" hidden="1">#REF!</definedName>
    <definedName name="mb_inputLocation" localSheetId="14" hidden="1">#REF!</definedName>
    <definedName name="mb_inputLocation" localSheetId="49" hidden="1">#REF!</definedName>
    <definedName name="mb_inputLocation" hidden="1">#REF!</definedName>
    <definedName name="medmult" localSheetId="37" hidden="1">#REF!</definedName>
    <definedName name="medmult" localSheetId="48" hidden="1">#REF!</definedName>
    <definedName name="medmult" localSheetId="77" hidden="1">#REF!</definedName>
    <definedName name="medmult" localSheetId="31" hidden="1">#REF!</definedName>
    <definedName name="medmult" localSheetId="32" hidden="1">#REF!</definedName>
    <definedName name="medmult" localSheetId="33" hidden="1">#REF!</definedName>
    <definedName name="medmult" localSheetId="4" hidden="1">#REF!</definedName>
    <definedName name="medmult" localSheetId="40" hidden="1">#REF!</definedName>
    <definedName name="medmult" localSheetId="79" hidden="1">#REF!</definedName>
    <definedName name="medmult" localSheetId="78" hidden="1">#REF!</definedName>
    <definedName name="medmult" localSheetId="75" hidden="1">#REF!</definedName>
    <definedName name="medmult" localSheetId="42" hidden="1">#REF!</definedName>
    <definedName name="medmult" localSheetId="14" hidden="1">#REF!</definedName>
    <definedName name="medmult" localSheetId="49" hidden="1">#REF!</definedName>
    <definedName name="medmult" hidden="1">#REF!</definedName>
    <definedName name="mingming" hidden="1">{"UM Visits",#N/A,FALSE,"Unmanaged";"UM Dollars per Hour",#N/A,FALSE,"Unmanaged";"UM Hours per Visit",#N/A,FALSE,"Unmanaged";"UM Dollars per Visit",#N/A,FALSE,"Unmanaged";"UM Total Visits",#N/A,FALSE,"Unmanaged";"UM PMPM",#N/A,FALSE,"Unmanaged"}</definedName>
    <definedName name="MLNK095f577ec7854aeb98efbc368cd2c535" hidden="1">#REF!</definedName>
    <definedName name="model" hidden="1">{#N/A,#N/A,FALSE,"Model"}</definedName>
    <definedName name="Month_ID" hidden="1">" "</definedName>
    <definedName name="MR" hidden="1">{#N/A,#N/A,FALSE,"sales ytd";#N/A,#N/A,FALSE,"investments";#N/A,#N/A,FALSE,"bus. synergies 1997";#N/A,#N/A,FALSE,"synergies outlook"}</definedName>
    <definedName name="Mth_1" hidden="1">{"Balance Sheet",#N/A,TRUE,"CONS BS";"Income Stmt Current Month",#N/A,TRUE,"CONS P&amp;L";"Cash Flow Current Month",#N/A,TRUE,"CONS CF";"Hot Sheet Year",#N/A,TRUE,"Hot Sheet"}</definedName>
    <definedName name="Mth_2" hidden="1">{"Balance Sheet",#N/A,TRUE,"CONS BS";"Income Stmt Current Month",#N/A,TRUE,"CONS P&amp;L";"Income Stmt Year To Date",#N/A,TRUE,"CONS P&amp;L";"Cash Flow Current Month",#N/A,TRUE,"CONS CF";"Cash Flow Year To Date",#N/A,TRUE,"CONS CF";"Hot Sheet Year",#N/A,TRUE,"Hot Sheet"}</definedName>
    <definedName name="Mth_5"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New" localSheetId="37" hidden="1">{#N/A,#N/A,FALSE,"Title Page";#N/A,#N/A,FALSE,"Conclusions";#N/A,#N/A,FALSE,"Assum.";#N/A,#N/A,FALSE,"Sun  DCF-WC-Dep";#N/A,#N/A,FALSE,"MarketValue";#N/A,#N/A,FALSE,"BalSheet";#N/A,#N/A,FALSE,"WACC";#N/A,#N/A,FALSE,"PC+ Info.";#N/A,#N/A,FALSE,"PC+Info_2"}</definedName>
    <definedName name="New" localSheetId="92" hidden="1">{#N/A,#N/A,FALSE,"Title Page";#N/A,#N/A,FALSE,"Conclusions";#N/A,#N/A,FALSE,"Assum.";#N/A,#N/A,FALSE,"Sun  DCF-WC-Dep";#N/A,#N/A,FALSE,"MarketValue";#N/A,#N/A,FALSE,"BalSheet";#N/A,#N/A,FALSE,"WACC";#N/A,#N/A,FALSE,"PC+ Info.";#N/A,#N/A,FALSE,"PC+Info_2"}</definedName>
    <definedName name="New" localSheetId="43"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Hire">8500</definedName>
    <definedName name="newJSECcustomer" localSheetId="37" hidden="1">{#N/A,#N/A,FALSE,"Title Page";#N/A,#N/A,FALSE,"Conclusions";#N/A,#N/A,FALSE,"Assum.";#N/A,#N/A,FALSE,"Sun  DCF-WC-Dep";#N/A,#N/A,FALSE,"MarketValue";#N/A,#N/A,FALSE,"BalSheet";#N/A,#N/A,FALSE,"WACC";#N/A,#N/A,FALSE,"PC+ Info.";#N/A,#N/A,FALSE,"PC+Info_2"}</definedName>
    <definedName name="newJSECcustomer" localSheetId="92" hidden="1">{#N/A,#N/A,FALSE,"Title Page";#N/A,#N/A,FALSE,"Conclusions";#N/A,#N/A,FALSE,"Assum.";#N/A,#N/A,FALSE,"Sun  DCF-WC-Dep";#N/A,#N/A,FALSE,"MarketValue";#N/A,#N/A,FALSE,"BalSheet";#N/A,#N/A,FALSE,"WACC";#N/A,#N/A,FALSE,"PC+ Info.";#N/A,#N/A,FALSE,"PC+Info_2"}</definedName>
    <definedName name="newJSECcustomer" localSheetId="43"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extLeft">!IV1</definedName>
    <definedName name="NextUp">!A65536</definedName>
    <definedName name="nn" localSheetId="37" hidden="1">{#N/A,#N/A,FALSE,"Bakersfield PCs";#N/A,#N/A,FALSE,"Bremer PCs";#N/A,#N/A,FALSE,"Bakersfield Notebooks"}</definedName>
    <definedName name="nn" localSheetId="92" hidden="1">{#N/A,#N/A,FALSE,"Bakersfield PCs";#N/A,#N/A,FALSE,"Bremer PCs";#N/A,#N/A,FALSE,"Bakersfield Notebooks"}</definedName>
    <definedName name="nn" localSheetId="43" hidden="1">{#N/A,#N/A,FALSE,"Bakersfield PCs";#N/A,#N/A,FALSE,"Bremer PCs";#N/A,#N/A,FALSE,"Bakersfield Notebooks"}</definedName>
    <definedName name="nn" hidden="1">{#N/A,#N/A,FALSE,"Bakersfield PCs";#N/A,#N/A,FALSE,"Bremer PCs";#N/A,#N/A,FALSE,"Bakersfield Notebooks"}</definedName>
    <definedName name="nnn" hidden="1">{#N/A,#N/A,TRUE,"Assumptions";#N/A,#N/A,TRUE,"Sources of Revenue";#N/A,#N/A,TRUE,"P&amp;L";#N/A,#N/A,TRUE,"Bal. Sheet";#N/A,#N/A,TRUE,"Rights Issue &amp; X Adjustment";#N/A,#N/A,TRUE,"Transaction Model"}</definedName>
    <definedName name="noobaH" hidden="1">{"MM Visits",#N/A,TRUE,"Moderately Managed";"MM Dollars per Hour",#N/A,TRUE,"Moderately Managed";"MM Hours per Visit",#N/A,TRUE,"Moderately Managed";"MM Dollars per Visit",#N/A,TRUE,"Moderately Managed";"MM Total Visits",#N/A,TRUE,"Moderately Managed";"MM PMPM",#N/A,TRUE,"Moderately Managed"}</definedName>
    <definedName name="Number_of_Payments" localSheetId="48">MATCH(0.01,End_Bal,-1)+1</definedName>
    <definedName name="Number_of_Payments" localSheetId="77">MATCH(0.01,End_Bal,-1)+1</definedName>
    <definedName name="Number_of_Payments" localSheetId="31">MATCH(0.01,End_Bal,-1)+1</definedName>
    <definedName name="Number_of_Payments" localSheetId="32">MATCH(0.01,End_Bal,-1)+1</definedName>
    <definedName name="Number_of_Payments" localSheetId="33">MATCH(0.01,End_Bal,-1)+1</definedName>
    <definedName name="Number_of_Payments" localSheetId="4">MATCH(0.01,End_Bal,-1)+1</definedName>
    <definedName name="Number_of_Payments" localSheetId="75">MATCH(0.01,End_Bal,-1)+1</definedName>
    <definedName name="Number_of_Payments" localSheetId="14">MATCH(0.01,End_Bal,-1)+1</definedName>
    <definedName name="Number_of_Payments" localSheetId="49">MATCH(0.01,End_Bal,-1)+1</definedName>
    <definedName name="Number_of_Payments">MATCH(0.01,End_Bal,-1)+1</definedName>
    <definedName name="NvsAnswerCol">"[ZGL_DETMIKE.xls]Sheet1!$A$7:$A$25"</definedName>
    <definedName name="NvsASD" localSheetId="43">"V2002-09-30"</definedName>
    <definedName name="NvsASD">"V2005-03-15"</definedName>
    <definedName name="NvsAutoDrillOk">"VN"</definedName>
    <definedName name="NvsElapsedTime" localSheetId="43">0.0000288194423774257</definedName>
    <definedName name="NvsElapsedTime">0.00355324074189411</definedName>
    <definedName name="NvsEndTime" localSheetId="43">37531.5975834491</definedName>
    <definedName name="NvsEndTime">38461.5949421296</definedName>
    <definedName name="NvsInstLang">"VENG"</definedName>
    <definedName name="NvsInstSpec">"%"</definedName>
    <definedName name="NvsInstSpec1">","</definedName>
    <definedName name="NvsInstSpec2">","</definedName>
    <definedName name="NvsInstSpec3">","</definedName>
    <definedName name="NvsInstSpec4">","</definedName>
    <definedName name="NvsInstSpec5">","</definedName>
    <definedName name="NvsInstSpec6">","</definedName>
    <definedName name="NvsInstSpec7">","</definedName>
    <definedName name="NvsInstSpec8">","</definedName>
    <definedName name="NvsInstSpec9">","</definedName>
    <definedName name="NvsLayoutType">"M3"</definedName>
    <definedName name="NvsNplSpec" localSheetId="43">"%,XZF.ACCOUNT.PSDetail"</definedName>
    <definedName name="NvsNplSpec">"%,X,RZT.ACCOUNT.,CZF.."</definedName>
    <definedName name="NvsPanelEffdt" localSheetId="43">"V1999-11-02"</definedName>
    <definedName name="NvsPanelEffdt">"V1910-01-01"</definedName>
    <definedName name="NvsPanelSetid" localSheetId="43">"VSHARE"</definedName>
    <definedName name="NvsPanelSetid">"VWORET"</definedName>
    <definedName name="NvsReqBU" localSheetId="43">"VAL000"</definedName>
    <definedName name="NvsReqBU">"VWOMRT"</definedName>
    <definedName name="NvsReqBUOnly">"VN"</definedName>
    <definedName name="NvsTransLed">"VN"</definedName>
    <definedName name="NvsTreeASD" localSheetId="43">"V2002-09-30"</definedName>
    <definedName name="NvsTreeASD">"V2005-03-15"</definedName>
    <definedName name="NvsValTbl.ACCOUNT">"GL_ACCOUNT_TBL"</definedName>
    <definedName name="NvsValTbl.AFFILIATE">"AFFILIATE_VW"</definedName>
    <definedName name="NvsValTbl.BUSINESS_UNIT">"BUS_UNIT_TBL_GL"</definedName>
    <definedName name="NvsValTbl.DEPTID">"DEPARTMENT_TBL"</definedName>
    <definedName name="o" localSheetId="37" hidden="1">{#N/A,#N/A,FALSE,"New Depr Sch-150% DB";#N/A,#N/A,FALSE,"Cash Flows RLP";#N/A,#N/A,FALSE,"IRR";#N/A,#N/A,FALSE,"Proforma IS";#N/A,#N/A,FALSE,"Assumptions"}</definedName>
    <definedName name="o" localSheetId="92" hidden="1">{#N/A,#N/A,FALSE,"New Depr Sch-150% DB";#N/A,#N/A,FALSE,"Cash Flows RLP";#N/A,#N/A,FALSE,"IRR";#N/A,#N/A,FALSE,"Proforma IS";#N/A,#N/A,FALSE,"Assumptions"}</definedName>
    <definedName name="o" localSheetId="91" hidden="1">{#N/A,#N/A,FALSE,"New Depr Sch-150% DB";#N/A,#N/A,FALSE,"Cash Flows RLP";#N/A,#N/A,FALSE,"IRR";#N/A,#N/A,FALSE,"Proforma IS";#N/A,#N/A,FALSE,"Assumptions"}</definedName>
    <definedName name="o" localSheetId="43" hidden="1">{#N/A,#N/A,FALSE,"New Depr Sch-150% DB";#N/A,#N/A,FALSE,"Cash Flows RLP";#N/A,#N/A,FALSE,"IRR";#N/A,#N/A,FALSE,"Proforma IS";#N/A,#N/A,FALSE,"Assumptions"}</definedName>
    <definedName name="o" localSheetId="69" hidden="1">{#N/A,#N/A,FALSE,"New Depr Sch-150% DB";#N/A,#N/A,FALSE,"Cash Flows RLP";#N/A,#N/A,FALSE,"IRR";#N/A,#N/A,FALSE,"Proforma IS";#N/A,#N/A,FALSE,"Assumptions"}</definedName>
    <definedName name="o" hidden="1">{#N/A,#N/A,FALSE,"New Depr Sch-150% DB";#N/A,#N/A,FALSE,"Cash Flows RLP";#N/A,#N/A,FALSE,"IRR";#N/A,#N/A,FALSE,"Proforma IS";#N/A,#N/A,FALSE,"Assumptions"}</definedName>
    <definedName name="o_1" hidden="1">{#N/A,#N/A,FALSE,"New Depr Sch-150% DB";#N/A,#N/A,FALSE,"Cash Flows RLP";#N/A,#N/A,FALSE,"IRR";#N/A,#N/A,FALSE,"Proforma IS";#N/A,#N/A,FALSE,"Assumptions"}</definedName>
    <definedName name="oeahrvb" hidden="1">{"page1",#N/A,FALSE,"Model";"page2",#N/A,FALSE,"Model";"page3",#N/A,FALSE,"Model";"page4",#N/A,FALSE,"Model";"page5",#N/A,FALSE,"Model";"page6",#N/A,FALSE,"Model";"page7",#N/A,FALSE,"Model";"page8",#N/A,FALSE,"Model";"page9",#N/A,FALSE,"Model";"page10",#N/A,FALSE,"Model";"page11",#N/A,FALSE,"Model";"page12",#N/A,FALSE,"Model";"page13",#N/A,FALSE,"Model"}</definedName>
    <definedName name="oehg" hidden="1">{"page1",#N/A,FALSE,"Model";"page2",#N/A,FALSE,"Model";"page3",#N/A,FALSE,"Model";"page4",#N/A,FALSE,"Model";"page5",#N/A,FALSE,"Model";"page6",#N/A,FALSE,"Model";"page7",#N/A,FALSE,"Model";"page8",#N/A,FALSE,"Model";"page9",#N/A,FALSE,"Model";"page10",#N/A,FALSE,"Model";"page11",#N/A,FALSE,"Model";"page12",#N/A,FALSE,"Model";"page13",#N/A,FALSE,"Model"}</definedName>
    <definedName name="oeiurg" hidden="1">{"page1",#N/A,FALSE,"Model";"page2",#N/A,FALSE,"Model";"page3",#N/A,FALSE,"Model";"page4",#N/A,FALSE,"Model";"page5",#N/A,FALSE,"Model";"page6",#N/A,FALSE,"Model";"page7",#N/A,FALSE,"Model";"page8",#N/A,FALSE,"Model";"page9",#N/A,FALSE,"Model";"page10",#N/A,FALSE,"Model";"page11",#N/A,FALSE,"Model";"page12",#N/A,FALSE,"Model";"page13",#N/A,FALSE,"Model"}</definedName>
    <definedName name="oerv" hidden="1">{"page1",#N/A,FALSE,"Model";"page2",#N/A,FALSE,"Model";"page3",#N/A,FALSE,"Model";"page4",#N/A,FALSE,"Model";"page5",#N/A,FALSE,"Model";"page6",#N/A,FALSE,"Model";"page7",#N/A,FALSE,"Model";"page8",#N/A,FALSE,"Model";"page9",#N/A,FALSE,"Model";"page10",#N/A,FALSE,"Model";"page11",#N/A,FALSE,"Model";"page12",#N/A,FALSE,"Model";"page13",#N/A,FALSE,"Model"}</definedName>
    <definedName name="oiehgrcue" hidden="1">{"page1",#N/A,FALSE,"Model";"page2",#N/A,FALSE,"Model";"page3",#N/A,FALSE,"Model";"page4",#N/A,FALSE,"Model";"page5",#N/A,FALSE,"Model";"page6",#N/A,FALSE,"Model";"page7",#N/A,FALSE,"Model";"page8",#N/A,FALSE,"Model";"page9",#N/A,FALSE,"Model";"page10",#N/A,FALSE,"Model";"page11",#N/A,FALSE,"Model";"page12",#N/A,FALSE,"Model";"page13",#N/A,FALSE,"Model"}</definedName>
    <definedName name="oieqwurbg" hidden="1">{"page1",#N/A,FALSE,"Model";"page2",#N/A,FALSE,"Model";"page3",#N/A,FALSE,"Model";"page4",#N/A,FALSE,"Model";"page5",#N/A,FALSE,"Model";"page6",#N/A,FALSE,"Model";"page7",#N/A,FALSE,"Model";"page8",#N/A,FALSE,"Model";"page9",#N/A,FALSE,"Model";"page10",#N/A,FALSE,"Model";"page11",#N/A,FALSE,"Model";"page12",#N/A,FALSE,"Model";"page13",#N/A,FALSE,"Model"}</definedName>
    <definedName name="oiurhg" hidden="1">{"page1",#N/A,FALSE,"Model";"page2",#N/A,FALSE,"Model";"page3",#N/A,FALSE,"Model";"page4",#N/A,FALSE,"Model";"page5",#N/A,FALSE,"Model";"page6",#N/A,FALSE,"Model";"page7",#N/A,FALSE,"Model";"page8",#N/A,FALSE,"Model";"page9",#N/A,FALSE,"Model";"page10",#N/A,FALSE,"Model";"page11",#N/A,FALSE,"Model";"page12",#N/A,FALSE,"Model";"page13",#N/A,FALSE,"Model"}</definedName>
    <definedName name="ok" localSheetId="37" hidden="1">{"Opsys",#N/A,FALSE,"NPV_OPsys";"NT",#N/A,FALSE,"NPV_NT";"DevP",#N/A,FALSE,"NPV_DevPdt";"Office",#N/A,FALSE,"NPV_Office"}</definedName>
    <definedName name="ok" localSheetId="92" hidden="1">{"Opsys",#N/A,FALSE,"NPV_OPsys";"NT",#N/A,FALSE,"NPV_NT";"DevP",#N/A,FALSE,"NPV_DevPdt";"Office",#N/A,FALSE,"NPV_Office"}</definedName>
    <definedName name="ok" localSheetId="43" hidden="1">{"Opsys",#N/A,FALSE,"NPV_OPsys";"NT",#N/A,FALSE,"NPV_NT";"DevP",#N/A,FALSE,"NPV_DevPdt";"Office",#N/A,FALSE,"NPV_Office"}</definedName>
    <definedName name="ok" hidden="1">{"Opsys",#N/A,FALSE,"NPV_OPsys";"NT",#N/A,FALSE,"NPV_NT";"DevP",#N/A,FALSE,"NPV_DevPdt";"Office",#N/A,FALSE,"NPV_Office"}</definedName>
    <definedName name="old" hidden="1">{"'Projection USA'!$A$2:$M$191"}</definedName>
    <definedName name="oooo" localSheetId="37" hidden="1">{#N/A,#N/A,FALSE,"Bakersfield PCs";#N/A,#N/A,FALSE,"Bremer PCs";#N/A,#N/A,FALSE,"Bakersfield Notebooks"}</definedName>
    <definedName name="oooo" localSheetId="92" hidden="1">{#N/A,#N/A,FALSE,"Bakersfield PCs";#N/A,#N/A,FALSE,"Bremer PCs";#N/A,#N/A,FALSE,"Bakersfield Notebooks"}</definedName>
    <definedName name="oooo" localSheetId="43" hidden="1">{#N/A,#N/A,FALSE,"Bakersfield PCs";#N/A,#N/A,FALSE,"Bremer PCs";#N/A,#N/A,FALSE,"Bakersfield Notebooks"}</definedName>
    <definedName name="oooo" hidden="1">{#N/A,#N/A,FALSE,"Bakersfield PCs";#N/A,#N/A,FALSE,"Bremer PCs";#N/A,#N/A,FALSE,"Bakersfield Notebooks"}</definedName>
    <definedName name="Order_2" hidden="1">0</definedName>
    <definedName name="owiueg" hidden="1">{"page1",#N/A,FALSE,"Model";"page2",#N/A,FALSE,"Model";"page3",#N/A,FALSE,"Model";"page4",#N/A,FALSE,"Model";"page5",#N/A,FALSE,"Model";"page6",#N/A,FALSE,"Model";"page7",#N/A,FALSE,"Model";"page8",#N/A,FALSE,"Model";"page9",#N/A,FALSE,"Model";"page10",#N/A,FALSE,"Model";"page11",#N/A,FALSE,"Model";"page12",#N/A,FALSE,"Model";"page13",#N/A,FALSE,"Model"}</definedName>
    <definedName name="Ownership" localSheetId="37" hidden="1">OFFSET([0]!Data.Top.Left,1,0)</definedName>
    <definedName name="Ownership" localSheetId="48" hidden="1">OFFSET([0]!Data.Top.Left,1,0)</definedName>
    <definedName name="Ownership" localSheetId="77" hidden="1">OFFSET([0]!Data.Top.Left,1,0)</definedName>
    <definedName name="Ownership" localSheetId="31" hidden="1">OFFSET([0]!Data.Top.Left,1,0)</definedName>
    <definedName name="Ownership" localSheetId="32" hidden="1">OFFSET([0]!Data.Top.Left,1,0)</definedName>
    <definedName name="Ownership" localSheetId="33" hidden="1">OFFSET([0]!Data.Top.Left,1,0)</definedName>
    <definedName name="Ownership" localSheetId="4" hidden="1">OFFSET([0]!Data.Top.Left,1,0)</definedName>
    <definedName name="Ownership" localSheetId="92" hidden="1">OFFSET([0]!Data.Top.Left,1,0)</definedName>
    <definedName name="Ownership" localSheetId="43" hidden="1">OFFSET([0]!Data.Top.Left,1,0)</definedName>
    <definedName name="Ownership" localSheetId="40" hidden="1">OFFSET([0]!Data.Top.Left,1,0)</definedName>
    <definedName name="Ownership" localSheetId="79" hidden="1">OFFSET([0]!Data.Top.Left,1,0)</definedName>
    <definedName name="Ownership" localSheetId="78" hidden="1">OFFSET([0]!Data.Top.Left,1,0)</definedName>
    <definedName name="Ownership" localSheetId="75" hidden="1">OFFSET([0]!Data.Top.Left,1,0)</definedName>
    <definedName name="Ownership" localSheetId="42" hidden="1">OFFSET([0]!Data.Top.Left,1,0)</definedName>
    <definedName name="Ownership" localSheetId="14" hidden="1">OFFSET([0]!Data.Top.Left,1,0)</definedName>
    <definedName name="Ownership" localSheetId="49" hidden="1">OFFSET([0]!Data.Top.Left,1,0)</definedName>
    <definedName name="Ownership" hidden="1">OFFSET([0]!Data.Top.Left,1,0)</definedName>
    <definedName name="Pal_Workbook_GUID" hidden="1">"BXU14MNTRXTLHN37PBI3Q5VV"</definedName>
    <definedName name="PAWHELP" hidden="1">{"'Page 2-4'!$A$1:$O$47","'Page 2-2'!$A$1:$P$58"}</definedName>
    <definedName name="Payment_Date" localSheetId="48">DATE(YEAR(Loan_Start),MONTH(Loan_Start)+Payment_Number,DAY(Loan_Start))</definedName>
    <definedName name="Payment_Date" localSheetId="77">DATE(YEAR(Loan_Start),MONTH(Loan_Start)+Payment_Number,DAY(Loan_Start))</definedName>
    <definedName name="Payment_Date" localSheetId="31">DATE(YEAR(Loan_Start),MONTH(Loan_Start)+Payment_Number,DAY(Loan_Start))</definedName>
    <definedName name="Payment_Date" localSheetId="32">DATE(YEAR(Loan_Start),MONTH(Loan_Start)+Payment_Number,DAY(Loan_Start))</definedName>
    <definedName name="Payment_Date" localSheetId="33">DATE(YEAR(Loan_Start),MONTH(Loan_Start)+Payment_Number,DAY(Loan_Start))</definedName>
    <definedName name="Payment_Date" localSheetId="4">DATE(YEAR(Loan_Start),MONTH(Loan_Start)+Payment_Number,DAY(Loan_Start))</definedName>
    <definedName name="Payment_Date" localSheetId="43">DATE(YEAR(Loan_Start),MONTH(Loan_Start)+Payment_Number,DAY(Loan_Start))</definedName>
    <definedName name="Payment_Date" localSheetId="75">DATE(YEAR(Loan_Start),MONTH(Loan_Start)+Payment_Number,DAY(Loan_Start))</definedName>
    <definedName name="Payment_Date" localSheetId="14">DATE(YEAR(Loan_Start),MONTH(Loan_Start)+Payment_Number,DAY(Loan_Start))</definedName>
    <definedName name="Payment_Date" localSheetId="49">DATE(YEAR(Loan_Start),MONTH(Loan_Start)+Payment_Number,DAY(Loan_Start))</definedName>
    <definedName name="Payment_Date">DATE(YEAR(Loan_Start),MONTH(Loan_Start)+Payment_Number,DAY(Loan_Start))</definedName>
    <definedName name="PCCnewcustomer" localSheetId="37" hidden="1">{#N/A,#N/A,FALSE,"Title Page";#N/A,#N/A,FALSE,"Conclusions";#N/A,#N/A,FALSE,"Assum.";#N/A,#N/A,FALSE,"Sun  DCF-WC-Dep";#N/A,#N/A,FALSE,"MarketValue";#N/A,#N/A,FALSE,"BalSheet";#N/A,#N/A,FALSE,"WACC";#N/A,#N/A,FALSE,"PC+ Info.";#N/A,#N/A,FALSE,"PC+Info_2"}</definedName>
    <definedName name="PCCnewcustomer" localSheetId="92" hidden="1">{#N/A,#N/A,FALSE,"Title Page";#N/A,#N/A,FALSE,"Conclusions";#N/A,#N/A,FALSE,"Assum.";#N/A,#N/A,FALSE,"Sun  DCF-WC-Dep";#N/A,#N/A,FALSE,"MarketValue";#N/A,#N/A,FALSE,"BalSheet";#N/A,#N/A,FALSE,"WACC";#N/A,#N/A,FALSE,"PC+ Info.";#N/A,#N/A,FALSE,"PC+Info_2"}</definedName>
    <definedName name="PCCnewcustomer" localSheetId="43"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keshbr" hidden="1">{"page1",#N/A,FALSE,"Model";"page2",#N/A,FALSE,"Model";"page3",#N/A,FALSE,"Model";"page4",#N/A,FALSE,"Model";"page5",#N/A,FALSE,"Model";"page6",#N/A,FALSE,"Model";"page7",#N/A,FALSE,"Model";"page8",#N/A,FALSE,"Model";"page9",#N/A,FALSE,"Model";"page10",#N/A,FALSE,"Model";"page11",#N/A,FALSE,"Model";"page12",#N/A,FALSE,"Model";"page13",#N/A,FALSE,"Model"}</definedName>
    <definedName name="PL" hidden="1">{#N/A,#N/A,FALSE,"DI 2 YEAR MASTER SCHEDULE"}</definedName>
    <definedName name="PMQ" hidden="1">{#N/A,#N/A,FALSE,"PRJCTED MNTHLY QTY's"}</definedName>
    <definedName name="ppp" localSheetId="37" hidden="1">{#N/A,#N/A,FALSE,"Bakersfield PCs";#N/A,#N/A,FALSE,"Bremer PCs";#N/A,#N/A,FALSE,"Bakersfield Notebooks"}</definedName>
    <definedName name="ppp" localSheetId="92" hidden="1">{#N/A,#N/A,FALSE,"Bakersfield PCs";#N/A,#N/A,FALSE,"Bremer PCs";#N/A,#N/A,FALSE,"Bakersfield Notebooks"}</definedName>
    <definedName name="ppp" localSheetId="43" hidden="1">{#N/A,#N/A,FALSE,"Bakersfield PCs";#N/A,#N/A,FALSE,"Bremer PCs";#N/A,#N/A,FALSE,"Bakersfield Notebooks"}</definedName>
    <definedName name="ppp" hidden="1">{#N/A,#N/A,FALSE,"Bakersfield PCs";#N/A,#N/A,FALSE,"Bremer PCs";#N/A,#N/A,FALSE,"Bakersfield Notebooks"}</definedName>
    <definedName name="PQD" hidden="1">{#N/A,#N/A,FALSE,"PRJCTED QTRLY $'s"}</definedName>
    <definedName name="pqiejhg" hidden="1">{"page1",#N/A,FALSE,"Model";"page2",#N/A,FALSE,"Model";"page3",#N/A,FALSE,"Model";"page4",#N/A,FALSE,"Model";"page5",#N/A,FALSE,"Model";"page6",#N/A,FALSE,"Model";"page7",#N/A,FALSE,"Model";"page8",#N/A,FALSE,"Model";"page9",#N/A,FALSE,"Model";"page10",#N/A,FALSE,"Model";"page11",#N/A,FALSE,"Model";"page12",#N/A,FALSE,"Model";"page13",#N/A,FALSE,"Model"}</definedName>
    <definedName name="PQQ" hidden="1">{#N/A,#N/A,FALSE,"PRJCTED QTRLY QTY's"}</definedName>
    <definedName name="PRASIMSCENARIOS">"early launch,late launch,"</definedName>
    <definedName name="_xlnm.Print_Area" localSheetId="37">'Additional Risk Factor'!$A$1:$I$24</definedName>
    <definedName name="_xlnm.Print_Area" localSheetId="9">'Allocation Method &gt;&gt;'!$A$1:$G$30</definedName>
    <definedName name="_xlnm.Print_Area" localSheetId="47">'Asset Vol Hybrid'!$A$1:$Z$52</definedName>
    <definedName name="_xlnm.Print_Area" localSheetId="48">'Asset Vol Hybrid OPM DLOM'!$A$1:$Z$52</definedName>
    <definedName name="_xlnm.Print_Area" localSheetId="77">'Asset Vol_DLOM'!$A$1:$Z$52</definedName>
    <definedName name="_xlnm.Print_Area" localSheetId="31">'Asset Vol_IPO Phase I'!$A$1:$Z$52</definedName>
    <definedName name="_xlnm.Print_Area" localSheetId="32">'Asset Vol_IPO Phase II'!$A$1:$Z$52</definedName>
    <definedName name="_xlnm.Print_Area" localSheetId="33">'Asset Vol_M&amp;A Phase I'!$A$1:$Z$52</definedName>
    <definedName name="_xlnm.Print_Area" localSheetId="34">'Asset Vol_M&amp;A Phase II'!$A$1:$Z$52</definedName>
    <definedName name="_xlnm.Print_Area" localSheetId="72">'Asset Vol_PWERM'!$A$1:$Z$52</definedName>
    <definedName name="_xlnm.Print_Area" localSheetId="59">'Balance Sheet''2018'!$A$1:$E$47</definedName>
    <definedName name="_xlnm.Print_Area" localSheetId="73">'Beta Calc'!$A$1:$S$49</definedName>
    <definedName name="_xlnm.Print_Area" localSheetId="26">'Cap Structure FP &gt;&gt;'!$A$1:$G$30</definedName>
    <definedName name="_xlnm.Print_Area" localSheetId="27">'Cap Table'!$A$1:$K$35</definedName>
    <definedName name="_xlnm.Print_Area" localSheetId="66">'Capital IQ Sheet-GPC'!$A$1:$BZ$75</definedName>
    <definedName name="_xlnm.Print_Area" localSheetId="67">'Capital IQ Sheet-STM'!$A$1:$AJ$60</definedName>
    <definedName name="_xlnm.Print_Area" localSheetId="60">'Cash Flow''2018'!$A$1:$N$41</definedName>
    <definedName name="_xlnm.Print_Area" localSheetId="4">Checklist!$A$1:$F$31</definedName>
    <definedName name="_xlnm.Print_Area" localSheetId="92">'Class Vol'!$A$1:$X$27</definedName>
    <definedName name="_xlnm.Print_Area" localSheetId="21">'Comp.1'!$A$1:$AA$44</definedName>
    <definedName name="_xlnm.Print_Area" localSheetId="85">'Comp.2'!$A$1:$X$50</definedName>
    <definedName name="_xlnm.Print_Area" localSheetId="80">'Comp.4'!$A$1:$R$51</definedName>
    <definedName name="_xlnm.Print_Area" localSheetId="86">'Comp.5'!$A$1:$X$48</definedName>
    <definedName name="_xlnm.Print_Area" localSheetId="22">'Comp.6'!$A$1:$E$36</definedName>
    <definedName name="_xlnm.Print_Area" localSheetId="51">'Comparative Sheet'!$A$1:$G$93</definedName>
    <definedName name="_xlnm.Print_Area" localSheetId="90">DCF!$A$1:$P$87</definedName>
    <definedName name="_xlnm.Print_Area" localSheetId="91">'Depreciation - MACRS'!$A$1:$Q$47</definedName>
    <definedName name="_xlnm.Print_Area" localSheetId="17">'Discount Rate FP &gt;&gt;'!$A$1:$G$30</definedName>
    <definedName name="_xlnm.Print_Area" localSheetId="46">'DLOM Hybrid'!$A$1:$G$52</definedName>
    <definedName name="_xlnm.Print_Area" localSheetId="81">'DLOM Rest Stock'!$A$1:$K$21</definedName>
    <definedName name="_xlnm.Print_Area" localSheetId="28">'Econ Rights'!$A$1:$H$31</definedName>
    <definedName name="_xlnm.Print_Area" localSheetId="35">'Equity Vol'!$A$1:$L$48</definedName>
    <definedName name="_xlnm.Print_Area" localSheetId="11">'Exit Probability'!$A$1:$H$49</definedName>
    <definedName name="_xlnm.Print_Area" localSheetId="13">'FS &gt;&gt;'!$A$1:$G$30</definedName>
    <definedName name="_xlnm.Print_Area" localSheetId="20">'GCM FP &gt;&gt;'!$A$1:$G$30</definedName>
    <definedName name="_xlnm.Print_Area" localSheetId="84">'GCM SUMM'!$A$1:$S$58</definedName>
    <definedName name="_xlnm.Print_Area" localSheetId="68">'GPC Linked'!$A$1:$BZ$74</definedName>
    <definedName name="_xlnm.Print_Area" localSheetId="23">'GTM FP &gt;&gt;'!$A$1:$G$30</definedName>
    <definedName name="_xlnm.Print_Area" localSheetId="87">'GTM SUMM'!$A$1:$S$59</definedName>
    <definedName name="_xlnm.Print_Area" localSheetId="16">'Hist BS'!$A$1:$I$53</definedName>
    <definedName name="_xlnm.Print_Area" localSheetId="15">'Hist IS'!$A$1:$F$43</definedName>
    <definedName name="_xlnm.Print_Area" localSheetId="43">'Hybrid OPM'!$A$1:$G$38</definedName>
    <definedName name="_xlnm.Print_Area" localSheetId="40">'IPO Data_BioPharma'!$A$1:$Q$218</definedName>
    <definedName name="_xlnm.Print_Area" localSheetId="79">'IPO Data_Diagnostic'!$A$1:$Q$137</definedName>
    <definedName name="_xlnm.Print_Area" localSheetId="78">'IPO Data_Med Device'!$A$1:$Z$47</definedName>
    <definedName name="_xlnm.Print_Area" localSheetId="82">'Lack Voting'!$A$1:$G$48</definedName>
    <definedName name="_xlnm.Print_Area" localSheetId="38">'Licensing Deals'!$A$1:$L$94</definedName>
    <definedName name="_xlnm.Print_Area" localSheetId="50">'Market Trends since Prior Val'!$A$1:$AA$50</definedName>
    <definedName name="_xlnm.Print_Area" localSheetId="75">'OPM 1'!$A$1:$P$124</definedName>
    <definedName name="_xlnm.Print_Area" localSheetId="44">'OPM 1 Hybrid'!$A$1:$P$116</definedName>
    <definedName name="_xlnm.Print_Area" localSheetId="76">'OPM 2'!$A$1:$M$19</definedName>
    <definedName name="_xlnm.Print_Area" localSheetId="45">'OPM 2 Hybrid'!$A$1:$I$17</definedName>
    <definedName name="_xlnm.Print_Area" localSheetId="7">Outline!$A$1:$H$46</definedName>
    <definedName name="_xlnm.Print_Area" localSheetId="42">Outline_Workpapers!$A$1:$G$16</definedName>
    <definedName name="_xlnm.Print_Area" localSheetId="12">PoTS!$A$1:$G$35</definedName>
    <definedName name="_xlnm.Print_Area" localSheetId="14">'Projected IS'!$A$1:$I$35</definedName>
    <definedName name="_xlnm.Print_Area" localSheetId="10">PWERM!$A$1:$I$184</definedName>
    <definedName name="_xlnm.Print_Area" localSheetId="30">'PWERM DLOM'!$A$1:$J$69</definedName>
    <definedName name="_xlnm.Print_Area" localSheetId="71">'PWERM Waterfall n Alloation'!$A$1:$P$124</definedName>
    <definedName name="_xlnm.Print_Area" localSheetId="36">'Risk-Free Rates'!$A$1:$F$53</definedName>
    <definedName name="_xlnm.Print_Area" localSheetId="49">'Risk-Free Rates Hybrid'!$A$1:$F$87</definedName>
    <definedName name="_xlnm.Print_Area" localSheetId="19">'RoR Stage of Dev'!$A$1:$I$30</definedName>
    <definedName name="_xlnm.Print_Area" localSheetId="69">'STM Linked'!$A$1:$AH$55</definedName>
    <definedName name="_xlnm.Print_Area" localSheetId="29">'Support FP &gt;&gt;'!$A$1:$G$30</definedName>
    <definedName name="_xlnm.Print_Area" localSheetId="6">Title!$A$1:$G$31</definedName>
    <definedName name="_xlnm.Print_Area" localSheetId="41">'Title_Workpapers &gt; &gt;'!$A$1:$G$28</definedName>
    <definedName name="_xlnm.Print_Area" localSheetId="24">Trans.1!$A$1:$AK$35</definedName>
    <definedName name="_xlnm.Print_Area" localSheetId="25">Trans.2!$A$1:$E$26</definedName>
    <definedName name="_xlnm.Print_Area" localSheetId="8">'Val Summ'!$A$1:$K$12</definedName>
    <definedName name="_xlnm.Print_Area" localSheetId="74">'WACC CAPM'!$A$1:$K$42</definedName>
    <definedName name="_xlnm.Print_Area" localSheetId="18">'WACC PWERM'!$A$1:$O$35</definedName>
    <definedName name="Print_Area_Reset" localSheetId="37">OFFSET(Full_Print,0,0,[0]!Last_Row)</definedName>
    <definedName name="Print_Area_Reset" localSheetId="48">OFFSET(Full_Print,0,0,[0]!Last_Row)</definedName>
    <definedName name="Print_Area_Reset" localSheetId="77">OFFSET(Full_Print,0,0,[0]!Last_Row)</definedName>
    <definedName name="Print_Area_Reset" localSheetId="31">OFFSET(Full_Print,0,0,[0]!Last_Row)</definedName>
    <definedName name="Print_Area_Reset" localSheetId="32">OFFSET(Full_Print,0,0,[0]!Last_Row)</definedName>
    <definedName name="Print_Area_Reset" localSheetId="33">OFFSET(Full_Print,0,0,[0]!Last_Row)</definedName>
    <definedName name="Print_Area_Reset" localSheetId="4">OFFSET(Full_Print,0,0,[0]!Last_Row)</definedName>
    <definedName name="Print_Area_Reset" localSheetId="92">OFFSET(Full_Print,0,0,[0]!Last_Row)</definedName>
    <definedName name="Print_Area_Reset" localSheetId="43">OFFSET(Full_Print,0,0,'Hybrid OPM'!Last_Row)</definedName>
    <definedName name="Print_Area_Reset" localSheetId="40">OFFSET(Full_Print,0,0,Last_Row)</definedName>
    <definedName name="Print_Area_Reset" localSheetId="79">OFFSET(Full_Print,0,0,Last_Row)</definedName>
    <definedName name="Print_Area_Reset" localSheetId="78">OFFSET(Full_Print,0,0,Last_Row)</definedName>
    <definedName name="Print_Area_Reset" localSheetId="75">OFFSET(Full_Print,0,0,[0]!Last_Row)</definedName>
    <definedName name="Print_Area_Reset" localSheetId="42">OFFSET(Full_Print,0,0,Last_Row)</definedName>
    <definedName name="Print_Area_Reset" localSheetId="14">OFFSET(Full_Print,0,0,[0]!Last_Row)</definedName>
    <definedName name="Print_Area_Reset" localSheetId="49">OFFSET(Full_Print,0,0,[0]!Last_Row)</definedName>
    <definedName name="Print_Area_Reset">OFFSET(Full_Print,0,0,Last_Row)</definedName>
    <definedName name="_xlnm.Print_Titles" localSheetId="37">'Additional Risk Factor'!$1:$5</definedName>
    <definedName name="_xlnm.Print_Titles" localSheetId="21">'Comp.1'!$A:$C,'Comp.1'!$1:$9</definedName>
    <definedName name="_xlnm.Print_Titles" localSheetId="85">'Comp.2'!$A:$C,'Comp.2'!$1:$9</definedName>
    <definedName name="_xlnm.Print_Titles" localSheetId="80">'Comp.4'!$A:$C,'Comp.4'!$1:$10</definedName>
    <definedName name="_xlnm.Print_Titles" localSheetId="86">'Comp.5'!$A:$C,'Comp.5'!$1:$5</definedName>
    <definedName name="_xlnm.Print_Titles" localSheetId="22">'Comp.6'!$2:$8</definedName>
    <definedName name="_xlnm.Print_Titles" localSheetId="51">'Comparative Sheet'!$1:$9</definedName>
    <definedName name="_xlnm.Print_Titles" localSheetId="90">DCF!$2:$10</definedName>
    <definedName name="_xlnm.Print_Titles" localSheetId="11">'Exit Probability'!$1:$5</definedName>
    <definedName name="_xlnm.Print_Titles" localSheetId="40">'IPO Data_BioPharma'!$1:$10</definedName>
    <definedName name="_xlnm.Print_Titles" localSheetId="79">'IPO Data_Diagnostic'!$1:$10</definedName>
    <definedName name="_xlnm.Print_Titles" localSheetId="78">'IPO Data_Med Device'!$1:$7</definedName>
    <definedName name="_xlnm.Print_Titles" localSheetId="38">'Licensing Deals'!$1:$7</definedName>
    <definedName name="_xlnm.Print_Titles" localSheetId="50">'Market Trends since Prior Val'!$A:$B,'Market Trends since Prior Val'!$1:$8</definedName>
    <definedName name="_xlnm.Print_Titles" localSheetId="75">'OPM 1'!$1:$16</definedName>
    <definedName name="_xlnm.Print_Titles" localSheetId="44">'OPM 1 Hybrid'!$1:$16</definedName>
    <definedName name="_xlnm.Print_Titles" localSheetId="12">PoTS!$1:$5</definedName>
    <definedName name="_xlnm.Print_Titles" localSheetId="10">PWERM!$1:$8</definedName>
    <definedName name="_xlnm.Print_Titles" localSheetId="71">'PWERM Waterfall n Alloation'!$1:$16</definedName>
    <definedName name="_xlnm.Print_Titles" localSheetId="36">'Risk-Free Rates'!$1:$19</definedName>
    <definedName name="_xlnm.Print_Titles" localSheetId="49">'Risk-Free Rates Hybrid'!$1:$20</definedName>
    <definedName name="_xlnm.Print_Titles" localSheetId="24">Trans.1!$A:$P,Trans.1!$1:$7</definedName>
    <definedName name="_xlnm.Print_Titles" localSheetId="25">Trans.2!$2:$7</definedName>
    <definedName name="printit" hidden="1">{#N/A,#N/A,FALSE,"Assumptions";#N/A,#N/A,FALSE,"Factors";#N/A,#N/A,FALSE,"Model";#N/A,#N/A,FALSE,"Allocation"}</definedName>
    <definedName name="PUB_FileID" hidden="1">"L10003649.xls"</definedName>
    <definedName name="PUB_UserID" hidden="1">"MAYERX"</definedName>
    <definedName name="Purpose" localSheetId="43">[14]Setup!$C$4</definedName>
    <definedName name="Purpose_IP" localSheetId="43">'[30]Setup - IP Val'!$C$4</definedName>
    <definedName name="pwerm1" hidden="1">#REF!</definedName>
    <definedName name="pwn" hidden="1">{#N/A,#N/A,FALSE,"Model"}</definedName>
    <definedName name="q" localSheetId="37" hidden="1">{#N/A,#N/A,FALSE,"Bakersfield PCs";#N/A,#N/A,FALSE,"Bremer PCs";#N/A,#N/A,FALSE,"Bakersfield Notebooks"}</definedName>
    <definedName name="q" localSheetId="92" hidden="1">{#N/A,#N/A,FALSE,"Bakersfield PCs";#N/A,#N/A,FALSE,"Bremer PCs";#N/A,#N/A,FALSE,"Bakersfield Notebooks"}</definedName>
    <definedName name="q" localSheetId="43" hidden="1">{#N/A,#N/A,FALSE,"Bakersfield PCs";#N/A,#N/A,FALSE,"Bremer PCs";#N/A,#N/A,FALSE,"Bakersfield Notebooks"}</definedName>
    <definedName name="q" hidden="1">{#N/A,#N/A,FALSE,"Bakersfield PCs";#N/A,#N/A,FALSE,"Bremer PCs";#N/A,#N/A,FALSE,"Bakersfield Notebooks"}</definedName>
    <definedName name="qeoi" hidden="1">{"page1",#N/A,FALSE,"Model";"page2",#N/A,FALSE,"Model";"page3",#N/A,FALSE,"Model";"page4",#N/A,FALSE,"Model";"page5",#N/A,FALSE,"Model";"page6",#N/A,FALSE,"Model";"page7",#N/A,FALSE,"Model";"page8",#N/A,FALSE,"Model";"page9",#N/A,FALSE,"Model";"page10",#N/A,FALSE,"Model";"page11",#N/A,FALSE,"Model";"page12",#N/A,FALSE,"Model";"page13",#N/A,FALSE,"Model"}</definedName>
    <definedName name="qeoin" hidden="1">{"page1",#N/A,FALSE,"Model";"page2",#N/A,FALSE,"Model";"page3",#N/A,FALSE,"Model";"page4",#N/A,FALSE,"Model";"page5",#N/A,FALSE,"Model";"page6",#N/A,FALSE,"Model";"page7",#N/A,FALSE,"Model";"page8",#N/A,FALSE,"Model";"page9",#N/A,FALSE,"Model";"page10",#N/A,FALSE,"Model";"page11",#N/A,FALSE,"Model";"page12",#N/A,FALSE,"Model";"page13",#N/A,FALSE,"Model"}</definedName>
    <definedName name="qepiubg" hidden="1">{"page1",#N/A,FALSE,"Model";"page2",#N/A,FALSE,"Model";"page3",#N/A,FALSE,"Model";"page4",#N/A,FALSE,"Model";"page5",#N/A,FALSE,"Model";"page6",#N/A,FALSE,"Model";"page7",#N/A,FALSE,"Model";"page8",#N/A,FALSE,"Model";"page9",#N/A,FALSE,"Model";"page10",#N/A,FALSE,"Model";"page11",#N/A,FALSE,"Model";"page12",#N/A,FALSE,"Model";"page13",#N/A,FALSE,"Model"}</definedName>
    <definedName name="qepiwubg" hidden="1">{"page1",#N/A,FALSE,"Model";"page2",#N/A,FALSE,"Model";"page3",#N/A,FALSE,"Model";"page4",#N/A,FALSE,"Model";"page5",#N/A,FALSE,"Model";"page6",#N/A,FALSE,"Model";"page7",#N/A,FALSE,"Model";"page8",#N/A,FALSE,"Model";"page9",#N/A,FALSE,"Model";"page10",#N/A,FALSE,"Model";"page11",#N/A,FALSE,"Model";"page12",#N/A,FALSE,"Model";"page13",#N/A,FALSE,"Model"}</definedName>
    <definedName name="qepoiubg" hidden="1">{"page1",#N/A,FALSE,"Model";"page2",#N/A,FALSE,"Model";"page3",#N/A,FALSE,"Model";"page4",#N/A,FALSE,"Model";"page5",#N/A,FALSE,"Model";"page6",#N/A,FALSE,"Model";"page7",#N/A,FALSE,"Model";"page8",#N/A,FALSE,"Model";"page9",#N/A,FALSE,"Model";"page10",#N/A,FALSE,"Model";"page11",#N/A,FALSE,"Model";"page12",#N/A,FALSE,"Model";"page13",#N/A,FALSE,"Model"}</definedName>
    <definedName name="qeuhg" hidden="1">{"page1",#N/A,FALSE,"Model";"page2",#N/A,FALSE,"Model";"page3",#N/A,FALSE,"Model";"page4",#N/A,FALSE,"Model";"page5",#N/A,FALSE,"Model";"page6",#N/A,FALSE,"Model";"page7",#N/A,FALSE,"Model";"page8",#N/A,FALSE,"Model";"page9",#N/A,FALSE,"Model";"page10",#N/A,FALSE,"Model";"page11",#N/A,FALSE,"Model";"page12",#N/A,FALSE,"Model";"page13",#N/A,FALSE,"Model"}</definedName>
    <definedName name="qewpoung" hidden="1">{"page1",#N/A,FALSE,"Model";"page2",#N/A,FALSE,"Model";"page3",#N/A,FALSE,"Model";"page4",#N/A,FALSE,"Model";"page5",#N/A,FALSE,"Model";"page6",#N/A,FALSE,"Model";"page7",#N/A,FALSE,"Model";"page8",#N/A,FALSE,"Model";"page9",#N/A,FALSE,"Model";"page10",#N/A,FALSE,"Model";"page11",#N/A,FALSE,"Model";"page12",#N/A,FALSE,"Model";"page13",#N/A,FALSE,"Model"}</definedName>
    <definedName name="qiuewbg" hidden="1">{"page1",#N/A,FALSE,"Model";"page2",#N/A,FALSE,"Model";"page3",#N/A,FALSE,"Model";"page4",#N/A,FALSE,"Model";"page5",#N/A,FALSE,"Model";"page6",#N/A,FALSE,"Model";"page7",#N/A,FALSE,"Model";"page8",#N/A,FALSE,"Model";"page9",#N/A,FALSE,"Model";"page10",#N/A,FALSE,"Model";"page11",#N/A,FALSE,"Model";"page12",#N/A,FALSE,"Model";"page13",#N/A,FALSE,"Model"}</definedName>
    <definedName name="qiuhgq" hidden="1">{"page1",#N/A,FALSE,"Model";"page2",#N/A,FALSE,"Model";"page3",#N/A,FALSE,"Model";"page4",#N/A,FALSE,"Model";"page5",#N/A,FALSE,"Model";"page6",#N/A,FALSE,"Model";"page7",#N/A,FALSE,"Model";"page8",#N/A,FALSE,"Model";"page9",#N/A,FALSE,"Model";"page10",#N/A,FALSE,"Model";"page11",#N/A,FALSE,"Model";"page12",#N/A,FALSE,"Model";"page13",#N/A,FALSE,"Model"}</definedName>
    <definedName name="qlwkhvbe" hidden="1">{"page1",#N/A,FALSE,"Model";"page2",#N/A,FALSE,"Model";"page3",#N/A,FALSE,"Model";"page4",#N/A,FALSE,"Model";"page5",#N/A,FALSE,"Model";"page6",#N/A,FALSE,"Model";"page7",#N/A,FALSE,"Model";"page8",#N/A,FALSE,"Model";"page9",#N/A,FALSE,"Model";"page10",#N/A,FALSE,"Model";"page11",#N/A,FALSE,"Model";"page12",#N/A,FALSE,"Model";"page13",#N/A,FALSE,"Model"}</definedName>
    <definedName name="qoihebg" hidden="1">{"page1",#N/A,FALSE,"Model";"page2",#N/A,FALSE,"Model";"page3",#N/A,FALSE,"Model";"page4",#N/A,FALSE,"Model";"page5",#N/A,FALSE,"Model";"page6",#N/A,FALSE,"Model";"page7",#N/A,FALSE,"Model";"page8",#N/A,FALSE,"Model";"page9",#N/A,FALSE,"Model";"page10",#N/A,FALSE,"Model";"page11",#N/A,FALSE,"Model";"page12",#N/A,FALSE,"Model";"page13",#N/A,FALSE,"Model"}</definedName>
    <definedName name="qoiuewfbgr" hidden="1">{"page1",#N/A,FALSE,"Model";"page2",#N/A,FALSE,"Model";"page3",#N/A,FALSE,"Model";"page4",#N/A,FALSE,"Model";"page5",#N/A,FALSE,"Model";"page6",#N/A,FALSE,"Model";"page7",#N/A,FALSE,"Model";"page8",#N/A,FALSE,"Model";"page9",#N/A,FALSE,"Model";"page10",#N/A,FALSE,"Model";"page11",#N/A,FALSE,"Model";"page12",#N/A,FALSE,"Model";"page13",#N/A,FALSE,"Model"}</definedName>
    <definedName name="qoiugebrq" hidden="1">{"page1",#N/A,FALSE,"Model";"page2",#N/A,FALSE,"Model";"page3",#N/A,FALSE,"Model";"page4",#N/A,FALSE,"Model";"page5",#N/A,FALSE,"Model";"page6",#N/A,FALSE,"Model";"page7",#N/A,FALSE,"Model";"page8",#N/A,FALSE,"Model";"page9",#N/A,FALSE,"Model";"page10",#N/A,FALSE,"Model";"page11",#N/A,FALSE,"Model";"page12",#N/A,FALSE,"Model";"page13",#N/A,FALSE,"Model"}</definedName>
    <definedName name="qoiuhg" hidden="1">{"page1",#N/A,FALSE,"Model";"page2",#N/A,FALSE,"Model";"page3",#N/A,FALSE,"Model";"page4",#N/A,FALSE,"Model";"page5",#N/A,FALSE,"Model";"page6",#N/A,FALSE,"Model";"page7",#N/A,FALSE,"Model";"page8",#N/A,FALSE,"Model";"page9",#N/A,FALSE,"Model";"page10",#N/A,FALSE,"Model";"page11",#N/A,FALSE,"Model";"page12",#N/A,FALSE,"Model";"page13",#N/A,FALSE,"Model"}</definedName>
    <definedName name="qpeiubg" hidden="1">{"page1",#N/A,FALSE,"Model";"page2",#N/A,FALSE,"Model";"page3",#N/A,FALSE,"Model";"page4",#N/A,FALSE,"Model";"page5",#N/A,FALSE,"Model";"page6",#N/A,FALSE,"Model";"page7",#N/A,FALSE,"Model";"page8",#N/A,FALSE,"Model";"page9",#N/A,FALSE,"Model";"page10",#N/A,FALSE,"Model";"page11",#N/A,FALSE,"Model";"page12",#N/A,FALSE,"Model";"page13",#N/A,FALSE,"Model"}</definedName>
    <definedName name="qpeouhg" hidden="1">{"page1",#N/A,FALSE,"Model";"page2",#N/A,FALSE,"Model";"page3",#N/A,FALSE,"Model";"page4",#N/A,FALSE,"Model";"page5",#N/A,FALSE,"Model";"page6",#N/A,FALSE,"Model";"page7",#N/A,FALSE,"Model";"page8",#N/A,FALSE,"Model";"page9",#N/A,FALSE,"Model";"page10",#N/A,FALSE,"Model";"page11",#N/A,FALSE,"Model";"page12",#N/A,FALSE,"Model";"page13",#N/A,FALSE,"Model"}</definedName>
    <definedName name="qpewiubg" hidden="1">{"page1",#N/A,FALSE,"Model";"page2",#N/A,FALSE,"Model";"page3",#N/A,FALSE,"Model";"page4",#N/A,FALSE,"Model";"page5",#N/A,FALSE,"Model";"page6",#N/A,FALSE,"Model";"page7",#N/A,FALSE,"Model";"page8",#N/A,FALSE,"Model";"page9",#N/A,FALSE,"Model";"page10",#N/A,FALSE,"Model";"page11",#N/A,FALSE,"Model";"page12",#N/A,FALSE,"Model";"page13",#N/A,FALSE,"Model"}</definedName>
    <definedName name="qpewou" hidden="1">{"page1",#N/A,FALSE,"Model";"page2",#N/A,FALSE,"Model";"page3",#N/A,FALSE,"Model";"page4",#N/A,FALSE,"Model";"page5",#N/A,FALSE,"Model";"page6",#N/A,FALSE,"Model";"page7",#N/A,FALSE,"Model";"page8",#N/A,FALSE,"Model";"page9",#N/A,FALSE,"Model";"page10",#N/A,FALSE,"Model";"page11",#N/A,FALSE,"Model";"page12",#N/A,FALSE,"Model";"page13",#N/A,FALSE,"Model"}</definedName>
    <definedName name="qpiwu" hidden="1">{"page1",#N/A,FALSE,"Model";"page2",#N/A,FALSE,"Model";"page3",#N/A,FALSE,"Model";"page4",#N/A,FALSE,"Model";"page5",#N/A,FALSE,"Model";"page6",#N/A,FALSE,"Model";"page7",#N/A,FALSE,"Model";"page8",#N/A,FALSE,"Model";"page9",#N/A,FALSE,"Model";"page10",#N/A,FALSE,"Model";"page11",#N/A,FALSE,"Model";"page12",#N/A,FALSE,"Model";"page13",#N/A,FALSE,"Model"}</definedName>
    <definedName name="qpowiuehg" hidden="1">{"page1",#N/A,FALSE,"Model";"page2",#N/A,FALSE,"Model";"page3",#N/A,FALSE,"Model";"page4",#N/A,FALSE,"Model";"page5",#N/A,FALSE,"Model";"page6",#N/A,FALSE,"Model";"page7",#N/A,FALSE,"Model";"page8",#N/A,FALSE,"Model";"page9",#N/A,FALSE,"Model";"page10",#N/A,FALSE,"Model";"page11",#N/A,FALSE,"Model";"page12",#N/A,FALSE,"Model";"page13",#N/A,FALSE,"Model"}</definedName>
    <definedName name="qq" hidden="1">{#N/A,#N/A,FALSE,"e-Svc Level";#N/A,#N/A,FALSE,"e-Hosted";#N/A,#N/A,FALSE,"e-Licensed";#N/A,#N/A,FALSE,"Assumptions"}</definedName>
    <definedName name="quehg" hidden="1">{"page1",#N/A,FALSE,"Model";"page2",#N/A,FALSE,"Model";"page3",#N/A,FALSE,"Model";"page4",#N/A,FALSE,"Model";"page5",#N/A,FALSE,"Model";"page6",#N/A,FALSE,"Model";"page7",#N/A,FALSE,"Model";"page8",#N/A,FALSE,"Model";"page9",#N/A,FALSE,"Model";"page10",#N/A,FALSE,"Model";"page11",#N/A,FALSE,"Model";"page12",#N/A,FALSE,"Model";"page13",#N/A,FALSE,"Model"}</definedName>
    <definedName name="qw" hidden="1">{"page1",#N/A,FALSE,"Model";"page2",#N/A,FALSE,"Model";"page3",#N/A,FALSE,"Model";"page4",#N/A,FALSE,"Model";"page5",#N/A,FALSE,"Model";"page6",#N/A,FALSE,"Model";"page7",#N/A,FALSE,"Model";"page8",#N/A,FALSE,"Model";"page9",#N/A,FALSE,"Model";"page10",#N/A,FALSE,"Model";"page11",#N/A,FALSE,"Model";"page12",#N/A,FALSE,"Model";"page13",#N/A,FALSE,"Model"}</definedName>
    <definedName name="qweug" hidden="1">{"page1",#N/A,FALSE,"Model";"page2",#N/A,FALSE,"Model";"page3",#N/A,FALSE,"Model";"page4",#N/A,FALSE,"Model";"page5",#N/A,FALSE,"Model";"page6",#N/A,FALSE,"Model";"page7",#N/A,FALSE,"Model";"page8",#N/A,FALSE,"Model";"page9",#N/A,FALSE,"Model";"page10",#N/A,FALSE,"Model";"page11",#N/A,FALSE,"Model";"page12",#N/A,FALSE,"Model";"page13",#N/A,FALSE,"Model"}</definedName>
    <definedName name="qwlkjbg" hidden="1">{"page1",#N/A,FALSE,"Model";"page2",#N/A,FALSE,"Model";"page3",#N/A,FALSE,"Model";"page4",#N/A,FALSE,"Model";"page5",#N/A,FALSE,"Model";"page6",#N/A,FALSE,"Model";"page7",#N/A,FALSE,"Model";"page8",#N/A,FALSE,"Model";"page9",#N/A,FALSE,"Model";"page10",#N/A,FALSE,"Model";"page11",#N/A,FALSE,"Model";"page12",#N/A,FALSE,"Model";"page13",#N/A,FALSE,"Model"}</definedName>
    <definedName name="rarte" localSheetId="37" hidden="1">{#N/A,#N/A,FALSE,"Bakersfield PCs";#N/A,#N/A,FALSE,"Bremer PCs";#N/A,#N/A,FALSE,"Bakersfield Notebooks"}</definedName>
    <definedName name="rarte" localSheetId="92" hidden="1">{#N/A,#N/A,FALSE,"Bakersfield PCs";#N/A,#N/A,FALSE,"Bremer PCs";#N/A,#N/A,FALSE,"Bakersfield Notebooks"}</definedName>
    <definedName name="rarte" localSheetId="43" hidden="1">{#N/A,#N/A,FALSE,"Bakersfield PCs";#N/A,#N/A,FALSE,"Bremer PCs";#N/A,#N/A,FALSE,"Bakersfield Notebooks"}</definedName>
    <definedName name="rarte" hidden="1">{#N/A,#N/A,FALSE,"Bakersfield PCs";#N/A,#N/A,FALSE,"Bremer PCs";#N/A,#N/A,FALSE,"Bakersfield Notebooks"}</definedName>
    <definedName name="rates" hidden="1">{"rates",#N/A,FALSE,"Summary"}</definedName>
    <definedName name="reality" localSheetId="37" hidden="1">{#N/A,#N/A,FALSE,"Title Page";#N/A,#N/A,FALSE,"Conclusions";#N/A,#N/A,FALSE,"Assum.";#N/A,#N/A,FALSE,"Sun  DCF-WC-Dep";#N/A,#N/A,FALSE,"MarketValue";#N/A,#N/A,FALSE,"BalSheet";#N/A,#N/A,FALSE,"WACC";#N/A,#N/A,FALSE,"PC+ Info.";#N/A,#N/A,FALSE,"PC+Info_2"}</definedName>
    <definedName name="reality" localSheetId="92" hidden="1">{#N/A,#N/A,FALSE,"Title Page";#N/A,#N/A,FALSE,"Conclusions";#N/A,#N/A,FALSE,"Assum.";#N/A,#N/A,FALSE,"Sun  DCF-WC-Dep";#N/A,#N/A,FALSE,"MarketValue";#N/A,#N/A,FALSE,"BalSheet";#N/A,#N/A,FALSE,"WACC";#N/A,#N/A,FALSE,"PC+ Info.";#N/A,#N/A,FALSE,"PC+Info_2"}</definedName>
    <definedName name="reality" localSheetId="43"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cruiting">0.1</definedName>
    <definedName name="redo" hidden="1">{#N/A,#N/A,FALSE,"ACQ_GRAPHS";#N/A,#N/A,FALSE,"T_1 GRAPHS";#N/A,#N/A,FALSE,"T_2 GRAPHS";#N/A,#N/A,FALSE,"COMB_GRAPHS"}</definedName>
    <definedName name="regmult" localSheetId="37" hidden="1">#REF!</definedName>
    <definedName name="regmult" localSheetId="48" hidden="1">#REF!</definedName>
    <definedName name="regmult" localSheetId="77" hidden="1">#REF!</definedName>
    <definedName name="regmult" localSheetId="31" hidden="1">#REF!</definedName>
    <definedName name="regmult" localSheetId="32" hidden="1">#REF!</definedName>
    <definedName name="regmult" localSheetId="33" hidden="1">#REF!</definedName>
    <definedName name="regmult" localSheetId="4" hidden="1">#REF!</definedName>
    <definedName name="regmult" localSheetId="40" hidden="1">#REF!</definedName>
    <definedName name="regmult" localSheetId="79" hidden="1">#REF!</definedName>
    <definedName name="regmult" localSheetId="78" hidden="1">#REF!</definedName>
    <definedName name="regmult" localSheetId="75" hidden="1">#REF!</definedName>
    <definedName name="regmult" localSheetId="42" hidden="1">#REF!</definedName>
    <definedName name="regmult" localSheetId="14" hidden="1">#REF!</definedName>
    <definedName name="regmult" localSheetId="49" hidden="1">#REF!</definedName>
    <definedName name="regmult" hidden="1">#REF!</definedName>
    <definedName name="rehb" hidden="1">{"page1",#N/A,FALSE,"Model";"page2",#N/A,FALSE,"Model";"page3",#N/A,FALSE,"Model";"page4",#N/A,FALSE,"Model";"page5",#N/A,FALSE,"Model";"page6",#N/A,FALSE,"Model";"page7",#N/A,FALSE,"Model";"page8",#N/A,FALSE,"Model";"page9",#N/A,FALSE,"Model";"page10",#N/A,FALSE,"Model";"page11",#N/A,FALSE,"Model";"page12",#N/A,FALSE,"Model";"page13",#N/A,FALSE,"Model"}</definedName>
    <definedName name="Reim" hidden="1">#REF!</definedName>
    <definedName name="rejbg" hidden="1">{"page1",#N/A,FALSE,"Model";"page2",#N/A,FALSE,"Model";"page3",#N/A,FALSE,"Model";"page4",#N/A,FALSE,"Model";"page5",#N/A,FALSE,"Model";"page6",#N/A,FALSE,"Model";"page7",#N/A,FALSE,"Model";"page8",#N/A,FALSE,"Model";"page9",#N/A,FALSE,"Model";"page10",#N/A,FALSE,"Model";"page11",#N/A,FALSE,"Model";"page12",#N/A,FALSE,"Model";"page13",#N/A,FALSE,"Model"}</definedName>
    <definedName name="rekjnb" hidden="1">{"page1",#N/A,FALSE,"Model";"page2",#N/A,FALSE,"Model";"page3",#N/A,FALSE,"Model";"page4",#N/A,FALSE,"Model";"page5",#N/A,FALSE,"Model";"page6",#N/A,FALSE,"Model";"page7",#N/A,FALSE,"Model";"page8",#N/A,FALSE,"Model";"page9",#N/A,FALSE,"Model";"page10",#N/A,FALSE,"Model";"page11",#N/A,FALSE,"Model";"page12",#N/A,FALSE,"Model";"page13",#N/A,FALSE,"Model"}</definedName>
    <definedName name="relativevalue2" localSheetId="37" hidden="1">{#N/A,#N/A,FALSE,"Bakersfield PCs";#N/A,#N/A,FALSE,"Bremer PCs";#N/A,#N/A,FALSE,"Bakersfield Notebooks"}</definedName>
    <definedName name="relativevalue2" localSheetId="92" hidden="1">{#N/A,#N/A,FALSE,"Bakersfield PCs";#N/A,#N/A,FALSE,"Bremer PCs";#N/A,#N/A,FALSE,"Bakersfield Notebooks"}</definedName>
    <definedName name="relativevalue2" localSheetId="43" hidden="1">{#N/A,#N/A,FALSE,"Bakersfield PCs";#N/A,#N/A,FALSE,"Bremer PCs";#N/A,#N/A,FALSE,"Bakersfield Notebooks"}</definedName>
    <definedName name="relativevalue2" hidden="1">{#N/A,#N/A,FALSE,"Bakersfield PCs";#N/A,#N/A,FALSE,"Bremer PCs";#N/A,#N/A,FALSE,"Bakersfield Notebooks"}</definedName>
    <definedName name="relativevalue3" localSheetId="37" hidden="1">{#N/A,#N/A,FALSE,"Bakersfield PCs";#N/A,#N/A,FALSE,"Bremer PCs";#N/A,#N/A,FALSE,"Bakersfield Notebooks"}</definedName>
    <definedName name="relativevalue3" localSheetId="92" hidden="1">{#N/A,#N/A,FALSE,"Bakersfield PCs";#N/A,#N/A,FALSE,"Bremer PCs";#N/A,#N/A,FALSE,"Bakersfield Notebooks"}</definedName>
    <definedName name="relativevalue3" localSheetId="43" hidden="1">{#N/A,#N/A,FALSE,"Bakersfield PCs";#N/A,#N/A,FALSE,"Bremer PCs";#N/A,#N/A,FALSE,"Bakersfield Notebooks"}</definedName>
    <definedName name="relativevalue3" hidden="1">{#N/A,#N/A,FALSE,"Bakersfield PCs";#N/A,#N/A,FALSE,"Bremer PCs";#N/A,#N/A,FALSE,"Bakersfield Notebooks"}</definedName>
    <definedName name="REPDATA">[31]SUBS!$B$10:$V$70</definedName>
    <definedName name="Report_Divisor" hidden="1">1000</definedName>
    <definedName name="Report_Divisor_000" hidden="1">1000000</definedName>
    <definedName name="Report_ID" hidden="1">"AL"</definedName>
    <definedName name="ReportGroup" hidden="1">0</definedName>
    <definedName name="reqkj" hidden="1">{"page1",#N/A,FALSE,"Model";"page2",#N/A,FALSE,"Model";"page3",#N/A,FALSE,"Model";"page4",#N/A,FALSE,"Model";"page5",#N/A,FALSE,"Model";"page6",#N/A,FALSE,"Model";"page7",#N/A,FALSE,"Model";"page8",#N/A,FALSE,"Model";"page9",#N/A,FALSE,"Model";"page10",#N/A,FALSE,"Model";"page11",#N/A,FALSE,"Model";"page12",#N/A,FALSE,"Model";"page13",#N/A,FALSE,"Model"}</definedName>
    <definedName name="RevModel2" hidden="1">{#N/A,#N/A,FALSE,"6405";#N/A,#N/A,FALSE,"6406";#N/A,#N/A,FALSE,"6409";#N/A,#N/A,FALSE,"6425";#N/A,#N/A,FALSE,"6426";#N/A,#N/A,FALSE,"6427";#N/A,#N/A,FALSE,"6440";#N/A,#N/A,FALSE,"6441";#N/A,#N/A,FALSE,"6442";#N/A,#N/A,FALSE,"6443"}</definedName>
    <definedName name="rewjg" hidden="1">{"page1",#N/A,FALSE,"Model";"page2",#N/A,FALSE,"Model";"page3",#N/A,FALSE,"Model";"page4",#N/A,FALSE,"Model";"page5",#N/A,FALSE,"Model";"page6",#N/A,FALSE,"Model";"page7",#N/A,FALSE,"Model";"page8",#N/A,FALSE,"Model";"page9",#N/A,FALSE,"Model";"page10",#N/A,FALSE,"Model";"page11",#N/A,FALSE,"Model";"page12",#N/A,FALSE,"Model";"page13",#N/A,FALSE,"Model"}</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2</definedName>
    <definedName name="RiskStandardRecalc" hidden="1">1</definedName>
    <definedName name="RiskSwapState" hidden="1">FALSE</definedName>
    <definedName name="RiskUpdateDisplay" hidden="1">FALSE</definedName>
    <definedName name="RiskUseDifferentSeedForEachSim" hidden="1">FALSE</definedName>
    <definedName name="RiskUseFixedSeed" hidden="1">FALSE</definedName>
    <definedName name="RiskUseMultipleCPUs" hidden="1">TRUE</definedName>
    <definedName name="rkejbn" hidden="1">{"page1",#N/A,FALSE,"Model";"page2",#N/A,FALSE,"Model";"page3",#N/A,FALSE,"Model";"page4",#N/A,FALSE,"Model";"page5",#N/A,FALSE,"Model";"page6",#N/A,FALSE,"Model";"page7",#N/A,FALSE,"Model";"page8",#N/A,FALSE,"Model";"page9",#N/A,FALSE,"Model";"page10",#N/A,FALSE,"Model";"page11",#N/A,FALSE,"Model";"page12",#N/A,FALSE,"Model";"page13",#N/A,FALSE,"Model"}</definedName>
    <definedName name="rlbg" hidden="1">{"page1",#N/A,FALSE,"Model";"page2",#N/A,FALSE,"Model";"page3",#N/A,FALSE,"Model";"page4",#N/A,FALSE,"Model";"page5",#N/A,FALSE,"Model";"page6",#N/A,FALSE,"Model";"page7",#N/A,FALSE,"Model";"page8",#N/A,FALSE,"Model";"page9",#N/A,FALSE,"Model";"page10",#N/A,FALSE,"Model";"page11",#N/A,FALSE,"Model";"page12",#N/A,FALSE,"Model";"page13",#N/A,FALSE,"Model"}</definedName>
    <definedName name="rphg" hidden="1">{"page1",#N/A,FALSE,"Model";"page2",#N/A,FALSE,"Model";"page3",#N/A,FALSE,"Model";"page4",#N/A,FALSE,"Model";"page5",#N/A,FALSE,"Model";"page6",#N/A,FALSE,"Model";"page7",#N/A,FALSE,"Model";"page8",#N/A,FALSE,"Model";"page9",#N/A,FALSE,"Model";"page10",#N/A,FALSE,"Model";"page11",#N/A,FALSE,"Model";"page12",#N/A,FALSE,"Model";"page13",#N/A,FALSE,"Model"}</definedName>
    <definedName name="rr" localSheetId="37" hidden="1">{#N/A,#N/A,FALSE,"Bakersfield PCs";#N/A,#N/A,FALSE,"Bremer PCs";#N/A,#N/A,FALSE,"Bakersfield Notebooks"}</definedName>
    <definedName name="rr" localSheetId="92" hidden="1">{#N/A,#N/A,FALSE,"Bakersfield PCs";#N/A,#N/A,FALSE,"Bremer PCs";#N/A,#N/A,FALSE,"Bakersfield Notebooks"}</definedName>
    <definedName name="rr" localSheetId="43" hidden="1">{#N/A,#N/A,FALSE,"Bakersfield PCs";#N/A,#N/A,FALSE,"Bremer PCs";#N/A,#N/A,FALSE,"Bakersfield Notebooks"}</definedName>
    <definedName name="rr" hidden="1">{#N/A,#N/A,FALSE,"Bakersfield PCs";#N/A,#N/A,FALSE,"Bremer PCs";#N/A,#N/A,FALSE,"Bakersfield Notebooks"}</definedName>
    <definedName name="rtbg" hidden="1">{"page1",#N/A,FALSE,"Model";"page2",#N/A,FALSE,"Model";"page3",#N/A,FALSE,"Model";"page4",#N/A,FALSE,"Model";"page5",#N/A,FALSE,"Model";"page6",#N/A,FALSE,"Model";"page7",#N/A,FALSE,"Model";"page8",#N/A,FALSE,"Model";"page9",#N/A,FALSE,"Model";"page10",#N/A,FALSE,"Model";"page11",#N/A,FALSE,"Model";"page12",#N/A,FALSE,"Model";"page13",#N/A,FALSE,"Model"}</definedName>
    <definedName name="rwn" hidden="1">{#N/A,#N/A,FALSE,"Assumptions";#N/A,#N/A,FALSE,"Factors";#N/A,#N/A,FALSE,"Model";#N/A,#N/A,FALSE,"Allocation"}</definedName>
    <definedName name="Rwvu.CapersView." hidden="1">'[12]THREE VARIABLES'!$A$1:$M$65536</definedName>
    <definedName name="Rwvu.Japan_Capers_Ed_Pub." hidden="1">'[12]THREE VARIABLES'!$A$1:$M$65536</definedName>
    <definedName name="Rwvu.KJP_CC." hidden="1">'[12]THREE VARIABLES'!$A$1:$M$65536</definedName>
    <definedName name="Sales_Rep">'[17]Revenue Assumptions and Summary'!$T$24:$T$25</definedName>
    <definedName name="SAPBEXrevision" hidden="1">1</definedName>
    <definedName name="SAPBEXsysID" hidden="1">"PBL"</definedName>
    <definedName name="SAPBEXwbID" hidden="1">"3JWXP1JGVR0V27DB0INATEIH7"</definedName>
    <definedName name="SAPFuncF4Help" localSheetId="37" hidden="1">Main.SAPF4Help()</definedName>
    <definedName name="SAPFuncF4Help" localSheetId="48" hidden="1">Main.SAPF4Help()</definedName>
    <definedName name="SAPFuncF4Help" localSheetId="77" hidden="1">Main.SAPF4Help()</definedName>
    <definedName name="SAPFuncF4Help" localSheetId="31" hidden="1">Main.SAPF4Help()</definedName>
    <definedName name="SAPFuncF4Help" localSheetId="32" hidden="1">Main.SAPF4Help()</definedName>
    <definedName name="SAPFuncF4Help" localSheetId="33" hidden="1">Main.SAPF4Help()</definedName>
    <definedName name="SAPFuncF4Help" localSheetId="4" hidden="1">Main.SAPF4Help()</definedName>
    <definedName name="SAPFuncF4Help" localSheetId="92" hidden="1">Main.SAPF4Help()</definedName>
    <definedName name="SAPFuncF4Help" localSheetId="91" hidden="1">Main.SAPF4Help()</definedName>
    <definedName name="SAPFuncF4Help" localSheetId="43" hidden="1">Main.SAPF4Help()</definedName>
    <definedName name="SAPFuncF4Help" localSheetId="40" hidden="1">Main.SAPF4Help()</definedName>
    <definedName name="SAPFuncF4Help" localSheetId="79" hidden="1">Main.SAPF4Help()</definedName>
    <definedName name="SAPFuncF4Help" localSheetId="78" hidden="1">Main.SAPF4Help()</definedName>
    <definedName name="SAPFuncF4Help" localSheetId="75" hidden="1">Main.SAPF4Help()</definedName>
    <definedName name="SAPFuncF4Help" localSheetId="42" hidden="1">Main.SAPF4Help()</definedName>
    <definedName name="SAPFuncF4Help" localSheetId="14" hidden="1">Main.SAPF4Help()</definedName>
    <definedName name="SAPFuncF4Help" localSheetId="49" hidden="1">Main.SAPF4Help()</definedName>
    <definedName name="SAPFuncF4Help" hidden="1">Main.SAPF4Help()</definedName>
    <definedName name="Sc" localSheetId="37" hidden="1">#REF!</definedName>
    <definedName name="Sc" hidden="1">#REF!</definedName>
    <definedName name="Science" localSheetId="37" hidden="1">{#N/A,#N/A,FALSE,"DCF Cov";#N/A,#N/A,FALSE,"dcf"}</definedName>
    <definedName name="Science" hidden="1">{#N/A,#N/A,FALSE,"DCF Cov";#N/A,#N/A,FALSE,"dcf"}</definedName>
    <definedName name="sdf" localSheetId="37" hidden="1">{#N/A,"A",FALSE,"DCF"}</definedName>
    <definedName name="sdf" localSheetId="92" hidden="1">{#N/A,"A",FALSE,"DCF"}</definedName>
    <definedName name="sdf" localSheetId="43" hidden="1">{#N/A,"A",FALSE,"DCF"}</definedName>
    <definedName name="sdf" hidden="1">{#N/A,"A",FALSE,"DCF"}</definedName>
    <definedName name="sdfds" hidden="1">{#N/A,#N/A,FALSE,"e-Svc Level";#N/A,#N/A,FALSE,"e-Hosted";#N/A,#N/A,FALSE,"e-Licensed";#N/A,#N/A,FALSE,"Assumptions"}</definedName>
    <definedName name="sdfsd" hidden="1">{#N/A,#N/A,FALSE,"e-Svc Level";#N/A,#N/A,FALSE,"e-Hosted";#N/A,#N/A,FALSE,"e-Licensed";#N/A,#N/A,FALSE,"Assumptions"}</definedName>
    <definedName name="sdgfsg" hidden="1">{#N/A,#N/A,FALSE,"e-Svc Level";#N/A,#N/A,FALSE,"e-Hosted";#N/A,#N/A,FALSE,"e-Licensed";#N/A,#N/A,FALSE,"Assumptions"}</definedName>
    <definedName name="SecondProj" localSheetId="43">[14]Setup!$C$15</definedName>
    <definedName name="sencount" hidden="1">2</definedName>
    <definedName name="sgsdg" hidden="1">{#N/A,#N/A,FALSE,"e-Svc Level";#N/A,#N/A,FALSE,"e-Hosted";#N/A,#N/A,FALSE,"e-Licensed";#N/A,#N/A,FALSE,"Assumptions"}</definedName>
    <definedName name="Sheeet1" localSheetId="37" hidden="1">{#N/A,#N/A,FALSE,"Summary";#N/A,#N/A,FALSE,"Proforma";#N/A,#N/A,FALSE,"Tx"}</definedName>
    <definedName name="Sheeet1" localSheetId="92" hidden="1">{#N/A,#N/A,FALSE,"Summary";#N/A,#N/A,FALSE,"Proforma";#N/A,#N/A,FALSE,"Tx"}</definedName>
    <definedName name="Sheeet1" localSheetId="43" hidden="1">{#N/A,#N/A,FALSE,"Summary";#N/A,#N/A,FALSE,"Proforma";#N/A,#N/A,FALSE,"Tx"}</definedName>
    <definedName name="Sheeet1" hidden="1">{#N/A,#N/A,FALSE,"Summary";#N/A,#N/A,FALSE,"Proforma";#N/A,#N/A,FALSE,"Tx"}</definedName>
    <definedName name="sheet" localSheetId="37" hidden="1">{#N/A,#N/A,FALSE,"Summary";#N/A,#N/A,FALSE,"Proforma";#N/A,#N/A,FALSE,"Tx"}</definedName>
    <definedName name="sheet" localSheetId="92" hidden="1">{#N/A,#N/A,FALSE,"Summary";#N/A,#N/A,FALSE,"Proforma";#N/A,#N/A,FALSE,"Tx"}</definedName>
    <definedName name="sheet" localSheetId="43" hidden="1">{#N/A,#N/A,FALSE,"Summary";#N/A,#N/A,FALSE,"Proforma";#N/A,#N/A,FALSE,"Tx"}</definedName>
    <definedName name="sheet" hidden="1">{#N/A,#N/A,FALSE,"Summary";#N/A,#N/A,FALSE,"Proforma";#N/A,#N/A,FALSE,"Tx"}</definedName>
    <definedName name="sheet1" localSheetId="37" hidden="1">{#N/A,#N/A,FALSE,"Summary";#N/A,#N/A,FALSE,"Proforma";#N/A,#N/A,FALSE,"Tx"}</definedName>
    <definedName name="sheet1" localSheetId="92" hidden="1">{#N/A,#N/A,FALSE,"Summary";#N/A,#N/A,FALSE,"Proforma";#N/A,#N/A,FALSE,"Tx"}</definedName>
    <definedName name="sheet1" localSheetId="43" hidden="1">{#N/A,#N/A,FALSE,"Summary";#N/A,#N/A,FALSE,"Proforma";#N/A,#N/A,FALSE,"Tx"}</definedName>
    <definedName name="sheet1" hidden="1">{#N/A,#N/A,FALSE,"Summary";#N/A,#N/A,FALSE,"Proforma";#N/A,#N/A,FALSE,"Tx"}</definedName>
    <definedName name="smow" hidden="1">{#N/A,#N/A,FALSE,"Factors"}</definedName>
    <definedName name="solver_adj" localSheetId="43" hidden="1">'Hybrid OPM'!$J$19</definedName>
    <definedName name="solver_cvg" localSheetId="43" hidden="1">0.0001</definedName>
    <definedName name="solver_cvg" hidden="1">0.001</definedName>
    <definedName name="solver_drv" localSheetId="43" hidden="1">1</definedName>
    <definedName name="solver_drv" hidden="1">1</definedName>
    <definedName name="solver_eng" localSheetId="43" hidden="1">1</definedName>
    <definedName name="solver_est" localSheetId="43" hidden="1">1</definedName>
    <definedName name="solver_est" hidden="1">1</definedName>
    <definedName name="solver_itr" localSheetId="43" hidden="1">2147483647</definedName>
    <definedName name="solver_itr" hidden="1">100</definedName>
    <definedName name="solver_lin" hidden="1">0</definedName>
    <definedName name="solver_mip" localSheetId="43" hidden="1">2147483647</definedName>
    <definedName name="solver_mni" localSheetId="43" hidden="1">30</definedName>
    <definedName name="solver_mrt" localSheetId="43" hidden="1">0.075</definedName>
    <definedName name="solver_msl" localSheetId="43" hidden="1">2</definedName>
    <definedName name="solver_neg" localSheetId="43" hidden="1">1</definedName>
    <definedName name="solver_neg" hidden="1">2</definedName>
    <definedName name="solver_nod" localSheetId="43" hidden="1">2147483647</definedName>
    <definedName name="solver_num" localSheetId="43" hidden="1">0</definedName>
    <definedName name="solver_num" hidden="1">0</definedName>
    <definedName name="solver_nwt" localSheetId="43" hidden="1">1</definedName>
    <definedName name="solver_nwt" hidden="1">1</definedName>
    <definedName name="solver_opt" localSheetId="43" hidden="1">'Hybrid OPM'!$J$20</definedName>
    <definedName name="solver_pre" localSheetId="43" hidden="1">0.000001</definedName>
    <definedName name="solver_pre" hidden="1">0.000001</definedName>
    <definedName name="solver_rbv" localSheetId="43" hidden="1">1</definedName>
    <definedName name="solver_rlx" localSheetId="43" hidden="1">2</definedName>
    <definedName name="solver_rsd" localSheetId="43" hidden="1">0</definedName>
    <definedName name="solver_scl" localSheetId="43" hidden="1">1</definedName>
    <definedName name="solver_scl" hidden="1">2</definedName>
    <definedName name="solver_sho" localSheetId="43" hidden="1">2</definedName>
    <definedName name="solver_sho" hidden="1">2</definedName>
    <definedName name="solver_ssz" localSheetId="43" hidden="1">100</definedName>
    <definedName name="solver_tim" localSheetId="43" hidden="1">2147483647</definedName>
    <definedName name="solver_tim" hidden="1">100</definedName>
    <definedName name="solver_tol" localSheetId="43" hidden="1">0.01</definedName>
    <definedName name="solver_tol" hidden="1">0.05</definedName>
    <definedName name="solver_typ" localSheetId="43" hidden="1">3</definedName>
    <definedName name="solver_typ" hidden="1">3</definedName>
    <definedName name="solver_val" localSheetId="43" hidden="1">0</definedName>
    <definedName name="solver_val" hidden="1">0</definedName>
    <definedName name="solver_ver" localSheetId="43" hidden="1">3</definedName>
    <definedName name="Ss" localSheetId="37" hidden="1">{#N/A,#N/A,FALSE,"Model";#N/A,#N/A,FALSE,"Gen Pts &amp; Rts 2000";#N/A,#N/A,FALSE,"AcqsAss";#N/A,#N/A,FALSE,"Acqs &amp; De Novos"}</definedName>
    <definedName name="Ss" localSheetId="92" hidden="1">{#N/A,#N/A,FALSE,"Model";#N/A,#N/A,FALSE,"Gen Pts &amp; Rts 2000";#N/A,#N/A,FALSE,"AcqsAss";#N/A,#N/A,FALSE,"Acqs &amp; De Novos"}</definedName>
    <definedName name="Ss" localSheetId="43" hidden="1">{#N/A,#N/A,FALSE,"Model";#N/A,#N/A,FALSE,"Gen Pts &amp; Rts 2000";#N/A,#N/A,FALSE,"AcqsAss";#N/A,#N/A,FALSE,"Acqs &amp; De Novos"}</definedName>
    <definedName name="Ss" hidden="1">{#N/A,#N/A,FALSE,"Model";#N/A,#N/A,FALSE,"Gen Pts &amp; Rts 2000";#N/A,#N/A,FALSE,"AcqsAss";#N/A,#N/A,FALSE,"Acqs &amp; De Novos"}</definedName>
    <definedName name="steve" localSheetId="37" hidden="1">{#N/A,#N/A,FALSE,"Bakersfield PCs";#N/A,#N/A,FALSE,"Bremer PCs";#N/A,#N/A,FALSE,"Bakersfield Notebooks"}</definedName>
    <definedName name="steve" localSheetId="92" hidden="1">{#N/A,#N/A,FALSE,"Bakersfield PCs";#N/A,#N/A,FALSE,"Bremer PCs";#N/A,#N/A,FALSE,"Bakersfield Notebooks"}</definedName>
    <definedName name="steve" localSheetId="43" hidden="1">{#N/A,#N/A,FALSE,"Bakersfield PCs";#N/A,#N/A,FALSE,"Bremer PCs";#N/A,#N/A,FALSE,"Bakersfield Notebooks"}</definedName>
    <definedName name="steve" hidden="1">{#N/A,#N/A,FALSE,"Bakersfield PCs";#N/A,#N/A,FALSE,"Bremer PCs";#N/A,#N/A,FALSE,"Bakersfield Notebooks"}</definedName>
    <definedName name="steve2" localSheetId="37" hidden="1">{#N/A,#N/A,FALSE,"Bakersfield PCs";#N/A,#N/A,FALSE,"Bremer PCs";#N/A,#N/A,FALSE,"Bakersfield Notebooks"}</definedName>
    <definedName name="steve2" localSheetId="92" hidden="1">{#N/A,#N/A,FALSE,"Bakersfield PCs";#N/A,#N/A,FALSE,"Bremer PCs";#N/A,#N/A,FALSE,"Bakersfield Notebooks"}</definedName>
    <definedName name="steve2" localSheetId="43" hidden="1">{#N/A,#N/A,FALSE,"Bakersfield PCs";#N/A,#N/A,FALSE,"Bremer PCs";#N/A,#N/A,FALSE,"Bakersfield Notebooks"}</definedName>
    <definedName name="steve2" hidden="1">{#N/A,#N/A,FALSE,"Bakersfield PCs";#N/A,#N/A,FALSE,"Bremer PCs";#N/A,#N/A,FALSE,"Bakersfield Notebooks"}</definedName>
    <definedName name="suckit" localSheetId="37" hidden="1">#REF!</definedName>
    <definedName name="suckit" localSheetId="48" hidden="1">#REF!</definedName>
    <definedName name="suckit" localSheetId="77" hidden="1">#REF!</definedName>
    <definedName name="suckit" localSheetId="31" hidden="1">#REF!</definedName>
    <definedName name="suckit" localSheetId="32" hidden="1">#REF!</definedName>
    <definedName name="suckit" localSheetId="33" hidden="1">#REF!</definedName>
    <definedName name="suckit" localSheetId="4" hidden="1">#REF!</definedName>
    <definedName name="suckit" localSheetId="40" hidden="1">#REF!</definedName>
    <definedName name="suckit" localSheetId="79" hidden="1">#REF!</definedName>
    <definedName name="suckit" localSheetId="78" hidden="1">#REF!</definedName>
    <definedName name="suckit" localSheetId="75" hidden="1">#REF!</definedName>
    <definedName name="suckit" localSheetId="42" hidden="1">#REF!</definedName>
    <definedName name="suckit" localSheetId="14" hidden="1">#REF!</definedName>
    <definedName name="suckit" localSheetId="49" hidden="1">#REF!</definedName>
    <definedName name="suckit" hidden="1">#REF!</definedName>
    <definedName name="SuppressPressed" hidden="1">FALSE</definedName>
    <definedName name="swhtbr" hidden="1">{"page1",#N/A,FALSE,"Model";"page2",#N/A,FALSE,"Model";"page3",#N/A,FALSE,"Model";"page4",#N/A,FALSE,"Model";"page5",#N/A,FALSE,"Model";"page6",#N/A,FALSE,"Model";"page7",#N/A,FALSE,"Model";"page8",#N/A,FALSE,"Model";"page9",#N/A,FALSE,"Model";"page10",#N/A,FALSE,"Model";"page11",#N/A,FALSE,"Model";"page12",#N/A,FALSE,"Model";"page13",#N/A,FALSE,"Model"}</definedName>
    <definedName name="Swvu.CapersView." hidden="1">[11]MASTER!#REF!</definedName>
    <definedName name="Swvu.Japan_Capers_Ed_Pub." hidden="1">'[12]THREE VARIABLES'!$N$1:$V$165</definedName>
    <definedName name="Swvu.KJP_CC." hidden="1">'[12]THREE VARIABLES'!$N$4:$U$165</definedName>
    <definedName name="t" localSheetId="37" hidden="1">{"bs",#N/A,FALSE,"SCF"}</definedName>
    <definedName name="t" localSheetId="92" hidden="1">{"bs",#N/A,FALSE,"SCF"}</definedName>
    <definedName name="t" localSheetId="43" hidden="1">{"bs",#N/A,FALSE,"SCF"}</definedName>
    <definedName name="t" hidden="1">{"bs",#N/A,FALSE,"SCF"}</definedName>
    <definedName name="TableName">"Dummy"</definedName>
    <definedName name="Taxes">0.085</definedName>
    <definedName name="TB009a82ea_5b95_4079_b9c0_f32a1a9299a7" hidden="1" xml:space="preserve">                [32]WASH!$C$102</definedName>
    <definedName name="TB023556c5_0f12_4f0d_85a0_716139889348" hidden="1" xml:space="preserve">        '[32]BIO Cayman'!$C$100</definedName>
    <definedName name="TB042e7f46_4caa_47de_a649_ea3e2167e62d" hidden="1" xml:space="preserve">            '[32]GB Invest'!$C$60</definedName>
    <definedName name="TB04b5058b_d634_49ed_92cc_f37c83dfec7b" hidden="1" xml:space="preserve">    '[32]FY2012 (BIO Group IFRS)'!$H$82</definedName>
    <definedName name="TB0547d078_c806_4ec4_8f52_b822921e0b96" hidden="1" xml:space="preserve">    '[32]FY2015 (BIO Group IFRS)'!$N$13</definedName>
    <definedName name="TB06af6305_d4a7_42d5_ab25_e5b9675abc8a" hidden="1" xml:space="preserve">                '[32]FY2013 (BIO Group IFRS)'!$K$12</definedName>
    <definedName name="TB076cb1f5_29b1_4ae2_be23_6a9ca9fad460" hidden="1" xml:space="preserve">                                                                                                                                                                                                '[32]FY2014 (BIO Group IFRS)'!$L$52</definedName>
    <definedName name="TB08f36e29_10f0_4545_a58a_c62a46ce4033" hidden="1" xml:space="preserve">                                                                                                                                                                                                                    '[32]FY2012 (BIO Group IFRS)'!$D$99</definedName>
    <definedName name="TB0cb115c3_4137_44c1_acca_4825c5ffa85f" hidden="1" xml:space="preserve">                                    '[32]FY2013 (BIO Group IFRS)'!$K$21</definedName>
    <definedName name="TB0d4e049a_f58a_44d7_8087_acec70758a97" hidden="1" xml:space="preserve">                                                                                                                                                                                        '[32]FY2012 (BIO Group IFRS)'!$H$57</definedName>
    <definedName name="TB0dc579dc_c598_41e0_88b1_cf7368bbeb72" hidden="1" xml:space="preserve">                                                                        '[32]FY2015 (BIO Group IFRS)'!$N$97</definedName>
    <definedName name="TB0fce5c8e_82d2_408a_a747_21ea31917ca6" hidden="1" xml:space="preserve">    [32]BIOHLD!$C$18</definedName>
    <definedName name="TB11374ecd_d770_40a7_9838_7668e72061ab" hidden="1" xml:space="preserve">                                                                                                                                                                        '[32]FY2012 (BIO Group IFRS)'!$H$33</definedName>
    <definedName name="TB11696a69_f51d_4eca_9cc3_de2298a5e3cf" hidden="1" xml:space="preserve">                                                                                                                    '[32]FY2014 (BIO Group IFRS)'!$L$9</definedName>
    <definedName name="TB15f02202_cd5d_466b_b0d0_14e8a88e421c" hidden="1" xml:space="preserve">                                                                                                                                                        '[32]FY2012 (BIO Group IFRS)'!$E$18</definedName>
    <definedName name="TB17f235bf_d931_455e_9e82_65bfe51efd42" hidden="1" xml:space="preserve">            [32]WABIO!$C$104</definedName>
    <definedName name="TB18b637ea_4fea_4f54_98ec_ba03fc9eb614" hidden="1" xml:space="preserve">                                                                                                        '[32]FY2012 (BIO Group IFRS)'!$C$78</definedName>
    <definedName name="TB19b86666_db13_4f60_9e43_f721a4ed09d6" hidden="1" xml:space="preserve">                                                                                                                                                                                '[32]FY2012 (BIO Group IFRS)'!$E$69</definedName>
    <definedName name="TB1a97e967_c904_4e04_9477_fb03b7e01405" hidden="1" xml:space="preserve">                                '[32]FY2012 (BIO Group IFRS)'!$C$10</definedName>
    <definedName name="TB1e1cfad0_6142_4475_94e8_a05bf56a5cf3" hidden="1" xml:space="preserve">                                                                                                                                    '[32]FY2012 (BIO Group IFRS)'!$H$9</definedName>
    <definedName name="TB1fdca360_333f_4ca6_a6ff_34628b8070b2" hidden="1" xml:space="preserve">                    '[32]FY2013 (BIO Group IFRS)'!$K$13</definedName>
    <definedName name="TB20ce2d8e_a0dc_45f6_a199_c91bb55d9687" hidden="1" xml:space="preserve">                                                                                                        '[32]FY2015 (BIO Group IFRS)'!$N$111</definedName>
    <definedName name="TB20d0db41_4189_4045_9f49_535f3f2d2302" hidden="1" xml:space="preserve">                                                                                                                            '[32]FY2014 (BIO Group IFRS)'!$L$13</definedName>
    <definedName name="TB20d9e691_0dbb_4bf6_9ac4_7f1f5ed64858" hidden="1" xml:space="preserve">        [32]BIOHLD!$C$60</definedName>
    <definedName name="TB21c61dba_6cc8_4a46_a2c9_ebfdc42cb3f5" hidden="1" xml:space="preserve">                                    '[32]FY2015 (BIO Group IFRS)'!$N$54</definedName>
    <definedName name="TB26bed4f7_2682_4dad_a4f1_33a36320f560" hidden="1" xml:space="preserve">                                                                                                                                                                                        '[32]FY2012 (BIO Group IFRS)'!$E$79</definedName>
    <definedName name="TB2745cc33_d695_4924_8ef4_15f87e7f0972" hidden="1" xml:space="preserve">        '[32]FY2015 (BIO Group IFRS)'!$N$36</definedName>
    <definedName name="TB280a274d_b3c2_4a0d_9f65_c0858857b530" hidden="1" xml:space="preserve">                                                                                                                                                                                                    '[32]FY2014 (BIO Group IFRS)'!$L$69</definedName>
    <definedName name="TB28e1bf40_f831_4f04_b49c_467c2bbad0a7" hidden="1" xml:space="preserve">    [32]BIOHLD!$C$79</definedName>
    <definedName name="TB2913ba59_5f1e_414b_9a92_32bb0f153986" hidden="1" xml:space="preserve">    '[32]FY2014 (BIO Group IFRS)'!$L$87</definedName>
    <definedName name="TB294d94c6_88ec_417e_bb43_09d532003527" hidden="1" xml:space="preserve">        [32]BIOHLD!$G$100</definedName>
    <definedName name="TB2c3b0532_6b34_42a1_a4b5_3d1241c8fb93" hidden="1" xml:space="preserve">                                                                                                                                                            '[32]FY2014 (BIO Group IFRS)'!$L$33</definedName>
    <definedName name="TB2df89116_def6_492e_ab48_24920a3db4c2" hidden="1" xml:space="preserve">                                                                                                            '[32]FY2013 (BIO Group IFRS)'!$K$98</definedName>
    <definedName name="TB2e5eac19_8001_4633_bda3_0fd0db13d3ad" hidden="1" xml:space="preserve">                                                                                                                                                                                                        '[32]FY2014 (BIO Group IFRS)'!$L$79</definedName>
    <definedName name="TB2faf1844_f4e9_45e0_b874_4f8b92c33f8c" hidden="1" xml:space="preserve">        '[32]BIO Cayman'!$C$145</definedName>
    <definedName name="TB3045fcb2_2e22_4be8_b24d_b2a5d70aadd8" hidden="1" xml:space="preserve">                                                                                                                                '[32]FY2012 (BIO Group IFRS)'!$C$98</definedName>
    <definedName name="TB36b4e136_d7ee_485c_9907_c2c397238ecd" hidden="1" xml:space="preserve">        '[32]GB Invest'!$C$30</definedName>
    <definedName name="TB36c8a4cf_4027_4b32_8f86_16e44808dc85" hidden="1" xml:space="preserve">        '[32]GB Invest'!$C$10</definedName>
    <definedName name="TB372ef07e_4d49_4cd1_a3c8_4bbe7ab6be57" hidden="1" xml:space="preserve">                                                                                                                        '[32]FY2013 (BIO Group IFRS)'!$K$107</definedName>
    <definedName name="TB3a05af06_e094_4079_8ce1_66d022de0e3b" hidden="1" xml:space="preserve">                [32]BIOSH!$G$130</definedName>
    <definedName name="TB3a683def_05a1_4bd5_97b8_d8058acaa3f3" hidden="1" xml:space="preserve">                                                                                                                                                    '[32]FY2012 (BIO Group IFRS)'!$E$13</definedName>
    <definedName name="TB3bf6e986_af86_48c7_9251_1fccd5acb7ee" hidden="1" xml:space="preserve">                                                                                        '[32]FY2012 (BIO Group IFRS)'!$C$53</definedName>
    <definedName name="TB3bf9abff_1527_49b0_a9a6_48fb04c03437" hidden="1" xml:space="preserve">                                                                                                                                                                '[32]FY2012 (BIO Group IFRS)'!$H$31</definedName>
    <definedName name="TB3c28a1a1_e512_42f5_b2ec_423e136d8e8f" hidden="1" xml:space="preserve">                                                '[32]FY2012 (BIO Group IFRS)'!$C$18</definedName>
    <definedName name="TB3c4aa6cb_f599_45b1_b649_fdbbcd7a20f9" hidden="1" xml:space="preserve">                                                                                                                                                                                                                '[32]FY2012 (BIO Group IFRS)'!$D$78</definedName>
    <definedName name="TB3cc0091e_dae5_412d_93ac_560a3fcf161f" hidden="1" xml:space="preserve">                                '[32]FY2013 (BIO Group IFRS)'!$K$18</definedName>
    <definedName name="TB3e3f409b_02bf_4c75_acb4_cffc2cbedfa3" hidden="1" xml:space="preserve">                [32]WASH!$C$99</definedName>
    <definedName name="TB3e69021d_ebca_4f21_a348_66ab95dc0438" hidden="1" xml:space="preserve">                                                                                    '[32]FY2013 (BIO Group IFRS)'!$K$79</definedName>
    <definedName name="TB3ee4cef3_670a_4b7e_81f8_1b597d13803b" hidden="1" xml:space="preserve">    '[32]FY2015 (BIO Group IFRS)'!$N$9</definedName>
    <definedName name="TB427b89fd_2629_4e22_9287_b1834706e9f7" hidden="1" xml:space="preserve">                                                                                                                                                                    '[32]FY2012 (BIO Group IFRS)'!$E$33</definedName>
    <definedName name="TB44adfa6d_0f40_4c29_a9de_a3c710a8814b" hidden="1" xml:space="preserve">                        '[32]FY2013 (BIO Group IFRS)'!$K$14</definedName>
    <definedName name="TB45171ce9_6bf4_4651_bb5c_9842f7af3fa2" hidden="1" xml:space="preserve">    '[32]FY2012 (BIO Group IFRS)'!$E$51</definedName>
    <definedName name="TB4528b77a_a88a_46d1_bf15_1c3c5f87e0a6" hidden="1" xml:space="preserve">                                                                                                                                                                                    '[32]FY2014 (BIO Group IFRS)'!$L$53</definedName>
    <definedName name="TB45479eab_7ec2_42d5_b39a_ee65e84c96e0" hidden="1" xml:space="preserve">                                                                                                                                                                            '[32]FY2012 (BIO Group IFRS)'!$H$36</definedName>
    <definedName name="TB463e9a25_b2ec_4d41_89f9_f1fabe623a18" hidden="1" xml:space="preserve">        '[32]GB Invest'!$G$88</definedName>
    <definedName name="TB4758550e_c454_4727_998f_a9b011e53a74" hidden="1" xml:space="preserve">    '[32]FY2014 (BIO Group IFRS)'!$L$129</definedName>
    <definedName name="TB47d27f35_780f_4726_a968_264e50737d5b" hidden="1" xml:space="preserve">                                                '[32]FY2015 (BIO Group IFRS)'!$N$79</definedName>
    <definedName name="TB4843ede0_a051_47bc_83b6_570a3d93b2d9" hidden="1" xml:space="preserve">                                                                '[32]FY2012 (BIO Group IFRS)'!$C$33</definedName>
    <definedName name="TB48d99111_a5f2_4dc3_ab81_90446cb9ea43" hidden="1" xml:space="preserve">                                                                                                                                            '[32]FY2012 (BIO Group IFRS)'!$H$13</definedName>
    <definedName name="TB496d00bb_6500_4fd1_8ce4_6cda14fb5dba" hidden="1" xml:space="preserve">                [32]BIOSH!$G$83</definedName>
    <definedName name="TB49943361_8060_446a_aaa8_fd5b1f888087" hidden="1" xml:space="preserve">                [32]BIOHLD!$G$30</definedName>
    <definedName name="TB499bf86c_86bd_4a09_bac8_1c3207cbbf3a" hidden="1" xml:space="preserve">                                                                                                                                                                                                        '[32]FY2012 (BIO Group IFRS)'!$H$59</definedName>
    <definedName name="TB4a4d0839_4b8f_40a1_8b83_a0819c0f6cf8" hidden="1" xml:space="preserve">                                                                                                                                                                                                        '[32]FY2012 (BIO Group IFRS)'!$D$9</definedName>
    <definedName name="TB4a54fd96_f4ad_4a0c_b00e_2b7242720def" hidden="1" xml:space="preserve">                    '[32]FY2015 (BIO Group IFRS)'!$N$51</definedName>
    <definedName name="TB4cd2b5bd_c269_4901_871e_72bc995371fb" hidden="1" xml:space="preserve">                                                                                                            '[32]FY2015 (BIO Group IFRS)'!$N$21</definedName>
    <definedName name="TB4ff0c915_19c0_4660_802d_4c6820948e5c" hidden="1" xml:space="preserve">                                                                                            '[32]FY2015 (BIO Group IFRS)'!$N$101</definedName>
    <definedName name="TB50590b34_3be1_424c_8174_a8ea1ed10804" hidden="1" xml:space="preserve">                '[32]GB Invest'!$G$58</definedName>
    <definedName name="TB50e72efe_3872_4856_a49e_bd50358ebe95" hidden="1" xml:space="preserve">                                                                        '[32]FY2013 (BIO Group IFRS)'!$K$54</definedName>
    <definedName name="TB51993f17_4a5d_40c9_a3f5_2e5932a34812" hidden="1" xml:space="preserve">                                                                                                                                                '[32]FY2012 (BIO Group IFRS)'!$C$111</definedName>
    <definedName name="TB5257823b_cbb6_4738_a2be_d61f29743685" hidden="1" xml:space="preserve">                                '[32]FY2015 (BIO Group IFRS)'!$N$53</definedName>
    <definedName name="TB533217a5_8a01_48b0_bf99_f62157823dd3" hidden="1" xml:space="preserve">                                        '[32]FY2015 (BIO Group IFRS)'!$N$58</definedName>
    <definedName name="TB570f81cd_be85_4bb4_b72f_17eaed3831da" hidden="1" xml:space="preserve">                                                                                        '[32]FY2013 (BIO Group IFRS)'!$K$82</definedName>
    <definedName name="TB580c6d4e_5d9a_4441_931f_e176465772bf" hidden="1" xml:space="preserve">    '[32]FY2012 (BIO Group IFRS)'!$H$129</definedName>
    <definedName name="TB598ea891_95fd_4720_b019_70fbdfc93c84" hidden="1" xml:space="preserve">                                                                                                            '[32]FY2012 (BIO Group IFRS)'!$C$144</definedName>
    <definedName name="TB5a30eb45_cd17_4e48_a353_c1bfb41acb31" hidden="1" xml:space="preserve">                                                                                                                                                                                                '[32]FY2012 (BIO Group IFRS)'!$H$53</definedName>
    <definedName name="TB5a8e3a85_6a76_4bad_8167_b5b85539e359" hidden="1" xml:space="preserve">            '[32]FY2015 (BIO Group IFRS)'!$N$38</definedName>
    <definedName name="TB5b753369_07d5_472d_89b0_71c0dfd7cab3" hidden="1" xml:space="preserve">                                                                                '[32]FY2012 (BIO Group IFRS)'!$C$52</definedName>
    <definedName name="TB5bf940d2_789c_4658_8eab_db6b081c0d04" hidden="1" xml:space="preserve">                                                                                                    '[32]FY2012 (BIO Group IFRS)'!$C$69</definedName>
    <definedName name="TB5c8072bf_cac2_4959_8668_a91f584bd3f8" hidden="1" xml:space="preserve">                                                                                                                        '[32]FY2014 (BIO Group IFRS)'!$L$10</definedName>
    <definedName name="TB60feb513_de17_4301_8a31_0c1ae4aaf6a5" hidden="1" xml:space="preserve">                                                            '[32]FY2015 (BIO Group IFRS)'!$N$87</definedName>
    <definedName name="TB63c85067_43bc_4df1_92bd_5e67042d8b16" hidden="1" xml:space="preserve">        '[32]FY2013 (BIO Group IFRS)'!$K$87</definedName>
    <definedName name="TB66f7ec4a_9c86_4021_8fb0_8b0f583d44dd" hidden="1" xml:space="preserve">        '[32]GB Invest'!$G$100</definedName>
    <definedName name="TB67b724f2_09b0_4ec2_9017_f088f89d89a8" hidden="1" xml:space="preserve">                                                                                            '[32]FY2013 (BIO Group IFRS)'!$K$144</definedName>
    <definedName name="TB69c9fc98_1e27_4df5_b01d_6e3594b2c6e2" hidden="1" xml:space="preserve">                                                                                                                                                                                                                                                            '[32]FY2012 (BIO Group IFRS)'!$E$57</definedName>
    <definedName name="TB6a9f53c6_5a2c_43fe_9dcc_e8f113956cc8" hidden="1" xml:space="preserve">                            '[32]FY2013 (BIO Group IFRS)'!$K$17</definedName>
    <definedName name="TB6bfdcc4e_6ddc_4a26_bcf0_f05154be67df" hidden="1" xml:space="preserve">                                                                                        '[32]FY2015 (BIO Group IFRS)'!$N$100</definedName>
    <definedName name="TB6c2df393_7dd6_4786_9aac_3c8d204baafe" hidden="1" xml:space="preserve">                                                                                                '[32]FY2013 (BIO Group IFRS)'!$K$129</definedName>
    <definedName name="TB6e83c830_960d_4e38_bc1e_fde437aee4c9" hidden="1" xml:space="preserve">    '[32]FY2012 (BIO Group IFRS)'!$H$95</definedName>
    <definedName name="TB6f37355b_3fba_4dc0_bf45_308b907bce26" hidden="1" xml:space="preserve">    '[32]FY2012 (BIO Group IFRS)'!$H$107</definedName>
    <definedName name="TB70038979_a4c5_4487_bfac_b25468b04758" hidden="1" xml:space="preserve">                                                                                                                '[32]FY2012 (BIO Group IFRS)'!$C$82</definedName>
    <definedName name="TB705066b3_2f39_4d28_af37_1af2aea8f322" hidden="1" xml:space="preserve">                                                                                '[32]FY2015 (BIO Group IFRS)'!$N$98</definedName>
    <definedName name="TB7072b25b_f095_45b0_b6e8_4744c3d7a288" hidden="1" xml:space="preserve">        '[32]BIO Cayman'!$G$145</definedName>
    <definedName name="TB74875380_3a03_4824_a261_9a4533b25140" hidden="1" xml:space="preserve">                [32]BIOHLD!$C$30</definedName>
    <definedName name="TB757e5a19_d07f_40dc_bdf5_b5768ff7d32b" hidden="1" xml:space="preserve">        [32]BIOHLD!$G$60</definedName>
    <definedName name="TB77426512_20bf_4ce8_9812_2f6503f2a517" hidden="1" xml:space="preserve">                                                                                                                                                                                    '[32]FY2012 (BIO Group IFRS)'!$E$144</definedName>
    <definedName name="TB777e7042_54e0_417b_9104_adb6708c0912" hidden="1" xml:space="preserve">                                                                                                                                '[32]FY2014 (BIO Group IFRS)'!$L$14</definedName>
    <definedName name="TB77ef4584_0b00_4844_9b77_9d7aef465527" hidden="1" xml:space="preserve">                                                                                    '[32]FY2012 (BIO Group IFRS)'!$C$57</definedName>
    <definedName name="TB7984a202_58ea_4f9e_8b3e_eebdef55ea6a" hidden="1" xml:space="preserve">                                                                                                                                                                                            '[32]FY2012 (BIO Group IFRS)'!$H$52</definedName>
    <definedName name="TB79c130cf_d102_466d_b0ae_a09e68e680a6" hidden="1" xml:space="preserve">        [32]WASH!$G$59</definedName>
    <definedName name="TB7bedd533_dc87_4a97_bd98_0a2abb88baf3" hidden="1" xml:space="preserve">                                                                        '[32]FY2012 (BIO Group IFRS)'!$C$38</definedName>
    <definedName name="TB7d609726_5770_4a14_bc64_66eee1380d0b" hidden="1" xml:space="preserve">                                                                                                                                    '[32]FY2012 (BIO Group IFRS)'!$C$99</definedName>
    <definedName name="TB7ec2ddb1_18d8_4694_afd4_b902266523fd" hidden="1" xml:space="preserve">                [32]BIOHLD!$C$58</definedName>
    <definedName name="TB7ed42ce8_5794_47b9_bf9f_4cb6d40afcf4" hidden="1" xml:space="preserve">        '[32]BIO Cayman'!$G$100</definedName>
    <definedName name="TB832f3ada_36a7_4d25_8eae_e323c242e8be" hidden="1" xml:space="preserve">        '[32]GB Invest'!$G$60</definedName>
    <definedName name="TB83912c16_831a_4799_b2d2_cf4c617701ce" hidden="1" xml:space="preserve">                                                                                                                                                                    '[32]FY2014 (BIO Group IFRS)'!$L$38</definedName>
    <definedName name="TB86a83189_8f03_48e6_a67d_9c1a1af3e071" hidden="1" xml:space="preserve">                                                                                                                                                                        '[32]FY2012 (BIO Group IFRS)'!$E$36</definedName>
    <definedName name="TB87a0ef7d_8b30_4838_affb_3642dd920ef2" hidden="1" xml:space="preserve">                                                                                                                    '[32]FY2013 (BIO Group IFRS)'!$K$100</definedName>
    <definedName name="TB88b00721_7625_455b_acb5_e4a07429583f" hidden="1" xml:space="preserve">    '[32]FY2015 (BIO Group IFRS)'!$N$33</definedName>
    <definedName name="TB896df83f_19db_4bac_8b62_8bcdfe6310f2" hidden="1" xml:space="preserve">                                                                                                                                                '[32]FY2014 (BIO Group IFRS)'!$L$21</definedName>
    <definedName name="TB89ea5468_18c8_42eb_974c_1103b46ce7f3" hidden="1" xml:space="preserve">                                                                            '[32]FY2013 (BIO Group IFRS)'!$K$58</definedName>
    <definedName name="TB8a5944bf_b771_441e_a205_e9c6e328a589" hidden="1" xml:space="preserve">                                            '[32]FY2015 (BIO Group IFRS)'!$N$69</definedName>
    <definedName name="TB8a924b0c_ac20_4abf_b77a_df01fdbbf532" hidden="1" xml:space="preserve">                                                                '[32]FY2015 (BIO Group IFRS)'!$N$95</definedName>
    <definedName name="TB8aebd3bd_47ca_463e_a83c_3460cb77244c" hidden="1" xml:space="preserve">                                            '[32]FY2012 (BIO Group IFRS)'!$C$14</definedName>
    <definedName name="TB8b805e40_5a48_4f35_a52a_28047396eb9d" hidden="1" xml:space="preserve">                                                                                                                                        '[32]FY2014 (BIO Group IFRS)'!$L$17</definedName>
    <definedName name="TB8d958fc5_8111_4d2e_b1bc_cf2421331917" hidden="1" xml:space="preserve">                [32]BIOHLD!$G$58</definedName>
    <definedName name="TB90f3a22c_f6d1_42e8_bc96_e12b0cd1edd4" hidden="1" xml:space="preserve">        '[32]BIO Cayman'!$C$88</definedName>
    <definedName name="TB912ee393_cf47_4fde_a669_ff5392545360" hidden="1" xml:space="preserve">                                                                                                                                                            '[32]FY2012 (BIO Group IFRS)'!$H$21</definedName>
    <definedName name="TB92c0e066_b122_4139_9404_1b3caaa690b0" hidden="1" xml:space="preserve">                                                '[32]FY2013 (BIO Group IFRS)'!$K$38</definedName>
    <definedName name="TB962243a0_e50a_4af1_aaeb_e71ef59ea145" hidden="1" xml:space="preserve">                                                                                            '[32]FY2012 (BIO Group IFRS)'!$C$59</definedName>
    <definedName name="TB9867b81e_f86e_4eb1_b7a1_9f13db4d2c6f" hidden="1" xml:space="preserve">                                                                                                                '[32]FY2015 (BIO Group IFRS)'!$N$144</definedName>
    <definedName name="TB9912011d_e2ab_4535_bef2_eb94a18b47e6" hidden="1" xml:space="preserve">                                        '[32]FY2012 (BIO Group IFRS)'!$C$17</definedName>
    <definedName name="TB9a246939_5e76_46dc_8c4b_fdc317195db7" hidden="1" xml:space="preserve">                                                                                                    '[32]FY2013 (BIO Group IFRS)'!$K$95</definedName>
    <definedName name="TB9b483b7f_337c_44b5_98ec_8ae5685d8af2" hidden="1" xml:space="preserve">        '[32]FY2015 (BIO Group IFRS)'!$N$14</definedName>
    <definedName name="TB9bff9839_01da_4dff_8ea9_1372857e9b60" hidden="1" xml:space="preserve">        '[32]GB Invest'!$C$88</definedName>
    <definedName name="TBa0040484_4014_46c8_a5ff_e0e9c54240c3" hidden="1" xml:space="preserve">                                                        '[32]FY2013 (BIO Group IFRS)'!$K$51</definedName>
    <definedName name="TBa09c4b0d_c66f_4fbd_9969_3e835527bda1" hidden="1" xml:space="preserve">                                                            '[32]FY2013 (BIO Group IFRS)'!$K$57</definedName>
    <definedName name="TBa1314e8d_4457_42ee_8886_853479a0c2d2" hidden="1" xml:space="preserve">    '[32]FY2012 (BIO Group IFRS)'!$H$111</definedName>
    <definedName name="TBa13285e6_ef38_462b_a4fa_968d55f4d849" hidden="1" xml:space="preserve">                                                        '[32]FY2015 (BIO Group IFRS)'!$N$82</definedName>
    <definedName name="TBa15ac75f_e91f_42d4_a6fc_1a691965acb5" hidden="1" xml:space="preserve">                                                                                                                                                                                    '[32]FY2012 (BIO Group IFRS)'!$H$51</definedName>
    <definedName name="TBa3b1e941_3ad7_4fe0_8811_96d7f709af67" hidden="1" xml:space="preserve">                                                    '[32]FY2015 (BIO Group IFRS)'!$N$78</definedName>
    <definedName name="TBa3d9c602_0f5a_4ed8_8529_4a84f925f809" hidden="1" xml:space="preserve">        [32]BIOHLD!$C$100</definedName>
    <definedName name="TBa512f3c1_d834_495c_a61a_e107d208676c" hidden="1" xml:space="preserve">                                                                                                                                                    '[32]FY2012 (BIO Group IFRS)'!$H$14</definedName>
    <definedName name="TBa526d740_3586_4a63_8350_512a2f24fdad" hidden="1" xml:space="preserve">    '[32]FY2012 (BIO Group IFRS)'!$H$69</definedName>
    <definedName name="TBa695e455_712d_4292_8934_8c0152a3e86e" hidden="1" xml:space="preserve">    '[32]FY2014 (BIO Group IFRS)'!$L$111</definedName>
    <definedName name="TBa71ec6f4_f69d_4254_8ced_3c1e8a164d1b" hidden="1" xml:space="preserve">                                                                                                                                                                                '[32]FY2012 (BIO Group IFRS)'!$H$38</definedName>
    <definedName name="TBa7260115_bdbb_4ae2_aded_9bdcc4d8753e" hidden="1" xml:space="preserve">        '[32]GB Invest'!$C$100</definedName>
    <definedName name="TBaa7cb595_7235_459a_865b_e883e73e452a" hidden="1" xml:space="preserve">        '[32]GB Invest'!$G$30</definedName>
    <definedName name="TBab131103_68a6_4521_9756_005a78c528f4" hidden="1" xml:space="preserve">            [32]WABIO!$G$104</definedName>
    <definedName name="TBab55877c_bff5_4e0f_b8bb_193e31a3037c" hidden="1" xml:space="preserve">                                                                                                                                                                                            '[32]FY2014 (BIO Group IFRS)'!$L$59</definedName>
    <definedName name="TBac21cf11_669c_4433_9648_a428e90e0c43" hidden="1" xml:space="preserve">                                                                                                                                                        '[32]FY2012 (BIO Group IFRS)'!$H$18</definedName>
    <definedName name="TBaccd49df_e096_47a1_8a3e_5ba941355b75" hidden="1" xml:space="preserve">                [32]WASH!$G$99</definedName>
    <definedName name="TBae0184e9_fe12_4027_8575_699f2e6c5df0" hidden="1" xml:space="preserve">                                                                            '[32]FY2012 (BIO Group IFRS)'!$C$51</definedName>
    <definedName name="TBae31c1d0_cca0_4d80_8521_b4d73ed39770" hidden="1" xml:space="preserve">                                                                                                                                        '[32]FY2012 (BIO Group IFRS)'!$C$100</definedName>
    <definedName name="TBae5a1437_ad99_4229_951f_d7f7465dc8e9" hidden="1" xml:space="preserve">                                                                '[32]FY2013 (BIO Group IFRS)'!$K$52</definedName>
    <definedName name="TBafa89172_7114_462e_aab1_739b858685ac" hidden="1" xml:space="preserve">    '[32]FY2012 (BIO Group IFRS)'!$H$98</definedName>
    <definedName name="TBafb46ebd_5e94_48c1_a2bb_9c2d6adf60f1" hidden="1" xml:space="preserve">                                                                                '[32]FY2013 (BIO Group IFRS)'!$K$69</definedName>
    <definedName name="TBb0ed7ea6_76c6_4b3e_a9be_64c7bfd5ca75" hidden="1" xml:space="preserve">        '[32]GB Invest'!$C$60</definedName>
    <definedName name="TBb46e8be8_d97e_4442_b12a_e3b276466ab7" hidden="1" xml:space="preserve">                                                                    '[32]FY2015 (BIO Group IFRS)'!$N$96</definedName>
    <definedName name="TBb52060c7_b856_4954_9303_a894bcd5700c" hidden="1" xml:space="preserve">                                                                                                                                                            '[32]FY2012 (BIO Group IFRS)'!$E$31</definedName>
    <definedName name="TBb7c32bb7_6b0a_4647_a29d_b94284bf69b1" hidden="1" xml:space="preserve">    '[32]FY2012 (BIO Group IFRS)'!$H$144</definedName>
    <definedName name="TBb923a90c_d2fc_473c_b996_f2754d67fde2" hidden="1" xml:space="preserve">        [32]WASH!$C$59</definedName>
    <definedName name="TBbc49a777_a131_4b37_9461_9d83e68b0090" hidden="1" xml:space="preserve">                                                                                                                                                                                            '[32]FY2014 (BIO Group IFRS)'!$L$57</definedName>
    <definedName name="TBbd0dda3c_e2e7_435a_97e1_632f7ce57f8d" hidden="1" xml:space="preserve">                                                                                                                                                                            '[32]FY2014 (BIO Group IFRS)'!$L$51</definedName>
    <definedName name="TBbdf19f6b_2270_4843_bf03_6e51d67423b2" hidden="1" xml:space="preserve">                                                                    '[32]FY2013 (BIO Group IFRS)'!$K$53</definedName>
    <definedName name="TBbe8c8d4d_71c2_4dee_9d14_018c8ae746a2" hidden="1" xml:space="preserve">                                                                                                                            '[32]FY2012 (BIO Group IFRS)'!$C$96</definedName>
    <definedName name="TBc055afa2_e23c_40c3_b531_e9fd37da1ab8" hidden="1" xml:space="preserve">                                                                                                                                                                                                                                                            '[32]FY2015 (BIO Group IFRS)'!#REF!</definedName>
    <definedName name="TBc188d700_d290_42a3_b9e0_75901b91bffc" hidden="1" xml:space="preserve">    [32]BIOHLD!$G$18</definedName>
    <definedName name="TBc31c6ecf_68c9_477f_83e1_f272cf47135d" hidden="1" xml:space="preserve">                [32]WASH!$G$108</definedName>
    <definedName name="TBc437d070_dfe4_459d_928d_c4eec3f8dd35" hidden="1" xml:space="preserve">                                                                                                                                                '[32]FY2012 (BIO Group IFRS)'!$H$17</definedName>
    <definedName name="TBc5516821_cc7f_4b51_9db5_6a78f28f114f" hidden="1" xml:space="preserve">                                                                                                                                                                            '[32]FY2012 (BIO Group IFRS)'!$E$52</definedName>
    <definedName name="TBc5734c10_f96c_4832_a8e1_058778c986de" hidden="1" xml:space="preserve">                                                                                                                                                                                                    '[32]FY2012 (BIO Group IFRS)'!$E$99</definedName>
    <definedName name="TBc75f5617_9ea1_44f1_8f2c_682b8d90d8fa" hidden="1" xml:space="preserve">                                                                                                                                                                                                                            '[32]FY2012 (BIO Group IFRS)'!$D$144</definedName>
    <definedName name="TBc7632411_2998_4e2b_9501_83d27c947ded" hidden="1" xml:space="preserve">                                                                    '[32]FY2012 (BIO Group IFRS)'!$C$36</definedName>
    <definedName name="TBc8dab9ba_aa72_41f8_a261_fed5fbbb2d35" hidden="1" xml:space="preserve">                                                                                                                                                                                                    '[32]FY2012 (BIO Group IFRS)'!$H$54</definedName>
    <definedName name="TBc93ee42f_ad2c_489d_8b2a_c100cefdae74" hidden="1" xml:space="preserve">        '[32]GB Invest'!$G$10</definedName>
    <definedName name="TBc9af4b63_1c98_4689_8e05_b24c03c9485c" hidden="1" xml:space="preserve">                                                    '[32]FY2013 (BIO Group IFRS)'!$K$39</definedName>
    <definedName name="TBca4b672d_5aab_458b_8c76_bd289d3c4183" hidden="1" xml:space="preserve">                                                                            '[32]FY2015 (BIO Group IFRS)'!$N$103</definedName>
    <definedName name="TBcb3e9388_a243_4b15_8fdf_99ab503a95a3" hidden="1" xml:space="preserve">        '[32]FY2013 (BIO Group IFRS)'!$K$48</definedName>
    <definedName name="TBcd2e0619_ce8d_4fe9_835e_b73a0417adde" hidden="1" xml:space="preserve">                                                                                                '[32]FY2012 (BIO Group IFRS)'!$C$54</definedName>
    <definedName name="TBcd903dbf_271b_4a72_ae27_c48475893438" hidden="1" xml:space="preserve">                [32]WASH!$G$102</definedName>
    <definedName name="TBd086eacb_6e5d_4ad0_8c72_5f68dc0d5041" hidden="1" xml:space="preserve">                                                                                                                                    '[32]FY2014 (BIO Group IFRS)'!$L$18</definedName>
    <definedName name="TBd0b72bef_3edc_4e68_92ec_aba652d1bae3" hidden="1" xml:space="preserve">                '[32]BIO Cayman'!$G$58</definedName>
    <definedName name="TBd0e8d07c_0cc5_4218_a6e1_6d651b4dc63c" hidden="1" xml:space="preserve">                                                                                                                                                                                        '[32]FY2014 (BIO Group IFRS)'!$L$54</definedName>
    <definedName name="TBd14b52e7_22de_4139_a32c_9eb0b95042da" hidden="1" xml:space="preserve">                                                                                                                                                                                                                        '[32]FY2012 (BIO Group IFRS)'!$D$100</definedName>
    <definedName name="TBd15d7b1a_f2b5_4307_830f_e63a39bfb6f2" hidden="1" xml:space="preserve">                '[32]GB Invest'!$C$58</definedName>
    <definedName name="TBd421cbfe_3bdd_41b3_b50f_35fff2683427" hidden="1" xml:space="preserve">                '[32]BIO Cayman'!$C$58</definedName>
    <definedName name="TBd444af23_4186_49ec_9be5_d1a6ee915539" hidden="1" xml:space="preserve">        '[32]FY2014 (BIO Group IFRS)'!$L$98</definedName>
    <definedName name="TBd5b820a2_9b8c_4c69_8f4c_f936169f4216" hidden="1" xml:space="preserve">                        '[32]FY2015 (BIO Group IFRS)'!$N$57</definedName>
    <definedName name="TBd6834f3b_04b1_4cff_bc37_e687b93a9eea" hidden="1" xml:space="preserve">                                    '[32]FY2012 (BIO Group IFRS)'!$C$13</definedName>
    <definedName name="TBd6933334_11d3_4924_8b82_d4cd450d8536" hidden="1" xml:space="preserve">                            '[32]FY2015 (BIO Group IFRS)'!$N$52</definedName>
    <definedName name="TBdd9f8cc5_51e8_404d_958c_d831e6110b5d" hidden="1" xml:space="preserve">            '[32]GB Invest'!$G$60</definedName>
    <definedName name="TBddafab31_13ce_4535_81c6_f6000a28b166" hidden="1" xml:space="preserve">                                                                                                '[32]FY2015 (BIO Group IFRS)'!$N$107</definedName>
    <definedName name="TBde09956b_dfad_4a59_86ed_0d5dd140b2ae" hidden="1" xml:space="preserve">                                                                                                                    '[32]FY2012 (BIO Group IFRS)'!$C$129</definedName>
    <definedName name="TBdfac5449_a00d_4389_a255_f677387c59a0" hidden="1" xml:space="preserve">                                                                                                                                                                '[32]FY2014 (BIO Group IFRS)'!$L$36</definedName>
    <definedName name="TBe0c85b26_02b4_41f9_8c66_f84ff70867fe" hidden="1" xml:space="preserve">                                                                                                                                            '[32]FY2012 (BIO Group IFRS)'!$C$107</definedName>
    <definedName name="TBe1d29ef7_366e_4932_8ae9_39c2fa2a278a" hidden="1" xml:space="preserve">                            '[32]FY2012 (BIO Group IFRS)'!$C$9</definedName>
    <definedName name="TBe2619bd7_01c0_4742_b457_9ff31767b69e" hidden="1" xml:space="preserve">        '[32]FY2014 (BIO Group IFRS)'!$L$48</definedName>
    <definedName name="TBe3683b28_112f_4e35_8f48_6ba2aa2e81d3" hidden="1" xml:space="preserve">                                                    '[32]FY2012 (BIO Group IFRS)'!$C$21</definedName>
    <definedName name="TBe3edf4c8_aeea_4ad8_bb1c_d4dd8dc36393" hidden="1" xml:space="preserve">                [32]WASH!$C$108</definedName>
    <definedName name="TBe52b9a23_ea15_4944_8b55_78c9b57f0186" hidden="1" xml:space="preserve">                                                                                                                            '[32]FY2013 (BIO Group IFRS)'!$K$111</definedName>
    <definedName name="TBe5cd8ab7_9352_4bc2_b16b_f8b47df3cf65" hidden="1" xml:space="preserve">                                                                                                                                                                                            '[32]FY2012 (BIO Group IFRS)'!$E$95</definedName>
    <definedName name="TBe65aead4_11bc_465a_8fa8_f9927275f393" hidden="1" xml:space="preserve">        '[32]BIO Cayman'!$G$88</definedName>
    <definedName name="TBe745fc15_2c17_4d52_9f51_fc311612c64f" hidden="1" xml:space="preserve">                                        '[32]FY2013 (BIO Group IFRS)'!$K$33</definedName>
    <definedName name="TBea84a494_bc81_42b7_92a9_fce4c306493d" hidden="1" xml:space="preserve">    [32]BIOHLD!$G$79</definedName>
    <definedName name="TBec8fcd4e_8226_4237_8679_afcd734505fe" hidden="1" xml:space="preserve">                                                                                    '[32]FY2015 (BIO Group IFRS)'!$N$99</definedName>
    <definedName name="TBeca82987_50f4_484d_a159_7d3b64acf638" hidden="1" xml:space="preserve">                                                                                                                                                                                                            '[32]FY2012 (BIO Group IFRS)'!$D$17</definedName>
    <definedName name="TBeebae0fa_ee1d_4b8b_ba9f_63c05e43d668" hidden="1" xml:space="preserve">                                                                                                                                                    '[32]FY2014 (BIO Group IFRS)'!$L$31</definedName>
    <definedName name="TBf1fc49fb_d1d5_4598_9939_226ac088709c" hidden="1" xml:space="preserve">                                                                                                            '[32]FY2015 (BIO Group IFRS)'!$N$129</definedName>
    <definedName name="TBf53ee663_d0b5_48b6_96e0_eb4c162cf53a" hidden="1" xml:space="preserve">                                                        '[32]FY2012 (BIO Group IFRS)'!$C$31</definedName>
    <definedName name="TBf9f5430c_b252_4725_8b0d_a1c9254a2f94" hidden="1" xml:space="preserve">                                            '[32]FY2013 (BIO Group IFRS)'!$K$36</definedName>
    <definedName name="TBfde8b9d4_1193_4729_96dc_7df46c5fbd1f" hidden="1" xml:space="preserve">    '[32]FY2015 (BIO Group IFRS)'!$N$18</definedName>
    <definedName name="TBfe3e03fb_e536_44ac_8154_673fdeaef440" hidden="1" xml:space="preserve">        '[32]FY2013 (BIO Group IFRS)'!$K$9</definedName>
    <definedName name="TBffcc584d_af9a_4b3f_a7a6_db81c4a396c2" hidden="1" xml:space="preserve">                                                                                                                        '[32]FY2012 (BIO Group IFRS)'!$C$95</definedName>
    <definedName name="tejhre" localSheetId="37" hidden="1">{#N/A,#N/A,FALSE,"Bakersfield PCs";#N/A,#N/A,FALSE,"Bremer PCs";#N/A,#N/A,FALSE,"Bakersfield Notebooks"}</definedName>
    <definedName name="tejhre" localSheetId="92" hidden="1">{#N/A,#N/A,FALSE,"Bakersfield PCs";#N/A,#N/A,FALSE,"Bremer PCs";#N/A,#N/A,FALSE,"Bakersfield Notebooks"}</definedName>
    <definedName name="tejhre" localSheetId="43" hidden="1">{#N/A,#N/A,FALSE,"Bakersfield PCs";#N/A,#N/A,FALSE,"Bremer PCs";#N/A,#N/A,FALSE,"Bakersfield Notebooks"}</definedName>
    <definedName name="tejhre" hidden="1">{#N/A,#N/A,FALSE,"Bakersfield PCs";#N/A,#N/A,FALSE,"Bremer PCs";#N/A,#N/A,FALSE,"Bakersfield Notebooks"}</definedName>
    <definedName name="temp" localSheetId="37" hidden="1">{#N/A,#N/A,FALSE,"Bakersfield PCs";#N/A,#N/A,FALSE,"Bremer PCs";#N/A,#N/A,FALSE,"Bakersfield Notebooks"}</definedName>
    <definedName name="temp" localSheetId="92" hidden="1">{#N/A,#N/A,FALSE,"Bakersfield PCs";#N/A,#N/A,FALSE,"Bremer PCs";#N/A,#N/A,FALSE,"Bakersfield Notebooks"}</definedName>
    <definedName name="temp" localSheetId="43" hidden="1">{#N/A,#N/A,FALSE,"Bakersfield PCs";#N/A,#N/A,FALSE,"Bremer PCs";#N/A,#N/A,FALSE,"Bakersfield Notebooks"}</definedName>
    <definedName name="temp" hidden="1">{#N/A,#N/A,FALSE,"Bakersfield PCs";#N/A,#N/A,FALSE,"Bremer PCs";#N/A,#N/A,FALSE,"Bakersfield Notebooks"}</definedName>
    <definedName name="test" localSheetId="37" hidden="1">{#N/A,#N/A,TRUE,"Tax";#N/A,#N/A,TRUE,"Structure";#N/A,#N/A,TRUE,"Accounting";#N/A,#N/A,TRUE,"Equipment"}</definedName>
    <definedName name="test" localSheetId="43" hidden="1">{#N/A,#N/A,TRUE,"Tax";#N/A,#N/A,TRUE,"Structure";#N/A,#N/A,TRUE,"Accounting";#N/A,#N/A,TRUE,"Equipment"}</definedName>
    <definedName name="test" hidden="1">{#N/A,#N/A,TRUE,"Tax";#N/A,#N/A,TRUE,"Structure";#N/A,#N/A,TRUE,"Accounting";#N/A,#N/A,TRUE,"Equipment"}</definedName>
    <definedName name="test2" hidden="1">{"'Projection USA'!$A$2:$M$191"}</definedName>
    <definedName name="TextRefCopyRangeCount" hidden="1">4</definedName>
    <definedName name="ThirdProj" localSheetId="43">[14]Setup!$C$16</definedName>
    <definedName name="Time" hidden="1">"b1"</definedName>
    <definedName name="TM1REBUILDOPTION">0</definedName>
    <definedName name="Toggle_DB_Location" hidden="1">2</definedName>
    <definedName name="Toggle_Freeze_View" hidden="1">0</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2</definedName>
    <definedName name="TopRankDefaultStepsPerInput" hidden="1">5</definedName>
    <definedName name="TopRankDetailByInputReport" hidden="1">TRUE</definedName>
    <definedName name="TopRankMaxInputsPerGraph" hidden="1">10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Cells1" hidden="1">#REF!</definedName>
    <definedName name="TopRankOutputDetailReport" hidden="1">TRUE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FALSE</definedName>
    <definedName name="TopRankReportsInExistingWorkbook" hidden="1">FALSE</definedName>
    <definedName name="TopRankReportsInExistingWorkbookName" hidden="1">"Active Workbook"</definedName>
    <definedName name="TopRankReportsInNewWorkbook" hidden="1">TRUE</definedName>
    <definedName name="TopRankSensitivityGraphs" hidden="1">TRUE</definedName>
    <definedName name="TopRankSingleWorkbookAllResults" hidden="1">FALSE</definedName>
    <definedName name="TopRankSpiderGraphs" hidden="1">TRUE</definedName>
    <definedName name="TopRankTornadoGraphs" hidden="1">TRUE</definedName>
    <definedName name="TopRankUpdateDisplay" hidden="1">FALSE</definedName>
    <definedName name="totcap" localSheetId="37" hidden="1">#REF!,#REF!,#REF!,#REF!</definedName>
    <definedName name="totcap" localSheetId="48" hidden="1">#REF!,#REF!,#REF!,#REF!</definedName>
    <definedName name="totcap" localSheetId="77" hidden="1">#REF!,#REF!,#REF!,#REF!</definedName>
    <definedName name="totcap" localSheetId="31" hidden="1">#REF!,#REF!,#REF!,#REF!</definedName>
    <definedName name="totcap" localSheetId="32" hidden="1">#REF!,#REF!,#REF!,#REF!</definedName>
    <definedName name="totcap" localSheetId="33" hidden="1">#REF!,#REF!,#REF!,#REF!</definedName>
    <definedName name="totcap" localSheetId="4" hidden="1">#REF!,#REF!,#REF!,#REF!</definedName>
    <definedName name="totcap" localSheetId="40" hidden="1">#REF!,#REF!,#REF!,#REF!</definedName>
    <definedName name="totcap" localSheetId="79" hidden="1">#REF!,#REF!,#REF!,#REF!</definedName>
    <definedName name="totcap" localSheetId="78" hidden="1">#REF!,#REF!,#REF!,#REF!</definedName>
    <definedName name="totcap" localSheetId="75" hidden="1">#REF!,#REF!,#REF!,#REF!</definedName>
    <definedName name="totcap" localSheetId="42" hidden="1">#REF!,#REF!,#REF!,#REF!</definedName>
    <definedName name="totcap" localSheetId="14" hidden="1">#REF!,#REF!,#REF!,#REF!</definedName>
    <definedName name="totcap" localSheetId="49" hidden="1">#REF!,#REF!,#REF!,#REF!</definedName>
    <definedName name="totcap" hidden="1">#REF!,#REF!,#REF!,#REF!</definedName>
    <definedName name="treeList" hidden="1">"10000000000000000000000000000000000000000000000000000000000000000000000000000000000000000000000000000000000000000000000000000000000000000000000000000000000000000000000000000000000000000000000000000000"</definedName>
    <definedName name="tt" hidden="1">{#N/A,#N/A,FALSE,"e-Svc Level";#N/A,#N/A,FALSE,"e-Hosted";#N/A,#N/A,FALSE,"e-Licensed";#N/A,#N/A,FALSE,"Assumptions"}</definedName>
    <definedName name="ttt" hidden="1">{#N/A,#N/A,FALSE,"sales ytd";#N/A,#N/A,FALSE,"investments";#N/A,#N/A,FALSE,"bus. synergies 1997";#N/A,#N/A,FALSE,"synergies outlook"}</definedName>
    <definedName name="Typist" hidden="1">"b1"</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 hidden="1">{#N/A,#N/A,FALSE,"e-Svc Level";#N/A,#N/A,FALSE,"e-Hosted";#N/A,#N/A,FALSE,"e-Licensed";#N/A,#N/A,FALSE,"Assumptions"}</definedName>
    <definedName name="ValuationDate" localSheetId="43">[14]Setup!$C$2</definedName>
    <definedName name="ValuationDate_IP" localSheetId="43">'[30]Setup - IP Val'!$C$2</definedName>
    <definedName name="Values_Entered" localSheetId="48">IF(Loan_Amount*Interest_Rate*Loan_Years*Loan_Start&gt;0,1,0)</definedName>
    <definedName name="Values_Entered" localSheetId="77">IF(Loan_Amount*Interest_Rate*Loan_Years*Loan_Start&gt;0,1,0)</definedName>
    <definedName name="Values_Entered" localSheetId="31">IF(Loan_Amount*Interest_Rate*Loan_Years*Loan_Start&gt;0,1,0)</definedName>
    <definedName name="Values_Entered" localSheetId="32">IF(Loan_Amount*Interest_Rate*Loan_Years*Loan_Start&gt;0,1,0)</definedName>
    <definedName name="Values_Entered" localSheetId="33">IF(Loan_Amount*Interest_Rate*Loan_Years*Loan_Start&gt;0,1,0)</definedName>
    <definedName name="Values_Entered" localSheetId="4">IF(Loan_Amount*Interest_Rate*Loan_Years*Loan_Start&gt;0,1,0)</definedName>
    <definedName name="Values_Entered" localSheetId="43">IF(Loan_Amount*Interest_Rate*Loan_Years*Loan_Start&gt;0,1,0)</definedName>
    <definedName name="Values_Entered" localSheetId="75">IF(Loan_Amount*Interest_Rate*Loan_Years*Loan_Start&gt;0,1,0)</definedName>
    <definedName name="Values_Entered" localSheetId="14">IF(Loan_Amount*Interest_Rate*Loan_Years*Loan_Start&gt;0,1,0)</definedName>
    <definedName name="Values_Entered" localSheetId="49">IF(Loan_Amount*Interest_Rate*Loan_Years*Loan_Start&gt;0,1,0)</definedName>
    <definedName name="Values_Entered">IF(Loan_Amount*Interest_Rate*Loan_Years*Loan_Start&gt;0,1,0)</definedName>
    <definedName name="Version" hidden="1">"a1"</definedName>
    <definedName name="Version_Nbr" hidden="1">1</definedName>
    <definedName name="VersionNumber" hidden="1">"4.6.6278"</definedName>
    <definedName name="w" hidden="1">{#N/A,#N/A,FALSE,"AAPCC (HMO&amp;Non-HMO)"}</definedName>
    <definedName name="weurhg" hidden="1">{"page1",#N/A,FALSE,"Model";"page2",#N/A,FALSE,"Model";"page3",#N/A,FALSE,"Model";"page4",#N/A,FALSE,"Model";"page5",#N/A,FALSE,"Model";"page6",#N/A,FALSE,"Model";"page7",#N/A,FALSE,"Model";"page8",#N/A,FALSE,"Model";"page9",#N/A,FALSE,"Model";"page10",#N/A,FALSE,"Model";"page11",#N/A,FALSE,"Model";"page12",#N/A,FALSE,"Model";"page13",#N/A,FALSE,"Model"}</definedName>
    <definedName name="whge" hidden="1">{"page1",#N/A,FALSE,"Model";"page2",#N/A,FALSE,"Model";"page3",#N/A,FALSE,"Model";"page4",#N/A,FALSE,"Model";"page5",#N/A,FALSE,"Model";"page6",#N/A,FALSE,"Model";"page7",#N/A,FALSE,"Model";"page8",#N/A,FALSE,"Model";"page9",#N/A,FALSE,"Model";"page10",#N/A,FALSE,"Model";"page11",#N/A,FALSE,"Model";"page12",#N/A,FALSE,"Model";"page13",#N/A,FALSE,"Model"}</definedName>
    <definedName name="willie" localSheetId="37" hidden="1">{#N/A,#N/A,FALSE,"Bakersfield PCs";#N/A,#N/A,FALSE,"Bremer PCs";#N/A,#N/A,FALSE,"Bakersfield Notebooks"}</definedName>
    <definedName name="willie" localSheetId="92" hidden="1">{#N/A,#N/A,FALSE,"Bakersfield PCs";#N/A,#N/A,FALSE,"Bremer PCs";#N/A,#N/A,FALSE,"Bakersfield Notebooks"}</definedName>
    <definedName name="willie" localSheetId="43" hidden="1">{#N/A,#N/A,FALSE,"Bakersfield PCs";#N/A,#N/A,FALSE,"Bremer PCs";#N/A,#N/A,FALSE,"Bakersfield Notebooks"}</definedName>
    <definedName name="willie" hidden="1">{#N/A,#N/A,FALSE,"Bakersfield PCs";#N/A,#N/A,FALSE,"Bremer PCs";#N/A,#N/A,FALSE,"Bakersfield Notebooks"}</definedName>
    <definedName name="wirevbg" hidden="1">{"page1",#N/A,FALSE,"Model";"page2",#N/A,FALSE,"Model";"page3",#N/A,FALSE,"Model";"page4",#N/A,FALSE,"Model";"page5",#N/A,FALSE,"Model";"page6",#N/A,FALSE,"Model";"page7",#N/A,FALSE,"Model";"page8",#N/A,FALSE,"Model";"page9",#N/A,FALSE,"Model";"page10",#N/A,FALSE,"Model";"page11",#N/A,FALSE,"Model";"page12",#N/A,FALSE,"Model";"page13",#N/A,FALSE,"Model"}</definedName>
    <definedName name="woq4hg" hidden="1">{"page1",#N/A,FALSE,"Model";"page2",#N/A,FALSE,"Model";"page3",#N/A,FALSE,"Model";"page4",#N/A,FALSE,"Model";"page5",#N/A,FALSE,"Model";"page6",#N/A,FALSE,"Model";"page7",#N/A,FALSE,"Model";"page8",#N/A,FALSE,"Model";"page9",#N/A,FALSE,"Model";"page10",#N/A,FALSE,"Model";"page11",#N/A,FALSE,"Model";"page12",#N/A,FALSE,"Model";"page13",#N/A,FALSE,"Model"}</definedName>
    <definedName name="wrn.A_VALUATION." hidden="1">{#N/A,#N/A,FALSE,"A_D";#N/A,#N/A,FALSE,"WACC";#N/A,#N/A,FALSE,"DCF";#N/A,#N/A,FALSE,"A";#N/A,#N/A,FALSE,"LBO";#N/A,#N/A,FALSE,"C";#N/A,#N/A,FALSE,"impd";#N/A,#N/A,FALSE,"comps"}</definedName>
    <definedName name="wrn.Accr_Dil." hidden="1">{#N/A,#N/A,FALSE,"Debt Accr";#N/A,#N/A,FALSE,"Stock Accr";#N/A,#N/A,FALSE,"Debt Stock Accr"}</definedName>
    <definedName name="wrn.ACCTRECONS." hidden="1">{#N/A,#N/A,FALSE,"1110";#N/A,#N/A,FALSE,"1120";#N/A,#N/A,FALSE,"1140";#N/A,#N/A,FALSE,"1150";#N/A,#N/A,FALSE,"chalmers";#N/A,#N/A,FALSE,"gentner";#N/A,#N/A,FALSE,"1230";#N/A,#N/A,FALSE,"PPD INS";#N/A,#N/A,FALSE,"1260";#N/A,#N/A,FALSE,"PPD SVC";#N/A,#N/A,FALSE,"1950";#N/A,#N/A,FALSE,"1960";#N/A,#N/A,FALSE,"2040";#N/A,#N/A,FALSE,"2165";#N/A,#N/A,FALSE,"2200";#N/A,#N/A,FALSE,"2300-2590";#N/A,#N/A,FALSE,"2410";#N/A,#N/A,FALSE,"2600";#N/A,#N/A,FALSE,"3030";#N/A,#N/A,FALSE,"3800";#N/A,#N/A,FALSE,"3850";#N/A,#N/A,FALSE,"3910-1000";#N/A,#N/A,FALSE,"3950";#N/A,#N/A,FALSE,"Options-95 grants";#N/A,#N/A,FALSE,"Consult and Colab";#N/A,#N/A,FALSE,"Seminars and Cont Ed";#N/A,#N/A,FALSE,"LEASES";#N/A,#N/A,FALSE,"Qtrly Payroll"}</definedName>
    <definedName name="wrn.Adjusted._.Mod._.Managed." hidden="1">{"MM Visits",#N/A,TRUE,"Moderately Managed";"MM Dollars per Hour",#N/A,TRUE,"Moderately Managed";"MM Hours per Visit",#N/A,TRUE,"Moderately Managed";"MM Dollars per Visit",#N/A,TRUE,"Moderately Managed";"MM Total Visits",#N/A,TRUE,"Moderately Managed";"MM PMPM",#N/A,TRUE,"Moderately Managed"}</definedName>
    <definedName name="wrn.Adjusted._.Optimal." hidden="1">{"OM Visits",#N/A,TRUE,"Optimal";"OM Dollars per Hour",#N/A,TRUE,"Optimal";"OM Hours per Visit",#N/A,TRUE,"Optimal";"OM Dollars per Visit",#N/A,TRUE,"Optimal";"OM Total Visits",#N/A,TRUE,"Optimal";"OM PMPM",#N/A,TRUE,"Optimal"}</definedName>
    <definedName name="wrn.Adjusted._.Unmanaged." hidden="1">{"UM Visits",#N/A,FALSE,"Unmanaged";"UM Dollars per Hour",#N/A,FALSE,"Unmanaged";"UM Hours per Visit",#N/A,FALSE,"Unmanaged";"UM Dollars per Visit",#N/A,FALSE,"Unmanaged";"UM Total Visits",#N/A,FALSE,"Unmanaged";"UM PMPM",#N/A,FALSE,"Unmanaged"}</definedName>
    <definedName name="wrn.Aging._.and._.Trend._.Analysis." hidden="1">{#N/A,#N/A,FALSE,"Aging Summary";#N/A,#N/A,FALSE,"Ratio Analysis";#N/A,#N/A,FALSE,"Test 120 Day Accts";#N/A,#N/A,FALSE,"Tickmarks"}</definedName>
    <definedName name="wrn.ALL." hidden="1">{#N/A,#N/A,FALSE,"INPUTS";#N/A,#N/A,FALSE,"PROFORMA BSHEET";#N/A,#N/A,FALSE,"COMBINED";#N/A,#N/A,FALSE,"ACQUIROR";#N/A,#N/A,FALSE,"TARGET 1";#N/A,#N/A,FALSE,"TARGET 2";#N/A,#N/A,FALSE,"HIGH YIELD";#N/A,#N/A,FALSE,"OVERFUND"}</definedName>
    <definedName name="wrn.All._.Counties."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wrn.all._.gulp._.sheets."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hidden="1">{#N/A,#N/A,FALSE,"puboff";#N/A,#N/A,FALSE,"financials";#N/A,#N/A,FALSE,"valuation";#N/A,#N/A,FALSE,"split"}</definedName>
    <definedName name="wrn.ALL._.SHEETS." hidden="1">{#N/A,#N/A,FALSE,"Adj Proj";#N/A,#N/A,FALSE,"Sheet1";#N/A,#N/A,FALSE,"LBO";#N/A,#N/A,FALSE,"LBOMER";#N/A,#N/A,FALSE,"WACC";#N/A,#N/A,FALSE,"DCF";#N/A,#N/A,FALSE,"DCFMER";#N/A,#N/A,FALSE,"Pooling";#N/A,#N/A,FALSE,"income";#N/A,#N/A,FALSE,"Offer"}</definedName>
    <definedName name="wrn.All._.Sites." localSheetId="37" hidden="1">{#N/A,#N/A,FALSE,"Bakersfield PCs";#N/A,#N/A,FALSE,"Bremer PCs";#N/A,#N/A,FALSE,"Bakersfield Notebooks"}</definedName>
    <definedName name="wrn.All._.Sites." localSheetId="92" hidden="1">{#N/A,#N/A,FALSE,"Bakersfield PCs";#N/A,#N/A,FALSE,"Bremer PCs";#N/A,#N/A,FALSE,"Bakersfield Notebooks"}</definedName>
    <definedName name="wrn.All._.Sites." localSheetId="43" hidden="1">{#N/A,#N/A,FALSE,"Bakersfield PCs";#N/A,#N/A,FALSE,"Bremer PCs";#N/A,#N/A,FALSE,"Bakersfield Notebooks"}</definedName>
    <definedName name="wrn.All._.Sites." hidden="1">{#N/A,#N/A,FALSE,"Bakersfield PCs";#N/A,#N/A,FALSE,"Bremer PCs";#N/A,#N/A,FALSE,"Bakersfield Notebooks"}</definedName>
    <definedName name="wrn.All_Models." hidden="1">{#N/A,#N/A,FALSE,"Summary";#N/A,#N/A,FALSE,"Projections";#N/A,#N/A,FALSE,"Mkt Mults";#N/A,#N/A,FALSE,"DCF";#N/A,#N/A,FALSE,"Accr Dil";#N/A,#N/A,FALSE,"PIC LBO";#N/A,#N/A,FALSE,"MULT10_4";#N/A,#N/A,FALSE,"CBI LBO"}</definedName>
    <definedName name="wrn.All_Sheets." hidden="1">{#N/A,#N/A,FALSE,"Projections";#N/A,#N/A,FALSE,"Contribution_Stock";#N/A,#N/A,FALSE,"PF_Combo_Stock";#N/A,#N/A,FALSE,"Projections";#N/A,#N/A,FALSE,"Contribution_Cash";#N/A,#N/A,FALSE,"PF_Combo_Cash";#N/A,#N/A,FALSE,"IPO_Cash"}</definedName>
    <definedName name="wrn.ALLbutPREMIUM."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hidden="1">{#N/A,#N/A,FALSE,"AD_Purchase";#N/A,#N/A,FALSE,"Credit";#N/A,#N/A,FALSE,"PF Acquisition";#N/A,#N/A,FALSE,"PF Offering"}</definedName>
    <definedName name="wrn.Allocation." hidden="1">{#N/A,#N/A,FALSE,"Allocation"}</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ssumptions." hidden="1">{#N/A,#N/A,FALSE,"Assumptions"}</definedName>
    <definedName name="wrn.BAC" localSheetId="37" hidden="1">{#N/A,#N/A,TRUE,"Tax";#N/A,#N/A,TRUE,"Structure";#N/A,#N/A,TRUE,"Accounting";#N/A,#N/A,TRUE,"Equipment"}</definedName>
    <definedName name="wrn.BAC" localSheetId="92" hidden="1">{#N/A,#N/A,TRUE,"Tax";#N/A,#N/A,TRUE,"Structure";#N/A,#N/A,TRUE,"Accounting";#N/A,#N/A,TRUE,"Equipment"}</definedName>
    <definedName name="wrn.BAC" localSheetId="43" hidden="1">{#N/A,#N/A,TRUE,"Tax";#N/A,#N/A,TRUE,"Structure";#N/A,#N/A,TRUE,"Accounting";#N/A,#N/A,TRUE,"Equipment"}</definedName>
    <definedName name="wrn.BAC" hidden="1">{#N/A,#N/A,TRUE,"Tax";#N/A,#N/A,TRUE,"Structure";#N/A,#N/A,TRUE,"Accounting";#N/A,#N/A,TRUE,"Equipment"}</definedName>
    <definedName name="wrn.balance._.sheet." localSheetId="37" hidden="1">{"bs",#N/A,FALSE,"SCF"}</definedName>
    <definedName name="wrn.balance._.sheet." localSheetId="92" hidden="1">{"bs",#N/A,FALSE,"SCF"}</definedName>
    <definedName name="wrn.balance._.sheet." localSheetId="43" hidden="1">{"bs",#N/A,FALSE,"SCF"}</definedName>
    <definedName name="wrn.balance._.sheet." hidden="1">{"bs",#N/A,FALSE,"SCF"}</definedName>
    <definedName name="wrn.Basic." hidden="1">{#N/A,#N/A,FALSE,"e-Svc Level";#N/A,#N/A,FALSE,"e-Hosted";#N/A,#N/A,FALSE,"e-Licensed";#N/A,#N/A,FALSE,"Assumptions"}</definedName>
    <definedName name="wrn.Basic._.Report." localSheetId="37" hidden="1">{#N/A,#N/A,FALSE,"New Depr Sch-150% DB";#N/A,#N/A,FALSE,"Cash Flows RLP";#N/A,#N/A,FALSE,"IRR";#N/A,#N/A,FALSE,"Proforma IS";#N/A,#N/A,FALSE,"Assumptions"}</definedName>
    <definedName name="wrn.Basic._.Report." localSheetId="92" hidden="1">{#N/A,#N/A,FALSE,"New Depr Sch-150% DB";#N/A,#N/A,FALSE,"Cash Flows RLP";#N/A,#N/A,FALSE,"IRR";#N/A,#N/A,FALSE,"Proforma IS";#N/A,#N/A,FALSE,"Assumptions"}</definedName>
    <definedName name="wrn.Basic._.Report." localSheetId="91" hidden="1">{#N/A,#N/A,FALSE,"New Depr Sch-150% DB";#N/A,#N/A,FALSE,"Cash Flows RLP";#N/A,#N/A,FALSE,"IRR";#N/A,#N/A,FALSE,"Proforma IS";#N/A,#N/A,FALSE,"Assumptions"}</definedName>
    <definedName name="wrn.Basic._.Report." localSheetId="43" hidden="1">{#N/A,#N/A,FALSE,"New Depr Sch-150% DB";#N/A,#N/A,FALSE,"Cash Flows RLP";#N/A,#N/A,FALSE,"IRR";#N/A,#N/A,FALSE,"Proforma IS";#N/A,#N/A,FALSE,"Assumptions"}</definedName>
    <definedName name="wrn.Basic._.Report." localSheetId="69"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asic._.Report.1" hidden="1">{#N/A,#N/A,FALSE,"New Depr Sch-150% DB";#N/A,#N/A,FALSE,"Cash Flows RLP";#N/A,#N/A,FALSE,"IRR";#N/A,#N/A,FALSE,"Proforma IS";#N/A,#N/A,FALSE,"Assumptions"}</definedName>
    <definedName name="wrn.Basic1." hidden="1">{#N/A,#N/A,FALSE,"e-Svc Level";#N/A,#N/A,FALSE,"e-Hosted";#N/A,#N/A,FALSE,"e-Licensed";#N/A,#N/A,FALSE,"Assumptions"}</definedName>
    <definedName name="wrn.basics." hidden="1">{#N/A,#N/A,FALSE,"TSUM";#N/A,#N/A,FALSE,"shares";#N/A,#N/A,FALSE,"earnout";#N/A,#N/A,FALSE,"Heaty";#N/A,#N/A,FALSE,"self-tend";#N/A,#N/A,FALSE,"self-sum"}</definedName>
    <definedName name="wrn.BoeingAircraftChecklist." localSheetId="37" hidden="1">{#N/A,#N/A,TRUE,"Tax";#N/A,#N/A,TRUE,"Structure";#N/A,#N/A,TRUE,"Accounting";#N/A,#N/A,TRUE,"Equipment"}</definedName>
    <definedName name="wrn.BoeingAircraftChecklist." localSheetId="92" hidden="1">{#N/A,#N/A,TRUE,"Tax";#N/A,#N/A,TRUE,"Structure";#N/A,#N/A,TRUE,"Accounting";#N/A,#N/A,TRUE,"Equipment"}</definedName>
    <definedName name="wrn.BoeingAircraftChecklist." localSheetId="43" hidden="1">{#N/A,#N/A,TRUE,"Tax";#N/A,#N/A,TRUE,"Structure";#N/A,#N/A,TRUE,"Accounting";#N/A,#N/A,TRUE,"Equipment"}</definedName>
    <definedName name="wrn.BoeingAircraftChecklist." hidden="1">{#N/A,#N/A,TRUE,"Tax";#N/A,#N/A,TRUE,"Structure";#N/A,#N/A,TRUE,"Accounting";#N/A,#N/A,TRUE,"Equipment"}</definedName>
    <definedName name="wrn.brisbane." localSheetId="37" hidden="1">{#N/A,#N/A,FALSE,"LOAN";#N/A,#N/A,FALSE,"linereclass";#N/A,#N/A,FALSE,"softdraw"}</definedName>
    <definedName name="wrn.brisbane." localSheetId="92" hidden="1">{#N/A,#N/A,FALSE,"LOAN";#N/A,#N/A,FALSE,"linereclass";#N/A,#N/A,FALSE,"softdraw"}</definedName>
    <definedName name="wrn.brisbane." localSheetId="43" hidden="1">{#N/A,#N/A,FALSE,"LOAN";#N/A,#N/A,FALSE,"linereclass";#N/A,#N/A,FALSE,"softdraw"}</definedName>
    <definedName name="wrn.brisbane." hidden="1">{#N/A,#N/A,FALSE,"LOAN";#N/A,#N/A,FALSE,"linereclass";#N/A,#N/A,FALSE,"softdraw"}</definedName>
    <definedName name="wrn.bullshit1." hidden="1">{#N/A,#N/A,FALSE,"Sheet1";#N/A,#N/A,FALSE,"Summary";#N/A,#N/A,FALSE,"proj1";#N/A,#N/A,FALSE,"proj2"}</definedName>
    <definedName name="wrn.CapersPlotter." hidden="1">{#N/A,#N/A,FALSE,"DI 2 YEAR MASTER SCHEDULE"}</definedName>
    <definedName name="wrn.Chamonix." hidden="1">{"page1",#N/A,FALSE,"Model";"page2",#N/A,FALSE,"Model";"page3",#N/A,FALSE,"Model";"page4",#N/A,FALSE,"Model";"page5",#N/A,FALSE,"Model";"page6",#N/A,FALSE,"Model";"page7",#N/A,FALSE,"Model";"page8",#N/A,FALSE,"Model";"page9",#N/A,FALSE,"Model";"page10",#N/A,FALSE,"Model";"page11",#N/A,FALSE,"Model";"page12",#N/A,FALSE,"Model";"page13",#N/A,FALSE,"Model"}</definedName>
    <definedName name="wrn.clientcopy." localSheetId="3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9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91"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BINED." hidden="1">{#N/A,#N/A,FALSE,"INPUTS";#N/A,#N/A,FALSE,"PROFORMA BSHEET";#N/A,#N/A,FALSE,"COMBINED";#N/A,#N/A,FALSE,"HIGH YIELD";#N/A,#N/A,FALSE,"COMB_GRAPHS"}</definedName>
    <definedName name="wrn.Complete._.Report." localSheetId="37" hidden="1">{#N/A,#N/A,FALSE,"Assumptions";#N/A,#N/A,FALSE,"Proforma IS";#N/A,#N/A,FALSE,"Cash Flows RLP";#N/A,#N/A,FALSE,"IRR";#N/A,#N/A,FALSE,"New Depr Sch-150% DB";#N/A,#N/A,FALSE,"Comments"}</definedName>
    <definedName name="wrn.Complete._.Report." localSheetId="92" hidden="1">{#N/A,#N/A,FALSE,"Assumptions";#N/A,#N/A,FALSE,"Proforma IS";#N/A,#N/A,FALSE,"Cash Flows RLP";#N/A,#N/A,FALSE,"IRR";#N/A,#N/A,FALSE,"New Depr Sch-150% DB";#N/A,#N/A,FALSE,"Comments"}</definedName>
    <definedName name="wrn.Complete._.Report." localSheetId="91" hidden="1">{#N/A,#N/A,FALSE,"Assumptions";#N/A,#N/A,FALSE,"Proforma IS";#N/A,#N/A,FALSE,"Cash Flows RLP";#N/A,#N/A,FALSE,"IRR";#N/A,#N/A,FALSE,"New Depr Sch-150% DB";#N/A,#N/A,FALSE,"Comments"}</definedName>
    <definedName name="wrn.Complete._.Report." localSheetId="43" hidden="1">{#N/A,#N/A,FALSE,"Assumptions";#N/A,#N/A,FALSE,"Proforma IS";#N/A,#N/A,FALSE,"Cash Flows RLP";#N/A,#N/A,FALSE,"IRR";#N/A,#N/A,FALSE,"New Depr Sch-150% DB";#N/A,#N/A,FALSE,"Comments"}</definedName>
    <definedName name="wrn.Complete._.Report." localSheetId="69"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37" hidden="1">{"contributory1",#N/A,FALSE,"Contributory Assets Detail";"contributory2",#N/A,FALSE,"Contributory Assets Detail"}</definedName>
    <definedName name="wrn.contributory._.asset._.charges." localSheetId="92" hidden="1">{"contributory1",#N/A,FALSE,"Contributory Assets Detail";"contributory2",#N/A,FALSE,"Contributory Assets Detail"}</definedName>
    <definedName name="wrn.contributory._.asset._.charges." localSheetId="43"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ontrollers._.Report." hidden="1">{"Cntrl PL",#N/A,TRUE,"CONS P&amp;L";"Controller BS",#N/A,TRUE,"CONS BS";"MthCF",#N/A,TRUE,"CONS CF";"Hot Sheet Year",#N/A,TRUE,"Hot Sheet";"Project Comparison",#N/A,TRUE,"Prj Sum"}</definedName>
    <definedName name="wrn.Cover." hidden="1">{"coverall",#N/A,FALSE,"Definitions";"cover1",#N/A,FALSE,"Definitions";"cover2",#N/A,FALSE,"Definitions";"cover3",#N/A,FALSE,"Definitions";"cover4",#N/A,FALSE,"Definitions";"cover5",#N/A,FALSE,"Definitions";"blank",#N/A,FALSE,"Definitions"}</definedName>
    <definedName name="wrn.Customer_base." localSheetId="37" hidden="1">{"customer base",#N/A,FALSE,"customer_base";"customer base perf estimates",#N/A,FALSE,"customer_base"}</definedName>
    <definedName name="wrn.Customer_base." localSheetId="92" hidden="1">{"customer base",#N/A,FALSE,"customer_base";"customer base perf estimates",#N/A,FALSE,"customer_base"}</definedName>
    <definedName name="wrn.Customer_base." localSheetId="43" hidden="1">{"customer base",#N/A,FALSE,"customer_base";"customer base perf estimates",#N/A,FALSE,"customer_base"}</definedName>
    <definedName name="wrn.Customer_base." hidden="1">{"customer base",#N/A,FALSE,"customer_base";"customer base perf estimates",#N/A,FALSE,"customer_base"}</definedName>
    <definedName name="wrn.Daily." hidden="1">{#N/A,#N/A,FALSE,"Input";#N/A,#N/A,FALSE,"BBC";#N/A,#N/A,FALSE,"Sch A";#N/A,#N/A,FALSE,"Sch B";#N/A,#N/A,FALSE,"Ineligible"}</definedName>
    <definedName name="wrn.DCF." localSheetId="37" hidden="1">{#N/A,#N/A,FALSE,"DCF Cov";#N/A,#N/A,FALSE,"dcf"}</definedName>
    <definedName name="wrn.DCF." localSheetId="92" hidden="1">{#N/A,#N/A,FALSE,"DCF Cov";#N/A,#N/A,FALSE,"dcf"}</definedName>
    <definedName name="wrn.DCF." localSheetId="43" hidden="1">{#N/A,#N/A,FALSE,"DCF Cov";#N/A,#N/A,FALSE,"dcf"}</definedName>
    <definedName name="wrn.DCF." hidden="1">{#N/A,#N/A,FALSE,"DCF Cov";#N/A,#N/A,FALSE,"dcf"}</definedName>
    <definedName name="wrn.Detail." hidden="1">{"umarea",#N/A,FALSE,"Starting Cost";"umagesex",#N/A,FALSE,"Starting Cost";"umbenlim",#N/A,FALSE,"Starting Cost";"umprovdisc",#N/A,FALSE,"Starting Cost";"umother",#N/A,FALSE,"Starting Cost";"umtrend",#N/A,FALSE,"Starting Cost"}</definedName>
    <definedName name="wrn.detalles._.total." hidden="1">{"total","abonados garantia",FALSE,"detalle19982007"}</definedName>
    <definedName name="wrn.documentation." localSheetId="37" hidden="1">{"documentation1",#N/A,FALSE,"Documentation";"documentation2",#N/A,FALSE,"Documentation"}</definedName>
    <definedName name="wrn.documentation." localSheetId="92" hidden="1">{"documentation1",#N/A,FALSE,"Documentation";"documentation2",#N/A,FALSE,"Documentation"}</definedName>
    <definedName name="wrn.documentation." localSheetId="43" hidden="1">{"documentation1",#N/A,FALSE,"Documentation";"documentation2",#N/A,FALSE,"Documentation"}</definedName>
    <definedName name="wrn.documentation." hidden="1">{"documentation1",#N/A,FALSE,"Documentation";"documentation2",#N/A,FALSE,"Documentation"}</definedName>
    <definedName name="wrn.Edutainment._.Priority._.List." hidden="1">{#N/A,#N/A,FALSE,"DI 2 YEAR MASTER SCHEDULE"}</definedName>
    <definedName name="wrn.ESPP." localSheetId="37" hidden="1">{#N/A,#N/A,FALSE,"REPORT"}</definedName>
    <definedName name="wrn.ESPP." localSheetId="92" hidden="1">{#N/A,#N/A,FALSE,"REPORT"}</definedName>
    <definedName name="wrn.ESPP." localSheetId="43" hidden="1">{#N/A,#N/A,FALSE,"REPORT"}</definedName>
    <definedName name="wrn.ESPP." hidden="1">{#N/A,#N/A,FALSE,"REPORT"}</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xhibits." localSheetId="37" hidden="1">{#N/A,#N/A,FALSE,"IS";#N/A,#N/A,FALSE,"BS";#N/A,#N/A,FALSE,"RMA";#N/A,#N/A,FALSE,"INCOME";#N/A,#N/A,FALSE,"DCF";#N/A,#N/A,FALSE,"MARKET"}</definedName>
    <definedName name="wrn.exhibits." localSheetId="92" hidden="1">{#N/A,#N/A,FALSE,"IS";#N/A,#N/A,FALSE,"BS";#N/A,#N/A,FALSE,"RMA";#N/A,#N/A,FALSE,"INCOME";#N/A,#N/A,FALSE,"DCF";#N/A,#N/A,FALSE,"MARKET"}</definedName>
    <definedName name="wrn.exhibits." localSheetId="43" hidden="1">{#N/A,#N/A,FALSE,"IS";#N/A,#N/A,FALSE,"BS";#N/A,#N/A,FALSE,"RMA";#N/A,#N/A,FALSE,"INCOME";#N/A,#N/A,FALSE,"DCF";#N/A,#N/A,FALSE,"MARKET"}</definedName>
    <definedName name="wrn.exhibits." hidden="1">{#N/A,#N/A,FALSE,"IS";#N/A,#N/A,FALSE,"BS";#N/A,#N/A,FALSE,"RMA";#N/A,#N/A,FALSE,"INCOME";#N/A,#N/A,FALSE,"DCF";#N/A,#N/A,FALSE,"MARKET"}</definedName>
    <definedName name="wrn.Factors." hidden="1">{#N/A,#N/A,FALSE,"Factors"}</definedName>
    <definedName name="wrn.Fcst._.by._.Mon." localSheetId="37" hidden="1">{"Fcst by Mon Full",#N/A,FALSE,"Tot PalmPalm";"Fcst by Mon Full",#N/A,FALSE,"Tot Device";"Fcst by Mon Full",#N/A,FALSE,"Platform";"Fcst by Mon Full",#N/A,FALSE,"Palm.Net";"Fcst by Mon Full",#N/A,FALSE,"Elim"}</definedName>
    <definedName name="wrn.Fcst._.by._.Mon." localSheetId="92" hidden="1">{"Fcst by Mon Full",#N/A,FALSE,"Tot PalmPalm";"Fcst by Mon Full",#N/A,FALSE,"Tot Device";"Fcst by Mon Full",#N/A,FALSE,"Platform";"Fcst by Mon Full",#N/A,FALSE,"Palm.Net";"Fcst by Mon Full",#N/A,FALSE,"Elim"}</definedName>
    <definedName name="wrn.Fcst._.by._.Mon." localSheetId="43"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37" hidden="1">{"Fcst by Qtr Full",#N/A,FALSE,"Tot PalmPalm";"Fcst by Qtr Full",#N/A,FALSE,"Tot Device";"Fcst by Qtr Full",#N/A,FALSE,"Platform";"Fcst by Qtr Full",#N/A,FALSE,"Palm.Net";"Fcst by Qtr Full",#N/A,FALSE,"Elim"}</definedName>
    <definedName name="wrn.Fcst._.by._.Qtr." localSheetId="92" hidden="1">{"Fcst by Qtr Full",#N/A,FALSE,"Tot PalmPalm";"Fcst by Qtr Full",#N/A,FALSE,"Tot Device";"Fcst by Qtr Full",#N/A,FALSE,"Platform";"Fcst by Qtr Full",#N/A,FALSE,"Palm.Net";"Fcst by Qtr Full",#N/A,FALSE,"Elim"}</definedName>
    <definedName name="wrn.Fcst._.by._.Qtr." localSheetId="43"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3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9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3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9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91"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ter." hidden="1">{#N/A,#N/A,FALSE,"Assump2";#N/A,#N/A,FALSE,"Income2";#N/A,#N/A,FALSE,"Balance2";#N/A,#N/A,FALSE,"DCF Filter";#N/A,#N/A,FALSE,"Trans Assump2";#N/A,#N/A,FALSE,"Combined Income2";#N/A,#N/A,FALSE,"Combined Balance2"}</definedName>
    <definedName name="wrn.Financial._.Statements." hidden="1">{#N/A,#N/A,FALSE,"Bal Sheet";#N/A,#N/A,FALSE,"Ret Earngs";#N/A,#N/A,FALSE,"P &amp; L";#N/A,#N/A,FALSE,"Ovhd Exp";#N/A,#N/A,FALSE,"Sales Exp";#N/A,#N/A,FALSE,"G&amp;A Exp";#N/A,#N/A,FALSE,"Other Exp";#N/A,#N/A,FALSE,"Accum Erngs"}</definedName>
    <definedName name="wrn.first2." hidden="1">{#N/A,#N/A,FALSE,"sum-don";#N/A,#N/A,FALSE,"inc-don"}</definedName>
    <definedName name="wrn.first3." hidden="1">{#N/A,#N/A,FALSE,"Summary";#N/A,#N/A,FALSE,"proj1";#N/A,#N/A,FALSE,"proj2"}</definedName>
    <definedName name="wrn.first4." hidden="1">{#N/A,#N/A,FALSE,"Summary";#N/A,#N/A,FALSE,"proj1";#N/A,#N/A,FALSE,"proj2";#N/A,#N/A,FALSE,"DCF"}</definedName>
    <definedName name="wrn.Full._.Model." localSheetId="3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9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3"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3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9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FULL_ACQ." localSheetId="37" hidden="1">{#N/A,#N/A,FALSE,"Summary";#N/A,#N/A,FALSE,"Proforma";#N/A,#N/A,FALSE,"Tx"}</definedName>
    <definedName name="wrn.FULL_ACQ." localSheetId="92" hidden="1">{#N/A,#N/A,FALSE,"Summary";#N/A,#N/A,FALSE,"Proforma";#N/A,#N/A,FALSE,"Tx"}</definedName>
    <definedName name="wrn.FULL_ACQ." localSheetId="43" hidden="1">{#N/A,#N/A,FALSE,"Summary";#N/A,#N/A,FALSE,"Proforma";#N/A,#N/A,FALSE,"Tx"}</definedName>
    <definedName name="wrn.FULL_ACQ." hidden="1">{#N/A,#N/A,FALSE,"Summary";#N/A,#N/A,FALSE,"Proforma";#N/A,#N/A,FALSE,"Tx"}</definedName>
    <definedName name="wrn.GRAPHS." hidden="1">{#N/A,#N/A,FALSE,"ACQ_GRAPHS";#N/A,#N/A,FALSE,"T_1 GRAPHS";#N/A,#N/A,FALSE,"T_2 GRAPHS";#N/A,#N/A,FALSE,"COMB_GRAPHS"}</definedName>
    <definedName name="wrn.HEAT." hidden="1">{#N/A,#N/A,FALSE,"Heat";#N/A,#N/A,FALSE,"DCF";#N/A,#N/A,FALSE,"LBO";#N/A,#N/A,FALSE,"A";#N/A,#N/A,FALSE,"C";#N/A,#N/A,FALSE,"impd";#N/A,#N/A,FALSE,"Accr-Dilu"}</definedName>
    <definedName name="wrn.Hydraulic."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hidden="1">{#N/A,#N/A,FALSE,"HuscoCombined-Summ";#N/A,#N/A,FALSE,"HuscoCombined-Income";#N/A,#N/A,FALSE,"HuscoCombined-Offering";#N/A,#N/A,FALSE,"Husco-Income";#N/A,#N/A,FALSE,"TargetEngineer";#N/A,#N/A,FALSE,"TargetAcqCalc";#N/A,#N/A,FALSE,"Husco-Acq"}</definedName>
    <definedName name="wrn.intlandtot" hidden="1">{"tot",#N/A,FALSE,"Int'l Cons";"tot",#N/A,FALSE,"UK";"tot",#N/A,FALSE,"GER";"tot",#N/A,FALSE,"AUS";"tot",#N/A,FALSE,"SA";"tot",#N/A,FALSE,"FR";"tot",#N/A,FALSE,"RofW"}</definedName>
    <definedName name="wrn.ipovalue." hidden="1">{#N/A,#N/A,FALSE,"puboff";#N/A,#N/A,FALSE,"valuation";#N/A,#N/A,FALSE,"finanalsis";#N/A,#N/A,FALSE,"split";#N/A,#N/A,FALSE,"ownership"}</definedName>
    <definedName name="wrn.ISCG._.model." hidden="1">{#N/A,#N/A,FALSE,"Second";#N/A,#N/A,FALSE,"ownership";#N/A,#N/A,FALSE,"Valuation";#N/A,#N/A,FALSE,"Eqiv";#N/A,#N/A,FALSE,"Mults";#N/A,#N/A,FALSE,"ISCG Graphics"}</definedName>
    <definedName name="wrn.Japan_Capers_Ed._.Pub." hidden="1">{"Japan_Capers_Ed_Pub",#N/A,FALSE,"DI 2 YEAR MASTER SCHEDULE"}</definedName>
    <definedName name="wrn.LBO." localSheetId="37" hidden="1">{#N/A,#N/A,FALSE,"Cov";#N/A,#N/A,FALSE,"sum";#N/A,#N/A,FALSE,"baladj";#N/A,#N/A,FALSE,"bs";#N/A,#N/A,FALSE,"is";#N/A,#N/A,FALSE,"pis";#N/A,#N/A,FALSE,"cf";#N/A,#N/A,FALSE,"balhist";#N/A,#N/A,FALSE,"wc";#N/A,#N/A,FALSE,"ltd";#N/A,#N/A,FALSE,"cover";#N/A,#N/A,FALSE,"fa";#N/A,#N/A,FALSE,"tax";#N/A,#N/A,FALSE,"irr";#N/A,#N/A,FALSE,"in"}</definedName>
    <definedName name="wrn.LBO." localSheetId="92" hidden="1">{#N/A,#N/A,FALSE,"Cov";#N/A,#N/A,FALSE,"sum";#N/A,#N/A,FALSE,"baladj";#N/A,#N/A,FALSE,"bs";#N/A,#N/A,FALSE,"is";#N/A,#N/A,FALSE,"pis";#N/A,#N/A,FALSE,"cf";#N/A,#N/A,FALSE,"balhist";#N/A,#N/A,FALSE,"wc";#N/A,#N/A,FALSE,"ltd";#N/A,#N/A,FALSE,"cover";#N/A,#N/A,FALSE,"fa";#N/A,#N/A,FALSE,"tax";#N/A,#N/A,FALSE,"irr";#N/A,#N/A,FALSE,"in"}</definedName>
    <definedName name="wrn.LBO." localSheetId="43"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Maine." hidden="1">{"Assumptions",#N/A,TRUE,"Assumptions";"Income",#N/A,TRUE,"Income";"Balance",#N/A,TRUE,"Balance"}</definedName>
    <definedName name="wrn.Maine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hidden="1">{#N/A,#N/A,FALSE,"IPO";#N/A,#N/A,FALSE,"DCF";#N/A,#N/A,FALSE,"LBO";#N/A,#N/A,FALSE,"MULT_VAL";#N/A,#N/A,FALSE,"Status Quo";#N/A,#N/A,FALSE,"Recap"}</definedName>
    <definedName name="wrn.Model." hidden="1">{#N/A,#N/A,FALSE,"Model"}</definedName>
    <definedName name="wrn.Mth._.1." hidden="1">{"Balance Sheet",#N/A,TRUE,"CONS BS";"Income Stmt Current Month",#N/A,TRUE,"CONS P&amp;L";"Cash Flow Current Month",#N/A,TRUE,"CONS CF";"Hot Sheet Year",#N/A,TRUE,"Hot Sheet"}</definedName>
    <definedName name="wrn.Mth._.2_3_4_7_10." hidden="1">{"Balance Sheet",#N/A,TRUE,"CONS BS";"Income Stmt Current Month",#N/A,TRUE,"CONS P&amp;L";"Income Stmt Year To Date",#N/A,TRUE,"CONS P&amp;L";"Cash Flow Current Month",#N/A,TRUE,"CONS CF";"Cash Flow Year To Date",#N/A,TRUE,"CONS CF";"Hot Sheet Year",#N/A,TRUE,"Hot Sheet"}</definedName>
    <definedName name="wrn.Mth._.5_6_8_9_11." hidden="1">{"Balance Sheet",#N/A,TRUE,"CONS BS";"Income Stmt Current Month",#N/A,TRUE,"CONS P&amp;L";"Income Stmt Quarter To Date",#N/A,TRUE,"CONS P&amp;L";"Income Stmt Year To Date",#N/A,TRUE,"CONS P&amp;L";"Cash Flow Current Month",#N/A,TRUE,"CONS CF";"Cash Flow Quarter To Date",#N/A,TRUE,"CONS CF";"Cash Flow Year To Date",#N/A,TRUE,"CONS CF";"Hot Sheet Year",#N/A,TRUE,"Hot Sheet"}</definedName>
    <definedName name="wrn.newest." hidden="1">{#N/A,#N/A,TRUE,"TS";#N/A,#N/A,TRUE,"Combo";#N/A,#N/A,TRUE,"FAIR";#N/A,#N/A,TRUE,"RBC";#N/A,#N/A,TRUE,"xxxx"}</definedName>
    <definedName name="wrn.northpoint." localSheetId="37" hidden="1">{#N/A,#N/A,FALSE,"softdraw";#N/A,#N/A,FALSE,"linereclass";"northpint loan",#N/A,FALSE,"LOAN"}</definedName>
    <definedName name="wrn.northpoint." localSheetId="92" hidden="1">{#N/A,#N/A,FALSE,"softdraw";#N/A,#N/A,FALSE,"linereclass";"northpint loan",#N/A,FALSE,"LOAN"}</definedName>
    <definedName name="wrn.northpoint." localSheetId="43" hidden="1">{#N/A,#N/A,FALSE,"softdraw";#N/A,#N/A,FALSE,"linereclass";"northpint loan",#N/A,FALSE,"LOAN"}</definedName>
    <definedName name="wrn.northpoint." hidden="1">{#N/A,#N/A,FALSE,"softdraw";#N/A,#N/A,FALSE,"linereclass";"northpint loan",#N/A,FALSE,"LOAN"}</definedName>
    <definedName name="wrn.Olk._.by._.Qtr." localSheetId="37" hidden="1">{"Olk by Qtr Full",#N/A,FALSE,"Tot PalmPalm";"Olk by Qtr Full",#N/A,FALSE,"Tot Device";"Olk by Qtr Full",#N/A,FALSE,"Platform";"Olk by Qtr Full",#N/A,FALSE,"Palm.Net";"Olk by Qtr Full",#N/A,FALSE,"Elim"}</definedName>
    <definedName name="wrn.Olk._.by._.Qtr." localSheetId="92" hidden="1">{"Olk by Qtr Full",#N/A,FALSE,"Tot PalmPalm";"Olk by Qtr Full",#N/A,FALSE,"Tot Device";"Olk by Qtr Full",#N/A,FALSE,"Platform";"Olk by Qtr Full",#N/A,FALSE,"Palm.Net";"Olk by Qtr Full",#N/A,FALSE,"Elim"}</definedName>
    <definedName name="wrn.Olk._.by._.Qtr." localSheetId="43"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37" hidden="1">{"DCF","UPSIDE CASE",FALSE,"Sheet1";"DCF","BASE CASE",FALSE,"Sheet1";"DCF","DOWNSIDE CASE",FALSE,"Sheet1"}</definedName>
    <definedName name="wrn.OUTPUT." localSheetId="92" hidden="1">{"DCF","UPSIDE CASE",FALSE,"Sheet1";"DCF","BASE CASE",FALSE,"Sheet1";"DCF","DOWNSIDE CASE",FALSE,"Sheet1"}</definedName>
    <definedName name="wrn.OUTPUT." localSheetId="91" hidden="1">{"DCF","UPSIDE CASE",FALSE,"Sheet1";"DCF","BASE CASE",FALSE,"Sheet1";"DCF","DOWNSIDE CASE",FALSE,"Sheet1"}</definedName>
    <definedName name="wrn.OUTPUT." localSheetId="43" hidden="1">{"DCF","UPSIDE CASE",FALSE,"Sheet1";"DCF","BASE CASE",FALSE,"Sheet1";"DCF","DOWNSIDE CASE",FALSE,"Sheet1"}</definedName>
    <definedName name="wrn.OUTPUT." hidden="1">{"DCF","UPSIDE CASE",FALSE,"Sheet1";"DCF","BASE CASE",FALSE,"Sheet1";"DCF","DOWNSIDE CASE",FALSE,"Sheet1"}</definedName>
    <definedName name="wrn.packer._.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perPanel." localSheetId="37" hidden="1">{#N/A,#N/A,FALSE,"Control"}</definedName>
    <definedName name="wrn.PaperPanel." localSheetId="92" hidden="1">{#N/A,#N/A,FALSE,"Control"}</definedName>
    <definedName name="wrn.PaperPanel." localSheetId="43" hidden="1">{#N/A,#N/A,FALSE,"Control"}</definedName>
    <definedName name="wrn.PaperPanel." hidden="1">{#N/A,#N/A,FALSE,"Control"}</definedName>
    <definedName name="wrn.partial._.Print." localSheetId="3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9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37" hidden="1">{#N/A,#N/A,FALSE,"Ptnr Cash Flow";#N/A,#N/A,FALSE,"Pship Summary";#N/A,#N/A,FALSE,"Pship Proforma";#N/A,#N/A,FALSE,"Tx"}</definedName>
    <definedName name="wrn.PARTNERSHIP." localSheetId="92" hidden="1">{#N/A,#N/A,FALSE,"Ptnr Cash Flow";#N/A,#N/A,FALSE,"Pship Summary";#N/A,#N/A,FALSE,"Pship Proforma";#N/A,#N/A,FALSE,"Tx"}</definedName>
    <definedName name="wrn.PARTNERSHIP." localSheetId="43" hidden="1">{#N/A,#N/A,FALSE,"Ptnr Cash Flow";#N/A,#N/A,FALSE,"Pship Summary";#N/A,#N/A,FALSE,"Pship Proforma";#N/A,#N/A,FALSE,"Tx"}</definedName>
    <definedName name="wrn.PARTNERSHIP." hidden="1">{#N/A,#N/A,FALSE,"Ptnr Cash Flow";#N/A,#N/A,FALSE,"Pship Summary";#N/A,#N/A,FALSE,"Pship Proforma";#N/A,#N/A,FALSE,"Tx"}</definedName>
    <definedName name="wrn.print." localSheetId="37" hidden="1">{#N/A,#N/A,FALSE,"Japan 2003";#N/A,#N/A,FALSE,"Sheet2"}</definedName>
    <definedName name="wrn.print." localSheetId="92" hidden="1">{#N/A,#N/A,FALSE,"Japan 2003";#N/A,#N/A,FALSE,"Sheet2"}</definedName>
    <definedName name="wrn.print." localSheetId="91" hidden="1">{#N/A,#N/A,FALSE,"Japan 2003";#N/A,#N/A,FALSE,"Sheet2"}</definedName>
    <definedName name="wrn.print." localSheetId="43" hidden="1">{#N/A,#N/A,FALSE,"Japan 2003";#N/A,#N/A,FALSE,"Sheet2"}</definedName>
    <definedName name="wrn.print." localSheetId="69" hidden="1">{#N/A,#N/A,FALSE,"Japan 2003";#N/A,#N/A,FALSE,"Sheet2"}</definedName>
    <definedName name="wrn.print." hidden="1">{#N/A,#N/A,FALSE,"Japan 2003";#N/A,#N/A,FALSE,"Sheet2"}</definedName>
    <definedName name="wrn.Print._.ACR." hidden="1">{#N/A,#N/A,FALSE,"AAPCC (HMO&amp;Non-HMO)"}</definedName>
    <definedName name="wrn.print._.all." hidden="1">{"sum of the parts",#N/A,FALSE,"Sum-of-the-Parts";"LBO analysis",#N/A,FALSE,"LBO P&amp;L";"p&amp;L",#N/A,FALSE,"LBO P&amp;L";"cash flow",#N/A,FALSE,"CF";"cap struct",#N/A,FALSE,"LBO P&amp;L";"equity return",#N/A,FALSE,"return"}</definedName>
    <definedName name="wrn.print._.all._.sheets." localSheetId="3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9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3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9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37" hidden="1">{"cap_structure",#N/A,FALSE,"Graph-Mkt Cap";"price",#N/A,FALSE,"Graph-Price";"ebit",#N/A,FALSE,"Graph-EBITDA";"ebitda",#N/A,FALSE,"Graph-EBITDA"}</definedName>
    <definedName name="wrn.print._.graphs." localSheetId="92" hidden="1">{"cap_structure",#N/A,FALSE,"Graph-Mkt Cap";"price",#N/A,FALSE,"Graph-Price";"ebit",#N/A,FALSE,"Graph-EBITDA";"ebitda",#N/A,FALSE,"Graph-EBITDA"}</definedName>
    <definedName name="wrn.print._.graphs." localSheetId="43"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37" hidden="1">{"inputs raw data",#N/A,TRUE,"INPUT"}</definedName>
    <definedName name="wrn.print._.raw._.data._.entry." localSheetId="92" hidden="1">{"inputs raw data",#N/A,TRUE,"INPUT"}</definedName>
    <definedName name="wrn.print._.raw._.data._.entry." localSheetId="43" hidden="1">{"inputs raw data",#N/A,TRUE,"INPUT"}</definedName>
    <definedName name="wrn.print._.raw._.data._.entry." hidden="1">{"inputs raw data",#N/A,TRUE,"INPUT"}</definedName>
    <definedName name="wrn.print._.summary._.sheets." localSheetId="37" hidden="1">{"summary1",#N/A,TRUE,"Comps";"summary2",#N/A,TRUE,"Comps";"summary3",#N/A,TRUE,"Comps"}</definedName>
    <definedName name="wrn.print._.summary._.sheets." localSheetId="92" hidden="1">{"summary1",#N/A,TRUE,"Comps";"summary2",#N/A,TRUE,"Comps";"summary3",#N/A,TRUE,"Comps"}</definedName>
    <definedName name="wrn.print._.summary._.sheets." localSheetId="43" hidden="1">{"summary1",#N/A,TRUE,"Comps";"summary2",#N/A,TRUE,"Comps";"summary3",#N/A,TRUE,"Comps"}</definedName>
    <definedName name="wrn.print._.summary._.sheets." hidden="1">{"summary1",#N/A,TRUE,"Comps";"summary2",#N/A,TRUE,"Comps";"summary3",#N/A,TRUE,"Comps"}</definedName>
    <definedName name="wrn.PrintSelected." localSheetId="37" hidden="1">{"ModelPage1",#N/A,TRUE,"Model";"ModelSum_Debt",#N/A,TRUE,"Model"}</definedName>
    <definedName name="wrn.PrintSelected." localSheetId="92" hidden="1">{"ModelPage1",#N/A,TRUE,"Model";"ModelSum_Debt",#N/A,TRUE,"Model"}</definedName>
    <definedName name="wrn.PrintSelected." localSheetId="43" hidden="1">{"ModelPage1",#N/A,TRUE,"Model";"ModelSum_Debt",#N/A,TRUE,"Model"}</definedName>
    <definedName name="wrn.PrintSelected." hidden="1">{"ModelPage1",#N/A,TRUE,"Model";"ModelSum_Debt",#N/A,TRUE,"Model"}</definedName>
    <definedName name="wrn.Priority._.list." hidden="1">{#N/A,#N/A,FALSE,"DI 2 YEAR MASTER SCHEDULE"}</definedName>
    <definedName name="wrn.Prjcted._.Mnthly._.Qtys." hidden="1">{#N/A,#N/A,FALSE,"PRJCTED MNTHLY QTY's"}</definedName>
    <definedName name="wrn.Prjcted._.Qtrly._.Dollars." hidden="1">{#N/A,#N/A,FALSE,"PRJCTED QTRLY $'s"}</definedName>
    <definedName name="wrn.Prjcted._.Qtrly._.Qtys." hidden="1">{#N/A,#N/A,FALSE,"PRJCTED QTRLY QTY's"}</definedName>
    <definedName name="wrn.Pump." hidden="1">{#N/A,#N/A,FALSE,"Assump";#N/A,#N/A,FALSE,"Income";#N/A,#N/A,FALSE,"Balance";#N/A,#N/A,FALSE,"DCF Pump";#N/A,#N/A,FALSE,"Trans Assump";#N/A,#N/A,FALSE,"Combined Income";#N/A,#N/A,FALSE,"Combined Balance"}</definedName>
    <definedName name="wrn.rates." hidden="1">{"rates",#N/A,FALSE,"Summary"}</definedName>
    <definedName name="wrn.Relevant." localSheetId="37" hidden="1">{#N/A,#N/A,FALSE,"Title Page";#N/A,#N/A,FALSE,"Conclusions";#N/A,#N/A,FALSE,"Assum.";#N/A,#N/A,FALSE,"Sun  DCF-WC-Dep";#N/A,#N/A,FALSE,"MarketValue";#N/A,#N/A,FALSE,"BalSheet";#N/A,#N/A,FALSE,"WACC";#N/A,#N/A,FALSE,"PC+ Info.";#N/A,#N/A,FALSE,"PC+Info_2"}</definedName>
    <definedName name="wrn.Relevant." localSheetId="92" hidden="1">{#N/A,#N/A,FALSE,"Title Page";#N/A,#N/A,FALSE,"Conclusions";#N/A,#N/A,FALSE,"Assum.";#N/A,#N/A,FALSE,"Sun  DCF-WC-Dep";#N/A,#N/A,FALSE,"MarketValue";#N/A,#N/A,FALSE,"BalSheet";#N/A,#N/A,FALSE,"WACC";#N/A,#N/A,FALSE,"PC+ Info.";#N/A,#N/A,FALSE,"PC+Info_2"}</definedName>
    <definedName name="wrn.Relevant." localSheetId="43"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37" hidden="1">{#N/A,#N/A,FALSE,"Title Page";#N/A,#N/A,FALSE,"Conclusions";#N/A,#N/A,FALSE,"Assum.";#N/A,#N/A,FALSE,"Sun  DCF-WC-Dep";#N/A,#N/A,FALSE,"MarketValue";#N/A,#N/A,FALSE,"BalSheet";#N/A,#N/A,FALSE,"WACC";#N/A,#N/A,FALSE,"PC+ Info.";#N/A,#N/A,FALSE,"PC+Info_2"}</definedName>
    <definedName name="wrn.Relevant1." localSheetId="92" hidden="1">{#N/A,#N/A,FALSE,"Title Page";#N/A,#N/A,FALSE,"Conclusions";#N/A,#N/A,FALSE,"Assum.";#N/A,#N/A,FALSE,"Sun  DCF-WC-Dep";#N/A,#N/A,FALSE,"MarketValue";#N/A,#N/A,FALSE,"BalSheet";#N/A,#N/A,FALSE,"WACC";#N/A,#N/A,FALSE,"PC+ Info.";#N/A,#N/A,FALSE,"PC+Info_2"}</definedName>
    <definedName name="wrn.Relevant1." localSheetId="43"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LEVANTSHEETS." hidden="1">{#N/A,#N/A,FALSE,"AD_Purch";#N/A,#N/A,FALSE,"Projections";#N/A,#N/A,FALSE,"DCF";#N/A,#N/A,FALSE,"Mkt Val"}</definedName>
    <definedName name="wrn.rep." localSheetId="37" hidden="1">{#N/A,#N/A,FALSE,"Exh. 5A";#N/A,#N/A,FALSE,"Exh. 6"}</definedName>
    <definedName name="wrn.rep." localSheetId="92" hidden="1">{#N/A,#N/A,FALSE,"Exh. 5A";#N/A,#N/A,FALSE,"Exh. 6"}</definedName>
    <definedName name="wrn.rep." localSheetId="43" hidden="1">{#N/A,#N/A,FALSE,"Exh. 5A";#N/A,#N/A,FALSE,"Exh. 6"}</definedName>
    <definedName name="wrn.rep." hidden="1">{#N/A,#N/A,FALSE,"Exh. 5A";#N/A,#N/A,FALSE,"Exh. 6"}</definedName>
    <definedName name="wrn.REPORT." localSheetId="3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9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37" hidden="1">{"revenue detail 1",#N/A,FALSE,"Revenue Detail";"revenue detail 2",#N/A,FALSE,"Revenue Detail";"revenue detail 3",#N/A,FALSE,"Revenue Detail";"revenue detail 4",#N/A,FALSE,"Revenue Detail"}</definedName>
    <definedName name="wrn.revenue._.detail." localSheetId="92" hidden="1">{"revenue detail 1",#N/A,FALSE,"Revenue Detail";"revenue detail 2",#N/A,FALSE,"Revenue Detail";"revenue detail 3",#N/A,FALSE,"Revenue Detail";"revenue detail 4",#N/A,FALSE,"Revenue Detail"}</definedName>
    <definedName name="wrn.revenue._.detail." localSheetId="43"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37" hidden="1">{"Base_rev",#N/A,FALSE,"Proj_IS_Base";"Projrev",#N/A,FALSE,"Proj_IS_wOTLC";"Delta",#N/A,FALSE,"Delta Rev_PV"}</definedName>
    <definedName name="wrn.Revs." localSheetId="92" hidden="1">{"Base_rev",#N/A,FALSE,"Proj_IS_Base";"Projrev",#N/A,FALSE,"Proj_IS_wOTLC";"Delta",#N/A,FALSE,"Delta Rev_PV"}</definedName>
    <definedName name="wrn.Revs." localSheetId="43" hidden="1">{"Base_rev",#N/A,FALSE,"Proj_IS_Base";"Projrev",#N/A,FALSE,"Proj_IS_wOTLC";"Delta",#N/A,FALSE,"Delta Rev_PV"}</definedName>
    <definedName name="wrn.Revs." hidden="1">{"Base_rev",#N/A,FALSE,"Proj_IS_Base";"Projrev",#N/A,FALSE,"Proj_IS_wOTLC";"Delta",#N/A,FALSE,"Delta Rev_PV"}</definedName>
    <definedName name="wrn.Riverwood_comp_model." localSheetId="37" hidden="1">{#N/A,#N/A,FALSE,"Che-Ga";#N/A,#N/A,FALSE,"Iv-Sm";#N/A,#N/A,FALSE,"So-We";#N/A,#N/A,FALSE,"Me-Po";#N/A,#N/A,FALSE,"Be-Bo";#N/A,#N/A,FALSE,"Cha-Ki";#N/A,#N/A,FALSE,"In";#N/A,#N/A,FALSE,"Schedule 23";#N/A,#N/A,FALSE,"Schedule 22";#N/A,#N/A,FALSE,"WACC"}</definedName>
    <definedName name="wrn.Riverwood_comp_model." localSheetId="92" hidden="1">{#N/A,#N/A,FALSE,"Che-Ga";#N/A,#N/A,FALSE,"Iv-Sm";#N/A,#N/A,FALSE,"So-We";#N/A,#N/A,FALSE,"Me-Po";#N/A,#N/A,FALSE,"Be-Bo";#N/A,#N/A,FALSE,"Cha-Ki";#N/A,#N/A,FALSE,"In";#N/A,#N/A,FALSE,"Schedule 23";#N/A,#N/A,FALSE,"Schedule 22";#N/A,#N/A,FALSE,"WACC"}</definedName>
    <definedName name="wrn.Riverwood_comp_model." localSheetId="43"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37" hidden="1">{#N/A,#N/A,FALSE,"ROA";#N/A,#N/A,FALSE,"ROI";#N/A,#N/A,FALSE,"EBIT";#N/A,#N/A,FALSE,"MULT X"}</definedName>
    <definedName name="wrn.ROUGH." localSheetId="92" hidden="1">{#N/A,#N/A,FALSE,"ROA";#N/A,#N/A,FALSE,"ROI";#N/A,#N/A,FALSE,"EBIT";#N/A,#N/A,FALSE,"MULT X"}</definedName>
    <definedName name="wrn.ROUGH." localSheetId="43" hidden="1">{#N/A,#N/A,FALSE,"ROA";#N/A,#N/A,FALSE,"ROI";#N/A,#N/A,FALSE,"EBIT";#N/A,#N/A,FALSE,"MULT X"}</definedName>
    <definedName name="wrn.ROUGH." hidden="1">{#N/A,#N/A,FALSE,"ROA";#N/A,#N/A,FALSE,"ROI";#N/A,#N/A,FALSE,"EBIT";#N/A,#N/A,FALSE,"MULT X"}</definedName>
    <definedName name="wrn.rptexhibits." localSheetId="37" hidden="1">{#N/A,#N/A,FALSE,"BS";#N/A,#N/A,FALSE,"IS";#N/A,#N/A,FALSE,"RMA ";#N/A,#N/A,FALSE,"ADJ IS";#N/A,#N/A,FALSE,"DCF"}</definedName>
    <definedName name="wrn.rptexhibits." localSheetId="92" hidden="1">{#N/A,#N/A,FALSE,"BS";#N/A,#N/A,FALSE,"IS";#N/A,#N/A,FALSE,"RMA ";#N/A,#N/A,FALSE,"ADJ IS";#N/A,#N/A,FALSE,"DCF"}</definedName>
    <definedName name="wrn.rptexhibits." localSheetId="43" hidden="1">{#N/A,#N/A,FALSE,"BS";#N/A,#N/A,FALSE,"IS";#N/A,#N/A,FALSE,"RMA ";#N/A,#N/A,FALSE,"ADJ IS";#N/A,#N/A,FALSE,"DCF"}</definedName>
    <definedName name="wrn.rptexhibits." hidden="1">{#N/A,#N/A,FALSE,"BS";#N/A,#N/A,FALSE,"IS";#N/A,#N/A,FALSE,"RMA ";#N/A,#N/A,FALSE,"ADJ IS";#N/A,#N/A,FALSE,"DCF"}</definedName>
    <definedName name="wrn.subs." localSheetId="37" hidden="1">{#N/A,#N/A,FALSE,"Comp - War";#N/A,#N/A,FALSE,"Comp - War"}</definedName>
    <definedName name="wrn.subs." localSheetId="92" hidden="1">{#N/A,#N/A,FALSE,"Comp - War";#N/A,#N/A,FALSE,"Comp - War"}</definedName>
    <definedName name="wrn.subs." localSheetId="43" hidden="1">{#N/A,#N/A,FALSE,"Comp - War";#N/A,#N/A,FALSE,"Comp - War"}</definedName>
    <definedName name="wrn.subs." hidden="1">{#N/A,#N/A,FALSE,"Comp - War";#N/A,#N/A,FALSE,"Comp - War"}</definedName>
    <definedName name="wrn.sum." localSheetId="37" hidden="1">{"Opsys",#N/A,FALSE,"NPV_OPsys";"NT",#N/A,FALSE,"NPV_NT";"DevP",#N/A,FALSE,"NPV_DevPdt";"Office",#N/A,FALSE,"NPV_Office"}</definedName>
    <definedName name="wrn.sum." localSheetId="92" hidden="1">{"Opsys",#N/A,FALSE,"NPV_OPsys";"NT",#N/A,FALSE,"NPV_NT";"DevP",#N/A,FALSE,"NPV_DevPdt";"Office",#N/A,FALSE,"NPV_Office"}</definedName>
    <definedName name="wrn.sum." localSheetId="43" hidden="1">{"Opsys",#N/A,FALSE,"NPV_OPsys";"NT",#N/A,FALSE,"NPV_NT";"DevP",#N/A,FALSE,"NPV_DevPdt";"Office",#N/A,FALSE,"NPV_Office"}</definedName>
    <definedName name="wrn.sum." hidden="1">{"Opsys",#N/A,FALSE,"NPV_OPsys";"NT",#N/A,FALSE,"NPV_NT";"DevP",#N/A,FALSE,"NPV_DevPdt";"Office",#N/A,FALSE,"NPV_Office"}</definedName>
    <definedName name="wrn.summary._.schedules." localSheetId="37" hidden="1">{"summary1",#N/A,FALSE,"Summary of Values";"summary2",#N/A,FALSE,"Summary of Values"}</definedName>
    <definedName name="wrn.summary._.schedules." localSheetId="92" hidden="1">{"summary1",#N/A,FALSE,"Summary of Values";"summary2",#N/A,FALSE,"Summary of Values"}</definedName>
    <definedName name="wrn.summary._.schedules." localSheetId="43" hidden="1">{"summary1",#N/A,FALSE,"Summary of Values";"summary2",#N/A,FALSE,"Summary of Values"}</definedName>
    <definedName name="wrn.summary._.schedules." hidden="1">{"summary1",#N/A,FALSE,"Summary of Values";"summary2",#N/A,FALSE,"Summary of Values"}</definedName>
    <definedName name="wrn.technology." localSheetId="37" hidden="1">{"developed valuation",#N/A,FALSE,"Valuation Analysis";"developed income statement",#N/A,FALSE,"Abbreviated Income Statement";"inprocess valuation",#N/A,FALSE,"Valuation Analysis";"inprocess income statement",#N/A,FALSE,"Abbreviated Income Statement"}</definedName>
    <definedName name="wrn.technology." localSheetId="92" hidden="1">{"developed valuation",#N/A,FALSE,"Valuation Analysis";"developed income statement",#N/A,FALSE,"Abbreviated Income Statement";"inprocess valuation",#N/A,FALSE,"Valuation Analysis";"inprocess income statement",#N/A,FALSE,"Abbreviated Income Statement"}</definedName>
    <definedName name="wrn.technology." localSheetId="43"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est." hidden="1">{"test2",#N/A,TRUE,"Prices"}</definedName>
    <definedName name="wrn.Three._.Month._.I.S." localSheetId="37" hidden="1">{"Landscape Detail IS",#N/A,FALSE,"Three Months Ended 8.31.96";"Portrait Summary IS",#N/A,FALSE,"Three Months Ended 8.31.96"}</definedName>
    <definedName name="wrn.Three._.Month._.I.S." localSheetId="92" hidden="1">{"Landscape Detail IS",#N/A,FALSE,"Three Months Ended 8.31.96";"Portrait Summary IS",#N/A,FALSE,"Three Months Ended 8.31.96"}</definedName>
    <definedName name="wrn.Three._.Month._.I.S." localSheetId="43"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OOL."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hidden="1">{#N/A,#N/A,FALSE,"Trans-Sum";#N/A,#N/A,FALSE,"Accr-Dilu2";#N/A,#N/A,FALSE,"Contribution";#N/A,#N/A,FALSE,"Combined";#N/A,#N/A,FALSE,"ASTF";#N/A,#N/A,FALSE,"BRA";#N/A,#N/A,FALSE,"Bra_C";#N/A,#N/A,FALSE,"AcqMults";#N/A,#N/A,FALSE,"CompMults";#N/A,#N/A,FALSE,"DCF";#N/A,#N/A,FALSE,"WACC";#N/A,#N/A,FALSE,"LBO";#N/A,#N/A,FALSE,"Summary";#N/A,#N/A,FALSE,"StructSum"}</definedName>
    <definedName name="wrn.trademark._.and._.trade._.name." localSheetId="37" hidden="1">{"trademark1",#N/A,FALSE,"Trademark(s) and Trade Name(s)"}</definedName>
    <definedName name="wrn.trademark._.and._.trade._.name." localSheetId="92" hidden="1">{"trademark1",#N/A,FALSE,"Trademark(s) and Trade Name(s)"}</definedName>
    <definedName name="wrn.trademark._.and._.trade._.name." localSheetId="43" hidden="1">{"trademark1",#N/A,FALSE,"Trademark(s) and Trade Name(s)"}</definedName>
    <definedName name="wrn.trademark._.and._.trade._.name." hidden="1">{"trademark1",#N/A,FALSE,"Trademark(s) and Trade Name(s)"}</definedName>
    <definedName name="wrn.TransPrcd_123." hidden="1">{#N/A,#N/A,TRUE,"TransPrcd 1";#N/A,#N/A,TRUE,"TransPrcd 2";#N/A,#N/A,TRUE,"TransPrcd 3"}</definedName>
    <definedName name="wrn.VALUATION." hidden="1">{#N/A,#N/A,FALSE,"Pooling";#N/A,#N/A,FALSE,"income";#N/A,#N/A,FALSE,"valuation"}</definedName>
    <definedName name="wrn.vortrag." hidden="1">{#N/A,#N/A,FALSE,"sales ytd";#N/A,#N/A,FALSE,"investments";#N/A,#N/A,FALSE,"bus. synergies 1997";#N/A,#N/A,FALSE,"synergies outlook"}</definedName>
    <definedName name="wrn.wara." localSheetId="37" hidden="1">{"weighted average returns",#N/A,FALSE,"WACC and WARA"}</definedName>
    <definedName name="wrn.wara." localSheetId="92" hidden="1">{"weighted average returns",#N/A,FALSE,"WACC and WARA"}</definedName>
    <definedName name="wrn.wara." localSheetId="43" hidden="1">{"weighted average returns",#N/A,FALSE,"WACC and WARA"}</definedName>
    <definedName name="wrn.wara." hidden="1">{"weighted average returns",#N/A,FALSE,"WACC and WARA"}</definedName>
    <definedName name="wrn.Washington._.4._.Plans." hidden="1">{#N/A,#N/A,FALSE,"Washington Plan 1";#N/A,#N/A,FALSE,"Washington Plan 2";#N/A,#N/A,FALSE,"Washington Plan 3";#N/A,#N/A,FALSE,"Washington Plan 4";#N/A,#N/A,FALSE,"WA 50th";#N/A,#N/A,FALSE,"Summary"}</definedName>
    <definedName name="wrn.Whole._.Model." localSheetId="37" hidden="1">{#N/A,#N/A,FALSE,"Model";#N/A,#N/A,FALSE,"Gen Pts &amp; Rts 2000";#N/A,#N/A,FALSE,"AcqsAss";#N/A,#N/A,FALSE,"Acqs &amp; De Novos"}</definedName>
    <definedName name="wrn.Whole._.Model." localSheetId="92" hidden="1">{#N/A,#N/A,FALSE,"Model";#N/A,#N/A,FALSE,"Gen Pts &amp; Rts 2000";#N/A,#N/A,FALSE,"AcqsAss";#N/A,#N/A,FALSE,"Acqs &amp; De Novos"}</definedName>
    <definedName name="wrn.Whole._.Model." localSheetId="43" hidden="1">{#N/A,#N/A,FALSE,"Model";#N/A,#N/A,FALSE,"Gen Pts &amp; Rts 2000";#N/A,#N/A,FALSE,"AcqsAss";#N/A,#N/A,FALSE,"Acqs &amp; De Novos"}</definedName>
    <definedName name="wrn.Whole._.Model." hidden="1">{#N/A,#N/A,FALSE,"Model";#N/A,#N/A,FALSE,"Gen Pts &amp; Rts 2000";#N/A,#N/A,FALSE,"AcqsAss";#N/A,#N/A,FALSE,"Acqs &amp; De Novos"}</definedName>
    <definedName name="wrn.wicor." hidden="1">{#N/A,#N/A,FALSE,"FACTSHEETS";#N/A,#N/A,FALSE,"pump";#N/A,#N/A,FALSE,"filter"}</definedName>
    <definedName name="wrn.work._.paper._.shcedules." localSheetId="37" hidden="1">{"summary1",#N/A,FALSE,"Summary of Values";"summary2",#N/A,FALSE,"Summary of Values";"weighted average returns",#N/A,FALSE,"WACC and WARA";"fixed asset detail",#N/A,FALSE,"Fixed Asset Detail"}</definedName>
    <definedName name="wrn.work._.paper._.shcedules." localSheetId="92" hidden="1">{"summary1",#N/A,FALSE,"Summary of Values";"summary2",#N/A,FALSE,"Summary of Values";"weighted average returns",#N/A,FALSE,"WACC and WARA";"fixed asset detail",#N/A,FALSE,"Fixed Asset Detail"}</definedName>
    <definedName name="wrn.work._.paper._.shcedules." localSheetId="43"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rn1.all._Sheets" hidden="1">{#N/A,#N/A,FALSE,"6405";#N/A,#N/A,FALSE,"6406";#N/A,#N/A,FALSE,"6409";#N/A,#N/A,FALSE,"6425";#N/A,#N/A,FALSE,"6426";#N/A,#N/A,FALSE,"6427";#N/A,#N/A,FALSE,"6440";#N/A,#N/A,FALSE,"6441";#N/A,#N/A,FALSE,"6442";#N/A,#N/A,FALSE,"6443"}</definedName>
    <definedName name="wrn2.Basic" hidden="1">{#N/A,#N/A,FALSE,"e-Svc Level";#N/A,#N/A,FALSE,"e-Hosted";#N/A,#N/A,FALSE,"e-Licensed";#N/A,#N/A,FALSE,"Assumptions"}</definedName>
    <definedName name="wrn2.Basic." hidden="1">{#N/A,#N/A,FALSE,"e-Svc Level";#N/A,#N/A,FALSE,"e-Hosted";#N/A,#N/A,FALSE,"e-Licensed";#N/A,#N/A,FALSE,"Assumptions"}</definedName>
    <definedName name="wrn2.Basic2" hidden="1">{#N/A,#N/A,FALSE,"e-Svc Level";#N/A,#N/A,FALSE,"e-Hosted";#N/A,#N/A,FALSE,"e-Licensed";#N/A,#N/A,FALSE,"Assumptions"}</definedName>
    <definedName name="wrn3.Basic." hidden="1">{#N/A,#N/A,FALSE,"e-Svc Level";#N/A,#N/A,FALSE,"e-Hosted";#N/A,#N/A,FALSE,"e-Licensed";#N/A,#N/A,FALSE,"Assumptions"}</definedName>
    <definedName name="wvu.CapersView." hidden="1">{TRUE,TRUE,-2.75,-17,772.5,449.25,FALSE,TRUE,TRUE,TRUE,0,19,#N/A,30,#N/A,7.04065040650407,10.9795918367347,1,FALSE,FALSE,3,FALSE,1,FALSE,100,"Swvu.CapersView.","ACwvu.CapersView.",#N/A,FALSE,FALSE,0,0,0,0,2,"","&amp;R&amp;""Arial,Bold Italic""&amp;8&amp;F&amp;A&amp;D",TRUE,TRUE,FALSE,FALSE,1,#N/A,1,1,"=R1C1:R123C107",FALSE,"Rwvu.CapersView.","Cwvu.CapersView.",FALSE,FALSE,FALSE,262,600,600,FALSE,FALSE,TRUE,TRUE,TRUE}</definedName>
    <definedName name="wvu.inputs._.raw._.data." localSheetId="3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9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Japan_Capers_Ed_Pub." hidden="1">{TRUE,TRUE,-2.75,-17,772.5,449.25,FALSE,TRUE,TRUE,TRUE,0,18,#N/A,1,#N/A,80.75,104.2,1,FALSE,FALSE,3,FALSE,1,FALSE,10,"Swvu.Japan_Capers_Ed_Pub.","ACwvu.Japan_Capers_Ed_Pub.",#N/A,FALSE,FALSE,0,0,0,0,2,"","&amp;R&amp;""Arial,Bold Italic""&amp;8&amp;F&amp;A&amp;D",TRUE,TRUE,FALSE,FALSE,1,#N/A,1,1,"=R1C18:R297C107",FALSE,"Rwvu.Japan_Capers_Ed_Pub.","Cwvu.Japan_Capers_Ed_Pub.",FALSE,FALSE,FALSE,262,600,600,FALSE,FALSE,TRUE,TRUE,TRUE}</definedName>
    <definedName name="wvu.KJP_CC." hidden="1">{TRUE,TRUE,-2.75,-17,964.5,641.25,FALSE,TRUE,TRUE,TRUE,0,18,#N/A,11,#N/A,22.5227272727273,72.25,1,FALSE,FALSE,3,TRUE,1,FALSE,40,"Swvu.KJP_CC.","ACwvu.KJP_CC.",#N/A,FALSE,FALSE,0,0,0,0,2,"&amp;C&amp;""Arial,Bold""&amp;72Actual Production vs. Projected ","&amp;R&amp;""Arial,Bold Italic""&amp;8&amp;F&amp;A&amp;D",TRUE,TRUE,FALSE,FALSE,1,#N/A,1,1,"=R13C18:R168C107",FALSE,"Rwvu.KJP_CC.","Cwvu.KJP_CC.",FALSE,FALSE,FALSE,263,600,600,FALSE,FALSE,TRUE,TRUE,TRUE}</definedName>
    <definedName name="wvu.summary1." localSheetId="3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9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9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9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37" hidden="1">{#N/A,#N/A,FALSE,"Bakersfield PCs";#N/A,#N/A,FALSE,"Bremer PCs";#N/A,#N/A,FALSE,"Bakersfield Notebooks"}</definedName>
    <definedName name="ww" localSheetId="92" hidden="1">{#N/A,#N/A,FALSE,"Bakersfield PCs";#N/A,#N/A,FALSE,"Bremer PCs";#N/A,#N/A,FALSE,"Bakersfield Notebooks"}</definedName>
    <definedName name="ww" localSheetId="43" hidden="1">{#N/A,#N/A,FALSE,"Bakersfield PCs";#N/A,#N/A,FALSE,"Bremer PCs";#N/A,#N/A,FALSE,"Bakersfield Notebooks"}</definedName>
    <definedName name="ww" hidden="1">{#N/A,#N/A,FALSE,"Bakersfield PCs";#N/A,#N/A,FALSE,"Bremer PCs";#N/A,#N/A,FALSE,"Bakersfield Notebooks"}</definedName>
    <definedName name="ww.Rele" localSheetId="37" hidden="1">{#N/A,#N/A,FALSE,"Title Page";#N/A,#N/A,FALSE,"Conclusions";#N/A,#N/A,FALSE,"Assum.";#N/A,#N/A,FALSE,"Sun  DCF-WC-Dep";#N/A,#N/A,FALSE,"MarketValue";#N/A,#N/A,FALSE,"BalSheet";#N/A,#N/A,FALSE,"WACC";#N/A,#N/A,FALSE,"PC+ Info.";#N/A,#N/A,FALSE,"PC+Info_2"}</definedName>
    <definedName name="ww.Rele" localSheetId="92" hidden="1">{#N/A,#N/A,FALSE,"Title Page";#N/A,#N/A,FALSE,"Conclusions";#N/A,#N/A,FALSE,"Assum.";#N/A,#N/A,FALSE,"Sun  DCF-WC-Dep";#N/A,#N/A,FALSE,"MarketValue";#N/A,#N/A,FALSE,"BalSheet";#N/A,#N/A,FALSE,"WACC";#N/A,#N/A,FALSE,"PC+ Info.";#N/A,#N/A,FALSE,"PC+Info_2"}</definedName>
    <definedName name="ww.Rele" localSheetId="43"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37" hidden="1">{#N/A,#N/A,FALSE,"Bakersfield PCs";#N/A,#N/A,FALSE,"Bremer PCs";#N/A,#N/A,FALSE,"Bakersfield Notebooks"}</definedName>
    <definedName name="www" localSheetId="92" hidden="1">{#N/A,#N/A,FALSE,"Model";#N/A,#N/A,FALSE,"Gen Pts &amp; Rts 2000";#N/A,#N/A,FALSE,"AcqsAss";#N/A,#N/A,FALSE,"Acqs &amp; De Novos"}</definedName>
    <definedName name="www" localSheetId="43" hidden="1">{#N/A,#N/A,FALSE,"Bakersfield PCs";#N/A,#N/A,FALSE,"Bremer PCs";#N/A,#N/A,FALSE,"Bakersfield Notebooks"}</definedName>
    <definedName name="www" hidden="1">{#N/A,#N/A,FALSE,"Bakersfield PCs";#N/A,#N/A,FALSE,"Bremer PCs";#N/A,#N/A,FALSE,"Bakersfield Notebooks"}</definedName>
    <definedName name="x" localSheetId="37" hidden="1">{"contributory1",#N/A,FALSE,"Contributory Assets Detail";"contributory2",#N/A,FALSE,"Contributory Assets Detail"}</definedName>
    <definedName name="x" localSheetId="92" hidden="1">{#N/A,#N/A,FALSE,"Model";#N/A,#N/A,FALSE,"Gen Pts &amp; Rts 2000";#N/A,#N/A,FALSE,"AcqsAss";#N/A,#N/A,FALSE,"Acqs &amp; De Novos"}</definedName>
    <definedName name="x" localSheetId="43" hidden="1">{"contributory1",#N/A,FALSE,"Contributory Assets Detail";"contributory2",#N/A,FALSE,"Contributory Assets Detail"}</definedName>
    <definedName name="x" hidden="1">{"contributory1",#N/A,FALSE,"Contributory Assets Detail";"contributory2",#N/A,FALSE,"Contributory Assets Detail"}</definedName>
    <definedName name="xdif_RefreshIncludeLists" hidden="1">FALSE</definedName>
    <definedName name="XREF_COLUMN_1" hidden="1">#REF!</definedName>
    <definedName name="XREF_COLUMN_2" hidden="1">#REF!</definedName>
    <definedName name="XRefActiveRow" hidden="1">#REF!</definedName>
    <definedName name="XRefColumnsCount" hidden="1">4</definedName>
    <definedName name="XRefCopy1" hidden="1">#REF!</definedName>
    <definedName name="XRefCopy1Row" hidden="1">#REF!</definedName>
    <definedName name="XRefCopy2" hidden="1">'[33]FAS 123'!#REF!</definedName>
    <definedName name="XRefCopyRangeCount" hidden="1">2</definedName>
    <definedName name="XRefPasteRangeCount" hidden="1">11</definedName>
    <definedName name="xxs" localSheetId="37" hidden="1">{#N/A,#N/A,TRUE,"Tax";#N/A,#N/A,TRUE,"Structure";#N/A,#N/A,TRUE,"Accounting";#N/A,#N/A,TRUE,"Equipment"}</definedName>
    <definedName name="xxs" localSheetId="92" hidden="1">{#N/A,#N/A,TRUE,"Tax";#N/A,#N/A,TRUE,"Structure";#N/A,#N/A,TRUE,"Accounting";#N/A,#N/A,TRUE,"Equipment"}</definedName>
    <definedName name="xxs" localSheetId="43" hidden="1">{#N/A,#N/A,TRUE,"Tax";#N/A,#N/A,TRUE,"Structure";#N/A,#N/A,TRUE,"Accounting";#N/A,#N/A,TRUE,"Equipment"}</definedName>
    <definedName name="xxs" hidden="1">{#N/A,#N/A,TRUE,"Tax";#N/A,#N/A,TRUE,"Structure";#N/A,#N/A,TRUE,"Accounting";#N/A,#N/A,TRUE,"Equipment"}</definedName>
    <definedName name="xxx" localSheetId="3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92" hidden="1">'[34]Sept Cash flow 10-Q Report P 3'!$B$8:$B$469</definedName>
    <definedName name="xxx" localSheetId="4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37" hidden="1">#REF!</definedName>
    <definedName name="xxxx" localSheetId="48" hidden="1">#REF!</definedName>
    <definedName name="xxxx" localSheetId="77" hidden="1">#REF!</definedName>
    <definedName name="xxxx" localSheetId="31" hidden="1">#REF!</definedName>
    <definedName name="xxxx" localSheetId="32" hidden="1">#REF!</definedName>
    <definedName name="xxxx" localSheetId="33" hidden="1">#REF!</definedName>
    <definedName name="xxxx" localSheetId="4" hidden="1">#REF!</definedName>
    <definedName name="xxxx" localSheetId="92" hidden="1">'[34]Sept Cash flow 10-Q Report P 3'!$I$8</definedName>
    <definedName name="xxxx" localSheetId="40" hidden="1">#REF!</definedName>
    <definedName name="xxxx" localSheetId="79" hidden="1">#REF!</definedName>
    <definedName name="xxxx" localSheetId="78" hidden="1">#REF!</definedName>
    <definedName name="xxxx" localSheetId="75" hidden="1">#REF!</definedName>
    <definedName name="xxxx" localSheetId="42" hidden="1">#REF!</definedName>
    <definedName name="xxxx" localSheetId="14" hidden="1">#REF!</definedName>
    <definedName name="xxxx" localSheetId="49" hidden="1">#REF!</definedName>
    <definedName name="xxxx" hidden="1">#REF!</definedName>
    <definedName name="yale" localSheetId="37" hidden="1">{"Opsys",#N/A,FALSE,"NPV_OPsys";"NT",#N/A,FALSE,"NPV_NT";"DevP",#N/A,FALSE,"NPV_DevPdt";"Office",#N/A,FALSE,"NPV_Office"}</definedName>
    <definedName name="yale" localSheetId="92" hidden="1">{"Opsys",#N/A,FALSE,"NPV_OPsys";"NT",#N/A,FALSE,"NPV_NT";"DevP",#N/A,FALSE,"NPV_DevPdt";"Office",#N/A,FALSE,"NPV_Office"}</definedName>
    <definedName name="yale" localSheetId="43"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r" hidden="1">39686.6865509259</definedName>
    <definedName name="yy" hidden="1">{#N/A,#N/A,FALSE,"e-Svc Level";#N/A,#N/A,FALSE,"e-Hosted";#N/A,#N/A,FALSE,"e-Licensed";#N/A,#N/A,FALSE,"Assumptions"}</definedName>
    <definedName name="yyy" localSheetId="37" hidden="1">{#N/A,#N/A,FALSE,"Bakersfield PCs";#N/A,#N/A,FALSE,"Bremer PCs";#N/A,#N/A,FALSE,"Bakersfield Notebooks"}</definedName>
    <definedName name="yyy" localSheetId="92" hidden="1">{#N/A,#N/A,FALSE,"Bakersfield PCs";#N/A,#N/A,FALSE,"Bremer PCs";#N/A,#N/A,FALSE,"Bakersfield Notebooks"}</definedName>
    <definedName name="yyy" localSheetId="43" hidden="1">{#N/A,#N/A,FALSE,"Bakersfield PCs";#N/A,#N/A,FALSE,"Bremer PCs";#N/A,#N/A,FALSE,"Bakersfield Notebooks"}</definedName>
    <definedName name="yyy" hidden="1">{#N/A,#N/A,FALSE,"Bakersfield PCs";#N/A,#N/A,FALSE,"Bremer PCs";#N/A,#N/A,FALSE,"Bakersfield Notebooks"}</definedName>
    <definedName name="yyyy" localSheetId="37" hidden="1">{#N/A,#N/A,FALSE,"Bakersfield PCs";#N/A,#N/A,FALSE,"Bremer PCs";#N/A,#N/A,FALSE,"Bakersfield Notebooks"}</definedName>
    <definedName name="yyyy" localSheetId="92" hidden="1">{#N/A,#N/A,FALSE,"Bakersfield PCs";#N/A,#N/A,FALSE,"Bremer PCs";#N/A,#N/A,FALSE,"Bakersfield Notebooks"}</definedName>
    <definedName name="yyyy" localSheetId="43" hidden="1">{#N/A,#N/A,FALSE,"Bakersfield PCs";#N/A,#N/A,FALSE,"Bremer PCs";#N/A,#N/A,FALSE,"Bakersfield Notebooks"}</definedName>
    <definedName name="yyyy" hidden="1">{#N/A,#N/A,FALSE,"Bakersfield PCs";#N/A,#N/A,FALSE,"Bremer PCs";#N/A,#N/A,FALSE,"Bakersfield Notebooks"}</definedName>
    <definedName name="yyyyw" localSheetId="37" hidden="1">{#N/A,#N/A,FALSE,"Bakersfield PCs";#N/A,#N/A,FALSE,"Bremer PCs";#N/A,#N/A,FALSE,"Bakersfield Notebooks"}</definedName>
    <definedName name="yyyyw" localSheetId="92" hidden="1">{#N/A,#N/A,FALSE,"Bakersfield PCs";#N/A,#N/A,FALSE,"Bremer PCs";#N/A,#N/A,FALSE,"Bakersfield Notebooks"}</definedName>
    <definedName name="yyyyw" localSheetId="43" hidden="1">{#N/A,#N/A,FALSE,"Bakersfield PCs";#N/A,#N/A,FALSE,"Bremer PCs";#N/A,#N/A,FALSE,"Bakersfield Notebooks"}</definedName>
    <definedName name="yyyyw" hidden="1">{#N/A,#N/A,FALSE,"Bakersfield PCs";#N/A,#N/A,FALSE,"Bremer PCs";#N/A,#N/A,FALSE,"Bakersfield Notebooks"}</definedName>
    <definedName name="Z_61C555CE_15BC_4BF2_B5AF_AEAF416063B2_.wvu.PrintArea" localSheetId="91" hidden="1">'Depreciation - MACRS'!$A$5:$Q$47</definedName>
    <definedName name="Z_9A428CE1_B4D9_11D0_A8AA_0000C071AEE7_.wvu.Cols" hidden="1">[11]MASTER!$A$1:$Q$65536,[11]MASTER!$Y$1:$Z$65536</definedName>
    <definedName name="Z_9A428CE1_B4D9_11D0_A8AA_0000C071AEE7_.wvu.PrintArea" hidden="1">'[12]THREE VARIABLES'!$N$4:$S$5</definedName>
    <definedName name="Z_9A428CE1_B4D9_11D0_A8AA_0000C071AEE7_.wvu.Rows" hidden="1">[11]MASTER!#REF!,[11]MASTER!#REF!,[11]MASTER!#REF!,[11]MASTER!#REF!,[11]MASTER!#REF!,[11]MASTER!#REF!,[11]MASTER!#REF!,[11]MASTER!$A$98:$IV$272</definedName>
    <definedName name="Z_C8D64646_03ED_46A7_AD22_AAB54052AD9D_.wvu.PrintArea" localSheetId="91" hidden="1">'Depreciation - MACRS'!$A$5:$Q$47</definedName>
    <definedName name="Z_D71D642E_6A2D_465F_9B29_ACE3AB710F9D_.wvu.PrintArea" localSheetId="91" hidden="1">'Depreciation - MACRS'!$A$5:$Q$47</definedName>
    <definedName name="zowp" hidden="1">{#N/A,#N/A,FALSE,"Adair";#N/A,#N/A,FALSE,"Blaine";#N/A,#N/A,FALSE,"Canadian";#N/A,#N/A,FALSE,"Cherokee";#N/A,#N/A,FALSE,"Cleveland";#N/A,#N/A,FALSE,"Craig";#N/A,#N/A,FALSE,"Creek";#N/A,#N/A,FALSE,"Delaware";#N/A,#N/A,FALSE,"Garfield";#N/A,#N/A,FALSE,"Garvin";#N/A,#N/A,FALSE,"Grady";#N/A,#N/A,FALSE,"Haskell";#N/A,#N/A,FALSE,"Hughes";#N/A,#N/A,FALSE,"Kingfisher";#N/A,#N/A,FALSE,"Lincoln";#N/A,#N/A,FALSE,"Logan";#N/A,#N/A,FALSE,"McClain";#N/A,#N/A,FALSE,"McIntosh";#N/A,#N/A,FALSE,"Major";#N/A,#N/A,FALSE,"Mayes";#N/A,#N/A,FALSE,"Muskogee";#N/A,#N/A,FALSE,"Noble";#N/A,#N/A,FALSE,"Nowata";#N/A,#N/A,FALSE,"Okfuskee";#N/A,#N/A,FALSE,"Oklahoma";#N/A,#N/A,FALSE,"Okmulgee";#N/A,#N/A,FALSE,"Osage";#N/A,#N/A,FALSE,"Ottawa";#N/A,#N/A,FALSE,"Pawnee";#N/A,#N/A,FALSE,"Payne";#N/A,#N/A,FALSE,"Pontotoc";#N/A,#N/A,FALSE,"Pottawatomie";#N/A,#N/A,FALSE,"Rogers";#N/A,#N/A,FALSE,"Seminole";#N/A,#N/A,FALSE,"Sequoyah";#N/A,#N/A,FALSE,"Tulsa";#N/A,#N/A,FALSE,"Wagoner";#N/A,#N/A,FALSE,"Washington"}</definedName>
    <definedName name="zzz.com" localSheetId="37" hidden="1">{#N/A,#N/A,FALSE,"Title Page";#N/A,#N/A,FALSE,"Conclusions";#N/A,#N/A,FALSE,"Assum.";#N/A,#N/A,FALSE,"Sun  DCF-WC-Dep";#N/A,#N/A,FALSE,"MarketValue";#N/A,#N/A,FALSE,"BalSheet";#N/A,#N/A,FALSE,"WACC";#N/A,#N/A,FALSE,"PC+ Info.";#N/A,#N/A,FALSE,"PC+Info_2"}</definedName>
    <definedName name="zzz.com" localSheetId="92" hidden="1">{#N/A,#N/A,FALSE,"Title Page";#N/A,#N/A,FALSE,"Conclusions";#N/A,#N/A,FALSE,"Assum.";#N/A,#N/A,FALSE,"Sun  DCF-WC-Dep";#N/A,#N/A,FALSE,"MarketValue";#N/A,#N/A,FALSE,"BalSheet";#N/A,#N/A,FALSE,"WACC";#N/A,#N/A,FALSE,"PC+ Info.";#N/A,#N/A,FALSE,"PC+Info_2"}</definedName>
    <definedName name="zzz.com" localSheetId="43"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8" i="6" l="1"/>
  <c r="F69" i="6"/>
  <c r="K4" i="217" l="1"/>
  <c r="I41" i="241"/>
  <c r="U34" i="241"/>
  <c r="D9" i="241" l="1"/>
  <c r="H41" i="271" l="1"/>
  <c r="E54" i="133" l="1"/>
  <c r="B43" i="10"/>
  <c r="B53" i="8"/>
  <c r="E39" i="10"/>
  <c r="W10" i="245" l="1"/>
  <c r="V10" i="245"/>
  <c r="V24" i="245" s="1"/>
  <c r="U10" i="245"/>
  <c r="U18" i="245" s="1"/>
  <c r="T10" i="245"/>
  <c r="T16" i="245" s="1"/>
  <c r="S10" i="245"/>
  <c r="W25" i="245"/>
  <c r="V25" i="245"/>
  <c r="W24" i="245"/>
  <c r="W23" i="245"/>
  <c r="V23" i="245"/>
  <c r="W22" i="245"/>
  <c r="V22" i="245"/>
  <c r="W21" i="245"/>
  <c r="V21" i="245"/>
  <c r="W20" i="245"/>
  <c r="W19" i="245"/>
  <c r="W18" i="245"/>
  <c r="V18" i="245"/>
  <c r="W17" i="245"/>
  <c r="V17" i="245"/>
  <c r="W16" i="245"/>
  <c r="W15" i="245"/>
  <c r="V15" i="245"/>
  <c r="U15" i="245"/>
  <c r="D11" i="279"/>
  <c r="M43" i="257"/>
  <c r="M32" i="257"/>
  <c r="M33" i="257"/>
  <c r="M34" i="257"/>
  <c r="M31" i="257"/>
  <c r="AB29" i="257"/>
  <c r="AB30" i="257"/>
  <c r="AA34" i="257"/>
  <c r="M11" i="257"/>
  <c r="M12" i="257"/>
  <c r="M13" i="257"/>
  <c r="M14" i="257"/>
  <c r="M15" i="257"/>
  <c r="M16" i="257"/>
  <c r="M17" i="257"/>
  <c r="M18" i="257"/>
  <c r="M19" i="257"/>
  <c r="M20" i="257"/>
  <c r="M21" i="257"/>
  <c r="M22" i="257"/>
  <c r="M23" i="257"/>
  <c r="M24" i="257"/>
  <c r="M25" i="257"/>
  <c r="M26" i="257"/>
  <c r="M27" i="257"/>
  <c r="M28" i="257"/>
  <c r="B30" i="257"/>
  <c r="M32" i="12"/>
  <c r="M33" i="12"/>
  <c r="M34" i="12"/>
  <c r="M31" i="12"/>
  <c r="M11" i="12"/>
  <c r="M12" i="12"/>
  <c r="M13" i="12"/>
  <c r="M14" i="12"/>
  <c r="M15" i="12"/>
  <c r="M16" i="12"/>
  <c r="M17" i="12"/>
  <c r="M18" i="12"/>
  <c r="M19" i="12"/>
  <c r="M20" i="12"/>
  <c r="M21" i="12"/>
  <c r="M22" i="12"/>
  <c r="M23" i="12"/>
  <c r="M24" i="12"/>
  <c r="M25" i="12"/>
  <c r="M26" i="12"/>
  <c r="M27" i="12"/>
  <c r="M28" i="12"/>
  <c r="AB30" i="12"/>
  <c r="J30" i="12"/>
  <c r="G30" i="12"/>
  <c r="F30" i="12"/>
  <c r="E30" i="12"/>
  <c r="D30" i="12"/>
  <c r="B30" i="12"/>
  <c r="U19" i="245" l="1"/>
  <c r="V19" i="245"/>
  <c r="T19" i="245"/>
  <c r="T22" i="245"/>
  <c r="T18" i="245"/>
  <c r="T25" i="245"/>
  <c r="T21" i="245"/>
  <c r="T17" i="245"/>
  <c r="T20" i="245"/>
  <c r="T23" i="245"/>
  <c r="U25" i="245"/>
  <c r="U21" i="245"/>
  <c r="U17" i="245"/>
  <c r="U24" i="245"/>
  <c r="U20" i="245"/>
  <c r="U16" i="245"/>
  <c r="U22" i="245"/>
  <c r="U23" i="245"/>
  <c r="T24" i="245"/>
  <c r="H30" i="12"/>
  <c r="T15" i="245"/>
  <c r="I30" i="12"/>
  <c r="K30" i="12" s="1"/>
  <c r="V16" i="245"/>
  <c r="V20" i="245"/>
  <c r="G11" i="282"/>
  <c r="E11" i="282"/>
  <c r="L19" i="4" l="1"/>
  <c r="L18" i="4"/>
  <c r="F19" i="4"/>
  <c r="F18" i="4"/>
  <c r="D19" i="4"/>
  <c r="D18" i="4"/>
  <c r="I33" i="236"/>
  <c r="I31" i="236"/>
  <c r="I29" i="236"/>
  <c r="D16" i="156" l="1"/>
  <c r="D12" i="156"/>
  <c r="H4" i="242" l="1"/>
  <c r="E14" i="232"/>
  <c r="E53" i="133"/>
  <c r="E13" i="232" s="1"/>
  <c r="L25" i="133"/>
  <c r="L26" i="133" s="1"/>
  <c r="L21" i="133"/>
  <c r="L22" i="133" s="1"/>
  <c r="L16" i="133"/>
  <c r="L17" i="133" s="1"/>
  <c r="L33" i="133"/>
  <c r="L34" i="133" s="1"/>
  <c r="L29" i="133"/>
  <c r="L30" i="133" s="1"/>
  <c r="E44" i="133"/>
  <c r="B2" i="282"/>
  <c r="O4" i="57" l="1"/>
  <c r="H15" i="38"/>
  <c r="A26" i="40"/>
  <c r="H4" i="271"/>
  <c r="F40" i="271"/>
  <c r="B23" i="282"/>
  <c r="K11" i="282"/>
  <c r="H10" i="282"/>
  <c r="F9" i="282"/>
  <c r="F41" i="271"/>
  <c r="H7" i="73"/>
  <c r="D7" i="73" a="1"/>
  <c r="D7" i="73" s="1"/>
  <c r="E7" i="236" l="1"/>
  <c r="T11" i="279"/>
  <c r="T11" i="52"/>
  <c r="D6" i="11"/>
  <c r="B4" i="256" s="1"/>
  <c r="G7" i="73"/>
  <c r="G6" i="11" s="1"/>
  <c r="B4" i="250" s="1"/>
  <c r="F7" i="73"/>
  <c r="F6" i="11" s="1"/>
  <c r="B4" i="278" s="1"/>
  <c r="E7" i="73"/>
  <c r="F7" i="236" l="1"/>
  <c r="E6" i="11"/>
  <c r="B4" i="249" s="1"/>
  <c r="J36" i="126"/>
  <c r="F36" i="126" a="1"/>
  <c r="F36" i="126" s="1"/>
  <c r="C34" i="156" s="1"/>
  <c r="D45" i="73"/>
  <c r="D11" i="73"/>
  <c r="D36" i="126"/>
  <c r="C36" i="126"/>
  <c r="C37" i="126"/>
  <c r="K90" i="265"/>
  <c r="K89" i="265"/>
  <c r="K88" i="265"/>
  <c r="K87" i="265"/>
  <c r="K86" i="265"/>
  <c r="C25" i="156" l="1"/>
  <c r="F38" i="126"/>
  <c r="C36" i="156" s="1"/>
  <c r="F37" i="126"/>
  <c r="C35" i="156" s="1"/>
  <c r="F39" i="126"/>
  <c r="C37" i="156" s="1"/>
  <c r="C78" i="156" l="1"/>
  <c r="C77" i="156"/>
  <c r="C29" i="156" l="1"/>
  <c r="B31" i="185" l="1"/>
  <c r="B27" i="185"/>
  <c r="D27" i="185"/>
  <c r="E27" i="185"/>
  <c r="F27" i="185"/>
  <c r="G27" i="185"/>
  <c r="H27" i="185"/>
  <c r="K27" i="185"/>
  <c r="N27" i="185"/>
  <c r="O27" i="185"/>
  <c r="P27" i="185"/>
  <c r="Q27" i="185"/>
  <c r="S27" i="185" s="1"/>
  <c r="R27" i="185"/>
  <c r="U27" i="185"/>
  <c r="X27" i="185"/>
  <c r="AD27" i="185"/>
  <c r="B28" i="185"/>
  <c r="D28" i="185"/>
  <c r="E28" i="185"/>
  <c r="F28" i="185"/>
  <c r="G28" i="185"/>
  <c r="H28" i="185"/>
  <c r="K28" i="185"/>
  <c r="N28" i="185"/>
  <c r="O28" i="185"/>
  <c r="P28" i="185"/>
  <c r="Q28" i="185"/>
  <c r="R28" i="185"/>
  <c r="U28" i="185"/>
  <c r="AD28" i="185"/>
  <c r="B29" i="185"/>
  <c r="D29" i="185"/>
  <c r="E29" i="185"/>
  <c r="F29" i="185"/>
  <c r="G29" i="185"/>
  <c r="H29" i="185"/>
  <c r="K29" i="185"/>
  <c r="N29" i="185"/>
  <c r="O29" i="185"/>
  <c r="P29" i="185"/>
  <c r="Q29" i="185"/>
  <c r="R29" i="185"/>
  <c r="U29" i="185"/>
  <c r="AD29" i="185"/>
  <c r="B32" i="185"/>
  <c r="D32" i="185"/>
  <c r="E32" i="185"/>
  <c r="F32" i="185"/>
  <c r="G32" i="185"/>
  <c r="H32" i="185"/>
  <c r="K32" i="185"/>
  <c r="N32" i="185"/>
  <c r="O32" i="185"/>
  <c r="P32" i="185"/>
  <c r="Q32" i="185"/>
  <c r="R32" i="185"/>
  <c r="U32" i="185"/>
  <c r="AD32" i="185"/>
  <c r="B33" i="185"/>
  <c r="D33" i="185"/>
  <c r="E33" i="185"/>
  <c r="F33" i="185"/>
  <c r="G33" i="185"/>
  <c r="H33" i="185"/>
  <c r="K33" i="185"/>
  <c r="N33" i="185"/>
  <c r="O33" i="185"/>
  <c r="P33" i="185"/>
  <c r="Q33" i="185"/>
  <c r="R33" i="185"/>
  <c r="U33" i="185"/>
  <c r="X33" i="185"/>
  <c r="AD33" i="185"/>
  <c r="B34" i="185"/>
  <c r="D34" i="185"/>
  <c r="E34" i="185"/>
  <c r="F34" i="185"/>
  <c r="G34" i="185"/>
  <c r="H34" i="185"/>
  <c r="K34" i="185"/>
  <c r="N34" i="185"/>
  <c r="O34" i="185"/>
  <c r="P34" i="185"/>
  <c r="Q34" i="185"/>
  <c r="R34" i="185"/>
  <c r="U34" i="185"/>
  <c r="AD34" i="185"/>
  <c r="B35" i="185"/>
  <c r="D35" i="185"/>
  <c r="E35" i="185"/>
  <c r="F35" i="185"/>
  <c r="G35" i="185"/>
  <c r="H35" i="185"/>
  <c r="K35" i="185"/>
  <c r="N35" i="185"/>
  <c r="O35" i="185"/>
  <c r="P35" i="185"/>
  <c r="Q35" i="185"/>
  <c r="R35" i="185"/>
  <c r="U35" i="185"/>
  <c r="AD35" i="185"/>
  <c r="B36" i="185"/>
  <c r="D36" i="185"/>
  <c r="E36" i="185"/>
  <c r="F36" i="185"/>
  <c r="G36" i="185"/>
  <c r="H36" i="185"/>
  <c r="K36" i="185"/>
  <c r="N36" i="185"/>
  <c r="O36" i="185"/>
  <c r="P36" i="185"/>
  <c r="Q36" i="185"/>
  <c r="R36" i="185"/>
  <c r="U36" i="185"/>
  <c r="AC36" i="185"/>
  <c r="AD36" i="185"/>
  <c r="B37" i="185"/>
  <c r="D37" i="185"/>
  <c r="E37" i="185"/>
  <c r="F37" i="185"/>
  <c r="G37" i="185"/>
  <c r="H37" i="185"/>
  <c r="K37" i="185"/>
  <c r="N37" i="185"/>
  <c r="X37" i="185" s="1"/>
  <c r="O37" i="185"/>
  <c r="P37" i="185"/>
  <c r="Q37" i="185"/>
  <c r="R37" i="185"/>
  <c r="U37" i="185"/>
  <c r="AC37" i="185"/>
  <c r="AD37" i="185"/>
  <c r="B38" i="185"/>
  <c r="D38" i="185"/>
  <c r="E38" i="185"/>
  <c r="F38" i="185"/>
  <c r="G38" i="185"/>
  <c r="H38" i="185"/>
  <c r="K38" i="185"/>
  <c r="N38" i="185"/>
  <c r="O38" i="185"/>
  <c r="P38" i="185"/>
  <c r="Q38" i="185"/>
  <c r="R38" i="185"/>
  <c r="U38" i="185"/>
  <c r="AC38" i="185"/>
  <c r="AD38" i="185"/>
  <c r="B39" i="185"/>
  <c r="D39" i="185"/>
  <c r="E39" i="185"/>
  <c r="F39" i="185"/>
  <c r="G39" i="185"/>
  <c r="H39" i="185"/>
  <c r="K39" i="185"/>
  <c r="N39" i="185"/>
  <c r="O39" i="185"/>
  <c r="P39" i="185"/>
  <c r="Q39" i="185"/>
  <c r="R39" i="185"/>
  <c r="U39" i="185"/>
  <c r="AC39" i="185"/>
  <c r="AD39" i="185"/>
  <c r="B40" i="185"/>
  <c r="D40" i="185"/>
  <c r="E40" i="185"/>
  <c r="F40" i="185"/>
  <c r="G40" i="185"/>
  <c r="H40" i="185"/>
  <c r="K40" i="185"/>
  <c r="N40" i="185"/>
  <c r="O40" i="185"/>
  <c r="P40" i="185"/>
  <c r="Q40" i="185"/>
  <c r="R40" i="185"/>
  <c r="U40" i="185"/>
  <c r="AC40" i="185"/>
  <c r="AD40" i="185"/>
  <c r="B41" i="185"/>
  <c r="D41" i="185"/>
  <c r="E41" i="185"/>
  <c r="F41" i="185"/>
  <c r="G41" i="185"/>
  <c r="H41" i="185"/>
  <c r="K41" i="185"/>
  <c r="N41" i="185"/>
  <c r="O41" i="185"/>
  <c r="P41" i="185"/>
  <c r="Q41" i="185"/>
  <c r="R41" i="185"/>
  <c r="U41" i="185"/>
  <c r="AC41" i="185"/>
  <c r="AD41" i="185"/>
  <c r="I24" i="236"/>
  <c r="M27" i="281"/>
  <c r="M28" i="281"/>
  <c r="M29" i="281"/>
  <c r="B31" i="281"/>
  <c r="M32" i="281"/>
  <c r="M33" i="281"/>
  <c r="M34" i="281"/>
  <c r="M35" i="281"/>
  <c r="D16" i="243"/>
  <c r="B47" i="79"/>
  <c r="AA29" i="257" s="1"/>
  <c r="X39" i="185" l="1"/>
  <c r="I39" i="185"/>
  <c r="X29" i="185"/>
  <c r="S33" i="185"/>
  <c r="S38" i="185"/>
  <c r="X41" i="185"/>
  <c r="I41" i="185"/>
  <c r="I37" i="185"/>
  <c r="S40" i="185"/>
  <c r="S36" i="185"/>
  <c r="X35" i="185"/>
  <c r="I35" i="185"/>
  <c r="S34" i="185"/>
  <c r="X34" i="185"/>
  <c r="S35" i="185"/>
  <c r="S32" i="185"/>
  <c r="X32" i="185"/>
  <c r="S28" i="185"/>
  <c r="X28" i="185"/>
  <c r="S29" i="185"/>
  <c r="S41" i="185"/>
  <c r="S39" i="185"/>
  <c r="S37" i="185"/>
  <c r="X40" i="185"/>
  <c r="X38" i="185"/>
  <c r="X36" i="185"/>
  <c r="J28" i="185"/>
  <c r="L28" i="185" s="1"/>
  <c r="T40" i="185"/>
  <c r="V40" i="185" s="1"/>
  <c r="T38" i="185"/>
  <c r="V38" i="185" s="1"/>
  <c r="T36" i="185"/>
  <c r="V36" i="185" s="1"/>
  <c r="T34" i="185"/>
  <c r="V34" i="185" s="1"/>
  <c r="T32" i="185"/>
  <c r="V32" i="185" s="1"/>
  <c r="T28" i="185"/>
  <c r="V28" i="185" s="1"/>
  <c r="I33" i="185"/>
  <c r="I29" i="185"/>
  <c r="I27" i="185"/>
  <c r="J41" i="185"/>
  <c r="L41" i="185" s="1"/>
  <c r="J39" i="185"/>
  <c r="L39" i="185" s="1"/>
  <c r="J37" i="185"/>
  <c r="L37" i="185" s="1"/>
  <c r="J35" i="185"/>
  <c r="L35" i="185" s="1"/>
  <c r="J33" i="185"/>
  <c r="L33" i="185" s="1"/>
  <c r="J29" i="185"/>
  <c r="L29" i="185" s="1"/>
  <c r="J27" i="185"/>
  <c r="L27" i="185" s="1"/>
  <c r="T41" i="185"/>
  <c r="V41" i="185" s="1"/>
  <c r="T39" i="185"/>
  <c r="V39" i="185" s="1"/>
  <c r="I38" i="185"/>
  <c r="T37" i="185"/>
  <c r="V37" i="185" s="1"/>
  <c r="I36" i="185"/>
  <c r="T35" i="185"/>
  <c r="V35" i="185" s="1"/>
  <c r="I34" i="185"/>
  <c r="T33" i="185"/>
  <c r="V33" i="185" s="1"/>
  <c r="I32" i="185"/>
  <c r="T29" i="185"/>
  <c r="V29" i="185" s="1"/>
  <c r="I28" i="185"/>
  <c r="T27" i="185"/>
  <c r="V27" i="185" s="1"/>
  <c r="I40" i="185"/>
  <c r="J40" i="185"/>
  <c r="L40" i="185" s="1"/>
  <c r="J38" i="185"/>
  <c r="L38" i="185" s="1"/>
  <c r="J36" i="185"/>
  <c r="L36" i="185" s="1"/>
  <c r="J34" i="185"/>
  <c r="L34" i="185" s="1"/>
  <c r="J32" i="185"/>
  <c r="L32" i="185" s="1"/>
  <c r="Y41" i="185"/>
  <c r="Y40" i="185"/>
  <c r="Y39" i="185"/>
  <c r="Y38" i="185"/>
  <c r="Y37" i="185"/>
  <c r="Y36" i="185"/>
  <c r="Y35" i="185"/>
  <c r="Y34" i="185"/>
  <c r="Y33" i="185"/>
  <c r="Y32" i="185"/>
  <c r="Y29" i="185"/>
  <c r="Y28" i="185"/>
  <c r="Y27" i="185"/>
  <c r="D52" i="79"/>
  <c r="D53" i="79"/>
  <c r="D54" i="79"/>
  <c r="D55" i="79"/>
  <c r="D56" i="79"/>
  <c r="D57" i="79"/>
  <c r="B44" i="79"/>
  <c r="C44" i="79"/>
  <c r="AC27" i="185" s="1"/>
  <c r="B45" i="79"/>
  <c r="C45" i="79"/>
  <c r="AC28" i="185" s="1"/>
  <c r="B46" i="79"/>
  <c r="C46" i="79"/>
  <c r="AC29" i="185" s="1"/>
  <c r="B48" i="79"/>
  <c r="C48" i="79"/>
  <c r="AC32" i="185" s="1"/>
  <c r="B49" i="79"/>
  <c r="C49" i="79"/>
  <c r="AC33" i="185" s="1"/>
  <c r="B50" i="79"/>
  <c r="AA33" i="12" s="1"/>
  <c r="M34" i="13" s="1"/>
  <c r="C50" i="79"/>
  <c r="AC34" i="185" s="1"/>
  <c r="B51" i="79"/>
  <c r="C51" i="79"/>
  <c r="AC35" i="185" s="1"/>
  <c r="AA28" i="244"/>
  <c r="AA29" i="244"/>
  <c r="M27" i="244"/>
  <c r="M28" i="244"/>
  <c r="M29" i="244"/>
  <c r="B31" i="244"/>
  <c r="M32" i="244"/>
  <c r="M33" i="244"/>
  <c r="M34" i="244"/>
  <c r="AA33" i="244"/>
  <c r="M35" i="244"/>
  <c r="AA35" i="244"/>
  <c r="S46" i="281"/>
  <c r="S44" i="281"/>
  <c r="M44" i="281"/>
  <c r="M46" i="281" s="1"/>
  <c r="AA35" i="281"/>
  <c r="AA34" i="281"/>
  <c r="AA32" i="281"/>
  <c r="AA27" i="281"/>
  <c r="M26" i="281"/>
  <c r="M25" i="281"/>
  <c r="M24" i="281"/>
  <c r="M23" i="281"/>
  <c r="M22" i="281"/>
  <c r="M21" i="281"/>
  <c r="M20" i="281"/>
  <c r="M19" i="281"/>
  <c r="M18" i="281"/>
  <c r="M17" i="281"/>
  <c r="M16" i="281"/>
  <c r="M15" i="281"/>
  <c r="M14" i="281"/>
  <c r="M13" i="281"/>
  <c r="M12" i="281"/>
  <c r="M11" i="281"/>
  <c r="AB5" i="281"/>
  <c r="AB4" i="281"/>
  <c r="Y4" i="281"/>
  <c r="AB3" i="281"/>
  <c r="B2" i="281"/>
  <c r="B44" i="281" s="1"/>
  <c r="D56" i="280"/>
  <c r="D57" i="280" s="1"/>
  <c r="D48" i="280"/>
  <c r="D49" i="280" s="1"/>
  <c r="G19" i="280"/>
  <c r="E19" i="280"/>
  <c r="D19" i="280"/>
  <c r="J18" i="280" s="1"/>
  <c r="B19" i="280"/>
  <c r="G18" i="280"/>
  <c r="E18" i="280"/>
  <c r="D18" i="280"/>
  <c r="I19" i="280" s="1"/>
  <c r="B18" i="280"/>
  <c r="G17" i="280"/>
  <c r="E17" i="280"/>
  <c r="D17" i="280"/>
  <c r="J16" i="280" s="1"/>
  <c r="B17" i="280"/>
  <c r="G16" i="280"/>
  <c r="E16" i="280"/>
  <c r="D16" i="280"/>
  <c r="J15" i="280" s="1"/>
  <c r="B16" i="280"/>
  <c r="G15" i="280"/>
  <c r="E15" i="280"/>
  <c r="D15" i="280"/>
  <c r="J14" i="280" s="1"/>
  <c r="B15" i="280"/>
  <c r="G14" i="280"/>
  <c r="E14" i="280"/>
  <c r="D14" i="280"/>
  <c r="I15" i="280" s="1"/>
  <c r="B14" i="280"/>
  <c r="G13" i="280"/>
  <c r="E13" i="280"/>
  <c r="D13" i="280"/>
  <c r="J12" i="280" s="1"/>
  <c r="B13" i="280"/>
  <c r="G12" i="280"/>
  <c r="E12" i="280"/>
  <c r="D12" i="280"/>
  <c r="I13" i="280" s="1"/>
  <c r="B12" i="280"/>
  <c r="G11" i="280"/>
  <c r="E11" i="280"/>
  <c r="D11" i="280"/>
  <c r="J10" i="280" s="1"/>
  <c r="B11" i="280"/>
  <c r="G10" i="280"/>
  <c r="E10" i="280"/>
  <c r="D10" i="280"/>
  <c r="I11" i="280" s="1"/>
  <c r="B10" i="280"/>
  <c r="G9" i="280"/>
  <c r="E9" i="280"/>
  <c r="D9" i="280"/>
  <c r="I10" i="280" s="1"/>
  <c r="B9" i="280"/>
  <c r="D64" i="280"/>
  <c r="D40" i="280"/>
  <c r="I5" i="280"/>
  <c r="B2" i="280"/>
  <c r="D80" i="241"/>
  <c r="M19" i="241"/>
  <c r="O53" i="241"/>
  <c r="Z36" i="185" l="1"/>
  <c r="Z29" i="185"/>
  <c r="Z39" i="185"/>
  <c r="AA32" i="250"/>
  <c r="AA32" i="249"/>
  <c r="AA30" i="257"/>
  <c r="AA32" i="256"/>
  <c r="AA32" i="278"/>
  <c r="AA28" i="256"/>
  <c r="AA28" i="278"/>
  <c r="AA28" i="249"/>
  <c r="AA27" i="257"/>
  <c r="AA28" i="250"/>
  <c r="Z41" i="185"/>
  <c r="J11" i="280"/>
  <c r="Z38" i="185"/>
  <c r="Z34" i="185"/>
  <c r="Z28" i="185"/>
  <c r="AA34" i="256"/>
  <c r="AA32" i="257"/>
  <c r="AA34" i="278"/>
  <c r="AA34" i="250"/>
  <c r="AA34" i="249"/>
  <c r="I17" i="280"/>
  <c r="AA34" i="244"/>
  <c r="AA35" i="278"/>
  <c r="AA35" i="250"/>
  <c r="AA33" i="257"/>
  <c r="AA35" i="256"/>
  <c r="AA35" i="249"/>
  <c r="AA32" i="244"/>
  <c r="AA33" i="249"/>
  <c r="AA33" i="250"/>
  <c r="AA33" i="256"/>
  <c r="AA33" i="278"/>
  <c r="AA31" i="257"/>
  <c r="AA29" i="281"/>
  <c r="AA28" i="257"/>
  <c r="AA29" i="256"/>
  <c r="AA29" i="250"/>
  <c r="AA29" i="278"/>
  <c r="AA29" i="249"/>
  <c r="AA27" i="244"/>
  <c r="AA27" i="250"/>
  <c r="AA27" i="278"/>
  <c r="AA27" i="256"/>
  <c r="AA27" i="249"/>
  <c r="AA26" i="257"/>
  <c r="Z32" i="185"/>
  <c r="Z40" i="185"/>
  <c r="E49" i="280"/>
  <c r="N19" i="241"/>
  <c r="Z35" i="185"/>
  <c r="Z27" i="185"/>
  <c r="Z33" i="185"/>
  <c r="Z37" i="185"/>
  <c r="E57" i="280"/>
  <c r="J9" i="280"/>
  <c r="J13" i="280"/>
  <c r="J17" i="280"/>
  <c r="AA33" i="281"/>
  <c r="AA28" i="281"/>
  <c r="B46" i="281"/>
  <c r="M42" i="281"/>
  <c r="M41" i="281"/>
  <c r="M40" i="281"/>
  <c r="M39" i="281"/>
  <c r="M38" i="281"/>
  <c r="M37" i="281"/>
  <c r="D65" i="280"/>
  <c r="E65" i="280" s="1"/>
  <c r="D62" i="280"/>
  <c r="E62" i="280" s="1"/>
  <c r="D38" i="280"/>
  <c r="E38" i="280" s="1"/>
  <c r="D41" i="280"/>
  <c r="E41" i="280" s="1"/>
  <c r="D54" i="280"/>
  <c r="E54" i="280" s="1"/>
  <c r="I12" i="280"/>
  <c r="I14" i="280"/>
  <c r="I16" i="280"/>
  <c r="I18" i="280"/>
  <c r="D46" i="280"/>
  <c r="E46" i="280" s="1"/>
  <c r="D39" i="280" l="1"/>
  <c r="E39" i="280" s="1"/>
  <c r="E40" i="280" s="1"/>
  <c r="E43" i="280" s="1"/>
  <c r="O19" i="241"/>
  <c r="D47" i="280"/>
  <c r="E47" i="280" s="1"/>
  <c r="E48" i="280" s="1"/>
  <c r="E51" i="280" s="1"/>
  <c r="D55" i="280"/>
  <c r="E55" i="280" s="1"/>
  <c r="E56" i="280" s="1"/>
  <c r="E59" i="280" s="1"/>
  <c r="D63" i="280"/>
  <c r="E63" i="280" s="1"/>
  <c r="E64" i="280" s="1"/>
  <c r="E67" i="280" s="1"/>
  <c r="D108" i="279" l="1"/>
  <c r="D128" i="279" s="1"/>
  <c r="D142" i="279" s="1"/>
  <c r="D92" i="279"/>
  <c r="D88" i="279"/>
  <c r="D74" i="279"/>
  <c r="O61" i="279"/>
  <c r="D58" i="279"/>
  <c r="B45" i="279"/>
  <c r="B88" i="279" s="1"/>
  <c r="B44" i="279"/>
  <c r="B87" i="279" s="1"/>
  <c r="S34" i="279"/>
  <c r="B30" i="279"/>
  <c r="O29" i="279"/>
  <c r="B29" i="279"/>
  <c r="N28" i="279"/>
  <c r="O28" i="279" s="1"/>
  <c r="B28" i="279"/>
  <c r="M27" i="279"/>
  <c r="N27" i="279" s="1"/>
  <c r="O27" i="279" s="1"/>
  <c r="O32" i="279" s="1"/>
  <c r="B27" i="279"/>
  <c r="S26" i="279"/>
  <c r="B22" i="279"/>
  <c r="B38" i="279" s="1"/>
  <c r="B81" i="279" s="1"/>
  <c r="O21" i="279"/>
  <c r="B21" i="279"/>
  <c r="B37" i="279" s="1"/>
  <c r="B80" i="279" s="1"/>
  <c r="N20" i="279"/>
  <c r="O20" i="279" s="1"/>
  <c r="B20" i="279"/>
  <c r="B36" i="279" s="1"/>
  <c r="B79" i="279" s="1"/>
  <c r="M19" i="279"/>
  <c r="B19" i="279"/>
  <c r="B35" i="279" s="1"/>
  <c r="B78" i="279" s="1"/>
  <c r="S18" i="279"/>
  <c r="E15" i="279"/>
  <c r="E74" i="279" s="1"/>
  <c r="O4" i="279"/>
  <c r="B2" i="279"/>
  <c r="E45" i="133"/>
  <c r="E46" i="133"/>
  <c r="E43" i="133"/>
  <c r="E42" i="133"/>
  <c r="G9" i="11"/>
  <c r="J37" i="126"/>
  <c r="J38" i="126"/>
  <c r="J39" i="126"/>
  <c r="J40" i="126"/>
  <c r="J41" i="126"/>
  <c r="J42" i="126"/>
  <c r="E92" i="279" l="1"/>
  <c r="F15" i="279"/>
  <c r="F92" i="279" s="1"/>
  <c r="N19" i="279"/>
  <c r="O19" i="279" s="1"/>
  <c r="O24" i="279" s="1"/>
  <c r="B112" i="279"/>
  <c r="B132" i="279" s="1"/>
  <c r="B146" i="279" s="1"/>
  <c r="B96" i="279"/>
  <c r="B111" i="279"/>
  <c r="B131" i="279" s="1"/>
  <c r="B145" i="279" s="1"/>
  <c r="B95" i="279"/>
  <c r="B97" i="279"/>
  <c r="B113" i="279"/>
  <c r="B133" i="279" s="1"/>
  <c r="B147" i="279" s="1"/>
  <c r="B110" i="279"/>
  <c r="B130" i="279" s="1"/>
  <c r="B144" i="279" s="1"/>
  <c r="B94" i="279"/>
  <c r="B119" i="279"/>
  <c r="B139" i="279" s="1"/>
  <c r="B153" i="279" s="1"/>
  <c r="B103" i="279"/>
  <c r="E58" i="279"/>
  <c r="O66" i="279"/>
  <c r="O67" i="279"/>
  <c r="O70" i="279"/>
  <c r="B120" i="279"/>
  <c r="B140" i="279" s="1"/>
  <c r="B154" i="279" s="1"/>
  <c r="B104" i="279"/>
  <c r="E108" i="279"/>
  <c r="E128" i="279" s="1"/>
  <c r="E142" i="279" s="1"/>
  <c r="G15" i="279" l="1"/>
  <c r="F108" i="279"/>
  <c r="F128" i="279" s="1"/>
  <c r="F142" i="279" s="1"/>
  <c r="W7" i="241"/>
  <c r="W11" i="279"/>
  <c r="V7" i="241"/>
  <c r="V11" i="279"/>
  <c r="F58" i="279"/>
  <c r="F74" i="279"/>
  <c r="U11" i="279"/>
  <c r="X7" i="241"/>
  <c r="Z11" i="52"/>
  <c r="Z11" i="279"/>
  <c r="G92" i="279"/>
  <c r="G108" i="279"/>
  <c r="G128" i="279" s="1"/>
  <c r="G142" i="279" s="1"/>
  <c r="G74" i="279"/>
  <c r="G58" i="279"/>
  <c r="H15" i="279"/>
  <c r="H108" i="279" l="1"/>
  <c r="H128" i="279" s="1"/>
  <c r="H142" i="279" s="1"/>
  <c r="H92" i="279"/>
  <c r="I15" i="279"/>
  <c r="H74" i="279"/>
  <c r="H58" i="279"/>
  <c r="I92" i="279" l="1"/>
  <c r="I74" i="279"/>
  <c r="I108" i="279"/>
  <c r="I128" i="279" s="1"/>
  <c r="I142" i="279" s="1"/>
  <c r="I58" i="279"/>
  <c r="J15" i="279"/>
  <c r="J108" i="279" l="1"/>
  <c r="J128" i="279" s="1"/>
  <c r="J142" i="279" s="1"/>
  <c r="J58" i="279"/>
  <c r="J92" i="279"/>
  <c r="J74" i="279"/>
  <c r="K15" i="279"/>
  <c r="K92" i="279" l="1"/>
  <c r="K108" i="279"/>
  <c r="K128" i="279" s="1"/>
  <c r="K142" i="279" s="1"/>
  <c r="K74" i="279"/>
  <c r="K58" i="279"/>
  <c r="L15" i="279"/>
  <c r="L108" i="279" l="1"/>
  <c r="L128" i="279" s="1"/>
  <c r="L142" i="279" s="1"/>
  <c r="L92" i="279"/>
  <c r="M15" i="279"/>
  <c r="L58" i="279"/>
  <c r="L74" i="279"/>
  <c r="M74" i="279" l="1"/>
  <c r="M92" i="279"/>
  <c r="M108" i="279"/>
  <c r="M128" i="279" s="1"/>
  <c r="M142" i="279" s="1"/>
  <c r="M58" i="279"/>
  <c r="N15" i="279"/>
  <c r="N92" i="279" l="1"/>
  <c r="N108" i="279"/>
  <c r="N128" i="279" s="1"/>
  <c r="N142" i="279" s="1"/>
  <c r="N74" i="279"/>
  <c r="N58" i="279"/>
  <c r="O15" i="279"/>
  <c r="O92" i="279" l="1"/>
  <c r="O108" i="279"/>
  <c r="O74" i="279"/>
  <c r="O58" i="279"/>
  <c r="E6" i="64" l="1"/>
  <c r="D6" i="64"/>
  <c r="B27" i="47" l="1"/>
  <c r="B28" i="47"/>
  <c r="B29" i="47"/>
  <c r="B27" i="41"/>
  <c r="H27" i="41"/>
  <c r="K27" i="41"/>
  <c r="L27" i="41"/>
  <c r="M27" i="41"/>
  <c r="N27" i="41"/>
  <c r="Q27" i="41"/>
  <c r="Y27" i="41"/>
  <c r="Z27" i="41"/>
  <c r="B28" i="41"/>
  <c r="H28" i="41"/>
  <c r="K28" i="41"/>
  <c r="L28" i="41"/>
  <c r="M28" i="41"/>
  <c r="N28" i="41"/>
  <c r="Q28" i="41"/>
  <c r="Y28" i="41"/>
  <c r="Z28" i="41"/>
  <c r="H29" i="41"/>
  <c r="K29" i="41"/>
  <c r="L29" i="41"/>
  <c r="M29" i="41"/>
  <c r="N29" i="41"/>
  <c r="Q29" i="41"/>
  <c r="Y29" i="41"/>
  <c r="Z29" i="41"/>
  <c r="B31" i="41"/>
  <c r="H32" i="41"/>
  <c r="K32" i="41"/>
  <c r="L32" i="41"/>
  <c r="M32" i="41"/>
  <c r="N32" i="41"/>
  <c r="Q32" i="41"/>
  <c r="Y32" i="41"/>
  <c r="Z32" i="41"/>
  <c r="H33" i="41"/>
  <c r="K33" i="41"/>
  <c r="L33" i="41"/>
  <c r="M33" i="41"/>
  <c r="N33" i="41"/>
  <c r="Q33" i="41"/>
  <c r="Y33" i="41"/>
  <c r="Z33" i="41"/>
  <c r="H34" i="41"/>
  <c r="K34" i="41"/>
  <c r="L34" i="41"/>
  <c r="M34" i="41"/>
  <c r="N34" i="41"/>
  <c r="Q34" i="41"/>
  <c r="Y34" i="41"/>
  <c r="Z34" i="41"/>
  <c r="H35" i="41"/>
  <c r="K35" i="41"/>
  <c r="L35" i="41"/>
  <c r="M35" i="41"/>
  <c r="N35" i="41"/>
  <c r="Q35" i="41"/>
  <c r="Y35" i="41"/>
  <c r="Z35" i="41"/>
  <c r="B25" i="47"/>
  <c r="G29" i="281" l="1"/>
  <c r="G28" i="257"/>
  <c r="G28" i="12"/>
  <c r="G28" i="281"/>
  <c r="G27" i="257"/>
  <c r="G27" i="12"/>
  <c r="J27" i="281"/>
  <c r="J26" i="12"/>
  <c r="J26" i="257"/>
  <c r="D27" i="281"/>
  <c r="D26" i="257"/>
  <c r="D26" i="12"/>
  <c r="B27" i="257"/>
  <c r="B27" i="12"/>
  <c r="J35" i="281"/>
  <c r="J34" i="257"/>
  <c r="J34" i="12"/>
  <c r="D35" i="281"/>
  <c r="D34" i="257"/>
  <c r="D34" i="12"/>
  <c r="I34" i="12" s="1"/>
  <c r="K34" i="12" s="1"/>
  <c r="J34" i="281"/>
  <c r="J33" i="257"/>
  <c r="J33" i="12"/>
  <c r="D34" i="281"/>
  <c r="I34" i="281" s="1"/>
  <c r="K34" i="281" s="1"/>
  <c r="D33" i="12"/>
  <c r="D33" i="257"/>
  <c r="J33" i="281"/>
  <c r="J32" i="257"/>
  <c r="J32" i="12"/>
  <c r="D33" i="281"/>
  <c r="D32" i="257"/>
  <c r="D32" i="12"/>
  <c r="J32" i="281"/>
  <c r="J31" i="257"/>
  <c r="J31" i="12"/>
  <c r="D32" i="281"/>
  <c r="D31" i="257"/>
  <c r="D31" i="12"/>
  <c r="E29" i="281"/>
  <c r="E28" i="12"/>
  <c r="E28" i="257"/>
  <c r="E28" i="281"/>
  <c r="E27" i="257"/>
  <c r="E27" i="12"/>
  <c r="H27" i="12" s="1"/>
  <c r="AB27" i="281"/>
  <c r="AB26" i="12"/>
  <c r="AB26" i="257"/>
  <c r="F27" i="281"/>
  <c r="H27" i="281" s="1"/>
  <c r="F26" i="257"/>
  <c r="F26" i="12"/>
  <c r="B25" i="281"/>
  <c r="B24" i="257"/>
  <c r="B24" i="12"/>
  <c r="G35" i="281"/>
  <c r="G34" i="12"/>
  <c r="G34" i="257"/>
  <c r="G34" i="281"/>
  <c r="G33" i="12"/>
  <c r="G33" i="257"/>
  <c r="G33" i="281"/>
  <c r="G32" i="257"/>
  <c r="G32" i="12"/>
  <c r="G32" i="281"/>
  <c r="G31" i="12"/>
  <c r="G31" i="257"/>
  <c r="J29" i="281"/>
  <c r="J28" i="257"/>
  <c r="J28" i="12"/>
  <c r="D29" i="281"/>
  <c r="D28" i="257"/>
  <c r="D28" i="12"/>
  <c r="J28" i="281"/>
  <c r="J27" i="12"/>
  <c r="J27" i="257"/>
  <c r="D28" i="281"/>
  <c r="D27" i="12"/>
  <c r="I27" i="12" s="1"/>
  <c r="K27" i="12" s="1"/>
  <c r="D27" i="257"/>
  <c r="E27" i="281"/>
  <c r="E26" i="257"/>
  <c r="E26" i="12"/>
  <c r="B28" i="257"/>
  <c r="B28" i="12"/>
  <c r="AB34" i="257"/>
  <c r="AB34" i="12"/>
  <c r="F35" i="281"/>
  <c r="F34" i="257"/>
  <c r="F34" i="12"/>
  <c r="AB33" i="257"/>
  <c r="AB33" i="12"/>
  <c r="F34" i="281"/>
  <c r="F33" i="257"/>
  <c r="F33" i="12"/>
  <c r="AB32" i="257"/>
  <c r="AB32" i="12"/>
  <c r="F33" i="281"/>
  <c r="F32" i="12"/>
  <c r="F32" i="257"/>
  <c r="AB31" i="12"/>
  <c r="AB31" i="257"/>
  <c r="F32" i="281"/>
  <c r="F31" i="12"/>
  <c r="F31" i="257"/>
  <c r="E35" i="281"/>
  <c r="H35" i="281" s="1"/>
  <c r="E34" i="257"/>
  <c r="H34" i="257" s="1"/>
  <c r="E34" i="12"/>
  <c r="E34" i="281"/>
  <c r="H34" i="281" s="1"/>
  <c r="E33" i="12"/>
  <c r="E33" i="257"/>
  <c r="E33" i="281"/>
  <c r="E32" i="12"/>
  <c r="E32" i="257"/>
  <c r="H32" i="257" s="1"/>
  <c r="E32" i="281"/>
  <c r="H32" i="281" s="1"/>
  <c r="E31" i="257"/>
  <c r="E31" i="12"/>
  <c r="AB29" i="281"/>
  <c r="AB28" i="257"/>
  <c r="AB28" i="12"/>
  <c r="F29" i="281"/>
  <c r="F28" i="257"/>
  <c r="H28" i="257" s="1"/>
  <c r="F28" i="12"/>
  <c r="AB28" i="281"/>
  <c r="AB27" i="257"/>
  <c r="AB27" i="12"/>
  <c r="F28" i="281"/>
  <c r="I28" i="281" s="1"/>
  <c r="K28" i="281" s="1"/>
  <c r="F27" i="12"/>
  <c r="F27" i="257"/>
  <c r="G27" i="281"/>
  <c r="G26" i="12"/>
  <c r="G26" i="257"/>
  <c r="B26" i="12"/>
  <c r="B26" i="257"/>
  <c r="I35" i="281"/>
  <c r="K35" i="281" s="1"/>
  <c r="B29" i="41"/>
  <c r="B29" i="281"/>
  <c r="B29" i="244"/>
  <c r="B28" i="281"/>
  <c r="B28" i="244"/>
  <c r="B27" i="281"/>
  <c r="B27" i="244"/>
  <c r="J35" i="244"/>
  <c r="D35" i="244"/>
  <c r="J34" i="244"/>
  <c r="D34" i="244"/>
  <c r="J33" i="244"/>
  <c r="D33" i="244"/>
  <c r="J32" i="244"/>
  <c r="D32" i="244"/>
  <c r="O29" i="41"/>
  <c r="E29" i="244"/>
  <c r="E28" i="244"/>
  <c r="AB27" i="244"/>
  <c r="F27" i="244"/>
  <c r="G35" i="244"/>
  <c r="O34" i="41"/>
  <c r="G34" i="244"/>
  <c r="G33" i="244"/>
  <c r="G32" i="244"/>
  <c r="J29" i="244"/>
  <c r="D29" i="244"/>
  <c r="J28" i="244"/>
  <c r="D28" i="244"/>
  <c r="E27" i="244"/>
  <c r="AB35" i="244"/>
  <c r="AB35" i="281"/>
  <c r="F35" i="244"/>
  <c r="AB34" i="281"/>
  <c r="AB34" i="244"/>
  <c r="F34" i="244"/>
  <c r="AB33" i="244"/>
  <c r="AB33" i="281"/>
  <c r="F33" i="244"/>
  <c r="AB32" i="244"/>
  <c r="AB32" i="281"/>
  <c r="O32" i="41"/>
  <c r="F32" i="244"/>
  <c r="G29" i="244"/>
  <c r="G28" i="244"/>
  <c r="J27" i="244"/>
  <c r="D27" i="244"/>
  <c r="E35" i="244"/>
  <c r="E34" i="244"/>
  <c r="E33" i="244"/>
  <c r="E32" i="244"/>
  <c r="AB29" i="244"/>
  <c r="F29" i="244"/>
  <c r="AB28" i="244"/>
  <c r="F28" i="244"/>
  <c r="O27" i="41"/>
  <c r="G27" i="244"/>
  <c r="P34" i="41"/>
  <c r="U34" i="41" s="1"/>
  <c r="V34" i="41" s="1"/>
  <c r="P27" i="41"/>
  <c r="R27" i="41" s="1"/>
  <c r="AA27" i="41" s="1"/>
  <c r="P35" i="41"/>
  <c r="R35" i="41" s="1"/>
  <c r="AA35" i="41" s="1"/>
  <c r="O33" i="41"/>
  <c r="P29" i="41"/>
  <c r="R29" i="41" s="1"/>
  <c r="AA29" i="41" s="1"/>
  <c r="P28" i="41"/>
  <c r="R28" i="41" s="1"/>
  <c r="AA28" i="41" s="1"/>
  <c r="O35" i="41"/>
  <c r="P32" i="41"/>
  <c r="U32" i="41" s="1"/>
  <c r="V32" i="41" s="1"/>
  <c r="O28" i="41"/>
  <c r="U27" i="41"/>
  <c r="V27" i="41" s="1"/>
  <c r="P33" i="41"/>
  <c r="R33" i="41" s="1"/>
  <c r="AA33" i="41" s="1"/>
  <c r="J10" i="57"/>
  <c r="J11" i="57"/>
  <c r="J12" i="57"/>
  <c r="J13" i="57"/>
  <c r="J14" i="57"/>
  <c r="J15" i="57"/>
  <c r="J16" i="57"/>
  <c r="J17" i="57"/>
  <c r="J18" i="57"/>
  <c r="J19" i="57"/>
  <c r="J20" i="57"/>
  <c r="J21" i="57"/>
  <c r="J22" i="57"/>
  <c r="J23" i="57"/>
  <c r="J24" i="57"/>
  <c r="J25" i="57"/>
  <c r="J26" i="57"/>
  <c r="J9" i="57"/>
  <c r="H29" i="281" l="1"/>
  <c r="U28" i="41"/>
  <c r="V28" i="41" s="1"/>
  <c r="I32" i="281"/>
  <c r="K32" i="281" s="1"/>
  <c r="AC32" i="281" s="1"/>
  <c r="I33" i="281"/>
  <c r="K33" i="281" s="1"/>
  <c r="AC33" i="281" s="1"/>
  <c r="H26" i="257"/>
  <c r="H27" i="257"/>
  <c r="I29" i="281"/>
  <c r="K29" i="281" s="1"/>
  <c r="H28" i="281"/>
  <c r="I27" i="281"/>
  <c r="K27" i="281" s="1"/>
  <c r="I26" i="12"/>
  <c r="K26" i="12" s="1"/>
  <c r="H26" i="12"/>
  <c r="I32" i="12"/>
  <c r="K32" i="12" s="1"/>
  <c r="H33" i="257"/>
  <c r="I28" i="12"/>
  <c r="K28" i="12" s="1"/>
  <c r="I32" i="257"/>
  <c r="K32" i="257" s="1"/>
  <c r="I34" i="257"/>
  <c r="K34" i="257" s="1"/>
  <c r="I26" i="257"/>
  <c r="K26" i="257" s="1"/>
  <c r="H28" i="12"/>
  <c r="R32" i="41"/>
  <c r="AA32" i="41" s="1"/>
  <c r="H33" i="281"/>
  <c r="H31" i="12"/>
  <c r="H32" i="12"/>
  <c r="I28" i="257"/>
  <c r="K28" i="257" s="1"/>
  <c r="H33" i="12"/>
  <c r="I31" i="12"/>
  <c r="K31" i="12" s="1"/>
  <c r="I33" i="257"/>
  <c r="K33" i="257" s="1"/>
  <c r="H31" i="257"/>
  <c r="H34" i="12"/>
  <c r="I27" i="257"/>
  <c r="K27" i="257" s="1"/>
  <c r="I31" i="257"/>
  <c r="K31" i="257" s="1"/>
  <c r="I33" i="12"/>
  <c r="K33" i="12" s="1"/>
  <c r="R34" i="41"/>
  <c r="AA34" i="41" s="1"/>
  <c r="AC34" i="281"/>
  <c r="AC35" i="281"/>
  <c r="AC27" i="281"/>
  <c r="U35" i="41"/>
  <c r="V35" i="41" s="1"/>
  <c r="U29" i="41"/>
  <c r="V29" i="41" s="1"/>
  <c r="H34" i="244"/>
  <c r="H32" i="244"/>
  <c r="I28" i="244"/>
  <c r="I29" i="244"/>
  <c r="H29" i="244"/>
  <c r="H35" i="244"/>
  <c r="I27" i="244"/>
  <c r="H28" i="244"/>
  <c r="H33" i="244"/>
  <c r="H27" i="244"/>
  <c r="I34" i="244"/>
  <c r="I32" i="244"/>
  <c r="I33" i="244"/>
  <c r="I35" i="244"/>
  <c r="U33" i="41"/>
  <c r="J13" i="13"/>
  <c r="K13" i="13"/>
  <c r="E24" i="13"/>
  <c r="F24" i="13" s="1"/>
  <c r="G24" i="13" s="1"/>
  <c r="H24" i="13" s="1"/>
  <c r="I24" i="13" s="1"/>
  <c r="J24" i="13" s="1"/>
  <c r="K24" i="13" s="1"/>
  <c r="E21" i="13"/>
  <c r="F21" i="13" s="1"/>
  <c r="G21" i="13" s="1"/>
  <c r="H21" i="13" s="1"/>
  <c r="I21" i="13" s="1"/>
  <c r="J21" i="13" s="1"/>
  <c r="K21" i="13" s="1"/>
  <c r="K27" i="244" l="1"/>
  <c r="AC27" i="244" s="1"/>
  <c r="K28" i="244"/>
  <c r="AC28" i="244" s="1"/>
  <c r="K35" i="244"/>
  <c r="AC35" i="244" s="1"/>
  <c r="K34" i="244"/>
  <c r="AC34" i="244" s="1"/>
  <c r="K33" i="244"/>
  <c r="AC33" i="244" s="1"/>
  <c r="K32" i="244"/>
  <c r="AC32" i="244" s="1"/>
  <c r="K29" i="244"/>
  <c r="AC29" i="244" s="1"/>
  <c r="AC29" i="281"/>
  <c r="AC28" i="281"/>
  <c r="V33" i="41"/>
  <c r="E30" i="133" l="1"/>
  <c r="E29" i="133"/>
  <c r="E26" i="133"/>
  <c r="E25" i="133"/>
  <c r="S201" i="233" l="1"/>
  <c r="T201" i="233" s="1"/>
  <c r="O201" i="233"/>
  <c r="K201" i="233"/>
  <c r="N201" i="233" s="1"/>
  <c r="S200" i="233"/>
  <c r="T200" i="233" s="1"/>
  <c r="O200" i="233"/>
  <c r="K200" i="233"/>
  <c r="N200" i="233" s="1"/>
  <c r="S199" i="233"/>
  <c r="T199" i="233" s="1"/>
  <c r="O199" i="233"/>
  <c r="K199" i="233"/>
  <c r="N199" i="233" s="1"/>
  <c r="AE198" i="233"/>
  <c r="AD198" i="233"/>
  <c r="S198" i="233"/>
  <c r="T198" i="233" s="1"/>
  <c r="O198" i="233"/>
  <c r="K198" i="233"/>
  <c r="N198" i="233" s="1"/>
  <c r="S197" i="233"/>
  <c r="T197" i="233" s="1"/>
  <c r="O197" i="233"/>
  <c r="K197" i="233"/>
  <c r="N197" i="233" s="1"/>
  <c r="S196" i="233"/>
  <c r="T196" i="233" s="1"/>
  <c r="O196" i="233"/>
  <c r="K196" i="233"/>
  <c r="N196" i="233" s="1"/>
  <c r="S195" i="233"/>
  <c r="T195" i="233" s="1"/>
  <c r="O195" i="233"/>
  <c r="K195" i="233"/>
  <c r="N195" i="233" s="1"/>
  <c r="S194" i="233"/>
  <c r="T194" i="233" s="1"/>
  <c r="O194" i="233"/>
  <c r="K194" i="233"/>
  <c r="N194" i="233" s="1"/>
  <c r="S193" i="233"/>
  <c r="T193" i="233" s="1"/>
  <c r="O193" i="233"/>
  <c r="K193" i="233"/>
  <c r="N193" i="233" s="1"/>
  <c r="S192" i="233"/>
  <c r="M192" i="233"/>
  <c r="L192" i="233"/>
  <c r="S191" i="233"/>
  <c r="T191" i="233" s="1"/>
  <c r="O191" i="233"/>
  <c r="K191" i="233"/>
  <c r="N191" i="233" s="1"/>
  <c r="S190" i="233"/>
  <c r="T190" i="233" s="1"/>
  <c r="O190" i="233"/>
  <c r="K190" i="233"/>
  <c r="N190" i="233" s="1"/>
  <c r="S189" i="233"/>
  <c r="T189" i="233" s="1"/>
  <c r="O189" i="233"/>
  <c r="K189" i="233"/>
  <c r="N189" i="233" s="1"/>
  <c r="S188" i="233"/>
  <c r="T188" i="233" s="1"/>
  <c r="O188" i="233"/>
  <c r="K188" i="233"/>
  <c r="N188" i="233" s="1"/>
  <c r="S187" i="233"/>
  <c r="O187" i="233"/>
  <c r="K187" i="233"/>
  <c r="N187" i="233" s="1"/>
  <c r="S186" i="233"/>
  <c r="T186" i="233" s="1"/>
  <c r="O186" i="233"/>
  <c r="K186" i="233"/>
  <c r="N186" i="233" s="1"/>
  <c r="S185" i="233"/>
  <c r="T185" i="233" s="1"/>
  <c r="O185" i="233"/>
  <c r="K185" i="233"/>
  <c r="N185" i="233" s="1"/>
  <c r="S184" i="233"/>
  <c r="T184" i="233" s="1"/>
  <c r="O184" i="233"/>
  <c r="K184" i="233"/>
  <c r="N184" i="233" s="1"/>
  <c r="S183" i="233"/>
  <c r="T183" i="233" s="1"/>
  <c r="O183" i="233"/>
  <c r="K183" i="233"/>
  <c r="N183" i="233" s="1"/>
  <c r="S182" i="233"/>
  <c r="T182" i="233" s="1"/>
  <c r="K182" i="233"/>
  <c r="N182" i="233" s="1"/>
  <c r="P182" i="233" s="1"/>
  <c r="S181" i="233"/>
  <c r="T181" i="233" s="1"/>
  <c r="O181" i="233"/>
  <c r="K181" i="233"/>
  <c r="N181" i="233" s="1"/>
  <c r="S180" i="233"/>
  <c r="M180" i="233"/>
  <c r="L180" i="233"/>
  <c r="O180" i="233" s="1"/>
  <c r="S179" i="233"/>
  <c r="M179" i="233"/>
  <c r="L179" i="233"/>
  <c r="O179" i="233" s="1"/>
  <c r="S178" i="233"/>
  <c r="M178" i="233"/>
  <c r="L178" i="233"/>
  <c r="O178" i="233" s="1"/>
  <c r="S177" i="233"/>
  <c r="M177" i="233"/>
  <c r="L177" i="233"/>
  <c r="O177" i="233" s="1"/>
  <c r="S176" i="233"/>
  <c r="M176" i="233"/>
  <c r="L176" i="233"/>
  <c r="O176" i="233" s="1"/>
  <c r="S175" i="233"/>
  <c r="T175" i="233" s="1"/>
  <c r="O175" i="233"/>
  <c r="K175" i="233"/>
  <c r="N175" i="233" s="1"/>
  <c r="S174" i="233"/>
  <c r="M174" i="233"/>
  <c r="L174" i="233"/>
  <c r="O174" i="233" s="1"/>
  <c r="S173" i="233"/>
  <c r="M173" i="233"/>
  <c r="L173" i="233"/>
  <c r="O173" i="233" s="1"/>
  <c r="S172" i="233"/>
  <c r="M172" i="233"/>
  <c r="L172" i="233"/>
  <c r="S171" i="233"/>
  <c r="T171" i="233" s="1"/>
  <c r="M171" i="233"/>
  <c r="L171" i="233"/>
  <c r="M170" i="233"/>
  <c r="L170" i="233"/>
  <c r="O170" i="233" s="1"/>
  <c r="M169" i="233"/>
  <c r="L169" i="233"/>
  <c r="S159" i="233"/>
  <c r="T159" i="233" s="1"/>
  <c r="O159" i="233"/>
  <c r="K159" i="233"/>
  <c r="N159" i="233" s="1"/>
  <c r="S158" i="233"/>
  <c r="T158" i="233" s="1"/>
  <c r="O158" i="233"/>
  <c r="K158" i="233"/>
  <c r="N158" i="233" s="1"/>
  <c r="S157" i="233"/>
  <c r="T157" i="233" s="1"/>
  <c r="O157" i="233"/>
  <c r="K157" i="233"/>
  <c r="N157" i="233" s="1"/>
  <c r="S156" i="233"/>
  <c r="T156" i="233" s="1"/>
  <c r="O156" i="233"/>
  <c r="K156" i="233"/>
  <c r="N156" i="233" s="1"/>
  <c r="S155" i="233"/>
  <c r="T155" i="233" s="1"/>
  <c r="O155" i="233"/>
  <c r="K155" i="233"/>
  <c r="N155" i="233" s="1"/>
  <c r="S154" i="233"/>
  <c r="T154" i="233" s="1"/>
  <c r="O154" i="233"/>
  <c r="K154" i="233"/>
  <c r="N154" i="233" s="1"/>
  <c r="S153" i="233"/>
  <c r="T153" i="233" s="1"/>
  <c r="O153" i="233"/>
  <c r="K153" i="233"/>
  <c r="N153" i="233" s="1"/>
  <c r="S152" i="233"/>
  <c r="T152" i="233" s="1"/>
  <c r="O152" i="233"/>
  <c r="K152" i="233"/>
  <c r="N152" i="233" s="1"/>
  <c r="S151" i="233"/>
  <c r="T151" i="233" s="1"/>
  <c r="O151" i="233"/>
  <c r="K151" i="233"/>
  <c r="N151" i="233" s="1"/>
  <c r="S150" i="233"/>
  <c r="T150" i="233" s="1"/>
  <c r="O150" i="233"/>
  <c r="K150" i="233"/>
  <c r="N150" i="233" s="1"/>
  <c r="S149" i="233"/>
  <c r="T149" i="233" s="1"/>
  <c r="O149" i="233"/>
  <c r="K149" i="233"/>
  <c r="N149" i="233" s="1"/>
  <c r="S148" i="233"/>
  <c r="T148" i="233" s="1"/>
  <c r="O148" i="233"/>
  <c r="K148" i="233"/>
  <c r="N148" i="233" s="1"/>
  <c r="S147" i="233"/>
  <c r="T147" i="233" s="1"/>
  <c r="O147" i="233"/>
  <c r="K147" i="233"/>
  <c r="N147" i="233" s="1"/>
  <c r="S146" i="233"/>
  <c r="T146" i="233" s="1"/>
  <c r="O146" i="233"/>
  <c r="K146" i="233"/>
  <c r="N146" i="233" s="1"/>
  <c r="S145" i="233"/>
  <c r="T145" i="233" s="1"/>
  <c r="O145" i="233"/>
  <c r="K145" i="233"/>
  <c r="N145" i="233" s="1"/>
  <c r="S144" i="233"/>
  <c r="T144" i="233" s="1"/>
  <c r="O144" i="233"/>
  <c r="K144" i="233"/>
  <c r="N144" i="233" s="1"/>
  <c r="S143" i="233"/>
  <c r="T143" i="233" s="1"/>
  <c r="O143" i="233"/>
  <c r="K143" i="233"/>
  <c r="N143" i="233" s="1"/>
  <c r="S142" i="233"/>
  <c r="T142" i="233" s="1"/>
  <c r="O142" i="233"/>
  <c r="K142" i="233"/>
  <c r="N142" i="233" s="1"/>
  <c r="S141" i="233"/>
  <c r="T141" i="233" s="1"/>
  <c r="O141" i="233"/>
  <c r="K141" i="233"/>
  <c r="N141" i="233" s="1"/>
  <c r="S140" i="233"/>
  <c r="T140" i="233" s="1"/>
  <c r="O140" i="233"/>
  <c r="K140" i="233"/>
  <c r="N140" i="233" s="1"/>
  <c r="S139" i="233"/>
  <c r="T139" i="233" s="1"/>
  <c r="O139" i="233"/>
  <c r="K139" i="233"/>
  <c r="N139" i="233" s="1"/>
  <c r="BJ138" i="233"/>
  <c r="BG138" i="233"/>
  <c r="BF138" i="233"/>
  <c r="BB138" i="233"/>
  <c r="AZ138" i="233"/>
  <c r="AX138" i="233"/>
  <c r="AV138" i="233"/>
  <c r="AU138" i="233"/>
  <c r="S138" i="233"/>
  <c r="M138" i="233"/>
  <c r="BD138" i="233" s="1"/>
  <c r="L138" i="233"/>
  <c r="S137" i="233"/>
  <c r="T137" i="233" s="1"/>
  <c r="O137" i="233"/>
  <c r="K137" i="233"/>
  <c r="N137" i="233" s="1"/>
  <c r="S136" i="233"/>
  <c r="T136" i="233" s="1"/>
  <c r="O136" i="233"/>
  <c r="K136" i="233"/>
  <c r="N136" i="233" s="1"/>
  <c r="S135" i="233"/>
  <c r="T135" i="233" s="1"/>
  <c r="O135" i="233"/>
  <c r="K135" i="233"/>
  <c r="N135" i="233" s="1"/>
  <c r="S134" i="233"/>
  <c r="T134" i="233" s="1"/>
  <c r="O134" i="233"/>
  <c r="K134" i="233"/>
  <c r="N134" i="233" s="1"/>
  <c r="S133" i="233"/>
  <c r="T133" i="233" s="1"/>
  <c r="O133" i="233"/>
  <c r="K133" i="233"/>
  <c r="N133" i="233" s="1"/>
  <c r="S132" i="233"/>
  <c r="T132" i="233" s="1"/>
  <c r="O132" i="233"/>
  <c r="K132" i="233"/>
  <c r="N132" i="233" s="1"/>
  <c r="S131" i="233"/>
  <c r="T131" i="233" s="1"/>
  <c r="O131" i="233"/>
  <c r="K131" i="233"/>
  <c r="N131" i="233" s="1"/>
  <c r="S130" i="233"/>
  <c r="T130" i="233" s="1"/>
  <c r="O130" i="233"/>
  <c r="K130" i="233"/>
  <c r="N130" i="233" s="1"/>
  <c r="S129" i="233"/>
  <c r="T129" i="233" s="1"/>
  <c r="O129" i="233"/>
  <c r="K129" i="233"/>
  <c r="N129" i="233" s="1"/>
  <c r="S128" i="233"/>
  <c r="T128" i="233" s="1"/>
  <c r="O128" i="233"/>
  <c r="K128" i="233"/>
  <c r="N128" i="233" s="1"/>
  <c r="S127" i="233"/>
  <c r="T127" i="233" s="1"/>
  <c r="O127" i="233"/>
  <c r="K127" i="233"/>
  <c r="N127" i="233" s="1"/>
  <c r="S126" i="233"/>
  <c r="T126" i="233" s="1"/>
  <c r="O126" i="233"/>
  <c r="K126" i="233"/>
  <c r="N126" i="233" s="1"/>
  <c r="S125" i="233"/>
  <c r="T125" i="233" s="1"/>
  <c r="O125" i="233"/>
  <c r="K125" i="233"/>
  <c r="N125" i="233" s="1"/>
  <c r="S124" i="233"/>
  <c r="T124" i="233" s="1"/>
  <c r="O124" i="233"/>
  <c r="K124" i="233"/>
  <c r="N124" i="233" s="1"/>
  <c r="S123" i="233"/>
  <c r="T123" i="233" s="1"/>
  <c r="K123" i="233"/>
  <c r="N123" i="233" s="1"/>
  <c r="S122" i="233"/>
  <c r="T122" i="233" s="1"/>
  <c r="K122" i="233"/>
  <c r="N122" i="233" s="1"/>
  <c r="S121" i="233"/>
  <c r="T121" i="233" s="1"/>
  <c r="K121" i="233"/>
  <c r="N121" i="233" s="1"/>
  <c r="X121" i="233" s="1"/>
  <c r="S120" i="233"/>
  <c r="T120" i="233" s="1"/>
  <c r="K120" i="233"/>
  <c r="N120" i="233" s="1"/>
  <c r="S119" i="233"/>
  <c r="T119" i="233" s="1"/>
  <c r="K119" i="233"/>
  <c r="N119" i="233" s="1"/>
  <c r="S118" i="233"/>
  <c r="M118" i="233"/>
  <c r="L118" i="233"/>
  <c r="O118" i="233" s="1"/>
  <c r="S117" i="233"/>
  <c r="M117" i="233"/>
  <c r="L117" i="233"/>
  <c r="O117" i="233" s="1"/>
  <c r="S116" i="233"/>
  <c r="M116" i="233"/>
  <c r="L116" i="233"/>
  <c r="O116" i="233" s="1"/>
  <c r="S115" i="233"/>
  <c r="M115" i="233"/>
  <c r="L115" i="233"/>
  <c r="O115" i="233" s="1"/>
  <c r="S114" i="233"/>
  <c r="M114" i="233"/>
  <c r="L114" i="233"/>
  <c r="O114" i="233" s="1"/>
  <c r="S113" i="233"/>
  <c r="T113" i="233" s="1"/>
  <c r="O113" i="233"/>
  <c r="K113" i="233"/>
  <c r="N113" i="233" s="1"/>
  <c r="S112" i="233"/>
  <c r="T112" i="233" s="1"/>
  <c r="O112" i="233"/>
  <c r="K112" i="233"/>
  <c r="N112" i="233" s="1"/>
  <c r="S111" i="233"/>
  <c r="M111" i="233"/>
  <c r="L111" i="233"/>
  <c r="O111" i="233" s="1"/>
  <c r="S110" i="233"/>
  <c r="M110" i="233"/>
  <c r="L110" i="233"/>
  <c r="S109" i="233"/>
  <c r="M109" i="233"/>
  <c r="L109" i="233"/>
  <c r="O109" i="233" s="1"/>
  <c r="S108" i="233"/>
  <c r="M108" i="233"/>
  <c r="L108" i="233"/>
  <c r="O108" i="233" s="1"/>
  <c r="S107" i="233"/>
  <c r="M107" i="233"/>
  <c r="L107" i="233"/>
  <c r="S106" i="233"/>
  <c r="M106" i="233"/>
  <c r="L106" i="233"/>
  <c r="S105" i="233"/>
  <c r="M105" i="233"/>
  <c r="L105" i="233"/>
  <c r="O105" i="233" s="1"/>
  <c r="S95" i="233"/>
  <c r="T95" i="233" s="1"/>
  <c r="O95" i="233"/>
  <c r="K95" i="233"/>
  <c r="N95" i="233" s="1"/>
  <c r="S94" i="233"/>
  <c r="T94" i="233" s="1"/>
  <c r="O94" i="233"/>
  <c r="K94" i="233"/>
  <c r="N94" i="233" s="1"/>
  <c r="S93" i="233"/>
  <c r="T93" i="233" s="1"/>
  <c r="O93" i="233"/>
  <c r="K93" i="233"/>
  <c r="N93" i="233" s="1"/>
  <c r="S92" i="233"/>
  <c r="T92" i="233" s="1"/>
  <c r="O92" i="233"/>
  <c r="K92" i="233"/>
  <c r="N92" i="233" s="1"/>
  <c r="S91" i="233"/>
  <c r="T91" i="233" s="1"/>
  <c r="O91" i="233"/>
  <c r="K91" i="233"/>
  <c r="N91" i="233" s="1"/>
  <c r="S90" i="233"/>
  <c r="T90" i="233" s="1"/>
  <c r="O90" i="233"/>
  <c r="K90" i="233"/>
  <c r="N90" i="233" s="1"/>
  <c r="S89" i="233"/>
  <c r="T89" i="233" s="1"/>
  <c r="O89" i="233"/>
  <c r="K89" i="233"/>
  <c r="N89" i="233" s="1"/>
  <c r="S88" i="233"/>
  <c r="T88" i="233" s="1"/>
  <c r="O88" i="233"/>
  <c r="K88" i="233"/>
  <c r="N88" i="233" s="1"/>
  <c r="S87" i="233"/>
  <c r="T87" i="233" s="1"/>
  <c r="O87" i="233"/>
  <c r="K87" i="233"/>
  <c r="N87" i="233" s="1"/>
  <c r="S86" i="233"/>
  <c r="T86" i="233" s="1"/>
  <c r="O86" i="233"/>
  <c r="K86" i="233"/>
  <c r="N86" i="233" s="1"/>
  <c r="S85" i="233"/>
  <c r="T85" i="233" s="1"/>
  <c r="O85" i="233"/>
  <c r="K85" i="233"/>
  <c r="N85" i="233" s="1"/>
  <c r="S84" i="233"/>
  <c r="T84" i="233" s="1"/>
  <c r="O84" i="233"/>
  <c r="K84" i="233"/>
  <c r="N84" i="233" s="1"/>
  <c r="S83" i="233"/>
  <c r="T83" i="233" s="1"/>
  <c r="O83" i="233"/>
  <c r="K83" i="233"/>
  <c r="N83" i="233" s="1"/>
  <c r="S82" i="233"/>
  <c r="T82" i="233" s="1"/>
  <c r="O82" i="233"/>
  <c r="K82" i="233"/>
  <c r="N82" i="233" s="1"/>
  <c r="S81" i="233"/>
  <c r="T81" i="233" s="1"/>
  <c r="O81" i="233"/>
  <c r="K81" i="233"/>
  <c r="N81" i="233" s="1"/>
  <c r="S80" i="233"/>
  <c r="T80" i="233" s="1"/>
  <c r="O80" i="233"/>
  <c r="K80" i="233"/>
  <c r="N80" i="233" s="1"/>
  <c r="S79" i="233"/>
  <c r="T79" i="233" s="1"/>
  <c r="O79" i="233"/>
  <c r="K79" i="233"/>
  <c r="N79" i="233" s="1"/>
  <c r="S78" i="233"/>
  <c r="T78" i="233" s="1"/>
  <c r="O78" i="233"/>
  <c r="K78" i="233"/>
  <c r="N78" i="233" s="1"/>
  <c r="S77" i="233"/>
  <c r="T77" i="233" s="1"/>
  <c r="O77" i="233"/>
  <c r="K77" i="233"/>
  <c r="N77" i="233" s="1"/>
  <c r="S76" i="233"/>
  <c r="T76" i="233" s="1"/>
  <c r="O76" i="233"/>
  <c r="K76" i="233"/>
  <c r="N76" i="233" s="1"/>
  <c r="S75" i="233"/>
  <c r="M75" i="233"/>
  <c r="L75" i="233"/>
  <c r="O75" i="233" s="1"/>
  <c r="S74" i="233"/>
  <c r="M74" i="233"/>
  <c r="L74" i="233"/>
  <c r="O74" i="233" s="1"/>
  <c r="S73" i="233"/>
  <c r="T73" i="233" s="1"/>
  <c r="O73" i="233"/>
  <c r="K73" i="233"/>
  <c r="N73" i="233" s="1"/>
  <c r="S72" i="233"/>
  <c r="T72" i="233" s="1"/>
  <c r="O72" i="233"/>
  <c r="K72" i="233"/>
  <c r="N72" i="233" s="1"/>
  <c r="S71" i="233"/>
  <c r="T71" i="233" s="1"/>
  <c r="O71" i="233"/>
  <c r="K71" i="233"/>
  <c r="N71" i="233" s="1"/>
  <c r="S70" i="233"/>
  <c r="T70" i="233" s="1"/>
  <c r="O70" i="233"/>
  <c r="K70" i="233"/>
  <c r="N70" i="233" s="1"/>
  <c r="S69" i="233"/>
  <c r="T69" i="233" s="1"/>
  <c r="O69" i="233"/>
  <c r="K69" i="233"/>
  <c r="N69" i="233" s="1"/>
  <c r="S68" i="233"/>
  <c r="T68" i="233" s="1"/>
  <c r="O68" i="233"/>
  <c r="K68" i="233"/>
  <c r="N68" i="233" s="1"/>
  <c r="S67" i="233"/>
  <c r="T67" i="233" s="1"/>
  <c r="O67" i="233"/>
  <c r="K67" i="233"/>
  <c r="N67" i="233" s="1"/>
  <c r="S66" i="233"/>
  <c r="T66" i="233" s="1"/>
  <c r="O66" i="233"/>
  <c r="K66" i="233"/>
  <c r="N66" i="233" s="1"/>
  <c r="S65" i="233"/>
  <c r="T65" i="233" s="1"/>
  <c r="O65" i="233"/>
  <c r="K65" i="233"/>
  <c r="N65" i="233" s="1"/>
  <c r="S64" i="233"/>
  <c r="T64" i="233" s="1"/>
  <c r="O64" i="233"/>
  <c r="K64" i="233"/>
  <c r="N64" i="233" s="1"/>
  <c r="S63" i="233"/>
  <c r="T63" i="233" s="1"/>
  <c r="O63" i="233"/>
  <c r="K63" i="233"/>
  <c r="N63" i="233" s="1"/>
  <c r="S62" i="233"/>
  <c r="M62" i="233"/>
  <c r="L62" i="233"/>
  <c r="O62" i="233" s="1"/>
  <c r="S61" i="233"/>
  <c r="T61" i="233" s="1"/>
  <c r="O61" i="233"/>
  <c r="K61" i="233"/>
  <c r="N61" i="233" s="1"/>
  <c r="S60" i="233"/>
  <c r="T60" i="233" s="1"/>
  <c r="O60" i="233"/>
  <c r="K60" i="233"/>
  <c r="N60" i="233" s="1"/>
  <c r="S59" i="233"/>
  <c r="M59" i="233"/>
  <c r="L59" i="233"/>
  <c r="O59" i="233" s="1"/>
  <c r="S58" i="233"/>
  <c r="M58" i="233"/>
  <c r="L58" i="233"/>
  <c r="O58" i="233" s="1"/>
  <c r="S57" i="233"/>
  <c r="M57" i="233"/>
  <c r="L57" i="233"/>
  <c r="O57" i="233" s="1"/>
  <c r="S56" i="233"/>
  <c r="M56" i="233"/>
  <c r="L56" i="233"/>
  <c r="O56" i="233" s="1"/>
  <c r="S55" i="233"/>
  <c r="T55" i="233" s="1"/>
  <c r="O55" i="233"/>
  <c r="M55" i="233"/>
  <c r="K55" i="233" s="1"/>
  <c r="N55" i="233" s="1"/>
  <c r="S54" i="233"/>
  <c r="T54" i="233" s="1"/>
  <c r="O54" i="233"/>
  <c r="K54" i="233"/>
  <c r="N54" i="233" s="1"/>
  <c r="S53" i="233"/>
  <c r="M53" i="233"/>
  <c r="L53" i="233"/>
  <c r="S52" i="233"/>
  <c r="M52" i="233"/>
  <c r="L52" i="233"/>
  <c r="O52" i="233" s="1"/>
  <c r="S51" i="233"/>
  <c r="M51" i="233"/>
  <c r="L51" i="233"/>
  <c r="O51" i="233" s="1"/>
  <c r="S50" i="233"/>
  <c r="M50" i="233"/>
  <c r="L50" i="233"/>
  <c r="O50" i="233" s="1"/>
  <c r="S49" i="233"/>
  <c r="T49" i="233" s="1"/>
  <c r="O49" i="233"/>
  <c r="K49" i="233"/>
  <c r="N49" i="233" s="1"/>
  <c r="S48" i="233"/>
  <c r="T48" i="233" s="1"/>
  <c r="O48" i="233"/>
  <c r="K48" i="233"/>
  <c r="N48" i="233" s="1"/>
  <c r="S47" i="233"/>
  <c r="T47" i="233" s="1"/>
  <c r="O47" i="233"/>
  <c r="K47" i="233"/>
  <c r="N47" i="233" s="1"/>
  <c r="S46" i="233"/>
  <c r="T46" i="233" s="1"/>
  <c r="O46" i="233"/>
  <c r="K46" i="233"/>
  <c r="N46" i="233" s="1"/>
  <c r="S36" i="233"/>
  <c r="T36" i="233" s="1"/>
  <c r="O36" i="233"/>
  <c r="K36" i="233"/>
  <c r="N36" i="233" s="1"/>
  <c r="S35" i="233"/>
  <c r="T35" i="233" s="1"/>
  <c r="O35" i="233"/>
  <c r="K35" i="233"/>
  <c r="N35" i="233" s="1"/>
  <c r="S34" i="233"/>
  <c r="T34" i="233" s="1"/>
  <c r="O34" i="233"/>
  <c r="K34" i="233"/>
  <c r="N34" i="233" s="1"/>
  <c r="S33" i="233"/>
  <c r="T33" i="233" s="1"/>
  <c r="O33" i="233"/>
  <c r="K33" i="233"/>
  <c r="N33" i="233" s="1"/>
  <c r="S32" i="233"/>
  <c r="T32" i="233" s="1"/>
  <c r="O32" i="233"/>
  <c r="K32" i="233"/>
  <c r="N32" i="233" s="1"/>
  <c r="S31" i="233"/>
  <c r="T31" i="233" s="1"/>
  <c r="O31" i="233"/>
  <c r="K31" i="233"/>
  <c r="N31" i="233" s="1"/>
  <c r="S30" i="233"/>
  <c r="T30" i="233" s="1"/>
  <c r="O30" i="233"/>
  <c r="K30" i="233"/>
  <c r="N30" i="233" s="1"/>
  <c r="S29" i="233"/>
  <c r="T29" i="233" s="1"/>
  <c r="O29" i="233"/>
  <c r="K29" i="233"/>
  <c r="N29" i="233" s="1"/>
  <c r="S28" i="233"/>
  <c r="T28" i="233" s="1"/>
  <c r="O28" i="233"/>
  <c r="K28" i="233"/>
  <c r="N28" i="233" s="1"/>
  <c r="S27" i="233"/>
  <c r="T27" i="233" s="1"/>
  <c r="O27" i="233"/>
  <c r="K27" i="233"/>
  <c r="N27" i="233" s="1"/>
  <c r="S26" i="233"/>
  <c r="T26" i="233" s="1"/>
  <c r="O26" i="233"/>
  <c r="K26" i="233"/>
  <c r="N26" i="233" s="1"/>
  <c r="S25" i="233"/>
  <c r="T25" i="233" s="1"/>
  <c r="O25" i="233"/>
  <c r="K25" i="233"/>
  <c r="N25" i="233" s="1"/>
  <c r="S24" i="233"/>
  <c r="T24" i="233" s="1"/>
  <c r="O24" i="233"/>
  <c r="K24" i="233"/>
  <c r="N24" i="233" s="1"/>
  <c r="S23" i="233"/>
  <c r="T23" i="233" s="1"/>
  <c r="O23" i="233"/>
  <c r="K23" i="233"/>
  <c r="N23" i="233" s="1"/>
  <c r="S22" i="233"/>
  <c r="T22" i="233" s="1"/>
  <c r="O22" i="233"/>
  <c r="K22" i="233"/>
  <c r="N22" i="233" s="1"/>
  <c r="S21" i="233"/>
  <c r="T21" i="233" s="1"/>
  <c r="O21" i="233"/>
  <c r="K21" i="233"/>
  <c r="N21" i="233" s="1"/>
  <c r="S20" i="233"/>
  <c r="T20" i="233" s="1"/>
  <c r="O20" i="233"/>
  <c r="K20" i="233"/>
  <c r="N20" i="233" s="1"/>
  <c r="S19" i="233"/>
  <c r="T19" i="233" s="1"/>
  <c r="O19" i="233"/>
  <c r="K19" i="233"/>
  <c r="N19" i="233" s="1"/>
  <c r="S18" i="233"/>
  <c r="T18" i="233" s="1"/>
  <c r="O18" i="233"/>
  <c r="K18" i="233"/>
  <c r="N18" i="233" s="1"/>
  <c r="S17" i="233"/>
  <c r="T17" i="233" s="1"/>
  <c r="O17" i="233"/>
  <c r="K17" i="233"/>
  <c r="N17" i="233" s="1"/>
  <c r="S16" i="233"/>
  <c r="O16" i="233"/>
  <c r="K16" i="233"/>
  <c r="N16" i="233" s="1"/>
  <c r="S15" i="233"/>
  <c r="T15" i="233" s="1"/>
  <c r="O15" i="233"/>
  <c r="K15" i="233"/>
  <c r="N15" i="233" s="1"/>
  <c r="O14" i="233"/>
  <c r="K14" i="233"/>
  <c r="N14" i="233" s="1"/>
  <c r="O13" i="233"/>
  <c r="K13" i="233"/>
  <c r="N13" i="233" s="1"/>
  <c r="O12" i="233"/>
  <c r="K12" i="233"/>
  <c r="N12" i="233" s="1"/>
  <c r="Y134" i="233"/>
  <c r="Z136" i="233"/>
  <c r="Y136" i="233"/>
  <c r="AB136" i="233"/>
  <c r="Z134" i="233"/>
  <c r="BN138" i="233"/>
  <c r="AC136" i="233"/>
  <c r="AC134" i="233"/>
  <c r="AB134" i="233"/>
  <c r="T50" i="233" l="1"/>
  <c r="K117" i="233"/>
  <c r="N117" i="233" s="1"/>
  <c r="K172" i="233"/>
  <c r="N172" i="233" s="1"/>
  <c r="K59" i="233"/>
  <c r="N59" i="233" s="1"/>
  <c r="X59" i="233" s="1"/>
  <c r="P16" i="233"/>
  <c r="X15" i="233"/>
  <c r="AA15" i="233" s="1"/>
  <c r="P23" i="233"/>
  <c r="P27" i="233"/>
  <c r="U27" i="233" s="1"/>
  <c r="X61" i="233"/>
  <c r="P65" i="233"/>
  <c r="X26" i="233"/>
  <c r="AA26" i="233" s="1"/>
  <c r="AE26" i="233" s="1"/>
  <c r="P157" i="233"/>
  <c r="U157" i="233" s="1"/>
  <c r="P183" i="233"/>
  <c r="U183" i="233" s="1"/>
  <c r="P146" i="233"/>
  <c r="U146" i="233" s="1"/>
  <c r="P154" i="233"/>
  <c r="U154" i="233" s="1"/>
  <c r="K74" i="233"/>
  <c r="N74" i="233" s="1"/>
  <c r="P74" i="233" s="1"/>
  <c r="T75" i="233"/>
  <c r="T138" i="233"/>
  <c r="P12" i="233"/>
  <c r="P14" i="233"/>
  <c r="P17" i="233"/>
  <c r="U17" i="233" s="1"/>
  <c r="X143" i="233"/>
  <c r="AA143" i="233" s="1"/>
  <c r="AE143" i="233" s="1"/>
  <c r="P155" i="233"/>
  <c r="U155" i="233" s="1"/>
  <c r="P185" i="233"/>
  <c r="U185" i="233" s="1"/>
  <c r="X150" i="233"/>
  <c r="AA150" i="233" s="1"/>
  <c r="AD150" i="233" s="1"/>
  <c r="P150" i="233"/>
  <c r="K58" i="233"/>
  <c r="N58" i="233" s="1"/>
  <c r="X58" i="233" s="1"/>
  <c r="T59" i="233"/>
  <c r="T111" i="233"/>
  <c r="T115" i="233"/>
  <c r="K62" i="233"/>
  <c r="N62" i="233" s="1"/>
  <c r="P62" i="233" s="1"/>
  <c r="K105" i="233"/>
  <c r="N105" i="233" s="1"/>
  <c r="X105" i="233" s="1"/>
  <c r="K177" i="233"/>
  <c r="N177" i="233" s="1"/>
  <c r="P177" i="233" s="1"/>
  <c r="K179" i="233"/>
  <c r="N179" i="233" s="1"/>
  <c r="T106" i="233"/>
  <c r="T110" i="233"/>
  <c r="K178" i="233"/>
  <c r="N178" i="233" s="1"/>
  <c r="P178" i="233" s="1"/>
  <c r="P13" i="233"/>
  <c r="S41" i="233"/>
  <c r="K53" i="233"/>
  <c r="N53" i="233" s="1"/>
  <c r="K56" i="233"/>
  <c r="N56" i="233" s="1"/>
  <c r="P56" i="233" s="1"/>
  <c r="P64" i="233"/>
  <c r="U64" i="233" s="1"/>
  <c r="T118" i="233"/>
  <c r="P159" i="233"/>
  <c r="U159" i="233" s="1"/>
  <c r="P193" i="233"/>
  <c r="P197" i="233"/>
  <c r="X195" i="233"/>
  <c r="AA195" i="233" s="1"/>
  <c r="AE195" i="233" s="1"/>
  <c r="P195" i="233"/>
  <c r="U195" i="233" s="1"/>
  <c r="X142" i="233"/>
  <c r="AA142" i="233" s="1"/>
  <c r="AD142" i="233" s="1"/>
  <c r="P142" i="233"/>
  <c r="U142" i="233" s="1"/>
  <c r="X194" i="233"/>
  <c r="AA194" i="233" s="1"/>
  <c r="AD194" i="233" s="1"/>
  <c r="P194" i="233"/>
  <c r="U194" i="233" s="1"/>
  <c r="X25" i="233"/>
  <c r="AA25" i="233" s="1"/>
  <c r="AD25" i="233" s="1"/>
  <c r="P25" i="233"/>
  <c r="X24" i="233"/>
  <c r="AA24" i="233" s="1"/>
  <c r="AE24" i="233" s="1"/>
  <c r="P24" i="233"/>
  <c r="K51" i="233"/>
  <c r="N51" i="233" s="1"/>
  <c r="P51" i="233" s="1"/>
  <c r="T52" i="233"/>
  <c r="P63" i="233"/>
  <c r="U63" i="233" s="1"/>
  <c r="K75" i="233"/>
  <c r="N75" i="233" s="1"/>
  <c r="X75" i="233" s="1"/>
  <c r="AA75" i="233" s="1"/>
  <c r="T105" i="233"/>
  <c r="K107" i="233"/>
  <c r="N107" i="233" s="1"/>
  <c r="K109" i="233"/>
  <c r="N109" i="233" s="1"/>
  <c r="P109" i="233" s="1"/>
  <c r="T114" i="233"/>
  <c r="P135" i="233"/>
  <c r="U135" i="233" s="1"/>
  <c r="X147" i="233"/>
  <c r="AA147" i="233" s="1"/>
  <c r="AE147" i="233" s="1"/>
  <c r="K174" i="233"/>
  <c r="N174" i="233" s="1"/>
  <c r="P174" i="233" s="1"/>
  <c r="U182" i="233"/>
  <c r="P184" i="233"/>
  <c r="U184" i="233" s="1"/>
  <c r="T192" i="233"/>
  <c r="T58" i="233"/>
  <c r="O172" i="233"/>
  <c r="X172" i="233" s="1"/>
  <c r="S43" i="233"/>
  <c r="O107" i="233"/>
  <c r="T108" i="233"/>
  <c r="K115" i="233"/>
  <c r="N115" i="233" s="1"/>
  <c r="P115" i="233" s="1"/>
  <c r="X151" i="233"/>
  <c r="AA151" i="233" s="1"/>
  <c r="AE151" i="233" s="1"/>
  <c r="P153" i="233"/>
  <c r="U153" i="233" s="1"/>
  <c r="X19" i="233"/>
  <c r="AA19" i="233" s="1"/>
  <c r="AE19" i="233" s="1"/>
  <c r="P19" i="233"/>
  <c r="U19" i="233" s="1"/>
  <c r="P190" i="233"/>
  <c r="X190" i="233"/>
  <c r="AA190" i="233" s="1"/>
  <c r="AE190" i="233" s="1"/>
  <c r="P18" i="233"/>
  <c r="U18" i="233" s="1"/>
  <c r="X18" i="233"/>
  <c r="AA18" i="233" s="1"/>
  <c r="AE18" i="233" s="1"/>
  <c r="P48" i="233"/>
  <c r="U48" i="233" s="1"/>
  <c r="X48" i="233"/>
  <c r="X54" i="233"/>
  <c r="P54" i="233"/>
  <c r="P158" i="233"/>
  <c r="U158" i="233" s="1"/>
  <c r="X158" i="233"/>
  <c r="X188" i="233"/>
  <c r="P188" i="233"/>
  <c r="U188" i="233" s="1"/>
  <c r="X198" i="233"/>
  <c r="P198" i="233"/>
  <c r="P22" i="233"/>
  <c r="U22" i="233" s="1"/>
  <c r="X22" i="233"/>
  <c r="AA22" i="233" s="1"/>
  <c r="AE22" i="233" s="1"/>
  <c r="P20" i="233"/>
  <c r="U20" i="233" s="1"/>
  <c r="X20" i="233"/>
  <c r="X21" i="233"/>
  <c r="AA21" i="233" s="1"/>
  <c r="AE21" i="233" s="1"/>
  <c r="P21" i="233"/>
  <c r="U65" i="233"/>
  <c r="T16" i="233"/>
  <c r="T53" i="233"/>
  <c r="X65" i="233"/>
  <c r="Y65" i="233" s="1"/>
  <c r="T107" i="233"/>
  <c r="K111" i="233"/>
  <c r="N111" i="233" s="1"/>
  <c r="P111" i="233" s="1"/>
  <c r="X146" i="233"/>
  <c r="AA146" i="233" s="1"/>
  <c r="AE146" i="233" s="1"/>
  <c r="X154" i="233"/>
  <c r="AA154" i="233" s="1"/>
  <c r="X155" i="233"/>
  <c r="AA155" i="233" s="1"/>
  <c r="AE155" i="233" s="1"/>
  <c r="K180" i="233"/>
  <c r="N180" i="233" s="1"/>
  <c r="X180" i="233" s="1"/>
  <c r="X16" i="233"/>
  <c r="AA16" i="233" s="1"/>
  <c r="AE16" i="233" s="1"/>
  <c r="O53" i="233"/>
  <c r="P61" i="233"/>
  <c r="Y61" i="233" s="1"/>
  <c r="T117" i="233"/>
  <c r="T174" i="233"/>
  <c r="T177" i="233"/>
  <c r="P15" i="233"/>
  <c r="AF15" i="233" s="1"/>
  <c r="S40" i="233"/>
  <c r="S39" i="233"/>
  <c r="T51" i="233"/>
  <c r="K57" i="233"/>
  <c r="N57" i="233" s="1"/>
  <c r="P57" i="233" s="1"/>
  <c r="T62" i="233"/>
  <c r="X64" i="233"/>
  <c r="Y64" i="233" s="1"/>
  <c r="T116" i="233"/>
  <c r="P121" i="233"/>
  <c r="U121" i="233" s="1"/>
  <c r="X135" i="233"/>
  <c r="K170" i="233"/>
  <c r="N170" i="233" s="1"/>
  <c r="P170" i="233" s="1"/>
  <c r="K173" i="233"/>
  <c r="N173" i="233" s="1"/>
  <c r="P173" i="233" s="1"/>
  <c r="K176" i="233"/>
  <c r="N176" i="233" s="1"/>
  <c r="X176" i="233" s="1"/>
  <c r="T179" i="233"/>
  <c r="BP138" i="233"/>
  <c r="AE15" i="233"/>
  <c r="AD15" i="233"/>
  <c r="U23" i="233"/>
  <c r="N41" i="233"/>
  <c r="X137" i="233"/>
  <c r="AA137" i="233" s="1"/>
  <c r="P137" i="233"/>
  <c r="X17" i="233"/>
  <c r="AA17" i="233" s="1"/>
  <c r="X23" i="233"/>
  <c r="AA23" i="233" s="1"/>
  <c r="P26" i="233"/>
  <c r="X28" i="233"/>
  <c r="AA28" i="233" s="1"/>
  <c r="P28" i="233"/>
  <c r="U28" i="233" s="1"/>
  <c r="X30" i="233"/>
  <c r="AA30" i="233" s="1"/>
  <c r="P30" i="233"/>
  <c r="U30" i="233" s="1"/>
  <c r="X32" i="233"/>
  <c r="AA32" i="233" s="1"/>
  <c r="P32" i="233"/>
  <c r="U32" i="233" s="1"/>
  <c r="X34" i="233"/>
  <c r="AA34" i="233" s="1"/>
  <c r="P34" i="233"/>
  <c r="U34" i="233" s="1"/>
  <c r="X36" i="233"/>
  <c r="AA36" i="233" s="1"/>
  <c r="P36" i="233"/>
  <c r="U36" i="233" s="1"/>
  <c r="X49" i="233"/>
  <c r="P49" i="233"/>
  <c r="U49" i="233" s="1"/>
  <c r="X56" i="233"/>
  <c r="P58" i="233"/>
  <c r="X63" i="233"/>
  <c r="P68" i="233"/>
  <c r="X68" i="233"/>
  <c r="X72" i="233"/>
  <c r="AA72" i="233" s="1"/>
  <c r="P72" i="233"/>
  <c r="X73" i="233"/>
  <c r="P73" i="233"/>
  <c r="U73" i="233" s="1"/>
  <c r="X112" i="233"/>
  <c r="P112" i="233"/>
  <c r="X113" i="233"/>
  <c r="P113" i="233"/>
  <c r="X117" i="233"/>
  <c r="P117" i="233"/>
  <c r="X119" i="233"/>
  <c r="P119" i="233"/>
  <c r="U119" i="233" s="1"/>
  <c r="P122" i="233"/>
  <c r="U122" i="233" s="1"/>
  <c r="X122" i="233"/>
  <c r="X134" i="233"/>
  <c r="AA134" i="233" s="1"/>
  <c r="P134" i="233"/>
  <c r="X148" i="233"/>
  <c r="AA148" i="233" s="1"/>
  <c r="P148" i="233"/>
  <c r="P180" i="233"/>
  <c r="T187" i="233"/>
  <c r="S205" i="233"/>
  <c r="X71" i="233"/>
  <c r="P71" i="233"/>
  <c r="U71" i="233" s="1"/>
  <c r="X78" i="233"/>
  <c r="AA78" i="233" s="1"/>
  <c r="P78" i="233"/>
  <c r="O110" i="233"/>
  <c r="K110" i="233"/>
  <c r="N110" i="233" s="1"/>
  <c r="N42" i="233"/>
  <c r="N38" i="233"/>
  <c r="N39" i="233"/>
  <c r="N43" i="233"/>
  <c r="N40" i="233"/>
  <c r="U21" i="233"/>
  <c r="X27" i="233"/>
  <c r="AA27" i="233" s="1"/>
  <c r="X46" i="233"/>
  <c r="P46" i="233"/>
  <c r="X47" i="233"/>
  <c r="P47" i="233"/>
  <c r="U47" i="233" s="1"/>
  <c r="X55" i="233"/>
  <c r="P55" i="233"/>
  <c r="X62" i="233"/>
  <c r="P67" i="233"/>
  <c r="X67" i="233"/>
  <c r="X69" i="233"/>
  <c r="P69" i="233"/>
  <c r="U69" i="233" s="1"/>
  <c r="X76" i="233"/>
  <c r="AA76" i="233" s="1"/>
  <c r="P76" i="233"/>
  <c r="X79" i="233"/>
  <c r="AA79" i="233" s="1"/>
  <c r="P79" i="233"/>
  <c r="X80" i="233"/>
  <c r="AA80" i="233" s="1"/>
  <c r="P80" i="233"/>
  <c r="X83" i="233"/>
  <c r="AA83" i="233" s="1"/>
  <c r="P83" i="233"/>
  <c r="X84" i="233"/>
  <c r="AA84" i="233" s="1"/>
  <c r="P84" i="233"/>
  <c r="X87" i="233"/>
  <c r="AA87" i="233" s="1"/>
  <c r="P87" i="233"/>
  <c r="U87" i="233" s="1"/>
  <c r="X88" i="233"/>
  <c r="AA88" i="233" s="1"/>
  <c r="P88" i="233"/>
  <c r="X91" i="233"/>
  <c r="AA91" i="233" s="1"/>
  <c r="P91" i="233"/>
  <c r="U91" i="233" s="1"/>
  <c r="X92" i="233"/>
  <c r="AA92" i="233" s="1"/>
  <c r="P92" i="233"/>
  <c r="X95" i="233"/>
  <c r="AA95" i="233" s="1"/>
  <c r="P95" i="233"/>
  <c r="X111" i="233"/>
  <c r="X82" i="233"/>
  <c r="AA82" i="233" s="1"/>
  <c r="P82" i="233"/>
  <c r="U82" i="233" s="1"/>
  <c r="X86" i="233"/>
  <c r="AA86" i="233" s="1"/>
  <c r="P86" i="233"/>
  <c r="U86" i="233" s="1"/>
  <c r="X90" i="233"/>
  <c r="AA90" i="233" s="1"/>
  <c r="P90" i="233"/>
  <c r="U90" i="233" s="1"/>
  <c r="X94" i="233"/>
  <c r="AA94" i="233" s="1"/>
  <c r="P94" i="233"/>
  <c r="U94" i="233" s="1"/>
  <c r="X109" i="233"/>
  <c r="X29" i="233"/>
  <c r="AA29" i="233" s="1"/>
  <c r="P29" i="233"/>
  <c r="X31" i="233"/>
  <c r="AA31" i="233" s="1"/>
  <c r="P31" i="233"/>
  <c r="X33" i="233"/>
  <c r="AA33" i="233" s="1"/>
  <c r="P33" i="233"/>
  <c r="U33" i="233" s="1"/>
  <c r="X35" i="233"/>
  <c r="AA35" i="233" s="1"/>
  <c r="P35" i="233"/>
  <c r="U35" i="233" s="1"/>
  <c r="T57" i="233"/>
  <c r="X60" i="233"/>
  <c r="P60" i="233"/>
  <c r="U60" i="233" s="1"/>
  <c r="X70" i="233"/>
  <c r="P70" i="233"/>
  <c r="U70" i="233" s="1"/>
  <c r="S98" i="233"/>
  <c r="O106" i="233"/>
  <c r="K106" i="233"/>
  <c r="N106" i="233" s="1"/>
  <c r="T109" i="233"/>
  <c r="X124" i="233"/>
  <c r="P124" i="233"/>
  <c r="U124" i="233" s="1"/>
  <c r="X125" i="233"/>
  <c r="P125" i="233"/>
  <c r="U125" i="233" s="1"/>
  <c r="X126" i="233"/>
  <c r="P126" i="233"/>
  <c r="U126" i="233" s="1"/>
  <c r="X130" i="233"/>
  <c r="P130" i="233"/>
  <c r="U130" i="233" s="1"/>
  <c r="S38" i="233"/>
  <c r="S42" i="233"/>
  <c r="S100" i="233"/>
  <c r="K50" i="233"/>
  <c r="N50" i="233" s="1"/>
  <c r="K52" i="233"/>
  <c r="N52" i="233" s="1"/>
  <c r="S102" i="233"/>
  <c r="K114" i="233"/>
  <c r="N114" i="233" s="1"/>
  <c r="K116" i="233"/>
  <c r="N116" i="233" s="1"/>
  <c r="K118" i="233"/>
  <c r="N118" i="233" s="1"/>
  <c r="X127" i="233"/>
  <c r="P127" i="233"/>
  <c r="U127" i="233" s="1"/>
  <c r="X128" i="233"/>
  <c r="P128" i="233"/>
  <c r="U128" i="233" s="1"/>
  <c r="X129" i="233"/>
  <c r="P129" i="233"/>
  <c r="U129" i="233" s="1"/>
  <c r="O138" i="233"/>
  <c r="K138" i="233"/>
  <c r="N138" i="233" s="1"/>
  <c r="X140" i="233"/>
  <c r="AA140" i="233" s="1"/>
  <c r="P140" i="233"/>
  <c r="X145" i="233"/>
  <c r="AA145" i="233" s="1"/>
  <c r="P145" i="233"/>
  <c r="AE150" i="233"/>
  <c r="P152" i="233"/>
  <c r="X152" i="233"/>
  <c r="AA152" i="233" s="1"/>
  <c r="X200" i="233"/>
  <c r="AA200" i="233" s="1"/>
  <c r="P200" i="233"/>
  <c r="X66" i="233"/>
  <c r="P66" i="233"/>
  <c r="X77" i="233"/>
  <c r="AA77" i="233" s="1"/>
  <c r="P77" i="233"/>
  <c r="X81" i="233"/>
  <c r="AA81" i="233" s="1"/>
  <c r="P81" i="233"/>
  <c r="X85" i="233"/>
  <c r="AA85" i="233" s="1"/>
  <c r="P85" i="233"/>
  <c r="U85" i="233" s="1"/>
  <c r="X89" i="233"/>
  <c r="AA89" i="233" s="1"/>
  <c r="P89" i="233"/>
  <c r="U89" i="233" s="1"/>
  <c r="X93" i="233"/>
  <c r="AA93" i="233" s="1"/>
  <c r="P93" i="233"/>
  <c r="S97" i="233"/>
  <c r="S99" i="233"/>
  <c r="X131" i="233"/>
  <c r="P131" i="233"/>
  <c r="U131" i="233" s="1"/>
  <c r="X132" i="233"/>
  <c r="P132" i="233"/>
  <c r="U132" i="233" s="1"/>
  <c r="X133" i="233"/>
  <c r="P133" i="233"/>
  <c r="U133" i="233" s="1"/>
  <c r="P136" i="233"/>
  <c r="X136" i="233"/>
  <c r="AA136" i="233" s="1"/>
  <c r="AE142" i="233"/>
  <c r="X144" i="233"/>
  <c r="AA144" i="233" s="1"/>
  <c r="P144" i="233"/>
  <c r="U144" i="233" s="1"/>
  <c r="P156" i="233"/>
  <c r="X156" i="233"/>
  <c r="AA156" i="233" s="1"/>
  <c r="T56" i="233"/>
  <c r="T74" i="233"/>
  <c r="S101" i="233"/>
  <c r="S165" i="233"/>
  <c r="S161" i="233"/>
  <c r="S163" i="233"/>
  <c r="S162" i="233"/>
  <c r="S164" i="233"/>
  <c r="S166" i="233"/>
  <c r="K108" i="233"/>
  <c r="N108" i="233" s="1"/>
  <c r="X120" i="233"/>
  <c r="P120" i="233"/>
  <c r="U120" i="233" s="1"/>
  <c r="X139" i="233"/>
  <c r="AA139" i="233" s="1"/>
  <c r="P139" i="233"/>
  <c r="U139" i="233" s="1"/>
  <c r="X178" i="233"/>
  <c r="P191" i="233"/>
  <c r="U191" i="233" s="1"/>
  <c r="X191" i="233"/>
  <c r="AA191" i="233" s="1"/>
  <c r="O192" i="233"/>
  <c r="K192" i="233"/>
  <c r="N192" i="233" s="1"/>
  <c r="X123" i="233"/>
  <c r="P123" i="233"/>
  <c r="U123" i="233" s="1"/>
  <c r="U140" i="233"/>
  <c r="X141" i="233"/>
  <c r="AA141" i="233" s="1"/>
  <c r="P141" i="233"/>
  <c r="AF142" i="233"/>
  <c r="X149" i="233"/>
  <c r="AA149" i="233" s="1"/>
  <c r="P149" i="233"/>
  <c r="U150" i="233"/>
  <c r="X173" i="233"/>
  <c r="AD190" i="233"/>
  <c r="P196" i="233"/>
  <c r="U196" i="233" s="1"/>
  <c r="X196" i="233"/>
  <c r="AA196" i="233" s="1"/>
  <c r="S208" i="233"/>
  <c r="S204" i="233"/>
  <c r="S206" i="233"/>
  <c r="T172" i="233"/>
  <c r="X174" i="233"/>
  <c r="X177" i="233"/>
  <c r="X179" i="233"/>
  <c r="P179" i="233"/>
  <c r="X181" i="233"/>
  <c r="P181" i="233"/>
  <c r="U181" i="233" s="1"/>
  <c r="X182" i="233"/>
  <c r="X189" i="233"/>
  <c r="P189" i="233"/>
  <c r="U193" i="233"/>
  <c r="U197" i="233"/>
  <c r="S203" i="233"/>
  <c r="X153" i="233"/>
  <c r="AA153" i="233" s="1"/>
  <c r="X157" i="233"/>
  <c r="AA157" i="233" s="1"/>
  <c r="X159" i="233"/>
  <c r="AA159" i="233" s="1"/>
  <c r="O169" i="233"/>
  <c r="K169" i="233"/>
  <c r="N169" i="233" s="1"/>
  <c r="O171" i="233"/>
  <c r="K171" i="233"/>
  <c r="N171" i="233" s="1"/>
  <c r="X186" i="233"/>
  <c r="P186" i="233"/>
  <c r="U186" i="233" s="1"/>
  <c r="P187" i="233"/>
  <c r="X193" i="233"/>
  <c r="AA193" i="233" s="1"/>
  <c r="X197" i="233"/>
  <c r="AA197" i="233" s="1"/>
  <c r="X199" i="233"/>
  <c r="AA199" i="233" s="1"/>
  <c r="P199" i="233"/>
  <c r="U199" i="233" s="1"/>
  <c r="X201" i="233"/>
  <c r="AA201" i="233" s="1"/>
  <c r="P201" i="233"/>
  <c r="P143" i="233"/>
  <c r="AF143" i="233" s="1"/>
  <c r="P147" i="233"/>
  <c r="P151" i="233"/>
  <c r="T173" i="233"/>
  <c r="X175" i="233"/>
  <c r="P175" i="233"/>
  <c r="U175" i="233" s="1"/>
  <c r="T176" i="233"/>
  <c r="T178" i="233"/>
  <c r="T180" i="233"/>
  <c r="U180" i="233" s="1"/>
  <c r="U190" i="233"/>
  <c r="S207" i="233"/>
  <c r="AD22" i="233" l="1"/>
  <c r="P59" i="233"/>
  <c r="AD195" i="233"/>
  <c r="AD18" i="233"/>
  <c r="X74" i="233"/>
  <c r="AA74" i="233" s="1"/>
  <c r="P105" i="233"/>
  <c r="AD21" i="233"/>
  <c r="AD26" i="233"/>
  <c r="U16" i="233"/>
  <c r="AF151" i="233"/>
  <c r="AE25" i="233"/>
  <c r="U105" i="233"/>
  <c r="AF155" i="233"/>
  <c r="AD151" i="233"/>
  <c r="U61" i="233"/>
  <c r="X51" i="233"/>
  <c r="AF26" i="233"/>
  <c r="AF137" i="233"/>
  <c r="AF194" i="233"/>
  <c r="AF198" i="233"/>
  <c r="AF25" i="233"/>
  <c r="AF150" i="233"/>
  <c r="AE194" i="233"/>
  <c r="AF152" i="233"/>
  <c r="AF19" i="233"/>
  <c r="U174" i="233"/>
  <c r="AF156" i="233"/>
  <c r="Y48" i="233"/>
  <c r="AD155" i="233"/>
  <c r="AF188" i="233"/>
  <c r="Y54" i="233"/>
  <c r="AF24" i="233"/>
  <c r="AF195" i="233"/>
  <c r="AF201" i="233"/>
  <c r="AD143" i="233"/>
  <c r="U58" i="233"/>
  <c r="U62" i="233"/>
  <c r="Y111" i="233"/>
  <c r="U24" i="233"/>
  <c r="AD19" i="233"/>
  <c r="P107" i="233"/>
  <c r="U107" i="233" s="1"/>
  <c r="P172" i="233"/>
  <c r="U172" i="233" s="1"/>
  <c r="X53" i="233"/>
  <c r="U198" i="233"/>
  <c r="AD24" i="233"/>
  <c r="X115" i="233"/>
  <c r="P75" i="233"/>
  <c r="U75" i="233" s="1"/>
  <c r="Y63" i="233"/>
  <c r="U179" i="233"/>
  <c r="U74" i="233"/>
  <c r="AF190" i="233"/>
  <c r="AD147" i="233"/>
  <c r="AF35" i="233"/>
  <c r="AF31" i="233"/>
  <c r="Y67" i="233"/>
  <c r="AF148" i="233"/>
  <c r="AF21" i="233"/>
  <c r="AF17" i="233"/>
  <c r="AF154" i="233"/>
  <c r="AF147" i="233"/>
  <c r="U54" i="233"/>
  <c r="U25" i="233"/>
  <c r="AD16" i="233"/>
  <c r="U117" i="233"/>
  <c r="U177" i="233"/>
  <c r="U137" i="233"/>
  <c r="AF136" i="233"/>
  <c r="AF92" i="233"/>
  <c r="AF134" i="233"/>
  <c r="X107" i="233"/>
  <c r="N165" i="233"/>
  <c r="U56" i="233"/>
  <c r="P176" i="233"/>
  <c r="U176" i="233" s="1"/>
  <c r="AF153" i="233"/>
  <c r="AF133" i="233"/>
  <c r="AF89" i="233"/>
  <c r="AF81" i="233"/>
  <c r="Y66" i="233"/>
  <c r="AF146" i="233"/>
  <c r="AF140" i="233"/>
  <c r="AF94" i="233"/>
  <c r="AF86" i="233"/>
  <c r="U67" i="233"/>
  <c r="P43" i="233"/>
  <c r="AF83" i="233"/>
  <c r="U15" i="233"/>
  <c r="AF78" i="233"/>
  <c r="Y113" i="233"/>
  <c r="U111" i="233"/>
  <c r="U66" i="233"/>
  <c r="X57" i="233"/>
  <c r="Y57" i="233" s="1"/>
  <c r="P53" i="233"/>
  <c r="U57" i="233"/>
  <c r="U26" i="233"/>
  <c r="AD146" i="233"/>
  <c r="U156" i="233"/>
  <c r="U147" i="233"/>
  <c r="U134" i="233"/>
  <c r="Y60" i="233"/>
  <c r="Y51" i="233"/>
  <c r="AF76" i="233"/>
  <c r="AF71" i="233"/>
  <c r="Y58" i="233"/>
  <c r="AF34" i="233"/>
  <c r="AF30" i="233"/>
  <c r="AF16" i="233"/>
  <c r="AE154" i="233"/>
  <c r="AD154" i="233"/>
  <c r="AF22" i="233"/>
  <c r="AF18" i="233"/>
  <c r="U201" i="233"/>
  <c r="AF149" i="233"/>
  <c r="U149" i="233"/>
  <c r="AE139" i="233"/>
  <c r="AD139" i="233"/>
  <c r="AE93" i="233"/>
  <c r="AD93" i="233"/>
  <c r="AE77" i="233"/>
  <c r="AD77" i="233"/>
  <c r="X114" i="233"/>
  <c r="P114" i="233"/>
  <c r="X50" i="233"/>
  <c r="P50" i="233"/>
  <c r="N162" i="233"/>
  <c r="AE33" i="233"/>
  <c r="AD33" i="233"/>
  <c r="AE29" i="233"/>
  <c r="AD29" i="233"/>
  <c r="AE90" i="233"/>
  <c r="AD90" i="233"/>
  <c r="AE82" i="233"/>
  <c r="AD82" i="233"/>
  <c r="AE87" i="233"/>
  <c r="AD87" i="233"/>
  <c r="AE72" i="233"/>
  <c r="AD72" i="233"/>
  <c r="AE36" i="233"/>
  <c r="AD36" i="233"/>
  <c r="AE28" i="233"/>
  <c r="AD28" i="233"/>
  <c r="AE196" i="233"/>
  <c r="AD196" i="233"/>
  <c r="AE149" i="233"/>
  <c r="AD149" i="233"/>
  <c r="AF157" i="233"/>
  <c r="N98" i="233"/>
  <c r="AF197" i="233"/>
  <c r="U109" i="233"/>
  <c r="Y105" i="233"/>
  <c r="N161" i="233"/>
  <c r="U78" i="233"/>
  <c r="U53" i="233"/>
  <c r="Y115" i="233"/>
  <c r="P41" i="233"/>
  <c r="AF95" i="233"/>
  <c r="AD92" i="233"/>
  <c r="AE92" i="233"/>
  <c r="AF88" i="233"/>
  <c r="AE83" i="233"/>
  <c r="AD83" i="233"/>
  <c r="AF79" i="233"/>
  <c r="AD76" i="233"/>
  <c r="AE76" i="233"/>
  <c r="AF74" i="233"/>
  <c r="Y62" i="233"/>
  <c r="Y46" i="233"/>
  <c r="AF27" i="233"/>
  <c r="AE78" i="233"/>
  <c r="AD78" i="233"/>
  <c r="AD148" i="233"/>
  <c r="AE148" i="233"/>
  <c r="Y117" i="233"/>
  <c r="U88" i="233"/>
  <c r="N166" i="233"/>
  <c r="N97" i="233"/>
  <c r="AD80" i="233"/>
  <c r="AE80" i="233"/>
  <c r="AD74" i="233"/>
  <c r="AE74" i="233"/>
  <c r="Y55" i="233"/>
  <c r="U55" i="233"/>
  <c r="AE27" i="233"/>
  <c r="AD27" i="233"/>
  <c r="U187" i="233"/>
  <c r="U92" i="233"/>
  <c r="U76" i="233"/>
  <c r="AE32" i="233"/>
  <c r="AD32" i="233"/>
  <c r="AE23" i="233"/>
  <c r="AD23" i="233"/>
  <c r="AD201" i="233"/>
  <c r="AE201" i="233"/>
  <c r="AE197" i="233"/>
  <c r="AD197" i="233"/>
  <c r="N206" i="233"/>
  <c r="N208" i="233"/>
  <c r="N204" i="233"/>
  <c r="N205" i="233"/>
  <c r="N207" i="233"/>
  <c r="P169" i="233"/>
  <c r="N203" i="233"/>
  <c r="AE157" i="233"/>
  <c r="AD157" i="233"/>
  <c r="U151" i="233"/>
  <c r="AE191" i="233"/>
  <c r="AD191" i="233"/>
  <c r="U178" i="233"/>
  <c r="U173" i="233"/>
  <c r="AF199" i="233"/>
  <c r="AF196" i="233"/>
  <c r="U148" i="233"/>
  <c r="AF141" i="233"/>
  <c r="U141" i="233"/>
  <c r="AF191" i="233"/>
  <c r="P108" i="233"/>
  <c r="X108" i="233"/>
  <c r="N100" i="233"/>
  <c r="AE156" i="233"/>
  <c r="AD156" i="233"/>
  <c r="AF144" i="233"/>
  <c r="AE89" i="233"/>
  <c r="AD89" i="233"/>
  <c r="AE81" i="233"/>
  <c r="AD81" i="233"/>
  <c r="N102" i="233"/>
  <c r="AF145" i="233"/>
  <c r="U145" i="233"/>
  <c r="AD140" i="233"/>
  <c r="AE140" i="233"/>
  <c r="X118" i="233"/>
  <c r="P118" i="233"/>
  <c r="N99" i="233"/>
  <c r="U152" i="233"/>
  <c r="AE35" i="233"/>
  <c r="AD35" i="233"/>
  <c r="AE31" i="233"/>
  <c r="AD31" i="233"/>
  <c r="U113" i="233"/>
  <c r="AE94" i="233"/>
  <c r="AD94" i="233"/>
  <c r="AE86" i="233"/>
  <c r="AD86" i="233"/>
  <c r="P40" i="233"/>
  <c r="AE95" i="233"/>
  <c r="AD95" i="233"/>
  <c r="AF91" i="233"/>
  <c r="AD88" i="233"/>
  <c r="AE88" i="233"/>
  <c r="AF84" i="233"/>
  <c r="U81" i="233"/>
  <c r="AE79" i="233"/>
  <c r="AD79" i="233"/>
  <c r="U31" i="233"/>
  <c r="P110" i="233"/>
  <c r="X110" i="233"/>
  <c r="AF193" i="233"/>
  <c r="Y112" i="233"/>
  <c r="U112" i="233"/>
  <c r="U84" i="233"/>
  <c r="U51" i="233"/>
  <c r="U46" i="233"/>
  <c r="N101" i="233"/>
  <c r="AE34" i="233"/>
  <c r="AD34" i="233"/>
  <c r="AE30" i="233"/>
  <c r="AD30" i="233"/>
  <c r="Y59" i="233"/>
  <c r="U59" i="233"/>
  <c r="P42" i="233"/>
  <c r="U95" i="233"/>
  <c r="U79" i="233"/>
  <c r="AE85" i="233"/>
  <c r="AD85" i="233"/>
  <c r="AD200" i="233"/>
  <c r="AE200" i="233"/>
  <c r="AD199" i="233"/>
  <c r="AE199" i="233"/>
  <c r="AE193" i="233"/>
  <c r="AD193" i="233"/>
  <c r="P171" i="233"/>
  <c r="X171" i="233"/>
  <c r="AE159" i="233"/>
  <c r="AD159" i="233"/>
  <c r="AE153" i="233"/>
  <c r="AD153" i="233"/>
  <c r="AF189" i="233"/>
  <c r="U189" i="233"/>
  <c r="U143" i="233"/>
  <c r="AE141" i="233"/>
  <c r="AD141" i="233"/>
  <c r="X192" i="233"/>
  <c r="AA192" i="233" s="1"/>
  <c r="P192" i="233"/>
  <c r="AF139" i="233"/>
  <c r="AD144" i="233"/>
  <c r="AE144" i="233"/>
  <c r="AE136" i="233"/>
  <c r="AD136" i="233"/>
  <c r="AF93" i="233"/>
  <c r="AF85" i="233"/>
  <c r="AF77" i="233"/>
  <c r="AF200" i="233"/>
  <c r="U200" i="233"/>
  <c r="AE152" i="233"/>
  <c r="AD152" i="233"/>
  <c r="AE145" i="233"/>
  <c r="AD145" i="233"/>
  <c r="P138" i="233"/>
  <c r="BU138" i="233" s="1"/>
  <c r="X138" i="233"/>
  <c r="AA138" i="233" s="1"/>
  <c r="P116" i="233"/>
  <c r="X116" i="233"/>
  <c r="P52" i="233"/>
  <c r="X52" i="233"/>
  <c r="U136" i="233"/>
  <c r="P106" i="233"/>
  <c r="X106" i="233"/>
  <c r="N164" i="233"/>
  <c r="N163" i="233"/>
  <c r="AF33" i="233"/>
  <c r="AF29" i="233"/>
  <c r="Y109" i="233"/>
  <c r="AF90" i="233"/>
  <c r="AF82" i="233"/>
  <c r="P39" i="233"/>
  <c r="AF159" i="233"/>
  <c r="U93" i="233"/>
  <c r="AE91" i="233"/>
  <c r="AD91" i="233"/>
  <c r="AF87" i="233"/>
  <c r="AD84" i="233"/>
  <c r="AE84" i="233"/>
  <c r="AF80" i="233"/>
  <c r="U77" i="233"/>
  <c r="AE75" i="233"/>
  <c r="AD75" i="233"/>
  <c r="Y47" i="233"/>
  <c r="P38" i="233"/>
  <c r="U29" i="233"/>
  <c r="AE134" i="233"/>
  <c r="AD134" i="233"/>
  <c r="U115" i="233"/>
  <c r="U80" i="233"/>
  <c r="AF72" i="233"/>
  <c r="U72" i="233"/>
  <c r="Y68" i="233"/>
  <c r="U68" i="233"/>
  <c r="Y56" i="233"/>
  <c r="Y49" i="233"/>
  <c r="AF36" i="233"/>
  <c r="AF32" i="233"/>
  <c r="AF28" i="233"/>
  <c r="AE17" i="233"/>
  <c r="AD17" i="233"/>
  <c r="AE137" i="233"/>
  <c r="AD137" i="233"/>
  <c r="U83" i="233"/>
  <c r="AF23" i="233"/>
  <c r="AF75" i="233" l="1"/>
  <c r="Y107" i="233"/>
  <c r="N212" i="233" a="1"/>
  <c r="N212" i="233" s="1"/>
  <c r="P97" i="233"/>
  <c r="Y53" i="233"/>
  <c r="N211" i="233" a="1"/>
  <c r="N211" i="233" s="1"/>
  <c r="P207" i="233"/>
  <c r="P203" i="233"/>
  <c r="P205" i="233"/>
  <c r="P204" i="233"/>
  <c r="P206" i="233"/>
  <c r="P208" i="233"/>
  <c r="P165" i="233"/>
  <c r="Y114" i="233"/>
  <c r="U114" i="233"/>
  <c r="P101" i="233"/>
  <c r="P100" i="233"/>
  <c r="Y106" i="233"/>
  <c r="U106" i="233"/>
  <c r="Y118" i="233"/>
  <c r="U118" i="233"/>
  <c r="Y108" i="233"/>
  <c r="U108" i="233"/>
  <c r="N213" i="233" a="1"/>
  <c r="N213" i="233" s="1"/>
  <c r="P162" i="233"/>
  <c r="Y116" i="233"/>
  <c r="U116" i="233"/>
  <c r="P163" i="233"/>
  <c r="P166" i="233"/>
  <c r="N216" i="233" a="1"/>
  <c r="N216" i="233" s="1"/>
  <c r="Y50" i="233"/>
  <c r="P98" i="233"/>
  <c r="U50" i="233"/>
  <c r="P99" i="233"/>
  <c r="N214" i="233" a="1"/>
  <c r="N214" i="233" s="1"/>
  <c r="Y52" i="233"/>
  <c r="U52" i="233"/>
  <c r="AF138" i="233"/>
  <c r="U138" i="233"/>
  <c r="AD192" i="233"/>
  <c r="AE192" i="233"/>
  <c r="AE138" i="233"/>
  <c r="AD138" i="233"/>
  <c r="Y171" i="233"/>
  <c r="U171" i="233"/>
  <c r="Y110" i="233"/>
  <c r="U110" i="233"/>
  <c r="N215" i="233" a="1"/>
  <c r="N215" i="233" s="1"/>
  <c r="P161" i="233"/>
  <c r="P164" i="233"/>
  <c r="P102" i="233"/>
  <c r="P211" i="233" l="1" a="1"/>
  <c r="P211" i="233" s="1"/>
  <c r="P213" i="233" a="1"/>
  <c r="P213" i="233" s="1"/>
  <c r="P212" i="233" a="1"/>
  <c r="P212" i="233" s="1"/>
  <c r="P214" i="233" a="1"/>
  <c r="P214" i="233" s="1"/>
  <c r="P215" i="233" a="1"/>
  <c r="P215" i="233" s="1"/>
  <c r="P216" i="233" a="1"/>
  <c r="P216" i="233" s="1"/>
  <c r="K94" i="217" l="1"/>
  <c r="K92" i="217"/>
  <c r="K91" i="217"/>
  <c r="K89" i="217"/>
  <c r="J94" i="217"/>
  <c r="J92" i="217"/>
  <c r="J91" i="217"/>
  <c r="J89" i="217"/>
  <c r="I94" i="217"/>
  <c r="I92" i="217"/>
  <c r="I91" i="217"/>
  <c r="I89" i="217"/>
  <c r="H94" i="217"/>
  <c r="H92" i="217"/>
  <c r="H91" i="217"/>
  <c r="H89" i="217"/>
  <c r="K86" i="217"/>
  <c r="K85" i="217"/>
  <c r="K84" i="217"/>
  <c r="K83" i="217"/>
  <c r="K81" i="217"/>
  <c r="J85" i="217"/>
  <c r="J84" i="217"/>
  <c r="J83" i="217"/>
  <c r="J82" i="217"/>
  <c r="J81" i="217"/>
  <c r="I86" i="217"/>
  <c r="I85" i="217"/>
  <c r="I84" i="217"/>
  <c r="I83" i="217"/>
  <c r="I82" i="217"/>
  <c r="H85" i="217"/>
  <c r="H84" i="217"/>
  <c r="H83" i="217"/>
  <c r="H82" i="217"/>
  <c r="H81" i="217"/>
  <c r="J86" i="217"/>
  <c r="H86" i="217"/>
  <c r="K82" i="217"/>
  <c r="I81" i="217"/>
  <c r="H45" i="217"/>
  <c r="H44" i="217"/>
  <c r="H43" i="217"/>
  <c r="H42" i="217"/>
  <c r="H41" i="217"/>
  <c r="H40" i="217"/>
  <c r="I45" i="217"/>
  <c r="I44" i="217"/>
  <c r="I43" i="217"/>
  <c r="I42" i="217"/>
  <c r="I41" i="217"/>
  <c r="I40" i="217"/>
  <c r="J45" i="217"/>
  <c r="J44" i="217"/>
  <c r="J43" i="217"/>
  <c r="J42" i="217"/>
  <c r="J41" i="217"/>
  <c r="K45" i="217"/>
  <c r="K44" i="217"/>
  <c r="K43" i="217"/>
  <c r="K42" i="217"/>
  <c r="K41" i="217"/>
  <c r="K40" i="217"/>
  <c r="K67" i="217"/>
  <c r="K66" i="217"/>
  <c r="K65" i="217"/>
  <c r="K64" i="217"/>
  <c r="K62" i="217"/>
  <c r="J67" i="217"/>
  <c r="J66" i="217"/>
  <c r="J65" i="217"/>
  <c r="J64" i="217"/>
  <c r="J63" i="217"/>
  <c r="J62" i="217"/>
  <c r="I67" i="217"/>
  <c r="I66" i="217"/>
  <c r="I65" i="217"/>
  <c r="I64" i="217"/>
  <c r="I63" i="217"/>
  <c r="I62" i="217"/>
  <c r="H67" i="217"/>
  <c r="H66" i="217"/>
  <c r="H65" i="217"/>
  <c r="H64" i="217"/>
  <c r="H63" i="217"/>
  <c r="H62" i="217"/>
  <c r="K63" i="217"/>
  <c r="J40" i="217"/>
  <c r="F17" i="11"/>
  <c r="B68" i="11"/>
  <c r="J93" i="217" l="1" a="1"/>
  <c r="J93" i="217" s="1"/>
  <c r="K93" i="217" a="1"/>
  <c r="K93" i="217" s="1"/>
  <c r="K90" i="217" a="1"/>
  <c r="K90" i="217" s="1"/>
  <c r="I93" i="217" a="1"/>
  <c r="I93" i="217" s="1"/>
  <c r="H90" i="217" a="1"/>
  <c r="H90" i="217" s="1"/>
  <c r="H93" i="217" a="1"/>
  <c r="H93" i="217" s="1"/>
  <c r="I90" i="217" a="1"/>
  <c r="I90" i="217" s="1"/>
  <c r="J90" i="217" a="1"/>
  <c r="J90" i="217" s="1"/>
  <c r="E40" i="133"/>
  <c r="S46" i="278"/>
  <c r="S44" i="278"/>
  <c r="M44" i="278"/>
  <c r="M46" i="278" s="1"/>
  <c r="M35" i="278"/>
  <c r="M34" i="278"/>
  <c r="M33" i="278"/>
  <c r="M32" i="278"/>
  <c r="M29" i="278"/>
  <c r="M28" i="278"/>
  <c r="M27" i="278"/>
  <c r="M26" i="278"/>
  <c r="M25" i="278"/>
  <c r="M24" i="278"/>
  <c r="M23" i="278"/>
  <c r="M22" i="278"/>
  <c r="M21" i="278"/>
  <c r="M20" i="278"/>
  <c r="M19" i="278"/>
  <c r="M18" i="278"/>
  <c r="M17" i="278"/>
  <c r="M16" i="278"/>
  <c r="M15" i="278"/>
  <c r="M14" i="278"/>
  <c r="M13" i="278"/>
  <c r="M12" i="278"/>
  <c r="M11" i="278"/>
  <c r="AB5" i="278"/>
  <c r="AB4" i="278"/>
  <c r="Y4" i="278"/>
  <c r="AB3" i="278"/>
  <c r="B2" i="278"/>
  <c r="B44" i="278" s="1"/>
  <c r="F12" i="11"/>
  <c r="F26" i="11" s="1"/>
  <c r="F45" i="11"/>
  <c r="F32" i="11"/>
  <c r="F42" i="11"/>
  <c r="F43" i="11"/>
  <c r="F44" i="11"/>
  <c r="F52" i="11"/>
  <c r="F56" i="11"/>
  <c r="F57" i="11"/>
  <c r="F39" i="11" l="1"/>
  <c r="M42" i="278"/>
  <c r="M41" i="278"/>
  <c r="M40" i="278"/>
  <c r="M39" i="278"/>
  <c r="M37" i="278"/>
  <c r="B46" i="278"/>
  <c r="M38" i="278"/>
  <c r="A27" i="40" l="1"/>
  <c r="A28" i="40"/>
  <c r="E46" i="8"/>
  <c r="E45" i="8"/>
  <c r="E44" i="8"/>
  <c r="E43" i="8"/>
  <c r="D46" i="8"/>
  <c r="D45" i="8"/>
  <c r="D44" i="8"/>
  <c r="D43" i="8"/>
  <c r="E38" i="8"/>
  <c r="E37" i="8"/>
  <c r="E33" i="8"/>
  <c r="E32" i="8"/>
  <c r="E31" i="8"/>
  <c r="E30" i="8"/>
  <c r="D38" i="8"/>
  <c r="D37" i="8"/>
  <c r="D61" i="8" s="1"/>
  <c r="D33" i="8"/>
  <c r="D31" i="8"/>
  <c r="D32" i="8"/>
  <c r="D30" i="8"/>
  <c r="E17" i="8"/>
  <c r="E23" i="8"/>
  <c r="E22" i="8"/>
  <c r="E21" i="8"/>
  <c r="D23" i="8"/>
  <c r="D22" i="8"/>
  <c r="D21" i="8"/>
  <c r="D14" i="8"/>
  <c r="D17" i="8"/>
  <c r="E16" i="8"/>
  <c r="D16" i="8"/>
  <c r="E15" i="8"/>
  <c r="D15" i="8"/>
  <c r="E13" i="8"/>
  <c r="E14" i="8"/>
  <c r="D13" i="8"/>
  <c r="D56" i="8" s="1"/>
  <c r="D57" i="8" s="1"/>
  <c r="E61" i="8" l="1"/>
  <c r="E56" i="8"/>
  <c r="E57" i="8" s="1"/>
  <c r="E44" i="244"/>
  <c r="H44" i="244"/>
  <c r="E43" i="12"/>
  <c r="H43" i="12" s="1"/>
  <c r="H44" i="256"/>
  <c r="H44" i="250"/>
  <c r="H44" i="278"/>
  <c r="H44" i="249"/>
  <c r="D19" i="8"/>
  <c r="E19" i="8"/>
  <c r="M81" i="277"/>
  <c r="N81" i="277"/>
  <c r="O81" i="277"/>
  <c r="P81" i="277"/>
  <c r="S81" i="277"/>
  <c r="E43" i="257" l="1"/>
  <c r="H43" i="257"/>
  <c r="E45" i="257" s="1"/>
  <c r="H45" i="257" s="1"/>
  <c r="E46" i="244"/>
  <c r="H46" i="244" s="1"/>
  <c r="H44" i="281"/>
  <c r="E44" i="281" s="1"/>
  <c r="E22" i="133"/>
  <c r="E21" i="133"/>
  <c r="D42" i="126" l="1"/>
  <c r="C31" i="156" s="1"/>
  <c r="D41" i="126"/>
  <c r="C30" i="156" s="1"/>
  <c r="D39" i="126"/>
  <c r="C28" i="156" s="1"/>
  <c r="D38" i="126"/>
  <c r="C27" i="156" s="1"/>
  <c r="D37" i="126"/>
  <c r="C42" i="126"/>
  <c r="C41" i="126"/>
  <c r="C39" i="126"/>
  <c r="C38" i="126"/>
  <c r="F10" i="126"/>
  <c r="F9" i="126"/>
  <c r="C8" i="126" a="1"/>
  <c r="C8" i="126" s="1"/>
  <c r="F25" i="132"/>
  <c r="E21" i="132"/>
  <c r="D15" i="73" l="1" a="1"/>
  <c r="C26" i="156"/>
  <c r="C10" i="126"/>
  <c r="C9" i="126"/>
  <c r="D15" i="73" l="1"/>
  <c r="D13" i="73" s="1"/>
  <c r="F15" i="73"/>
  <c r="E15" i="73"/>
  <c r="G15" i="73"/>
  <c r="E78" i="276"/>
  <c r="F78" i="276" s="1"/>
  <c r="G78" i="276" s="1"/>
  <c r="H78" i="276" s="1"/>
  <c r="I78" i="276" s="1"/>
  <c r="J78" i="276" s="1"/>
  <c r="K78" i="276" s="1"/>
  <c r="L78" i="276" s="1"/>
  <c r="M78" i="276" s="1"/>
  <c r="N78" i="276" s="1"/>
  <c r="O78" i="276" s="1"/>
  <c r="P78" i="276" s="1"/>
  <c r="Q78" i="276" s="1"/>
  <c r="R78" i="276" s="1"/>
  <c r="S78" i="276" s="1"/>
  <c r="T78" i="276" s="1"/>
  <c r="U78" i="276" s="1"/>
  <c r="V78" i="276" s="1"/>
  <c r="W78" i="276" s="1"/>
  <c r="X78" i="276" s="1"/>
  <c r="Y78" i="276" s="1"/>
  <c r="Z78" i="276" s="1"/>
  <c r="AA78" i="276" s="1"/>
  <c r="AB78" i="276" s="1"/>
  <c r="AC78" i="276" s="1"/>
  <c r="AD78" i="276" s="1"/>
  <c r="AE78" i="276" s="1"/>
  <c r="AF78" i="276" s="1"/>
  <c r="AG78" i="276" s="1"/>
  <c r="AH78" i="276" s="1"/>
  <c r="AI78" i="276" s="1"/>
  <c r="AJ78" i="276" s="1"/>
  <c r="AK78" i="276" s="1"/>
  <c r="AL78" i="276" s="1"/>
  <c r="AM78" i="276" s="1"/>
  <c r="AN78" i="276" s="1"/>
  <c r="AO78" i="276" s="1"/>
  <c r="AP78" i="276" s="1"/>
  <c r="AQ78" i="276" s="1"/>
  <c r="AR78" i="276" s="1"/>
  <c r="AS78" i="276" s="1"/>
  <c r="AT78" i="276" s="1"/>
  <c r="AU78" i="276" s="1"/>
  <c r="AV78" i="276" s="1"/>
  <c r="AW78" i="276" s="1"/>
  <c r="AX78" i="276" s="1"/>
  <c r="AY78" i="276" s="1"/>
  <c r="AM11" i="276"/>
  <c r="W11" i="276"/>
  <c r="E1" i="276"/>
  <c r="F1" i="276" s="1"/>
  <c r="G1" i="276" s="1"/>
  <c r="H1" i="276" s="1"/>
  <c r="I1" i="276" s="1"/>
  <c r="J1" i="276" s="1"/>
  <c r="K1" i="276" s="1"/>
  <c r="L1" i="276" s="1"/>
  <c r="M1" i="276" s="1"/>
  <c r="N1" i="276" s="1"/>
  <c r="O1" i="276" s="1"/>
  <c r="P1" i="276" s="1"/>
  <c r="Q1" i="276" s="1"/>
  <c r="R1" i="276" s="1"/>
  <c r="S1" i="276" s="1"/>
  <c r="T1" i="276" s="1"/>
  <c r="U1" i="276" s="1"/>
  <c r="V1" i="276" s="1"/>
  <c r="W1" i="276" s="1"/>
  <c r="X1" i="276" s="1"/>
  <c r="Y1" i="276" s="1"/>
  <c r="Z1" i="276" s="1"/>
  <c r="AA1" i="276" s="1"/>
  <c r="AB1" i="276" s="1"/>
  <c r="AC1" i="276" s="1"/>
  <c r="AD1" i="276" s="1"/>
  <c r="AE1" i="276" s="1"/>
  <c r="AF1" i="276" s="1"/>
  <c r="AG1" i="276" s="1"/>
  <c r="AH1" i="276" s="1"/>
  <c r="AI1" i="276" s="1"/>
  <c r="AJ1" i="276" s="1"/>
  <c r="AK1" i="276" s="1"/>
  <c r="AL1" i="276" s="1"/>
  <c r="AM1" i="276" s="1"/>
  <c r="AN1" i="276" s="1"/>
  <c r="AO1" i="276" s="1"/>
  <c r="AP1" i="276" s="1"/>
  <c r="AQ1" i="276" s="1"/>
  <c r="AR1" i="276" s="1"/>
  <c r="AS1" i="276" s="1"/>
  <c r="AT1" i="276" s="1"/>
  <c r="AU1" i="276" s="1"/>
  <c r="AV1" i="276" s="1"/>
  <c r="AW1" i="276" s="1"/>
  <c r="AX1" i="276" s="1"/>
  <c r="AY1" i="276" s="1"/>
  <c r="B45" i="275"/>
  <c r="E44" i="275"/>
  <c r="E42" i="275"/>
  <c r="C45" i="275"/>
  <c r="B36" i="275"/>
  <c r="C36" i="275"/>
  <c r="B32" i="275"/>
  <c r="C30" i="275"/>
  <c r="E30" i="275" s="1"/>
  <c r="E29" i="275"/>
  <c r="D32" i="275"/>
  <c r="E22" i="275"/>
  <c r="C20" i="275"/>
  <c r="E20" i="275" s="1"/>
  <c r="E17" i="275"/>
  <c r="E16" i="275"/>
  <c r="B13" i="275"/>
  <c r="B18" i="275" s="1"/>
  <c r="B24" i="275" s="1"/>
  <c r="E12" i="275"/>
  <c r="E13" i="275" s="1"/>
  <c r="D13" i="275"/>
  <c r="C13" i="275"/>
  <c r="D35" i="73" l="1"/>
  <c r="D28" i="73"/>
  <c r="D18" i="275"/>
  <c r="D24" i="275" s="1"/>
  <c r="D45" i="275"/>
  <c r="E43" i="275"/>
  <c r="C18" i="275"/>
  <c r="C24" i="275" s="1"/>
  <c r="E15" i="275"/>
  <c r="E18" i="275" s="1"/>
  <c r="E31" i="275"/>
  <c r="E35" i="275"/>
  <c r="E36" i="275" s="1"/>
  <c r="E41" i="275"/>
  <c r="E45" i="275" s="1"/>
  <c r="F39" i="271"/>
  <c r="E21" i="275"/>
  <c r="B38" i="275"/>
  <c r="B47" i="275" s="1"/>
  <c r="J11" i="276"/>
  <c r="N11" i="276"/>
  <c r="R11" i="276"/>
  <c r="V11" i="276"/>
  <c r="Z11" i="276"/>
  <c r="AD11" i="276"/>
  <c r="G40" i="271"/>
  <c r="AH11" i="276"/>
  <c r="AL11" i="276"/>
  <c r="AP11" i="276"/>
  <c r="H40" i="271"/>
  <c r="AT11" i="276"/>
  <c r="AX11" i="276"/>
  <c r="H11" i="276"/>
  <c r="I11" i="276"/>
  <c r="AY11" i="276"/>
  <c r="L11" i="276"/>
  <c r="M11" i="276"/>
  <c r="Q11" i="276"/>
  <c r="P11" i="276"/>
  <c r="T11" i="276"/>
  <c r="U11" i="276"/>
  <c r="Y11" i="276"/>
  <c r="X11" i="276"/>
  <c r="AC11" i="276"/>
  <c r="AB11" i="276"/>
  <c r="AF11" i="276"/>
  <c r="AG11" i="276"/>
  <c r="AK11" i="276"/>
  <c r="AJ11" i="276"/>
  <c r="AO11" i="276"/>
  <c r="AN11" i="276"/>
  <c r="AR11" i="276"/>
  <c r="AS11" i="276"/>
  <c r="AW11" i="276"/>
  <c r="AV11" i="276"/>
  <c r="K11" i="276"/>
  <c r="AA11" i="276"/>
  <c r="AQ11" i="276"/>
  <c r="F11" i="276"/>
  <c r="E11" i="276"/>
  <c r="D6" i="276"/>
  <c r="D11" i="276"/>
  <c r="O11" i="276"/>
  <c r="AE11" i="276"/>
  <c r="AU11" i="276"/>
  <c r="G11" i="276"/>
  <c r="S11" i="276"/>
  <c r="AI11" i="276"/>
  <c r="C32" i="275"/>
  <c r="C38" i="275" s="1"/>
  <c r="C47" i="275" s="1"/>
  <c r="D36" i="275"/>
  <c r="D38" i="275" s="1"/>
  <c r="D47" i="275" s="1"/>
  <c r="E28" i="275"/>
  <c r="E32" i="275" l="1"/>
  <c r="E38" i="275" s="1"/>
  <c r="D8" i="11"/>
  <c r="T12" i="279"/>
  <c r="T12" i="52"/>
  <c r="D60" i="275"/>
  <c r="D29" i="73"/>
  <c r="D36" i="73"/>
  <c r="C60" i="275"/>
  <c r="E47" i="275"/>
  <c r="E24" i="275"/>
  <c r="F42" i="271"/>
  <c r="G39" i="271" s="1"/>
  <c r="G42" i="271" s="1"/>
  <c r="H39" i="271" s="1"/>
  <c r="H42" i="271" s="1"/>
  <c r="J39" i="271" s="1"/>
  <c r="J42" i="271" s="1"/>
  <c r="E6" i="276"/>
  <c r="D8" i="276"/>
  <c r="E60" i="275" l="1"/>
  <c r="F6" i="276"/>
  <c r="E8" i="276"/>
  <c r="F8" i="276" l="1"/>
  <c r="G6" i="276"/>
  <c r="G8" i="276" l="1"/>
  <c r="H6" i="276"/>
  <c r="I6" i="276" l="1"/>
  <c r="H8" i="276"/>
  <c r="J6" i="276" l="1"/>
  <c r="I8" i="276"/>
  <c r="J8" i="276" l="1"/>
  <c r="K6" i="276"/>
  <c r="L6" i="276" l="1"/>
  <c r="K8" i="276"/>
  <c r="M6" i="276" l="1"/>
  <c r="L8" i="276"/>
  <c r="N6" i="276" l="1"/>
  <c r="M8" i="276"/>
  <c r="N8" i="276" l="1"/>
  <c r="O6" i="276"/>
  <c r="O8" i="276" l="1"/>
  <c r="P6" i="276"/>
  <c r="Q6" i="276" l="1"/>
  <c r="P8" i="276"/>
  <c r="R6" i="276" l="1"/>
  <c r="Q8" i="276"/>
  <c r="R8" i="276" l="1"/>
  <c r="S6" i="276"/>
  <c r="T6" i="276" l="1"/>
  <c r="S8" i="276"/>
  <c r="U6" i="276" l="1"/>
  <c r="T8" i="276"/>
  <c r="V6" i="276" l="1"/>
  <c r="U8" i="276"/>
  <c r="V8" i="276" l="1"/>
  <c r="W6" i="276"/>
  <c r="W8" i="276" l="1"/>
  <c r="X6" i="276"/>
  <c r="Y6" i="276" l="1"/>
  <c r="X8" i="276"/>
  <c r="Z6" i="276" l="1"/>
  <c r="Y8" i="276"/>
  <c r="Z8" i="276" l="1"/>
  <c r="AA6" i="276"/>
  <c r="AB6" i="276" l="1"/>
  <c r="AA8" i="276"/>
  <c r="AC6" i="276" l="1"/>
  <c r="AB8" i="276"/>
  <c r="AD6" i="276" l="1"/>
  <c r="AC8" i="276"/>
  <c r="AD8" i="276" l="1"/>
  <c r="AE6" i="276"/>
  <c r="AE8" i="276" l="1"/>
  <c r="AF6" i="276"/>
  <c r="AG6" i="276" l="1"/>
  <c r="AF8" i="276"/>
  <c r="AH6" i="276" l="1"/>
  <c r="AG8" i="276"/>
  <c r="AH8" i="276" l="1"/>
  <c r="AI6" i="276"/>
  <c r="AJ6" i="276" l="1"/>
  <c r="AI8" i="276"/>
  <c r="AK6" i="276" l="1"/>
  <c r="AJ8" i="276"/>
  <c r="AL6" i="276" l="1"/>
  <c r="AK8" i="276"/>
  <c r="AL8" i="276" l="1"/>
  <c r="AM6" i="276"/>
  <c r="AM8" i="276" l="1"/>
  <c r="AN6" i="276"/>
  <c r="AO6" i="276" l="1"/>
  <c r="AN8" i="276"/>
  <c r="AP6" i="276" l="1"/>
  <c r="AO8" i="276"/>
  <c r="AP8" i="276" l="1"/>
  <c r="AQ6" i="276"/>
  <c r="AR6" i="276" l="1"/>
  <c r="AQ8" i="276"/>
  <c r="AS6" i="276" l="1"/>
  <c r="AR8" i="276"/>
  <c r="AT6" i="276" l="1"/>
  <c r="AS8" i="276"/>
  <c r="AT8" i="276" l="1"/>
  <c r="AU6" i="276"/>
  <c r="AU8" i="276" l="1"/>
  <c r="AV6" i="276"/>
  <c r="AW6" i="276" l="1"/>
  <c r="AV8" i="276"/>
  <c r="AX6" i="276" l="1"/>
  <c r="AW8" i="276"/>
  <c r="AX8" i="276" l="1"/>
  <c r="AY6" i="276"/>
  <c r="AY8" i="276" s="1"/>
  <c r="O61" i="52" l="1"/>
  <c r="O70" i="52" s="1"/>
  <c r="D88" i="52"/>
  <c r="M27" i="52"/>
  <c r="N27" i="52"/>
  <c r="O27" i="52" s="1"/>
  <c r="N28" i="52"/>
  <c r="O28" i="52" s="1"/>
  <c r="O29" i="52"/>
  <c r="M19" i="52"/>
  <c r="N19" i="52" s="1"/>
  <c r="O19" i="52" s="1"/>
  <c r="N20" i="52"/>
  <c r="O20" i="52" s="1"/>
  <c r="B22" i="52"/>
  <c r="B38" i="52" s="1"/>
  <c r="B81" i="52" s="1"/>
  <c r="J20" i="64"/>
  <c r="J19" i="64"/>
  <c r="J18" i="64"/>
  <c r="J17" i="64"/>
  <c r="E25" i="63"/>
  <c r="E26" i="63"/>
  <c r="J13" i="64" s="1"/>
  <c r="E27" i="63"/>
  <c r="J15" i="64" s="1"/>
  <c r="E28" i="63"/>
  <c r="C81" i="156" s="1"/>
  <c r="F81" i="156" s="1"/>
  <c r="E29" i="63"/>
  <c r="J12" i="64" l="1"/>
  <c r="B25" i="63"/>
  <c r="U33" i="241"/>
  <c r="K13" i="64"/>
  <c r="B33" i="241" s="1"/>
  <c r="U35" i="241"/>
  <c r="K15" i="64"/>
  <c r="B35" i="241" s="1"/>
  <c r="K12" i="64"/>
  <c r="U32" i="241"/>
  <c r="B28" i="63"/>
  <c r="B43" i="279" s="1"/>
  <c r="B86" i="279" s="1"/>
  <c r="J16" i="64"/>
  <c r="J41" i="241" s="1" a="1"/>
  <c r="U43" i="279"/>
  <c r="K91" i="73"/>
  <c r="U42" i="279"/>
  <c r="K90" i="73"/>
  <c r="U41" i="279"/>
  <c r="K89" i="73"/>
  <c r="J14" i="64"/>
  <c r="U44" i="279"/>
  <c r="U40" i="279"/>
  <c r="K88" i="73"/>
  <c r="K92" i="73"/>
  <c r="B26" i="63"/>
  <c r="B41" i="279" s="1"/>
  <c r="B84" i="279" s="1"/>
  <c r="B40" i="279"/>
  <c r="B83" i="279" s="1"/>
  <c r="B27" i="63"/>
  <c r="B42" i="279" s="1"/>
  <c r="B85" i="279" s="1"/>
  <c r="O67" i="52"/>
  <c r="O66" i="52"/>
  <c r="M41" i="241" l="1"/>
  <c r="O41" i="241"/>
  <c r="N41" i="241"/>
  <c r="K41" i="241"/>
  <c r="J41" i="241"/>
  <c r="L41" i="241"/>
  <c r="K14" i="64"/>
  <c r="B34" i="241" s="1"/>
  <c r="K16" i="64"/>
  <c r="B36" i="241" s="1"/>
  <c r="U36" i="241"/>
  <c r="B32" i="241"/>
  <c r="B101" i="279"/>
  <c r="B117" i="279"/>
  <c r="B137" i="279" s="1"/>
  <c r="B151" i="279" s="1"/>
  <c r="B115" i="279"/>
  <c r="B135" i="279" s="1"/>
  <c r="B149" i="279" s="1"/>
  <c r="B99" i="279"/>
  <c r="B100" i="279"/>
  <c r="B116" i="279"/>
  <c r="B136" i="279" s="1"/>
  <c r="B150" i="279" s="1"/>
  <c r="B102" i="279"/>
  <c r="B118" i="279"/>
  <c r="B138" i="279" s="1"/>
  <c r="B152" i="279" s="1"/>
  <c r="H4" i="8"/>
  <c r="G7" i="64"/>
  <c r="F7" i="64"/>
  <c r="E7" i="64"/>
  <c r="D7" i="64"/>
  <c r="D29" i="63"/>
  <c r="S34" i="241" s="1"/>
  <c r="E24" i="63"/>
  <c r="B24" i="63" s="1"/>
  <c r="L92" i="265"/>
  <c r="L87" i="265"/>
  <c r="D24" i="63" s="1"/>
  <c r="S39" i="279" s="1"/>
  <c r="L88" i="265"/>
  <c r="D26" i="63" s="1"/>
  <c r="L89" i="265"/>
  <c r="D27" i="63" s="1"/>
  <c r="L90" i="265"/>
  <c r="D28" i="63" s="1"/>
  <c r="L86" i="265"/>
  <c r="D25" i="63" s="1"/>
  <c r="E16" i="133"/>
  <c r="E18" i="133"/>
  <c r="E17" i="133"/>
  <c r="S40" i="279" l="1"/>
  <c r="S32" i="241"/>
  <c r="S41" i="279"/>
  <c r="S33" i="241"/>
  <c r="S43" i="279"/>
  <c r="S36" i="241"/>
  <c r="S42" i="279"/>
  <c r="S35" i="241"/>
  <c r="B39" i="279"/>
  <c r="B82" i="279" s="1"/>
  <c r="U39" i="279"/>
  <c r="K87" i="73"/>
  <c r="H14" i="63"/>
  <c r="S44" i="279"/>
  <c r="L91" i="265"/>
  <c r="J11" i="64"/>
  <c r="H13" i="63"/>
  <c r="U31" i="241" l="1"/>
  <c r="D41" i="241" a="1"/>
  <c r="D49" i="279" a="1"/>
  <c r="B98" i="279"/>
  <c r="B114" i="279"/>
  <c r="B134" i="279" s="1"/>
  <c r="B148" i="279" s="1"/>
  <c r="K11" i="64"/>
  <c r="B31" i="241" s="1"/>
  <c r="D49" i="52" a="1"/>
  <c r="AY24" i="272"/>
  <c r="AZ24" i="272"/>
  <c r="F23" i="271" s="1"/>
  <c r="BA24" i="272"/>
  <c r="G23" i="271" s="1"/>
  <c r="BB24" i="272"/>
  <c r="H23" i="271" s="1"/>
  <c r="BD24" i="272"/>
  <c r="BE24" i="272"/>
  <c r="BF24" i="272"/>
  <c r="BG24" i="272"/>
  <c r="BH24" i="272"/>
  <c r="BI24" i="272"/>
  <c r="BJ24" i="272"/>
  <c r="BK24" i="272"/>
  <c r="BL24" i="272"/>
  <c r="BM24" i="272"/>
  <c r="BN24" i="272"/>
  <c r="BO24" i="272"/>
  <c r="BP24" i="272"/>
  <c r="BQ24" i="272"/>
  <c r="BR24" i="272"/>
  <c r="BS24" i="272"/>
  <c r="F9" i="271"/>
  <c r="C9" i="274"/>
  <c r="D9" i="274"/>
  <c r="E9" i="274"/>
  <c r="F9" i="274"/>
  <c r="G9" i="274"/>
  <c r="H9" i="274"/>
  <c r="I9" i="274"/>
  <c r="J9" i="274"/>
  <c r="K9" i="274"/>
  <c r="L9" i="274"/>
  <c r="BI13" i="274"/>
  <c r="BL13" i="274"/>
  <c r="BN13" i="274"/>
  <c r="BP13" i="274"/>
  <c r="BT13" i="274"/>
  <c r="AZ13" i="274"/>
  <c r="BA13" i="274"/>
  <c r="BE13" i="274"/>
  <c r="BF13" i="274"/>
  <c r="BG13" i="274"/>
  <c r="BH13" i="274"/>
  <c r="BJ13" i="274"/>
  <c r="BK13" i="274"/>
  <c r="BO13" i="274"/>
  <c r="BR13" i="274"/>
  <c r="BS13" i="274"/>
  <c r="BE14" i="274"/>
  <c r="BF14" i="274"/>
  <c r="BG14" i="274"/>
  <c r="BI15" i="274"/>
  <c r="BL15" i="274"/>
  <c r="BN15" i="274"/>
  <c r="BP15" i="274"/>
  <c r="BT15" i="274"/>
  <c r="AZ15" i="274"/>
  <c r="BA15" i="274"/>
  <c r="BE15" i="274"/>
  <c r="BF15" i="274"/>
  <c r="BG15" i="274"/>
  <c r="BH15" i="274"/>
  <c r="BJ15" i="274"/>
  <c r="BK15" i="274"/>
  <c r="BO15" i="274"/>
  <c r="BR15" i="274"/>
  <c r="BS15" i="274"/>
  <c r="AZ16" i="274"/>
  <c r="BK16" i="274"/>
  <c r="BL16" i="274"/>
  <c r="BO16" i="274"/>
  <c r="BR16" i="274"/>
  <c r="BS16" i="274"/>
  <c r="BT16" i="274"/>
  <c r="BC16" i="274"/>
  <c r="BE16" i="274"/>
  <c r="BF16" i="274"/>
  <c r="BG16" i="274"/>
  <c r="BH16" i="274"/>
  <c r="BI16" i="274"/>
  <c r="BM16" i="274"/>
  <c r="BP16" i="274"/>
  <c r="BQ16" i="274"/>
  <c r="L17" i="274"/>
  <c r="AZ17" i="274" s="1"/>
  <c r="BJ17" i="274"/>
  <c r="BK17" i="274"/>
  <c r="BN17" i="274"/>
  <c r="BO17" i="274"/>
  <c r="BR17" i="274"/>
  <c r="BS17" i="274"/>
  <c r="BE17" i="274"/>
  <c r="BF17" i="274"/>
  <c r="BG17" i="274"/>
  <c r="BI17" i="274"/>
  <c r="BL17" i="274"/>
  <c r="BP17" i="274"/>
  <c r="BQ17" i="274"/>
  <c r="BT17" i="274"/>
  <c r="BK21" i="274"/>
  <c r="BK22" i="274" s="1"/>
  <c r="BL21" i="274"/>
  <c r="BL22" i="274" s="1"/>
  <c r="BM21" i="274"/>
  <c r="BM22" i="274" s="1"/>
  <c r="BO21" i="274"/>
  <c r="BO22" i="274" s="1"/>
  <c r="BP21" i="274"/>
  <c r="BP22" i="274" s="1"/>
  <c r="BS21" i="274"/>
  <c r="BS22" i="274" s="1"/>
  <c r="BT21" i="274"/>
  <c r="BT22" i="274" s="1"/>
  <c r="BB21" i="274"/>
  <c r="G34" i="271" s="1"/>
  <c r="BE21" i="274"/>
  <c r="BE22" i="274" s="1"/>
  <c r="BF21" i="274"/>
  <c r="BF22" i="274" s="1"/>
  <c r="BG21" i="274"/>
  <c r="BG22" i="274" s="1"/>
  <c r="BJ21" i="274"/>
  <c r="BJ22" i="274" s="1"/>
  <c r="BN21" i="274"/>
  <c r="BN22" i="274" s="1"/>
  <c r="BR21" i="274"/>
  <c r="BR22" i="274" s="1"/>
  <c r="C22" i="274"/>
  <c r="D22" i="274"/>
  <c r="E22" i="274"/>
  <c r="F22" i="274"/>
  <c r="G22" i="274"/>
  <c r="H22" i="274"/>
  <c r="I22" i="274"/>
  <c r="J22" i="274"/>
  <c r="K22" i="274"/>
  <c r="L22" i="274"/>
  <c r="M22" i="274"/>
  <c r="N22" i="274"/>
  <c r="O22" i="274"/>
  <c r="P22" i="274"/>
  <c r="Q22" i="274"/>
  <c r="R22" i="274"/>
  <c r="S22" i="274"/>
  <c r="T22" i="274"/>
  <c r="U22" i="274"/>
  <c r="V22" i="274"/>
  <c r="W22" i="274"/>
  <c r="X22" i="274"/>
  <c r="Y22" i="274"/>
  <c r="Z22" i="274"/>
  <c r="AA22" i="274"/>
  <c r="AB22" i="274"/>
  <c r="AC22" i="274"/>
  <c r="AD22" i="274"/>
  <c r="AE22" i="274"/>
  <c r="AF22" i="274"/>
  <c r="AG22" i="274"/>
  <c r="AH22" i="274"/>
  <c r="AI22" i="274"/>
  <c r="AJ22" i="274"/>
  <c r="AK22" i="274"/>
  <c r="AL22" i="274"/>
  <c r="AM22" i="274"/>
  <c r="AN22" i="274"/>
  <c r="AO22" i="274"/>
  <c r="AP22" i="274"/>
  <c r="AQ22" i="274"/>
  <c r="AR22" i="274"/>
  <c r="AS22" i="274"/>
  <c r="AT22" i="274"/>
  <c r="AU22" i="274"/>
  <c r="AV22" i="274"/>
  <c r="AW22" i="274"/>
  <c r="AX22" i="274"/>
  <c r="AZ25" i="274"/>
  <c r="BA25" i="274"/>
  <c r="BB25" i="274"/>
  <c r="BC25" i="274"/>
  <c r="BE25" i="274"/>
  <c r="BF25" i="274"/>
  <c r="BG25" i="274"/>
  <c r="BH25" i="274"/>
  <c r="BI25" i="274"/>
  <c r="BJ25" i="274"/>
  <c r="BK25" i="274"/>
  <c r="BL25" i="274"/>
  <c r="BM25" i="274"/>
  <c r="BN25" i="274"/>
  <c r="BO25" i="274"/>
  <c r="BP25" i="274"/>
  <c r="BQ25" i="274"/>
  <c r="BR25" i="274"/>
  <c r="BS25" i="274"/>
  <c r="BT25" i="274"/>
  <c r="AZ26" i="274"/>
  <c r="BA26" i="274"/>
  <c r="BB26" i="274"/>
  <c r="BC26" i="274"/>
  <c r="BE26" i="274"/>
  <c r="BF26" i="274"/>
  <c r="BG26" i="274"/>
  <c r="BH26" i="274"/>
  <c r="BI26" i="274"/>
  <c r="BJ26" i="274"/>
  <c r="BK26" i="274"/>
  <c r="BL26" i="274"/>
  <c r="BM26" i="274"/>
  <c r="BN26" i="274"/>
  <c r="BO26" i="274"/>
  <c r="BP26" i="274"/>
  <c r="BQ26" i="274"/>
  <c r="BR26" i="274"/>
  <c r="BS26" i="274"/>
  <c r="BT26" i="274"/>
  <c r="AZ27" i="274"/>
  <c r="BA27" i="274"/>
  <c r="BB27" i="274"/>
  <c r="BC27" i="274"/>
  <c r="BE27" i="274"/>
  <c r="BF27" i="274"/>
  <c r="BG27" i="274"/>
  <c r="BH27" i="274"/>
  <c r="BI27" i="274"/>
  <c r="BJ27" i="274"/>
  <c r="BK27" i="274"/>
  <c r="BL27" i="274"/>
  <c r="BM27" i="274"/>
  <c r="BN27" i="274"/>
  <c r="BO27" i="274"/>
  <c r="BP27" i="274"/>
  <c r="BQ27" i="274"/>
  <c r="BR27" i="274"/>
  <c r="BS27" i="274"/>
  <c r="BT27" i="274"/>
  <c r="AZ28" i="274"/>
  <c r="BK28" i="274"/>
  <c r="BL28" i="274"/>
  <c r="BB28" i="274"/>
  <c r="BN28" i="274"/>
  <c r="BO28" i="274"/>
  <c r="BP28" i="274"/>
  <c r="BR28" i="274"/>
  <c r="BS28" i="274"/>
  <c r="BT28" i="274"/>
  <c r="BE28" i="274"/>
  <c r="BF28" i="274"/>
  <c r="BG28" i="274"/>
  <c r="BI28" i="274"/>
  <c r="BM28" i="274"/>
  <c r="BQ28" i="274"/>
  <c r="BI29" i="274"/>
  <c r="BL29" i="274"/>
  <c r="BP29" i="274"/>
  <c r="BT29" i="274"/>
  <c r="AZ29" i="274"/>
  <c r="BA29" i="274"/>
  <c r="BE29" i="274"/>
  <c r="BF29" i="274"/>
  <c r="BG29" i="274"/>
  <c r="BH29" i="274"/>
  <c r="BJ29" i="274"/>
  <c r="BK29" i="274"/>
  <c r="BN29" i="274"/>
  <c r="BO29" i="274"/>
  <c r="BR29" i="274"/>
  <c r="BS29" i="274"/>
  <c r="AZ30" i="274"/>
  <c r="BI30" i="274"/>
  <c r="BA30" i="274"/>
  <c r="BC30" i="274"/>
  <c r="BE30" i="274"/>
  <c r="BF30" i="274"/>
  <c r="BG30" i="274"/>
  <c r="BH30" i="274"/>
  <c r="BJ30" i="274"/>
  <c r="BK30" i="274"/>
  <c r="BL30" i="274"/>
  <c r="BM30" i="274"/>
  <c r="BN30" i="274"/>
  <c r="BO30" i="274"/>
  <c r="BP30" i="274"/>
  <c r="BQ30" i="274"/>
  <c r="BR30" i="274"/>
  <c r="BS30" i="274"/>
  <c r="BT30" i="274"/>
  <c r="C31" i="274"/>
  <c r="D31" i="274"/>
  <c r="E31" i="274"/>
  <c r="F31" i="274"/>
  <c r="G31" i="274"/>
  <c r="H31" i="274"/>
  <c r="I31" i="274"/>
  <c r="J31" i="274"/>
  <c r="K31" i="274"/>
  <c r="L31" i="274"/>
  <c r="M31" i="274"/>
  <c r="N31" i="274"/>
  <c r="O31" i="274"/>
  <c r="P31" i="274"/>
  <c r="Q31" i="274"/>
  <c r="R31" i="274"/>
  <c r="S31" i="274"/>
  <c r="T31" i="274"/>
  <c r="U31" i="274"/>
  <c r="V31" i="274"/>
  <c r="W31" i="274"/>
  <c r="X31" i="274"/>
  <c r="Y31" i="274"/>
  <c r="Z31" i="274"/>
  <c r="AA31" i="274"/>
  <c r="AB31" i="274"/>
  <c r="AC31" i="274"/>
  <c r="AD31" i="274"/>
  <c r="AE31" i="274"/>
  <c r="AF31" i="274"/>
  <c r="AG31" i="274"/>
  <c r="AH31" i="274"/>
  <c r="AI31" i="274"/>
  <c r="AJ31" i="274"/>
  <c r="AK31" i="274"/>
  <c r="AL31" i="274"/>
  <c r="AM31" i="274"/>
  <c r="AN31" i="274"/>
  <c r="AO31" i="274"/>
  <c r="AP31" i="274"/>
  <c r="AQ31" i="274"/>
  <c r="AR31" i="274"/>
  <c r="AS31" i="274"/>
  <c r="AT31" i="274"/>
  <c r="AU31" i="274"/>
  <c r="AV31" i="274"/>
  <c r="AW31" i="274"/>
  <c r="AX31" i="274"/>
  <c r="C35" i="274"/>
  <c r="AZ35" i="274" s="1"/>
  <c r="BE7" i="273"/>
  <c r="BE8" i="273" s="1"/>
  <c r="BF7" i="273"/>
  <c r="BF8" i="273" s="1"/>
  <c r="B8" i="273"/>
  <c r="B14" i="273" s="1"/>
  <c r="B20" i="273" s="1"/>
  <c r="C8" i="273"/>
  <c r="C14" i="273" s="1"/>
  <c r="C20" i="273" s="1"/>
  <c r="D8" i="273"/>
  <c r="D14" i="273" s="1"/>
  <c r="D20" i="273" s="1"/>
  <c r="E8" i="273"/>
  <c r="E14" i="273" s="1"/>
  <c r="E20" i="273" s="1"/>
  <c r="F8" i="273"/>
  <c r="G8" i="273"/>
  <c r="G14" i="273" s="1"/>
  <c r="G20" i="273" s="1"/>
  <c r="H8" i="273"/>
  <c r="H14" i="273" s="1"/>
  <c r="H20" i="273" s="1"/>
  <c r="I8" i="273"/>
  <c r="I14" i="273" s="1"/>
  <c r="I20" i="273" s="1"/>
  <c r="J8" i="273"/>
  <c r="J14" i="273" s="1"/>
  <c r="J20" i="273" s="1"/>
  <c r="AZ10" i="273"/>
  <c r="BA10" i="273"/>
  <c r="BB10" i="273"/>
  <c r="BC10" i="273"/>
  <c r="BE10" i="273"/>
  <c r="BF10" i="273"/>
  <c r="BG10" i="273"/>
  <c r="BI10" i="273"/>
  <c r="BJ10" i="273"/>
  <c r="BK10" i="273"/>
  <c r="BM10" i="273"/>
  <c r="BN10" i="273"/>
  <c r="BO10" i="273"/>
  <c r="BQ10" i="273"/>
  <c r="BR10" i="273"/>
  <c r="BS10" i="273"/>
  <c r="AZ11" i="273"/>
  <c r="BA11" i="273"/>
  <c r="BB11" i="273"/>
  <c r="BC11" i="273"/>
  <c r="BE11" i="273"/>
  <c r="BF11" i="273"/>
  <c r="BG11" i="273"/>
  <c r="BI11" i="273"/>
  <c r="BJ11" i="273"/>
  <c r="BK11" i="273"/>
  <c r="BM11" i="273"/>
  <c r="BN11" i="273"/>
  <c r="BO11" i="273"/>
  <c r="BQ11" i="273"/>
  <c r="BR11" i="273"/>
  <c r="BS11" i="273"/>
  <c r="BG12" i="273"/>
  <c r="BK12" i="273"/>
  <c r="BA12" i="273"/>
  <c r="BO12" i="273"/>
  <c r="BB12" i="273"/>
  <c r="BS12" i="273"/>
  <c r="BC12" i="273"/>
  <c r="AZ12" i="273"/>
  <c r="BE12" i="273"/>
  <c r="BF12" i="273"/>
  <c r="BH12" i="273"/>
  <c r="BI12" i="273"/>
  <c r="BJ12" i="273"/>
  <c r="BL12" i="273"/>
  <c r="BM12" i="273"/>
  <c r="BN12" i="273"/>
  <c r="BP12" i="273"/>
  <c r="BQ12" i="273"/>
  <c r="BR12" i="273"/>
  <c r="BT12" i="273"/>
  <c r="BG13" i="273"/>
  <c r="BK13" i="273"/>
  <c r="BA13" i="273"/>
  <c r="BO13" i="273"/>
  <c r="BB13" i="273"/>
  <c r="BS13" i="273"/>
  <c r="BC13" i="273"/>
  <c r="AZ13" i="273"/>
  <c r="BE13" i="273"/>
  <c r="BF13" i="273"/>
  <c r="BH13" i="273"/>
  <c r="BI13" i="273"/>
  <c r="BJ13" i="273"/>
  <c r="BL13" i="273"/>
  <c r="BM13" i="273"/>
  <c r="BN13" i="273"/>
  <c r="BP13" i="273"/>
  <c r="BQ13" i="273"/>
  <c r="BR13" i="273"/>
  <c r="F14" i="273"/>
  <c r="F20" i="273" s="1"/>
  <c r="BI16" i="273"/>
  <c r="BM16" i="273"/>
  <c r="BB16" i="273"/>
  <c r="BQ16" i="273"/>
  <c r="BE16" i="273"/>
  <c r="BF16" i="273"/>
  <c r="BG16" i="273"/>
  <c r="BJ16" i="273"/>
  <c r="BK16" i="273"/>
  <c r="BN16" i="273"/>
  <c r="BO16" i="273"/>
  <c r="BP16" i="273"/>
  <c r="BR16" i="273"/>
  <c r="BS16" i="273"/>
  <c r="AZ17" i="273"/>
  <c r="BI17" i="273"/>
  <c r="BA17" i="273"/>
  <c r="BM17" i="273"/>
  <c r="BQ17" i="273"/>
  <c r="BC17" i="273"/>
  <c r="BB17" i="273"/>
  <c r="BE17" i="273"/>
  <c r="BF17" i="273"/>
  <c r="BG17" i="273"/>
  <c r="BH17" i="273"/>
  <c r="BJ17" i="273"/>
  <c r="BK17" i="273"/>
  <c r="BL17" i="273"/>
  <c r="BN17" i="273"/>
  <c r="BO17" i="273"/>
  <c r="BP17" i="273"/>
  <c r="BR17" i="273"/>
  <c r="BS17" i="273"/>
  <c r="BT17" i="273"/>
  <c r="BG18" i="273"/>
  <c r="BK18" i="273"/>
  <c r="BO18" i="273"/>
  <c r="AZ18" i="273"/>
  <c r="BA18" i="273"/>
  <c r="BB18" i="273"/>
  <c r="BC18" i="273"/>
  <c r="BE18" i="273"/>
  <c r="BF18" i="273"/>
  <c r="BH18" i="273"/>
  <c r="BI18" i="273"/>
  <c r="BJ18" i="273"/>
  <c r="BL18" i="273"/>
  <c r="BM18" i="273"/>
  <c r="BN18" i="273"/>
  <c r="BP18" i="273"/>
  <c r="BE24" i="273"/>
  <c r="BF24" i="273"/>
  <c r="BG25" i="273"/>
  <c r="BK25" i="273"/>
  <c r="BA25" i="273"/>
  <c r="BO25" i="273"/>
  <c r="BS25" i="273"/>
  <c r="BE25" i="273"/>
  <c r="BF25" i="273"/>
  <c r="BI25" i="273"/>
  <c r="BJ25" i="273"/>
  <c r="BM25" i="273"/>
  <c r="BN25" i="273"/>
  <c r="BQ25" i="273"/>
  <c r="BR25" i="273"/>
  <c r="AZ26" i="273"/>
  <c r="BA26" i="273"/>
  <c r="BB26" i="273"/>
  <c r="BC26" i="273"/>
  <c r="BE26" i="273"/>
  <c r="BF26" i="273"/>
  <c r="BG26" i="273"/>
  <c r="BH26" i="273"/>
  <c r="BI26" i="273"/>
  <c r="BJ26" i="273"/>
  <c r="BK26" i="273"/>
  <c r="BL26" i="273"/>
  <c r="BM26" i="273"/>
  <c r="BN26" i="273"/>
  <c r="BO26" i="273"/>
  <c r="BP26" i="273"/>
  <c r="BQ26" i="273"/>
  <c r="BR26" i="273"/>
  <c r="BS26" i="273"/>
  <c r="BT26" i="273"/>
  <c r="BG27" i="273"/>
  <c r="BK27" i="273"/>
  <c r="BA27" i="273"/>
  <c r="BO27" i="273"/>
  <c r="BB27" i="273"/>
  <c r="AZ27" i="273"/>
  <c r="BC27" i="273"/>
  <c r="BE27" i="273"/>
  <c r="BF27" i="273"/>
  <c r="BH27" i="273"/>
  <c r="BI27" i="273"/>
  <c r="BJ27" i="273"/>
  <c r="BL27" i="273"/>
  <c r="BM27" i="273"/>
  <c r="BN27" i="273"/>
  <c r="B28" i="273"/>
  <c r="C28" i="273"/>
  <c r="D28" i="273"/>
  <c r="E28" i="273"/>
  <c r="F28" i="273"/>
  <c r="G28" i="273"/>
  <c r="H28" i="273"/>
  <c r="I28" i="273"/>
  <c r="J28" i="273"/>
  <c r="L28" i="273"/>
  <c r="B31" i="273"/>
  <c r="B32" i="273" s="1"/>
  <c r="M32" i="273"/>
  <c r="U32" i="273"/>
  <c r="Y32" i="273"/>
  <c r="BN31" i="273"/>
  <c r="BN32" i="273" s="1"/>
  <c r="AG32" i="273"/>
  <c r="AK32" i="273"/>
  <c r="AS32" i="273"/>
  <c r="AW32" i="273"/>
  <c r="AZ31" i="273"/>
  <c r="AZ32" i="273" s="1"/>
  <c r="BA31" i="273"/>
  <c r="BA32" i="273" s="1"/>
  <c r="BB31" i="273"/>
  <c r="BB32" i="273" s="1"/>
  <c r="BC31" i="273"/>
  <c r="BC32" i="273" s="1"/>
  <c r="BE31" i="273"/>
  <c r="BE32" i="273" s="1"/>
  <c r="BF31" i="273"/>
  <c r="BF32" i="273" s="1"/>
  <c r="BG31" i="273"/>
  <c r="BG32" i="273" s="1"/>
  <c r="BH31" i="273"/>
  <c r="BH32" i="273" s="1"/>
  <c r="BJ31" i="273"/>
  <c r="BJ32" i="273" s="1"/>
  <c r="BK31" i="273"/>
  <c r="BK32" i="273" s="1"/>
  <c r="BL31" i="273"/>
  <c r="BL32" i="273" s="1"/>
  <c r="BO31" i="273"/>
  <c r="BO32" i="273" s="1"/>
  <c r="BP31" i="273"/>
  <c r="BP32" i="273" s="1"/>
  <c r="BR31" i="273"/>
  <c r="BR32" i="273" s="1"/>
  <c r="BS31" i="273"/>
  <c r="BS32" i="273" s="1"/>
  <c r="BT31" i="273"/>
  <c r="BT32" i="273" s="1"/>
  <c r="C32" i="273"/>
  <c r="D32" i="273"/>
  <c r="E32" i="273"/>
  <c r="F32" i="273"/>
  <c r="G32" i="273"/>
  <c r="H32" i="273"/>
  <c r="I32" i="273"/>
  <c r="J32" i="273"/>
  <c r="K32" i="273"/>
  <c r="L32" i="273"/>
  <c r="N32" i="273"/>
  <c r="O32" i="273"/>
  <c r="P32" i="273"/>
  <c r="R32" i="273"/>
  <c r="S32" i="273"/>
  <c r="T32" i="273"/>
  <c r="V32" i="273"/>
  <c r="W32" i="273"/>
  <c r="X32" i="273"/>
  <c r="Z32" i="273"/>
  <c r="AA32" i="273"/>
  <c r="AB32" i="273"/>
  <c r="AD32" i="273"/>
  <c r="AE32" i="273"/>
  <c r="AF32" i="273"/>
  <c r="AH32" i="273"/>
  <c r="AI32" i="273"/>
  <c r="AJ32" i="273"/>
  <c r="AL32" i="273"/>
  <c r="AM32" i="273"/>
  <c r="AN32" i="273"/>
  <c r="AP32" i="273"/>
  <c r="AQ32" i="273"/>
  <c r="AR32" i="273"/>
  <c r="AT32" i="273"/>
  <c r="AU32" i="273"/>
  <c r="AV32" i="273"/>
  <c r="AX32" i="273"/>
  <c r="M37" i="273"/>
  <c r="N37" i="273" s="1"/>
  <c r="BH37" i="273" s="1"/>
  <c r="BE37" i="273"/>
  <c r="BF37" i="273"/>
  <c r="BG37" i="273"/>
  <c r="C38" i="273"/>
  <c r="D38" i="273" s="1"/>
  <c r="E38" i="273" s="1"/>
  <c r="C39" i="273"/>
  <c r="D39" i="273" s="1"/>
  <c r="C40" i="273"/>
  <c r="D40" i="273" s="1"/>
  <c r="E40" i="273" s="1"/>
  <c r="C41" i="273"/>
  <c r="D41" i="273" s="1"/>
  <c r="E41" i="273" s="1"/>
  <c r="C42" i="273"/>
  <c r="D42" i="273" s="1"/>
  <c r="E42" i="273" s="1"/>
  <c r="C44" i="273"/>
  <c r="D44" i="273" s="1"/>
  <c r="E44" i="273" s="1"/>
  <c r="K45" i="273"/>
  <c r="L45" i="273" s="1"/>
  <c r="M45" i="273" s="1"/>
  <c r="N45" i="273" s="1"/>
  <c r="BE45" i="273"/>
  <c r="BF45" i="273"/>
  <c r="BE46" i="273"/>
  <c r="BF46" i="273"/>
  <c r="B47" i="273"/>
  <c r="BI5" i="272"/>
  <c r="BJ5" i="272"/>
  <c r="BM5" i="272"/>
  <c r="BN5" i="272"/>
  <c r="BQ5" i="272"/>
  <c r="BR5" i="272"/>
  <c r="AY5" i="272"/>
  <c r="BD5" i="272"/>
  <c r="BE5" i="272"/>
  <c r="BG5" i="272"/>
  <c r="BH5" i="272"/>
  <c r="BK5" i="272"/>
  <c r="BO5" i="272"/>
  <c r="BP5" i="272"/>
  <c r="BS5" i="272"/>
  <c r="BF6" i="272"/>
  <c r="BI6" i="272"/>
  <c r="BJ6" i="272"/>
  <c r="BM6" i="272"/>
  <c r="BN6" i="272"/>
  <c r="BO6" i="272"/>
  <c r="BO7" i="272" s="1"/>
  <c r="BQ6" i="272"/>
  <c r="BR6" i="272"/>
  <c r="BS6" i="272"/>
  <c r="BS7" i="272" s="1"/>
  <c r="AY6" i="272"/>
  <c r="BD6" i="272"/>
  <c r="BE6" i="272"/>
  <c r="BG6" i="272"/>
  <c r="BH6" i="272"/>
  <c r="BK6" i="272"/>
  <c r="BL6" i="272"/>
  <c r="B7" i="272"/>
  <c r="C7" i="272"/>
  <c r="D7" i="272"/>
  <c r="E7" i="272"/>
  <c r="F7" i="272"/>
  <c r="G7" i="272"/>
  <c r="I7" i="272"/>
  <c r="J7" i="272"/>
  <c r="K7" i="272"/>
  <c r="L7" i="272"/>
  <c r="M7" i="272"/>
  <c r="O7" i="272"/>
  <c r="P7" i="272"/>
  <c r="Q7" i="272"/>
  <c r="S7" i="272"/>
  <c r="T7" i="272"/>
  <c r="U7" i="272"/>
  <c r="W7" i="272"/>
  <c r="X7" i="272"/>
  <c r="Y7" i="272"/>
  <c r="AA7" i="272"/>
  <c r="AB7" i="272"/>
  <c r="AC7" i="272"/>
  <c r="AE7" i="272"/>
  <c r="AF7" i="272"/>
  <c r="AG7" i="272"/>
  <c r="AI7" i="272"/>
  <c r="AJ7" i="272"/>
  <c r="AK7" i="272"/>
  <c r="AM7" i="272"/>
  <c r="AN7" i="272"/>
  <c r="AO7" i="272"/>
  <c r="AQ7" i="272"/>
  <c r="AR7" i="272"/>
  <c r="AS7" i="272"/>
  <c r="AU7" i="272"/>
  <c r="AV7" i="272"/>
  <c r="AW7" i="272"/>
  <c r="BE9" i="272"/>
  <c r="BF9" i="272"/>
  <c r="BG9" i="272"/>
  <c r="BH9" i="272"/>
  <c r="BI9" i="272"/>
  <c r="BJ9" i="272"/>
  <c r="BK9" i="272"/>
  <c r="BM9" i="272"/>
  <c r="BN9" i="272"/>
  <c r="BO9" i="272"/>
  <c r="BQ9" i="272"/>
  <c r="BR9" i="272"/>
  <c r="BS9" i="272"/>
  <c r="AY9" i="272"/>
  <c r="BD9" i="272"/>
  <c r="BL9" i="272"/>
  <c r="BP9" i="272"/>
  <c r="BD10" i="272"/>
  <c r="BE10" i="272"/>
  <c r="BF10" i="272"/>
  <c r="BI10" i="272"/>
  <c r="BJ10" i="272"/>
  <c r="BL10" i="272"/>
  <c r="BM10" i="272"/>
  <c r="BN10" i="272"/>
  <c r="BQ10" i="272"/>
  <c r="BR10" i="272"/>
  <c r="AY10" i="272"/>
  <c r="BG10" i="272"/>
  <c r="BH10" i="272"/>
  <c r="BK10" i="272"/>
  <c r="BO10" i="272"/>
  <c r="BS10" i="272"/>
  <c r="BE11" i="272"/>
  <c r="BF11" i="272"/>
  <c r="BI11" i="272"/>
  <c r="BJ11" i="272"/>
  <c r="BM11" i="272"/>
  <c r="BN11" i="272"/>
  <c r="BQ11" i="272"/>
  <c r="BR11" i="272"/>
  <c r="AY11" i="272"/>
  <c r="BD11" i="272"/>
  <c r="BG11" i="272"/>
  <c r="BH11" i="272"/>
  <c r="BK11" i="272"/>
  <c r="BL11" i="272"/>
  <c r="BO11" i="272"/>
  <c r="BP11" i="272"/>
  <c r="BS11" i="272"/>
  <c r="BD12" i="272"/>
  <c r="BE12" i="272"/>
  <c r="BF12" i="272"/>
  <c r="BH12" i="272"/>
  <c r="BI12" i="272"/>
  <c r="BJ12" i="272"/>
  <c r="BM12" i="272"/>
  <c r="BN12" i="272"/>
  <c r="BP12" i="272"/>
  <c r="BQ12" i="272"/>
  <c r="BR12" i="272"/>
  <c r="AY12" i="272"/>
  <c r="BG12" i="272"/>
  <c r="BK12" i="272"/>
  <c r="BO12" i="272"/>
  <c r="BS12" i="272"/>
  <c r="BE13" i="272"/>
  <c r="BF13" i="272"/>
  <c r="BI13" i="272"/>
  <c r="BJ13" i="272"/>
  <c r="BL13" i="272"/>
  <c r="BM13" i="272"/>
  <c r="BN13" i="272"/>
  <c r="BQ13" i="272"/>
  <c r="BR13" i="272"/>
  <c r="AY13" i="272"/>
  <c r="BD13" i="272"/>
  <c r="BG13" i="272"/>
  <c r="BH13" i="272"/>
  <c r="BK13" i="272"/>
  <c r="BO13" i="272"/>
  <c r="BP13" i="272"/>
  <c r="BS13" i="272"/>
  <c r="BE14" i="272"/>
  <c r="BF14" i="272"/>
  <c r="BI14" i="272"/>
  <c r="BJ14" i="272"/>
  <c r="BL14" i="272"/>
  <c r="BM14" i="272"/>
  <c r="BN14" i="272"/>
  <c r="BQ14" i="272"/>
  <c r="BR14" i="272"/>
  <c r="AY14" i="272"/>
  <c r="BD14" i="272"/>
  <c r="BG14" i="272"/>
  <c r="BH14" i="272"/>
  <c r="BK14" i="272"/>
  <c r="BO14" i="272"/>
  <c r="BP14" i="272"/>
  <c r="BS14" i="272"/>
  <c r="BE15" i="272"/>
  <c r="BF15" i="272"/>
  <c r="BI15" i="272"/>
  <c r="BJ15" i="272"/>
  <c r="BM15" i="272"/>
  <c r="BN15" i="272"/>
  <c r="AY15" i="272"/>
  <c r="BD15" i="272"/>
  <c r="BG15" i="272"/>
  <c r="BH15" i="272"/>
  <c r="BK15" i="272"/>
  <c r="BL15" i="272"/>
  <c r="BO15" i="272"/>
  <c r="BP15" i="272"/>
  <c r="BS15" i="272"/>
  <c r="BD16" i="272"/>
  <c r="BH16" i="272"/>
  <c r="AY16" i="272"/>
  <c r="BG16" i="272"/>
  <c r="BK16" i="272"/>
  <c r="BO16" i="272"/>
  <c r="BS16" i="272"/>
  <c r="BF17" i="272"/>
  <c r="AZ17" i="272"/>
  <c r="BJ17" i="272"/>
  <c r="BM17" i="272"/>
  <c r="BN17" i="272"/>
  <c r="BO17" i="272"/>
  <c r="BP17" i="272"/>
  <c r="BR17" i="272"/>
  <c r="BS17" i="272"/>
  <c r="AY17" i="272"/>
  <c r="BD17" i="272"/>
  <c r="BE17" i="272"/>
  <c r="BG17" i="272"/>
  <c r="BH17" i="272"/>
  <c r="BK17" i="272"/>
  <c r="BL17" i="272"/>
  <c r="BQ17" i="272"/>
  <c r="BD18" i="272"/>
  <c r="BF18" i="272"/>
  <c r="BG18" i="272"/>
  <c r="AZ18" i="272"/>
  <c r="BI18" i="272"/>
  <c r="BJ18" i="272"/>
  <c r="BK18" i="272"/>
  <c r="BL18" i="272"/>
  <c r="BN18" i="272"/>
  <c r="BO18" i="272"/>
  <c r="BQ18" i="272"/>
  <c r="BR18" i="272"/>
  <c r="BS18" i="272"/>
  <c r="AY18" i="272"/>
  <c r="BE18" i="272"/>
  <c r="BH18" i="272"/>
  <c r="BM18" i="272"/>
  <c r="BP18" i="272"/>
  <c r="BD19" i="272"/>
  <c r="BE19" i="272"/>
  <c r="BF19" i="272"/>
  <c r="BG19" i="272"/>
  <c r="O25" i="272"/>
  <c r="S25" i="272"/>
  <c r="BJ19" i="272"/>
  <c r="BK19" i="272"/>
  <c r="BL19" i="272"/>
  <c r="BM19" i="272"/>
  <c r="BN19" i="272"/>
  <c r="BO19" i="272"/>
  <c r="AM25" i="272"/>
  <c r="AQ25" i="272"/>
  <c r="BR19" i="272"/>
  <c r="BS19" i="272"/>
  <c r="AZ19" i="272"/>
  <c r="BI19" i="272"/>
  <c r="BQ19" i="272"/>
  <c r="BD20" i="272"/>
  <c r="BF20" i="272"/>
  <c r="BI20" i="272"/>
  <c r="BJ20" i="272"/>
  <c r="BN20" i="272"/>
  <c r="BQ20" i="272"/>
  <c r="BR20" i="272"/>
  <c r="AY20" i="272"/>
  <c r="AZ20" i="272"/>
  <c r="BE20" i="272"/>
  <c r="BG20" i="272"/>
  <c r="BH20" i="272"/>
  <c r="BK20" i="272"/>
  <c r="BL20" i="272"/>
  <c r="BM20" i="272"/>
  <c r="BO20" i="272"/>
  <c r="BP20" i="272"/>
  <c r="BS20" i="272"/>
  <c r="AY21" i="272"/>
  <c r="BF21" i="272"/>
  <c r="AZ21" i="272"/>
  <c r="BJ21" i="272"/>
  <c r="BM21" i="272"/>
  <c r="BN21" i="272"/>
  <c r="BQ21" i="272"/>
  <c r="BR21" i="272"/>
  <c r="BB21" i="272"/>
  <c r="BD21" i="272"/>
  <c r="BG21" i="272"/>
  <c r="BH21" i="272"/>
  <c r="BK21" i="272"/>
  <c r="BL21" i="272"/>
  <c r="BO21" i="272"/>
  <c r="BP21" i="272"/>
  <c r="BS21" i="272"/>
  <c r="AY22" i="272"/>
  <c r="BF22" i="272"/>
  <c r="AZ22" i="272"/>
  <c r="BJ22" i="272"/>
  <c r="BM22" i="272"/>
  <c r="BN22" i="272"/>
  <c r="BQ22" i="272"/>
  <c r="BR22" i="272"/>
  <c r="BB22" i="272"/>
  <c r="BD22" i="272"/>
  <c r="BG22" i="272"/>
  <c r="BH22" i="272"/>
  <c r="BK22" i="272"/>
  <c r="BL22" i="272"/>
  <c r="BO22" i="272"/>
  <c r="BP22" i="272"/>
  <c r="BS22" i="272"/>
  <c r="AY23" i="272"/>
  <c r="BF23" i="272"/>
  <c r="AZ23" i="272"/>
  <c r="BJ23" i="272"/>
  <c r="BM23" i="272"/>
  <c r="BN23" i="272"/>
  <c r="BQ23" i="272"/>
  <c r="BR23" i="272"/>
  <c r="BB23" i="272"/>
  <c r="BD23" i="272"/>
  <c r="BG23" i="272"/>
  <c r="BH23" i="272"/>
  <c r="BK23" i="272"/>
  <c r="BL23" i="272"/>
  <c r="BO23" i="272"/>
  <c r="BP23" i="272"/>
  <c r="BS23" i="272"/>
  <c r="D25" i="272"/>
  <c r="E25" i="272"/>
  <c r="E26" i="272" s="1"/>
  <c r="H25" i="272"/>
  <c r="I25" i="272"/>
  <c r="I26" i="272" s="1"/>
  <c r="L25" i="272"/>
  <c r="M25" i="272"/>
  <c r="P25" i="272"/>
  <c r="Q25" i="272"/>
  <c r="T25" i="272"/>
  <c r="T26" i="272" s="1"/>
  <c r="U25" i="272"/>
  <c r="X25" i="272"/>
  <c r="Y25" i="272"/>
  <c r="Y26" i="272" s="1"/>
  <c r="AB25" i="272"/>
  <c r="AC25" i="272"/>
  <c r="AF25" i="272"/>
  <c r="AG25" i="272"/>
  <c r="AJ25" i="272"/>
  <c r="AJ26" i="272" s="1"/>
  <c r="AK25" i="272"/>
  <c r="AN25" i="272"/>
  <c r="AO25" i="272"/>
  <c r="AO26" i="272" s="1"/>
  <c r="AR25" i="272"/>
  <c r="AS25" i="272"/>
  <c r="AV25" i="272"/>
  <c r="AW25" i="272"/>
  <c r="BH28" i="272"/>
  <c r="BK28" i="272"/>
  <c r="BA28" i="272"/>
  <c r="BO28" i="272"/>
  <c r="BB28" i="272"/>
  <c r="BS28" i="272"/>
  <c r="AY28" i="272"/>
  <c r="AZ28" i="272"/>
  <c r="BD28" i="272"/>
  <c r="BE28" i="272"/>
  <c r="BF28" i="272"/>
  <c r="BG28" i="272"/>
  <c r="BI28" i="272"/>
  <c r="BJ28" i="272"/>
  <c r="BM28" i="272"/>
  <c r="BN28" i="272"/>
  <c r="BQ28" i="272"/>
  <c r="BR28" i="272"/>
  <c r="M9" i="274"/>
  <c r="N9" i="274"/>
  <c r="O9" i="274"/>
  <c r="P9" i="274"/>
  <c r="Q9" i="274"/>
  <c r="R9" i="274"/>
  <c r="S9" i="274"/>
  <c r="T9" i="274"/>
  <c r="U9" i="274"/>
  <c r="V9" i="274"/>
  <c r="W9" i="274"/>
  <c r="X9" i="274"/>
  <c r="Y9" i="274"/>
  <c r="Z9" i="274"/>
  <c r="AA9" i="274"/>
  <c r="AB9" i="274"/>
  <c r="AC9" i="274"/>
  <c r="AD9" i="274"/>
  <c r="AE9" i="274"/>
  <c r="AF9" i="274"/>
  <c r="AG9" i="274"/>
  <c r="AH9" i="274"/>
  <c r="AI9" i="274"/>
  <c r="AJ9" i="274"/>
  <c r="AK9" i="274"/>
  <c r="AL9" i="274"/>
  <c r="AM9" i="274"/>
  <c r="AN9" i="274"/>
  <c r="AO9" i="274"/>
  <c r="AP9" i="274"/>
  <c r="AQ9" i="274"/>
  <c r="AR9" i="274"/>
  <c r="AS9" i="274"/>
  <c r="AT9" i="274"/>
  <c r="AU9" i="274"/>
  <c r="AV9" i="274"/>
  <c r="AW9" i="274"/>
  <c r="AX9" i="274"/>
  <c r="BB29" i="272"/>
  <c r="H22" i="271" s="1"/>
  <c r="BD29" i="272"/>
  <c r="BE29" i="272"/>
  <c r="BF29" i="272"/>
  <c r="BG29" i="272"/>
  <c r="BH29" i="272"/>
  <c r="BK29" i="272"/>
  <c r="BL29" i="272"/>
  <c r="BO29" i="272"/>
  <c r="BP29" i="272"/>
  <c r="BS29" i="272"/>
  <c r="BH30" i="272"/>
  <c r="BK30" i="272"/>
  <c r="BA30" i="272"/>
  <c r="BO30" i="272"/>
  <c r="BB30" i="272"/>
  <c r="BS30" i="272"/>
  <c r="AY30" i="272"/>
  <c r="AZ30" i="272"/>
  <c r="BD30" i="272"/>
  <c r="BE30" i="272"/>
  <c r="BF30" i="272"/>
  <c r="BG30" i="272"/>
  <c r="BI30" i="272"/>
  <c r="BJ30" i="272"/>
  <c r="BM30" i="272"/>
  <c r="BN30" i="272"/>
  <c r="BQ30" i="272"/>
  <c r="BR30" i="272"/>
  <c r="B31" i="272"/>
  <c r="C31" i="272"/>
  <c r="D31" i="272"/>
  <c r="E31" i="272"/>
  <c r="F31" i="272"/>
  <c r="G31" i="272"/>
  <c r="H31" i="272"/>
  <c r="I31" i="272"/>
  <c r="J31" i="272"/>
  <c r="K31" i="272"/>
  <c r="L31" i="272"/>
  <c r="N31" i="272"/>
  <c r="O31" i="272"/>
  <c r="P31" i="272"/>
  <c r="R31" i="272"/>
  <c r="S31" i="272"/>
  <c r="T31" i="272"/>
  <c r="V31" i="272"/>
  <c r="W31" i="272"/>
  <c r="X31" i="272"/>
  <c r="Z31" i="272"/>
  <c r="AA31" i="272"/>
  <c r="AB31" i="272"/>
  <c r="AD31" i="272"/>
  <c r="AE31" i="272"/>
  <c r="AF31" i="272"/>
  <c r="AH31" i="272"/>
  <c r="AI31" i="272"/>
  <c r="AJ31" i="272"/>
  <c r="AL31" i="272"/>
  <c r="AM31" i="272"/>
  <c r="AN31" i="272"/>
  <c r="AP31" i="272"/>
  <c r="AQ31" i="272"/>
  <c r="AR31" i="272"/>
  <c r="AT31" i="272"/>
  <c r="AU31" i="272"/>
  <c r="AV31" i="272"/>
  <c r="B2" i="271"/>
  <c r="E4" i="10"/>
  <c r="D19" i="10"/>
  <c r="D25" i="10" s="1"/>
  <c r="E29" i="10"/>
  <c r="E23" i="10"/>
  <c r="E22" i="10"/>
  <c r="E21" i="10"/>
  <c r="E20" i="10"/>
  <c r="E19" i="10"/>
  <c r="E14" i="10"/>
  <c r="E13" i="10"/>
  <c r="M40" i="269"/>
  <c r="I40" i="269"/>
  <c r="E40" i="269"/>
  <c r="M35" i="269"/>
  <c r="I35" i="269"/>
  <c r="E35" i="269"/>
  <c r="M34" i="269"/>
  <c r="I34" i="269"/>
  <c r="E34" i="269"/>
  <c r="M33" i="269"/>
  <c r="I33" i="269"/>
  <c r="E33" i="269"/>
  <c r="M32" i="269"/>
  <c r="I32" i="269"/>
  <c r="E32" i="269"/>
  <c r="M31" i="269"/>
  <c r="I31" i="269"/>
  <c r="E31" i="269"/>
  <c r="L36" i="269"/>
  <c r="K36" i="269"/>
  <c r="H36" i="269"/>
  <c r="G36" i="269"/>
  <c r="D36" i="269"/>
  <c r="C36" i="269"/>
  <c r="H27" i="269"/>
  <c r="C27" i="269"/>
  <c r="L27" i="269"/>
  <c r="K27" i="269"/>
  <c r="I26" i="269"/>
  <c r="I27" i="269" s="1"/>
  <c r="E26" i="269"/>
  <c r="E27" i="269" s="1"/>
  <c r="D27" i="269"/>
  <c r="M22" i="269"/>
  <c r="I22" i="269"/>
  <c r="E22" i="269"/>
  <c r="M21" i="269"/>
  <c r="I21" i="269"/>
  <c r="E21" i="269"/>
  <c r="M20" i="269"/>
  <c r="I20" i="269"/>
  <c r="E20" i="269"/>
  <c r="M19" i="269"/>
  <c r="I19" i="269"/>
  <c r="E19" i="269"/>
  <c r="M18" i="269"/>
  <c r="I18" i="269"/>
  <c r="E18" i="269"/>
  <c r="M14" i="269"/>
  <c r="I14" i="269"/>
  <c r="E14" i="269"/>
  <c r="L23" i="269"/>
  <c r="K23" i="269"/>
  <c r="H23" i="269"/>
  <c r="G23" i="269"/>
  <c r="D23" i="269"/>
  <c r="C23" i="269"/>
  <c r="M35" i="268"/>
  <c r="I35" i="268"/>
  <c r="E35" i="268"/>
  <c r="M34" i="268"/>
  <c r="I34" i="268"/>
  <c r="E34" i="268"/>
  <c r="M33" i="268"/>
  <c r="L36" i="268"/>
  <c r="K36" i="268"/>
  <c r="H36" i="268"/>
  <c r="G36" i="268"/>
  <c r="D36" i="268"/>
  <c r="C36" i="268"/>
  <c r="M29" i="268"/>
  <c r="I29" i="268"/>
  <c r="E29" i="268"/>
  <c r="M28" i="268"/>
  <c r="I28" i="268"/>
  <c r="E28" i="268"/>
  <c r="M27" i="268"/>
  <c r="I27" i="268"/>
  <c r="E27" i="268"/>
  <c r="M26" i="268"/>
  <c r="I26" i="268"/>
  <c r="E26" i="268"/>
  <c r="M25" i="268"/>
  <c r="I25" i="268"/>
  <c r="E25" i="268"/>
  <c r="M24" i="268"/>
  <c r="I24" i="268"/>
  <c r="E24" i="268"/>
  <c r="M23" i="268"/>
  <c r="I23" i="268"/>
  <c r="E23" i="268"/>
  <c r="M22" i="268"/>
  <c r="I22" i="268"/>
  <c r="E22" i="268"/>
  <c r="M21" i="268"/>
  <c r="I21" i="268"/>
  <c r="E21" i="268"/>
  <c r="M20" i="268"/>
  <c r="I20" i="268"/>
  <c r="E20" i="268"/>
  <c r="M19" i="268"/>
  <c r="I19" i="268"/>
  <c r="E19" i="268"/>
  <c r="M18" i="268"/>
  <c r="I18" i="268"/>
  <c r="E18" i="268"/>
  <c r="M17" i="268"/>
  <c r="I17" i="268"/>
  <c r="E17" i="268"/>
  <c r="M16" i="268"/>
  <c r="I16" i="268"/>
  <c r="E16" i="268"/>
  <c r="M15" i="268"/>
  <c r="I15" i="268"/>
  <c r="E15" i="268"/>
  <c r="L30" i="268"/>
  <c r="K30" i="268"/>
  <c r="H30" i="268"/>
  <c r="I14" i="268"/>
  <c r="D30" i="268"/>
  <c r="C30" i="268"/>
  <c r="M11" i="268"/>
  <c r="I11" i="268"/>
  <c r="E11" i="268"/>
  <c r="M10" i="268"/>
  <c r="K12" i="268"/>
  <c r="H12" i="268"/>
  <c r="G12" i="268"/>
  <c r="D12" i="268"/>
  <c r="C12" i="268"/>
  <c r="BF31" i="274" l="1"/>
  <c r="M26" i="272"/>
  <c r="J34" i="273"/>
  <c r="F34" i="273"/>
  <c r="E41" i="241"/>
  <c r="H41" i="241"/>
  <c r="D41" i="241"/>
  <c r="G41" i="241"/>
  <c r="F41" i="241"/>
  <c r="X26" i="272"/>
  <c r="AN26" i="272"/>
  <c r="AN32" i="272" s="1"/>
  <c r="AO7" i="274" s="1"/>
  <c r="AS26" i="272"/>
  <c r="AC26" i="272"/>
  <c r="U26" i="272"/>
  <c r="BK7" i="272"/>
  <c r="BD7" i="272"/>
  <c r="C34" i="273"/>
  <c r="D26" i="272"/>
  <c r="BF14" i="273"/>
  <c r="C31" i="268"/>
  <c r="C37" i="268" s="1"/>
  <c r="K31" i="268"/>
  <c r="K37" i="268" s="1"/>
  <c r="BD31" i="272"/>
  <c r="BE31" i="272"/>
  <c r="AK26" i="272"/>
  <c r="B34" i="273"/>
  <c r="B49" i="273" s="1"/>
  <c r="B51" i="273" s="1"/>
  <c r="I32" i="272"/>
  <c r="J7" i="274" s="1"/>
  <c r="J18" i="274" s="1"/>
  <c r="J33" i="274" s="1"/>
  <c r="BG31" i="274"/>
  <c r="BS31" i="274"/>
  <c r="AZ31" i="274"/>
  <c r="AW26" i="272"/>
  <c r="AG26" i="272"/>
  <c r="Q26" i="272"/>
  <c r="BE7" i="272"/>
  <c r="BQ7" i="272"/>
  <c r="BG45" i="273"/>
  <c r="H34" i="273"/>
  <c r="D34" i="273"/>
  <c r="BL31" i="274"/>
  <c r="G9" i="271"/>
  <c r="F37" i="271"/>
  <c r="D16" i="52" a="1"/>
  <c r="L16" i="52" s="1"/>
  <c r="D16" i="241" a="1"/>
  <c r="D16" i="279" a="1"/>
  <c r="AV26" i="272"/>
  <c r="AV32" i="272" s="1"/>
  <c r="AW7" i="274" s="1"/>
  <c r="AF26" i="272"/>
  <c r="AF32" i="272" s="1"/>
  <c r="AG7" i="274" s="1"/>
  <c r="X32" i="272"/>
  <c r="Y7" i="274" s="1"/>
  <c r="P26" i="272"/>
  <c r="P32" i="272" s="1"/>
  <c r="Q7" i="274" s="1"/>
  <c r="BS25" i="272"/>
  <c r="BS26" i="272" s="1"/>
  <c r="BE31" i="274"/>
  <c r="BP31" i="274"/>
  <c r="BK31" i="274"/>
  <c r="BG9" i="274"/>
  <c r="AR26" i="272"/>
  <c r="AR32" i="272" s="1"/>
  <c r="AS7" i="274" s="1"/>
  <c r="L26" i="272"/>
  <c r="L32" i="272" s="1"/>
  <c r="M7" i="274" s="1"/>
  <c r="H38" i="269"/>
  <c r="H41" i="269" s="1"/>
  <c r="BH17" i="274"/>
  <c r="BE9" i="274"/>
  <c r="D38" i="269"/>
  <c r="D41" i="269" s="1"/>
  <c r="L38" i="269"/>
  <c r="L41" i="269" s="1"/>
  <c r="BF31" i="272"/>
  <c r="BR9" i="274"/>
  <c r="BN9" i="274"/>
  <c r="BJ9" i="274"/>
  <c r="F29" i="271"/>
  <c r="BG7" i="272"/>
  <c r="BR7" i="272"/>
  <c r="G34" i="273"/>
  <c r="BF28" i="273"/>
  <c r="BF34" i="273" s="1"/>
  <c r="BE35" i="274"/>
  <c r="BI31" i="274"/>
  <c r="BT31" i="274"/>
  <c r="BO31" i="274"/>
  <c r="BR31" i="274"/>
  <c r="O49" i="279"/>
  <c r="D49" i="279"/>
  <c r="L49" i="279"/>
  <c r="H49" i="279"/>
  <c r="M49" i="279"/>
  <c r="F49" i="279"/>
  <c r="J49" i="279"/>
  <c r="G49" i="279"/>
  <c r="I49" i="279"/>
  <c r="E49" i="279"/>
  <c r="N49" i="279"/>
  <c r="K49" i="279"/>
  <c r="D31" i="268"/>
  <c r="D37" i="268" s="1"/>
  <c r="M12" i="268"/>
  <c r="C38" i="269"/>
  <c r="C41" i="269" s="1"/>
  <c r="K38" i="269"/>
  <c r="K41" i="269" s="1"/>
  <c r="G29" i="271"/>
  <c r="E32" i="272"/>
  <c r="F7" i="274" s="1"/>
  <c r="BN7" i="272"/>
  <c r="I34" i="273"/>
  <c r="E34" i="273"/>
  <c r="BN31" i="274"/>
  <c r="BB22" i="274"/>
  <c r="BI7" i="272"/>
  <c r="AJ32" i="272"/>
  <c r="AK7" i="274" s="1"/>
  <c r="AB26" i="272"/>
  <c r="AB32" i="272" s="1"/>
  <c r="AC7" i="274" s="1"/>
  <c r="T32" i="272"/>
  <c r="U7" i="274" s="1"/>
  <c r="D32" i="272"/>
  <c r="E7" i="274" s="1"/>
  <c r="E18" i="274" s="1"/>
  <c r="E33" i="274" s="1"/>
  <c r="BH7" i="272"/>
  <c r="AY7" i="272"/>
  <c r="BM7" i="272"/>
  <c r="L34" i="273"/>
  <c r="BE28" i="273"/>
  <c r="BE34" i="273" s="1"/>
  <c r="BO25" i="272"/>
  <c r="BO26" i="272" s="1"/>
  <c r="BK25" i="272"/>
  <c r="H31" i="268"/>
  <c r="H37" i="268" s="1"/>
  <c r="BG31" i="272"/>
  <c r="H29" i="271"/>
  <c r="BJ7" i="272"/>
  <c r="C47" i="273"/>
  <c r="BF20" i="273"/>
  <c r="D49" i="52"/>
  <c r="G49" i="52"/>
  <c r="F160" i="52" s="1"/>
  <c r="M49" i="52"/>
  <c r="L160" i="52" s="1"/>
  <c r="H49" i="52"/>
  <c r="G160" i="52" s="1"/>
  <c r="N49" i="52"/>
  <c r="M160" i="52" s="1"/>
  <c r="I49" i="52"/>
  <c r="H160" i="52" s="1"/>
  <c r="K49" i="52"/>
  <c r="J160" i="52" s="1"/>
  <c r="F49" i="52"/>
  <c r="E160" i="52" s="1"/>
  <c r="L49" i="52"/>
  <c r="K160" i="52" s="1"/>
  <c r="O49" i="52"/>
  <c r="N160" i="52" s="1"/>
  <c r="J49" i="52"/>
  <c r="I160" i="52" s="1"/>
  <c r="E49" i="52"/>
  <c r="D160" i="52" s="1"/>
  <c r="BG25" i="272"/>
  <c r="BG26" i="272" s="1"/>
  <c r="BG32" i="272" s="1"/>
  <c r="BS31" i="272"/>
  <c r="BB31" i="272"/>
  <c r="BO31" i="272"/>
  <c r="BK31" i="272"/>
  <c r="BH31" i="272"/>
  <c r="AQ26" i="272"/>
  <c r="AQ32" i="272" s="1"/>
  <c r="AR7" i="274" s="1"/>
  <c r="AM26" i="272"/>
  <c r="AM32" i="272" s="1"/>
  <c r="AN7" i="274" s="1"/>
  <c r="S26" i="272"/>
  <c r="S32" i="272" s="1"/>
  <c r="T7" i="274" s="1"/>
  <c r="O26" i="272"/>
  <c r="O32" i="272" s="1"/>
  <c r="P7" i="274" s="1"/>
  <c r="BD25" i="272"/>
  <c r="AZ45" i="273"/>
  <c r="BH45" i="273"/>
  <c r="BB16" i="272"/>
  <c r="BA12" i="272"/>
  <c r="BB5" i="272"/>
  <c r="H13" i="271" s="1"/>
  <c r="BA5" i="272"/>
  <c r="G13" i="271" s="1"/>
  <c r="BF5" i="272"/>
  <c r="BF7" i="272" s="1"/>
  <c r="H7" i="272"/>
  <c r="H26" i="272" s="1"/>
  <c r="H32" i="272" s="1"/>
  <c r="I7" i="274" s="1"/>
  <c r="BE43" i="273"/>
  <c r="E39" i="273"/>
  <c r="D47" i="273"/>
  <c r="BP30" i="272"/>
  <c r="BL30" i="272"/>
  <c r="BR29" i="272"/>
  <c r="BR31" i="272" s="1"/>
  <c r="BN29" i="272"/>
  <c r="BN31" i="272" s="1"/>
  <c r="BJ29" i="272"/>
  <c r="BJ31" i="272" s="1"/>
  <c r="BA29" i="272"/>
  <c r="BS9" i="274"/>
  <c r="BO9" i="274"/>
  <c r="BK9" i="274"/>
  <c r="BH9" i="274"/>
  <c r="BP28" i="272"/>
  <c r="BL28" i="272"/>
  <c r="BA23" i="272"/>
  <c r="BA22" i="272"/>
  <c r="BA21" i="272"/>
  <c r="BP19" i="272"/>
  <c r="BH19" i="272"/>
  <c r="BH25" i="272" s="1"/>
  <c r="AY19" i="272"/>
  <c r="AY25" i="272" s="1"/>
  <c r="BB19" i="272"/>
  <c r="BA19" i="272"/>
  <c r="BI17" i="272"/>
  <c r="BP16" i="272"/>
  <c r="BR16" i="272"/>
  <c r="BQ16" i="272"/>
  <c r="BN16" i="272"/>
  <c r="BN25" i="272" s="1"/>
  <c r="BM16" i="272"/>
  <c r="BM25" i="272" s="1"/>
  <c r="BJ16" i="272"/>
  <c r="BJ25" i="272" s="1"/>
  <c r="BJ26" i="272" s="1"/>
  <c r="BI16" i="272"/>
  <c r="BF16" i="272"/>
  <c r="BF25" i="272" s="1"/>
  <c r="BE16" i="272"/>
  <c r="BB15" i="272"/>
  <c r="BA15" i="272"/>
  <c r="AZ15" i="272"/>
  <c r="BB11" i="272"/>
  <c r="BA11" i="272"/>
  <c r="AZ11" i="272"/>
  <c r="F44" i="273"/>
  <c r="G44" i="273" s="1"/>
  <c r="H44" i="273" s="1"/>
  <c r="BE44" i="273"/>
  <c r="BC16" i="273"/>
  <c r="BT16" i="273"/>
  <c r="BA16" i="273"/>
  <c r="BL16" i="273"/>
  <c r="AZ16" i="273"/>
  <c r="BH16" i="273"/>
  <c r="BA16" i="272"/>
  <c r="AZ16" i="272"/>
  <c r="BB12" i="272"/>
  <c r="AZ12" i="272"/>
  <c r="AZ5" i="272"/>
  <c r="F13" i="271" s="1"/>
  <c r="F41" i="273"/>
  <c r="G41" i="273" s="1"/>
  <c r="H41" i="273" s="1"/>
  <c r="BE41" i="273"/>
  <c r="AW31" i="272"/>
  <c r="AS31" i="272"/>
  <c r="AO31" i="272"/>
  <c r="AO32" i="272" s="1"/>
  <c r="AP7" i="274" s="1"/>
  <c r="AK31" i="272"/>
  <c r="AK32" i="272" s="1"/>
  <c r="AL7" i="274" s="1"/>
  <c r="AG31" i="272"/>
  <c r="AC31" i="272"/>
  <c r="Y31" i="272"/>
  <c r="Y32" i="272" s="1"/>
  <c r="Z7" i="274" s="1"/>
  <c r="U31" i="272"/>
  <c r="U32" i="272" s="1"/>
  <c r="V7" i="274" s="1"/>
  <c r="Q31" i="272"/>
  <c r="M31" i="272"/>
  <c r="M32" i="272" s="1"/>
  <c r="N7" i="274" s="1"/>
  <c r="BQ29" i="272"/>
  <c r="BQ31" i="272" s="1"/>
  <c r="BM29" i="272"/>
  <c r="BM31" i="272" s="1"/>
  <c r="BI29" i="272"/>
  <c r="BI31" i="272" s="1"/>
  <c r="AZ29" i="272"/>
  <c r="BT9" i="274"/>
  <c r="BP9" i="274"/>
  <c r="BL9" i="274"/>
  <c r="AU25" i="272"/>
  <c r="AI25" i="272"/>
  <c r="AE25" i="272"/>
  <c r="AA25" i="272"/>
  <c r="W25" i="272"/>
  <c r="K25" i="272"/>
  <c r="G25" i="272"/>
  <c r="C25" i="272"/>
  <c r="BI23" i="272"/>
  <c r="BE23" i="272"/>
  <c r="BI22" i="272"/>
  <c r="BE22" i="272"/>
  <c r="BI21" i="272"/>
  <c r="BE21" i="272"/>
  <c r="BR15" i="272"/>
  <c r="BR25" i="272" s="1"/>
  <c r="BR26" i="272" s="1"/>
  <c r="BR32" i="272" s="1"/>
  <c r="BQ15" i="272"/>
  <c r="BQ25" i="272" s="1"/>
  <c r="BB14" i="272"/>
  <c r="BA14" i="272"/>
  <c r="AZ14" i="272"/>
  <c r="F21" i="271" s="1"/>
  <c r="BB10" i="272"/>
  <c r="BA10" i="272"/>
  <c r="AZ10" i="272"/>
  <c r="BB6" i="272"/>
  <c r="H14" i="271" s="1"/>
  <c r="BA6" i="272"/>
  <c r="G14" i="271" s="1"/>
  <c r="AZ6" i="272"/>
  <c r="F14" i="271" s="1"/>
  <c r="BL5" i="272"/>
  <c r="BL7" i="272" s="1"/>
  <c r="AY29" i="272"/>
  <c r="AY31" i="272" s="1"/>
  <c r="BQ9" i="274"/>
  <c r="BC9" i="274"/>
  <c r="BM9" i="274"/>
  <c r="BB9" i="274"/>
  <c r="BI9" i="274"/>
  <c r="BA9" i="274"/>
  <c r="AT25" i="272"/>
  <c r="AP25" i="272"/>
  <c r="AL25" i="272"/>
  <c r="AH25" i="272"/>
  <c r="AD25" i="272"/>
  <c r="Z25" i="272"/>
  <c r="V25" i="272"/>
  <c r="R25" i="272"/>
  <c r="N25" i="272"/>
  <c r="J25" i="272"/>
  <c r="F25" i="272"/>
  <c r="B25" i="272"/>
  <c r="BB20" i="272"/>
  <c r="BA20" i="272"/>
  <c r="BB18" i="272"/>
  <c r="BA18" i="272"/>
  <c r="BB17" i="272"/>
  <c r="BA17" i="272"/>
  <c r="BL16" i="272"/>
  <c r="BB13" i="272"/>
  <c r="H20" i="271" s="1"/>
  <c r="BA13" i="272"/>
  <c r="G20" i="271" s="1"/>
  <c r="AZ13" i="272"/>
  <c r="F20" i="271" s="1"/>
  <c r="BL12" i="272"/>
  <c r="BL25" i="272" s="1"/>
  <c r="BP10" i="272"/>
  <c r="BB9" i="272"/>
  <c r="BA9" i="272"/>
  <c r="G19" i="271" s="1"/>
  <c r="AZ9" i="272"/>
  <c r="AT7" i="272"/>
  <c r="AP7" i="272"/>
  <c r="AL7" i="272"/>
  <c r="AL26" i="272" s="1"/>
  <c r="AL32" i="272" s="1"/>
  <c r="AH7" i="272"/>
  <c r="AD7" i="272"/>
  <c r="Z7" i="272"/>
  <c r="V7" i="272"/>
  <c r="V26" i="272" s="1"/>
  <c r="V32" i="272" s="1"/>
  <c r="W7" i="274" s="1"/>
  <c r="R7" i="272"/>
  <c r="N7" i="272"/>
  <c r="BP6" i="272"/>
  <c r="BP7" i="272" s="1"/>
  <c r="BL25" i="273"/>
  <c r="F42" i="273"/>
  <c r="G42" i="273" s="1"/>
  <c r="H42" i="273" s="1"/>
  <c r="BE42" i="273"/>
  <c r="F40" i="273"/>
  <c r="G40" i="273" s="1"/>
  <c r="H40" i="273" s="1"/>
  <c r="BE40" i="273"/>
  <c r="F38" i="273"/>
  <c r="BE38" i="273"/>
  <c r="BC25" i="273"/>
  <c r="BT25" i="273"/>
  <c r="BB25" i="273"/>
  <c r="BP25" i="273"/>
  <c r="AZ25" i="273"/>
  <c r="BH25" i="273"/>
  <c r="BE14" i="273"/>
  <c r="BE20" i="273" s="1"/>
  <c r="BT13" i="273"/>
  <c r="BT11" i="273"/>
  <c r="BP11" i="273"/>
  <c r="BL11" i="273"/>
  <c r="BH11" i="273"/>
  <c r="O37" i="273"/>
  <c r="AZ37" i="273"/>
  <c r="AO32" i="273"/>
  <c r="BQ31" i="273"/>
  <c r="BQ32" i="273" s="1"/>
  <c r="AC32" i="273"/>
  <c r="BM31" i="273"/>
  <c r="BM32" i="273" s="1"/>
  <c r="Q32" i="273"/>
  <c r="BI31" i="273"/>
  <c r="BI32" i="273" s="1"/>
  <c r="BT10" i="273"/>
  <c r="BP10" i="273"/>
  <c r="BL10" i="273"/>
  <c r="BH10" i="273"/>
  <c r="BP27" i="273"/>
  <c r="K28" i="273"/>
  <c r="K34" i="273" s="1"/>
  <c r="BG24" i="273"/>
  <c r="BG28" i="273" s="1"/>
  <c r="BG34" i="273" s="1"/>
  <c r="BH28" i="274"/>
  <c r="BH31" i="274" s="1"/>
  <c r="BC28" i="274"/>
  <c r="BN16" i="274"/>
  <c r="BB16" i="274"/>
  <c r="BA16" i="274"/>
  <c r="BJ16" i="274"/>
  <c r="BC15" i="274"/>
  <c r="BQ15" i="274"/>
  <c r="BB15" i="274"/>
  <c r="BM15" i="274"/>
  <c r="BC13" i="274"/>
  <c r="BQ13" i="274"/>
  <c r="BB13" i="274"/>
  <c r="BM13" i="274"/>
  <c r="BA28" i="274"/>
  <c r="BA31" i="274" s="1"/>
  <c r="BJ28" i="274"/>
  <c r="BJ31" i="274" s="1"/>
  <c r="BC21" i="274"/>
  <c r="H34" i="271" s="1"/>
  <c r="BQ21" i="274"/>
  <c r="BQ22" i="274" s="1"/>
  <c r="BI21" i="274"/>
  <c r="BI22" i="274" s="1"/>
  <c r="BA21" i="274"/>
  <c r="F34" i="271" s="1"/>
  <c r="BH21" i="274"/>
  <c r="BH22" i="274" s="1"/>
  <c r="AZ21" i="274"/>
  <c r="AZ22" i="274" s="1"/>
  <c r="BC17" i="274"/>
  <c r="BB17" i="274"/>
  <c r="BA17" i="274"/>
  <c r="BB30" i="274"/>
  <c r="BC29" i="274"/>
  <c r="BQ29" i="274"/>
  <c r="BQ31" i="274" s="1"/>
  <c r="BB29" i="274"/>
  <c r="BM29" i="274"/>
  <c r="BM31" i="274" s="1"/>
  <c r="BM17" i="274"/>
  <c r="AZ9" i="274"/>
  <c r="BF9" i="274"/>
  <c r="E16" i="10"/>
  <c r="I30" i="268"/>
  <c r="M36" i="268"/>
  <c r="I10" i="268"/>
  <c r="I12" i="268" s="1"/>
  <c r="L12" i="268"/>
  <c r="L31" i="268" s="1"/>
  <c r="L37" i="268" s="1"/>
  <c r="E14" i="268"/>
  <c r="E30" i="268" s="1"/>
  <c r="G30" i="268"/>
  <c r="G31" i="268" s="1"/>
  <c r="G37" i="268" s="1"/>
  <c r="I33" i="268"/>
  <c r="I36" i="268" s="1"/>
  <c r="M12" i="269"/>
  <c r="M23" i="269" s="1"/>
  <c r="M26" i="269"/>
  <c r="M27" i="269" s="1"/>
  <c r="G27" i="269"/>
  <c r="G38" i="269" s="1"/>
  <c r="G41" i="269" s="1"/>
  <c r="E30" i="269"/>
  <c r="E36" i="269" s="1"/>
  <c r="E10" i="268"/>
  <c r="E12" i="268" s="1"/>
  <c r="E33" i="268"/>
  <c r="E36" i="268" s="1"/>
  <c r="I12" i="269"/>
  <c r="I23" i="269" s="1"/>
  <c r="M14" i="268"/>
  <c r="M30" i="268" s="1"/>
  <c r="E12" i="269"/>
  <c r="E23" i="269" s="1"/>
  <c r="M30" i="269"/>
  <c r="M36" i="269" s="1"/>
  <c r="I30" i="269"/>
  <c r="I36" i="269" s="1"/>
  <c r="AY26" i="272" l="1"/>
  <c r="BO32" i="272"/>
  <c r="BH26" i="272"/>
  <c r="BH32" i="272" s="1"/>
  <c r="BK26" i="272"/>
  <c r="BK32" i="272" s="1"/>
  <c r="D36" i="272"/>
  <c r="M31" i="268"/>
  <c r="M37" i="268" s="1"/>
  <c r="BD26" i="272"/>
  <c r="AC32" i="272"/>
  <c r="AD7" i="274" s="1"/>
  <c r="AS32" i="272"/>
  <c r="AT7" i="274" s="1"/>
  <c r="Q32" i="272"/>
  <c r="R7" i="274" s="1"/>
  <c r="AG32" i="272"/>
  <c r="AH7" i="274" s="1"/>
  <c r="D49" i="273"/>
  <c r="D51" i="273" s="1"/>
  <c r="C49" i="273"/>
  <c r="C51" i="273" s="1"/>
  <c r="H19" i="271"/>
  <c r="G21" i="271"/>
  <c r="BM26" i="272"/>
  <c r="I31" i="268"/>
  <c r="I37" i="268" s="1"/>
  <c r="BB31" i="274"/>
  <c r="BP25" i="272"/>
  <c r="BP26" i="272" s="1"/>
  <c r="H21" i="271"/>
  <c r="BI25" i="272"/>
  <c r="BI26" i="272" s="1"/>
  <c r="BI32" i="272" s="1"/>
  <c r="BN26" i="272"/>
  <c r="BN32" i="272" s="1"/>
  <c r="BD32" i="272"/>
  <c r="F19" i="271"/>
  <c r="BQ26" i="272"/>
  <c r="BQ32" i="272" s="1"/>
  <c r="AW32" i="272"/>
  <c r="AX7" i="274" s="1"/>
  <c r="BL31" i="272"/>
  <c r="BS32" i="272"/>
  <c r="F155" i="241"/>
  <c r="G32" i="241"/>
  <c r="G33" i="241"/>
  <c r="G34" i="241"/>
  <c r="G35" i="241"/>
  <c r="G36" i="241"/>
  <c r="E155" i="241"/>
  <c r="F33" i="241"/>
  <c r="F34" i="241"/>
  <c r="F35" i="241"/>
  <c r="F32" i="241"/>
  <c r="F36" i="241"/>
  <c r="H155" i="241"/>
  <c r="I32" i="241"/>
  <c r="I33" i="241"/>
  <c r="I34" i="241"/>
  <c r="I35" i="241"/>
  <c r="I36" i="241"/>
  <c r="I155" i="241"/>
  <c r="J32" i="241"/>
  <c r="J36" i="241"/>
  <c r="J33" i="241"/>
  <c r="J34" i="241"/>
  <c r="J35" i="241"/>
  <c r="D155" i="241"/>
  <c r="E31" i="241"/>
  <c r="E32" i="241"/>
  <c r="E33" i="241"/>
  <c r="E34" i="241"/>
  <c r="E35" i="241"/>
  <c r="E36" i="241"/>
  <c r="N155" i="241"/>
  <c r="O32" i="241"/>
  <c r="O33" i="241"/>
  <c r="O34" i="241"/>
  <c r="O35" i="241"/>
  <c r="O36" i="241"/>
  <c r="G155" i="241"/>
  <c r="H32" i="241"/>
  <c r="H33" i="241"/>
  <c r="H34" i="241"/>
  <c r="H35" i="241"/>
  <c r="H36" i="241"/>
  <c r="J155" i="241"/>
  <c r="K32" i="241"/>
  <c r="K33" i="241"/>
  <c r="K34" i="241"/>
  <c r="K35" i="241"/>
  <c r="K36" i="241"/>
  <c r="D31" i="241"/>
  <c r="D32" i="241"/>
  <c r="D33" i="241"/>
  <c r="D34" i="241"/>
  <c r="D35" i="241"/>
  <c r="D36" i="241"/>
  <c r="K155" i="241"/>
  <c r="L32" i="241"/>
  <c r="L33" i="241"/>
  <c r="L34" i="241"/>
  <c r="L35" i="241"/>
  <c r="L36" i="241"/>
  <c r="L155" i="241"/>
  <c r="M32" i="241"/>
  <c r="M33" i="241"/>
  <c r="M34" i="241"/>
  <c r="M35" i="241"/>
  <c r="M36" i="241"/>
  <c r="M155" i="241"/>
  <c r="N34" i="241"/>
  <c r="N35" i="241"/>
  <c r="N36" i="241"/>
  <c r="N32" i="241"/>
  <c r="N33" i="241"/>
  <c r="G16" i="271"/>
  <c r="H9" i="271"/>
  <c r="H37" i="271" s="1"/>
  <c r="J37" i="271" s="1"/>
  <c r="G37" i="271"/>
  <c r="F16" i="52"/>
  <c r="I16" i="52"/>
  <c r="N16" i="52"/>
  <c r="H16" i="52"/>
  <c r="E16" i="52"/>
  <c r="O16" i="52"/>
  <c r="D16" i="52"/>
  <c r="G16" i="52"/>
  <c r="J16" i="52"/>
  <c r="K16" i="52"/>
  <c r="M16" i="52"/>
  <c r="E40" i="279"/>
  <c r="E83" i="279" s="1"/>
  <c r="E39" i="279"/>
  <c r="E44" i="279"/>
  <c r="E87" i="279" s="1"/>
  <c r="E41" i="279"/>
  <c r="E84" i="279" s="1"/>
  <c r="D160" i="279"/>
  <c r="E43" i="279"/>
  <c r="E86" i="279" s="1"/>
  <c r="E42" i="279"/>
  <c r="E85" i="279" s="1"/>
  <c r="D43" i="279"/>
  <c r="D86" i="279" s="1"/>
  <c r="D42" i="279"/>
  <c r="D85" i="279" s="1"/>
  <c r="D41" i="279"/>
  <c r="D84" i="279" s="1"/>
  <c r="D40" i="279"/>
  <c r="D83" i="279" s="1"/>
  <c r="D44" i="279"/>
  <c r="D87" i="279" s="1"/>
  <c r="D39" i="279"/>
  <c r="H160" i="279"/>
  <c r="I42" i="279"/>
  <c r="I85" i="279" s="1"/>
  <c r="I41" i="279"/>
  <c r="I84" i="279" s="1"/>
  <c r="I44" i="279"/>
  <c r="I87" i="279" s="1"/>
  <c r="I43" i="279"/>
  <c r="I86" i="279" s="1"/>
  <c r="I40" i="279"/>
  <c r="I83" i="279" s="1"/>
  <c r="I39" i="279"/>
  <c r="M44" i="279"/>
  <c r="M87" i="279" s="1"/>
  <c r="M42" i="279"/>
  <c r="M85" i="279" s="1"/>
  <c r="M40" i="279"/>
  <c r="M83" i="279" s="1"/>
  <c r="M39" i="279"/>
  <c r="M43" i="279"/>
  <c r="M86" i="279" s="1"/>
  <c r="L160" i="279"/>
  <c r="M41" i="279"/>
  <c r="M84" i="279" s="1"/>
  <c r="N160" i="279"/>
  <c r="O44" i="279"/>
  <c r="O87" i="279" s="1"/>
  <c r="O42" i="279"/>
  <c r="O85" i="279" s="1"/>
  <c r="O40" i="279"/>
  <c r="O83" i="279" s="1"/>
  <c r="O39" i="279"/>
  <c r="O43" i="279"/>
  <c r="O86" i="279" s="1"/>
  <c r="O41" i="279"/>
  <c r="O84" i="279" s="1"/>
  <c r="L16" i="279"/>
  <c r="M16" i="279"/>
  <c r="I16" i="279"/>
  <c r="E16" i="279"/>
  <c r="J16" i="279"/>
  <c r="O16" i="279"/>
  <c r="H16" i="279"/>
  <c r="N16" i="279"/>
  <c r="K16" i="279"/>
  <c r="G16" i="279"/>
  <c r="D16" i="279"/>
  <c r="F16" i="279"/>
  <c r="E160" i="279"/>
  <c r="F43" i="279"/>
  <c r="F86" i="279" s="1"/>
  <c r="F41" i="279"/>
  <c r="F84" i="279" s="1"/>
  <c r="F44" i="279"/>
  <c r="F87" i="279" s="1"/>
  <c r="F39" i="279"/>
  <c r="F42" i="279"/>
  <c r="F85" i="279" s="1"/>
  <c r="F40" i="279"/>
  <c r="F83" i="279" s="1"/>
  <c r="K43" i="279"/>
  <c r="K86" i="279" s="1"/>
  <c r="K40" i="279"/>
  <c r="K83" i="279" s="1"/>
  <c r="K44" i="279"/>
  <c r="K87" i="279" s="1"/>
  <c r="K39" i="279"/>
  <c r="K42" i="279"/>
  <c r="K85" i="279" s="1"/>
  <c r="J160" i="279"/>
  <c r="K41" i="279"/>
  <c r="K84" i="279" s="1"/>
  <c r="F160" i="279"/>
  <c r="G44" i="279"/>
  <c r="G87" i="279" s="1"/>
  <c r="G42" i="279"/>
  <c r="G85" i="279" s="1"/>
  <c r="G40" i="279"/>
  <c r="G83" i="279" s="1"/>
  <c r="G43" i="279"/>
  <c r="G86" i="279" s="1"/>
  <c r="G41" i="279"/>
  <c r="G84" i="279" s="1"/>
  <c r="G39" i="279"/>
  <c r="G160" i="279"/>
  <c r="H42" i="279"/>
  <c r="H85" i="279" s="1"/>
  <c r="H40" i="279"/>
  <c r="H83" i="279" s="1"/>
  <c r="H39" i="279"/>
  <c r="H41" i="279"/>
  <c r="H84" i="279" s="1"/>
  <c r="H44" i="279"/>
  <c r="H87" i="279" s="1"/>
  <c r="H43" i="279"/>
  <c r="H86" i="279" s="1"/>
  <c r="D16" i="241"/>
  <c r="O16" i="241"/>
  <c r="J16" i="241"/>
  <c r="E16" i="241"/>
  <c r="K16" i="241"/>
  <c r="F16" i="241"/>
  <c r="L16" i="241"/>
  <c r="N16" i="241"/>
  <c r="I16" i="241"/>
  <c r="G16" i="241"/>
  <c r="M16" i="241"/>
  <c r="H16" i="241"/>
  <c r="N43" i="279"/>
  <c r="N86" i="279" s="1"/>
  <c r="M160" i="279"/>
  <c r="N39" i="279"/>
  <c r="N42" i="279"/>
  <c r="N85" i="279" s="1"/>
  <c r="N41" i="279"/>
  <c r="N84" i="279" s="1"/>
  <c r="N44" i="279"/>
  <c r="N87" i="279" s="1"/>
  <c r="N40" i="279"/>
  <c r="N83" i="279" s="1"/>
  <c r="J41" i="279"/>
  <c r="J84" i="279" s="1"/>
  <c r="J43" i="279"/>
  <c r="J86" i="279" s="1"/>
  <c r="J42" i="279"/>
  <c r="J85" i="279" s="1"/>
  <c r="J39" i="279"/>
  <c r="J44" i="279"/>
  <c r="J87" i="279" s="1"/>
  <c r="I160" i="279"/>
  <c r="J40" i="279"/>
  <c r="J83" i="279" s="1"/>
  <c r="K160" i="279"/>
  <c r="L42" i="279"/>
  <c r="L85" i="279" s="1"/>
  <c r="L39" i="279"/>
  <c r="L43" i="279"/>
  <c r="L86" i="279" s="1"/>
  <c r="L44" i="279"/>
  <c r="L87" i="279" s="1"/>
  <c r="L41" i="279"/>
  <c r="L84" i="279" s="1"/>
  <c r="L40" i="279"/>
  <c r="L83" i="279" s="1"/>
  <c r="AZ31" i="272"/>
  <c r="F22" i="271"/>
  <c r="BA22" i="274"/>
  <c r="E36" i="272"/>
  <c r="BC22" i="274"/>
  <c r="F16" i="271"/>
  <c r="E31" i="268"/>
  <c r="E37" i="268" s="1"/>
  <c r="BA25" i="272"/>
  <c r="BJ32" i="272"/>
  <c r="BC31" i="274"/>
  <c r="BE25" i="272"/>
  <c r="BE26" i="272" s="1"/>
  <c r="BE32" i="272" s="1"/>
  <c r="BM32" i="272"/>
  <c r="AY32" i="272"/>
  <c r="BA31" i="272"/>
  <c r="G22" i="271"/>
  <c r="H16" i="271"/>
  <c r="N26" i="272"/>
  <c r="N32" i="272" s="1"/>
  <c r="AD26" i="272"/>
  <c r="AD32" i="272" s="1"/>
  <c r="AE7" i="274" s="1"/>
  <c r="AT26" i="272"/>
  <c r="AT32" i="272" s="1"/>
  <c r="AU7" i="274" s="1"/>
  <c r="R26" i="272"/>
  <c r="R32" i="272" s="1"/>
  <c r="S7" i="274" s="1"/>
  <c r="AH26" i="272"/>
  <c r="AH32" i="272" s="1"/>
  <c r="AI7" i="274" s="1"/>
  <c r="BK7" i="274"/>
  <c r="BO7" i="274"/>
  <c r="AE26" i="272"/>
  <c r="AE32" i="272" s="1"/>
  <c r="AF7" i="274" s="1"/>
  <c r="I18" i="274"/>
  <c r="I33" i="274" s="1"/>
  <c r="P37" i="273"/>
  <c r="I40" i="273"/>
  <c r="J40" i="273" s="1"/>
  <c r="K40" i="273" s="1"/>
  <c r="BF40" i="273"/>
  <c r="Z26" i="272"/>
  <c r="Z32" i="272" s="1"/>
  <c r="AP26" i="272"/>
  <c r="AP32" i="272" s="1"/>
  <c r="AQ7" i="274" s="1"/>
  <c r="BR7" i="274" s="1"/>
  <c r="BB25" i="272"/>
  <c r="K26" i="272"/>
  <c r="K32" i="272" s="1"/>
  <c r="L7" i="274" s="1"/>
  <c r="AI26" i="272"/>
  <c r="AI32" i="272" s="1"/>
  <c r="AJ7" i="274" s="1"/>
  <c r="I41" i="273"/>
  <c r="J41" i="273" s="1"/>
  <c r="K41" i="273" s="1"/>
  <c r="BF41" i="273"/>
  <c r="BP31" i="272"/>
  <c r="F39" i="273"/>
  <c r="G39" i="273" s="1"/>
  <c r="H39" i="273" s="1"/>
  <c r="BE39" i="273"/>
  <c r="BE47" i="273" s="1"/>
  <c r="BE49" i="273" s="1"/>
  <c r="BE51" i="273" s="1"/>
  <c r="E47" i="273"/>
  <c r="E49" i="273" s="1"/>
  <c r="E51" i="273" s="1"/>
  <c r="BF26" i="272"/>
  <c r="BF32" i="272" s="1"/>
  <c r="F18" i="274"/>
  <c r="F33" i="274" s="1"/>
  <c r="AM7" i="274"/>
  <c r="AM46" i="273"/>
  <c r="AN46" i="273" s="1"/>
  <c r="AO46" i="273" s="1"/>
  <c r="G26" i="272"/>
  <c r="G32" i="272" s="1"/>
  <c r="O7" i="274"/>
  <c r="O46" i="273"/>
  <c r="P46" i="273" s="1"/>
  <c r="Q46" i="273" s="1"/>
  <c r="B26" i="272"/>
  <c r="B32" i="272" s="1"/>
  <c r="W26" i="272"/>
  <c r="W32" i="272" s="1"/>
  <c r="X7" i="274" s="1"/>
  <c r="AU26" i="272"/>
  <c r="AU32" i="272" s="1"/>
  <c r="AV7" i="274" s="1"/>
  <c r="AZ7" i="272"/>
  <c r="BF44" i="273"/>
  <c r="I44" i="273"/>
  <c r="J44" i="273" s="1"/>
  <c r="K44" i="273" s="1"/>
  <c r="BA7" i="272"/>
  <c r="J26" i="272"/>
  <c r="J32" i="272" s="1"/>
  <c r="G38" i="273"/>
  <c r="I42" i="273"/>
  <c r="J42" i="273" s="1"/>
  <c r="K42" i="273" s="1"/>
  <c r="BF42" i="273"/>
  <c r="AZ25" i="272"/>
  <c r="F26" i="272"/>
  <c r="F32" i="272" s="1"/>
  <c r="BL26" i="272"/>
  <c r="C26" i="272"/>
  <c r="C32" i="272" s="1"/>
  <c r="AA26" i="272"/>
  <c r="AA32" i="272" s="1"/>
  <c r="AB7" i="274" s="1"/>
  <c r="BF43" i="273"/>
  <c r="BB7" i="272"/>
  <c r="I38" i="269"/>
  <c r="I41" i="269" s="1"/>
  <c r="E38" i="269"/>
  <c r="E41" i="269" s="1"/>
  <c r="M38" i="269"/>
  <c r="M41" i="269" s="1"/>
  <c r="BL32" i="272" l="1"/>
  <c r="BP32" i="272"/>
  <c r="BJ7" i="274"/>
  <c r="H25" i="271"/>
  <c r="H27" i="271" s="1"/>
  <c r="H31" i="271" s="1"/>
  <c r="BS7" i="274"/>
  <c r="O82" i="279"/>
  <c r="O53" i="279"/>
  <c r="L82" i="279"/>
  <c r="L53" i="279"/>
  <c r="H82" i="279"/>
  <c r="H53" i="279"/>
  <c r="G82" i="279"/>
  <c r="G53" i="279"/>
  <c r="F82" i="279"/>
  <c r="F53" i="279"/>
  <c r="E82" i="279"/>
  <c r="E53" i="279"/>
  <c r="M82" i="279"/>
  <c r="M53" i="279"/>
  <c r="I53" i="279"/>
  <c r="I82" i="279"/>
  <c r="J53" i="279"/>
  <c r="J82" i="279"/>
  <c r="N53" i="279"/>
  <c r="N82" i="279"/>
  <c r="K82" i="279"/>
  <c r="K53" i="279"/>
  <c r="D53" i="279"/>
  <c r="D82" i="279"/>
  <c r="BA26" i="272"/>
  <c r="BA32" i="272" s="1"/>
  <c r="G25" i="271"/>
  <c r="G27" i="271" s="1"/>
  <c r="G31" i="271" s="1"/>
  <c r="F25" i="271"/>
  <c r="F27" i="271" s="1"/>
  <c r="F31" i="271" s="1"/>
  <c r="BN7" i="274"/>
  <c r="BG42" i="273"/>
  <c r="L42" i="273"/>
  <c r="M42" i="273" s="1"/>
  <c r="N42" i="273" s="1"/>
  <c r="BI46" i="273"/>
  <c r="R46" i="273"/>
  <c r="S46" i="273" s="1"/>
  <c r="T46" i="273" s="1"/>
  <c r="F47" i="273"/>
  <c r="F49" i="273" s="1"/>
  <c r="F51" i="273" s="1"/>
  <c r="L44" i="273"/>
  <c r="M44" i="273" s="1"/>
  <c r="N44" i="273" s="1"/>
  <c r="BG44" i="273"/>
  <c r="BT7" i="274"/>
  <c r="C7" i="274"/>
  <c r="B36" i="272"/>
  <c r="BI7" i="274"/>
  <c r="BA7" i="274"/>
  <c r="H7" i="274"/>
  <c r="H18" i="274" s="1"/>
  <c r="H33" i="274" s="1"/>
  <c r="G36" i="272"/>
  <c r="BP7" i="274"/>
  <c r="BG40" i="273"/>
  <c r="L40" i="273"/>
  <c r="M40" i="273" s="1"/>
  <c r="N40" i="273" s="1"/>
  <c r="BG43" i="273"/>
  <c r="I39" i="273"/>
  <c r="J39" i="273" s="1"/>
  <c r="K39" i="273" s="1"/>
  <c r="BF39" i="273"/>
  <c r="BB26" i="272"/>
  <c r="BB32" i="272" s="1"/>
  <c r="K7" i="274"/>
  <c r="K46" i="273"/>
  <c r="AA7" i="274"/>
  <c r="AA46" i="273"/>
  <c r="AB46" i="273" s="1"/>
  <c r="AC46" i="273" s="1"/>
  <c r="D7" i="274"/>
  <c r="D18" i="274" s="1"/>
  <c r="D33" i="274" s="1"/>
  <c r="C36" i="272"/>
  <c r="BQ7" i="274"/>
  <c r="BC7" i="274"/>
  <c r="G47" i="273"/>
  <c r="G49" i="273" s="1"/>
  <c r="G51" i="273" s="1"/>
  <c r="H38" i="273"/>
  <c r="G7" i="274"/>
  <c r="F36" i="272"/>
  <c r="AZ26" i="272"/>
  <c r="AZ32" i="272" s="1"/>
  <c r="BL7" i="274"/>
  <c r="BQ46" i="273"/>
  <c r="AP46" i="273"/>
  <c r="AQ46" i="273" s="1"/>
  <c r="AR46" i="273" s="1"/>
  <c r="BG41" i="273"/>
  <c r="L41" i="273"/>
  <c r="M41" i="273" s="1"/>
  <c r="N41" i="273" s="1"/>
  <c r="L18" i="274"/>
  <c r="L33" i="274" s="1"/>
  <c r="BH7" i="274"/>
  <c r="Q37" i="273"/>
  <c r="F35" i="271" l="1"/>
  <c r="G35" i="271"/>
  <c r="H35" i="271"/>
  <c r="R37" i="273"/>
  <c r="BI37" i="273"/>
  <c r="BJ46" i="273"/>
  <c r="U46" i="273"/>
  <c r="V46" i="273" s="1"/>
  <c r="W46" i="273" s="1"/>
  <c r="BR46" i="273"/>
  <c r="AS46" i="273"/>
  <c r="AT46" i="273" s="1"/>
  <c r="AU46" i="273" s="1"/>
  <c r="L46" i="273"/>
  <c r="M46" i="273" s="1"/>
  <c r="N46" i="273" s="1"/>
  <c r="BG46" i="273"/>
  <c r="BG39" i="273"/>
  <c r="L39" i="273"/>
  <c r="M39" i="273" s="1"/>
  <c r="N39" i="273" s="1"/>
  <c r="BH40" i="273"/>
  <c r="O40" i="273"/>
  <c r="P40" i="273" s="1"/>
  <c r="Q40" i="273" s="1"/>
  <c r="AZ40" i="273"/>
  <c r="AZ7" i="274"/>
  <c r="BE7" i="274"/>
  <c r="BE18" i="274" s="1"/>
  <c r="BE33" i="274" s="1"/>
  <c r="BE36" i="274" s="1"/>
  <c r="C18" i="274"/>
  <c r="C33" i="274" s="1"/>
  <c r="C36" i="274" s="1"/>
  <c r="O44" i="273"/>
  <c r="P44" i="273" s="1"/>
  <c r="Q44" i="273" s="1"/>
  <c r="AZ44" i="273"/>
  <c r="BH44" i="273"/>
  <c r="K18" i="274"/>
  <c r="K33" i="274" s="1"/>
  <c r="BG7" i="274"/>
  <c r="BG18" i="274" s="1"/>
  <c r="BG33" i="274" s="1"/>
  <c r="BH43" i="273"/>
  <c r="AZ43" i="273"/>
  <c r="BH42" i="273"/>
  <c r="O42" i="273"/>
  <c r="P42" i="273" s="1"/>
  <c r="Q42" i="273" s="1"/>
  <c r="AZ42" i="273"/>
  <c r="I38" i="273"/>
  <c r="BF38" i="273"/>
  <c r="BF47" i="273" s="1"/>
  <c r="BF49" i="273" s="1"/>
  <c r="BF51" i="273" s="1"/>
  <c r="H47" i="273"/>
  <c r="H49" i="273" s="1"/>
  <c r="H51" i="273" s="1"/>
  <c r="BM7" i="274"/>
  <c r="BB7" i="274"/>
  <c r="BH41" i="273"/>
  <c r="O41" i="273"/>
  <c r="P41" i="273" s="1"/>
  <c r="Q41" i="273" s="1"/>
  <c r="AZ41" i="273"/>
  <c r="G18" i="274"/>
  <c r="G33" i="274" s="1"/>
  <c r="BF7" i="274"/>
  <c r="BF18" i="274" s="1"/>
  <c r="BF33" i="274" s="1"/>
  <c r="BM46" i="273"/>
  <c r="AD46" i="273"/>
  <c r="AE46" i="273" s="1"/>
  <c r="AF46" i="273" s="1"/>
  <c r="R40" i="273" l="1"/>
  <c r="S40" i="273" s="1"/>
  <c r="T40" i="273" s="1"/>
  <c r="BI40" i="273"/>
  <c r="R42" i="273"/>
  <c r="S42" i="273" s="1"/>
  <c r="T42" i="273" s="1"/>
  <c r="BI42" i="273"/>
  <c r="BF35" i="274"/>
  <c r="BF36" i="274" s="1"/>
  <c r="BE38" i="274"/>
  <c r="AZ46" i="273"/>
  <c r="BH46" i="273"/>
  <c r="O45" i="273"/>
  <c r="P45" i="273" s="1"/>
  <c r="Q45" i="273" s="1"/>
  <c r="BI43" i="273"/>
  <c r="BH39" i="273"/>
  <c r="O39" i="273"/>
  <c r="P39" i="273" s="1"/>
  <c r="Q39" i="273" s="1"/>
  <c r="AZ39" i="273"/>
  <c r="X46" i="273"/>
  <c r="Y46" i="273" s="1"/>
  <c r="Z46" i="273" s="1"/>
  <c r="BK46" i="273"/>
  <c r="C38" i="274"/>
  <c r="D35" i="274"/>
  <c r="D36" i="274" s="1"/>
  <c r="BN46" i="273"/>
  <c r="AG46" i="273"/>
  <c r="AH46" i="273" s="1"/>
  <c r="AI46" i="273" s="1"/>
  <c r="R41" i="273"/>
  <c r="S41" i="273" s="1"/>
  <c r="T41" i="273" s="1"/>
  <c r="BI41" i="273"/>
  <c r="J38" i="273"/>
  <c r="I47" i="273"/>
  <c r="I49" i="273" s="1"/>
  <c r="I51" i="273" s="1"/>
  <c r="BI44" i="273"/>
  <c r="R44" i="273"/>
  <c r="S44" i="273" s="1"/>
  <c r="T44" i="273" s="1"/>
  <c r="AV46" i="273"/>
  <c r="AW46" i="273" s="1"/>
  <c r="AX46" i="273" s="1"/>
  <c r="BS46" i="273"/>
  <c r="S37" i="273"/>
  <c r="BF38" i="274" l="1"/>
  <c r="BG35" i="274"/>
  <c r="BG36" i="274" s="1"/>
  <c r="BJ44" i="273"/>
  <c r="U44" i="273"/>
  <c r="V44" i="273" s="1"/>
  <c r="W44" i="273" s="1"/>
  <c r="AJ46" i="273"/>
  <c r="AK46" i="273" s="1"/>
  <c r="AL46" i="273" s="1"/>
  <c r="BO46" i="273"/>
  <c r="R39" i="273"/>
  <c r="S39" i="273" s="1"/>
  <c r="T39" i="273" s="1"/>
  <c r="BI39" i="273"/>
  <c r="BJ43" i="273"/>
  <c r="U40" i="273"/>
  <c r="V40" i="273" s="1"/>
  <c r="W40" i="273" s="1"/>
  <c r="BJ40" i="273"/>
  <c r="T37" i="273"/>
  <c r="BC46" i="273"/>
  <c r="BT46" i="273"/>
  <c r="K38" i="273"/>
  <c r="J47" i="273"/>
  <c r="J49" i="273" s="1"/>
  <c r="J51" i="273" s="1"/>
  <c r="U41" i="273"/>
  <c r="V41" i="273" s="1"/>
  <c r="W41" i="273" s="1"/>
  <c r="BJ41" i="273"/>
  <c r="D38" i="274"/>
  <c r="E35" i="274"/>
  <c r="E36" i="274" s="1"/>
  <c r="BA46" i="273"/>
  <c r="BL46" i="273"/>
  <c r="BI45" i="273"/>
  <c r="R45" i="273"/>
  <c r="S45" i="273" s="1"/>
  <c r="T45" i="273" s="1"/>
  <c r="U42" i="273"/>
  <c r="V42" i="273" s="1"/>
  <c r="W42" i="273" s="1"/>
  <c r="BJ42" i="273"/>
  <c r="BJ45" i="273" l="1"/>
  <c r="U45" i="273"/>
  <c r="V45" i="273" s="1"/>
  <c r="W45" i="273" s="1"/>
  <c r="BK40" i="273"/>
  <c r="X40" i="273"/>
  <c r="Y40" i="273" s="1"/>
  <c r="Z40" i="273" s="1"/>
  <c r="U39" i="273"/>
  <c r="V39" i="273" s="1"/>
  <c r="W39" i="273" s="1"/>
  <c r="BJ39" i="273"/>
  <c r="X44" i="273"/>
  <c r="Y44" i="273" s="1"/>
  <c r="Z44" i="273" s="1"/>
  <c r="BK44" i="273"/>
  <c r="BG38" i="273"/>
  <c r="BG47" i="273" s="1"/>
  <c r="BG49" i="273" s="1"/>
  <c r="K47" i="273"/>
  <c r="K49" i="273" s="1"/>
  <c r="K7" i="273" s="1"/>
  <c r="L38" i="273"/>
  <c r="BH35" i="274"/>
  <c r="BK41" i="273"/>
  <c r="X41" i="273"/>
  <c r="Y41" i="273" s="1"/>
  <c r="Z41" i="273" s="1"/>
  <c r="E38" i="274"/>
  <c r="F35" i="274"/>
  <c r="F36" i="274" s="1"/>
  <c r="BK42" i="273"/>
  <c r="X42" i="273"/>
  <c r="Y42" i="273" s="1"/>
  <c r="Z42" i="273" s="1"/>
  <c r="U37" i="273"/>
  <c r="BJ37" i="273"/>
  <c r="BK43" i="273"/>
  <c r="BB46" i="273"/>
  <c r="BP46" i="273"/>
  <c r="BL43" i="273" l="1"/>
  <c r="BA43" i="273"/>
  <c r="V37" i="273"/>
  <c r="BL40" i="273"/>
  <c r="AA40" i="273"/>
  <c r="AB40" i="273" s="1"/>
  <c r="AC40" i="273" s="1"/>
  <c r="BA40" i="273"/>
  <c r="BL42" i="273"/>
  <c r="AA42" i="273"/>
  <c r="AB42" i="273" s="1"/>
  <c r="AC42" i="273" s="1"/>
  <c r="BA42" i="273"/>
  <c r="BL41" i="273"/>
  <c r="AA41" i="273"/>
  <c r="AB41" i="273" s="1"/>
  <c r="AC41" i="273" s="1"/>
  <c r="BA41" i="273"/>
  <c r="M38" i="273"/>
  <c r="L47" i="273"/>
  <c r="L49" i="273" s="1"/>
  <c r="L7" i="273" s="1"/>
  <c r="L8" i="273" s="1"/>
  <c r="L14" i="273" s="1"/>
  <c r="L20" i="273" s="1"/>
  <c r="L51" i="273" s="1"/>
  <c r="AA44" i="273"/>
  <c r="AB44" i="273" s="1"/>
  <c r="AC44" i="273" s="1"/>
  <c r="BA44" i="273"/>
  <c r="BL44" i="273"/>
  <c r="K8" i="273"/>
  <c r="K14" i="273" s="1"/>
  <c r="K20" i="273" s="1"/>
  <c r="K51" i="273" s="1"/>
  <c r="BG7" i="273"/>
  <c r="X45" i="273"/>
  <c r="Y45" i="273" s="1"/>
  <c r="Z45" i="273" s="1"/>
  <c r="BK45" i="273"/>
  <c r="G35" i="274"/>
  <c r="G36" i="274" s="1"/>
  <c r="F38" i="274"/>
  <c r="BK39" i="273"/>
  <c r="X39" i="273"/>
  <c r="Y39" i="273" s="1"/>
  <c r="Z39" i="273" s="1"/>
  <c r="W37" i="273" l="1"/>
  <c r="N38" i="273"/>
  <c r="M47" i="273"/>
  <c r="AD40" i="273"/>
  <c r="AE40" i="273" s="1"/>
  <c r="AF40" i="273" s="1"/>
  <c r="BM40" i="273"/>
  <c r="BL39" i="273"/>
  <c r="AA39" i="273"/>
  <c r="AB39" i="273" s="1"/>
  <c r="AC39" i="273" s="1"/>
  <c r="BA39" i="273"/>
  <c r="AA45" i="273"/>
  <c r="AB45" i="273" s="1"/>
  <c r="AC45" i="273" s="1"/>
  <c r="BA45" i="273"/>
  <c r="BL45" i="273"/>
  <c r="AD42" i="273"/>
  <c r="AE42" i="273" s="1"/>
  <c r="AF42" i="273" s="1"/>
  <c r="BM42" i="273"/>
  <c r="BM43" i="273"/>
  <c r="G38" i="274"/>
  <c r="H35" i="274"/>
  <c r="H36" i="274" s="1"/>
  <c r="BG8" i="273"/>
  <c r="BG14" i="273" s="1"/>
  <c r="BG20" i="273" s="1"/>
  <c r="BG51" i="273" s="1"/>
  <c r="BG38" i="274"/>
  <c r="BM44" i="273"/>
  <c r="AD44" i="273"/>
  <c r="AE44" i="273" s="1"/>
  <c r="AF44" i="273" s="1"/>
  <c r="AD41" i="273"/>
  <c r="AE41" i="273" s="1"/>
  <c r="AF41" i="273" s="1"/>
  <c r="BM41" i="273"/>
  <c r="BN43" i="273" l="1"/>
  <c r="BH38" i="273"/>
  <c r="BH47" i="273" s="1"/>
  <c r="O38" i="273"/>
  <c r="AZ38" i="273"/>
  <c r="AZ47" i="273" s="1"/>
  <c r="N47" i="273"/>
  <c r="BN44" i="273"/>
  <c r="AG44" i="273"/>
  <c r="AH44" i="273" s="1"/>
  <c r="AI44" i="273" s="1"/>
  <c r="BM45" i="273"/>
  <c r="AD45" i="273"/>
  <c r="AE45" i="273" s="1"/>
  <c r="AF45" i="273" s="1"/>
  <c r="AD39" i="273"/>
  <c r="AE39" i="273" s="1"/>
  <c r="AF39" i="273" s="1"/>
  <c r="BM39" i="273"/>
  <c r="AG41" i="273"/>
  <c r="AH41" i="273" s="1"/>
  <c r="AI41" i="273" s="1"/>
  <c r="BN41" i="273"/>
  <c r="H38" i="274"/>
  <c r="I35" i="274"/>
  <c r="I36" i="274" s="1"/>
  <c r="AG42" i="273"/>
  <c r="AH42" i="273" s="1"/>
  <c r="AI42" i="273" s="1"/>
  <c r="BN42" i="273"/>
  <c r="AG40" i="273"/>
  <c r="AH40" i="273" s="1"/>
  <c r="AI40" i="273" s="1"/>
  <c r="BN40" i="273"/>
  <c r="BK37" i="273"/>
  <c r="X37" i="273"/>
  <c r="I38" i="274" l="1"/>
  <c r="J35" i="274"/>
  <c r="J36" i="274" s="1"/>
  <c r="P38" i="273"/>
  <c r="O47" i="273"/>
  <c r="BO40" i="273"/>
  <c r="AJ40" i="273"/>
  <c r="AK40" i="273" s="1"/>
  <c r="AL40" i="273" s="1"/>
  <c r="AG39" i="273"/>
  <c r="AH39" i="273" s="1"/>
  <c r="AI39" i="273" s="1"/>
  <c r="BN39" i="273"/>
  <c r="Y37" i="273"/>
  <c r="BN45" i="273"/>
  <c r="AG45" i="273"/>
  <c r="AH45" i="273" s="1"/>
  <c r="AI45" i="273" s="1"/>
  <c r="AJ44" i="273"/>
  <c r="AK44" i="273" s="1"/>
  <c r="AL44" i="273" s="1"/>
  <c r="BO44" i="273"/>
  <c r="BO42" i="273"/>
  <c r="AJ42" i="273"/>
  <c r="AK42" i="273" s="1"/>
  <c r="AL42" i="273" s="1"/>
  <c r="BO41" i="273"/>
  <c r="AJ41" i="273"/>
  <c r="AK41" i="273" s="1"/>
  <c r="AL41" i="273" s="1"/>
  <c r="BO43" i="273"/>
  <c r="BB41" i="273" l="1"/>
  <c r="BP41" i="273"/>
  <c r="AM41" i="273"/>
  <c r="AN41" i="273" s="1"/>
  <c r="AO41" i="273" s="1"/>
  <c r="BO39" i="273"/>
  <c r="AJ39" i="273"/>
  <c r="AK39" i="273" s="1"/>
  <c r="AL39" i="273" s="1"/>
  <c r="Q38" i="273"/>
  <c r="P47" i="273"/>
  <c r="AJ45" i="273"/>
  <c r="AK45" i="273" s="1"/>
  <c r="AL45" i="273" s="1"/>
  <c r="BO45" i="273"/>
  <c r="BB40" i="273"/>
  <c r="BP40" i="273"/>
  <c r="AM40" i="273"/>
  <c r="AN40" i="273" s="1"/>
  <c r="AO40" i="273" s="1"/>
  <c r="K35" i="274"/>
  <c r="K36" i="274" s="1"/>
  <c r="J38" i="274"/>
  <c r="BB43" i="273"/>
  <c r="BP43" i="273"/>
  <c r="BB42" i="273"/>
  <c r="BP42" i="273"/>
  <c r="AM42" i="273"/>
  <c r="AN42" i="273" s="1"/>
  <c r="AO42" i="273" s="1"/>
  <c r="AM44" i="273"/>
  <c r="AN44" i="273" s="1"/>
  <c r="AO44" i="273" s="1"/>
  <c r="BB44" i="273"/>
  <c r="BP44" i="273"/>
  <c r="Z37" i="273"/>
  <c r="AP42" i="273" l="1"/>
  <c r="AQ42" i="273" s="1"/>
  <c r="AR42" i="273" s="1"/>
  <c r="BQ42" i="273"/>
  <c r="AP41" i="273"/>
  <c r="AQ41" i="273" s="1"/>
  <c r="AR41" i="273" s="1"/>
  <c r="BQ41" i="273"/>
  <c r="AA37" i="273"/>
  <c r="BA37" i="273"/>
  <c r="BL37" i="273"/>
  <c r="AP40" i="273"/>
  <c r="AQ40" i="273" s="1"/>
  <c r="AR40" i="273" s="1"/>
  <c r="BQ40" i="273"/>
  <c r="R38" i="273"/>
  <c r="BI38" i="273"/>
  <c r="BI47" i="273" s="1"/>
  <c r="Q47" i="273"/>
  <c r="AM45" i="273"/>
  <c r="AN45" i="273" s="1"/>
  <c r="AO45" i="273" s="1"/>
  <c r="BB45" i="273"/>
  <c r="BP45" i="273"/>
  <c r="BQ44" i="273"/>
  <c r="AP44" i="273"/>
  <c r="AQ44" i="273" s="1"/>
  <c r="AR44" i="273" s="1"/>
  <c r="BQ43" i="273"/>
  <c r="K38" i="274"/>
  <c r="L35" i="274"/>
  <c r="L36" i="274" s="1"/>
  <c r="BB39" i="273"/>
  <c r="BP39" i="273"/>
  <c r="AM39" i="273"/>
  <c r="AN39" i="273" s="1"/>
  <c r="AO39" i="273" s="1"/>
  <c r="BR43" i="273" l="1"/>
  <c r="S38" i="273"/>
  <c r="R47" i="273"/>
  <c r="AS41" i="273"/>
  <c r="AT41" i="273" s="1"/>
  <c r="AU41" i="273" s="1"/>
  <c r="BR41" i="273"/>
  <c r="BR44" i="273"/>
  <c r="AS44" i="273"/>
  <c r="AT44" i="273" s="1"/>
  <c r="AU44" i="273" s="1"/>
  <c r="BQ45" i="273"/>
  <c r="AP45" i="273"/>
  <c r="AQ45" i="273" s="1"/>
  <c r="AR45" i="273" s="1"/>
  <c r="L38" i="274"/>
  <c r="M35" i="274"/>
  <c r="AP39" i="273"/>
  <c r="AQ39" i="273" s="1"/>
  <c r="AR39" i="273" s="1"/>
  <c r="BQ39" i="273"/>
  <c r="AS40" i="273"/>
  <c r="AT40" i="273" s="1"/>
  <c r="AU40" i="273" s="1"/>
  <c r="BR40" i="273"/>
  <c r="AB37" i="273"/>
  <c r="AS42" i="273"/>
  <c r="AT42" i="273" s="1"/>
  <c r="AU42" i="273" s="1"/>
  <c r="BR42" i="273"/>
  <c r="BS42" i="273" l="1"/>
  <c r="AV42" i="273"/>
  <c r="AW42" i="273" s="1"/>
  <c r="AX42" i="273" s="1"/>
  <c r="BS40" i="273"/>
  <c r="AV40" i="273"/>
  <c r="AW40" i="273" s="1"/>
  <c r="AX40" i="273" s="1"/>
  <c r="AV44" i="273"/>
  <c r="AW44" i="273" s="1"/>
  <c r="AX44" i="273" s="1"/>
  <c r="BS44" i="273"/>
  <c r="AC37" i="273"/>
  <c r="AS39" i="273"/>
  <c r="AT39" i="273" s="1"/>
  <c r="AU39" i="273" s="1"/>
  <c r="BR39" i="273"/>
  <c r="BR45" i="273"/>
  <c r="AS45" i="273"/>
  <c r="AT45" i="273" s="1"/>
  <c r="AU45" i="273" s="1"/>
  <c r="T38" i="273"/>
  <c r="S47" i="273"/>
  <c r="BS41" i="273"/>
  <c r="AV41" i="273"/>
  <c r="AW41" i="273" s="1"/>
  <c r="AX41" i="273" s="1"/>
  <c r="BS43" i="273"/>
  <c r="BC41" i="273" l="1"/>
  <c r="BT41" i="273"/>
  <c r="BC40" i="273"/>
  <c r="BT40" i="273"/>
  <c r="AD37" i="273"/>
  <c r="BM37" i="273"/>
  <c r="BC43" i="273"/>
  <c r="BT43" i="273"/>
  <c r="BC42" i="273"/>
  <c r="BT42" i="273"/>
  <c r="AV45" i="273"/>
  <c r="AW45" i="273" s="1"/>
  <c r="AX45" i="273" s="1"/>
  <c r="BS45" i="273"/>
  <c r="U38" i="273"/>
  <c r="BJ38" i="273"/>
  <c r="BJ47" i="273" s="1"/>
  <c r="T47" i="273"/>
  <c r="BS39" i="273"/>
  <c r="AV39" i="273"/>
  <c r="AW39" i="273" s="1"/>
  <c r="AX39" i="273" s="1"/>
  <c r="BC44" i="273"/>
  <c r="BT44" i="273"/>
  <c r="BC39" i="273" l="1"/>
  <c r="BT39" i="273"/>
  <c r="BT45" i="273"/>
  <c r="BC45" i="273"/>
  <c r="V38" i="273"/>
  <c r="U47" i="273"/>
  <c r="AE37" i="273"/>
  <c r="W38" i="273" l="1"/>
  <c r="V47" i="273"/>
  <c r="AF37" i="273"/>
  <c r="BK38" i="273" l="1"/>
  <c r="BK47" i="273" s="1"/>
  <c r="X38" i="273"/>
  <c r="W47" i="273"/>
  <c r="AG37" i="273"/>
  <c r="BN37" i="273"/>
  <c r="Y38" i="273" l="1"/>
  <c r="X47" i="273"/>
  <c r="AH37" i="273"/>
  <c r="AI37" i="273" l="1"/>
  <c r="Z38" i="273"/>
  <c r="Y47" i="273"/>
  <c r="BL38" i="273" l="1"/>
  <c r="BL47" i="273" s="1"/>
  <c r="AA38" i="273"/>
  <c r="BA38" i="273"/>
  <c r="BA47" i="273" s="1"/>
  <c r="Z47" i="273"/>
  <c r="AJ37" i="273"/>
  <c r="BO37" i="273"/>
  <c r="AB38" i="273" l="1"/>
  <c r="AA47" i="273"/>
  <c r="AK37" i="273"/>
  <c r="AL37" i="273" l="1"/>
  <c r="AC38" i="273"/>
  <c r="AB47" i="273"/>
  <c r="AD38" i="273" l="1"/>
  <c r="BM38" i="273"/>
  <c r="BM47" i="273" s="1"/>
  <c r="AC47" i="273"/>
  <c r="AM37" i="273"/>
  <c r="BB37" i="273"/>
  <c r="BP37" i="273"/>
  <c r="AN37" i="273" l="1"/>
  <c r="AE38" i="273"/>
  <c r="AD47" i="273"/>
  <c r="AO37" i="273" l="1"/>
  <c r="AF38" i="273"/>
  <c r="AE47" i="273"/>
  <c r="AP37" i="273" l="1"/>
  <c r="BQ37" i="273"/>
  <c r="AG38" i="273"/>
  <c r="BN38" i="273"/>
  <c r="BN47" i="273" s="1"/>
  <c r="AF47" i="273"/>
  <c r="AH38" i="273" l="1"/>
  <c r="AG47" i="273"/>
  <c r="AQ37" i="273"/>
  <c r="AR37" i="273" l="1"/>
  <c r="AI38" i="273"/>
  <c r="AH47" i="273"/>
  <c r="BO38" i="273" l="1"/>
  <c r="BO47" i="273" s="1"/>
  <c r="AJ38" i="273"/>
  <c r="AI47" i="273"/>
  <c r="AS37" i="273"/>
  <c r="BR37" i="273"/>
  <c r="AT37" i="273" l="1"/>
  <c r="AK38" i="273"/>
  <c r="AJ47" i="273"/>
  <c r="AL38" i="273" l="1"/>
  <c r="AK47" i="273"/>
  <c r="AU37" i="273"/>
  <c r="BS37" i="273" l="1"/>
  <c r="AV37" i="273"/>
  <c r="BB38" i="273"/>
  <c r="BB47" i="273" s="1"/>
  <c r="BP38" i="273"/>
  <c r="BP47" i="273" s="1"/>
  <c r="AM38" i="273"/>
  <c r="AL47" i="273"/>
  <c r="AN38" i="273" l="1"/>
  <c r="AM47" i="273"/>
  <c r="AW37" i="273"/>
  <c r="AX37" i="273" l="1"/>
  <c r="AO38" i="273"/>
  <c r="AN47" i="273"/>
  <c r="AP38" i="273" l="1"/>
  <c r="BQ38" i="273"/>
  <c r="AO47" i="273"/>
  <c r="BQ47" i="273" s="1"/>
  <c r="BC37" i="273"/>
  <c r="BT37" i="273"/>
  <c r="AQ38" i="273" l="1"/>
  <c r="AP47" i="273"/>
  <c r="AR38" i="273" l="1"/>
  <c r="AQ47" i="273"/>
  <c r="AS38" i="273" l="1"/>
  <c r="BR38" i="273"/>
  <c r="AR47" i="273"/>
  <c r="BR47" i="273" s="1"/>
  <c r="AT38" i="273" l="1"/>
  <c r="AS47" i="273"/>
  <c r="AU38" i="273" l="1"/>
  <c r="AT47" i="273"/>
  <c r="BS38" i="273" l="1"/>
  <c r="AV38" i="273"/>
  <c r="AU47" i="273"/>
  <c r="BS47" i="273" s="1"/>
  <c r="AW38" i="273" l="1"/>
  <c r="AV47" i="273"/>
  <c r="AX38" i="273" l="1"/>
  <c r="AW47" i="273"/>
  <c r="BC38" i="273" l="1"/>
  <c r="BT38" i="273"/>
  <c r="AX47" i="273"/>
  <c r="BC47" i="273" l="1"/>
  <c r="BT47" i="273"/>
  <c r="AQ18" i="274" l="1"/>
  <c r="AQ33" i="274" s="1"/>
  <c r="AU18" i="274"/>
  <c r="AU33" i="274" s="1"/>
  <c r="AT18" i="274"/>
  <c r="AT33" i="274" s="1"/>
  <c r="AN18" i="274"/>
  <c r="AN33" i="274" s="1"/>
  <c r="AO18" i="274"/>
  <c r="AO33" i="274" s="1"/>
  <c r="AW18" i="274"/>
  <c r="AW33" i="274" s="1"/>
  <c r="AR18" i="274" l="1"/>
  <c r="AR33" i="274" s="1"/>
  <c r="AX18" i="274"/>
  <c r="AX33" i="274" s="1"/>
  <c r="BT14" i="274" l="1"/>
  <c r="BT18" i="274" s="1"/>
  <c r="BT33" i="274" s="1"/>
  <c r="AV18" i="274"/>
  <c r="AV33" i="274" s="1"/>
  <c r="BS14" i="274"/>
  <c r="BS18" i="274" s="1"/>
  <c r="BS33" i="274" s="1"/>
  <c r="AS18" i="274"/>
  <c r="AS33" i="274" s="1"/>
  <c r="BR14" i="274"/>
  <c r="BR18" i="274" s="1"/>
  <c r="BR33" i="274" s="1"/>
  <c r="AP18" i="274"/>
  <c r="AP33" i="274" s="1"/>
  <c r="AE18" i="274" l="1"/>
  <c r="AE33" i="274" s="1"/>
  <c r="AI18" i="274"/>
  <c r="AI33" i="274" s="1"/>
  <c r="AK18" i="274"/>
  <c r="AK33" i="274" s="1"/>
  <c r="V18" i="274"/>
  <c r="V33" i="274" s="1"/>
  <c r="AC18" i="274"/>
  <c r="AC33" i="274" s="1"/>
  <c r="AJ18" i="274" l="1"/>
  <c r="AJ33" i="274" s="1"/>
  <c r="U18" i="274"/>
  <c r="U33" i="274" s="1"/>
  <c r="BO14" i="274"/>
  <c r="BO18" i="274" s="1"/>
  <c r="BO33" i="274" s="1"/>
  <c r="AG18" i="274"/>
  <c r="AG33" i="274" s="1"/>
  <c r="M18" i="274"/>
  <c r="M33" i="274" s="1"/>
  <c r="M36" i="274" s="1"/>
  <c r="AF18" i="274"/>
  <c r="AF33" i="274" s="1"/>
  <c r="Y18" i="274"/>
  <c r="Y33" i="274" s="1"/>
  <c r="T18" i="274"/>
  <c r="T33" i="274" s="1"/>
  <c r="Q18" i="274"/>
  <c r="Q33" i="274" s="1"/>
  <c r="S18" i="274"/>
  <c r="S33" i="274" s="1"/>
  <c r="AH18" i="274"/>
  <c r="AH33" i="274" s="1"/>
  <c r="BN14" i="274" l="1"/>
  <c r="BN18" i="274" s="1"/>
  <c r="BN33" i="274" s="1"/>
  <c r="AD18" i="274"/>
  <c r="AD33" i="274" s="1"/>
  <c r="BJ14" i="274"/>
  <c r="BJ18" i="274" s="1"/>
  <c r="BJ33" i="274" s="1"/>
  <c r="R18" i="274"/>
  <c r="R33" i="274" s="1"/>
  <c r="N35" i="274"/>
  <c r="Z18" i="274"/>
  <c r="Z33" i="274" s="1"/>
  <c r="AB18" i="274"/>
  <c r="AB33" i="274" s="1"/>
  <c r="P18" i="274"/>
  <c r="P33" i="274" s="1"/>
  <c r="BM14" i="274" l="1"/>
  <c r="BM18" i="274" s="1"/>
  <c r="BM33" i="274" s="1"/>
  <c r="BB14" i="274"/>
  <c r="BB18" i="274" s="1"/>
  <c r="BB33" i="274" s="1"/>
  <c r="AA18" i="274"/>
  <c r="AA33" i="274" s="1"/>
  <c r="AL18" i="274"/>
  <c r="AL33" i="274" s="1"/>
  <c r="BP14" i="274"/>
  <c r="BP18" i="274" s="1"/>
  <c r="BP33" i="274" s="1"/>
  <c r="N18" i="274"/>
  <c r="N33" i="274" s="1"/>
  <c r="N36" i="274" s="1"/>
  <c r="BH14" i="274"/>
  <c r="BH18" i="274" s="1"/>
  <c r="BH33" i="274" s="1"/>
  <c r="BH36" i="274" s="1"/>
  <c r="AZ14" i="274"/>
  <c r="AZ18" i="274" s="1"/>
  <c r="AZ33" i="274" s="1"/>
  <c r="AZ36" i="274" s="1"/>
  <c r="BQ14" i="274"/>
  <c r="BQ18" i="274" s="1"/>
  <c r="BQ33" i="274" s="1"/>
  <c r="BC14" i="274"/>
  <c r="BC18" i="274" s="1"/>
  <c r="AM18" i="274"/>
  <c r="AM33" i="274" s="1"/>
  <c r="W18" i="274"/>
  <c r="W33" i="274" s="1"/>
  <c r="BK14" i="274"/>
  <c r="BK18" i="274" s="1"/>
  <c r="BK33" i="274" s="1"/>
  <c r="BI14" i="274"/>
  <c r="BI18" i="274" s="1"/>
  <c r="BI33" i="274" s="1"/>
  <c r="BA14" i="274"/>
  <c r="BA18" i="274" s="1"/>
  <c r="BA33" i="274" s="1"/>
  <c r="O18" i="274"/>
  <c r="O33" i="274" s="1"/>
  <c r="BL14" i="274"/>
  <c r="BL18" i="274" s="1"/>
  <c r="BL33" i="274" s="1"/>
  <c r="X18" i="274"/>
  <c r="X33" i="274" s="1"/>
  <c r="O35" i="274" l="1"/>
  <c r="BA35" i="274" s="1"/>
  <c r="BA36" i="274" s="1"/>
  <c r="BC33" i="274"/>
  <c r="BI35" i="274"/>
  <c r="BI36" i="274" s="1"/>
  <c r="O36" i="274" l="1"/>
  <c r="P35" i="274" s="1"/>
  <c r="P36" i="274" s="1"/>
  <c r="BJ35" i="274"/>
  <c r="BJ36" i="274" s="1"/>
  <c r="Q35" i="274" l="1"/>
  <c r="Q36" i="274" s="1"/>
  <c r="BK35" i="274"/>
  <c r="BK36" i="274" s="1"/>
  <c r="R35" i="274" l="1"/>
  <c r="R36" i="274" s="1"/>
  <c r="BL35" i="274"/>
  <c r="BL36" i="274" s="1"/>
  <c r="BM35" i="274" l="1"/>
  <c r="BM36" i="274" s="1"/>
  <c r="S35" i="274"/>
  <c r="S36" i="274" s="1"/>
  <c r="T35" i="274" l="1"/>
  <c r="T36" i="274" s="1"/>
  <c r="BN35" i="274"/>
  <c r="BN36" i="274" s="1"/>
  <c r="U35" i="274" l="1"/>
  <c r="U36" i="274" s="1"/>
  <c r="BO35" i="274"/>
  <c r="BO36" i="274" s="1"/>
  <c r="BP35" i="274" l="1"/>
  <c r="BP36" i="274" s="1"/>
  <c r="V35" i="274"/>
  <c r="V36" i="274" s="1"/>
  <c r="BQ35" i="274" l="1"/>
  <c r="BQ36" i="274" s="1"/>
  <c r="W35" i="274"/>
  <c r="W36" i="274" s="1"/>
  <c r="X35" i="274" l="1"/>
  <c r="X36" i="274" s="1"/>
  <c r="BR35" i="274"/>
  <c r="BR36" i="274" s="1"/>
  <c r="Y35" i="274" l="1"/>
  <c r="Y36" i="274" s="1"/>
  <c r="BS35" i="274"/>
  <c r="BS36" i="274" s="1"/>
  <c r="Z35" i="274" l="1"/>
  <c r="Z36" i="274" s="1"/>
  <c r="BT35" i="274"/>
  <c r="BT36" i="274" s="1"/>
  <c r="AA35" i="274" l="1"/>
  <c r="BB35" i="274" l="1"/>
  <c r="BB36" i="274" s="1"/>
  <c r="AA36" i="274"/>
  <c r="AB35" i="274" l="1"/>
  <c r="AB36" i="274" s="1"/>
  <c r="AC35" i="274" l="1"/>
  <c r="AC36" i="274" s="1"/>
  <c r="AD35" i="274" l="1"/>
  <c r="AD36" i="274" s="1"/>
  <c r="M28" i="273"/>
  <c r="M34" i="273" s="1"/>
  <c r="M49" i="273" s="1"/>
  <c r="M7" i="273" s="1"/>
  <c r="M8" i="273" l="1"/>
  <c r="M14" i="273" s="1"/>
  <c r="M20" i="273" s="1"/>
  <c r="M51" i="273" s="1"/>
  <c r="M38" i="274"/>
  <c r="AE35" i="274"/>
  <c r="AE36" i="274" s="1"/>
  <c r="AF35" i="274" l="1"/>
  <c r="AF36" i="274" s="1"/>
  <c r="N28" i="273"/>
  <c r="N34" i="273" s="1"/>
  <c r="N49" i="273" s="1"/>
  <c r="N7" i="273" s="1"/>
  <c r="AZ24" i="273"/>
  <c r="AZ28" i="273" s="1"/>
  <c r="AZ34" i="273" s="1"/>
  <c r="AZ49" i="273" s="1"/>
  <c r="BH24" i="273"/>
  <c r="BH28" i="273" s="1"/>
  <c r="BH34" i="273" s="1"/>
  <c r="BH49" i="273" s="1"/>
  <c r="O28" i="273"/>
  <c r="O34" i="273" s="1"/>
  <c r="O49" i="273" s="1"/>
  <c r="O7" i="273" s="1"/>
  <c r="BH7" i="273" l="1"/>
  <c r="AZ7" i="273"/>
  <c r="N8" i="273"/>
  <c r="N14" i="273" s="1"/>
  <c r="N20" i="273" s="1"/>
  <c r="N51" i="273" s="1"/>
  <c r="N38" i="274"/>
  <c r="O8" i="273"/>
  <c r="O14" i="273" s="1"/>
  <c r="O20" i="273" s="1"/>
  <c r="O51" i="273" s="1"/>
  <c r="O38" i="274"/>
  <c r="AG35" i="274"/>
  <c r="AG36" i="274" s="1"/>
  <c r="P28" i="273"/>
  <c r="P34" i="273" s="1"/>
  <c r="P49" i="273" s="1"/>
  <c r="P7" i="273" s="1"/>
  <c r="P8" i="273" l="1"/>
  <c r="P14" i="273" s="1"/>
  <c r="P20" i="273" s="1"/>
  <c r="P51" i="273" s="1"/>
  <c r="P38" i="274"/>
  <c r="AH35" i="274"/>
  <c r="AH36" i="274" s="1"/>
  <c r="AZ8" i="273"/>
  <c r="AZ14" i="273" s="1"/>
  <c r="AZ20" i="273" s="1"/>
  <c r="AZ51" i="273" s="1"/>
  <c r="AZ38" i="274"/>
  <c r="BH8" i="273"/>
  <c r="BH14" i="273" s="1"/>
  <c r="BH20" i="273" s="1"/>
  <c r="BH51" i="273" s="1"/>
  <c r="BH38" i="274"/>
  <c r="AI35" i="274" l="1"/>
  <c r="AI36" i="274" s="1"/>
  <c r="Q28" i="273"/>
  <c r="Q34" i="273" s="1"/>
  <c r="Q49" i="273" s="1"/>
  <c r="Q7" i="273" s="1"/>
  <c r="BI24" i="273"/>
  <c r="BI28" i="273" s="1"/>
  <c r="BI34" i="273" s="1"/>
  <c r="BI49" i="273" s="1"/>
  <c r="R28" i="273"/>
  <c r="R34" i="273" s="1"/>
  <c r="R49" i="273" s="1"/>
  <c r="R7" i="273" s="1"/>
  <c r="Q8" i="273" l="1"/>
  <c r="Q14" i="273" s="1"/>
  <c r="Q20" i="273" s="1"/>
  <c r="Q51" i="273" s="1"/>
  <c r="BI7" i="273"/>
  <c r="Q38" i="274"/>
  <c r="R8" i="273"/>
  <c r="R14" i="273" s="1"/>
  <c r="R20" i="273" s="1"/>
  <c r="R51" i="273" s="1"/>
  <c r="R38" i="274"/>
  <c r="AJ35" i="274"/>
  <c r="AJ36" i="274" s="1"/>
  <c r="S28" i="273"/>
  <c r="S34" i="273" s="1"/>
  <c r="S49" i="273" s="1"/>
  <c r="S7" i="273" s="1"/>
  <c r="AK35" i="274" l="1"/>
  <c r="AK36" i="274" s="1"/>
  <c r="BI8" i="273"/>
  <c r="BI14" i="273" s="1"/>
  <c r="BI20" i="273" s="1"/>
  <c r="BI51" i="273" s="1"/>
  <c r="BI38" i="274"/>
  <c r="S8" i="273"/>
  <c r="S14" i="273" s="1"/>
  <c r="S20" i="273" s="1"/>
  <c r="S51" i="273" s="1"/>
  <c r="S38" i="274"/>
  <c r="AL35" i="274" l="1"/>
  <c r="AL36" i="274" s="1"/>
  <c r="BJ24" i="273"/>
  <c r="BJ28" i="273" s="1"/>
  <c r="BJ34" i="273" s="1"/>
  <c r="BJ49" i="273" s="1"/>
  <c r="T28" i="273"/>
  <c r="T34" i="273" s="1"/>
  <c r="T49" i="273" s="1"/>
  <c r="T7" i="273" s="1"/>
  <c r="U28" i="273"/>
  <c r="U34" i="273" s="1"/>
  <c r="U49" i="273" s="1"/>
  <c r="U7" i="273" s="1"/>
  <c r="U8" i="273" l="1"/>
  <c r="U14" i="273" s="1"/>
  <c r="U20" i="273" s="1"/>
  <c r="U51" i="273" s="1"/>
  <c r="U38" i="274"/>
  <c r="BJ7" i="273"/>
  <c r="T8" i="273"/>
  <c r="T14" i="273" s="1"/>
  <c r="T20" i="273" s="1"/>
  <c r="T51" i="273" s="1"/>
  <c r="T38" i="274"/>
  <c r="AM35" i="274"/>
  <c r="V28" i="273"/>
  <c r="V34" i="273" s="1"/>
  <c r="V49" i="273" s="1"/>
  <c r="V7" i="273" s="1"/>
  <c r="BJ8" i="273" l="1"/>
  <c r="BJ14" i="273" s="1"/>
  <c r="BJ20" i="273" s="1"/>
  <c r="BJ51" i="273" s="1"/>
  <c r="BJ38" i="274"/>
  <c r="BC35" i="274"/>
  <c r="BC36" i="274" s="1"/>
  <c r="AM36" i="274"/>
  <c r="V8" i="273"/>
  <c r="V14" i="273" s="1"/>
  <c r="V20" i="273" s="1"/>
  <c r="V51" i="273" s="1"/>
  <c r="V38" i="274"/>
  <c r="AN35" i="274" l="1"/>
  <c r="AN36" i="274" s="1"/>
  <c r="W28" i="273"/>
  <c r="W34" i="273" s="1"/>
  <c r="W49" i="273" s="1"/>
  <c r="W7" i="273" s="1"/>
  <c r="BK24" i="273"/>
  <c r="BK28" i="273" s="1"/>
  <c r="BK34" i="273" s="1"/>
  <c r="BK49" i="273" s="1"/>
  <c r="X28" i="273"/>
  <c r="X34" i="273" s="1"/>
  <c r="X49" i="273" s="1"/>
  <c r="X7" i="273" s="1"/>
  <c r="X8" i="273" l="1"/>
  <c r="X14" i="273" s="1"/>
  <c r="X20" i="273" s="1"/>
  <c r="X51" i="273" s="1"/>
  <c r="X38" i="274"/>
  <c r="AO35" i="274"/>
  <c r="AO36" i="274" s="1"/>
  <c r="W8" i="273"/>
  <c r="W14" i="273" s="1"/>
  <c r="W20" i="273" s="1"/>
  <c r="W51" i="273" s="1"/>
  <c r="BK7" i="273"/>
  <c r="W38" i="274"/>
  <c r="Y28" i="273"/>
  <c r="Y34" i="273" s="1"/>
  <c r="Y49" i="273" s="1"/>
  <c r="Y7" i="273" s="1"/>
  <c r="AP35" i="274" l="1"/>
  <c r="AP36" i="274" s="1"/>
  <c r="Y8" i="273"/>
  <c r="Y14" i="273" s="1"/>
  <c r="Y20" i="273" s="1"/>
  <c r="Y51" i="273" s="1"/>
  <c r="Y38" i="274"/>
  <c r="BK8" i="273"/>
  <c r="BK14" i="273" s="1"/>
  <c r="BK20" i="273" s="1"/>
  <c r="BK51" i="273" s="1"/>
  <c r="BK38" i="274"/>
  <c r="BA24" i="273" l="1"/>
  <c r="BA28" i="273" s="1"/>
  <c r="BA34" i="273" s="1"/>
  <c r="BA49" i="273" s="1"/>
  <c r="Z28" i="273"/>
  <c r="Z34" i="273" s="1"/>
  <c r="Z49" i="273" s="1"/>
  <c r="Z7" i="273" s="1"/>
  <c r="BL24" i="273"/>
  <c r="BL28" i="273" s="1"/>
  <c r="BL34" i="273" s="1"/>
  <c r="BL49" i="273" s="1"/>
  <c r="AQ35" i="274"/>
  <c r="AQ36" i="274" s="1"/>
  <c r="AA28" i="273"/>
  <c r="AA34" i="273" s="1"/>
  <c r="AA49" i="273" s="1"/>
  <c r="AA7" i="273" s="1"/>
  <c r="AR35" i="274" l="1"/>
  <c r="AR36" i="274" s="1"/>
  <c r="BL7" i="273"/>
  <c r="Z8" i="273"/>
  <c r="Z14" i="273" s="1"/>
  <c r="Z20" i="273" s="1"/>
  <c r="Z51" i="273" s="1"/>
  <c r="BA7" i="273"/>
  <c r="Z38" i="274"/>
  <c r="AA8" i="273"/>
  <c r="AA14" i="273" s="1"/>
  <c r="AA20" i="273" s="1"/>
  <c r="AA51" i="273" s="1"/>
  <c r="AA38" i="274"/>
  <c r="AB28" i="273"/>
  <c r="AB34" i="273" s="1"/>
  <c r="AB49" i="273" s="1"/>
  <c r="AB7" i="273" s="1"/>
  <c r="AB8" i="273" l="1"/>
  <c r="AB14" i="273" s="1"/>
  <c r="AB20" i="273" s="1"/>
  <c r="AB51" i="273" s="1"/>
  <c r="AB38" i="274"/>
  <c r="BL8" i="273"/>
  <c r="BL14" i="273" s="1"/>
  <c r="BL20" i="273" s="1"/>
  <c r="BL51" i="273" s="1"/>
  <c r="BL38" i="274"/>
  <c r="BA8" i="273"/>
  <c r="BA14" i="273" s="1"/>
  <c r="BA20" i="273" s="1"/>
  <c r="BA51" i="273" s="1"/>
  <c r="BA38" i="274"/>
  <c r="AS35" i="274"/>
  <c r="AS36" i="274" s="1"/>
  <c r="AT35" i="274" l="1"/>
  <c r="AT36" i="274" s="1"/>
  <c r="BM24" i="273"/>
  <c r="BM28" i="273" s="1"/>
  <c r="BM34" i="273" s="1"/>
  <c r="BM49" i="273" s="1"/>
  <c r="AC28" i="273"/>
  <c r="AC34" i="273" s="1"/>
  <c r="AC49" i="273" s="1"/>
  <c r="AC7" i="273" s="1"/>
  <c r="AD28" i="273"/>
  <c r="AD34" i="273" s="1"/>
  <c r="AD49" i="273" s="1"/>
  <c r="AD7" i="273" s="1"/>
  <c r="AC8" i="273" l="1"/>
  <c r="AC14" i="273" s="1"/>
  <c r="AC20" i="273" s="1"/>
  <c r="AC51" i="273" s="1"/>
  <c r="BM7" i="273"/>
  <c r="AC38" i="274"/>
  <c r="AD8" i="273"/>
  <c r="AD14" i="273" s="1"/>
  <c r="AD20" i="273" s="1"/>
  <c r="AD51" i="273" s="1"/>
  <c r="AD38" i="274"/>
  <c r="AU35" i="274"/>
  <c r="AU36" i="274" s="1"/>
  <c r="AE28" i="273"/>
  <c r="AE34" i="273" s="1"/>
  <c r="AE49" i="273" s="1"/>
  <c r="AE7" i="273" s="1"/>
  <c r="AE8" i="273" l="1"/>
  <c r="AE14" i="273" s="1"/>
  <c r="AE20" i="273" s="1"/>
  <c r="AE51" i="273" s="1"/>
  <c r="AE38" i="274"/>
  <c r="AV35" i="274"/>
  <c r="AV36" i="274" s="1"/>
  <c r="BM8" i="273"/>
  <c r="BM14" i="273" s="1"/>
  <c r="BM20" i="273" s="1"/>
  <c r="BM51" i="273" s="1"/>
  <c r="BM38" i="274"/>
  <c r="AW35" i="274" l="1"/>
  <c r="AW36" i="274" s="1"/>
  <c r="BN24" i="273"/>
  <c r="BN28" i="273" s="1"/>
  <c r="BN34" i="273" s="1"/>
  <c r="BN49" i="273" s="1"/>
  <c r="AF28" i="273"/>
  <c r="AF34" i="273" s="1"/>
  <c r="AF49" i="273" s="1"/>
  <c r="AF7" i="273" s="1"/>
  <c r="AG28" i="273"/>
  <c r="AG34" i="273" s="1"/>
  <c r="AG49" i="273" s="1"/>
  <c r="AG7" i="273" s="1"/>
  <c r="BN7" i="273" l="1"/>
  <c r="AF8" i="273"/>
  <c r="AF14" i="273" s="1"/>
  <c r="AF20" i="273" s="1"/>
  <c r="AF51" i="273" s="1"/>
  <c r="AF38" i="274"/>
  <c r="AX35" i="274"/>
  <c r="AX36" i="274" s="1"/>
  <c r="AG8" i="273"/>
  <c r="AG14" i="273" s="1"/>
  <c r="AG20" i="273" s="1"/>
  <c r="AG51" i="273" s="1"/>
  <c r="AG38" i="274"/>
  <c r="AH28" i="273"/>
  <c r="AH34" i="273" s="1"/>
  <c r="AH49" i="273" s="1"/>
  <c r="AH7" i="273" s="1"/>
  <c r="AH8" i="273" l="1"/>
  <c r="AH14" i="273" s="1"/>
  <c r="AH20" i="273" s="1"/>
  <c r="AH51" i="273" s="1"/>
  <c r="AH38" i="274"/>
  <c r="BN8" i="273"/>
  <c r="BN14" i="273" s="1"/>
  <c r="BN20" i="273" s="1"/>
  <c r="BN51" i="273" s="1"/>
  <c r="BN38" i="274"/>
  <c r="AI28" i="273" l="1"/>
  <c r="AI34" i="273" s="1"/>
  <c r="AI49" i="273" s="1"/>
  <c r="AI7" i="273" s="1"/>
  <c r="BO24" i="273"/>
  <c r="BO28" i="273" s="1"/>
  <c r="BO34" i="273" s="1"/>
  <c r="BO49" i="273" s="1"/>
  <c r="AJ28" i="273"/>
  <c r="AJ34" i="273" s="1"/>
  <c r="AJ49" i="273" s="1"/>
  <c r="AJ7" i="273" s="1"/>
  <c r="AJ8" i="273" l="1"/>
  <c r="AJ14" i="273" s="1"/>
  <c r="AJ20" i="273" s="1"/>
  <c r="AJ51" i="273" s="1"/>
  <c r="AJ38" i="274"/>
  <c r="AI8" i="273"/>
  <c r="AI14" i="273" s="1"/>
  <c r="AI20" i="273" s="1"/>
  <c r="AI51" i="273" s="1"/>
  <c r="BO7" i="273"/>
  <c r="AI38" i="274"/>
  <c r="AK28" i="273"/>
  <c r="AK34" i="273" s="1"/>
  <c r="AK49" i="273" s="1"/>
  <c r="AK7" i="273" s="1"/>
  <c r="BO8" i="273" l="1"/>
  <c r="BO14" i="273" s="1"/>
  <c r="BO20" i="273" s="1"/>
  <c r="BO51" i="273" s="1"/>
  <c r="BO38" i="274"/>
  <c r="AK8" i="273"/>
  <c r="AK14" i="273" s="1"/>
  <c r="AK20" i="273" s="1"/>
  <c r="AK51" i="273" s="1"/>
  <c r="AK38" i="274"/>
  <c r="BB24" i="273" l="1"/>
  <c r="BB28" i="273" s="1"/>
  <c r="BB34" i="273" s="1"/>
  <c r="BB49" i="273" s="1"/>
  <c r="AL28" i="273"/>
  <c r="AL34" i="273" s="1"/>
  <c r="AL49" i="273" s="1"/>
  <c r="AL7" i="273" s="1"/>
  <c r="BP24" i="273"/>
  <c r="BP28" i="273" s="1"/>
  <c r="BP34" i="273" s="1"/>
  <c r="BP49" i="273" s="1"/>
  <c r="AM28" i="273"/>
  <c r="AM34" i="273" s="1"/>
  <c r="AM49" i="273" s="1"/>
  <c r="AM7" i="273" s="1"/>
  <c r="BP7" i="273" l="1"/>
  <c r="AL8" i="273"/>
  <c r="AL14" i="273" s="1"/>
  <c r="AL20" i="273" s="1"/>
  <c r="AL51" i="273" s="1"/>
  <c r="BB7" i="273"/>
  <c r="AL38" i="274"/>
  <c r="AM8" i="273"/>
  <c r="AM14" i="273" s="1"/>
  <c r="AM20" i="273" s="1"/>
  <c r="AM51" i="273" s="1"/>
  <c r="AM38" i="274"/>
  <c r="AN28" i="273"/>
  <c r="AN34" i="273" s="1"/>
  <c r="AN49" i="273" s="1"/>
  <c r="AN7" i="273" s="1"/>
  <c r="AN8" i="273" l="1"/>
  <c r="AN14" i="273" s="1"/>
  <c r="AN20" i="273" s="1"/>
  <c r="AN51" i="273" s="1"/>
  <c r="AN38" i="274"/>
  <c r="BB8" i="273"/>
  <c r="BB14" i="273" s="1"/>
  <c r="BB20" i="273" s="1"/>
  <c r="BB51" i="273" s="1"/>
  <c r="BB38" i="274"/>
  <c r="BP8" i="273"/>
  <c r="BP14" i="273" s="1"/>
  <c r="BP20" i="273" s="1"/>
  <c r="BP51" i="273" s="1"/>
  <c r="BP38" i="274"/>
  <c r="AO28" i="273" l="1"/>
  <c r="AO34" i="273" s="1"/>
  <c r="AO49" i="273" s="1"/>
  <c r="AO7" i="273" s="1"/>
  <c r="BQ24" i="273"/>
  <c r="BQ28" i="273" s="1"/>
  <c r="BQ34" i="273" s="1"/>
  <c r="BQ49" i="273" s="1"/>
  <c r="AP28" i="273"/>
  <c r="AP34" i="273" s="1"/>
  <c r="AP49" i="273" s="1"/>
  <c r="AP7" i="273" s="1"/>
  <c r="AP8" i="273" l="1"/>
  <c r="AP14" i="273" s="1"/>
  <c r="AP20" i="273" s="1"/>
  <c r="AP51" i="273" s="1"/>
  <c r="AP38" i="274"/>
  <c r="AO8" i="273"/>
  <c r="AO14" i="273" s="1"/>
  <c r="AO20" i="273" s="1"/>
  <c r="AO51" i="273" s="1"/>
  <c r="BQ7" i="273"/>
  <c r="AO38" i="274"/>
  <c r="AQ28" i="273"/>
  <c r="AQ34" i="273" s="1"/>
  <c r="AQ49" i="273" s="1"/>
  <c r="AQ7" i="273" s="1"/>
  <c r="AQ8" i="273" l="1"/>
  <c r="AQ14" i="273" s="1"/>
  <c r="AQ20" i="273" s="1"/>
  <c r="AQ51" i="273" s="1"/>
  <c r="AQ38" i="274"/>
  <c r="BQ8" i="273"/>
  <c r="BQ14" i="273" s="1"/>
  <c r="BQ20" i="273" s="1"/>
  <c r="BQ51" i="273" s="1"/>
  <c r="BQ38" i="274"/>
  <c r="BR24" i="273" l="1"/>
  <c r="BR28" i="273" s="1"/>
  <c r="BR34" i="273" s="1"/>
  <c r="BR49" i="273" s="1"/>
  <c r="AR28" i="273"/>
  <c r="AR34" i="273" s="1"/>
  <c r="AR49" i="273" s="1"/>
  <c r="AR7" i="273" s="1"/>
  <c r="AS28" i="273"/>
  <c r="AS34" i="273" s="1"/>
  <c r="AS49" i="273" s="1"/>
  <c r="AS7" i="273" s="1"/>
  <c r="AS8" i="273" l="1"/>
  <c r="AS14" i="273" s="1"/>
  <c r="AS20" i="273" s="1"/>
  <c r="AS51" i="273" s="1"/>
  <c r="AS38" i="274"/>
  <c r="BR7" i="273"/>
  <c r="AR8" i="273"/>
  <c r="AR14" i="273" s="1"/>
  <c r="AR20" i="273" s="1"/>
  <c r="AR51" i="273" s="1"/>
  <c r="AR38" i="274"/>
  <c r="AT28" i="273"/>
  <c r="AT34" i="273" s="1"/>
  <c r="AT49" i="273" s="1"/>
  <c r="AT7" i="273" s="1"/>
  <c r="BR8" i="273" l="1"/>
  <c r="BR14" i="273" s="1"/>
  <c r="BR20" i="273" s="1"/>
  <c r="BR51" i="273" s="1"/>
  <c r="BR38" i="274"/>
  <c r="AT8" i="273"/>
  <c r="AT14" i="273" s="1"/>
  <c r="AT20" i="273" s="1"/>
  <c r="AT51" i="273" s="1"/>
  <c r="AT38" i="274"/>
  <c r="AU28" i="273" l="1"/>
  <c r="AU34" i="273" s="1"/>
  <c r="AU49" i="273" s="1"/>
  <c r="AU7" i="273" s="1"/>
  <c r="BS24" i="273"/>
  <c r="BS28" i="273" s="1"/>
  <c r="BS34" i="273" s="1"/>
  <c r="BS49" i="273" s="1"/>
  <c r="AV28" i="273"/>
  <c r="AV34" i="273" s="1"/>
  <c r="AV49" i="273" s="1"/>
  <c r="AV7" i="273" s="1"/>
  <c r="AV8" i="273" l="1"/>
  <c r="AV14" i="273" s="1"/>
  <c r="AV20" i="273" s="1"/>
  <c r="AV51" i="273" s="1"/>
  <c r="AV38" i="274"/>
  <c r="AU8" i="273"/>
  <c r="AU14" i="273" s="1"/>
  <c r="AU20" i="273" s="1"/>
  <c r="AU51" i="273" s="1"/>
  <c r="BS7" i="273"/>
  <c r="AU38" i="274"/>
  <c r="AW28" i="273"/>
  <c r="AW34" i="273" s="1"/>
  <c r="AW49" i="273" s="1"/>
  <c r="AW7" i="273" s="1"/>
  <c r="BS8" i="273" l="1"/>
  <c r="BS14" i="273" s="1"/>
  <c r="BS20" i="273" s="1"/>
  <c r="BS51" i="273" s="1"/>
  <c r="BS38" i="274"/>
  <c r="AW8" i="273"/>
  <c r="AW14" i="273" s="1"/>
  <c r="AW20" i="273" s="1"/>
  <c r="AW51" i="273" s="1"/>
  <c r="AW38" i="274"/>
  <c r="BC24" i="273" l="1"/>
  <c r="BC28" i="273" s="1"/>
  <c r="BC34" i="273" s="1"/>
  <c r="BC49" i="273" s="1"/>
  <c r="AX28" i="273"/>
  <c r="AX34" i="273" s="1"/>
  <c r="AX49" i="273" s="1"/>
  <c r="AX7" i="273" s="1"/>
  <c r="BT24" i="273"/>
  <c r="BT28" i="273" s="1"/>
  <c r="BT34" i="273" s="1"/>
  <c r="BT49" i="273" s="1"/>
  <c r="BC7" i="273" l="1"/>
  <c r="BT7" i="273"/>
  <c r="AX8" i="273"/>
  <c r="AX14" i="273" s="1"/>
  <c r="AX20" i="273" s="1"/>
  <c r="AX51" i="273" s="1"/>
  <c r="AX38" i="274"/>
  <c r="BT8" i="273" l="1"/>
  <c r="BT14" i="273" s="1"/>
  <c r="BT20" i="273" s="1"/>
  <c r="BT51" i="273" s="1"/>
  <c r="BT38" i="274"/>
  <c r="BC8" i="273"/>
  <c r="BC14" i="273" s="1"/>
  <c r="BC20" i="273" s="1"/>
  <c r="BC51" i="273" s="1"/>
  <c r="BC38" i="274"/>
  <c r="K5" i="267" l="1"/>
  <c r="K6" i="267"/>
  <c r="K7" i="267"/>
  <c r="K8" i="267"/>
  <c r="K9" i="267"/>
  <c r="K10" i="267"/>
  <c r="K11" i="267"/>
  <c r="K12" i="267"/>
  <c r="K13" i="267"/>
  <c r="K14" i="267"/>
  <c r="K15" i="267"/>
  <c r="K16" i="267"/>
  <c r="K17" i="267"/>
  <c r="K18" i="267"/>
  <c r="K19" i="267"/>
  <c r="K20" i="267"/>
  <c r="K21" i="267"/>
  <c r="K22" i="267"/>
  <c r="K23" i="267"/>
  <c r="K24" i="267"/>
  <c r="K25" i="267"/>
  <c r="K26" i="267"/>
  <c r="K27" i="267"/>
  <c r="K28" i="267"/>
  <c r="K29" i="267"/>
  <c r="K30" i="267"/>
  <c r="K31" i="267"/>
  <c r="K32" i="267"/>
  <c r="K33" i="267"/>
  <c r="K34" i="267"/>
  <c r="K35" i="267"/>
  <c r="K36" i="267"/>
  <c r="K37" i="267"/>
  <c r="K38" i="267"/>
  <c r="K39" i="267"/>
  <c r="K40" i="267"/>
  <c r="K41" i="267"/>
  <c r="K42" i="267"/>
  <c r="K43" i="267"/>
  <c r="K44" i="267"/>
  <c r="K45" i="267"/>
  <c r="K46" i="267"/>
  <c r="K47" i="267"/>
  <c r="K48" i="267"/>
  <c r="K49" i="267"/>
  <c r="K50" i="267"/>
  <c r="K51" i="267"/>
  <c r="K52" i="267"/>
  <c r="K53" i="267"/>
  <c r="K54" i="267"/>
  <c r="K55" i="267"/>
  <c r="K56" i="267"/>
  <c r="I14" i="266" s="1"/>
  <c r="K57" i="267"/>
  <c r="K58" i="267"/>
  <c r="K59" i="267"/>
  <c r="I17" i="266" s="1"/>
  <c r="K60" i="267"/>
  <c r="I18" i="266" s="1"/>
  <c r="K61" i="267"/>
  <c r="K62" i="267"/>
  <c r="K63" i="267"/>
  <c r="K64" i="267"/>
  <c r="I22" i="266" s="1"/>
  <c r="K65" i="267"/>
  <c r="K66" i="267"/>
  <c r="K67" i="267"/>
  <c r="I25" i="266" s="1"/>
  <c r="K68" i="267"/>
  <c r="I26" i="266" s="1"/>
  <c r="K69" i="267"/>
  <c r="K70" i="267"/>
  <c r="K71" i="267"/>
  <c r="K72" i="267"/>
  <c r="I30" i="266" s="1"/>
  <c r="K73" i="267"/>
  <c r="K74" i="267"/>
  <c r="K75" i="267"/>
  <c r="I33" i="266" s="1"/>
  <c r="K76" i="267"/>
  <c r="I34" i="266" s="1"/>
  <c r="K77" i="267"/>
  <c r="K78" i="267"/>
  <c r="K79" i="267"/>
  <c r="K80" i="267"/>
  <c r="I38" i="266" s="1"/>
  <c r="K81" i="267"/>
  <c r="K82" i="267"/>
  <c r="K83" i="267"/>
  <c r="I41" i="266" s="1"/>
  <c r="K84" i="267"/>
  <c r="I42" i="266" s="1"/>
  <c r="K85" i="267"/>
  <c r="K86" i="267"/>
  <c r="K87" i="267"/>
  <c r="K88" i="267"/>
  <c r="I46" i="266" s="1"/>
  <c r="K89" i="267"/>
  <c r="K90" i="267"/>
  <c r="K91" i="267"/>
  <c r="K92" i="267"/>
  <c r="J50" i="266" s="1"/>
  <c r="K50" i="266" s="1"/>
  <c r="K93" i="267"/>
  <c r="K94" i="267"/>
  <c r="K95" i="267"/>
  <c r="K96" i="267"/>
  <c r="J54" i="266" s="1"/>
  <c r="K54" i="266" s="1"/>
  <c r="K97" i="267"/>
  <c r="K98" i="267"/>
  <c r="K99" i="267"/>
  <c r="K100" i="267"/>
  <c r="I58" i="266" s="1"/>
  <c r="K101" i="267"/>
  <c r="K102" i="267"/>
  <c r="K103" i="267"/>
  <c r="K104" i="267"/>
  <c r="J62" i="266" s="1"/>
  <c r="K62" i="266" s="1"/>
  <c r="K105" i="267"/>
  <c r="K106" i="267"/>
  <c r="K107" i="267"/>
  <c r="K108" i="267"/>
  <c r="J66" i="266" s="1"/>
  <c r="K66" i="266" s="1"/>
  <c r="K109" i="267"/>
  <c r="K110" i="267"/>
  <c r="K111" i="267"/>
  <c r="K112" i="267"/>
  <c r="J70" i="266" s="1"/>
  <c r="K70" i="266" s="1"/>
  <c r="K113" i="267"/>
  <c r="K114" i="267"/>
  <c r="K115" i="267"/>
  <c r="K116" i="267"/>
  <c r="J74" i="266" s="1"/>
  <c r="K74" i="266" s="1"/>
  <c r="K117" i="267"/>
  <c r="K118" i="267"/>
  <c r="K119" i="267"/>
  <c r="K120" i="267"/>
  <c r="J78" i="266" s="1"/>
  <c r="K78" i="266" s="1"/>
  <c r="K121" i="267"/>
  <c r="K122" i="267"/>
  <c r="K123" i="267"/>
  <c r="K124" i="267"/>
  <c r="J82" i="266" s="1"/>
  <c r="K82" i="266" s="1"/>
  <c r="K125" i="267"/>
  <c r="K126" i="267"/>
  <c r="K127" i="267"/>
  <c r="K128" i="267"/>
  <c r="I86" i="266" s="1"/>
  <c r="K129" i="267"/>
  <c r="K130" i="267"/>
  <c r="K131" i="267"/>
  <c r="K132" i="267"/>
  <c r="I90" i="266" s="1"/>
  <c r="K133" i="267"/>
  <c r="K134" i="267"/>
  <c r="K135" i="267"/>
  <c r="K136" i="267"/>
  <c r="I94" i="266" s="1"/>
  <c r="K137" i="267"/>
  <c r="K138" i="267"/>
  <c r="K139" i="267"/>
  <c r="K140" i="267"/>
  <c r="I98" i="266" s="1"/>
  <c r="K141" i="267"/>
  <c r="K142" i="267"/>
  <c r="K143" i="267"/>
  <c r="K144" i="267"/>
  <c r="J102" i="266" s="1"/>
  <c r="K102" i="266" s="1"/>
  <c r="K145" i="267"/>
  <c r="K146" i="267"/>
  <c r="K147" i="267"/>
  <c r="K148" i="267"/>
  <c r="J106" i="266" s="1"/>
  <c r="K106" i="266" s="1"/>
  <c r="K149" i="267"/>
  <c r="K150" i="267"/>
  <c r="K151" i="267"/>
  <c r="K152" i="267"/>
  <c r="J110" i="266" s="1"/>
  <c r="K110" i="266" s="1"/>
  <c r="K153" i="267"/>
  <c r="K154" i="267"/>
  <c r="K155" i="267"/>
  <c r="K156" i="267"/>
  <c r="J114" i="266" s="1"/>
  <c r="K114" i="266" s="1"/>
  <c r="K157" i="267"/>
  <c r="K158" i="267"/>
  <c r="K159" i="267"/>
  <c r="K160" i="267"/>
  <c r="J118" i="266" s="1"/>
  <c r="K118" i="266" s="1"/>
  <c r="K161" i="267"/>
  <c r="K162" i="267"/>
  <c r="K163" i="267"/>
  <c r="K164" i="267"/>
  <c r="J122" i="266" s="1"/>
  <c r="K122" i="266" s="1"/>
  <c r="K165" i="267"/>
  <c r="K166" i="267"/>
  <c r="K167" i="267"/>
  <c r="K168" i="267"/>
  <c r="J126" i="266" s="1"/>
  <c r="K126" i="266" s="1"/>
  <c r="K169" i="267"/>
  <c r="K170" i="267"/>
  <c r="K171" i="267"/>
  <c r="K172" i="267"/>
  <c r="J130" i="266" s="1"/>
  <c r="K130" i="266" s="1"/>
  <c r="K173" i="267"/>
  <c r="K174" i="267"/>
  <c r="K175" i="267"/>
  <c r="K176" i="267"/>
  <c r="J134" i="266" s="1"/>
  <c r="K134" i="266" s="1"/>
  <c r="K177" i="267"/>
  <c r="K178" i="267"/>
  <c r="K179" i="267"/>
  <c r="K180" i="267"/>
  <c r="J138" i="266" s="1"/>
  <c r="K138" i="266" s="1"/>
  <c r="K181" i="267"/>
  <c r="K182" i="267"/>
  <c r="K183" i="267"/>
  <c r="K184" i="267"/>
  <c r="J142" i="266" s="1"/>
  <c r="K142" i="266" s="1"/>
  <c r="K185" i="267"/>
  <c r="K186" i="267"/>
  <c r="K187" i="267"/>
  <c r="K188" i="267"/>
  <c r="J146" i="266" s="1"/>
  <c r="K146" i="266" s="1"/>
  <c r="K189" i="267"/>
  <c r="K190" i="267"/>
  <c r="K191" i="267"/>
  <c r="K192" i="267"/>
  <c r="J150" i="266" s="1"/>
  <c r="K150" i="266" s="1"/>
  <c r="K193" i="267"/>
  <c r="K194" i="267"/>
  <c r="K195" i="267"/>
  <c r="K196" i="267"/>
  <c r="K197" i="267"/>
  <c r="K198" i="267"/>
  <c r="K199" i="267"/>
  <c r="K200" i="267"/>
  <c r="K201" i="267"/>
  <c r="K202" i="267"/>
  <c r="K203" i="267"/>
  <c r="K204" i="267"/>
  <c r="J162" i="266" s="1"/>
  <c r="K162" i="266" s="1"/>
  <c r="K205" i="267"/>
  <c r="K206" i="267"/>
  <c r="K207" i="267"/>
  <c r="K208" i="267"/>
  <c r="J166" i="266" s="1"/>
  <c r="K166" i="266" s="1"/>
  <c r="K209" i="267"/>
  <c r="K210" i="267"/>
  <c r="K211" i="267"/>
  <c r="K212" i="267"/>
  <c r="J10" i="265" s="1"/>
  <c r="L10" i="265" s="1"/>
  <c r="K213" i="267"/>
  <c r="K214" i="267"/>
  <c r="K215" i="267"/>
  <c r="K216" i="267"/>
  <c r="K217" i="267"/>
  <c r="K218" i="267"/>
  <c r="K219" i="267"/>
  <c r="K220" i="267"/>
  <c r="K221" i="267"/>
  <c r="K222" i="267"/>
  <c r="K223" i="267"/>
  <c r="K224" i="267"/>
  <c r="K225" i="267"/>
  <c r="K226" i="267"/>
  <c r="K227" i="267"/>
  <c r="K228" i="267"/>
  <c r="K229" i="267"/>
  <c r="K230" i="267"/>
  <c r="K231" i="267"/>
  <c r="K232" i="267"/>
  <c r="K233" i="267"/>
  <c r="K234" i="267"/>
  <c r="K235" i="267"/>
  <c r="K236" i="267"/>
  <c r="K237" i="267"/>
  <c r="K238" i="267"/>
  <c r="K239" i="267"/>
  <c r="K240" i="267"/>
  <c r="K241" i="267"/>
  <c r="K242" i="267"/>
  <c r="K243" i="267"/>
  <c r="K244" i="267"/>
  <c r="K245" i="267"/>
  <c r="K246" i="267"/>
  <c r="K247" i="267"/>
  <c r="K248" i="267"/>
  <c r="J11" i="265" s="1"/>
  <c r="L11" i="265" s="1"/>
  <c r="K249" i="267"/>
  <c r="K250" i="267"/>
  <c r="K251" i="267"/>
  <c r="K252" i="267"/>
  <c r="K253" i="267"/>
  <c r="K254" i="267"/>
  <c r="K255" i="267"/>
  <c r="K256" i="267"/>
  <c r="K257" i="267"/>
  <c r="K258" i="267"/>
  <c r="K259" i="267"/>
  <c r="K260" i="267"/>
  <c r="K261" i="267"/>
  <c r="K262" i="267"/>
  <c r="K263" i="267"/>
  <c r="K264" i="267"/>
  <c r="K265" i="267"/>
  <c r="K266" i="267"/>
  <c r="K267" i="267"/>
  <c r="K268" i="267"/>
  <c r="J12" i="265" s="1"/>
  <c r="L12" i="265" s="1"/>
  <c r="K269" i="267"/>
  <c r="K270" i="267"/>
  <c r="K271" i="267"/>
  <c r="K272" i="267"/>
  <c r="K273" i="267"/>
  <c r="K274" i="267"/>
  <c r="K275" i="267"/>
  <c r="K276" i="267"/>
  <c r="K277" i="267"/>
  <c r="K278" i="267"/>
  <c r="K279" i="267"/>
  <c r="K280" i="267"/>
  <c r="J13" i="265" s="1"/>
  <c r="L13" i="265" s="1"/>
  <c r="K281" i="267"/>
  <c r="K282" i="267"/>
  <c r="K283" i="267"/>
  <c r="K284" i="267"/>
  <c r="K285" i="267"/>
  <c r="K286" i="267"/>
  <c r="K287" i="267"/>
  <c r="K288" i="267"/>
  <c r="K289" i="267"/>
  <c r="K290" i="267"/>
  <c r="K291" i="267"/>
  <c r="K292" i="267"/>
  <c r="K293" i="267"/>
  <c r="K294" i="267"/>
  <c r="K295" i="267"/>
  <c r="K296" i="267"/>
  <c r="J14" i="265" s="1"/>
  <c r="L14" i="265" s="1"/>
  <c r="K297" i="267"/>
  <c r="K298" i="267"/>
  <c r="K299" i="267"/>
  <c r="K300" i="267"/>
  <c r="K301" i="267"/>
  <c r="K302" i="267"/>
  <c r="K303" i="267"/>
  <c r="K304" i="267"/>
  <c r="K305" i="267"/>
  <c r="K306" i="267"/>
  <c r="K307" i="267"/>
  <c r="K308" i="267"/>
  <c r="K309" i="267"/>
  <c r="K310" i="267"/>
  <c r="K311" i="267"/>
  <c r="K312" i="267"/>
  <c r="J15" i="265" s="1"/>
  <c r="L15" i="265" s="1"/>
  <c r="K313" i="267"/>
  <c r="K314" i="267"/>
  <c r="K315" i="267"/>
  <c r="K316" i="267"/>
  <c r="J17" i="265" s="1"/>
  <c r="L17" i="265" s="1"/>
  <c r="K317" i="267"/>
  <c r="K318" i="267"/>
  <c r="K319" i="267"/>
  <c r="K320" i="267"/>
  <c r="K321" i="267"/>
  <c r="K322" i="267"/>
  <c r="K323" i="267"/>
  <c r="K324" i="267"/>
  <c r="K325" i="267"/>
  <c r="K326" i="267"/>
  <c r="K327" i="267"/>
  <c r="K328" i="267"/>
  <c r="K329" i="267"/>
  <c r="K330" i="267"/>
  <c r="K331" i="267"/>
  <c r="K332" i="267"/>
  <c r="K333" i="267"/>
  <c r="K334" i="267"/>
  <c r="K335" i="267"/>
  <c r="K336" i="267"/>
  <c r="J18" i="265" s="1"/>
  <c r="L18" i="265" s="1"/>
  <c r="K337" i="267"/>
  <c r="K338" i="267"/>
  <c r="K339" i="267"/>
  <c r="K340" i="267"/>
  <c r="K341" i="267"/>
  <c r="K342" i="267"/>
  <c r="K343" i="267"/>
  <c r="K344" i="267"/>
  <c r="K345" i="267"/>
  <c r="K346" i="267"/>
  <c r="K347" i="267"/>
  <c r="K348" i="267"/>
  <c r="K349" i="267"/>
  <c r="K350" i="267"/>
  <c r="K351" i="267"/>
  <c r="K352" i="267"/>
  <c r="J19" i="265" s="1"/>
  <c r="L19" i="265" s="1"/>
  <c r="K353" i="267"/>
  <c r="K354" i="267"/>
  <c r="K355" i="267"/>
  <c r="K356" i="267"/>
  <c r="J21" i="265" s="1"/>
  <c r="L21" i="265" s="1"/>
  <c r="K357" i="267"/>
  <c r="K358" i="267"/>
  <c r="K359" i="267"/>
  <c r="K360" i="267"/>
  <c r="K361" i="267"/>
  <c r="K362" i="267"/>
  <c r="K363" i="267"/>
  <c r="K364" i="267"/>
  <c r="K365" i="267"/>
  <c r="K366" i="267"/>
  <c r="K367" i="267"/>
  <c r="K368" i="267"/>
  <c r="K369" i="267"/>
  <c r="K370" i="267"/>
  <c r="K371" i="267"/>
  <c r="K372" i="267"/>
  <c r="K373" i="267"/>
  <c r="K374" i="267"/>
  <c r="K375" i="267"/>
  <c r="K376" i="267"/>
  <c r="K377" i="267"/>
  <c r="K378" i="267"/>
  <c r="K379" i="267"/>
  <c r="K380" i="267"/>
  <c r="K381" i="267"/>
  <c r="K382" i="267"/>
  <c r="K383" i="267"/>
  <c r="K384" i="267"/>
  <c r="K385" i="267"/>
  <c r="K386" i="267"/>
  <c r="K387" i="267"/>
  <c r="K388" i="267"/>
  <c r="K389" i="267"/>
  <c r="K390" i="267"/>
  <c r="K391" i="267"/>
  <c r="K392" i="267"/>
  <c r="K393" i="267"/>
  <c r="K394" i="267"/>
  <c r="K395" i="267"/>
  <c r="K396" i="267"/>
  <c r="K397" i="267"/>
  <c r="K398" i="267"/>
  <c r="K399" i="267"/>
  <c r="K400" i="267"/>
  <c r="J22" i="265" s="1"/>
  <c r="L22" i="265" s="1"/>
  <c r="K401" i="267"/>
  <c r="K402" i="267"/>
  <c r="K403" i="267"/>
  <c r="K404" i="267"/>
  <c r="K405" i="267"/>
  <c r="K406" i="267"/>
  <c r="K407" i="267"/>
  <c r="K408" i="267"/>
  <c r="K409" i="267"/>
  <c r="K410" i="267"/>
  <c r="K411" i="267"/>
  <c r="K412" i="267"/>
  <c r="K413" i="267"/>
  <c r="K414" i="267"/>
  <c r="K415" i="267"/>
  <c r="K416" i="267"/>
  <c r="K417" i="267"/>
  <c r="K418" i="267"/>
  <c r="K419" i="267"/>
  <c r="K420" i="267"/>
  <c r="K421" i="267"/>
  <c r="K422" i="267"/>
  <c r="K423" i="267"/>
  <c r="K424" i="267"/>
  <c r="J23" i="265" s="1"/>
  <c r="L23" i="265" s="1"/>
  <c r="K425" i="267"/>
  <c r="K426" i="267"/>
  <c r="K427" i="267"/>
  <c r="K428" i="267"/>
  <c r="J24" i="265" s="1"/>
  <c r="L24" i="265" s="1"/>
  <c r="K429" i="267"/>
  <c r="K430" i="267"/>
  <c r="K431" i="267"/>
  <c r="K432" i="267"/>
  <c r="K433" i="267"/>
  <c r="K434" i="267"/>
  <c r="K435" i="267"/>
  <c r="K436" i="267"/>
  <c r="K437" i="267"/>
  <c r="K438" i="267"/>
  <c r="K439" i="267"/>
  <c r="K440" i="267"/>
  <c r="K441" i="267"/>
  <c r="K442" i="267"/>
  <c r="K443" i="267"/>
  <c r="K444" i="267"/>
  <c r="K445" i="267"/>
  <c r="K446" i="267"/>
  <c r="K447" i="267"/>
  <c r="K448" i="267"/>
  <c r="K449" i="267"/>
  <c r="K450" i="267"/>
  <c r="K451" i="267"/>
  <c r="K452" i="267"/>
  <c r="K453" i="267"/>
  <c r="K454" i="267"/>
  <c r="K455" i="267"/>
  <c r="K456" i="267"/>
  <c r="K457" i="267"/>
  <c r="K458" i="267"/>
  <c r="K459" i="267"/>
  <c r="K460" i="267"/>
  <c r="K461" i="267"/>
  <c r="K462" i="267"/>
  <c r="K463" i="267"/>
  <c r="K464" i="267"/>
  <c r="K465" i="267"/>
  <c r="K466" i="267"/>
  <c r="K467" i="267"/>
  <c r="K468" i="267"/>
  <c r="J25" i="265" s="1"/>
  <c r="L25" i="265" s="1"/>
  <c r="K469" i="267"/>
  <c r="K470" i="267"/>
  <c r="K471" i="267"/>
  <c r="K472" i="267"/>
  <c r="K473" i="267"/>
  <c r="K474" i="267"/>
  <c r="K475" i="267"/>
  <c r="K476" i="267"/>
  <c r="K477" i="267"/>
  <c r="K478" i="267"/>
  <c r="K479" i="267"/>
  <c r="K480" i="267"/>
  <c r="K481" i="267"/>
  <c r="K482" i="267"/>
  <c r="K483" i="267"/>
  <c r="K484" i="267"/>
  <c r="K485" i="267"/>
  <c r="K486" i="267"/>
  <c r="K487" i="267"/>
  <c r="K488" i="267"/>
  <c r="K489" i="267"/>
  <c r="K490" i="267"/>
  <c r="K491" i="267"/>
  <c r="K492" i="267"/>
  <c r="K493" i="267"/>
  <c r="K494" i="267"/>
  <c r="K495" i="267"/>
  <c r="K496" i="267"/>
  <c r="K497" i="267"/>
  <c r="K498" i="267"/>
  <c r="K499" i="267"/>
  <c r="K500" i="267"/>
  <c r="J26" i="265" s="1"/>
  <c r="L26" i="265" s="1"/>
  <c r="K501" i="267"/>
  <c r="K502" i="267"/>
  <c r="K503" i="267"/>
  <c r="K504" i="267"/>
  <c r="K505" i="267"/>
  <c r="K506" i="267"/>
  <c r="K507" i="267"/>
  <c r="K508" i="267"/>
  <c r="J27" i="265" s="1"/>
  <c r="L27" i="265" s="1"/>
  <c r="K509" i="267"/>
  <c r="K510" i="267"/>
  <c r="K511" i="267"/>
  <c r="K512" i="267"/>
  <c r="K513" i="267"/>
  <c r="K514" i="267"/>
  <c r="K515" i="267"/>
  <c r="K516" i="267"/>
  <c r="J28" i="265" s="1"/>
  <c r="L28" i="265" s="1"/>
  <c r="K517" i="267"/>
  <c r="K518" i="267"/>
  <c r="K519" i="267"/>
  <c r="K520" i="267"/>
  <c r="K521" i="267"/>
  <c r="K522" i="267"/>
  <c r="K523" i="267"/>
  <c r="K524" i="267"/>
  <c r="J30" i="265" s="1"/>
  <c r="L30" i="265" s="1"/>
  <c r="K525" i="267"/>
  <c r="K526" i="267"/>
  <c r="K527" i="267"/>
  <c r="K528" i="267"/>
  <c r="J32" i="265" s="1"/>
  <c r="L32" i="265" s="1"/>
  <c r="K529" i="267"/>
  <c r="K530" i="267"/>
  <c r="K531" i="267"/>
  <c r="K532" i="267"/>
  <c r="K533" i="267"/>
  <c r="K534" i="267"/>
  <c r="K535" i="267"/>
  <c r="K536" i="267"/>
  <c r="K537" i="267"/>
  <c r="K538" i="267"/>
  <c r="K539" i="267"/>
  <c r="K540" i="267"/>
  <c r="K541" i="267"/>
  <c r="K542" i="267"/>
  <c r="K543" i="267"/>
  <c r="K544" i="267"/>
  <c r="K545" i="267"/>
  <c r="K546" i="267"/>
  <c r="K547" i="267"/>
  <c r="K548" i="267"/>
  <c r="K549" i="267"/>
  <c r="K550" i="267"/>
  <c r="K551" i="267"/>
  <c r="K552" i="267"/>
  <c r="K553" i="267"/>
  <c r="K554" i="267"/>
  <c r="K555" i="267"/>
  <c r="K556" i="267"/>
  <c r="K557" i="267"/>
  <c r="K558" i="267"/>
  <c r="K559" i="267"/>
  <c r="K560" i="267"/>
  <c r="K561" i="267"/>
  <c r="K562" i="267"/>
  <c r="K563" i="267"/>
  <c r="K564" i="267"/>
  <c r="K565" i="267"/>
  <c r="K566" i="267"/>
  <c r="K567" i="267"/>
  <c r="K568" i="267"/>
  <c r="K569" i="267"/>
  <c r="K570" i="267"/>
  <c r="K571" i="267"/>
  <c r="K572" i="267"/>
  <c r="K573" i="267"/>
  <c r="K574" i="267"/>
  <c r="K575" i="267"/>
  <c r="K576" i="267"/>
  <c r="K577" i="267"/>
  <c r="K578" i="267"/>
  <c r="K579" i="267"/>
  <c r="K580" i="267"/>
  <c r="K581" i="267"/>
  <c r="K582" i="267"/>
  <c r="K583" i="267"/>
  <c r="K584" i="267"/>
  <c r="K585" i="267"/>
  <c r="K586" i="267"/>
  <c r="K587" i="267"/>
  <c r="K588" i="267"/>
  <c r="K589" i="267"/>
  <c r="K590" i="267"/>
  <c r="K591" i="267"/>
  <c r="K592" i="267"/>
  <c r="K593" i="267"/>
  <c r="K594" i="267"/>
  <c r="K595" i="267"/>
  <c r="K596" i="267"/>
  <c r="K597" i="267"/>
  <c r="K598" i="267"/>
  <c r="K599" i="267"/>
  <c r="K600" i="267"/>
  <c r="K601" i="267"/>
  <c r="K602" i="267"/>
  <c r="K603" i="267"/>
  <c r="K604" i="267"/>
  <c r="K605" i="267"/>
  <c r="K606" i="267"/>
  <c r="K607" i="267"/>
  <c r="K608" i="267"/>
  <c r="K609" i="267"/>
  <c r="K610" i="267"/>
  <c r="K611" i="267"/>
  <c r="K612" i="267"/>
  <c r="K613" i="267"/>
  <c r="K614" i="267"/>
  <c r="K615" i="267"/>
  <c r="K616" i="267"/>
  <c r="K617" i="267"/>
  <c r="K618" i="267"/>
  <c r="K619" i="267"/>
  <c r="K620" i="267"/>
  <c r="K621" i="267"/>
  <c r="K622" i="267"/>
  <c r="K623" i="267"/>
  <c r="K624" i="267"/>
  <c r="K625" i="267"/>
  <c r="K626" i="267"/>
  <c r="K627" i="267"/>
  <c r="K628" i="267"/>
  <c r="K629" i="267"/>
  <c r="K630" i="267"/>
  <c r="K631" i="267"/>
  <c r="K632" i="267"/>
  <c r="K633" i="267"/>
  <c r="K634" i="267"/>
  <c r="K635" i="267"/>
  <c r="K636" i="267"/>
  <c r="K637" i="267"/>
  <c r="K638" i="267"/>
  <c r="K639" i="267"/>
  <c r="K640" i="267"/>
  <c r="K641" i="267"/>
  <c r="K642" i="267"/>
  <c r="K643" i="267"/>
  <c r="K644" i="267"/>
  <c r="K645" i="267"/>
  <c r="K646" i="267"/>
  <c r="K647" i="267"/>
  <c r="K648" i="267"/>
  <c r="K649" i="267"/>
  <c r="K650" i="267"/>
  <c r="K651" i="267"/>
  <c r="K652" i="267"/>
  <c r="K653" i="267"/>
  <c r="K654" i="267"/>
  <c r="K655" i="267"/>
  <c r="K656" i="267"/>
  <c r="K657" i="267"/>
  <c r="K658" i="267"/>
  <c r="K659" i="267"/>
  <c r="K660" i="267"/>
  <c r="K661" i="267"/>
  <c r="K662" i="267"/>
  <c r="K663" i="267"/>
  <c r="K664" i="267"/>
  <c r="K665" i="267"/>
  <c r="K666" i="267"/>
  <c r="K667" i="267"/>
  <c r="K668" i="267"/>
  <c r="K669" i="267"/>
  <c r="K670" i="267"/>
  <c r="K671" i="267"/>
  <c r="K672" i="267"/>
  <c r="K673" i="267"/>
  <c r="K674" i="267"/>
  <c r="K675" i="267"/>
  <c r="K676" i="267"/>
  <c r="K677" i="267"/>
  <c r="K678" i="267"/>
  <c r="K679" i="267"/>
  <c r="K680" i="267"/>
  <c r="K681" i="267"/>
  <c r="K682" i="267"/>
  <c r="K683" i="267"/>
  <c r="K684" i="267"/>
  <c r="K685" i="267"/>
  <c r="K686" i="267"/>
  <c r="K687" i="267"/>
  <c r="K688" i="267"/>
  <c r="K689" i="267"/>
  <c r="K690" i="267"/>
  <c r="K691" i="267"/>
  <c r="K692" i="267"/>
  <c r="K693" i="267"/>
  <c r="K694" i="267"/>
  <c r="K695" i="267"/>
  <c r="K696" i="267"/>
  <c r="K697" i="267"/>
  <c r="K698" i="267"/>
  <c r="K699" i="267"/>
  <c r="K700" i="267"/>
  <c r="K701" i="267"/>
  <c r="K702" i="267"/>
  <c r="K703" i="267"/>
  <c r="K704" i="267"/>
  <c r="K705" i="267"/>
  <c r="K706" i="267"/>
  <c r="K707" i="267"/>
  <c r="K708" i="267"/>
  <c r="K709" i="267"/>
  <c r="K710" i="267"/>
  <c r="K711" i="267"/>
  <c r="K712" i="267"/>
  <c r="K713" i="267"/>
  <c r="K714" i="267"/>
  <c r="K715" i="267"/>
  <c r="K716" i="267"/>
  <c r="K717" i="267"/>
  <c r="K718" i="267"/>
  <c r="K719" i="267"/>
  <c r="K720" i="267"/>
  <c r="K721" i="267"/>
  <c r="K722" i="267"/>
  <c r="K723" i="267"/>
  <c r="K724" i="267"/>
  <c r="K725" i="267"/>
  <c r="K726" i="267"/>
  <c r="K727" i="267"/>
  <c r="K728" i="267"/>
  <c r="K729" i="267"/>
  <c r="K730" i="267"/>
  <c r="K731" i="267"/>
  <c r="K732" i="267"/>
  <c r="K733" i="267"/>
  <c r="K734" i="267"/>
  <c r="K735" i="267"/>
  <c r="K736" i="267"/>
  <c r="K737" i="267"/>
  <c r="K738" i="267"/>
  <c r="K739" i="267"/>
  <c r="K740" i="267"/>
  <c r="K741" i="267"/>
  <c r="K742" i="267"/>
  <c r="K743" i="267"/>
  <c r="K744" i="267"/>
  <c r="K745" i="267"/>
  <c r="K746" i="267"/>
  <c r="K747" i="267"/>
  <c r="K748" i="267"/>
  <c r="K749" i="267"/>
  <c r="K750" i="267"/>
  <c r="K751" i="267"/>
  <c r="K752" i="267"/>
  <c r="K753" i="267"/>
  <c r="K754" i="267"/>
  <c r="K755" i="267"/>
  <c r="K756" i="267"/>
  <c r="K757" i="267"/>
  <c r="K758" i="267"/>
  <c r="K759" i="267"/>
  <c r="K760" i="267"/>
  <c r="K761" i="267"/>
  <c r="K762" i="267"/>
  <c r="K763" i="267"/>
  <c r="K764" i="267"/>
  <c r="K765" i="267"/>
  <c r="K766" i="267"/>
  <c r="K767" i="267"/>
  <c r="K768" i="267"/>
  <c r="K769" i="267"/>
  <c r="K770" i="267"/>
  <c r="K771" i="267"/>
  <c r="K772" i="267"/>
  <c r="K773" i="267"/>
  <c r="K774" i="267"/>
  <c r="K775" i="267"/>
  <c r="K776" i="267"/>
  <c r="K777" i="267"/>
  <c r="K778" i="267"/>
  <c r="K779" i="267"/>
  <c r="K780" i="267"/>
  <c r="K781" i="267"/>
  <c r="K782" i="267"/>
  <c r="K783" i="267"/>
  <c r="K784" i="267"/>
  <c r="K785" i="267"/>
  <c r="K786" i="267"/>
  <c r="K787" i="267"/>
  <c r="K788" i="267"/>
  <c r="K789" i="267"/>
  <c r="K790" i="267"/>
  <c r="K791" i="267"/>
  <c r="K792" i="267"/>
  <c r="K793" i="267"/>
  <c r="K794" i="267"/>
  <c r="K795" i="267"/>
  <c r="K796" i="267"/>
  <c r="K797" i="267"/>
  <c r="K798" i="267"/>
  <c r="K799" i="267"/>
  <c r="K800" i="267"/>
  <c r="K801" i="267"/>
  <c r="K802" i="267"/>
  <c r="K803" i="267"/>
  <c r="K804" i="267"/>
  <c r="K805" i="267"/>
  <c r="K806" i="267"/>
  <c r="K807" i="267"/>
  <c r="K808" i="267"/>
  <c r="K809" i="267"/>
  <c r="K810" i="267"/>
  <c r="K811" i="267"/>
  <c r="K812" i="267"/>
  <c r="K813" i="267"/>
  <c r="K814" i="267"/>
  <c r="K815" i="267"/>
  <c r="K816" i="267"/>
  <c r="K817" i="267"/>
  <c r="K818" i="267"/>
  <c r="K819" i="267"/>
  <c r="K820" i="267"/>
  <c r="K821" i="267"/>
  <c r="K822" i="267"/>
  <c r="K823" i="267"/>
  <c r="K824" i="267"/>
  <c r="K825" i="267"/>
  <c r="K826" i="267"/>
  <c r="K827" i="267"/>
  <c r="K828" i="267"/>
  <c r="K829" i="267"/>
  <c r="K830" i="267"/>
  <c r="K831" i="267"/>
  <c r="K832" i="267"/>
  <c r="K833" i="267"/>
  <c r="K834" i="267"/>
  <c r="K835" i="267"/>
  <c r="K836" i="267"/>
  <c r="K837" i="267"/>
  <c r="K838" i="267"/>
  <c r="K839" i="267"/>
  <c r="K840" i="267"/>
  <c r="K841" i="267"/>
  <c r="K842" i="267"/>
  <c r="K843" i="267"/>
  <c r="K844" i="267"/>
  <c r="K845" i="267"/>
  <c r="K846" i="267"/>
  <c r="K847" i="267"/>
  <c r="K848" i="267"/>
  <c r="K849" i="267"/>
  <c r="K850" i="267"/>
  <c r="K851" i="267"/>
  <c r="K852" i="267"/>
  <c r="K853" i="267"/>
  <c r="K854" i="267"/>
  <c r="K855" i="267"/>
  <c r="K856" i="267"/>
  <c r="K857" i="267"/>
  <c r="K858" i="267"/>
  <c r="K859" i="267"/>
  <c r="K860" i="267"/>
  <c r="K861" i="267"/>
  <c r="K862" i="267"/>
  <c r="K863" i="267"/>
  <c r="K864" i="267"/>
  <c r="K865" i="267"/>
  <c r="K866" i="267"/>
  <c r="K867" i="267"/>
  <c r="K868" i="267"/>
  <c r="K869" i="267"/>
  <c r="K870" i="267"/>
  <c r="K871" i="267"/>
  <c r="K872" i="267"/>
  <c r="K873" i="267"/>
  <c r="K874" i="267"/>
  <c r="K875" i="267"/>
  <c r="K876" i="267"/>
  <c r="K877" i="267"/>
  <c r="K878" i="267"/>
  <c r="K879" i="267"/>
  <c r="K880" i="267"/>
  <c r="K881" i="267"/>
  <c r="K882" i="267"/>
  <c r="K883" i="267"/>
  <c r="K884" i="267"/>
  <c r="K885" i="267"/>
  <c r="K886" i="267"/>
  <c r="K887" i="267"/>
  <c r="K888" i="267"/>
  <c r="K889" i="267"/>
  <c r="K890" i="267"/>
  <c r="K891" i="267"/>
  <c r="K892" i="267"/>
  <c r="K893" i="267"/>
  <c r="K894" i="267"/>
  <c r="K895" i="267"/>
  <c r="K896" i="267"/>
  <c r="K897" i="267"/>
  <c r="K898" i="267"/>
  <c r="K899" i="267"/>
  <c r="K900" i="267"/>
  <c r="K901" i="267"/>
  <c r="K902" i="267"/>
  <c r="K903" i="267"/>
  <c r="K904" i="267"/>
  <c r="K905" i="267"/>
  <c r="K906" i="267"/>
  <c r="K907" i="267"/>
  <c r="K908" i="267"/>
  <c r="K909" i="267"/>
  <c r="K910" i="267"/>
  <c r="K911" i="267"/>
  <c r="K912" i="267"/>
  <c r="K913" i="267"/>
  <c r="K914" i="267"/>
  <c r="K915" i="267"/>
  <c r="K916" i="267"/>
  <c r="K917" i="267"/>
  <c r="K918" i="267"/>
  <c r="K919" i="267"/>
  <c r="K920" i="267"/>
  <c r="K921" i="267"/>
  <c r="K922" i="267"/>
  <c r="K923" i="267"/>
  <c r="K924" i="267"/>
  <c r="K925" i="267"/>
  <c r="K926" i="267"/>
  <c r="K927" i="267"/>
  <c r="K928" i="267"/>
  <c r="K929" i="267"/>
  <c r="K930" i="267"/>
  <c r="K931" i="267"/>
  <c r="K932" i="267"/>
  <c r="K933" i="267"/>
  <c r="K934" i="267"/>
  <c r="K935" i="267"/>
  <c r="K936" i="267"/>
  <c r="K937" i="267"/>
  <c r="K938" i="267"/>
  <c r="K939" i="267"/>
  <c r="K940" i="267"/>
  <c r="K941" i="267"/>
  <c r="K942" i="267"/>
  <c r="K943" i="267"/>
  <c r="K944" i="267"/>
  <c r="K945" i="267"/>
  <c r="K946" i="267"/>
  <c r="K947" i="267"/>
  <c r="K948" i="267"/>
  <c r="K949" i="267"/>
  <c r="K950" i="267"/>
  <c r="K951" i="267"/>
  <c r="K952" i="267"/>
  <c r="K953" i="267"/>
  <c r="K954" i="267"/>
  <c r="K955" i="267"/>
  <c r="K956" i="267"/>
  <c r="K957" i="267"/>
  <c r="K958" i="267"/>
  <c r="K959" i="267"/>
  <c r="K960" i="267"/>
  <c r="K961" i="267"/>
  <c r="K962" i="267"/>
  <c r="K963" i="267"/>
  <c r="K964" i="267"/>
  <c r="K965" i="267"/>
  <c r="K966" i="267"/>
  <c r="K967" i="267"/>
  <c r="K968" i="267"/>
  <c r="K969" i="267"/>
  <c r="K970" i="267"/>
  <c r="K971" i="267"/>
  <c r="K972" i="267"/>
  <c r="K973" i="267"/>
  <c r="K974" i="267"/>
  <c r="K975" i="267"/>
  <c r="K976" i="267"/>
  <c r="K977" i="267"/>
  <c r="K978" i="267"/>
  <c r="K979" i="267"/>
  <c r="K980" i="267"/>
  <c r="K981" i="267"/>
  <c r="K982" i="267"/>
  <c r="K983" i="267"/>
  <c r="K984" i="267"/>
  <c r="K985" i="267"/>
  <c r="K986" i="267"/>
  <c r="K987" i="267"/>
  <c r="K988" i="267"/>
  <c r="K989" i="267"/>
  <c r="K990" i="267"/>
  <c r="K991" i="267"/>
  <c r="K992" i="267"/>
  <c r="K993" i="267"/>
  <c r="K994" i="267"/>
  <c r="K995" i="267"/>
  <c r="K996" i="267"/>
  <c r="K997" i="267"/>
  <c r="K998" i="267"/>
  <c r="K999" i="267"/>
  <c r="K1000" i="267"/>
  <c r="K1001" i="267"/>
  <c r="K1002" i="267"/>
  <c r="K1003" i="267"/>
  <c r="K1004" i="267"/>
  <c r="K1005" i="267"/>
  <c r="K1006" i="267"/>
  <c r="K1007" i="267"/>
  <c r="K1008" i="267"/>
  <c r="K1009" i="267"/>
  <c r="K1010" i="267"/>
  <c r="K1011" i="267"/>
  <c r="K1012" i="267"/>
  <c r="K1013" i="267"/>
  <c r="K1014" i="267"/>
  <c r="K1015" i="267"/>
  <c r="K1016" i="267"/>
  <c r="K1017" i="267"/>
  <c r="K1018" i="267"/>
  <c r="K1019" i="267"/>
  <c r="K1020" i="267"/>
  <c r="K1021" i="267"/>
  <c r="K1022" i="267"/>
  <c r="K1023" i="267"/>
  <c r="K1024" i="267"/>
  <c r="J44" i="265" s="1"/>
  <c r="L44" i="265" s="1"/>
  <c r="K1025" i="267"/>
  <c r="K1026" i="267"/>
  <c r="K1027" i="267"/>
  <c r="K1028" i="267"/>
  <c r="K1029" i="267"/>
  <c r="K1030" i="267"/>
  <c r="K1031" i="267"/>
  <c r="K1032" i="267"/>
  <c r="K1033" i="267"/>
  <c r="K1034" i="267"/>
  <c r="K1035" i="267"/>
  <c r="K1036" i="267"/>
  <c r="K1037" i="267"/>
  <c r="K1038" i="267"/>
  <c r="K1039" i="267"/>
  <c r="K1040" i="267"/>
  <c r="K1041" i="267"/>
  <c r="K1042" i="267"/>
  <c r="K1043" i="267"/>
  <c r="K1044" i="267"/>
  <c r="K1045" i="267"/>
  <c r="K1046" i="267"/>
  <c r="K1047" i="267"/>
  <c r="K1048" i="267"/>
  <c r="K1049" i="267"/>
  <c r="K1050" i="267"/>
  <c r="K1051" i="267"/>
  <c r="K1052" i="267"/>
  <c r="K1053" i="267"/>
  <c r="K1054" i="267"/>
  <c r="K1055" i="267"/>
  <c r="K1056" i="267"/>
  <c r="K1057" i="267"/>
  <c r="K1058" i="267"/>
  <c r="K1059" i="267"/>
  <c r="K1060" i="267"/>
  <c r="J45" i="265" s="1"/>
  <c r="L45" i="265" s="1"/>
  <c r="K1061" i="267"/>
  <c r="K1062" i="267"/>
  <c r="K1063" i="267"/>
  <c r="K1064" i="267"/>
  <c r="K1065" i="267"/>
  <c r="K1066" i="267"/>
  <c r="K1067" i="267"/>
  <c r="K1068" i="267"/>
  <c r="K1069" i="267"/>
  <c r="K1070" i="267"/>
  <c r="K1071" i="267"/>
  <c r="K1072" i="267"/>
  <c r="K1073" i="267"/>
  <c r="K1074" i="267"/>
  <c r="K1075" i="267"/>
  <c r="K1076" i="267"/>
  <c r="K1077" i="267"/>
  <c r="K1078" i="267"/>
  <c r="K1079" i="267"/>
  <c r="K1080" i="267"/>
  <c r="K1081" i="267"/>
  <c r="K1082" i="267"/>
  <c r="K1083" i="267"/>
  <c r="K1084" i="267"/>
  <c r="K1085" i="267"/>
  <c r="K1086" i="267"/>
  <c r="K1087" i="267"/>
  <c r="K1088" i="267"/>
  <c r="K1089" i="267"/>
  <c r="K1090" i="267"/>
  <c r="K1091" i="267"/>
  <c r="K1092" i="267"/>
  <c r="K1093" i="267"/>
  <c r="K1094" i="267"/>
  <c r="K1095" i="267"/>
  <c r="K1096" i="267"/>
  <c r="J46" i="265" s="1"/>
  <c r="L46" i="265" s="1"/>
  <c r="K1097" i="267"/>
  <c r="K1098" i="267"/>
  <c r="K1099" i="267"/>
  <c r="K1100" i="267"/>
  <c r="K1101" i="267"/>
  <c r="K1102" i="267"/>
  <c r="K1103" i="267"/>
  <c r="K1104" i="267"/>
  <c r="K1105" i="267"/>
  <c r="K1106" i="267"/>
  <c r="K1107" i="267"/>
  <c r="K1108" i="267"/>
  <c r="K1109" i="267"/>
  <c r="K1110" i="267"/>
  <c r="K1111" i="267"/>
  <c r="K1112" i="267"/>
  <c r="K1113" i="267"/>
  <c r="K1114" i="267"/>
  <c r="K1115" i="267"/>
  <c r="K1116" i="267"/>
  <c r="K1117" i="267"/>
  <c r="K1118" i="267"/>
  <c r="K1119" i="267"/>
  <c r="K1120" i="267"/>
  <c r="K1121" i="267"/>
  <c r="K1122" i="267"/>
  <c r="K1123" i="267"/>
  <c r="K1124" i="267"/>
  <c r="K1125" i="267"/>
  <c r="K1126" i="267"/>
  <c r="K1127" i="267"/>
  <c r="K1128" i="267"/>
  <c r="K1129" i="267"/>
  <c r="K1130" i="267"/>
  <c r="K1131" i="267"/>
  <c r="K1132" i="267"/>
  <c r="K1133" i="267"/>
  <c r="K1134" i="267"/>
  <c r="K1135" i="267"/>
  <c r="K1136" i="267"/>
  <c r="K1137" i="267"/>
  <c r="K1138" i="267"/>
  <c r="K1139" i="267"/>
  <c r="K1140" i="267"/>
  <c r="K1141" i="267"/>
  <c r="K1142" i="267"/>
  <c r="K1143" i="267"/>
  <c r="K1144" i="267"/>
  <c r="K1145" i="267"/>
  <c r="K1146" i="267"/>
  <c r="K1147" i="267"/>
  <c r="K1148" i="267"/>
  <c r="K1149" i="267"/>
  <c r="K1150" i="267"/>
  <c r="K1151" i="267"/>
  <c r="K1152" i="267"/>
  <c r="K1153" i="267"/>
  <c r="K1154" i="267"/>
  <c r="K1155" i="267"/>
  <c r="K1156" i="267"/>
  <c r="K1157" i="267"/>
  <c r="K1158" i="267"/>
  <c r="K1159" i="267"/>
  <c r="K1160" i="267"/>
  <c r="K1161" i="267"/>
  <c r="K1162" i="267"/>
  <c r="K1163" i="267"/>
  <c r="K1164" i="267"/>
  <c r="K1165" i="267"/>
  <c r="K1166" i="267"/>
  <c r="K1167" i="267"/>
  <c r="K1168" i="267"/>
  <c r="K1169" i="267"/>
  <c r="K1170" i="267"/>
  <c r="K1171" i="267"/>
  <c r="K1172" i="267"/>
  <c r="K1173" i="267"/>
  <c r="K1174" i="267"/>
  <c r="K1175" i="267"/>
  <c r="K1176" i="267"/>
  <c r="K1177" i="267"/>
  <c r="K1178" i="267"/>
  <c r="K1179" i="267"/>
  <c r="K1180" i="267"/>
  <c r="K1181" i="267"/>
  <c r="K1182" i="267"/>
  <c r="K1183" i="267"/>
  <c r="K1184" i="267"/>
  <c r="K1185" i="267"/>
  <c r="K1186" i="267"/>
  <c r="K1187" i="267"/>
  <c r="K1188" i="267"/>
  <c r="K1189" i="267"/>
  <c r="K1190" i="267"/>
  <c r="K1191" i="267"/>
  <c r="K1192" i="267"/>
  <c r="K1193" i="267"/>
  <c r="K1194" i="267"/>
  <c r="K1195" i="267"/>
  <c r="K1196" i="267"/>
  <c r="K1197" i="267"/>
  <c r="K1198" i="267"/>
  <c r="K1199" i="267"/>
  <c r="K1200" i="267"/>
  <c r="K1201" i="267"/>
  <c r="K1202" i="267"/>
  <c r="K1203" i="267"/>
  <c r="K1204" i="267"/>
  <c r="K1205" i="267"/>
  <c r="K1206" i="267"/>
  <c r="K1207" i="267"/>
  <c r="K1208" i="267"/>
  <c r="K1209" i="267"/>
  <c r="K1210" i="267"/>
  <c r="K1211" i="267"/>
  <c r="K1212" i="267"/>
  <c r="K1213" i="267"/>
  <c r="K1214" i="267"/>
  <c r="K1215" i="267"/>
  <c r="K1216" i="267"/>
  <c r="K1217" i="267"/>
  <c r="K1218" i="267"/>
  <c r="K1219" i="267"/>
  <c r="K1220" i="267"/>
  <c r="K1221" i="267"/>
  <c r="K1222" i="267"/>
  <c r="K1223" i="267"/>
  <c r="K1224" i="267"/>
  <c r="K1225" i="267"/>
  <c r="K1226" i="267"/>
  <c r="K1227" i="267"/>
  <c r="K1228" i="267"/>
  <c r="K1229" i="267"/>
  <c r="K1230" i="267"/>
  <c r="K1231" i="267"/>
  <c r="K1232" i="267"/>
  <c r="K1233" i="267"/>
  <c r="K1234" i="267"/>
  <c r="K1235" i="267"/>
  <c r="K1236" i="267"/>
  <c r="K1237" i="267"/>
  <c r="K1238" i="267"/>
  <c r="K1239" i="267"/>
  <c r="K1240" i="267"/>
  <c r="K1241" i="267"/>
  <c r="K1242" i="267"/>
  <c r="K1243" i="267"/>
  <c r="K1244" i="267"/>
  <c r="K1245" i="267"/>
  <c r="K1246" i="267"/>
  <c r="K1247" i="267"/>
  <c r="K1248" i="267"/>
  <c r="K1249" i="267"/>
  <c r="K1250" i="267"/>
  <c r="K1251" i="267"/>
  <c r="K1252" i="267"/>
  <c r="K1253" i="267"/>
  <c r="K1254" i="267"/>
  <c r="K1255" i="267"/>
  <c r="K1256" i="267"/>
  <c r="K1257" i="267"/>
  <c r="K1258" i="267"/>
  <c r="K1259" i="267"/>
  <c r="K1260" i="267"/>
  <c r="K1261" i="267"/>
  <c r="K1262" i="267"/>
  <c r="K1263" i="267"/>
  <c r="K1264" i="267"/>
  <c r="K1265" i="267"/>
  <c r="K1266" i="267"/>
  <c r="K1267" i="267"/>
  <c r="K1268" i="267"/>
  <c r="K1269" i="267"/>
  <c r="K1270" i="267"/>
  <c r="K1271" i="267"/>
  <c r="K1272" i="267"/>
  <c r="K1273" i="267"/>
  <c r="K1274" i="267"/>
  <c r="K1275" i="267"/>
  <c r="K1276" i="267"/>
  <c r="K1277" i="267"/>
  <c r="K1278" i="267"/>
  <c r="K1279" i="267"/>
  <c r="K1280" i="267"/>
  <c r="K1281" i="267"/>
  <c r="K1282" i="267"/>
  <c r="K1283" i="267"/>
  <c r="K1284" i="267"/>
  <c r="K1285" i="267"/>
  <c r="K1286" i="267"/>
  <c r="K1287" i="267"/>
  <c r="K1288" i="267"/>
  <c r="K1289" i="267"/>
  <c r="K1290" i="267"/>
  <c r="K1291" i="267"/>
  <c r="K1292" i="267"/>
  <c r="K1293" i="267"/>
  <c r="K1294" i="267"/>
  <c r="K1295" i="267"/>
  <c r="K1296" i="267"/>
  <c r="K1297" i="267"/>
  <c r="K1298" i="267"/>
  <c r="K1299" i="267"/>
  <c r="K1300" i="267"/>
  <c r="K1301" i="267"/>
  <c r="K1302" i="267"/>
  <c r="K1303" i="267"/>
  <c r="K1304" i="267"/>
  <c r="K1305" i="267"/>
  <c r="K1306" i="267"/>
  <c r="K1307" i="267"/>
  <c r="K1308" i="267"/>
  <c r="K1309" i="267"/>
  <c r="K1310" i="267"/>
  <c r="K1311" i="267"/>
  <c r="K1312" i="267"/>
  <c r="K1313" i="267"/>
  <c r="K1314" i="267"/>
  <c r="K1315" i="267"/>
  <c r="K1316" i="267"/>
  <c r="K1317" i="267"/>
  <c r="K1318" i="267"/>
  <c r="K1319" i="267"/>
  <c r="K1320" i="267"/>
  <c r="K1321" i="267"/>
  <c r="K1322" i="267"/>
  <c r="K1323" i="267"/>
  <c r="K1324" i="267"/>
  <c r="K1325" i="267"/>
  <c r="K1326" i="267"/>
  <c r="K1327" i="267"/>
  <c r="K1328" i="267"/>
  <c r="K1329" i="267"/>
  <c r="K1330" i="267"/>
  <c r="K1331" i="267"/>
  <c r="K1332" i="267"/>
  <c r="K1333" i="267"/>
  <c r="K1334" i="267"/>
  <c r="K1335" i="267"/>
  <c r="K1336" i="267"/>
  <c r="K1337" i="267"/>
  <c r="K1338" i="267"/>
  <c r="K1339" i="267"/>
  <c r="K1340" i="267"/>
  <c r="K1341" i="267"/>
  <c r="K1342" i="267"/>
  <c r="K1343" i="267"/>
  <c r="K1344" i="267"/>
  <c r="K1345" i="267"/>
  <c r="K1346" i="267"/>
  <c r="K1347" i="267"/>
  <c r="K1348" i="267"/>
  <c r="K1349" i="267"/>
  <c r="K1350" i="267"/>
  <c r="K1351" i="267"/>
  <c r="K1352" i="267"/>
  <c r="K1353" i="267"/>
  <c r="K1354" i="267"/>
  <c r="K1355" i="267"/>
  <c r="K1356" i="267"/>
  <c r="K1357" i="267"/>
  <c r="K1358" i="267"/>
  <c r="K1359" i="267"/>
  <c r="K1360" i="267"/>
  <c r="K1361" i="267"/>
  <c r="K1362" i="267"/>
  <c r="K1363" i="267"/>
  <c r="K1364" i="267"/>
  <c r="K1365" i="267"/>
  <c r="K1366" i="267"/>
  <c r="K1367" i="267"/>
  <c r="K1368" i="267"/>
  <c r="K1369" i="267"/>
  <c r="K1370" i="267"/>
  <c r="K1371" i="267"/>
  <c r="K1372" i="267"/>
  <c r="K1373" i="267"/>
  <c r="K1374" i="267"/>
  <c r="K1375" i="267"/>
  <c r="K1376" i="267"/>
  <c r="K1377" i="267"/>
  <c r="K1378" i="267"/>
  <c r="K1379" i="267"/>
  <c r="K1380" i="267"/>
  <c r="K1381" i="267"/>
  <c r="K1382" i="267"/>
  <c r="K1383" i="267"/>
  <c r="K1384" i="267"/>
  <c r="K1385" i="267"/>
  <c r="K1386" i="267"/>
  <c r="K1387" i="267"/>
  <c r="K1388" i="267"/>
  <c r="K1389" i="267"/>
  <c r="K1390" i="267"/>
  <c r="K1391" i="267"/>
  <c r="K1392" i="267"/>
  <c r="K1393" i="267"/>
  <c r="K1394" i="267"/>
  <c r="K1395" i="267"/>
  <c r="K1396" i="267"/>
  <c r="K1397" i="267"/>
  <c r="K1398" i="267"/>
  <c r="K1399" i="267"/>
  <c r="K1400" i="267"/>
  <c r="K1401" i="267"/>
  <c r="K1402" i="267"/>
  <c r="K1403" i="267"/>
  <c r="K1404" i="267"/>
  <c r="K1405" i="267"/>
  <c r="K1406" i="267"/>
  <c r="K1407" i="267"/>
  <c r="K1408" i="267"/>
  <c r="K1409" i="267"/>
  <c r="K1410" i="267"/>
  <c r="K1411" i="267"/>
  <c r="K1412" i="267"/>
  <c r="K1413" i="267"/>
  <c r="K1414" i="267"/>
  <c r="K1415" i="267"/>
  <c r="K1416" i="267"/>
  <c r="K1417" i="267"/>
  <c r="K1418" i="267"/>
  <c r="K1419" i="267"/>
  <c r="K1420" i="267"/>
  <c r="K1421" i="267"/>
  <c r="K1422" i="267"/>
  <c r="K1423" i="267"/>
  <c r="K1424" i="267"/>
  <c r="K1425" i="267"/>
  <c r="K1426" i="267"/>
  <c r="K1427" i="267"/>
  <c r="K1428" i="267"/>
  <c r="K1429" i="267"/>
  <c r="K1430" i="267"/>
  <c r="K1431" i="267"/>
  <c r="K1432" i="267"/>
  <c r="K1433" i="267"/>
  <c r="K1434" i="267"/>
  <c r="K1435" i="267"/>
  <c r="K1436" i="267"/>
  <c r="K1437" i="267"/>
  <c r="K1438" i="267"/>
  <c r="K1439" i="267"/>
  <c r="K1440" i="267"/>
  <c r="K1441" i="267"/>
  <c r="K1442" i="267"/>
  <c r="K1443" i="267"/>
  <c r="K1444" i="267"/>
  <c r="K1445" i="267"/>
  <c r="K1446" i="267"/>
  <c r="K1447" i="267"/>
  <c r="K1448" i="267"/>
  <c r="K1449" i="267"/>
  <c r="K1450" i="267"/>
  <c r="K1451" i="267"/>
  <c r="K1452" i="267"/>
  <c r="K1453" i="267"/>
  <c r="K1454" i="267"/>
  <c r="K1455" i="267"/>
  <c r="K1456" i="267"/>
  <c r="K1457" i="267"/>
  <c r="K1458" i="267"/>
  <c r="K1459" i="267"/>
  <c r="K1460" i="267"/>
  <c r="K1461" i="267"/>
  <c r="K1462" i="267"/>
  <c r="K1463" i="267"/>
  <c r="K1464" i="267"/>
  <c r="K1465" i="267"/>
  <c r="K1466" i="267"/>
  <c r="K1467" i="267"/>
  <c r="K1468" i="267"/>
  <c r="K1469" i="267"/>
  <c r="K1470" i="267"/>
  <c r="K1471" i="267"/>
  <c r="K1472" i="267"/>
  <c r="K1473" i="267"/>
  <c r="K1474" i="267"/>
  <c r="K1475" i="267"/>
  <c r="K1476" i="267"/>
  <c r="K1477" i="267"/>
  <c r="K1478" i="267"/>
  <c r="K1479" i="267"/>
  <c r="K1480" i="267"/>
  <c r="K1481" i="267"/>
  <c r="K1482" i="267"/>
  <c r="K1483" i="267"/>
  <c r="K1484" i="267"/>
  <c r="K1485" i="267"/>
  <c r="K1486" i="267"/>
  <c r="K1487" i="267"/>
  <c r="K1488" i="267"/>
  <c r="K1489" i="267"/>
  <c r="K1490" i="267"/>
  <c r="K1491" i="267"/>
  <c r="K1492" i="267"/>
  <c r="K1493" i="267"/>
  <c r="K1494" i="267"/>
  <c r="K1495" i="267"/>
  <c r="K1496" i="267"/>
  <c r="K1497" i="267"/>
  <c r="K1498" i="267"/>
  <c r="K1499" i="267"/>
  <c r="K1500" i="267"/>
  <c r="K1501" i="267"/>
  <c r="K1502" i="267"/>
  <c r="K1503" i="267"/>
  <c r="K1504" i="267"/>
  <c r="K1505" i="267"/>
  <c r="K1506" i="267"/>
  <c r="K1507" i="267"/>
  <c r="K1508" i="267"/>
  <c r="K1509" i="267"/>
  <c r="K1510" i="267"/>
  <c r="K1511" i="267"/>
  <c r="K1512" i="267"/>
  <c r="K1513" i="267"/>
  <c r="K1514" i="267"/>
  <c r="K1515" i="267"/>
  <c r="K1516" i="267"/>
  <c r="K1517" i="267"/>
  <c r="K1518" i="267"/>
  <c r="K1519" i="267"/>
  <c r="K1520" i="267"/>
  <c r="K1521" i="267"/>
  <c r="K1522" i="267"/>
  <c r="K1523" i="267"/>
  <c r="K1524" i="267"/>
  <c r="K1525" i="267"/>
  <c r="K1526" i="267"/>
  <c r="K1527" i="267"/>
  <c r="K1528" i="267"/>
  <c r="K1529" i="267"/>
  <c r="K1530" i="267"/>
  <c r="K1531" i="267"/>
  <c r="K1532" i="267"/>
  <c r="K1533" i="267"/>
  <c r="K1534" i="267"/>
  <c r="K1535" i="267"/>
  <c r="K1536" i="267"/>
  <c r="K1537" i="267"/>
  <c r="K1538" i="267"/>
  <c r="K1539" i="267"/>
  <c r="K1540" i="267"/>
  <c r="K1541" i="267"/>
  <c r="K1542" i="267"/>
  <c r="K1543" i="267"/>
  <c r="K1544" i="267"/>
  <c r="K1545" i="267"/>
  <c r="K1546" i="267"/>
  <c r="K1547" i="267"/>
  <c r="K1548" i="267"/>
  <c r="K1549" i="267"/>
  <c r="K1550" i="267"/>
  <c r="K1551" i="267"/>
  <c r="K1552" i="267"/>
  <c r="K1553" i="267"/>
  <c r="K1554" i="267"/>
  <c r="K1555" i="267"/>
  <c r="K1556" i="267"/>
  <c r="K1557" i="267"/>
  <c r="K1558" i="267"/>
  <c r="K1559" i="267"/>
  <c r="K1560" i="267"/>
  <c r="K1561" i="267"/>
  <c r="K1562" i="267"/>
  <c r="K1563" i="267"/>
  <c r="K1564" i="267"/>
  <c r="K1565" i="267"/>
  <c r="K1566" i="267"/>
  <c r="K1567" i="267"/>
  <c r="K1568" i="267"/>
  <c r="K1569" i="267"/>
  <c r="K1570" i="267"/>
  <c r="K1571" i="267"/>
  <c r="K1572" i="267"/>
  <c r="K1573" i="267"/>
  <c r="K1574" i="267"/>
  <c r="K1575" i="267"/>
  <c r="K1576" i="267"/>
  <c r="K1577" i="267"/>
  <c r="K1578" i="267"/>
  <c r="K1579" i="267"/>
  <c r="K1580" i="267"/>
  <c r="K1581" i="267"/>
  <c r="K1582" i="267"/>
  <c r="K1583" i="267"/>
  <c r="K1584" i="267"/>
  <c r="K1585" i="267"/>
  <c r="K1586" i="267"/>
  <c r="K1587" i="267"/>
  <c r="K1588" i="267"/>
  <c r="K1589" i="267"/>
  <c r="K1590" i="267"/>
  <c r="K1591" i="267"/>
  <c r="K1592" i="267"/>
  <c r="K1593" i="267"/>
  <c r="K1594" i="267"/>
  <c r="K1595" i="267"/>
  <c r="K1596" i="267"/>
  <c r="K1597" i="267"/>
  <c r="K1598" i="267"/>
  <c r="K1599" i="267"/>
  <c r="K1600" i="267"/>
  <c r="K1601" i="267"/>
  <c r="K1602" i="267"/>
  <c r="K1603" i="267"/>
  <c r="K1604" i="267"/>
  <c r="K1605" i="267"/>
  <c r="K1606" i="267"/>
  <c r="K1607" i="267"/>
  <c r="K1608" i="267"/>
  <c r="K1609" i="267"/>
  <c r="K1610" i="267"/>
  <c r="K1611" i="267"/>
  <c r="K1612" i="267"/>
  <c r="K1613" i="267"/>
  <c r="K1614" i="267"/>
  <c r="K1615" i="267"/>
  <c r="K1616" i="267"/>
  <c r="K1617" i="267"/>
  <c r="K1618" i="267"/>
  <c r="K1619" i="267"/>
  <c r="K1620" i="267"/>
  <c r="K1621" i="267"/>
  <c r="K1622" i="267"/>
  <c r="K1623" i="267"/>
  <c r="K1624" i="267"/>
  <c r="K1625" i="267"/>
  <c r="K1626" i="267"/>
  <c r="K1627" i="267"/>
  <c r="K1628" i="267"/>
  <c r="K1629" i="267"/>
  <c r="K1630" i="267"/>
  <c r="K1631" i="267"/>
  <c r="K1632" i="267"/>
  <c r="K1633" i="267"/>
  <c r="K1634" i="267"/>
  <c r="K1635" i="267"/>
  <c r="K1636" i="267"/>
  <c r="K1637" i="267"/>
  <c r="K1638" i="267"/>
  <c r="K1639" i="267"/>
  <c r="K1640" i="267"/>
  <c r="K1641" i="267"/>
  <c r="K1642" i="267"/>
  <c r="K1643" i="267"/>
  <c r="K1644" i="267"/>
  <c r="K1645" i="267"/>
  <c r="K1646" i="267"/>
  <c r="K1647" i="267"/>
  <c r="K1648" i="267"/>
  <c r="K1649" i="267"/>
  <c r="K1650" i="267"/>
  <c r="K1651" i="267"/>
  <c r="K1652" i="267"/>
  <c r="K1653" i="267"/>
  <c r="K1654" i="267"/>
  <c r="K1655" i="267"/>
  <c r="K1656" i="267"/>
  <c r="K1657" i="267"/>
  <c r="K1658" i="267"/>
  <c r="K1659" i="267"/>
  <c r="K1660" i="267"/>
  <c r="K1661" i="267"/>
  <c r="K1662" i="267"/>
  <c r="K1663" i="267"/>
  <c r="K1664" i="267"/>
  <c r="K1665" i="267"/>
  <c r="K1666" i="267"/>
  <c r="K1667" i="267"/>
  <c r="K1668" i="267"/>
  <c r="K1669" i="267"/>
  <c r="K1670" i="267"/>
  <c r="K1671" i="267"/>
  <c r="K1672" i="267"/>
  <c r="K1673" i="267"/>
  <c r="K1674" i="267"/>
  <c r="K1675" i="267"/>
  <c r="K1676" i="267"/>
  <c r="K1677" i="267"/>
  <c r="K1678" i="267"/>
  <c r="K1679" i="267"/>
  <c r="K1680" i="267"/>
  <c r="K1681" i="267"/>
  <c r="K1682" i="267"/>
  <c r="K1683" i="267"/>
  <c r="K1684" i="267"/>
  <c r="K1685" i="267"/>
  <c r="K1686" i="267"/>
  <c r="K1687" i="267"/>
  <c r="K1688" i="267"/>
  <c r="K1689" i="267"/>
  <c r="K1690" i="267"/>
  <c r="K1691" i="267"/>
  <c r="K1692" i="267"/>
  <c r="K1693" i="267"/>
  <c r="K1694" i="267"/>
  <c r="K1695" i="267"/>
  <c r="K1696" i="267"/>
  <c r="K1697" i="267"/>
  <c r="K1698" i="267"/>
  <c r="K1699" i="267"/>
  <c r="K1700" i="267"/>
  <c r="K1701" i="267"/>
  <c r="K1702" i="267"/>
  <c r="K1703" i="267"/>
  <c r="K1704" i="267"/>
  <c r="K1705" i="267"/>
  <c r="K1706" i="267"/>
  <c r="K1707" i="267"/>
  <c r="K1708" i="267"/>
  <c r="K1709" i="267"/>
  <c r="K1710" i="267"/>
  <c r="K1711" i="267"/>
  <c r="K1712" i="267"/>
  <c r="K1713" i="267"/>
  <c r="K1714" i="267"/>
  <c r="K1715" i="267"/>
  <c r="K1716" i="267"/>
  <c r="K1717" i="267"/>
  <c r="K1718" i="267"/>
  <c r="K1719" i="267"/>
  <c r="K1720" i="267"/>
  <c r="K1721" i="267"/>
  <c r="K1722" i="267"/>
  <c r="K1723" i="267"/>
  <c r="K1724" i="267"/>
  <c r="K1725" i="267"/>
  <c r="K1726" i="267"/>
  <c r="K1727" i="267"/>
  <c r="K1728" i="267"/>
  <c r="J66" i="265" s="1"/>
  <c r="L66" i="265" s="1"/>
  <c r="K1729" i="267"/>
  <c r="K1730" i="267"/>
  <c r="K1731" i="267"/>
  <c r="K1732" i="267"/>
  <c r="K1733" i="267"/>
  <c r="K1734" i="267"/>
  <c r="K1735" i="267"/>
  <c r="K1736" i="267"/>
  <c r="K1737" i="267"/>
  <c r="K1738" i="267"/>
  <c r="K1739" i="267"/>
  <c r="K1740" i="267"/>
  <c r="K1741" i="267"/>
  <c r="K1742" i="267"/>
  <c r="K1743" i="267"/>
  <c r="K1744" i="267"/>
  <c r="K1745" i="267"/>
  <c r="K1746" i="267"/>
  <c r="K1747" i="267"/>
  <c r="K1748" i="267"/>
  <c r="K1749" i="267"/>
  <c r="K1750" i="267"/>
  <c r="K1751" i="267"/>
  <c r="K1752" i="267"/>
  <c r="K1753" i="267"/>
  <c r="K1754" i="267"/>
  <c r="K1755" i="267"/>
  <c r="K1756" i="267"/>
  <c r="K1757" i="267"/>
  <c r="K1758" i="267"/>
  <c r="K1759" i="267"/>
  <c r="K1760" i="267"/>
  <c r="K1761" i="267"/>
  <c r="K1762" i="267"/>
  <c r="K1763" i="267"/>
  <c r="K1764" i="267"/>
  <c r="K1765" i="267"/>
  <c r="K1766" i="267"/>
  <c r="K1767" i="267"/>
  <c r="K1768" i="267"/>
  <c r="K1769" i="267"/>
  <c r="K1770" i="267"/>
  <c r="K1771" i="267"/>
  <c r="K1772" i="267"/>
  <c r="K1773" i="267"/>
  <c r="K1774" i="267"/>
  <c r="K1775" i="267"/>
  <c r="K1776" i="267"/>
  <c r="K1777" i="267"/>
  <c r="K1778" i="267"/>
  <c r="K1779" i="267"/>
  <c r="K1780" i="267"/>
  <c r="K1781" i="267"/>
  <c r="K1782" i="267"/>
  <c r="K1783" i="267"/>
  <c r="K1784" i="267"/>
  <c r="K1785" i="267"/>
  <c r="K1786" i="267"/>
  <c r="K1787" i="267"/>
  <c r="K1788" i="267"/>
  <c r="K1789" i="267"/>
  <c r="K1790" i="267"/>
  <c r="K1791" i="267"/>
  <c r="K1792" i="267"/>
  <c r="K1793" i="267"/>
  <c r="K1794" i="267"/>
  <c r="K1795" i="267"/>
  <c r="K1796" i="267"/>
  <c r="K1797" i="267"/>
  <c r="K1798" i="267"/>
  <c r="K1799" i="267"/>
  <c r="K1800" i="267"/>
  <c r="K1801" i="267"/>
  <c r="K1802" i="267"/>
  <c r="K1803" i="267"/>
  <c r="K1804" i="267"/>
  <c r="K1805" i="267"/>
  <c r="K1806" i="267"/>
  <c r="K1807" i="267"/>
  <c r="K1808" i="267"/>
  <c r="K1809" i="267"/>
  <c r="K1810" i="267"/>
  <c r="K1811" i="267"/>
  <c r="K1812" i="267"/>
  <c r="K1813" i="267"/>
  <c r="K1814" i="267"/>
  <c r="K1815" i="267"/>
  <c r="K1816" i="267"/>
  <c r="K1817" i="267"/>
  <c r="K1818" i="267"/>
  <c r="K1819" i="267"/>
  <c r="K1820" i="267"/>
  <c r="K1821" i="267"/>
  <c r="K1822" i="267"/>
  <c r="K1823" i="267"/>
  <c r="K1824" i="267"/>
  <c r="K1825" i="267"/>
  <c r="K1826" i="267"/>
  <c r="K1827" i="267"/>
  <c r="K1828" i="267"/>
  <c r="K1829" i="267"/>
  <c r="K1830" i="267"/>
  <c r="K1831" i="267"/>
  <c r="K1832" i="267"/>
  <c r="K1833" i="267"/>
  <c r="K1834" i="267"/>
  <c r="K1835" i="267"/>
  <c r="K1836" i="267"/>
  <c r="K1837" i="267"/>
  <c r="K1838" i="267"/>
  <c r="K1839" i="267"/>
  <c r="K1840" i="267"/>
  <c r="K1841" i="267"/>
  <c r="K1842" i="267"/>
  <c r="K1843" i="267"/>
  <c r="K1844" i="267"/>
  <c r="K1845" i="267"/>
  <c r="K1846" i="267"/>
  <c r="K1847" i="267"/>
  <c r="K1848" i="267"/>
  <c r="K1849" i="267"/>
  <c r="K1850" i="267"/>
  <c r="K1851" i="267"/>
  <c r="K1852" i="267"/>
  <c r="K1853" i="267"/>
  <c r="K1854" i="267"/>
  <c r="K1855" i="267"/>
  <c r="K1856" i="267"/>
  <c r="K1857" i="267"/>
  <c r="K1858" i="267"/>
  <c r="K1859" i="267"/>
  <c r="K1860" i="267"/>
  <c r="K1861" i="267"/>
  <c r="K1862" i="267"/>
  <c r="K1863" i="267"/>
  <c r="K1864" i="267"/>
  <c r="K1865" i="267"/>
  <c r="K1866" i="267"/>
  <c r="K1867" i="267"/>
  <c r="K1868" i="267"/>
  <c r="K1869" i="267"/>
  <c r="K1870" i="267"/>
  <c r="K1871" i="267"/>
  <c r="K1872" i="267"/>
  <c r="K1873" i="267"/>
  <c r="K1874" i="267"/>
  <c r="K1875" i="267"/>
  <c r="K1876" i="267"/>
  <c r="K1877" i="267"/>
  <c r="K1878" i="267"/>
  <c r="K1879" i="267"/>
  <c r="K1880" i="267"/>
  <c r="K1881" i="267"/>
  <c r="K1882" i="267"/>
  <c r="K1883" i="267"/>
  <c r="K1884" i="267"/>
  <c r="K1885" i="267"/>
  <c r="K1886" i="267"/>
  <c r="K1887" i="267"/>
  <c r="K1888" i="267"/>
  <c r="K1889" i="267"/>
  <c r="K1890" i="267"/>
  <c r="K1891" i="267"/>
  <c r="K1892" i="267"/>
  <c r="K1893" i="267"/>
  <c r="K1894" i="267"/>
  <c r="K1895" i="267"/>
  <c r="K1896" i="267"/>
  <c r="K1897" i="267"/>
  <c r="K1898" i="267"/>
  <c r="K1899" i="267"/>
  <c r="K1900" i="267"/>
  <c r="K1901" i="267"/>
  <c r="K1902" i="267"/>
  <c r="K1903" i="267"/>
  <c r="K1904" i="267"/>
  <c r="K1905" i="267"/>
  <c r="K1906" i="267"/>
  <c r="K1907" i="267"/>
  <c r="K1908" i="267"/>
  <c r="K1909" i="267"/>
  <c r="K1910" i="267"/>
  <c r="K1911" i="267"/>
  <c r="K1912" i="267"/>
  <c r="K1913" i="267"/>
  <c r="K1914" i="267"/>
  <c r="K1915" i="267"/>
  <c r="K1916" i="267"/>
  <c r="K1917" i="267"/>
  <c r="K1918" i="267"/>
  <c r="K1919" i="267"/>
  <c r="K1920" i="267"/>
  <c r="K1921" i="267"/>
  <c r="K1922" i="267"/>
  <c r="K1923" i="267"/>
  <c r="K1924" i="267"/>
  <c r="K1925" i="267"/>
  <c r="K1926" i="267"/>
  <c r="K1927" i="267"/>
  <c r="K1928" i="267"/>
  <c r="K1929" i="267"/>
  <c r="K1930" i="267"/>
  <c r="K1931" i="267"/>
  <c r="K1932" i="267"/>
  <c r="K1933" i="267"/>
  <c r="K1934" i="267"/>
  <c r="K1935" i="267"/>
  <c r="K1936" i="267"/>
  <c r="K1937" i="267"/>
  <c r="K1938" i="267"/>
  <c r="K1939" i="267"/>
  <c r="K1940" i="267"/>
  <c r="K1941" i="267"/>
  <c r="K1942" i="267"/>
  <c r="K1943" i="267"/>
  <c r="K1944" i="267"/>
  <c r="K1945" i="267"/>
  <c r="K1946" i="267"/>
  <c r="K1947" i="267"/>
  <c r="K1948" i="267"/>
  <c r="K1949" i="267"/>
  <c r="K1950" i="267"/>
  <c r="K1951" i="267"/>
  <c r="K1952" i="267"/>
  <c r="K1953" i="267"/>
  <c r="K1954" i="267"/>
  <c r="K1955" i="267"/>
  <c r="K1956" i="267"/>
  <c r="K1957" i="267"/>
  <c r="K1958" i="267"/>
  <c r="K1959" i="267"/>
  <c r="K1960" i="267"/>
  <c r="K1961" i="267"/>
  <c r="K1962" i="267"/>
  <c r="K1963" i="267"/>
  <c r="K1964" i="267"/>
  <c r="K1965" i="267"/>
  <c r="K1966" i="267"/>
  <c r="K1967" i="267"/>
  <c r="K1968" i="267"/>
  <c r="K1969" i="267"/>
  <c r="K1970" i="267"/>
  <c r="K1971" i="267"/>
  <c r="K1972" i="267"/>
  <c r="K1973" i="267"/>
  <c r="K1974" i="267"/>
  <c r="K1975" i="267"/>
  <c r="K1976" i="267"/>
  <c r="K1977" i="267"/>
  <c r="K1978" i="267"/>
  <c r="K1979" i="267"/>
  <c r="K1980" i="267"/>
  <c r="K1981" i="267"/>
  <c r="K1982" i="267"/>
  <c r="K1983" i="267"/>
  <c r="K1984" i="267"/>
  <c r="K1985" i="267"/>
  <c r="K1986" i="267"/>
  <c r="K1987" i="267"/>
  <c r="K1988" i="267"/>
  <c r="K1989" i="267"/>
  <c r="K1990" i="267"/>
  <c r="K1991" i="267"/>
  <c r="K1992" i="267"/>
  <c r="K1993" i="267"/>
  <c r="K1994" i="267"/>
  <c r="K1995" i="267"/>
  <c r="K1996" i="267"/>
  <c r="K1997" i="267"/>
  <c r="K1998" i="267"/>
  <c r="K1999" i="267"/>
  <c r="K2000" i="267"/>
  <c r="K2001" i="267"/>
  <c r="K2002" i="267"/>
  <c r="K2003" i="267"/>
  <c r="K2004" i="267"/>
  <c r="K2005" i="267"/>
  <c r="K2006" i="267"/>
  <c r="K2007" i="267"/>
  <c r="K2008" i="267"/>
  <c r="K2009" i="267"/>
  <c r="K2010" i="267"/>
  <c r="K2011" i="267"/>
  <c r="K2012" i="267"/>
  <c r="K2013" i="267"/>
  <c r="K2014" i="267"/>
  <c r="K2015" i="267"/>
  <c r="K2016" i="267"/>
  <c r="K2017" i="267"/>
  <c r="K2018" i="267"/>
  <c r="K2019" i="267"/>
  <c r="K2020" i="267"/>
  <c r="K2021" i="267"/>
  <c r="K2022" i="267"/>
  <c r="K2023" i="267"/>
  <c r="K2024" i="267"/>
  <c r="K2025" i="267"/>
  <c r="K2026" i="267"/>
  <c r="K2027" i="267"/>
  <c r="K2028" i="267"/>
  <c r="K2029" i="267"/>
  <c r="K2030" i="267"/>
  <c r="K2031" i="267"/>
  <c r="K2032" i="267"/>
  <c r="K2033" i="267"/>
  <c r="K2034" i="267"/>
  <c r="K2035" i="267"/>
  <c r="K2036" i="267"/>
  <c r="K2037" i="267"/>
  <c r="K2038" i="267"/>
  <c r="K2039" i="267"/>
  <c r="K2040" i="267"/>
  <c r="K2041" i="267"/>
  <c r="K2042" i="267"/>
  <c r="K2043" i="267"/>
  <c r="K2044" i="267"/>
  <c r="K2045" i="267"/>
  <c r="K2046" i="267"/>
  <c r="K2047" i="267"/>
  <c r="K2048" i="267"/>
  <c r="K2049" i="267"/>
  <c r="K2050" i="267"/>
  <c r="K2051" i="267"/>
  <c r="K2052" i="267"/>
  <c r="K2053" i="267"/>
  <c r="K2054" i="267"/>
  <c r="K2055" i="267"/>
  <c r="K2056" i="267"/>
  <c r="K2057" i="267"/>
  <c r="K2058" i="267"/>
  <c r="K2059" i="267"/>
  <c r="K2060" i="267"/>
  <c r="K2061" i="267"/>
  <c r="K2062" i="267"/>
  <c r="K2063" i="267"/>
  <c r="K2064" i="267"/>
  <c r="K2065" i="267"/>
  <c r="K2066" i="267"/>
  <c r="K2067" i="267"/>
  <c r="K2068" i="267"/>
  <c r="K2069" i="267"/>
  <c r="K2070" i="267"/>
  <c r="K2071" i="267"/>
  <c r="K2072" i="267"/>
  <c r="K2073" i="267"/>
  <c r="K2074" i="267"/>
  <c r="K2075" i="267"/>
  <c r="K2076" i="267"/>
  <c r="K2077" i="267"/>
  <c r="K2078" i="267"/>
  <c r="K2079" i="267"/>
  <c r="K2080" i="267"/>
  <c r="K2081" i="267"/>
  <c r="K2082" i="267"/>
  <c r="K2083" i="267"/>
  <c r="K2084" i="267"/>
  <c r="K2085" i="267"/>
  <c r="K2086" i="267"/>
  <c r="K2087" i="267"/>
  <c r="K2088" i="267"/>
  <c r="K2089" i="267"/>
  <c r="K2090" i="267"/>
  <c r="K2091" i="267"/>
  <c r="K2092" i="267"/>
  <c r="K2093" i="267"/>
  <c r="K2094" i="267"/>
  <c r="K2095" i="267"/>
  <c r="K2096" i="267"/>
  <c r="K2097" i="267"/>
  <c r="I11" i="266"/>
  <c r="J11" i="266"/>
  <c r="K11" i="266"/>
  <c r="I12" i="266"/>
  <c r="J12" i="266"/>
  <c r="K12" i="266" s="1"/>
  <c r="I13" i="266"/>
  <c r="J13" i="266"/>
  <c r="K13" i="266" s="1"/>
  <c r="I15" i="266"/>
  <c r="J15" i="266"/>
  <c r="K15" i="266" s="1"/>
  <c r="I16" i="266"/>
  <c r="J16" i="266"/>
  <c r="K16" i="266" s="1"/>
  <c r="I19" i="266"/>
  <c r="J19" i="266"/>
  <c r="K19" i="266" s="1"/>
  <c r="I20" i="266"/>
  <c r="J20" i="266"/>
  <c r="K20" i="266" s="1"/>
  <c r="I21" i="266"/>
  <c r="J21" i="266"/>
  <c r="K21" i="266" s="1"/>
  <c r="I23" i="266"/>
  <c r="J23" i="266"/>
  <c r="K23" i="266" s="1"/>
  <c r="I24" i="266"/>
  <c r="J24" i="266"/>
  <c r="K24" i="266" s="1"/>
  <c r="I27" i="266"/>
  <c r="J27" i="266"/>
  <c r="K27" i="266" s="1"/>
  <c r="I28" i="266"/>
  <c r="J28" i="266"/>
  <c r="K28" i="266" s="1"/>
  <c r="I29" i="266"/>
  <c r="J29" i="266"/>
  <c r="K29" i="266" s="1"/>
  <c r="I31" i="266"/>
  <c r="J31" i="266"/>
  <c r="K31" i="266" s="1"/>
  <c r="I32" i="266"/>
  <c r="J32" i="266"/>
  <c r="K32" i="266" s="1"/>
  <c r="J33" i="266"/>
  <c r="K33" i="266" s="1"/>
  <c r="I35" i="266"/>
  <c r="J35" i="266"/>
  <c r="K35" i="266" s="1"/>
  <c r="I36" i="266"/>
  <c r="J36" i="266"/>
  <c r="K36" i="266" s="1"/>
  <c r="I37" i="266"/>
  <c r="J37" i="266"/>
  <c r="K37" i="266" s="1"/>
  <c r="I39" i="266"/>
  <c r="J39" i="266"/>
  <c r="K39" i="266" s="1"/>
  <c r="I40" i="266"/>
  <c r="J40" i="266"/>
  <c r="K40" i="266" s="1"/>
  <c r="J41" i="266"/>
  <c r="K41" i="266" s="1"/>
  <c r="I43" i="266"/>
  <c r="J43" i="266"/>
  <c r="K43" i="266" s="1"/>
  <c r="I44" i="266"/>
  <c r="J44" i="266"/>
  <c r="K44" i="266" s="1"/>
  <c r="I45" i="266"/>
  <c r="J45" i="266"/>
  <c r="K45" i="266" s="1"/>
  <c r="I47" i="266"/>
  <c r="J47" i="266"/>
  <c r="K47" i="266" s="1"/>
  <c r="I48" i="266"/>
  <c r="J48" i="266"/>
  <c r="K48" i="266" s="1"/>
  <c r="I49" i="266"/>
  <c r="J49" i="266"/>
  <c r="K49" i="266" s="1"/>
  <c r="I51" i="266"/>
  <c r="J51" i="266"/>
  <c r="K51" i="266" s="1"/>
  <c r="I52" i="266"/>
  <c r="J52" i="266"/>
  <c r="K52" i="266" s="1"/>
  <c r="I53" i="266"/>
  <c r="J53" i="266"/>
  <c r="K53" i="266" s="1"/>
  <c r="I55" i="266"/>
  <c r="J55" i="266"/>
  <c r="K55" i="266" s="1"/>
  <c r="I56" i="266"/>
  <c r="J56" i="266"/>
  <c r="K56" i="266" s="1"/>
  <c r="I57" i="266"/>
  <c r="J57" i="266"/>
  <c r="K57" i="266" s="1"/>
  <c r="I59" i="266"/>
  <c r="J59" i="266"/>
  <c r="K59" i="266" s="1"/>
  <c r="I60" i="266"/>
  <c r="J60" i="266"/>
  <c r="K60" i="266" s="1"/>
  <c r="I61" i="266"/>
  <c r="J61" i="266"/>
  <c r="K61" i="266" s="1"/>
  <c r="I63" i="266"/>
  <c r="J63" i="266"/>
  <c r="K63" i="266" s="1"/>
  <c r="I64" i="266"/>
  <c r="J64" i="266"/>
  <c r="K64" i="266" s="1"/>
  <c r="I65" i="266"/>
  <c r="J65" i="266"/>
  <c r="K65" i="266" s="1"/>
  <c r="I67" i="266"/>
  <c r="J67" i="266"/>
  <c r="K67" i="266" s="1"/>
  <c r="I68" i="266"/>
  <c r="J68" i="266"/>
  <c r="K68" i="266" s="1"/>
  <c r="I69" i="266"/>
  <c r="J69" i="266"/>
  <c r="K69" i="266" s="1"/>
  <c r="I70" i="266"/>
  <c r="I71" i="266"/>
  <c r="J71" i="266"/>
  <c r="K71" i="266" s="1"/>
  <c r="I72" i="266"/>
  <c r="J72" i="266"/>
  <c r="K72" i="266" s="1"/>
  <c r="I73" i="266"/>
  <c r="J73" i="266"/>
  <c r="K73" i="266" s="1"/>
  <c r="I75" i="266"/>
  <c r="J75" i="266"/>
  <c r="K75" i="266" s="1"/>
  <c r="I76" i="266"/>
  <c r="J76" i="266"/>
  <c r="K76" i="266" s="1"/>
  <c r="I77" i="266"/>
  <c r="J77" i="266"/>
  <c r="K77" i="266" s="1"/>
  <c r="I79" i="266"/>
  <c r="J79" i="266"/>
  <c r="K79" i="266" s="1"/>
  <c r="I80" i="266"/>
  <c r="J80" i="266"/>
  <c r="K80" i="266" s="1"/>
  <c r="I81" i="266"/>
  <c r="J81" i="266"/>
  <c r="K81" i="266" s="1"/>
  <c r="I83" i="266"/>
  <c r="J83" i="266"/>
  <c r="K83" i="266" s="1"/>
  <c r="I84" i="266"/>
  <c r="J84" i="266"/>
  <c r="K84" i="266" s="1"/>
  <c r="I85" i="266"/>
  <c r="J85" i="266"/>
  <c r="K85" i="266" s="1"/>
  <c r="J86" i="266"/>
  <c r="K86" i="266" s="1"/>
  <c r="I87" i="266"/>
  <c r="J87" i="266"/>
  <c r="K87" i="266" s="1"/>
  <c r="I88" i="266"/>
  <c r="J88" i="266"/>
  <c r="K88" i="266" s="1"/>
  <c r="I89" i="266"/>
  <c r="J89" i="266"/>
  <c r="K89" i="266" s="1"/>
  <c r="I91" i="266"/>
  <c r="J91" i="266"/>
  <c r="K91" i="266" s="1"/>
  <c r="I92" i="266"/>
  <c r="J92" i="266"/>
  <c r="K92" i="266" s="1"/>
  <c r="I93" i="266"/>
  <c r="J93" i="266"/>
  <c r="K93" i="266" s="1"/>
  <c r="I95" i="266"/>
  <c r="J95" i="266"/>
  <c r="K95" i="266" s="1"/>
  <c r="I96" i="266"/>
  <c r="J96" i="266"/>
  <c r="K96" i="266" s="1"/>
  <c r="I97" i="266"/>
  <c r="J97" i="266"/>
  <c r="K97" i="266" s="1"/>
  <c r="I99" i="266"/>
  <c r="J99" i="266"/>
  <c r="K99" i="266" s="1"/>
  <c r="I100" i="266"/>
  <c r="J100" i="266"/>
  <c r="K100" i="266" s="1"/>
  <c r="I101" i="266"/>
  <c r="J101" i="266"/>
  <c r="K101" i="266" s="1"/>
  <c r="I102" i="266"/>
  <c r="I103" i="266"/>
  <c r="J103" i="266"/>
  <c r="K103" i="266" s="1"/>
  <c r="I104" i="266"/>
  <c r="J104" i="266"/>
  <c r="K104" i="266" s="1"/>
  <c r="I105" i="266"/>
  <c r="J105" i="266"/>
  <c r="K105" i="266" s="1"/>
  <c r="I106" i="266"/>
  <c r="I107" i="266"/>
  <c r="J107" i="266"/>
  <c r="K107" i="266" s="1"/>
  <c r="I108" i="266"/>
  <c r="J108" i="266"/>
  <c r="K108" i="266" s="1"/>
  <c r="I109" i="266"/>
  <c r="J109" i="266"/>
  <c r="K109" i="266" s="1"/>
  <c r="I110" i="266"/>
  <c r="I111" i="266"/>
  <c r="J111" i="266"/>
  <c r="K111" i="266" s="1"/>
  <c r="I112" i="266"/>
  <c r="J112" i="266"/>
  <c r="K112" i="266" s="1"/>
  <c r="I113" i="266"/>
  <c r="J113" i="266"/>
  <c r="K113" i="266" s="1"/>
  <c r="I114" i="266"/>
  <c r="I115" i="266"/>
  <c r="J115" i="266"/>
  <c r="K115" i="266" s="1"/>
  <c r="I116" i="266"/>
  <c r="J116" i="266"/>
  <c r="K116" i="266" s="1"/>
  <c r="I117" i="266"/>
  <c r="J117" i="266"/>
  <c r="K117" i="266" s="1"/>
  <c r="I118" i="266"/>
  <c r="I119" i="266"/>
  <c r="J119" i="266"/>
  <c r="K119" i="266" s="1"/>
  <c r="I120" i="266"/>
  <c r="J120" i="266"/>
  <c r="K120" i="266" s="1"/>
  <c r="I121" i="266"/>
  <c r="J121" i="266"/>
  <c r="K121" i="266" s="1"/>
  <c r="I122" i="266"/>
  <c r="I123" i="266"/>
  <c r="J123" i="266"/>
  <c r="K123" i="266" s="1"/>
  <c r="I124" i="266"/>
  <c r="J124" i="266"/>
  <c r="K124" i="266" s="1"/>
  <c r="I125" i="266"/>
  <c r="J125" i="266"/>
  <c r="K125" i="266" s="1"/>
  <c r="I126" i="266"/>
  <c r="I127" i="266"/>
  <c r="J127" i="266"/>
  <c r="K127" i="266" s="1"/>
  <c r="I128" i="266"/>
  <c r="J128" i="266"/>
  <c r="K128" i="266" s="1"/>
  <c r="I129" i="266"/>
  <c r="J129" i="266"/>
  <c r="K129" i="266" s="1"/>
  <c r="I130" i="266"/>
  <c r="I131" i="266"/>
  <c r="J131" i="266"/>
  <c r="K131" i="266" s="1"/>
  <c r="I132" i="266"/>
  <c r="J132" i="266"/>
  <c r="K132" i="266" s="1"/>
  <c r="I133" i="266"/>
  <c r="J133" i="266"/>
  <c r="K133" i="266" s="1"/>
  <c r="I134" i="266"/>
  <c r="I135" i="266"/>
  <c r="J135" i="266"/>
  <c r="K135" i="266" s="1"/>
  <c r="I136" i="266"/>
  <c r="J136" i="266"/>
  <c r="K136" i="266" s="1"/>
  <c r="I137" i="266"/>
  <c r="J137" i="266"/>
  <c r="K137" i="266" s="1"/>
  <c r="I138" i="266"/>
  <c r="I139" i="266"/>
  <c r="J139" i="266"/>
  <c r="K139" i="266" s="1"/>
  <c r="I140" i="266"/>
  <c r="J140" i="266"/>
  <c r="K140" i="266" s="1"/>
  <c r="I141" i="266"/>
  <c r="J141" i="266"/>
  <c r="K141" i="266" s="1"/>
  <c r="I142" i="266"/>
  <c r="I143" i="266"/>
  <c r="J143" i="266"/>
  <c r="K143" i="266" s="1"/>
  <c r="I144" i="266"/>
  <c r="J144" i="266"/>
  <c r="K144" i="266" s="1"/>
  <c r="I145" i="266"/>
  <c r="J145" i="266"/>
  <c r="K145" i="266" s="1"/>
  <c r="I146" i="266"/>
  <c r="I147" i="266"/>
  <c r="J147" i="266"/>
  <c r="K147" i="266" s="1"/>
  <c r="I148" i="266"/>
  <c r="J148" i="266"/>
  <c r="K148" i="266" s="1"/>
  <c r="I149" i="266"/>
  <c r="J149" i="266"/>
  <c r="K149" i="266" s="1"/>
  <c r="I150" i="266"/>
  <c r="I151" i="266"/>
  <c r="J151" i="266"/>
  <c r="K151" i="266" s="1"/>
  <c r="I152" i="266"/>
  <c r="J152" i="266"/>
  <c r="K152" i="266" s="1"/>
  <c r="I153" i="266"/>
  <c r="J153" i="266"/>
  <c r="K153" i="266" s="1"/>
  <c r="I154" i="266"/>
  <c r="J154" i="266"/>
  <c r="K154" i="266" s="1"/>
  <c r="I155" i="266"/>
  <c r="J155" i="266"/>
  <c r="K155" i="266" s="1"/>
  <c r="I156" i="266"/>
  <c r="J156" i="266"/>
  <c r="K156" i="266" s="1"/>
  <c r="I157" i="266"/>
  <c r="J157" i="266"/>
  <c r="K157" i="266" s="1"/>
  <c r="I158" i="266"/>
  <c r="J158" i="266"/>
  <c r="K158" i="266" s="1"/>
  <c r="I159" i="266"/>
  <c r="J159" i="266"/>
  <c r="K159" i="266" s="1"/>
  <c r="I160" i="266"/>
  <c r="J160" i="266"/>
  <c r="K160" i="266" s="1"/>
  <c r="I161" i="266"/>
  <c r="J161" i="266"/>
  <c r="K161" i="266" s="1"/>
  <c r="I162" i="266"/>
  <c r="I163" i="266"/>
  <c r="J163" i="266"/>
  <c r="K163" i="266" s="1"/>
  <c r="I164" i="266"/>
  <c r="J164" i="266"/>
  <c r="K164" i="266" s="1"/>
  <c r="I165" i="266"/>
  <c r="J165" i="266"/>
  <c r="K165" i="266" s="1"/>
  <c r="I166" i="266"/>
  <c r="I167" i="266"/>
  <c r="J167" i="266"/>
  <c r="K167" i="266" s="1"/>
  <c r="J170" i="266"/>
  <c r="J171" i="266"/>
  <c r="J172" i="266"/>
  <c r="M10" i="265"/>
  <c r="N10" i="265"/>
  <c r="Q10" i="265" s="1"/>
  <c r="O10" i="265"/>
  <c r="M11" i="265"/>
  <c r="N11" i="265"/>
  <c r="O11" i="265"/>
  <c r="M12" i="265"/>
  <c r="N12" i="265"/>
  <c r="O12" i="265"/>
  <c r="M13" i="265"/>
  <c r="N13" i="265"/>
  <c r="O13" i="265"/>
  <c r="M14" i="265"/>
  <c r="N14" i="265"/>
  <c r="Q14" i="265" s="1"/>
  <c r="O14" i="265"/>
  <c r="M15" i="265"/>
  <c r="N15" i="265"/>
  <c r="O15" i="265"/>
  <c r="J16" i="265"/>
  <c r="L16" i="265" s="1"/>
  <c r="M16" i="265"/>
  <c r="N16" i="265"/>
  <c r="O16" i="265"/>
  <c r="M17" i="265"/>
  <c r="N17" i="265"/>
  <c r="O17" i="265"/>
  <c r="M18" i="265"/>
  <c r="N18" i="265"/>
  <c r="Q18" i="265" s="1"/>
  <c r="O18" i="265"/>
  <c r="M19" i="265"/>
  <c r="N19" i="265"/>
  <c r="Q19" i="265" s="1"/>
  <c r="O19" i="265"/>
  <c r="J20" i="265"/>
  <c r="L20" i="265" s="1"/>
  <c r="M20" i="265"/>
  <c r="N20" i="265"/>
  <c r="Q20" i="265" s="1"/>
  <c r="O20" i="265"/>
  <c r="M21" i="265"/>
  <c r="N21" i="265"/>
  <c r="O21" i="265"/>
  <c r="M22" i="265"/>
  <c r="N22" i="265"/>
  <c r="Q22" i="265" s="1"/>
  <c r="O22" i="265"/>
  <c r="P22" i="265" s="1"/>
  <c r="M23" i="265"/>
  <c r="N23" i="265"/>
  <c r="O23" i="265"/>
  <c r="M24" i="265"/>
  <c r="N24" i="265"/>
  <c r="Q24" i="265" s="1"/>
  <c r="O24" i="265"/>
  <c r="M25" i="265"/>
  <c r="N25" i="265"/>
  <c r="O25" i="265"/>
  <c r="M26" i="265"/>
  <c r="N26" i="265"/>
  <c r="Q26" i="265" s="1"/>
  <c r="O26" i="265"/>
  <c r="P26" i="265" s="1"/>
  <c r="M27" i="265"/>
  <c r="N27" i="265"/>
  <c r="O27" i="265"/>
  <c r="M28" i="265"/>
  <c r="N28" i="265"/>
  <c r="O28" i="265"/>
  <c r="J29" i="265"/>
  <c r="L29" i="265" s="1"/>
  <c r="M29" i="265"/>
  <c r="N29" i="265"/>
  <c r="O29" i="265"/>
  <c r="M30" i="265"/>
  <c r="N30" i="265"/>
  <c r="Q30" i="265" s="1"/>
  <c r="O30" i="265"/>
  <c r="J31" i="265"/>
  <c r="L31" i="265" s="1"/>
  <c r="M31" i="265"/>
  <c r="N31" i="265"/>
  <c r="Q31" i="265" s="1"/>
  <c r="O31" i="265"/>
  <c r="M32" i="265"/>
  <c r="N32" i="265"/>
  <c r="O32" i="265"/>
  <c r="J33" i="265"/>
  <c r="L33" i="265" s="1"/>
  <c r="M33" i="265"/>
  <c r="N33" i="265"/>
  <c r="O33" i="265"/>
  <c r="J34" i="265"/>
  <c r="L34" i="265" s="1"/>
  <c r="M34" i="265"/>
  <c r="N34" i="265"/>
  <c r="Q34" i="265" s="1"/>
  <c r="O34" i="265"/>
  <c r="J35" i="265"/>
  <c r="L35" i="265" s="1"/>
  <c r="M35" i="265"/>
  <c r="N35" i="265"/>
  <c r="Q35" i="265" s="1"/>
  <c r="O35" i="265"/>
  <c r="J36" i="265"/>
  <c r="L36" i="265" s="1"/>
  <c r="M36" i="265"/>
  <c r="N36" i="265"/>
  <c r="O36" i="265"/>
  <c r="J37" i="265"/>
  <c r="L37" i="265" s="1"/>
  <c r="M37" i="265"/>
  <c r="N37" i="265"/>
  <c r="O37" i="265"/>
  <c r="J38" i="265"/>
  <c r="L38" i="265" s="1"/>
  <c r="M38" i="265"/>
  <c r="N38" i="265"/>
  <c r="Q38" i="265" s="1"/>
  <c r="O38" i="265"/>
  <c r="J39" i="265"/>
  <c r="L39" i="265" s="1"/>
  <c r="M39" i="265"/>
  <c r="N39" i="265"/>
  <c r="O39" i="265"/>
  <c r="J40" i="265"/>
  <c r="L40" i="265" s="1"/>
  <c r="M40" i="265"/>
  <c r="N40" i="265"/>
  <c r="Q40" i="265" s="1"/>
  <c r="O40" i="265"/>
  <c r="J41" i="265"/>
  <c r="L41" i="265" s="1"/>
  <c r="M41" i="265"/>
  <c r="N41" i="265"/>
  <c r="O41" i="265"/>
  <c r="J42" i="265"/>
  <c r="L42" i="265" s="1"/>
  <c r="M42" i="265"/>
  <c r="N42" i="265"/>
  <c r="Q42" i="265" s="1"/>
  <c r="O42" i="265"/>
  <c r="J43" i="265"/>
  <c r="L43" i="265" s="1"/>
  <c r="M43" i="265"/>
  <c r="N43" i="265"/>
  <c r="O43" i="265"/>
  <c r="M44" i="265"/>
  <c r="N44" i="265"/>
  <c r="O44" i="265"/>
  <c r="M45" i="265"/>
  <c r="N45" i="265"/>
  <c r="O45" i="265"/>
  <c r="M46" i="265"/>
  <c r="N46" i="265"/>
  <c r="Q46" i="265" s="1"/>
  <c r="O46" i="265"/>
  <c r="J47" i="265"/>
  <c r="L47" i="265" s="1"/>
  <c r="M47" i="265"/>
  <c r="N47" i="265"/>
  <c r="Q47" i="265" s="1"/>
  <c r="O47" i="265"/>
  <c r="J48" i="265"/>
  <c r="L48" i="265" s="1"/>
  <c r="M48" i="265"/>
  <c r="N48" i="265"/>
  <c r="O48" i="265"/>
  <c r="J49" i="265"/>
  <c r="L49" i="265" s="1"/>
  <c r="M49" i="265"/>
  <c r="N49" i="265"/>
  <c r="O49" i="265"/>
  <c r="J50" i="265"/>
  <c r="L50" i="265" s="1"/>
  <c r="M50" i="265"/>
  <c r="N50" i="265"/>
  <c r="Q50" i="265" s="1"/>
  <c r="O50" i="265"/>
  <c r="J51" i="265"/>
  <c r="L51" i="265" s="1"/>
  <c r="M51" i="265"/>
  <c r="N51" i="265"/>
  <c r="Q51" i="265" s="1"/>
  <c r="O51" i="265"/>
  <c r="P51" i="265" s="1"/>
  <c r="J52" i="265"/>
  <c r="L52" i="265" s="1"/>
  <c r="M52" i="265"/>
  <c r="N52" i="265"/>
  <c r="O52" i="265"/>
  <c r="J53" i="265"/>
  <c r="L53" i="265" s="1"/>
  <c r="M53" i="265"/>
  <c r="N53" i="265"/>
  <c r="O53" i="265"/>
  <c r="J54" i="265"/>
  <c r="L54" i="265" s="1"/>
  <c r="M54" i="265"/>
  <c r="N54" i="265"/>
  <c r="Q54" i="265" s="1"/>
  <c r="O54" i="265"/>
  <c r="J55" i="265"/>
  <c r="L55" i="265"/>
  <c r="M55" i="265"/>
  <c r="N55" i="265"/>
  <c r="Q55" i="265" s="1"/>
  <c r="O55" i="265"/>
  <c r="J56" i="265"/>
  <c r="L56" i="265" s="1"/>
  <c r="M56" i="265"/>
  <c r="N56" i="265"/>
  <c r="Q56" i="265" s="1"/>
  <c r="O56" i="265"/>
  <c r="J57" i="265"/>
  <c r="L57" i="265" s="1"/>
  <c r="M57" i="265"/>
  <c r="N57" i="265"/>
  <c r="O57" i="265"/>
  <c r="J58" i="265"/>
  <c r="L58" i="265" s="1"/>
  <c r="M58" i="265"/>
  <c r="N58" i="265"/>
  <c r="Q58" i="265" s="1"/>
  <c r="O58" i="265"/>
  <c r="J59" i="265"/>
  <c r="L59" i="265" s="1"/>
  <c r="M59" i="265"/>
  <c r="N59" i="265"/>
  <c r="O59" i="265"/>
  <c r="J60" i="265"/>
  <c r="L60" i="265" s="1"/>
  <c r="M60" i="265"/>
  <c r="N60" i="265"/>
  <c r="O60" i="265"/>
  <c r="J61" i="265"/>
  <c r="L61" i="265" s="1"/>
  <c r="M61" i="265"/>
  <c r="N61" i="265"/>
  <c r="Q61" i="265" s="1"/>
  <c r="O61" i="265"/>
  <c r="J62" i="265"/>
  <c r="L62" i="265" s="1"/>
  <c r="M62" i="265"/>
  <c r="N62" i="265"/>
  <c r="Q62" i="265" s="1"/>
  <c r="O62" i="265"/>
  <c r="J63" i="265"/>
  <c r="L63" i="265" s="1"/>
  <c r="M63" i="265"/>
  <c r="N63" i="265"/>
  <c r="O63" i="265"/>
  <c r="J64" i="265"/>
  <c r="L64" i="265" s="1"/>
  <c r="M64" i="265"/>
  <c r="N64" i="265"/>
  <c r="O64" i="265"/>
  <c r="J65" i="265"/>
  <c r="L65" i="265" s="1"/>
  <c r="M65" i="265"/>
  <c r="N65" i="265"/>
  <c r="Q65" i="265" s="1"/>
  <c r="O65" i="265"/>
  <c r="M66" i="265"/>
  <c r="N66" i="265"/>
  <c r="Q66" i="265" s="1"/>
  <c r="O66" i="265"/>
  <c r="J67" i="265"/>
  <c r="L67" i="265" s="1"/>
  <c r="M67" i="265"/>
  <c r="N67" i="265"/>
  <c r="Q67" i="265" s="1"/>
  <c r="O67" i="265"/>
  <c r="J68" i="265"/>
  <c r="L68" i="265" s="1"/>
  <c r="M68" i="265"/>
  <c r="N68" i="265"/>
  <c r="O68" i="265"/>
  <c r="J69" i="265"/>
  <c r="L69" i="265" s="1"/>
  <c r="M69" i="265"/>
  <c r="N69" i="265"/>
  <c r="O69" i="265"/>
  <c r="J70" i="265"/>
  <c r="L70" i="265" s="1"/>
  <c r="M70" i="265"/>
  <c r="N70" i="265"/>
  <c r="Q70" i="265" s="1"/>
  <c r="O70" i="265"/>
  <c r="J71" i="265"/>
  <c r="L71" i="265" s="1"/>
  <c r="M71" i="265"/>
  <c r="N71" i="265"/>
  <c r="Q71" i="265" s="1"/>
  <c r="O71" i="265"/>
  <c r="J72" i="265"/>
  <c r="L72" i="265" s="1"/>
  <c r="M72" i="265"/>
  <c r="N72" i="265"/>
  <c r="Q72" i="265" s="1"/>
  <c r="O72" i="265"/>
  <c r="J73" i="265"/>
  <c r="L73" i="265" s="1"/>
  <c r="M73" i="265"/>
  <c r="N73" i="265"/>
  <c r="Q73" i="265" s="1"/>
  <c r="O73" i="265"/>
  <c r="J74" i="265"/>
  <c r="L74" i="265" s="1"/>
  <c r="M74" i="265"/>
  <c r="N74" i="265"/>
  <c r="O74" i="265"/>
  <c r="J75" i="265"/>
  <c r="L75" i="265" s="1"/>
  <c r="M75" i="265"/>
  <c r="N75" i="265"/>
  <c r="Q75" i="265" s="1"/>
  <c r="O75" i="265"/>
  <c r="M5" i="264"/>
  <c r="N5" i="264"/>
  <c r="M6" i="264"/>
  <c r="N6" i="264"/>
  <c r="M7" i="264"/>
  <c r="N7" i="264"/>
  <c r="M8" i="264"/>
  <c r="N8" i="264"/>
  <c r="M9" i="264"/>
  <c r="N9" i="264"/>
  <c r="M10" i="264"/>
  <c r="N10" i="264"/>
  <c r="M11" i="264"/>
  <c r="N11" i="264"/>
  <c r="M12" i="264"/>
  <c r="N12" i="264"/>
  <c r="M13" i="264"/>
  <c r="N13" i="264"/>
  <c r="M14" i="264"/>
  <c r="N14" i="264"/>
  <c r="M15" i="264"/>
  <c r="N15" i="264"/>
  <c r="M16" i="264"/>
  <c r="N16" i="264"/>
  <c r="M17" i="264"/>
  <c r="N17" i="264"/>
  <c r="M18" i="264"/>
  <c r="N18" i="264"/>
  <c r="M19" i="264"/>
  <c r="N19" i="264"/>
  <c r="M20" i="264"/>
  <c r="N20" i="264"/>
  <c r="M21" i="264"/>
  <c r="N21" i="264"/>
  <c r="M22" i="264"/>
  <c r="N22" i="264"/>
  <c r="M23" i="264"/>
  <c r="N23" i="264"/>
  <c r="M24" i="264"/>
  <c r="N24" i="264"/>
  <c r="M25" i="264"/>
  <c r="N25" i="264"/>
  <c r="M26" i="264"/>
  <c r="N26" i="264"/>
  <c r="M27" i="264"/>
  <c r="N27" i="264"/>
  <c r="M28" i="264"/>
  <c r="N28" i="264"/>
  <c r="M29" i="264"/>
  <c r="N29" i="264"/>
  <c r="M30" i="264"/>
  <c r="N30" i="264"/>
  <c r="M31" i="264"/>
  <c r="N31" i="264"/>
  <c r="M32" i="264"/>
  <c r="N32" i="264"/>
  <c r="M33" i="264"/>
  <c r="N33" i="264"/>
  <c r="M34" i="264"/>
  <c r="N34" i="264"/>
  <c r="M35" i="264"/>
  <c r="N35" i="264"/>
  <c r="M36" i="264"/>
  <c r="N36" i="264"/>
  <c r="M37" i="264"/>
  <c r="N37" i="264"/>
  <c r="M38" i="264"/>
  <c r="N38" i="264"/>
  <c r="M39" i="264"/>
  <c r="N39" i="264"/>
  <c r="M40" i="264"/>
  <c r="N40" i="264"/>
  <c r="M41" i="264"/>
  <c r="N41" i="264"/>
  <c r="M42" i="264"/>
  <c r="N42" i="264"/>
  <c r="M43" i="264"/>
  <c r="N43" i="264"/>
  <c r="M44" i="264"/>
  <c r="N44" i="264"/>
  <c r="M45" i="264"/>
  <c r="N45" i="264"/>
  <c r="M46" i="264"/>
  <c r="N46" i="264"/>
  <c r="M47" i="264"/>
  <c r="N47" i="264"/>
  <c r="M48" i="264"/>
  <c r="N48" i="264"/>
  <c r="M49" i="264"/>
  <c r="N49" i="264"/>
  <c r="M50" i="264"/>
  <c r="N50" i="264"/>
  <c r="M51" i="264"/>
  <c r="N51" i="264"/>
  <c r="M52" i="264"/>
  <c r="N52" i="264"/>
  <c r="M53" i="264"/>
  <c r="N53" i="264"/>
  <c r="M54" i="264"/>
  <c r="N54" i="264"/>
  <c r="M55" i="264"/>
  <c r="N55" i="264"/>
  <c r="M56" i="264"/>
  <c r="N56" i="264"/>
  <c r="M57" i="264"/>
  <c r="N57" i="264"/>
  <c r="M58" i="264"/>
  <c r="N58" i="264"/>
  <c r="M59" i="264"/>
  <c r="N59" i="264"/>
  <c r="M60" i="264"/>
  <c r="N60" i="264"/>
  <c r="M61" i="264"/>
  <c r="N61" i="264"/>
  <c r="M62" i="264"/>
  <c r="N62" i="264"/>
  <c r="M63" i="264"/>
  <c r="N63" i="264"/>
  <c r="N65" i="264"/>
  <c r="B68" i="264"/>
  <c r="H9" i="63" s="1"/>
  <c r="D68" i="264"/>
  <c r="F9" i="63" s="1"/>
  <c r="F11" i="64" s="1"/>
  <c r="F68" i="264"/>
  <c r="G9" i="63" s="1"/>
  <c r="H68" i="264"/>
  <c r="E9" i="63" s="1"/>
  <c r="E11" i="64" s="1"/>
  <c r="J68" i="264"/>
  <c r="D9" i="63" s="1"/>
  <c r="D11" i="64" s="1"/>
  <c r="K68" i="264"/>
  <c r="L68" i="264"/>
  <c r="B70" i="264"/>
  <c r="C70" i="264"/>
  <c r="E70" i="264"/>
  <c r="G70" i="264"/>
  <c r="I70" i="264"/>
  <c r="J90" i="266" l="1"/>
  <c r="K90" i="266" s="1"/>
  <c r="I74" i="266"/>
  <c r="I50" i="266"/>
  <c r="P39" i="265"/>
  <c r="J94" i="266"/>
  <c r="K94" i="266" s="1"/>
  <c r="I78" i="266"/>
  <c r="I62" i="266"/>
  <c r="J25" i="266"/>
  <c r="K25" i="266" s="1"/>
  <c r="J17" i="266"/>
  <c r="K17" i="266" s="1"/>
  <c r="P75" i="265"/>
  <c r="J98" i="266"/>
  <c r="K98" i="266" s="1"/>
  <c r="I82" i="266"/>
  <c r="I66" i="266"/>
  <c r="I54" i="266"/>
  <c r="P43" i="265"/>
  <c r="J58" i="266"/>
  <c r="K58" i="266" s="1"/>
  <c r="P68" i="265"/>
  <c r="P36" i="265"/>
  <c r="P35" i="265"/>
  <c r="P27" i="265"/>
  <c r="P18" i="265"/>
  <c r="P10" i="265"/>
  <c r="P15" i="265"/>
  <c r="P63" i="265"/>
  <c r="Q68" i="265"/>
  <c r="P54" i="265"/>
  <c r="P46" i="265"/>
  <c r="P32" i="265"/>
  <c r="P38" i="265"/>
  <c r="P31" i="265"/>
  <c r="M70" i="264"/>
  <c r="O5" i="264" s="1"/>
  <c r="P74" i="265"/>
  <c r="P71" i="265"/>
  <c r="P67" i="265"/>
  <c r="P64" i="265"/>
  <c r="Q63" i="265"/>
  <c r="P59" i="265"/>
  <c r="P58" i="265"/>
  <c r="P56" i="265"/>
  <c r="P50" i="265"/>
  <c r="P44" i="265"/>
  <c r="Q43" i="265"/>
  <c r="P23" i="265"/>
  <c r="P16" i="265"/>
  <c r="Q15" i="265"/>
  <c r="P11" i="265"/>
  <c r="G11" i="64"/>
  <c r="E21" i="236"/>
  <c r="E166" i="73"/>
  <c r="P47" i="265"/>
  <c r="P19" i="265"/>
  <c r="J10" i="266"/>
  <c r="K10" i="266" s="1"/>
  <c r="P60" i="265"/>
  <c r="Q59" i="265"/>
  <c r="P57" i="265"/>
  <c r="P28" i="265"/>
  <c r="Q27" i="265"/>
  <c r="P12" i="265"/>
  <c r="Q11" i="265"/>
  <c r="I10" i="266"/>
  <c r="P70" i="265"/>
  <c r="Q64" i="265"/>
  <c r="Q44" i="265"/>
  <c r="P40" i="265"/>
  <c r="Q39" i="265"/>
  <c r="P24" i="265"/>
  <c r="Q23" i="265"/>
  <c r="Q16" i="265"/>
  <c r="P69" i="265"/>
  <c r="P72" i="265"/>
  <c r="P55" i="265"/>
  <c r="P52" i="265"/>
  <c r="P48" i="265"/>
  <c r="P42" i="265"/>
  <c r="P34" i="265"/>
  <c r="P30" i="265"/>
  <c r="Q28" i="265"/>
  <c r="P20" i="265"/>
  <c r="P14" i="265"/>
  <c r="Q12" i="265"/>
  <c r="O7" i="264"/>
  <c r="O8" i="264"/>
  <c r="O11" i="264"/>
  <c r="O12" i="264"/>
  <c r="O15" i="264"/>
  <c r="O16" i="264"/>
  <c r="O19" i="264"/>
  <c r="O20" i="264"/>
  <c r="O23" i="264"/>
  <c r="O24" i="264"/>
  <c r="O27" i="264"/>
  <c r="O28" i="264"/>
  <c r="O31" i="264"/>
  <c r="O32" i="264"/>
  <c r="O35" i="264"/>
  <c r="O36" i="264"/>
  <c r="O39" i="264"/>
  <c r="O40" i="264"/>
  <c r="O43" i="264"/>
  <c r="O44" i="264"/>
  <c r="O47" i="264"/>
  <c r="O48" i="264"/>
  <c r="O51" i="264"/>
  <c r="O52" i="264"/>
  <c r="O55" i="264"/>
  <c r="O56" i="264"/>
  <c r="O59" i="264"/>
  <c r="O60" i="264"/>
  <c r="O63" i="264"/>
  <c r="B71" i="264"/>
  <c r="G71" i="264"/>
  <c r="P53" i="265"/>
  <c r="Q53" i="265"/>
  <c r="P37" i="265"/>
  <c r="Q37" i="265"/>
  <c r="P13" i="265"/>
  <c r="Q13" i="265"/>
  <c r="P41" i="265"/>
  <c r="Q41" i="265"/>
  <c r="P25" i="265"/>
  <c r="Q25" i="265"/>
  <c r="Q74" i="265"/>
  <c r="P73" i="265"/>
  <c r="Q60" i="265"/>
  <c r="Q57" i="265"/>
  <c r="Q48" i="265"/>
  <c r="P45" i="265"/>
  <c r="Q45" i="265"/>
  <c r="Q32" i="265"/>
  <c r="P29" i="265"/>
  <c r="Q29" i="265"/>
  <c r="P21" i="265"/>
  <c r="Q21" i="265"/>
  <c r="N68" i="264"/>
  <c r="P52" i="264" s="1"/>
  <c r="P66" i="265"/>
  <c r="P65" i="265"/>
  <c r="Q69" i="265"/>
  <c r="P62" i="265"/>
  <c r="P61" i="265"/>
  <c r="Q52" i="265"/>
  <c r="P49" i="265"/>
  <c r="Q49" i="265"/>
  <c r="Q36" i="265"/>
  <c r="P33" i="265"/>
  <c r="Q33" i="265"/>
  <c r="P17" i="265"/>
  <c r="Q17" i="265"/>
  <c r="J46" i="266"/>
  <c r="K46" i="266" s="1"/>
  <c r="J42" i="266"/>
  <c r="K42" i="266" s="1"/>
  <c r="J38" i="266"/>
  <c r="K38" i="266" s="1"/>
  <c r="J34" i="266"/>
  <c r="K34" i="266" s="1"/>
  <c r="J30" i="266"/>
  <c r="K30" i="266" s="1"/>
  <c r="J26" i="266"/>
  <c r="K26" i="266" s="1"/>
  <c r="J22" i="266"/>
  <c r="K22" i="266" s="1"/>
  <c r="J18" i="266"/>
  <c r="K18" i="266" s="1"/>
  <c r="J14" i="266"/>
  <c r="K14" i="266" s="1"/>
  <c r="E71" i="264" l="1"/>
  <c r="C71" i="264"/>
  <c r="O62" i="264"/>
  <c r="O58" i="264"/>
  <c r="O54" i="264"/>
  <c r="O50" i="264"/>
  <c r="O46" i="264"/>
  <c r="O42" i="264"/>
  <c r="O38" i="264"/>
  <c r="O34" i="264"/>
  <c r="O30" i="264"/>
  <c r="O26" i="264"/>
  <c r="O22" i="264"/>
  <c r="O18" i="264"/>
  <c r="O14" i="264"/>
  <c r="O10" i="264"/>
  <c r="O6" i="264"/>
  <c r="I71" i="264"/>
  <c r="M71" i="264" s="1"/>
  <c r="O61" i="264"/>
  <c r="O57" i="264"/>
  <c r="O53" i="264"/>
  <c r="O49" i="264"/>
  <c r="O45" i="264"/>
  <c r="O41" i="264"/>
  <c r="O37" i="264"/>
  <c r="O33" i="264"/>
  <c r="O29" i="264"/>
  <c r="O25" i="264"/>
  <c r="O21" i="264"/>
  <c r="O17" i="264"/>
  <c r="O13" i="264"/>
  <c r="O9" i="264"/>
  <c r="O70" i="264" s="1"/>
  <c r="P7" i="264"/>
  <c r="P15" i="264"/>
  <c r="P23" i="264"/>
  <c r="P31" i="264"/>
  <c r="P39" i="264"/>
  <c r="P47" i="264"/>
  <c r="P55" i="264"/>
  <c r="P63" i="264"/>
  <c r="P28" i="264"/>
  <c r="P44" i="264"/>
  <c r="P58" i="264"/>
  <c r="P8" i="264"/>
  <c r="P18" i="264"/>
  <c r="P30" i="264"/>
  <c r="P48" i="264"/>
  <c r="B69" i="264"/>
  <c r="P9" i="264"/>
  <c r="P17" i="264"/>
  <c r="P25" i="264"/>
  <c r="P33" i="264"/>
  <c r="P41" i="264"/>
  <c r="P49" i="264"/>
  <c r="P57" i="264"/>
  <c r="P32" i="264"/>
  <c r="P46" i="264"/>
  <c r="P62" i="264"/>
  <c r="P10" i="264"/>
  <c r="P20" i="264"/>
  <c r="P34" i="264"/>
  <c r="P65" i="264"/>
  <c r="L69" i="264"/>
  <c r="D69" i="264"/>
  <c r="K69" i="264"/>
  <c r="F69" i="264"/>
  <c r="P68" i="264"/>
  <c r="H69" i="264"/>
  <c r="P5" i="264"/>
  <c r="P13" i="264"/>
  <c r="P21" i="264"/>
  <c r="P29" i="264"/>
  <c r="P37" i="264"/>
  <c r="P45" i="264"/>
  <c r="P53" i="264"/>
  <c r="P61" i="264"/>
  <c r="P24" i="264"/>
  <c r="P40" i="264"/>
  <c r="P54" i="264"/>
  <c r="P6" i="264"/>
  <c r="P14" i="264"/>
  <c r="P26" i="264"/>
  <c r="P42" i="264"/>
  <c r="P60" i="264"/>
  <c r="P11" i="264"/>
  <c r="P19" i="264"/>
  <c r="P27" i="264"/>
  <c r="P35" i="264"/>
  <c r="P43" i="264"/>
  <c r="P51" i="264"/>
  <c r="P59" i="264"/>
  <c r="P16" i="264"/>
  <c r="P36" i="264"/>
  <c r="P50" i="264"/>
  <c r="J69" i="264"/>
  <c r="P12" i="264"/>
  <c r="P22" i="264"/>
  <c r="P38" i="264"/>
  <c r="P56" i="264"/>
  <c r="N24" i="4"/>
  <c r="N18" i="4"/>
  <c r="N17" i="4"/>
  <c r="N69" i="264" l="1"/>
  <c r="B77" i="73"/>
  <c r="B60" i="73"/>
  <c r="K212" i="73"/>
  <c r="K196" i="73"/>
  <c r="K199" i="73" s="1"/>
  <c r="K202" i="73" s="1"/>
  <c r="K205" i="73" s="1"/>
  <c r="K195" i="73"/>
  <c r="K198" i="73" s="1"/>
  <c r="K201" i="73" s="1"/>
  <c r="K204" i="73" s="1"/>
  <c r="J70" i="73"/>
  <c r="J71" i="73"/>
  <c r="J72" i="73"/>
  <c r="J73" i="73"/>
  <c r="J74" i="73"/>
  <c r="J69" i="73"/>
  <c r="B205" i="73"/>
  <c r="B230" i="73" s="1"/>
  <c r="B204" i="73"/>
  <c r="B229" i="73" s="1"/>
  <c r="B202" i="73"/>
  <c r="B227" i="73" s="1"/>
  <c r="B201" i="73"/>
  <c r="B226" i="73" s="1"/>
  <c r="B199" i="73"/>
  <c r="B224" i="73" s="1"/>
  <c r="B198" i="73"/>
  <c r="B223" i="73" s="1"/>
  <c r="B196" i="73"/>
  <c r="B221" i="73" s="1"/>
  <c r="B195" i="73"/>
  <c r="B220" i="73" s="1"/>
  <c r="J79" i="73" l="1"/>
  <c r="M209" i="73"/>
  <c r="M206" i="73"/>
  <c r="M208" i="73"/>
  <c r="M211" i="73"/>
  <c r="M207" i="73"/>
  <c r="M210" i="73"/>
  <c r="G52" i="11"/>
  <c r="E52" i="11"/>
  <c r="D52" i="11"/>
  <c r="G56" i="11"/>
  <c r="E56" i="11"/>
  <c r="D56" i="11"/>
  <c r="D84" i="241" l="1"/>
  <c r="D92" i="52"/>
  <c r="O7" i="57" l="1"/>
  <c r="N7" i="57"/>
  <c r="M7" i="57"/>
  <c r="L7" i="57"/>
  <c r="O26" i="57" l="1"/>
  <c r="N26" i="57"/>
  <c r="M26" i="57"/>
  <c r="O25" i="57"/>
  <c r="N25" i="57"/>
  <c r="M25" i="57"/>
  <c r="O24" i="57"/>
  <c r="N24" i="57"/>
  <c r="M24" i="57"/>
  <c r="O23" i="57"/>
  <c r="N23" i="57"/>
  <c r="M23" i="57"/>
  <c r="O22" i="57"/>
  <c r="N22" i="57"/>
  <c r="M22" i="57"/>
  <c r="O21" i="57"/>
  <c r="N21" i="57"/>
  <c r="M21" i="57"/>
  <c r="O20" i="57"/>
  <c r="N20" i="57"/>
  <c r="M20" i="57"/>
  <c r="O19" i="57"/>
  <c r="N19" i="57"/>
  <c r="M19" i="57"/>
  <c r="O18" i="57"/>
  <c r="N18" i="57"/>
  <c r="M18" i="57"/>
  <c r="O17" i="57"/>
  <c r="N17" i="57"/>
  <c r="M17" i="57"/>
  <c r="O16" i="57"/>
  <c r="N16" i="57"/>
  <c r="M16" i="57"/>
  <c r="O15" i="57"/>
  <c r="N15" i="57"/>
  <c r="M15" i="57"/>
  <c r="O14" i="57"/>
  <c r="N14" i="57"/>
  <c r="M14" i="57"/>
  <c r="O13" i="57"/>
  <c r="N13" i="57"/>
  <c r="M13" i="57"/>
  <c r="O12" i="57"/>
  <c r="N12" i="57"/>
  <c r="M12" i="57"/>
  <c r="O11" i="57"/>
  <c r="N11" i="57"/>
  <c r="M11" i="57"/>
  <c r="O10" i="57"/>
  <c r="N10" i="57"/>
  <c r="M10" i="57"/>
  <c r="O9" i="57"/>
  <c r="N9" i="57"/>
  <c r="M9" i="57"/>
  <c r="M31" i="57" l="1"/>
  <c r="O28" i="57"/>
  <c r="M30" i="57"/>
  <c r="O33" i="57"/>
  <c r="N32" i="57"/>
  <c r="O32" i="57"/>
  <c r="M29" i="57"/>
  <c r="N30" i="57"/>
  <c r="O31" i="57"/>
  <c r="M33" i="57"/>
  <c r="M28" i="57"/>
  <c r="N29" i="57"/>
  <c r="O30" i="57"/>
  <c r="M32" i="57"/>
  <c r="N33" i="57"/>
  <c r="N31" i="57"/>
  <c r="N28" i="57"/>
  <c r="O29" i="57"/>
  <c r="B2" i="235" l="1"/>
  <c r="P4" i="235"/>
  <c r="K11" i="235"/>
  <c r="N11" i="235" s="1"/>
  <c r="P11" i="235" s="1"/>
  <c r="R11" i="235"/>
  <c r="K12" i="235"/>
  <c r="N12" i="235" s="1"/>
  <c r="R12" i="235"/>
  <c r="K13" i="235"/>
  <c r="N13" i="235" s="1"/>
  <c r="W13" i="235" s="1"/>
  <c r="Z13" i="235" s="1"/>
  <c r="R13" i="235"/>
  <c r="K14" i="235"/>
  <c r="N14" i="235" s="1"/>
  <c r="W14" i="235" s="1"/>
  <c r="Z14" i="235" s="1"/>
  <c r="R14" i="235"/>
  <c r="K15" i="235"/>
  <c r="N15" i="235" s="1"/>
  <c r="P15" i="235" s="1"/>
  <c r="R15" i="235"/>
  <c r="K16" i="235"/>
  <c r="N16" i="235" s="1"/>
  <c r="R16" i="235"/>
  <c r="K17" i="235"/>
  <c r="N17" i="235" s="1"/>
  <c r="W17" i="235" s="1"/>
  <c r="Z17" i="235" s="1"/>
  <c r="R17" i="235"/>
  <c r="K18" i="235"/>
  <c r="N18" i="235" s="1"/>
  <c r="W18" i="235" s="1"/>
  <c r="Z18" i="235" s="1"/>
  <c r="R18" i="235"/>
  <c r="K19" i="235"/>
  <c r="N19" i="235" s="1"/>
  <c r="P19" i="235" s="1"/>
  <c r="R19" i="235"/>
  <c r="K23" i="235"/>
  <c r="N23" i="235" s="1"/>
  <c r="O23" i="235"/>
  <c r="S23" i="235"/>
  <c r="K24" i="235"/>
  <c r="N24" i="235" s="1"/>
  <c r="O24" i="235"/>
  <c r="S24" i="235"/>
  <c r="K25" i="235"/>
  <c r="N25" i="235" s="1"/>
  <c r="O25" i="235"/>
  <c r="S25" i="235"/>
  <c r="K26" i="235"/>
  <c r="N26" i="235" s="1"/>
  <c r="O26" i="235"/>
  <c r="S26" i="235"/>
  <c r="K27" i="235"/>
  <c r="N27" i="235" s="1"/>
  <c r="O27" i="235"/>
  <c r="S27" i="235"/>
  <c r="K28" i="235"/>
  <c r="N28" i="235" s="1"/>
  <c r="O28" i="235"/>
  <c r="S28" i="235"/>
  <c r="K29" i="235"/>
  <c r="N29" i="235" s="1"/>
  <c r="O29" i="235"/>
  <c r="S29" i="235"/>
  <c r="K30" i="235"/>
  <c r="N30" i="235" s="1"/>
  <c r="O30" i="235"/>
  <c r="S30" i="235"/>
  <c r="K31" i="235"/>
  <c r="N31" i="235" s="1"/>
  <c r="O31" i="235"/>
  <c r="S31" i="235"/>
  <c r="K32" i="235"/>
  <c r="N32" i="235" s="1"/>
  <c r="O32" i="235"/>
  <c r="S32" i="235"/>
  <c r="K33" i="235"/>
  <c r="N33" i="235" s="1"/>
  <c r="O33" i="235"/>
  <c r="S33" i="235"/>
  <c r="K34" i="235"/>
  <c r="N34" i="235" s="1"/>
  <c r="O34" i="235"/>
  <c r="S34" i="235"/>
  <c r="K35" i="235"/>
  <c r="N35" i="235" s="1"/>
  <c r="O35" i="235"/>
  <c r="S35" i="235"/>
  <c r="K36" i="235"/>
  <c r="N36" i="235" s="1"/>
  <c r="O36" i="235"/>
  <c r="S36" i="235"/>
  <c r="K37" i="235"/>
  <c r="N37" i="235" s="1"/>
  <c r="O37" i="235"/>
  <c r="S37" i="235"/>
  <c r="K38" i="235"/>
  <c r="N38" i="235" s="1"/>
  <c r="O38" i="235"/>
  <c r="S38" i="235"/>
  <c r="K39" i="235"/>
  <c r="N39" i="235" s="1"/>
  <c r="O39" i="235"/>
  <c r="S39" i="235"/>
  <c r="R41" i="235"/>
  <c r="R42" i="235"/>
  <c r="R43" i="235"/>
  <c r="R44" i="235"/>
  <c r="R45" i="235"/>
  <c r="R46" i="235"/>
  <c r="L49" i="235"/>
  <c r="M49" i="235"/>
  <c r="S49" i="235"/>
  <c r="L50" i="235"/>
  <c r="O50" i="235" s="1"/>
  <c r="M50" i="235"/>
  <c r="S50" i="235"/>
  <c r="K51" i="235"/>
  <c r="N51" i="235" s="1"/>
  <c r="O51" i="235"/>
  <c r="S51" i="235"/>
  <c r="K52" i="235"/>
  <c r="N52" i="235" s="1"/>
  <c r="O52" i="235"/>
  <c r="S52" i="235"/>
  <c r="K53" i="235"/>
  <c r="N53" i="235" s="1"/>
  <c r="O53" i="235"/>
  <c r="S53" i="235"/>
  <c r="K54" i="235"/>
  <c r="N54" i="235" s="1"/>
  <c r="O54" i="235"/>
  <c r="S54" i="235"/>
  <c r="K55" i="235"/>
  <c r="N55" i="235" s="1"/>
  <c r="O55" i="235"/>
  <c r="S55" i="235"/>
  <c r="K56" i="235"/>
  <c r="N56" i="235" s="1"/>
  <c r="O56" i="235"/>
  <c r="S56" i="235"/>
  <c r="K57" i="235"/>
  <c r="N57" i="235" s="1"/>
  <c r="O57" i="235"/>
  <c r="S57" i="235"/>
  <c r="K58" i="235"/>
  <c r="N58" i="235" s="1"/>
  <c r="O58" i="235"/>
  <c r="S58" i="235"/>
  <c r="K59" i="235"/>
  <c r="N59" i="235" s="1"/>
  <c r="O59" i="235"/>
  <c r="S59" i="235"/>
  <c r="K60" i="235"/>
  <c r="N60" i="235" s="1"/>
  <c r="O60" i="235"/>
  <c r="S60" i="235"/>
  <c r="K61" i="235"/>
  <c r="N61" i="235" s="1"/>
  <c r="O61" i="235"/>
  <c r="S61" i="235"/>
  <c r="K62" i="235"/>
  <c r="N62" i="235" s="1"/>
  <c r="O62" i="235"/>
  <c r="S62" i="235"/>
  <c r="K63" i="235"/>
  <c r="N63" i="235" s="1"/>
  <c r="O63" i="235"/>
  <c r="S63" i="235"/>
  <c r="K64" i="235"/>
  <c r="N64" i="235" s="1"/>
  <c r="O64" i="235"/>
  <c r="S64" i="235"/>
  <c r="K65" i="235"/>
  <c r="N65" i="235" s="1"/>
  <c r="O65" i="235"/>
  <c r="S65" i="235"/>
  <c r="K66" i="235"/>
  <c r="N66" i="235" s="1"/>
  <c r="O66" i="235"/>
  <c r="S66" i="235"/>
  <c r="K67" i="235"/>
  <c r="N67" i="235" s="1"/>
  <c r="O67" i="235"/>
  <c r="S67" i="235"/>
  <c r="O68" i="235"/>
  <c r="P68" i="235" s="1"/>
  <c r="S68" i="235"/>
  <c r="K69" i="235"/>
  <c r="N69" i="235" s="1"/>
  <c r="O69" i="235"/>
  <c r="S69" i="235"/>
  <c r="K70" i="235"/>
  <c r="N70" i="235" s="1"/>
  <c r="O70" i="235"/>
  <c r="S70" i="235"/>
  <c r="R72" i="235"/>
  <c r="R73" i="235"/>
  <c r="R74" i="235"/>
  <c r="R75" i="235"/>
  <c r="R76" i="235"/>
  <c r="R77" i="235"/>
  <c r="L80" i="235"/>
  <c r="M80" i="235"/>
  <c r="O80" i="235"/>
  <c r="S80" i="235"/>
  <c r="AM80" i="235"/>
  <c r="AN80" i="235"/>
  <c r="AP80" i="235"/>
  <c r="AR80" i="235"/>
  <c r="AT80" i="235"/>
  <c r="AV80" i="235"/>
  <c r="AX80" i="235"/>
  <c r="AY80" i="235"/>
  <c r="BB80" i="235"/>
  <c r="K81" i="235"/>
  <c r="N81" i="235" s="1"/>
  <c r="O81" i="235"/>
  <c r="S81" i="235"/>
  <c r="K82" i="235"/>
  <c r="N82" i="235" s="1"/>
  <c r="O82" i="235"/>
  <c r="S82" i="235"/>
  <c r="K83" i="235"/>
  <c r="N83" i="235" s="1"/>
  <c r="O83" i="235"/>
  <c r="S83" i="235"/>
  <c r="K84" i="235"/>
  <c r="N84" i="235" s="1"/>
  <c r="O84" i="235"/>
  <c r="S84" i="235"/>
  <c r="K85" i="235"/>
  <c r="N85" i="235" s="1"/>
  <c r="O85" i="235"/>
  <c r="S85" i="235"/>
  <c r="K86" i="235"/>
  <c r="N86" i="235" s="1"/>
  <c r="O86" i="235"/>
  <c r="S86" i="235"/>
  <c r="K87" i="235"/>
  <c r="N87" i="235" s="1"/>
  <c r="O87" i="235"/>
  <c r="S87" i="235"/>
  <c r="K88" i="235"/>
  <c r="N88" i="235" s="1"/>
  <c r="O88" i="235"/>
  <c r="S88" i="235"/>
  <c r="K89" i="235"/>
  <c r="N89" i="235" s="1"/>
  <c r="O89" i="235"/>
  <c r="S89" i="235"/>
  <c r="K90" i="235"/>
  <c r="N90" i="235" s="1"/>
  <c r="O90" i="235"/>
  <c r="S90" i="235"/>
  <c r="K91" i="235"/>
  <c r="N91" i="235" s="1"/>
  <c r="O91" i="235"/>
  <c r="S91" i="235"/>
  <c r="K92" i="235"/>
  <c r="N92" i="235" s="1"/>
  <c r="O92" i="235"/>
  <c r="S92" i="235"/>
  <c r="K93" i="235"/>
  <c r="N93" i="235" s="1"/>
  <c r="O93" i="235"/>
  <c r="S93" i="235"/>
  <c r="K94" i="235"/>
  <c r="N94" i="235" s="1"/>
  <c r="O94" i="235"/>
  <c r="S94" i="235"/>
  <c r="K95" i="235"/>
  <c r="N95" i="235" s="1"/>
  <c r="O95" i="235"/>
  <c r="S95" i="235"/>
  <c r="K96" i="235"/>
  <c r="N96" i="235" s="1"/>
  <c r="O96" i="235"/>
  <c r="S96" i="235"/>
  <c r="K97" i="235"/>
  <c r="N97" i="235" s="1"/>
  <c r="O97" i="235"/>
  <c r="S97" i="235"/>
  <c r="K98" i="235"/>
  <c r="N98" i="235" s="1"/>
  <c r="O98" i="235"/>
  <c r="S98" i="235"/>
  <c r="O99" i="235"/>
  <c r="P99" i="235" s="1"/>
  <c r="S99" i="235"/>
  <c r="R101" i="235"/>
  <c r="R102" i="235"/>
  <c r="R103" i="235"/>
  <c r="R104" i="235"/>
  <c r="R105" i="235"/>
  <c r="R106" i="235"/>
  <c r="K109" i="235"/>
  <c r="N109" i="235" s="1"/>
  <c r="O109" i="235"/>
  <c r="K110" i="235"/>
  <c r="N110" i="235" s="1"/>
  <c r="O110" i="235"/>
  <c r="S110" i="235"/>
  <c r="L111" i="235"/>
  <c r="O111" i="235" s="1"/>
  <c r="M111" i="235"/>
  <c r="K112" i="235"/>
  <c r="N112" i="235" s="1"/>
  <c r="O112" i="235"/>
  <c r="S112" i="235"/>
  <c r="K113" i="235"/>
  <c r="N113" i="235" s="1"/>
  <c r="O113" i="235"/>
  <c r="S113" i="235"/>
  <c r="K114" i="235"/>
  <c r="N114" i="235" s="1"/>
  <c r="O114" i="235"/>
  <c r="S114" i="235"/>
  <c r="K115" i="235"/>
  <c r="N115" i="235" s="1"/>
  <c r="O115" i="235"/>
  <c r="S115" i="235"/>
  <c r="K116" i="235"/>
  <c r="N116" i="235" s="1"/>
  <c r="O116" i="235"/>
  <c r="S116" i="235"/>
  <c r="K117" i="235"/>
  <c r="N117" i="235" s="1"/>
  <c r="O117" i="235"/>
  <c r="S117" i="235"/>
  <c r="K118" i="235"/>
  <c r="N118" i="235" s="1"/>
  <c r="O118" i="235"/>
  <c r="S118" i="235"/>
  <c r="K119" i="235"/>
  <c r="N119" i="235" s="1"/>
  <c r="O119" i="235"/>
  <c r="S119" i="235"/>
  <c r="K120" i="235"/>
  <c r="N120" i="235" s="1"/>
  <c r="O120" i="235"/>
  <c r="S120" i="235"/>
  <c r="R122" i="235"/>
  <c r="R123" i="235"/>
  <c r="R124" i="235"/>
  <c r="R125" i="235"/>
  <c r="R126" i="235"/>
  <c r="R127" i="235"/>
  <c r="AH40" i="234"/>
  <c r="AL40" i="234" s="1"/>
  <c r="AH39" i="234"/>
  <c r="AL39" i="234" s="1"/>
  <c r="AH38" i="234"/>
  <c r="AL38" i="234" s="1"/>
  <c r="AH37" i="234"/>
  <c r="AL37" i="234" s="1"/>
  <c r="AH36" i="234"/>
  <c r="AL36" i="234" s="1"/>
  <c r="AH35" i="234"/>
  <c r="AL35" i="234" s="1"/>
  <c r="AH34" i="234"/>
  <c r="AL34" i="234" s="1"/>
  <c r="AH33" i="234"/>
  <c r="AL33" i="234" s="1"/>
  <c r="AH32" i="234"/>
  <c r="AL32" i="234" s="1"/>
  <c r="AH31" i="234"/>
  <c r="AL31" i="234" s="1"/>
  <c r="AH30" i="234"/>
  <c r="AL30" i="234" s="1"/>
  <c r="AH29" i="234"/>
  <c r="AL29" i="234" s="1"/>
  <c r="AH28" i="234"/>
  <c r="AL28" i="234" s="1"/>
  <c r="AH27" i="234"/>
  <c r="AL27" i="234" s="1"/>
  <c r="AH26" i="234"/>
  <c r="AL26" i="234" s="1"/>
  <c r="AH25" i="234"/>
  <c r="AL25" i="234" s="1"/>
  <c r="AH24" i="234"/>
  <c r="AL24" i="234" s="1"/>
  <c r="AH23" i="234"/>
  <c r="AL23" i="234" s="1"/>
  <c r="AH22" i="234"/>
  <c r="AL22" i="234" s="1"/>
  <c r="AH21" i="234"/>
  <c r="AL21" i="234" s="1"/>
  <c r="AH20" i="234"/>
  <c r="AL20" i="234" s="1"/>
  <c r="AH19" i="234"/>
  <c r="AL19" i="234" s="1"/>
  <c r="AH18" i="234"/>
  <c r="AL18" i="234" s="1"/>
  <c r="AH17" i="234"/>
  <c r="AL17" i="234" s="1"/>
  <c r="AH16" i="234"/>
  <c r="AL16" i="234" s="1"/>
  <c r="AH15" i="234"/>
  <c r="AL15" i="234" s="1"/>
  <c r="AH14" i="234"/>
  <c r="AL14" i="234" s="1"/>
  <c r="AH13" i="234"/>
  <c r="AL13" i="234" s="1"/>
  <c r="AH12" i="234"/>
  <c r="AL12" i="234" s="1"/>
  <c r="BF80" i="235"/>
  <c r="R134" i="235" l="1"/>
  <c r="R131" i="235"/>
  <c r="W69" i="235"/>
  <c r="W68" i="235"/>
  <c r="X68" i="235" s="1"/>
  <c r="R130" i="235"/>
  <c r="P97" i="235"/>
  <c r="T97" i="235" s="1"/>
  <c r="R133" i="235"/>
  <c r="P90" i="235"/>
  <c r="T90" i="235" s="1"/>
  <c r="W89" i="235"/>
  <c r="P84" i="235"/>
  <c r="T84" i="235" s="1"/>
  <c r="R132" i="235"/>
  <c r="W15" i="235"/>
  <c r="Z15" i="235" s="1"/>
  <c r="AD15" i="235" s="1"/>
  <c r="R135" i="235"/>
  <c r="AK14" i="234"/>
  <c r="AK22" i="234"/>
  <c r="AK30" i="234"/>
  <c r="AK38" i="234"/>
  <c r="P13" i="235"/>
  <c r="AE13" i="235" s="1"/>
  <c r="AK16" i="234"/>
  <c r="AK24" i="234"/>
  <c r="AK32" i="234"/>
  <c r="AK40" i="234"/>
  <c r="P95" i="235"/>
  <c r="T95" i="235" s="1"/>
  <c r="P91" i="235"/>
  <c r="T91" i="235" s="1"/>
  <c r="P86" i="235"/>
  <c r="W85" i="235"/>
  <c r="AK18" i="234"/>
  <c r="AK26" i="234"/>
  <c r="AK34" i="234"/>
  <c r="P82" i="235"/>
  <c r="W81" i="235"/>
  <c r="AK12" i="234"/>
  <c r="AK20" i="234"/>
  <c r="AK28" i="234"/>
  <c r="AK36" i="234"/>
  <c r="P93" i="235"/>
  <c r="T93" i="235" s="1"/>
  <c r="P88" i="235"/>
  <c r="K50" i="235"/>
  <c r="N50" i="235" s="1"/>
  <c r="BH80" i="235"/>
  <c r="N44" i="235"/>
  <c r="N131" i="235"/>
  <c r="N135" i="235"/>
  <c r="AK13" i="234"/>
  <c r="AK17" i="234"/>
  <c r="AK21" i="234"/>
  <c r="AK25" i="234"/>
  <c r="AK29" i="234"/>
  <c r="AK33" i="234"/>
  <c r="AK37" i="234"/>
  <c r="P98" i="235"/>
  <c r="T98" i="235" s="1"/>
  <c r="P94" i="235"/>
  <c r="T94" i="235" s="1"/>
  <c r="W86" i="235"/>
  <c r="K80" i="235"/>
  <c r="N80" i="235" s="1"/>
  <c r="P80" i="235" s="1"/>
  <c r="W88" i="235"/>
  <c r="W87" i="235"/>
  <c r="AK15" i="234"/>
  <c r="AK19" i="234"/>
  <c r="AK23" i="234"/>
  <c r="AK27" i="234"/>
  <c r="AK31" i="234"/>
  <c r="AK35" i="234"/>
  <c r="AK39" i="234"/>
  <c r="K111" i="235"/>
  <c r="N111" i="235" s="1"/>
  <c r="N122" i="235" s="1"/>
  <c r="P96" i="235"/>
  <c r="T96" i="235" s="1"/>
  <c r="P92" i="235"/>
  <c r="T92" i="235" s="1"/>
  <c r="W90" i="235"/>
  <c r="W82" i="235"/>
  <c r="X82" i="235" s="1"/>
  <c r="P17" i="235"/>
  <c r="AE17" i="235" s="1"/>
  <c r="W99" i="235"/>
  <c r="X99" i="235" s="1"/>
  <c r="W84" i="235"/>
  <c r="W83" i="235"/>
  <c r="K49" i="235"/>
  <c r="N49" i="235" s="1"/>
  <c r="N76" i="235" s="1"/>
  <c r="AD18" i="235"/>
  <c r="AC18" i="235"/>
  <c r="AD17" i="235"/>
  <c r="AC17" i="235"/>
  <c r="AC14" i="235"/>
  <c r="AD14" i="235"/>
  <c r="AD13" i="235"/>
  <c r="AC13" i="235"/>
  <c r="W114" i="235"/>
  <c r="P114" i="235"/>
  <c r="T88" i="235"/>
  <c r="W117" i="235"/>
  <c r="P117" i="235"/>
  <c r="W113" i="235"/>
  <c r="P113" i="235"/>
  <c r="T99" i="235"/>
  <c r="P87" i="235"/>
  <c r="P83" i="235"/>
  <c r="N103" i="235"/>
  <c r="W110" i="235"/>
  <c r="N123" i="235"/>
  <c r="N127" i="235"/>
  <c r="P110" i="235"/>
  <c r="T86" i="235"/>
  <c r="T82" i="235"/>
  <c r="W118" i="235"/>
  <c r="P118" i="235"/>
  <c r="W120" i="235"/>
  <c r="P120" i="235"/>
  <c r="W116" i="235"/>
  <c r="P116" i="235"/>
  <c r="W112" i="235"/>
  <c r="P112" i="235"/>
  <c r="W119" i="235"/>
  <c r="P119" i="235"/>
  <c r="W115" i="235"/>
  <c r="P115" i="235"/>
  <c r="P109" i="235"/>
  <c r="W109" i="235"/>
  <c r="N101" i="235"/>
  <c r="W98" i="235"/>
  <c r="X98" i="235" s="1"/>
  <c r="W97" i="235"/>
  <c r="X97" i="235" s="1"/>
  <c r="W96" i="235"/>
  <c r="W95" i="235"/>
  <c r="W94" i="235"/>
  <c r="W93" i="235"/>
  <c r="W92" i="235"/>
  <c r="X92" i="235" s="1"/>
  <c r="W91" i="235"/>
  <c r="P89" i="235"/>
  <c r="P85" i="235"/>
  <c r="P81" i="235"/>
  <c r="W70" i="235"/>
  <c r="P70" i="235"/>
  <c r="T68" i="235"/>
  <c r="N75" i="235"/>
  <c r="W64" i="235"/>
  <c r="P64" i="235"/>
  <c r="W39" i="235"/>
  <c r="P39" i="235"/>
  <c r="W35" i="235"/>
  <c r="P35" i="235"/>
  <c r="N132" i="235"/>
  <c r="P69" i="235"/>
  <c r="W67" i="235"/>
  <c r="P67" i="235"/>
  <c r="W63" i="235"/>
  <c r="P63" i="235"/>
  <c r="W59" i="235"/>
  <c r="P59" i="235"/>
  <c r="W55" i="235"/>
  <c r="P55" i="235"/>
  <c r="W51" i="235"/>
  <c r="P51" i="235"/>
  <c r="W50" i="235"/>
  <c r="P50" i="235"/>
  <c r="W38" i="235"/>
  <c r="P38" i="235"/>
  <c r="W34" i="235"/>
  <c r="P34" i="235"/>
  <c r="W30" i="235"/>
  <c r="P30" i="235"/>
  <c r="W26" i="235"/>
  <c r="P26" i="235"/>
  <c r="W31" i="235"/>
  <c r="P31" i="235"/>
  <c r="P12" i="235"/>
  <c r="W12" i="235"/>
  <c r="Z12" i="235" s="1"/>
  <c r="N133" i="235"/>
  <c r="W66" i="235"/>
  <c r="P66" i="235"/>
  <c r="W62" i="235"/>
  <c r="P62" i="235"/>
  <c r="W58" i="235"/>
  <c r="P58" i="235"/>
  <c r="W54" i="235"/>
  <c r="P54" i="235"/>
  <c r="W37" i="235"/>
  <c r="P37" i="235"/>
  <c r="W33" i="235"/>
  <c r="P33" i="235"/>
  <c r="W29" i="235"/>
  <c r="P29" i="235"/>
  <c r="W25" i="235"/>
  <c r="P25" i="235"/>
  <c r="W19" i="235"/>
  <c r="Z19" i="235" s="1"/>
  <c r="P16" i="235"/>
  <c r="W16" i="235"/>
  <c r="Z16" i="235" s="1"/>
  <c r="W11" i="235"/>
  <c r="Z11" i="235" s="1"/>
  <c r="W60" i="235"/>
  <c r="P60" i="235"/>
  <c r="W56" i="235"/>
  <c r="P56" i="235"/>
  <c r="W52" i="235"/>
  <c r="P52" i="235"/>
  <c r="W27" i="235"/>
  <c r="P27" i="235"/>
  <c r="W23" i="235"/>
  <c r="N43" i="235"/>
  <c r="P23" i="235"/>
  <c r="N42" i="235"/>
  <c r="N46" i="235"/>
  <c r="N41" i="235"/>
  <c r="N45" i="235"/>
  <c r="N134" i="235"/>
  <c r="N130" i="235"/>
  <c r="W65" i="235"/>
  <c r="P65" i="235"/>
  <c r="W61" i="235"/>
  <c r="P61" i="235"/>
  <c r="W57" i="235"/>
  <c r="P57" i="235"/>
  <c r="W53" i="235"/>
  <c r="P53" i="235"/>
  <c r="W36" i="235"/>
  <c r="P36" i="235"/>
  <c r="W32" i="235"/>
  <c r="P32" i="235"/>
  <c r="W28" i="235"/>
  <c r="P28" i="235"/>
  <c r="W24" i="235"/>
  <c r="P24" i="235"/>
  <c r="P18" i="235"/>
  <c r="AE18" i="235" s="1"/>
  <c r="P14" i="235"/>
  <c r="AE14" i="235" s="1"/>
  <c r="O49" i="235"/>
  <c r="X94" i="235" l="1"/>
  <c r="W111" i="235"/>
  <c r="N125" i="235"/>
  <c r="X95" i="235"/>
  <c r="P111" i="235"/>
  <c r="N124" i="235"/>
  <c r="N126" i="235"/>
  <c r="X90" i="235"/>
  <c r="X87" i="235"/>
  <c r="N72" i="235"/>
  <c r="X93" i="235"/>
  <c r="W49" i="235"/>
  <c r="N73" i="235"/>
  <c r="AC15" i="235"/>
  <c r="AE15" i="235"/>
  <c r="N77" i="235"/>
  <c r="N74" i="235"/>
  <c r="X91" i="235"/>
  <c r="X86" i="235"/>
  <c r="X96" i="235"/>
  <c r="N106" i="235"/>
  <c r="N104" i="235"/>
  <c r="T87" i="235"/>
  <c r="N102" i="235"/>
  <c r="W80" i="235"/>
  <c r="X80" i="235" s="1"/>
  <c r="N105" i="235"/>
  <c r="X84" i="235"/>
  <c r="X88" i="235"/>
  <c r="X110" i="235"/>
  <c r="X50" i="235"/>
  <c r="AD16" i="235"/>
  <c r="AC16" i="235"/>
  <c r="AD12" i="235"/>
  <c r="AC12" i="235"/>
  <c r="AC19" i="235"/>
  <c r="AD19" i="235"/>
  <c r="AD11" i="235"/>
  <c r="AC11" i="235"/>
  <c r="X70" i="235"/>
  <c r="T70" i="235"/>
  <c r="P125" i="235"/>
  <c r="T109" i="235"/>
  <c r="P124" i="235"/>
  <c r="P123" i="235"/>
  <c r="P127" i="235"/>
  <c r="P126" i="235"/>
  <c r="P122" i="235"/>
  <c r="X112" i="235"/>
  <c r="T112" i="235"/>
  <c r="X120" i="235"/>
  <c r="T120" i="235"/>
  <c r="X24" i="235"/>
  <c r="T24" i="235"/>
  <c r="X32" i="235"/>
  <c r="T32" i="235"/>
  <c r="X53" i="235"/>
  <c r="T53" i="235"/>
  <c r="X61" i="235"/>
  <c r="T61" i="235"/>
  <c r="P44" i="235"/>
  <c r="X23" i="235"/>
  <c r="P43" i="235"/>
  <c r="P42" i="235"/>
  <c r="P46" i="235"/>
  <c r="P41" i="235"/>
  <c r="P45" i="235"/>
  <c r="T23" i="235"/>
  <c r="X25" i="235"/>
  <c r="T25" i="235"/>
  <c r="X33" i="235"/>
  <c r="T33" i="235"/>
  <c r="X54" i="235"/>
  <c r="T54" i="235"/>
  <c r="X62" i="235"/>
  <c r="T62" i="235"/>
  <c r="P130" i="235"/>
  <c r="AE12" i="235"/>
  <c r="P132" i="235"/>
  <c r="X35" i="235"/>
  <c r="T35" i="235"/>
  <c r="X64" i="235"/>
  <c r="T64" i="235"/>
  <c r="P49" i="235"/>
  <c r="X89" i="235"/>
  <c r="T89" i="235"/>
  <c r="X119" i="235"/>
  <c r="T119" i="235"/>
  <c r="BM80" i="235"/>
  <c r="P101" i="235"/>
  <c r="P105" i="235"/>
  <c r="P104" i="235"/>
  <c r="P103" i="235"/>
  <c r="P106" i="235"/>
  <c r="P102" i="235"/>
  <c r="X83" i="235"/>
  <c r="T83" i="235"/>
  <c r="X113" i="235"/>
  <c r="T113" i="235"/>
  <c r="T110" i="235"/>
  <c r="X27" i="235"/>
  <c r="T27" i="235"/>
  <c r="X56" i="235"/>
  <c r="T56" i="235"/>
  <c r="X26" i="235"/>
  <c r="T26" i="235"/>
  <c r="X34" i="235"/>
  <c r="T34" i="235"/>
  <c r="X55" i="235"/>
  <c r="T55" i="235"/>
  <c r="AE19" i="235"/>
  <c r="P131" i="235"/>
  <c r="X52" i="235"/>
  <c r="T52" i="235"/>
  <c r="X60" i="235"/>
  <c r="T60" i="235"/>
  <c r="X31" i="235"/>
  <c r="T31" i="235"/>
  <c r="X30" i="235"/>
  <c r="T30" i="235"/>
  <c r="X38" i="235"/>
  <c r="T38" i="235"/>
  <c r="X51" i="235"/>
  <c r="T51" i="235"/>
  <c r="X59" i="235"/>
  <c r="T59" i="235"/>
  <c r="X67" i="235"/>
  <c r="T67" i="235"/>
  <c r="P133" i="235"/>
  <c r="X81" i="235"/>
  <c r="T81" i="235"/>
  <c r="X116" i="235"/>
  <c r="T116" i="235"/>
  <c r="X114" i="235"/>
  <c r="T114" i="235"/>
  <c r="P135" i="235"/>
  <c r="X63" i="235"/>
  <c r="T63" i="235"/>
  <c r="T69" i="235"/>
  <c r="X69" i="235"/>
  <c r="X28" i="235"/>
  <c r="T28" i="235"/>
  <c r="X36" i="235"/>
  <c r="T36" i="235"/>
  <c r="X57" i="235"/>
  <c r="T57" i="235"/>
  <c r="X65" i="235"/>
  <c r="T65" i="235"/>
  <c r="AE16" i="235"/>
  <c r="X29" i="235"/>
  <c r="T29" i="235"/>
  <c r="X37" i="235"/>
  <c r="T37" i="235"/>
  <c r="X58" i="235"/>
  <c r="T58" i="235"/>
  <c r="X66" i="235"/>
  <c r="T66" i="235"/>
  <c r="P134" i="235"/>
  <c r="AE11" i="235"/>
  <c r="X39" i="235"/>
  <c r="T39" i="235"/>
  <c r="X85" i="235"/>
  <c r="T85" i="235"/>
  <c r="X115" i="235"/>
  <c r="T115" i="235"/>
  <c r="X118" i="235"/>
  <c r="T118" i="235"/>
  <c r="X117" i="235"/>
  <c r="T117" i="235"/>
  <c r="E59" i="213"/>
  <c r="E65" i="213"/>
  <c r="E61" i="213"/>
  <c r="E58" i="213"/>
  <c r="E63" i="213"/>
  <c r="E67" i="213"/>
  <c r="E60" i="213"/>
  <c r="E64" i="213"/>
  <c r="E57" i="213"/>
  <c r="E62" i="213"/>
  <c r="E66" i="213"/>
  <c r="X49" i="235" l="1"/>
  <c r="P75" i="235"/>
  <c r="P76" i="235"/>
  <c r="P73" i="235"/>
  <c r="P72" i="235"/>
  <c r="P74" i="235"/>
  <c r="P77" i="235"/>
  <c r="B8" i="88"/>
  <c r="B9" i="88" s="1"/>
  <c r="B10" i="88" s="1"/>
  <c r="B11" i="88" s="1"/>
  <c r="B12" i="88" s="1"/>
  <c r="B13" i="88" s="1"/>
  <c r="B14" i="88" s="1"/>
  <c r="B15" i="88" s="1"/>
  <c r="B16" i="88" s="1"/>
  <c r="B17" i="88" s="1"/>
  <c r="B18" i="88" s="1"/>
  <c r="B19" i="88" s="1"/>
  <c r="B20" i="88" s="1"/>
  <c r="B21" i="88" s="1"/>
  <c r="B22" i="88" s="1"/>
  <c r="B1" i="213"/>
  <c r="L2" i="213" s="1"/>
  <c r="B2" i="213"/>
  <c r="AX10" i="213" s="1"/>
  <c r="BC10" i="213" s="1"/>
  <c r="B3" i="213"/>
  <c r="AY10" i="213" s="1"/>
  <c r="BD10" i="213" s="1"/>
  <c r="L3" i="213"/>
  <c r="B4" i="213"/>
  <c r="T11" i="213" s="1"/>
  <c r="L4" i="213"/>
  <c r="B5" i="213"/>
  <c r="U11" i="213" s="1"/>
  <c r="L5" i="213"/>
  <c r="B6" i="213"/>
  <c r="V11" i="213" s="1"/>
  <c r="L6" i="213"/>
  <c r="B7" i="213"/>
  <c r="W11" i="213" s="1"/>
  <c r="B8" i="213"/>
  <c r="A10" i="213"/>
  <c r="BS11" i="213"/>
  <c r="BT11" i="213"/>
  <c r="BU11" i="213"/>
  <c r="BV11" i="213"/>
  <c r="BW11" i="213"/>
  <c r="BX11" i="213"/>
  <c r="BY11" i="213"/>
  <c r="BZ11" i="213"/>
  <c r="B13" i="213"/>
  <c r="S13" i="213"/>
  <c r="D61" i="213"/>
  <c r="E13" i="213"/>
  <c r="BI13" i="213"/>
  <c r="C13" i="213"/>
  <c r="P13" i="213"/>
  <c r="BP13" i="213"/>
  <c r="AJ13" i="213"/>
  <c r="D58" i="213"/>
  <c r="Y13" i="213"/>
  <c r="BQ13" i="213"/>
  <c r="V13" i="213"/>
  <c r="AV13" i="213"/>
  <c r="C74" i="213"/>
  <c r="A13" i="213"/>
  <c r="BL13" i="213"/>
  <c r="BM13" i="213"/>
  <c r="BD13" i="213"/>
  <c r="AC13" i="213"/>
  <c r="BJ13" i="213"/>
  <c r="J13" i="213"/>
  <c r="AY13" i="213"/>
  <c r="AK13" i="213"/>
  <c r="F13" i="213"/>
  <c r="AG13" i="213"/>
  <c r="X13" i="213"/>
  <c r="AZ13" i="213"/>
  <c r="BG13" i="213"/>
  <c r="D63" i="213"/>
  <c r="AI13" i="213"/>
  <c r="AO13" i="213"/>
  <c r="D57" i="213"/>
  <c r="R13" i="213"/>
  <c r="AP13" i="213"/>
  <c r="BF13" i="213"/>
  <c r="Q13" i="213"/>
  <c r="Z13" i="213"/>
  <c r="AQ13" i="213"/>
  <c r="BN13" i="213"/>
  <c r="H13" i="213"/>
  <c r="D67" i="213"/>
  <c r="BK13" i="213"/>
  <c r="AA13" i="213"/>
  <c r="BO13" i="213"/>
  <c r="AB13" i="213"/>
  <c r="D59" i="213"/>
  <c r="N13" i="213"/>
  <c r="I13" i="213"/>
  <c r="BH13" i="213"/>
  <c r="D64" i="213"/>
  <c r="BB13" i="213"/>
  <c r="M13" i="213"/>
  <c r="D60" i="213"/>
  <c r="AR13" i="213"/>
  <c r="D13" i="213"/>
  <c r="AF13" i="213"/>
  <c r="AS13" i="213"/>
  <c r="AT13" i="213"/>
  <c r="T13" i="213"/>
  <c r="AL13" i="213"/>
  <c r="G13" i="213"/>
  <c r="U13" i="213"/>
  <c r="C71" i="213"/>
  <c r="AN13" i="213"/>
  <c r="BA13" i="213"/>
  <c r="AH13" i="213"/>
  <c r="L13" i="213"/>
  <c r="AE13" i="213"/>
  <c r="D62" i="213"/>
  <c r="BE13" i="213"/>
  <c r="D66" i="213"/>
  <c r="AW13" i="213"/>
  <c r="AU13" i="213"/>
  <c r="O13" i="213"/>
  <c r="AD13" i="213"/>
  <c r="BC13" i="213"/>
  <c r="K13" i="213"/>
  <c r="W13" i="213"/>
  <c r="D65" i="213"/>
  <c r="AM13" i="213"/>
  <c r="AX13" i="213"/>
  <c r="S11" i="213" l="1"/>
  <c r="R11" i="213"/>
  <c r="BS13" i="213"/>
  <c r="BT13" i="213"/>
  <c r="BU13" i="213"/>
  <c r="BV13" i="213"/>
  <c r="BW13" i="213"/>
  <c r="BX13" i="213"/>
  <c r="BY13" i="213"/>
  <c r="BZ13" i="213"/>
  <c r="CE13" i="213"/>
  <c r="B14" i="213"/>
  <c r="BN14" i="213"/>
  <c r="G14" i="213"/>
  <c r="BM14" i="213"/>
  <c r="F14" i="213"/>
  <c r="AC14" i="213"/>
  <c r="BA14" i="213"/>
  <c r="BD14" i="213"/>
  <c r="Z14" i="213"/>
  <c r="AB14" i="213"/>
  <c r="BC14" i="213"/>
  <c r="X14" i="213"/>
  <c r="BO14" i="213"/>
  <c r="O14" i="213"/>
  <c r="AA14" i="213"/>
  <c r="AH14" i="213"/>
  <c r="BJ14" i="213"/>
  <c r="BH14" i="213"/>
  <c r="AZ14" i="213"/>
  <c r="C14" i="213"/>
  <c r="W14" i="213"/>
  <c r="BI14" i="213"/>
  <c r="R14" i="213"/>
  <c r="AS14" i="213"/>
  <c r="AT14" i="213"/>
  <c r="AN14" i="213"/>
  <c r="AJ14" i="213"/>
  <c r="AO14" i="213"/>
  <c r="AD14" i="213"/>
  <c r="E14" i="213"/>
  <c r="U14" i="213"/>
  <c r="BP14" i="213"/>
  <c r="BB14" i="213"/>
  <c r="Q14" i="213"/>
  <c r="AL14" i="213"/>
  <c r="AX14" i="213"/>
  <c r="L14" i="213"/>
  <c r="AP14" i="213"/>
  <c r="D14" i="213"/>
  <c r="AQ14" i="213"/>
  <c r="AG14" i="213"/>
  <c r="AI14" i="213"/>
  <c r="AK14" i="213"/>
  <c r="V14" i="213"/>
  <c r="BQ14" i="213"/>
  <c r="P14" i="213"/>
  <c r="Y14" i="213"/>
  <c r="AU14" i="213"/>
  <c r="N14" i="213"/>
  <c r="A14" i="213"/>
  <c r="K14" i="213"/>
  <c r="BG14" i="213"/>
  <c r="BK14" i="213"/>
  <c r="AM14" i="213"/>
  <c r="T14" i="213"/>
  <c r="J14" i="213"/>
  <c r="AV14" i="213"/>
  <c r="S14" i="213"/>
  <c r="AW14" i="213"/>
  <c r="AE14" i="213"/>
  <c r="BF14" i="213"/>
  <c r="H14" i="213"/>
  <c r="I14" i="213"/>
  <c r="BL14" i="213"/>
  <c r="AF14" i="213"/>
  <c r="AR14" i="213"/>
  <c r="BR13" i="213"/>
  <c r="AY14" i="213"/>
  <c r="BE14" i="213"/>
  <c r="M14" i="213"/>
  <c r="BS14" i="213" l="1"/>
  <c r="BT14" i="213"/>
  <c r="BU14" i="213"/>
  <c r="BV14" i="213"/>
  <c r="BW14" i="213"/>
  <c r="BX14" i="213"/>
  <c r="BY14" i="213"/>
  <c r="BZ14" i="213"/>
  <c r="CE14" i="213"/>
  <c r="B15" i="213"/>
  <c r="BS15" i="213"/>
  <c r="BT15" i="213"/>
  <c r="BU15" i="213"/>
  <c r="BV15" i="213"/>
  <c r="BW15" i="213"/>
  <c r="BX15" i="213"/>
  <c r="BY15" i="213"/>
  <c r="BZ15" i="213"/>
  <c r="CE15" i="213"/>
  <c r="B16" i="213"/>
  <c r="BS16" i="213"/>
  <c r="BT16" i="213"/>
  <c r="BU16" i="213"/>
  <c r="BV16" i="213"/>
  <c r="BW16" i="213"/>
  <c r="BX16" i="213"/>
  <c r="BY16" i="213"/>
  <c r="BZ16" i="213"/>
  <c r="CE16" i="213"/>
  <c r="B17" i="213"/>
  <c r="BS17" i="213"/>
  <c r="BT17" i="213"/>
  <c r="BU17" i="213"/>
  <c r="BV17" i="213"/>
  <c r="BW17" i="213"/>
  <c r="BX17" i="213"/>
  <c r="BY17" i="213"/>
  <c r="BZ17" i="213"/>
  <c r="CE17" i="213"/>
  <c r="B18" i="213"/>
  <c r="BS18" i="213"/>
  <c r="BT18" i="213"/>
  <c r="BU18" i="213"/>
  <c r="BV18" i="213"/>
  <c r="BW18" i="213"/>
  <c r="BX18" i="213"/>
  <c r="BY18" i="213"/>
  <c r="BZ18" i="213"/>
  <c r="CE18" i="213"/>
  <c r="B19" i="213"/>
  <c r="BS19" i="213"/>
  <c r="BT19" i="213"/>
  <c r="BU19" i="213"/>
  <c r="BV19" i="213"/>
  <c r="BW19" i="213"/>
  <c r="BX19" i="213"/>
  <c r="BY19" i="213"/>
  <c r="BZ19" i="213"/>
  <c r="CE19" i="213"/>
  <c r="B20" i="213"/>
  <c r="BS20" i="213"/>
  <c r="BT20" i="213"/>
  <c r="BU20" i="213"/>
  <c r="BV20" i="213"/>
  <c r="BW20" i="213"/>
  <c r="BX20" i="213"/>
  <c r="BY20" i="213"/>
  <c r="BZ20" i="213"/>
  <c r="CE20" i="213"/>
  <c r="B21" i="213"/>
  <c r="BS21" i="213"/>
  <c r="BT21" i="213"/>
  <c r="BU21" i="213"/>
  <c r="BV21" i="213"/>
  <c r="BW21" i="213"/>
  <c r="BX21" i="213"/>
  <c r="BY21" i="213"/>
  <c r="BZ21" i="213"/>
  <c r="CE21" i="213"/>
  <c r="B22" i="213"/>
  <c r="BS22" i="213"/>
  <c r="BT22" i="213"/>
  <c r="BU22" i="213"/>
  <c r="BV22" i="213"/>
  <c r="BW22" i="213"/>
  <c r="BX22" i="213"/>
  <c r="BY22" i="213"/>
  <c r="BZ22" i="213"/>
  <c r="CE22" i="213"/>
  <c r="B23" i="213"/>
  <c r="BS23" i="213"/>
  <c r="BT23" i="213"/>
  <c r="BU23" i="213"/>
  <c r="BV23" i="213"/>
  <c r="BW23" i="213"/>
  <c r="BX23" i="213"/>
  <c r="BY23" i="213"/>
  <c r="BZ23" i="213"/>
  <c r="CE23" i="213"/>
  <c r="B24" i="213"/>
  <c r="BS24" i="213"/>
  <c r="BT24" i="213"/>
  <c r="BU24" i="213"/>
  <c r="BV24" i="213"/>
  <c r="BW24" i="213"/>
  <c r="BX24" i="213"/>
  <c r="BY24" i="213"/>
  <c r="BZ24" i="213"/>
  <c r="CE24" i="213"/>
  <c r="B25" i="213"/>
  <c r="BS25" i="213"/>
  <c r="BT25" i="213"/>
  <c r="BU25" i="213"/>
  <c r="BV25" i="213"/>
  <c r="BW25" i="213"/>
  <c r="BX25" i="213"/>
  <c r="BY25" i="213"/>
  <c r="BZ25" i="213"/>
  <c r="CE25" i="213"/>
  <c r="B26" i="213"/>
  <c r="BS26" i="213"/>
  <c r="BT26" i="213"/>
  <c r="BU26" i="213"/>
  <c r="BV26" i="213"/>
  <c r="BW26" i="213"/>
  <c r="BX26" i="213"/>
  <c r="BY26" i="213"/>
  <c r="BZ26" i="213"/>
  <c r="CE26" i="213"/>
  <c r="B27" i="213"/>
  <c r="BS27" i="213"/>
  <c r="BT27" i="213"/>
  <c r="BU27" i="213"/>
  <c r="BV27" i="213"/>
  <c r="BW27" i="213"/>
  <c r="BX27" i="213"/>
  <c r="BY27" i="213"/>
  <c r="BZ27" i="213"/>
  <c r="CE27" i="213"/>
  <c r="B28" i="213"/>
  <c r="BS28" i="213"/>
  <c r="BT28" i="213"/>
  <c r="BU28" i="213"/>
  <c r="BV28" i="213"/>
  <c r="BW28" i="213"/>
  <c r="BX28" i="213"/>
  <c r="BY28" i="213"/>
  <c r="BZ28" i="213"/>
  <c r="CE28" i="213"/>
  <c r="B29" i="213"/>
  <c r="BS29" i="213"/>
  <c r="BT29" i="213"/>
  <c r="BU29" i="213"/>
  <c r="BV29" i="213"/>
  <c r="BW29" i="213"/>
  <c r="BX29" i="213"/>
  <c r="BY29" i="213"/>
  <c r="BZ29" i="213"/>
  <c r="CE29" i="213"/>
  <c r="B30" i="213"/>
  <c r="BS30" i="213"/>
  <c r="BT30" i="213"/>
  <c r="BU30" i="213"/>
  <c r="BV30" i="213"/>
  <c r="BW30" i="213"/>
  <c r="BX30" i="213"/>
  <c r="BY30" i="213"/>
  <c r="BZ30" i="213"/>
  <c r="CE30" i="213"/>
  <c r="B31" i="213"/>
  <c r="BS31" i="213"/>
  <c r="BT31" i="213"/>
  <c r="BU31" i="213"/>
  <c r="BV31" i="213"/>
  <c r="BW31" i="213"/>
  <c r="BX31" i="213"/>
  <c r="BY31" i="213"/>
  <c r="BZ31" i="213"/>
  <c r="CE31" i="213"/>
  <c r="B32" i="213"/>
  <c r="BS32" i="213"/>
  <c r="BT32" i="213"/>
  <c r="BU32" i="213"/>
  <c r="BV32" i="213"/>
  <c r="BW32" i="213"/>
  <c r="BX32" i="213"/>
  <c r="BY32" i="213"/>
  <c r="BZ32" i="213"/>
  <c r="CE32" i="213"/>
  <c r="B33" i="213"/>
  <c r="BS33" i="213"/>
  <c r="BT33" i="213"/>
  <c r="BU33" i="213"/>
  <c r="BV33" i="213"/>
  <c r="BW33" i="213"/>
  <c r="BX33" i="213"/>
  <c r="BY33" i="213"/>
  <c r="BZ33" i="213"/>
  <c r="CE33" i="213"/>
  <c r="B34" i="213"/>
  <c r="BS34" i="213"/>
  <c r="BT34" i="213"/>
  <c r="BU34" i="213"/>
  <c r="BV34" i="213"/>
  <c r="BW34" i="213"/>
  <c r="BX34" i="213"/>
  <c r="BY34" i="213"/>
  <c r="BZ34" i="213"/>
  <c r="CE34" i="213"/>
  <c r="B35" i="213"/>
  <c r="BS35" i="213"/>
  <c r="BT35" i="213"/>
  <c r="BU35" i="213"/>
  <c r="BV35" i="213"/>
  <c r="BW35" i="213"/>
  <c r="BX35" i="213"/>
  <c r="BY35" i="213"/>
  <c r="BZ35" i="213"/>
  <c r="CE35" i="213"/>
  <c r="B36" i="213"/>
  <c r="BS36" i="213"/>
  <c r="BT36" i="213"/>
  <c r="BU36" i="213"/>
  <c r="BV36" i="213"/>
  <c r="BW36" i="213"/>
  <c r="BX36" i="213"/>
  <c r="BY36" i="213"/>
  <c r="BZ36" i="213"/>
  <c r="CE36" i="213"/>
  <c r="B37" i="213"/>
  <c r="BS37" i="213"/>
  <c r="BT37" i="213"/>
  <c r="BU37" i="213"/>
  <c r="BV37" i="213"/>
  <c r="BW37" i="213"/>
  <c r="BX37" i="213"/>
  <c r="BY37" i="213"/>
  <c r="BZ37" i="213"/>
  <c r="CE37" i="213"/>
  <c r="B38" i="213"/>
  <c r="BS38" i="213"/>
  <c r="BT38" i="213"/>
  <c r="BU38" i="213"/>
  <c r="BV38" i="213"/>
  <c r="BW38" i="213"/>
  <c r="BX38" i="213"/>
  <c r="BY38" i="213"/>
  <c r="BZ38" i="213"/>
  <c r="CE38" i="213"/>
  <c r="B39" i="213"/>
  <c r="BS39" i="213"/>
  <c r="BT39" i="213"/>
  <c r="BU39" i="213"/>
  <c r="BV39" i="213"/>
  <c r="BW39" i="213"/>
  <c r="BX39" i="213"/>
  <c r="BY39" i="213"/>
  <c r="BZ39" i="213"/>
  <c r="CE39" i="213"/>
  <c r="B40" i="213"/>
  <c r="BS40" i="213"/>
  <c r="BT40" i="213"/>
  <c r="BU40" i="213"/>
  <c r="BV40" i="213"/>
  <c r="BW40" i="213"/>
  <c r="BX40" i="213"/>
  <c r="BY40" i="213"/>
  <c r="BZ40" i="213"/>
  <c r="CE40" i="213"/>
  <c r="B41" i="213"/>
  <c r="BS41" i="213"/>
  <c r="BT41" i="213"/>
  <c r="BU41" i="213"/>
  <c r="BV41" i="213"/>
  <c r="BW41" i="213"/>
  <c r="BX41" i="213"/>
  <c r="BY41" i="213"/>
  <c r="BZ41" i="213"/>
  <c r="CE41" i="213"/>
  <c r="B42" i="213"/>
  <c r="BS42" i="213"/>
  <c r="BT42" i="213"/>
  <c r="BU42" i="213"/>
  <c r="BV42" i="213"/>
  <c r="BW42" i="213"/>
  <c r="BX42" i="213"/>
  <c r="BY42" i="213"/>
  <c r="BZ42" i="213"/>
  <c r="CE42" i="213"/>
  <c r="A43" i="213"/>
  <c r="B44" i="213"/>
  <c r="BS44" i="213"/>
  <c r="BT44" i="213"/>
  <c r="BU44" i="213"/>
  <c r="BV44" i="213"/>
  <c r="BW44" i="213"/>
  <c r="BX44" i="213"/>
  <c r="BY44" i="213"/>
  <c r="BZ44" i="213"/>
  <c r="B45" i="213"/>
  <c r="BS45" i="213"/>
  <c r="BT45" i="213"/>
  <c r="BU45" i="213"/>
  <c r="BV45" i="213"/>
  <c r="BW45" i="213"/>
  <c r="BX45" i="213"/>
  <c r="BY45" i="213"/>
  <c r="BZ45" i="213"/>
  <c r="B46" i="213"/>
  <c r="BS46" i="213"/>
  <c r="BT46" i="213"/>
  <c r="BU46" i="213"/>
  <c r="BV46" i="213"/>
  <c r="BW46" i="213"/>
  <c r="BX46" i="213"/>
  <c r="BY46" i="213"/>
  <c r="BZ46" i="213"/>
  <c r="B47" i="213"/>
  <c r="BS47" i="213"/>
  <c r="BT47" i="213"/>
  <c r="BU47" i="213"/>
  <c r="BV47" i="213"/>
  <c r="BW47" i="213"/>
  <c r="BX47" i="213"/>
  <c r="BY47" i="213"/>
  <c r="BZ47" i="213"/>
  <c r="B48" i="213"/>
  <c r="BS48" i="213"/>
  <c r="BT48" i="213"/>
  <c r="BU48" i="213"/>
  <c r="BV48" i="213"/>
  <c r="BW48" i="213"/>
  <c r="BX48" i="213"/>
  <c r="BY48" i="213"/>
  <c r="BZ48" i="213"/>
  <c r="B49" i="213"/>
  <c r="BS49" i="213"/>
  <c r="BT49" i="213"/>
  <c r="BU49" i="213"/>
  <c r="BV49" i="213"/>
  <c r="BW49" i="213"/>
  <c r="BX49" i="213"/>
  <c r="BY49" i="213"/>
  <c r="BZ49" i="213"/>
  <c r="B50" i="213"/>
  <c r="BS50" i="213"/>
  <c r="BT50" i="213"/>
  <c r="BU50" i="213"/>
  <c r="BV50" i="213"/>
  <c r="BW50" i="213"/>
  <c r="BX50" i="213"/>
  <c r="BY50" i="213"/>
  <c r="BZ50" i="213"/>
  <c r="B51" i="213"/>
  <c r="BS51" i="213"/>
  <c r="BT51" i="213"/>
  <c r="BU51" i="213"/>
  <c r="BV51" i="213"/>
  <c r="BW51" i="213"/>
  <c r="BX51" i="213"/>
  <c r="BY51" i="213"/>
  <c r="BZ51" i="213"/>
  <c r="B52" i="213"/>
  <c r="BS52" i="213"/>
  <c r="BT52" i="213"/>
  <c r="BU52" i="213"/>
  <c r="BV52" i="213"/>
  <c r="BW52" i="213"/>
  <c r="BX52" i="213"/>
  <c r="BY52" i="213"/>
  <c r="BZ52" i="213"/>
  <c r="B53" i="213"/>
  <c r="BS53" i="213"/>
  <c r="BT53" i="213"/>
  <c r="BU53" i="213"/>
  <c r="BV53" i="213"/>
  <c r="BW53" i="213"/>
  <c r="BX53" i="213"/>
  <c r="BY53" i="213"/>
  <c r="BZ53" i="213"/>
  <c r="C57" i="213"/>
  <c r="C58" i="213"/>
  <c r="C59" i="213"/>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2" i="2"/>
  <c r="F21" i="2"/>
  <c r="F22" i="2"/>
  <c r="F24" i="2"/>
  <c r="F25" i="2"/>
  <c r="F43" i="2"/>
  <c r="F44" i="2"/>
  <c r="B2" i="5"/>
  <c r="B2" i="173"/>
  <c r="AP2" i="173"/>
  <c r="J9" i="173" s="1"/>
  <c r="Q4" i="173"/>
  <c r="L9" i="173"/>
  <c r="Z12" i="173" s="1"/>
  <c r="M9" i="173"/>
  <c r="AA12" i="173" s="1"/>
  <c r="N9" i="173"/>
  <c r="AB12" i="173" s="1"/>
  <c r="S12" i="173"/>
  <c r="T12" i="173"/>
  <c r="U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S33" i="173"/>
  <c r="T33" i="173"/>
  <c r="U33" i="173"/>
  <c r="W33" i="173"/>
  <c r="X33" i="173"/>
  <c r="Z33" i="173"/>
  <c r="AA33" i="173"/>
  <c r="AB33" i="173"/>
  <c r="AD33" i="173"/>
  <c r="AE33" i="173"/>
  <c r="S34" i="173"/>
  <c r="T34" i="173"/>
  <c r="U34" i="173"/>
  <c r="W34" i="173"/>
  <c r="X34" i="173"/>
  <c r="Z34" i="173"/>
  <c r="AA34" i="173"/>
  <c r="AB34" i="173"/>
  <c r="AD34" i="173"/>
  <c r="AE34" i="173"/>
  <c r="S35" i="173"/>
  <c r="T35" i="173"/>
  <c r="U35" i="173"/>
  <c r="W35" i="173"/>
  <c r="X35" i="173"/>
  <c r="Z35" i="173"/>
  <c r="AA35" i="173"/>
  <c r="AB35" i="173"/>
  <c r="AD35" i="173"/>
  <c r="AE35" i="173"/>
  <c r="S36" i="173"/>
  <c r="T36" i="173"/>
  <c r="U36" i="173"/>
  <c r="W36" i="173"/>
  <c r="X36" i="173"/>
  <c r="Z36" i="173"/>
  <c r="AA36" i="173"/>
  <c r="AB36" i="173"/>
  <c r="AD36" i="173"/>
  <c r="AE36" i="173"/>
  <c r="S37" i="173"/>
  <c r="T37" i="173"/>
  <c r="U37" i="173"/>
  <c r="W37" i="173"/>
  <c r="X37" i="173"/>
  <c r="Z37" i="173"/>
  <c r="AA37" i="173"/>
  <c r="AB37" i="173"/>
  <c r="AD37" i="173"/>
  <c r="AE37" i="173"/>
  <c r="S38" i="173"/>
  <c r="T38" i="173"/>
  <c r="U38" i="173"/>
  <c r="W38" i="173"/>
  <c r="X38" i="173"/>
  <c r="Z38" i="173"/>
  <c r="AA38" i="173"/>
  <c r="AB38" i="173"/>
  <c r="AD38" i="173"/>
  <c r="AE38" i="173"/>
  <c r="S39" i="173"/>
  <c r="T39" i="173"/>
  <c r="U39" i="173"/>
  <c r="W39" i="173"/>
  <c r="X39" i="173"/>
  <c r="Z39" i="173"/>
  <c r="AA39" i="173"/>
  <c r="AB39" i="173"/>
  <c r="AD39" i="173"/>
  <c r="AE39" i="173"/>
  <c r="S40" i="173"/>
  <c r="T40" i="173"/>
  <c r="U40" i="173"/>
  <c r="W40" i="173"/>
  <c r="X40" i="173"/>
  <c r="Z40" i="173"/>
  <c r="AA40" i="173"/>
  <c r="AB40" i="173"/>
  <c r="AD40" i="173"/>
  <c r="AE40" i="173"/>
  <c r="S41" i="173"/>
  <c r="T41" i="173"/>
  <c r="U41" i="173"/>
  <c r="W41" i="173"/>
  <c r="X41" i="173"/>
  <c r="Z41" i="173"/>
  <c r="AA41" i="173"/>
  <c r="AB41" i="173"/>
  <c r="AD41" i="173"/>
  <c r="AE41" i="173"/>
  <c r="S42" i="173"/>
  <c r="T42" i="173"/>
  <c r="U42" i="173"/>
  <c r="W42" i="173"/>
  <c r="X42" i="173"/>
  <c r="Z42" i="173"/>
  <c r="AA42" i="173"/>
  <c r="AB42" i="173"/>
  <c r="AD42" i="173"/>
  <c r="AE42" i="173"/>
  <c r="B2" i="156"/>
  <c r="F4" i="156"/>
  <c r="C7" i="156"/>
  <c r="F20" i="156"/>
  <c r="F21" i="156"/>
  <c r="F25" i="156"/>
  <c r="F26" i="156"/>
  <c r="F27" i="156"/>
  <c r="F28" i="156"/>
  <c r="F29" i="156"/>
  <c r="F30" i="156"/>
  <c r="F31" i="156"/>
  <c r="F34" i="156"/>
  <c r="F35" i="156"/>
  <c r="F36" i="156"/>
  <c r="F37" i="156"/>
  <c r="C54" i="156"/>
  <c r="F54" i="156" s="1"/>
  <c r="C55" i="156"/>
  <c r="F55" i="156" s="1"/>
  <c r="C56" i="156"/>
  <c r="F56" i="156" s="1"/>
  <c r="C57" i="156"/>
  <c r="F57" i="156" s="1"/>
  <c r="F78" i="156"/>
  <c r="B2" i="189"/>
  <c r="G28" i="189"/>
  <c r="B2" i="185"/>
  <c r="AD2" i="185"/>
  <c r="D7" i="156" s="1"/>
  <c r="D65" i="156" s="1"/>
  <c r="AG2" i="185"/>
  <c r="N7" i="185" s="1"/>
  <c r="AD3" i="185"/>
  <c r="AG3" i="185" s="1"/>
  <c r="Z4" i="185"/>
  <c r="AD4" i="185"/>
  <c r="AG4" i="185" s="1"/>
  <c r="AD5" i="185"/>
  <c r="AG5" i="185" s="1"/>
  <c r="B11" i="185"/>
  <c r="D11" i="185"/>
  <c r="E11" i="185"/>
  <c r="F11" i="185"/>
  <c r="G11" i="185"/>
  <c r="H11" i="185"/>
  <c r="K11" i="185"/>
  <c r="N11" i="185"/>
  <c r="O11" i="185"/>
  <c r="P11" i="185"/>
  <c r="Q11" i="185"/>
  <c r="R11" i="185"/>
  <c r="U11" i="185"/>
  <c r="AD11" i="185"/>
  <c r="B12" i="185"/>
  <c r="D12" i="185"/>
  <c r="E12" i="185"/>
  <c r="F12" i="185"/>
  <c r="G12" i="185"/>
  <c r="H12" i="185"/>
  <c r="K12" i="185"/>
  <c r="N12" i="185"/>
  <c r="O12" i="185"/>
  <c r="P12" i="185"/>
  <c r="Q12" i="185"/>
  <c r="R12" i="185"/>
  <c r="U12" i="185"/>
  <c r="AD12" i="185"/>
  <c r="B13" i="185"/>
  <c r="D13" i="185"/>
  <c r="E13" i="185"/>
  <c r="F13" i="185"/>
  <c r="G13" i="185"/>
  <c r="H13" i="185"/>
  <c r="K13" i="185"/>
  <c r="N13" i="185"/>
  <c r="O13" i="185"/>
  <c r="P13" i="185"/>
  <c r="Q13" i="185"/>
  <c r="R13" i="185"/>
  <c r="U13" i="185"/>
  <c r="AD13" i="185"/>
  <c r="B14" i="185"/>
  <c r="D14" i="185"/>
  <c r="E14" i="185"/>
  <c r="F14" i="185"/>
  <c r="G14" i="185"/>
  <c r="H14" i="185"/>
  <c r="K14" i="185"/>
  <c r="N14" i="185"/>
  <c r="O14" i="185"/>
  <c r="P14" i="185"/>
  <c r="Q14" i="185"/>
  <c r="R14" i="185"/>
  <c r="U14" i="185"/>
  <c r="AD14" i="185"/>
  <c r="B15" i="185"/>
  <c r="D15" i="185"/>
  <c r="E15" i="185"/>
  <c r="F15" i="185"/>
  <c r="G15" i="185"/>
  <c r="H15" i="185"/>
  <c r="K15" i="185"/>
  <c r="N15" i="185"/>
  <c r="O15" i="185"/>
  <c r="P15" i="185"/>
  <c r="Q15" i="185"/>
  <c r="R15" i="185"/>
  <c r="U15" i="185"/>
  <c r="AD15" i="185"/>
  <c r="B16" i="185"/>
  <c r="D16" i="185"/>
  <c r="E16" i="185"/>
  <c r="F16" i="185"/>
  <c r="G16" i="185"/>
  <c r="H16" i="185"/>
  <c r="K16" i="185"/>
  <c r="N16" i="185"/>
  <c r="O16" i="185"/>
  <c r="P16" i="185"/>
  <c r="Q16" i="185"/>
  <c r="R16" i="185"/>
  <c r="U16" i="185"/>
  <c r="AD16" i="185"/>
  <c r="B17" i="185"/>
  <c r="D17" i="185"/>
  <c r="E17" i="185"/>
  <c r="F17" i="185"/>
  <c r="G17" i="185"/>
  <c r="H17" i="185"/>
  <c r="K17" i="185"/>
  <c r="N17" i="185"/>
  <c r="O17" i="185"/>
  <c r="P17" i="185"/>
  <c r="Q17" i="185"/>
  <c r="R17" i="185"/>
  <c r="U17" i="185"/>
  <c r="AD17" i="185"/>
  <c r="B18" i="185"/>
  <c r="D18" i="185"/>
  <c r="E18" i="185"/>
  <c r="F18" i="185"/>
  <c r="G18" i="185"/>
  <c r="H18" i="185"/>
  <c r="K18" i="185"/>
  <c r="N18" i="185"/>
  <c r="O18" i="185"/>
  <c r="P18" i="185"/>
  <c r="Q18" i="185"/>
  <c r="R18" i="185"/>
  <c r="U18" i="185"/>
  <c r="AD18" i="185"/>
  <c r="B19" i="185"/>
  <c r="D19" i="185"/>
  <c r="E19" i="185"/>
  <c r="F19" i="185"/>
  <c r="G19" i="185"/>
  <c r="H19" i="185"/>
  <c r="K19" i="185"/>
  <c r="N19" i="185"/>
  <c r="O19" i="185"/>
  <c r="P19" i="185"/>
  <c r="Q19" i="185"/>
  <c r="R19" i="185"/>
  <c r="U19" i="185"/>
  <c r="AD19" i="185"/>
  <c r="B20" i="185"/>
  <c r="D20" i="185"/>
  <c r="E20" i="185"/>
  <c r="F20" i="185"/>
  <c r="G20" i="185"/>
  <c r="H20" i="185"/>
  <c r="K20" i="185"/>
  <c r="N20" i="185"/>
  <c r="O20" i="185"/>
  <c r="P20" i="185"/>
  <c r="Q20" i="185"/>
  <c r="R20" i="185"/>
  <c r="U20" i="185"/>
  <c r="AD20" i="185"/>
  <c r="B21" i="185"/>
  <c r="D21" i="185"/>
  <c r="E21" i="185"/>
  <c r="F21" i="185"/>
  <c r="G21" i="185"/>
  <c r="H21" i="185"/>
  <c r="K21" i="185"/>
  <c r="N21" i="185"/>
  <c r="O21" i="185"/>
  <c r="P21" i="185"/>
  <c r="Q21" i="185"/>
  <c r="R21" i="185"/>
  <c r="U21" i="185"/>
  <c r="AD21" i="185"/>
  <c r="B22" i="185"/>
  <c r="D22" i="185"/>
  <c r="E22" i="185"/>
  <c r="F22" i="185"/>
  <c r="G22" i="185"/>
  <c r="H22" i="185"/>
  <c r="K22" i="185"/>
  <c r="N22" i="185"/>
  <c r="O22" i="185"/>
  <c r="P22" i="185"/>
  <c r="Q22" i="185"/>
  <c r="R22" i="185"/>
  <c r="U22" i="185"/>
  <c r="AD22" i="185"/>
  <c r="B23" i="185"/>
  <c r="D23" i="185"/>
  <c r="E23" i="185"/>
  <c r="F23" i="185"/>
  <c r="G23" i="185"/>
  <c r="H23" i="185"/>
  <c r="K23" i="185"/>
  <c r="N23" i="185"/>
  <c r="O23" i="185"/>
  <c r="P23" i="185"/>
  <c r="Q23" i="185"/>
  <c r="R23" i="185"/>
  <c r="U23" i="185"/>
  <c r="AD23" i="185"/>
  <c r="B24" i="185"/>
  <c r="D24" i="185"/>
  <c r="E24" i="185"/>
  <c r="F24" i="185"/>
  <c r="G24" i="185"/>
  <c r="H24" i="185"/>
  <c r="K24" i="185"/>
  <c r="N24" i="185"/>
  <c r="O24" i="185"/>
  <c r="P24" i="185"/>
  <c r="Q24" i="185"/>
  <c r="R24" i="185"/>
  <c r="U24" i="185"/>
  <c r="AD24" i="185"/>
  <c r="B25" i="185"/>
  <c r="D25" i="185"/>
  <c r="E25" i="185"/>
  <c r="F25" i="185"/>
  <c r="G25" i="185"/>
  <c r="H25" i="185"/>
  <c r="K25" i="185"/>
  <c r="N25" i="185"/>
  <c r="O25" i="185"/>
  <c r="P25" i="185"/>
  <c r="Q25" i="185"/>
  <c r="R25" i="185"/>
  <c r="U25" i="185"/>
  <c r="AD25" i="185"/>
  <c r="B26" i="185"/>
  <c r="D26" i="185"/>
  <c r="E26" i="185"/>
  <c r="F26" i="185"/>
  <c r="G26" i="185"/>
  <c r="H26" i="185"/>
  <c r="K26" i="185"/>
  <c r="N26" i="185"/>
  <c r="O26" i="185"/>
  <c r="P26" i="185"/>
  <c r="Q26" i="185"/>
  <c r="R26" i="185"/>
  <c r="U26" i="185"/>
  <c r="AD26" i="185"/>
  <c r="B2" i="245"/>
  <c r="B2" i="244"/>
  <c r="B44" i="244" s="1"/>
  <c r="B46" i="244" s="1"/>
  <c r="AB3" i="244"/>
  <c r="Y4" i="244"/>
  <c r="AB4" i="244"/>
  <c r="AB5" i="244"/>
  <c r="M11" i="244"/>
  <c r="M12" i="244"/>
  <c r="M13" i="244"/>
  <c r="M14" i="244"/>
  <c r="M15" i="244"/>
  <c r="M16" i="244"/>
  <c r="M17" i="244"/>
  <c r="M18" i="244"/>
  <c r="M19" i="244"/>
  <c r="M20" i="244"/>
  <c r="M21" i="244"/>
  <c r="M22" i="244"/>
  <c r="M23" i="244"/>
  <c r="M24" i="244"/>
  <c r="M25" i="244"/>
  <c r="M26" i="244"/>
  <c r="M44" i="244"/>
  <c r="M46" i="244" s="1"/>
  <c r="S44" i="244"/>
  <c r="S46" i="244"/>
  <c r="B2" i="243"/>
  <c r="D25" i="243"/>
  <c r="D38" i="243"/>
  <c r="D41" i="243"/>
  <c r="D42" i="243"/>
  <c r="D43" i="243"/>
  <c r="B2" i="242"/>
  <c r="F13" i="242"/>
  <c r="B2" i="241"/>
  <c r="O4" i="241"/>
  <c r="D11" i="241"/>
  <c r="E15" i="241"/>
  <c r="E50" i="241" s="1"/>
  <c r="S18" i="241"/>
  <c r="B19" i="241"/>
  <c r="B20" i="241"/>
  <c r="B28" i="241" s="1"/>
  <c r="B21" i="241"/>
  <c r="B29" i="241" s="1"/>
  <c r="B22" i="241"/>
  <c r="B30" i="241" s="1"/>
  <c r="S26" i="241"/>
  <c r="S31" i="241"/>
  <c r="B24" i="245"/>
  <c r="B37" i="241"/>
  <c r="B25" i="245" s="1"/>
  <c r="D50" i="241"/>
  <c r="O59" i="241"/>
  <c r="D66" i="241"/>
  <c r="D100" i="241"/>
  <c r="D120" i="241" s="1"/>
  <c r="D135" i="241" s="1"/>
  <c r="B2" i="236"/>
  <c r="F4" i="236"/>
  <c r="F21" i="236"/>
  <c r="A36" i="236"/>
  <c r="A37" i="236"/>
  <c r="B2" i="232"/>
  <c r="D9" i="152"/>
  <c r="D13" i="152"/>
  <c r="D15" i="152"/>
  <c r="B2" i="234"/>
  <c r="O4" i="234"/>
  <c r="J12" i="234"/>
  <c r="M12" i="234" s="1"/>
  <c r="X12" i="234"/>
  <c r="Y12" i="234"/>
  <c r="AA12" i="234"/>
  <c r="AC12" i="234"/>
  <c r="J13" i="234"/>
  <c r="M13" i="234" s="1"/>
  <c r="O13" i="234" s="1"/>
  <c r="X13" i="234"/>
  <c r="Y13" i="234"/>
  <c r="AA13" i="234"/>
  <c r="AC13" i="234"/>
  <c r="J14" i="234"/>
  <c r="M14" i="234" s="1"/>
  <c r="O14" i="234" s="1"/>
  <c r="X14" i="234"/>
  <c r="Y14" i="234"/>
  <c r="AA14" i="234"/>
  <c r="AC14" i="234"/>
  <c r="J15" i="234"/>
  <c r="M15" i="234" s="1"/>
  <c r="O15" i="234" s="1"/>
  <c r="X15" i="234"/>
  <c r="Y15" i="234"/>
  <c r="AA15" i="234"/>
  <c r="AC15" i="234"/>
  <c r="K16" i="234"/>
  <c r="J16" i="234" s="1"/>
  <c r="M16" i="234" s="1"/>
  <c r="O16" i="234" s="1"/>
  <c r="X16" i="234"/>
  <c r="Y16" i="234"/>
  <c r="AA16" i="234"/>
  <c r="AC16" i="234"/>
  <c r="J17" i="234"/>
  <c r="M17" i="234" s="1"/>
  <c r="O17" i="234" s="1"/>
  <c r="X17" i="234"/>
  <c r="Y17" i="234"/>
  <c r="AA17" i="234"/>
  <c r="AC17" i="234"/>
  <c r="J18" i="234"/>
  <c r="M18" i="234" s="1"/>
  <c r="O18" i="234" s="1"/>
  <c r="X18" i="234"/>
  <c r="Y18" i="234"/>
  <c r="AA18" i="234"/>
  <c r="AC18" i="234"/>
  <c r="J19" i="234"/>
  <c r="AA19" i="234" s="1"/>
  <c r="X19" i="234"/>
  <c r="Y19" i="234"/>
  <c r="AC19" i="234"/>
  <c r="J20" i="234"/>
  <c r="AA20" i="234" s="1"/>
  <c r="X20" i="234"/>
  <c r="Y20" i="234"/>
  <c r="AC20" i="234"/>
  <c r="J21" i="234"/>
  <c r="AA21" i="234" s="1"/>
  <c r="X21" i="234"/>
  <c r="Y21" i="234"/>
  <c r="AC21" i="234"/>
  <c r="J22" i="234"/>
  <c r="M22" i="234" s="1"/>
  <c r="O22" i="234" s="1"/>
  <c r="U22" i="234"/>
  <c r="V22" i="234"/>
  <c r="X22" i="234"/>
  <c r="Y22" i="234"/>
  <c r="J23" i="234"/>
  <c r="M23" i="234" s="1"/>
  <c r="O23" i="234" s="1"/>
  <c r="X23" i="234"/>
  <c r="Y23" i="234"/>
  <c r="AC23" i="234"/>
  <c r="J24" i="234"/>
  <c r="AA24" i="234" s="1"/>
  <c r="X24" i="234"/>
  <c r="Y24" i="234"/>
  <c r="AC24" i="234"/>
  <c r="J25" i="234"/>
  <c r="AA25" i="234" s="1"/>
  <c r="X25" i="234"/>
  <c r="Y25" i="234"/>
  <c r="AC25" i="234"/>
  <c r="J26" i="234"/>
  <c r="M26" i="234" s="1"/>
  <c r="O26" i="234" s="1"/>
  <c r="X26" i="234"/>
  <c r="Y26" i="234"/>
  <c r="AC26" i="234"/>
  <c r="J27" i="234"/>
  <c r="M27" i="234" s="1"/>
  <c r="O27" i="234" s="1"/>
  <c r="X27" i="234"/>
  <c r="Y27" i="234"/>
  <c r="AC27" i="234"/>
  <c r="J28" i="234"/>
  <c r="M28" i="234" s="1"/>
  <c r="O28" i="234" s="1"/>
  <c r="X28" i="234"/>
  <c r="Y28" i="234"/>
  <c r="AC28" i="234"/>
  <c r="J29" i="234"/>
  <c r="M29" i="234" s="1"/>
  <c r="O29" i="234" s="1"/>
  <c r="U29" i="234"/>
  <c r="V29" i="234"/>
  <c r="X29" i="234"/>
  <c r="Y29" i="234"/>
  <c r="J30" i="234"/>
  <c r="M30" i="234" s="1"/>
  <c r="O30" i="234" s="1"/>
  <c r="X30" i="234"/>
  <c r="Y30" i="234"/>
  <c r="AC30" i="234"/>
  <c r="J31" i="234"/>
  <c r="M31" i="234" s="1"/>
  <c r="O31" i="234" s="1"/>
  <c r="X31" i="234"/>
  <c r="Y31" i="234"/>
  <c r="AC31" i="234"/>
  <c r="J32" i="234"/>
  <c r="M32" i="234" s="1"/>
  <c r="O32" i="234" s="1"/>
  <c r="X32" i="234"/>
  <c r="Y32" i="234"/>
  <c r="AC32" i="234"/>
  <c r="J33" i="234"/>
  <c r="M33" i="234" s="1"/>
  <c r="O33" i="234" s="1"/>
  <c r="X33" i="234"/>
  <c r="Y33" i="234"/>
  <c r="AC33" i="234"/>
  <c r="J34" i="234"/>
  <c r="M34" i="234" s="1"/>
  <c r="O34" i="234" s="1"/>
  <c r="X34" i="234"/>
  <c r="Y34" i="234"/>
  <c r="AC34" i="234"/>
  <c r="J35" i="234"/>
  <c r="M35" i="234" s="1"/>
  <c r="O35" i="234" s="1"/>
  <c r="U35" i="234"/>
  <c r="V35" i="234"/>
  <c r="X35" i="234"/>
  <c r="Y35" i="234"/>
  <c r="J36" i="234"/>
  <c r="M36" i="234" s="1"/>
  <c r="O36" i="234" s="1"/>
  <c r="U36" i="234"/>
  <c r="V36" i="234"/>
  <c r="X36" i="234"/>
  <c r="Y36" i="234"/>
  <c r="J37" i="234"/>
  <c r="M37" i="234" s="1"/>
  <c r="O37" i="234" s="1"/>
  <c r="X37" i="234"/>
  <c r="Y37" i="234"/>
  <c r="AC37" i="234"/>
  <c r="J38" i="234"/>
  <c r="M38" i="234" s="1"/>
  <c r="O38" i="234" s="1"/>
  <c r="X38" i="234"/>
  <c r="Y38" i="234"/>
  <c r="AC38" i="234"/>
  <c r="J39" i="234"/>
  <c r="M39" i="234" s="1"/>
  <c r="O39" i="234" s="1"/>
  <c r="X39" i="234"/>
  <c r="Y39" i="234"/>
  <c r="AC39" i="234"/>
  <c r="J40" i="234"/>
  <c r="M40" i="234" s="1"/>
  <c r="O40" i="234" s="1"/>
  <c r="X40" i="234"/>
  <c r="Y40" i="234"/>
  <c r="AC40" i="234"/>
  <c r="P42" i="234"/>
  <c r="Q42" i="234"/>
  <c r="W42" i="234"/>
  <c r="P43" i="234"/>
  <c r="Q43" i="234"/>
  <c r="W43" i="234"/>
  <c r="P44" i="234"/>
  <c r="Q44" i="234"/>
  <c r="W44" i="234"/>
  <c r="P45" i="234"/>
  <c r="Q45" i="234"/>
  <c r="W45" i="234"/>
  <c r="P46" i="234"/>
  <c r="Q46" i="234"/>
  <c r="W46" i="234"/>
  <c r="P47" i="234"/>
  <c r="Q47" i="234"/>
  <c r="W47" i="234"/>
  <c r="B2" i="233"/>
  <c r="P4" i="233"/>
  <c r="B2" i="217"/>
  <c r="B2" i="14"/>
  <c r="I5" i="14"/>
  <c r="B9" i="14"/>
  <c r="D9" i="14"/>
  <c r="I10" i="14" s="1"/>
  <c r="E9" i="14"/>
  <c r="G9" i="14"/>
  <c r="B10" i="14"/>
  <c r="D10" i="14"/>
  <c r="J9" i="14" s="1"/>
  <c r="E10" i="14"/>
  <c r="G10" i="14"/>
  <c r="B11" i="14"/>
  <c r="D11" i="14"/>
  <c r="J10" i="14" s="1"/>
  <c r="E11" i="14"/>
  <c r="G11" i="14"/>
  <c r="B12" i="14"/>
  <c r="D12" i="14"/>
  <c r="J11" i="14" s="1"/>
  <c r="E12" i="14"/>
  <c r="G12" i="14"/>
  <c r="B13" i="14"/>
  <c r="D13" i="14"/>
  <c r="J12" i="14" s="1"/>
  <c r="E13" i="14"/>
  <c r="G13" i="14"/>
  <c r="B14" i="14"/>
  <c r="D14" i="14"/>
  <c r="J13" i="14" s="1"/>
  <c r="E14" i="14"/>
  <c r="G14" i="14"/>
  <c r="B15" i="14"/>
  <c r="D15" i="14"/>
  <c r="J14" i="14" s="1"/>
  <c r="E15" i="14"/>
  <c r="G15" i="14"/>
  <c r="B16" i="14"/>
  <c r="D16" i="14"/>
  <c r="J15" i="14" s="1"/>
  <c r="E16" i="14"/>
  <c r="G16" i="14"/>
  <c r="B17" i="14"/>
  <c r="D17" i="14"/>
  <c r="J16" i="14" s="1"/>
  <c r="E17" i="14"/>
  <c r="G17" i="14"/>
  <c r="B18" i="14"/>
  <c r="D18" i="14"/>
  <c r="J17" i="14" s="1"/>
  <c r="E18" i="14"/>
  <c r="G18" i="14"/>
  <c r="B19" i="14"/>
  <c r="D19" i="14"/>
  <c r="J18" i="14" s="1"/>
  <c r="E19" i="14"/>
  <c r="G19" i="14"/>
  <c r="B2" i="13"/>
  <c r="N6" i="13"/>
  <c r="D11" i="13"/>
  <c r="E11" i="13"/>
  <c r="F11" i="13"/>
  <c r="G11" i="13"/>
  <c r="H11" i="13"/>
  <c r="I11" i="13"/>
  <c r="J11" i="13"/>
  <c r="K11" i="13"/>
  <c r="O11" i="13"/>
  <c r="D12" i="13"/>
  <c r="E12" i="13"/>
  <c r="F12" i="13"/>
  <c r="G12" i="13"/>
  <c r="H12" i="13"/>
  <c r="I12" i="13"/>
  <c r="J12" i="13" s="1"/>
  <c r="K12" i="13" s="1"/>
  <c r="O12" i="13"/>
  <c r="D13" i="13"/>
  <c r="E13" i="13"/>
  <c r="F13" i="13"/>
  <c r="G13" i="13"/>
  <c r="H13" i="13"/>
  <c r="I13" i="13"/>
  <c r="O13" i="13"/>
  <c r="D14" i="13"/>
  <c r="E14" i="13"/>
  <c r="F14" i="13"/>
  <c r="G14" i="13"/>
  <c r="O14" i="13"/>
  <c r="D15" i="13"/>
  <c r="E15" i="13"/>
  <c r="F15" i="13"/>
  <c r="G15" i="13"/>
  <c r="H15" i="13"/>
  <c r="I15" i="13"/>
  <c r="J15" i="13" s="1"/>
  <c r="K15" i="13" s="1"/>
  <c r="O15" i="13"/>
  <c r="D16" i="13"/>
  <c r="E16" i="13"/>
  <c r="F16" i="13"/>
  <c r="G16" i="13"/>
  <c r="O16" i="13"/>
  <c r="D17" i="13"/>
  <c r="E17" i="13"/>
  <c r="F17" i="13"/>
  <c r="G17" i="13"/>
  <c r="O17" i="13"/>
  <c r="D18" i="13"/>
  <c r="E18" i="13"/>
  <c r="F18" i="13"/>
  <c r="G18" i="13"/>
  <c r="H18" i="13"/>
  <c r="I18" i="13" s="1"/>
  <c r="J18" i="13" s="1"/>
  <c r="K18" i="13" s="1"/>
  <c r="O18" i="13"/>
  <c r="D19" i="13"/>
  <c r="E19" i="13"/>
  <c r="F19" i="13"/>
  <c r="G19" i="13" s="1"/>
  <c r="H19" i="13" s="1"/>
  <c r="I19" i="13" s="1"/>
  <c r="J19" i="13" s="1"/>
  <c r="K19" i="13" s="1"/>
  <c r="O19" i="13"/>
  <c r="D20" i="13"/>
  <c r="E20" i="13"/>
  <c r="F20" i="13"/>
  <c r="G20" i="13"/>
  <c r="H20" i="13"/>
  <c r="I20" i="13"/>
  <c r="J20" i="13"/>
  <c r="K20" i="13"/>
  <c r="O20" i="13"/>
  <c r="O21" i="13"/>
  <c r="D22" i="13"/>
  <c r="E22" i="13"/>
  <c r="F22" i="13"/>
  <c r="G22" i="13"/>
  <c r="H22" i="13"/>
  <c r="I22" i="13" s="1"/>
  <c r="J22" i="13" s="1"/>
  <c r="K22" i="13" s="1"/>
  <c r="O22" i="13"/>
  <c r="D23" i="13"/>
  <c r="E23" i="13"/>
  <c r="F23" i="13"/>
  <c r="G23" i="13"/>
  <c r="H23" i="13"/>
  <c r="I23" i="13"/>
  <c r="J23" i="13" s="1"/>
  <c r="K23" i="13" s="1"/>
  <c r="O23" i="13"/>
  <c r="O24" i="13"/>
  <c r="D25" i="13"/>
  <c r="E25" i="13"/>
  <c r="F25" i="13"/>
  <c r="G25" i="13"/>
  <c r="H25" i="13"/>
  <c r="I25" i="13"/>
  <c r="J25" i="13"/>
  <c r="K25" i="13"/>
  <c r="O25" i="13"/>
  <c r="D26" i="13"/>
  <c r="E26" i="13"/>
  <c r="F26" i="13"/>
  <c r="G26" i="13"/>
  <c r="O26" i="13"/>
  <c r="D27" i="13"/>
  <c r="E27" i="13"/>
  <c r="F27" i="13"/>
  <c r="G27" i="13"/>
  <c r="H27" i="13"/>
  <c r="I27" i="13"/>
  <c r="J27" i="13"/>
  <c r="K27" i="13"/>
  <c r="O27" i="13"/>
  <c r="D28" i="13"/>
  <c r="E28" i="13"/>
  <c r="F28" i="13"/>
  <c r="G28" i="13" s="1"/>
  <c r="H28" i="13" s="1"/>
  <c r="I28" i="13" s="1"/>
  <c r="J28" i="13" s="1"/>
  <c r="K28" i="13" s="1"/>
  <c r="O28" i="13"/>
  <c r="D29" i="13"/>
  <c r="E29" i="13"/>
  <c r="F29" i="13"/>
  <c r="G29" i="13"/>
  <c r="H29" i="13"/>
  <c r="I29" i="13"/>
  <c r="J29" i="13"/>
  <c r="K29" i="13"/>
  <c r="O29" i="13"/>
  <c r="D32" i="13"/>
  <c r="E32" i="13"/>
  <c r="F32" i="13"/>
  <c r="G32" i="13" s="1"/>
  <c r="H32" i="13" s="1"/>
  <c r="I32" i="13" s="1"/>
  <c r="J32" i="13" s="1"/>
  <c r="K32" i="13" s="1"/>
  <c r="O32" i="13"/>
  <c r="D33" i="13"/>
  <c r="E33" i="13"/>
  <c r="F33" i="13"/>
  <c r="G33" i="13" s="1"/>
  <c r="H33" i="13" s="1"/>
  <c r="I33" i="13" s="1"/>
  <c r="J33" i="13" s="1"/>
  <c r="K33" i="13" s="1"/>
  <c r="O33" i="13"/>
  <c r="D34" i="13"/>
  <c r="E34" i="13"/>
  <c r="F34" i="13"/>
  <c r="G34" i="13" s="1"/>
  <c r="H34" i="13" s="1"/>
  <c r="I34" i="13" s="1"/>
  <c r="J34" i="13" s="1"/>
  <c r="K34" i="13" s="1"/>
  <c r="O34" i="13"/>
  <c r="D35" i="13"/>
  <c r="E35" i="13"/>
  <c r="F35" i="13"/>
  <c r="G35" i="13"/>
  <c r="H35" i="13"/>
  <c r="I35" i="13"/>
  <c r="J35" i="13"/>
  <c r="K35" i="13"/>
  <c r="O35" i="13"/>
  <c r="B2" i="250"/>
  <c r="B44" i="250" s="1"/>
  <c r="B46" i="250" s="1"/>
  <c r="AB3" i="250"/>
  <c r="E41" i="133"/>
  <c r="Y4" i="250"/>
  <c r="AB4" i="250"/>
  <c r="AB5" i="250"/>
  <c r="M11" i="250"/>
  <c r="M12" i="250"/>
  <c r="M13" i="250"/>
  <c r="M14" i="250"/>
  <c r="M15" i="250"/>
  <c r="M16" i="250"/>
  <c r="M17" i="250"/>
  <c r="M18" i="250"/>
  <c r="M19" i="250"/>
  <c r="M20" i="250"/>
  <c r="M21" i="250"/>
  <c r="M22" i="250"/>
  <c r="M23" i="250"/>
  <c r="M24" i="250"/>
  <c r="M25" i="250"/>
  <c r="M26" i="250"/>
  <c r="M27" i="250"/>
  <c r="M28" i="250"/>
  <c r="M29" i="250"/>
  <c r="M32" i="250"/>
  <c r="M33" i="250"/>
  <c r="M34" i="250"/>
  <c r="M35" i="250"/>
  <c r="M44" i="250"/>
  <c r="M46" i="250" s="1"/>
  <c r="S44" i="250"/>
  <c r="S46" i="250"/>
  <c r="B2" i="249"/>
  <c r="B44" i="249" s="1"/>
  <c r="B46" i="249" s="1"/>
  <c r="AB3" i="249"/>
  <c r="E39" i="133"/>
  <c r="Y4" i="249"/>
  <c r="AB4" i="249"/>
  <c r="AB5" i="249"/>
  <c r="M11" i="249"/>
  <c r="M12" i="249"/>
  <c r="M13" i="249"/>
  <c r="M14" i="249"/>
  <c r="M15" i="249"/>
  <c r="M16" i="249"/>
  <c r="M17" i="249"/>
  <c r="M18" i="249"/>
  <c r="M19" i="249"/>
  <c r="M20" i="249"/>
  <c r="M21" i="249"/>
  <c r="M22" i="249"/>
  <c r="M23" i="249"/>
  <c r="M24" i="249"/>
  <c r="M25" i="249"/>
  <c r="M26" i="249"/>
  <c r="M27" i="249"/>
  <c r="M28" i="249"/>
  <c r="M29" i="249"/>
  <c r="M32" i="249"/>
  <c r="M33" i="249"/>
  <c r="M34" i="249"/>
  <c r="M35" i="249"/>
  <c r="M44" i="249"/>
  <c r="M46" i="249" s="1"/>
  <c r="S44" i="249"/>
  <c r="S46" i="249"/>
  <c r="B2" i="256"/>
  <c r="B44" i="256" s="1"/>
  <c r="B46" i="256" s="1"/>
  <c r="AB3" i="256"/>
  <c r="E38" i="133"/>
  <c r="Y4" i="256"/>
  <c r="AB4" i="256"/>
  <c r="AB5" i="256"/>
  <c r="M11" i="256"/>
  <c r="M12" i="256"/>
  <c r="M13" i="256"/>
  <c r="M14" i="256"/>
  <c r="M15" i="256"/>
  <c r="M16" i="256"/>
  <c r="M17" i="256"/>
  <c r="M18" i="256"/>
  <c r="M19" i="256"/>
  <c r="M20" i="256"/>
  <c r="M21" i="256"/>
  <c r="M22" i="256"/>
  <c r="M23" i="256"/>
  <c r="M24" i="256"/>
  <c r="M25" i="256"/>
  <c r="M26" i="256"/>
  <c r="M27" i="256"/>
  <c r="M28" i="256"/>
  <c r="M29" i="256"/>
  <c r="M32" i="256"/>
  <c r="M33" i="256"/>
  <c r="M34" i="256"/>
  <c r="M35" i="256"/>
  <c r="M44" i="256"/>
  <c r="M46" i="256" s="1"/>
  <c r="S44" i="256"/>
  <c r="S46" i="256"/>
  <c r="B2" i="257"/>
  <c r="B43" i="257" s="1"/>
  <c r="B45" i="257" s="1"/>
  <c r="AB3" i="257"/>
  <c r="Y4" i="257"/>
  <c r="AB4" i="257"/>
  <c r="AB5" i="257"/>
  <c r="M10" i="257"/>
  <c r="M45" i="257"/>
  <c r="S43" i="257"/>
  <c r="S45" i="257"/>
  <c r="B2" i="12"/>
  <c r="AB3" i="12"/>
  <c r="Y4" i="12"/>
  <c r="AB4" i="12"/>
  <c r="AB5" i="12"/>
  <c r="M10" i="12"/>
  <c r="B43" i="12"/>
  <c r="B45" i="12" s="1"/>
  <c r="M43" i="12"/>
  <c r="M45" i="12" s="1"/>
  <c r="S43" i="12"/>
  <c r="S45" i="12"/>
  <c r="B2" i="11"/>
  <c r="D12" i="11"/>
  <c r="D26" i="11" s="1"/>
  <c r="E12" i="11"/>
  <c r="E39" i="11" s="1"/>
  <c r="G12" i="11"/>
  <c r="G26" i="11" s="1"/>
  <c r="D17" i="11"/>
  <c r="E17" i="11"/>
  <c r="E57" i="11" s="1"/>
  <c r="G17" i="11"/>
  <c r="G32" i="11" s="1"/>
  <c r="I32" i="11"/>
  <c r="D42" i="11"/>
  <c r="E42" i="11"/>
  <c r="G42" i="11"/>
  <c r="D43" i="11"/>
  <c r="E43" i="11"/>
  <c r="G43" i="11"/>
  <c r="D44" i="11"/>
  <c r="E44" i="11"/>
  <c r="G44" i="11"/>
  <c r="A69" i="11"/>
  <c r="B2" i="64"/>
  <c r="G4" i="64"/>
  <c r="D13" i="64"/>
  <c r="E13" i="64"/>
  <c r="E16" i="64" s="1"/>
  <c r="F13" i="64"/>
  <c r="F16" i="64" s="1"/>
  <c r="S21" i="279" s="1"/>
  <c r="G13" i="64"/>
  <c r="B2" i="63"/>
  <c r="J4" i="63"/>
  <c r="F11" i="63"/>
  <c r="G11" i="63"/>
  <c r="H11" i="63"/>
  <c r="S45" i="279" s="1"/>
  <c r="D11" i="63"/>
  <c r="S35" i="52" s="1"/>
  <c r="J13" i="63"/>
  <c r="J14" i="63"/>
  <c r="D31" i="63"/>
  <c r="B2" i="59"/>
  <c r="D8" i="59"/>
  <c r="D9" i="59"/>
  <c r="D10" i="59"/>
  <c r="D11" i="59"/>
  <c r="D12" i="59"/>
  <c r="D13" i="59"/>
  <c r="D14" i="59"/>
  <c r="D15" i="59"/>
  <c r="D16" i="59"/>
  <c r="D17" i="59"/>
  <c r="D18" i="59"/>
  <c r="D19" i="59"/>
  <c r="D20" i="59"/>
  <c r="D21" i="59"/>
  <c r="D22" i="59"/>
  <c r="D23" i="59"/>
  <c r="D24" i="59"/>
  <c r="D25" i="59"/>
  <c r="B2" i="57"/>
  <c r="AM3" i="57"/>
  <c r="AO3" i="57"/>
  <c r="AQ3" i="57"/>
  <c r="AM4" i="57"/>
  <c r="AO4" i="57"/>
  <c r="AQ4" i="57"/>
  <c r="AM5" i="57"/>
  <c r="AO5" i="57"/>
  <c r="AQ5" i="57"/>
  <c r="B9" i="57"/>
  <c r="C9" i="57"/>
  <c r="D9" i="57"/>
  <c r="B8" i="59" s="1"/>
  <c r="E9" i="57"/>
  <c r="F9" i="57"/>
  <c r="G9" i="57"/>
  <c r="L9" i="57"/>
  <c r="Q9" i="57"/>
  <c r="R9" i="57"/>
  <c r="S9" i="57"/>
  <c r="X9" i="57"/>
  <c r="Y9" i="57"/>
  <c r="AA9" i="57"/>
  <c r="AB9" i="57"/>
  <c r="AC9" i="57"/>
  <c r="AG9" i="57"/>
  <c r="AI9" i="57"/>
  <c r="AJ9" i="57"/>
  <c r="B10" i="57"/>
  <c r="C10" i="57"/>
  <c r="D10" i="57"/>
  <c r="B9" i="59" s="1"/>
  <c r="E10" i="57"/>
  <c r="F10" i="57"/>
  <c r="G10" i="57"/>
  <c r="L10" i="57"/>
  <c r="Q10" i="57"/>
  <c r="R10" i="57"/>
  <c r="S10" i="57"/>
  <c r="X10" i="57"/>
  <c r="Y10" i="57"/>
  <c r="AA10" i="57"/>
  <c r="AB10" i="57"/>
  <c r="AC10" i="57"/>
  <c r="AG10" i="57"/>
  <c r="AI10" i="57"/>
  <c r="AJ10" i="57"/>
  <c r="B11" i="57"/>
  <c r="C11" i="57"/>
  <c r="D11" i="57"/>
  <c r="B10" i="59" s="1"/>
  <c r="E11" i="57"/>
  <c r="F11" i="57"/>
  <c r="G11" i="57"/>
  <c r="L11" i="57"/>
  <c r="Q11" i="57"/>
  <c r="R11" i="57"/>
  <c r="S11" i="57"/>
  <c r="X11" i="57"/>
  <c r="Y11" i="57"/>
  <c r="AA11" i="57"/>
  <c r="AB11" i="57"/>
  <c r="AC11" i="57"/>
  <c r="AG11" i="57"/>
  <c r="AI11" i="57"/>
  <c r="AJ11" i="57"/>
  <c r="B12" i="57"/>
  <c r="C12" i="57"/>
  <c r="D12" i="57"/>
  <c r="B11" i="59" s="1"/>
  <c r="E12" i="57"/>
  <c r="F12" i="57"/>
  <c r="G12" i="57"/>
  <c r="L12" i="57"/>
  <c r="Q12" i="57"/>
  <c r="R12" i="57"/>
  <c r="S12" i="57"/>
  <c r="X12" i="57"/>
  <c r="Y12" i="57"/>
  <c r="AA12" i="57"/>
  <c r="AB12" i="57"/>
  <c r="AC12" i="57"/>
  <c r="AG12" i="57"/>
  <c r="AI12" i="57"/>
  <c r="AJ12" i="57"/>
  <c r="B13" i="57"/>
  <c r="C13" i="57"/>
  <c r="D13" i="57"/>
  <c r="B12" i="59" s="1"/>
  <c r="E13" i="57"/>
  <c r="F13" i="57"/>
  <c r="G13" i="57"/>
  <c r="L13" i="57"/>
  <c r="Q13" i="57"/>
  <c r="R13" i="57"/>
  <c r="S13" i="57"/>
  <c r="X13" i="57"/>
  <c r="Y13" i="57"/>
  <c r="AA13" i="57"/>
  <c r="AB13" i="57"/>
  <c r="AC13" i="57"/>
  <c r="AG13" i="57"/>
  <c r="AI13" i="57"/>
  <c r="AJ13" i="57"/>
  <c r="B14" i="57"/>
  <c r="C14" i="57"/>
  <c r="D14" i="57"/>
  <c r="B13" i="59" s="1"/>
  <c r="E14" i="57"/>
  <c r="F14" i="57"/>
  <c r="G14" i="57"/>
  <c r="L14" i="57"/>
  <c r="Q14" i="57"/>
  <c r="R14" i="57"/>
  <c r="S14" i="57"/>
  <c r="X14" i="57"/>
  <c r="Y14" i="57"/>
  <c r="AA14" i="57"/>
  <c r="AB14" i="57"/>
  <c r="AC14" i="57"/>
  <c r="AG14" i="57"/>
  <c r="AI14" i="57"/>
  <c r="AJ14" i="57"/>
  <c r="B15" i="57"/>
  <c r="C15" i="57"/>
  <c r="D15" i="57"/>
  <c r="B14" i="59" s="1"/>
  <c r="E15" i="57"/>
  <c r="F15" i="57"/>
  <c r="G15" i="57"/>
  <c r="L15" i="57"/>
  <c r="Q15" i="57"/>
  <c r="R15" i="57"/>
  <c r="S15" i="57"/>
  <c r="X15" i="57"/>
  <c r="Y15" i="57"/>
  <c r="AA15" i="57"/>
  <c r="AB15" i="57"/>
  <c r="AC15" i="57"/>
  <c r="AG15" i="57"/>
  <c r="AI15" i="57"/>
  <c r="AJ15" i="57"/>
  <c r="B16" i="57"/>
  <c r="C16" i="57"/>
  <c r="D16" i="57"/>
  <c r="B15" i="59" s="1"/>
  <c r="E16" i="57"/>
  <c r="F16" i="57"/>
  <c r="G16" i="57"/>
  <c r="L16" i="57"/>
  <c r="Q16" i="57"/>
  <c r="R16" i="57"/>
  <c r="S16" i="57"/>
  <c r="X16" i="57"/>
  <c r="Y16" i="57"/>
  <c r="AA16" i="57"/>
  <c r="AB16" i="57"/>
  <c r="AC16" i="57"/>
  <c r="AG16" i="57"/>
  <c r="AI16" i="57"/>
  <c r="AJ16" i="57"/>
  <c r="B17" i="57"/>
  <c r="C17" i="57"/>
  <c r="D17" i="57"/>
  <c r="B16" i="59" s="1"/>
  <c r="E17" i="57"/>
  <c r="F17" i="57"/>
  <c r="G17" i="57"/>
  <c r="L17" i="57"/>
  <c r="Q17" i="57"/>
  <c r="R17" i="57"/>
  <c r="S17" i="57"/>
  <c r="X17" i="57"/>
  <c r="Y17" i="57"/>
  <c r="AA17" i="57"/>
  <c r="AB17" i="57"/>
  <c r="AC17" i="57"/>
  <c r="AG17" i="57"/>
  <c r="AI17" i="57"/>
  <c r="AJ17" i="57"/>
  <c r="B18" i="57"/>
  <c r="C18" i="57"/>
  <c r="D18" i="57"/>
  <c r="B17" i="59" s="1"/>
  <c r="E18" i="57"/>
  <c r="F18" i="57"/>
  <c r="G18" i="57"/>
  <c r="L18" i="57"/>
  <c r="Q18" i="57"/>
  <c r="R18" i="57"/>
  <c r="S18" i="57"/>
  <c r="X18" i="57"/>
  <c r="Y18" i="57"/>
  <c r="AA18" i="57"/>
  <c r="AB18" i="57"/>
  <c r="AC18" i="57"/>
  <c r="AG18" i="57"/>
  <c r="AI18" i="57"/>
  <c r="AJ18" i="57"/>
  <c r="B19" i="57"/>
  <c r="C19" i="57"/>
  <c r="D19" i="57"/>
  <c r="B18" i="59" s="1"/>
  <c r="E19" i="57"/>
  <c r="F19" i="57"/>
  <c r="G19" i="57"/>
  <c r="L19" i="57"/>
  <c r="Q19" i="57"/>
  <c r="R19" i="57"/>
  <c r="S19" i="57"/>
  <c r="X19" i="57"/>
  <c r="Y19" i="57"/>
  <c r="AA19" i="57"/>
  <c r="AB19" i="57"/>
  <c r="AC19" i="57"/>
  <c r="AG19" i="57"/>
  <c r="AI19" i="57"/>
  <c r="AJ19" i="57"/>
  <c r="B20" i="57"/>
  <c r="C20" i="57"/>
  <c r="D20" i="57"/>
  <c r="B19" i="59" s="1"/>
  <c r="E20" i="57"/>
  <c r="F20" i="57"/>
  <c r="G20" i="57"/>
  <c r="L20" i="57"/>
  <c r="Q20" i="57"/>
  <c r="R20" i="57"/>
  <c r="S20" i="57"/>
  <c r="X20" i="57"/>
  <c r="Y20" i="57"/>
  <c r="AA20" i="57"/>
  <c r="AB20" i="57"/>
  <c r="AC20" i="57"/>
  <c r="AG20" i="57"/>
  <c r="AI20" i="57"/>
  <c r="AJ20" i="57"/>
  <c r="B21" i="57"/>
  <c r="C21" i="57"/>
  <c r="D21" i="57"/>
  <c r="B20" i="59" s="1"/>
  <c r="E21" i="57"/>
  <c r="F21" i="57"/>
  <c r="G21" i="57"/>
  <c r="L21" i="57"/>
  <c r="Q21" i="57"/>
  <c r="R21" i="57"/>
  <c r="S21" i="57"/>
  <c r="X21" i="57"/>
  <c r="Y21" i="57"/>
  <c r="AA21" i="57"/>
  <c r="AB21" i="57"/>
  <c r="AC21" i="57"/>
  <c r="AG21" i="57"/>
  <c r="AI21" i="57"/>
  <c r="AJ21" i="57"/>
  <c r="B22" i="57"/>
  <c r="C22" i="57"/>
  <c r="D22" i="57"/>
  <c r="B21" i="59" s="1"/>
  <c r="E22" i="57"/>
  <c r="F22" i="57"/>
  <c r="G22" i="57"/>
  <c r="L22" i="57"/>
  <c r="Q22" i="57"/>
  <c r="R22" i="57"/>
  <c r="S22" i="57"/>
  <c r="X22" i="57"/>
  <c r="Y22" i="57"/>
  <c r="AA22" i="57"/>
  <c r="AB22" i="57"/>
  <c r="AC22" i="57"/>
  <c r="AG22" i="57"/>
  <c r="AI22" i="57"/>
  <c r="AJ22" i="57"/>
  <c r="B23" i="57"/>
  <c r="C23" i="57"/>
  <c r="D23" i="57"/>
  <c r="B22" i="59" s="1"/>
  <c r="E23" i="57"/>
  <c r="F23" i="57"/>
  <c r="G23" i="57"/>
  <c r="L23" i="57"/>
  <c r="Q23" i="57"/>
  <c r="R23" i="57"/>
  <c r="S23" i="57"/>
  <c r="X23" i="57"/>
  <c r="Y23" i="57"/>
  <c r="AA23" i="57"/>
  <c r="AB23" i="57"/>
  <c r="AC23" i="57"/>
  <c r="AG23" i="57"/>
  <c r="AI23" i="57"/>
  <c r="AJ23" i="57"/>
  <c r="B24" i="57"/>
  <c r="C24" i="57"/>
  <c r="D24" i="57"/>
  <c r="B23" i="59" s="1"/>
  <c r="E24" i="57"/>
  <c r="F24" i="57"/>
  <c r="G24" i="57"/>
  <c r="L24" i="57"/>
  <c r="Q24" i="57"/>
  <c r="R24" i="57"/>
  <c r="S24" i="57"/>
  <c r="X24" i="57"/>
  <c r="Y24" i="57"/>
  <c r="AA24" i="57"/>
  <c r="AB24" i="57"/>
  <c r="AC24" i="57"/>
  <c r="AG24" i="57"/>
  <c r="AI24" i="57"/>
  <c r="AJ24" i="57"/>
  <c r="B25" i="57"/>
  <c r="C25" i="57"/>
  <c r="D25" i="57"/>
  <c r="B24" i="59" s="1"/>
  <c r="E25" i="57"/>
  <c r="F25" i="57"/>
  <c r="G25" i="57"/>
  <c r="L25" i="57"/>
  <c r="Q25" i="57"/>
  <c r="R25" i="57"/>
  <c r="S25" i="57"/>
  <c r="X25" i="57"/>
  <c r="Y25" i="57"/>
  <c r="AA25" i="57"/>
  <c r="AB25" i="57"/>
  <c r="AC25" i="57"/>
  <c r="AG25" i="57"/>
  <c r="AI25" i="57"/>
  <c r="AJ25" i="57"/>
  <c r="B26" i="57"/>
  <c r="C26" i="57"/>
  <c r="D26" i="57"/>
  <c r="B25" i="59" s="1"/>
  <c r="E26" i="57"/>
  <c r="F26" i="57"/>
  <c r="G26" i="57"/>
  <c r="L26" i="57"/>
  <c r="Q26" i="57"/>
  <c r="R26" i="57"/>
  <c r="S26" i="57"/>
  <c r="X26" i="57"/>
  <c r="Y26" i="57"/>
  <c r="AA26" i="57"/>
  <c r="AB26" i="57"/>
  <c r="AC26" i="57"/>
  <c r="AG26" i="57"/>
  <c r="AI26" i="57"/>
  <c r="AJ26" i="57"/>
  <c r="B2" i="62"/>
  <c r="R4" i="62"/>
  <c r="D10" i="62"/>
  <c r="F10" i="62"/>
  <c r="H10" i="62"/>
  <c r="J10" i="62"/>
  <c r="L10" i="62"/>
  <c r="N10" i="62"/>
  <c r="P10" i="62"/>
  <c r="R10" i="62"/>
  <c r="B12" i="62"/>
  <c r="B13" i="62"/>
  <c r="B14" i="62"/>
  <c r="N14" i="62"/>
  <c r="B15" i="62"/>
  <c r="N15" i="62"/>
  <c r="B16" i="62"/>
  <c r="B17" i="62"/>
  <c r="B40" i="62"/>
  <c r="D44" i="62"/>
  <c r="D45" i="62" s="1"/>
  <c r="B2" i="15"/>
  <c r="D10" i="15"/>
  <c r="D11" i="15"/>
  <c r="D12" i="15"/>
  <c r="D13" i="15"/>
  <c r="D14" i="15"/>
  <c r="D15" i="15"/>
  <c r="D16" i="15"/>
  <c r="D17" i="15"/>
  <c r="D18" i="15"/>
  <c r="D19" i="15"/>
  <c r="D20" i="15"/>
  <c r="D21" i="15"/>
  <c r="D22" i="15"/>
  <c r="D23" i="15"/>
  <c r="D24" i="15"/>
  <c r="D25" i="15"/>
  <c r="D26" i="15"/>
  <c r="D27" i="15"/>
  <c r="D28" i="15"/>
  <c r="D31" i="15"/>
  <c r="D32" i="15"/>
  <c r="D33" i="15"/>
  <c r="D34" i="15"/>
  <c r="B2" i="53"/>
  <c r="AA3" i="53"/>
  <c r="K4" i="53"/>
  <c r="W4" i="53"/>
  <c r="AA4" i="53"/>
  <c r="AA5" i="53"/>
  <c r="D10" i="53"/>
  <c r="E10" i="53"/>
  <c r="F10" i="53"/>
  <c r="G10" i="53"/>
  <c r="I10" i="53"/>
  <c r="J10" i="53"/>
  <c r="K10" i="53"/>
  <c r="Q10" i="53"/>
  <c r="R10" i="53"/>
  <c r="S10" i="53"/>
  <c r="D11" i="53"/>
  <c r="E11" i="53"/>
  <c r="F11" i="53"/>
  <c r="G11" i="53"/>
  <c r="I11" i="53"/>
  <c r="J11" i="53"/>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G24" i="53"/>
  <c r="I24" i="53"/>
  <c r="J24" i="53"/>
  <c r="K24" i="53"/>
  <c r="Q24" i="53"/>
  <c r="R24" i="53"/>
  <c r="S24" i="53"/>
  <c r="D25" i="53"/>
  <c r="E25" i="53"/>
  <c r="F25" i="53"/>
  <c r="G25" i="53"/>
  <c r="I25" i="53"/>
  <c r="J25" i="53"/>
  <c r="K25" i="53"/>
  <c r="Q25" i="53"/>
  <c r="R25" i="53"/>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D30" i="53"/>
  <c r="E30" i="53"/>
  <c r="F30" i="53"/>
  <c r="G30" i="53"/>
  <c r="I30" i="53"/>
  <c r="M30" i="53" s="1"/>
  <c r="J30" i="53"/>
  <c r="K30" i="53"/>
  <c r="Q30" i="53"/>
  <c r="R30" i="53"/>
  <c r="S30" i="53"/>
  <c r="D31" i="53"/>
  <c r="E31" i="53"/>
  <c r="F31" i="53"/>
  <c r="G31" i="53"/>
  <c r="I31" i="53"/>
  <c r="J31" i="53"/>
  <c r="K31" i="53"/>
  <c r="Q31" i="53"/>
  <c r="R31" i="53"/>
  <c r="S31" i="53"/>
  <c r="D32" i="53"/>
  <c r="E32" i="53"/>
  <c r="F32" i="53"/>
  <c r="G32" i="53"/>
  <c r="I32" i="53"/>
  <c r="J32" i="53"/>
  <c r="K32" i="53"/>
  <c r="Q32" i="53"/>
  <c r="R32" i="53"/>
  <c r="S32" i="53"/>
  <c r="D33" i="53"/>
  <c r="E33" i="53"/>
  <c r="F33" i="53"/>
  <c r="G33" i="53"/>
  <c r="I33" i="53"/>
  <c r="J33" i="53"/>
  <c r="K33" i="53"/>
  <c r="Q33" i="53"/>
  <c r="R33" i="53"/>
  <c r="S33" i="53"/>
  <c r="D34" i="53"/>
  <c r="E34" i="53"/>
  <c r="F34" i="53"/>
  <c r="G34" i="53"/>
  <c r="I34" i="53"/>
  <c r="J34" i="53"/>
  <c r="K34" i="53"/>
  <c r="Q34" i="53"/>
  <c r="R34" i="53"/>
  <c r="S34" i="53"/>
  <c r="D35" i="53"/>
  <c r="E35" i="53"/>
  <c r="F35" i="53"/>
  <c r="G35" i="53"/>
  <c r="I35" i="53"/>
  <c r="J35" i="53"/>
  <c r="N35" i="53" s="1"/>
  <c r="K35" i="53"/>
  <c r="Q35" i="53"/>
  <c r="R35" i="53"/>
  <c r="S35" i="53"/>
  <c r="D36" i="53"/>
  <c r="E36" i="53"/>
  <c r="F36" i="53"/>
  <c r="G36" i="53"/>
  <c r="I36" i="53"/>
  <c r="J36" i="53"/>
  <c r="K36" i="53"/>
  <c r="O36" i="53" s="1"/>
  <c r="Q36" i="53"/>
  <c r="U36" i="53" s="1"/>
  <c r="R36" i="53"/>
  <c r="S36" i="53"/>
  <c r="D37" i="53"/>
  <c r="E37" i="53"/>
  <c r="F37" i="53"/>
  <c r="G37" i="53"/>
  <c r="I37" i="53"/>
  <c r="J37" i="53"/>
  <c r="K37" i="53"/>
  <c r="Q37" i="53"/>
  <c r="R37" i="53"/>
  <c r="V37" i="53" s="1"/>
  <c r="S37" i="53"/>
  <c r="D38" i="53"/>
  <c r="E38" i="53"/>
  <c r="F38" i="53"/>
  <c r="G38" i="53"/>
  <c r="I38" i="53"/>
  <c r="M38" i="53" s="1"/>
  <c r="J38" i="53"/>
  <c r="K38" i="53"/>
  <c r="Q38" i="53"/>
  <c r="R38" i="53"/>
  <c r="S38" i="53"/>
  <c r="D39" i="53"/>
  <c r="E39" i="53"/>
  <c r="F39" i="53"/>
  <c r="G39" i="53"/>
  <c r="I39" i="53"/>
  <c r="J39" i="53"/>
  <c r="N39" i="53" s="1"/>
  <c r="K39" i="53"/>
  <c r="Q39" i="53"/>
  <c r="R39" i="53"/>
  <c r="S39" i="53"/>
  <c r="R46" i="53"/>
  <c r="B2" i="172"/>
  <c r="Y2" i="172"/>
  <c r="AA2" i="172"/>
  <c r="AI2" i="172"/>
  <c r="K8" i="172" s="1"/>
  <c r="Y3" i="172"/>
  <c r="AA3" i="172"/>
  <c r="W4" i="172"/>
  <c r="AA4" i="172"/>
  <c r="O8" i="172"/>
  <c r="P8" i="172"/>
  <c r="Q8" i="172"/>
  <c r="E12" i="172"/>
  <c r="F12" i="172"/>
  <c r="G12" i="172"/>
  <c r="I12" i="172"/>
  <c r="J12" i="172"/>
  <c r="J46" i="172" s="1"/>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I30" i="172"/>
  <c r="J30" i="172"/>
  <c r="K30" i="172"/>
  <c r="L30" i="172"/>
  <c r="M30" i="172"/>
  <c r="E31" i="172"/>
  <c r="F31" i="172"/>
  <c r="G31" i="172"/>
  <c r="I31" i="172"/>
  <c r="J31" i="172"/>
  <c r="K31" i="172"/>
  <c r="L31" i="172"/>
  <c r="M31" i="172"/>
  <c r="E32" i="172"/>
  <c r="F32" i="172"/>
  <c r="G32" i="172"/>
  <c r="I32" i="172"/>
  <c r="J32" i="172"/>
  <c r="K32" i="172"/>
  <c r="L32" i="172"/>
  <c r="M32" i="172"/>
  <c r="E33" i="172"/>
  <c r="F33" i="172"/>
  <c r="G33" i="172"/>
  <c r="I33" i="172"/>
  <c r="J33" i="172"/>
  <c r="K33" i="172"/>
  <c r="L33" i="172"/>
  <c r="M33" i="172"/>
  <c r="E34" i="172"/>
  <c r="F34" i="172"/>
  <c r="G34" i="172"/>
  <c r="I34" i="172"/>
  <c r="J34" i="172"/>
  <c r="K34" i="172"/>
  <c r="L34" i="172"/>
  <c r="M34" i="172"/>
  <c r="E35" i="172"/>
  <c r="F35" i="172"/>
  <c r="G35" i="172"/>
  <c r="I35" i="172"/>
  <c r="J35" i="172"/>
  <c r="K35" i="172"/>
  <c r="L35" i="172"/>
  <c r="M35" i="172"/>
  <c r="E36" i="172"/>
  <c r="F36" i="172"/>
  <c r="G36" i="172"/>
  <c r="I36" i="172"/>
  <c r="J36" i="172"/>
  <c r="K36" i="172"/>
  <c r="L36" i="172"/>
  <c r="M36" i="172"/>
  <c r="E37" i="172"/>
  <c r="F37" i="172"/>
  <c r="G37" i="172"/>
  <c r="I37" i="172"/>
  <c r="J37" i="172"/>
  <c r="K37" i="172"/>
  <c r="L37" i="172"/>
  <c r="M37" i="172"/>
  <c r="E38" i="172"/>
  <c r="F38" i="172"/>
  <c r="G38" i="172"/>
  <c r="I38" i="172"/>
  <c r="J38" i="172"/>
  <c r="K38" i="172"/>
  <c r="L38" i="172"/>
  <c r="M38" i="172"/>
  <c r="E39" i="172"/>
  <c r="F39" i="172"/>
  <c r="G39" i="172"/>
  <c r="I39" i="172"/>
  <c r="J39" i="172"/>
  <c r="K39" i="172"/>
  <c r="L39" i="172"/>
  <c r="M39" i="172"/>
  <c r="E40" i="172"/>
  <c r="F40" i="172"/>
  <c r="G40" i="172"/>
  <c r="I40" i="172"/>
  <c r="J40" i="172"/>
  <c r="K40" i="172"/>
  <c r="L40" i="172"/>
  <c r="M40" i="172"/>
  <c r="E41" i="172"/>
  <c r="F41" i="172"/>
  <c r="G41" i="172"/>
  <c r="I41" i="172"/>
  <c r="I47" i="172" s="1"/>
  <c r="J41" i="172"/>
  <c r="K41" i="172"/>
  <c r="L41" i="172"/>
  <c r="M41" i="172"/>
  <c r="M47" i="172" s="1"/>
  <c r="E43" i="172"/>
  <c r="E46" i="172"/>
  <c r="G46" i="172"/>
  <c r="L46" i="172"/>
  <c r="E47" i="172"/>
  <c r="B2" i="47"/>
  <c r="AB2" i="47"/>
  <c r="AD2" i="47"/>
  <c r="AL2" i="47"/>
  <c r="AB2" i="281" s="1"/>
  <c r="AB3" i="47"/>
  <c r="AD3" i="47"/>
  <c r="Z4" i="47"/>
  <c r="AD4" i="47"/>
  <c r="R8" i="47"/>
  <c r="S8" i="47"/>
  <c r="T8" i="47"/>
  <c r="H9" i="48" s="1"/>
  <c r="B11" i="47"/>
  <c r="H11" i="47"/>
  <c r="I11" i="47"/>
  <c r="J11" i="47"/>
  <c r="L11" i="47"/>
  <c r="M11" i="47"/>
  <c r="N11" i="47"/>
  <c r="O11" i="47"/>
  <c r="P11" i="47"/>
  <c r="AL11" i="47"/>
  <c r="AQ13" i="173" s="1"/>
  <c r="B12" i="47"/>
  <c r="H12" i="47"/>
  <c r="I12" i="47"/>
  <c r="J12" i="47"/>
  <c r="L12" i="47"/>
  <c r="M12" i="47"/>
  <c r="N12" i="47"/>
  <c r="O12" i="47"/>
  <c r="P12" i="47"/>
  <c r="AL12" i="47"/>
  <c r="AQ14" i="173" s="1"/>
  <c r="B13" i="47"/>
  <c r="H13" i="47"/>
  <c r="I13" i="47"/>
  <c r="J13" i="47"/>
  <c r="L13" i="47"/>
  <c r="M13" i="47"/>
  <c r="N13" i="47"/>
  <c r="O13" i="47"/>
  <c r="P13" i="47"/>
  <c r="AL13" i="47"/>
  <c r="AQ15" i="173" s="1"/>
  <c r="B14" i="47"/>
  <c r="H14" i="47"/>
  <c r="I14" i="47"/>
  <c r="V13" i="53" s="1"/>
  <c r="J14" i="47"/>
  <c r="L14" i="47"/>
  <c r="M14" i="47"/>
  <c r="N14" i="47"/>
  <c r="O14" i="47"/>
  <c r="P14" i="47"/>
  <c r="AL14" i="47"/>
  <c r="AQ16" i="173" s="1"/>
  <c r="B15" i="47"/>
  <c r="H15" i="47"/>
  <c r="I15" i="47"/>
  <c r="J15" i="47"/>
  <c r="L15" i="47"/>
  <c r="M15" i="47"/>
  <c r="N15" i="47"/>
  <c r="O15" i="47"/>
  <c r="P15" i="47"/>
  <c r="AL15" i="47"/>
  <c r="AQ17" i="173" s="1"/>
  <c r="B16" i="47"/>
  <c r="H16" i="47"/>
  <c r="I16" i="47"/>
  <c r="J16" i="47"/>
  <c r="L16" i="47"/>
  <c r="M16" i="47"/>
  <c r="N16" i="47"/>
  <c r="O16" i="47"/>
  <c r="P16" i="47"/>
  <c r="AL16" i="47"/>
  <c r="AQ18" i="173" s="1"/>
  <c r="B17" i="47"/>
  <c r="H17" i="47"/>
  <c r="I17" i="47"/>
  <c r="J17" i="47"/>
  <c r="L17" i="47"/>
  <c r="M17" i="47"/>
  <c r="N17" i="47"/>
  <c r="O17" i="47"/>
  <c r="P17" i="47"/>
  <c r="AL17" i="47"/>
  <c r="AQ19" i="173" s="1"/>
  <c r="B18" i="47"/>
  <c r="H18" i="47"/>
  <c r="I18" i="47"/>
  <c r="V17" i="53" s="1"/>
  <c r="J18" i="47"/>
  <c r="L18" i="47"/>
  <c r="M18" i="47"/>
  <c r="N18" i="47"/>
  <c r="O18" i="47"/>
  <c r="P18" i="47"/>
  <c r="AL18" i="47"/>
  <c r="AQ20" i="173" s="1"/>
  <c r="B19" i="47"/>
  <c r="H19" i="47"/>
  <c r="I19" i="47"/>
  <c r="J19" i="47"/>
  <c r="L19" i="47"/>
  <c r="M19" i="47"/>
  <c r="N19" i="47"/>
  <c r="O19" i="47"/>
  <c r="P19" i="47"/>
  <c r="AL19" i="47"/>
  <c r="AQ21" i="173" s="1"/>
  <c r="B20" i="47"/>
  <c r="H20" i="47"/>
  <c r="I20" i="47"/>
  <c r="V19" i="53" s="1"/>
  <c r="J20" i="47"/>
  <c r="L20" i="47"/>
  <c r="M20" i="47"/>
  <c r="N20" i="47"/>
  <c r="O20" i="47"/>
  <c r="P20" i="47"/>
  <c r="AL20" i="47"/>
  <c r="AQ22" i="173" s="1"/>
  <c r="B21" i="47"/>
  <c r="H21" i="47"/>
  <c r="I21" i="47"/>
  <c r="J21" i="47"/>
  <c r="L21" i="47"/>
  <c r="M21" i="47"/>
  <c r="N21" i="47"/>
  <c r="O21" i="47"/>
  <c r="P21" i="47"/>
  <c r="AL21" i="47"/>
  <c r="AQ23" i="173" s="1"/>
  <c r="B22" i="47"/>
  <c r="H22" i="47"/>
  <c r="I22" i="47"/>
  <c r="J22" i="47"/>
  <c r="L22" i="47"/>
  <c r="M22" i="47"/>
  <c r="N22" i="47"/>
  <c r="O22" i="47"/>
  <c r="P22" i="47"/>
  <c r="AL22" i="47"/>
  <c r="AQ24" i="173" s="1"/>
  <c r="B23" i="47"/>
  <c r="H23" i="47"/>
  <c r="I23" i="47"/>
  <c r="J23" i="47"/>
  <c r="L23" i="47"/>
  <c r="M23" i="47"/>
  <c r="N23" i="47"/>
  <c r="O23" i="47"/>
  <c r="P23" i="47"/>
  <c r="AL23" i="47"/>
  <c r="AQ25" i="173" s="1"/>
  <c r="B24" i="47"/>
  <c r="H24" i="47"/>
  <c r="I24" i="47"/>
  <c r="V23" i="53" s="1"/>
  <c r="J24" i="47"/>
  <c r="L24" i="47"/>
  <c r="M24" i="47"/>
  <c r="N24" i="47"/>
  <c r="O24" i="47"/>
  <c r="P24" i="47"/>
  <c r="AL24" i="47"/>
  <c r="AQ26" i="173" s="1"/>
  <c r="H25" i="47"/>
  <c r="I25" i="47"/>
  <c r="J25" i="47"/>
  <c r="L25" i="47"/>
  <c r="M25" i="47"/>
  <c r="N25" i="47"/>
  <c r="O25" i="47"/>
  <c r="P25" i="47"/>
  <c r="AL25" i="47"/>
  <c r="AQ27" i="173" s="1"/>
  <c r="B26" i="47"/>
  <c r="H26" i="47"/>
  <c r="I26" i="47"/>
  <c r="J26" i="47"/>
  <c r="L26" i="47"/>
  <c r="M26" i="47"/>
  <c r="N26" i="47"/>
  <c r="O26" i="47"/>
  <c r="P26" i="47"/>
  <c r="AL26" i="47"/>
  <c r="AQ28" i="173" s="1"/>
  <c r="AQ29" i="173"/>
  <c r="H27" i="47"/>
  <c r="I27" i="47"/>
  <c r="N27" i="53" s="1"/>
  <c r="J27" i="47"/>
  <c r="L27" i="47"/>
  <c r="M27" i="47"/>
  <c r="N27" i="47"/>
  <c r="O27" i="47"/>
  <c r="P27" i="47"/>
  <c r="AL27" i="47"/>
  <c r="AQ30" i="173" s="1"/>
  <c r="H28" i="47"/>
  <c r="U28" i="53" s="1"/>
  <c r="I28" i="47"/>
  <c r="J28" i="47"/>
  <c r="L28" i="47"/>
  <c r="M28" i="47"/>
  <c r="N28" i="47"/>
  <c r="O28" i="47"/>
  <c r="P28" i="47"/>
  <c r="AL28" i="47"/>
  <c r="AQ31" i="173" s="1"/>
  <c r="H29" i="47"/>
  <c r="I29" i="47"/>
  <c r="J29" i="47"/>
  <c r="L29" i="47"/>
  <c r="M29" i="47"/>
  <c r="N29" i="47"/>
  <c r="O29" i="47"/>
  <c r="P29" i="47"/>
  <c r="AL29" i="47"/>
  <c r="AQ32" i="173" s="1"/>
  <c r="AQ33" i="173"/>
  <c r="B32" i="47"/>
  <c r="H32" i="47"/>
  <c r="I32" i="47"/>
  <c r="J32" i="47"/>
  <c r="L32" i="47"/>
  <c r="M32" i="47"/>
  <c r="N32" i="47"/>
  <c r="O32" i="47"/>
  <c r="P32" i="47"/>
  <c r="AL32" i="47"/>
  <c r="AQ34" i="173" s="1"/>
  <c r="B33" i="47"/>
  <c r="H33" i="47"/>
  <c r="I33" i="47"/>
  <c r="J33" i="47"/>
  <c r="L33" i="47"/>
  <c r="M33" i="47"/>
  <c r="N33" i="47"/>
  <c r="O33" i="47"/>
  <c r="P33" i="47"/>
  <c r="AL33" i="47"/>
  <c r="AQ35" i="173" s="1"/>
  <c r="B34" i="47"/>
  <c r="H34" i="47"/>
  <c r="I34" i="47"/>
  <c r="J34" i="47"/>
  <c r="L34" i="47"/>
  <c r="M34" i="47"/>
  <c r="N34" i="47"/>
  <c r="O34" i="47"/>
  <c r="P34" i="47"/>
  <c r="AL34" i="47"/>
  <c r="AQ36" i="173" s="1"/>
  <c r="B35" i="47"/>
  <c r="H35" i="47"/>
  <c r="I35" i="47"/>
  <c r="J35" i="47"/>
  <c r="L35" i="47"/>
  <c r="M35" i="47"/>
  <c r="N35" i="47"/>
  <c r="O35" i="47"/>
  <c r="P35" i="47"/>
  <c r="AL35" i="47"/>
  <c r="AQ37" i="173" s="1"/>
  <c r="AQ38" i="173"/>
  <c r="AQ39" i="173"/>
  <c r="AQ40" i="173"/>
  <c r="AQ41" i="173"/>
  <c r="AQ42" i="173"/>
  <c r="B2" i="48"/>
  <c r="R4" i="48"/>
  <c r="B10" i="48"/>
  <c r="B11" i="48"/>
  <c r="B19" i="48" s="1"/>
  <c r="B12" i="48"/>
  <c r="B20" i="48" s="1"/>
  <c r="B13" i="48"/>
  <c r="B21" i="48" s="1"/>
  <c r="B14" i="48"/>
  <c r="B22" i="48" s="1"/>
  <c r="B15" i="48"/>
  <c r="B23" i="48" s="1"/>
  <c r="B16" i="48"/>
  <c r="B24" i="48" s="1"/>
  <c r="B18" i="48"/>
  <c r="B2" i="38"/>
  <c r="B2" i="40"/>
  <c r="N4" i="40"/>
  <c r="F15" i="40"/>
  <c r="F17" i="40" s="1"/>
  <c r="J17" i="40"/>
  <c r="A29" i="40"/>
  <c r="A30" i="40"/>
  <c r="A31" i="40"/>
  <c r="A32" i="40"/>
  <c r="A33" i="40"/>
  <c r="A34" i="40"/>
  <c r="B2" i="41"/>
  <c r="Z3" i="41"/>
  <c r="R4" i="41"/>
  <c r="Z4" i="41"/>
  <c r="Z5" i="41"/>
  <c r="H11" i="41"/>
  <c r="K11" i="41"/>
  <c r="L11" i="41"/>
  <c r="E11" i="281" s="1"/>
  <c r="M11" i="41"/>
  <c r="F11" i="281" s="1"/>
  <c r="N11" i="41"/>
  <c r="G11" i="281" s="1"/>
  <c r="Q11" i="41"/>
  <c r="J11" i="281" s="1"/>
  <c r="Z11" i="41"/>
  <c r="H12" i="41"/>
  <c r="K12" i="41"/>
  <c r="L12" i="41"/>
  <c r="M12" i="41"/>
  <c r="N12" i="41"/>
  <c r="Q12" i="41"/>
  <c r="Z12" i="41"/>
  <c r="H13" i="41"/>
  <c r="K13" i="41"/>
  <c r="L13" i="41"/>
  <c r="M13" i="41"/>
  <c r="N13" i="41"/>
  <c r="Q13" i="41"/>
  <c r="Z13" i="41"/>
  <c r="H14" i="41"/>
  <c r="K14" i="41"/>
  <c r="L14" i="41"/>
  <c r="M14" i="41"/>
  <c r="N14" i="41"/>
  <c r="Q14" i="41"/>
  <c r="Z14" i="41"/>
  <c r="H15" i="41"/>
  <c r="K15" i="41"/>
  <c r="L15" i="41"/>
  <c r="M15" i="41"/>
  <c r="N15" i="41"/>
  <c r="Q15" i="41"/>
  <c r="Z15" i="41"/>
  <c r="H16" i="41"/>
  <c r="K16" i="41"/>
  <c r="L16" i="41"/>
  <c r="M16" i="41"/>
  <c r="N16" i="41"/>
  <c r="Q16" i="41"/>
  <c r="Z16" i="41"/>
  <c r="H17" i="41"/>
  <c r="K17" i="41"/>
  <c r="L17" i="41"/>
  <c r="M17" i="41"/>
  <c r="N17" i="41"/>
  <c r="Q17" i="41"/>
  <c r="Z17" i="41"/>
  <c r="H18" i="41"/>
  <c r="K18" i="41"/>
  <c r="L18" i="41"/>
  <c r="M18" i="41"/>
  <c r="N18" i="41"/>
  <c r="Q18" i="41"/>
  <c r="Z18" i="41"/>
  <c r="H19" i="41"/>
  <c r="K19" i="41"/>
  <c r="L19" i="41"/>
  <c r="M19" i="41"/>
  <c r="N19" i="41"/>
  <c r="Q19" i="41"/>
  <c r="Z19" i="41"/>
  <c r="H20" i="41"/>
  <c r="K20" i="41"/>
  <c r="L20" i="41"/>
  <c r="M20" i="41"/>
  <c r="N20" i="41"/>
  <c r="Q20" i="41"/>
  <c r="Z20" i="41"/>
  <c r="H21" i="41"/>
  <c r="K21" i="41"/>
  <c r="L21" i="41"/>
  <c r="M21" i="41"/>
  <c r="N21" i="41"/>
  <c r="Q21" i="41"/>
  <c r="Z21" i="41"/>
  <c r="H22" i="41"/>
  <c r="K22" i="41"/>
  <c r="L22" i="41"/>
  <c r="M22" i="41"/>
  <c r="N22" i="41"/>
  <c r="Q22" i="41"/>
  <c r="Z22" i="41"/>
  <c r="H23" i="41"/>
  <c r="K23" i="41"/>
  <c r="L23" i="41"/>
  <c r="M23" i="41"/>
  <c r="N23" i="41"/>
  <c r="Q23" i="41"/>
  <c r="Z23" i="41"/>
  <c r="H24" i="41"/>
  <c r="K24" i="41"/>
  <c r="L24" i="41"/>
  <c r="M24" i="41"/>
  <c r="N24" i="41"/>
  <c r="Q24" i="41"/>
  <c r="Z24" i="41"/>
  <c r="B25" i="41"/>
  <c r="H25" i="41"/>
  <c r="K25" i="41"/>
  <c r="L25" i="41"/>
  <c r="M25" i="41"/>
  <c r="N25" i="41"/>
  <c r="Q25" i="41"/>
  <c r="Z25" i="41"/>
  <c r="H26" i="41"/>
  <c r="K26" i="41"/>
  <c r="L26" i="41"/>
  <c r="M26" i="41"/>
  <c r="N26" i="41"/>
  <c r="Q26" i="41"/>
  <c r="Z26" i="41"/>
  <c r="D27" i="278"/>
  <c r="E27" i="278"/>
  <c r="F27" i="278"/>
  <c r="J27" i="278"/>
  <c r="AB27" i="278"/>
  <c r="D28" i="278"/>
  <c r="AB28" i="278"/>
  <c r="D29" i="278"/>
  <c r="E29" i="278"/>
  <c r="F29" i="278"/>
  <c r="J29" i="278"/>
  <c r="AB29" i="278"/>
  <c r="D32" i="278"/>
  <c r="E32" i="278"/>
  <c r="F32" i="278"/>
  <c r="J32" i="278"/>
  <c r="AB32" i="278"/>
  <c r="D33" i="278"/>
  <c r="AB33" i="278"/>
  <c r="D34" i="278"/>
  <c r="E34" i="278"/>
  <c r="F34" i="278"/>
  <c r="J34" i="278"/>
  <c r="AB34" i="278"/>
  <c r="D35" i="278"/>
  <c r="AB35" i="278"/>
  <c r="E59" i="41"/>
  <c r="B2" i="39"/>
  <c r="M7" i="39"/>
  <c r="M18" i="39"/>
  <c r="H18" i="39" s="1"/>
  <c r="H19" i="39"/>
  <c r="H27" i="39"/>
  <c r="H30" i="39"/>
  <c r="H31" i="39"/>
  <c r="B2" i="8"/>
  <c r="D18" i="229"/>
  <c r="D59" i="8"/>
  <c r="E59" i="8"/>
  <c r="B2" i="10"/>
  <c r="H2" i="10"/>
  <c r="E9" i="10"/>
  <c r="E8" i="8" s="1"/>
  <c r="H8" i="8" s="1"/>
  <c r="H11" i="10"/>
  <c r="J11" i="10"/>
  <c r="K11" i="10"/>
  <c r="J13" i="10"/>
  <c r="H13" i="10"/>
  <c r="H14" i="10"/>
  <c r="H18" i="10"/>
  <c r="H19" i="10"/>
  <c r="H20" i="10"/>
  <c r="H21" i="10"/>
  <c r="H22" i="10"/>
  <c r="H23" i="10"/>
  <c r="H25" i="10"/>
  <c r="H27" i="10"/>
  <c r="H29" i="10"/>
  <c r="H30" i="10"/>
  <c r="H32" i="10"/>
  <c r="H34" i="10"/>
  <c r="H36" i="10"/>
  <c r="H38" i="10"/>
  <c r="H39" i="10"/>
  <c r="H40" i="10"/>
  <c r="B2" i="229"/>
  <c r="O4" i="229"/>
  <c r="G10" i="229"/>
  <c r="H10" i="229" s="1"/>
  <c r="D11" i="229"/>
  <c r="F11" i="229"/>
  <c r="G11" i="229"/>
  <c r="H11" i="229"/>
  <c r="I11" i="229"/>
  <c r="J11" i="229"/>
  <c r="K11" i="229"/>
  <c r="L11" i="229"/>
  <c r="M11" i="229"/>
  <c r="N11" i="229"/>
  <c r="O11" i="229"/>
  <c r="P11" i="229"/>
  <c r="D12" i="229"/>
  <c r="F12" i="229"/>
  <c r="G12" i="229"/>
  <c r="H12" i="229"/>
  <c r="I12" i="229"/>
  <c r="J12" i="229"/>
  <c r="K12" i="229"/>
  <c r="L12" i="229"/>
  <c r="M12" i="229"/>
  <c r="N12" i="229"/>
  <c r="O12" i="229"/>
  <c r="P12" i="229"/>
  <c r="F17" i="229"/>
  <c r="G17" i="229" s="1"/>
  <c r="H17" i="229" s="1"/>
  <c r="I17" i="229" s="1"/>
  <c r="J17" i="229" s="1"/>
  <c r="K17" i="229" s="1"/>
  <c r="L17" i="229" s="1"/>
  <c r="M17" i="229" s="1"/>
  <c r="N17" i="229" s="1"/>
  <c r="O17" i="229" s="1"/>
  <c r="P17" i="229" s="1"/>
  <c r="G20" i="229"/>
  <c r="H20" i="229" s="1"/>
  <c r="I20" i="229" s="1"/>
  <c r="J20" i="229" s="1"/>
  <c r="K20" i="229" s="1"/>
  <c r="L20" i="229" s="1"/>
  <c r="M20" i="229" s="1"/>
  <c r="N20" i="229" s="1"/>
  <c r="O20" i="229" s="1"/>
  <c r="P20" i="229" s="1"/>
  <c r="F21" i="229"/>
  <c r="G21" i="229"/>
  <c r="H21" i="229"/>
  <c r="I21" i="229"/>
  <c r="J21" i="229"/>
  <c r="K21" i="229"/>
  <c r="L21" i="229"/>
  <c r="M21" i="229"/>
  <c r="N21" i="229"/>
  <c r="O21" i="229"/>
  <c r="P21" i="229"/>
  <c r="F22" i="229"/>
  <c r="G22" i="229"/>
  <c r="H22" i="229"/>
  <c r="I22" i="229"/>
  <c r="J22" i="229"/>
  <c r="K22" i="229"/>
  <c r="L22" i="229"/>
  <c r="M22" i="229"/>
  <c r="N22" i="229"/>
  <c r="O22" i="229"/>
  <c r="P22" i="229"/>
  <c r="F23" i="229"/>
  <c r="G23" i="229"/>
  <c r="H23" i="229"/>
  <c r="I23" i="229"/>
  <c r="J23" i="229"/>
  <c r="K23" i="229"/>
  <c r="L23" i="229"/>
  <c r="M23" i="229"/>
  <c r="N23" i="229"/>
  <c r="O23" i="229"/>
  <c r="P23" i="229"/>
  <c r="B45" i="229"/>
  <c r="F60" i="229"/>
  <c r="G60" i="229"/>
  <c r="H60" i="229"/>
  <c r="I60" i="229"/>
  <c r="J60" i="229"/>
  <c r="F61" i="229"/>
  <c r="G61" i="229"/>
  <c r="H61" i="229"/>
  <c r="I61" i="229"/>
  <c r="J61" i="229"/>
  <c r="K61" i="229"/>
  <c r="L61" i="229"/>
  <c r="F62" i="229"/>
  <c r="G62" i="229"/>
  <c r="H62" i="229"/>
  <c r="I62" i="229"/>
  <c r="J62" i="229"/>
  <c r="K62" i="229"/>
  <c r="L62" i="229"/>
  <c r="M62" i="229"/>
  <c r="N62" i="229"/>
  <c r="O62" i="229"/>
  <c r="P62" i="229"/>
  <c r="F63" i="229"/>
  <c r="G63" i="229"/>
  <c r="H63" i="229"/>
  <c r="I63" i="229"/>
  <c r="J63" i="229"/>
  <c r="K63" i="229"/>
  <c r="L63" i="229"/>
  <c r="M63" i="229"/>
  <c r="N63" i="229"/>
  <c r="O63" i="229"/>
  <c r="P63" i="229"/>
  <c r="Q63" i="229"/>
  <c r="R63" i="229"/>
  <c r="S63" i="229"/>
  <c r="T63" i="229"/>
  <c r="U63" i="229"/>
  <c r="F64" i="229"/>
  <c r="G64" i="229"/>
  <c r="H64" i="229"/>
  <c r="I64" i="229"/>
  <c r="J64" i="229"/>
  <c r="K64" i="229"/>
  <c r="L64" i="229"/>
  <c r="M64" i="229"/>
  <c r="N64" i="229"/>
  <c r="O64" i="229"/>
  <c r="P64" i="229"/>
  <c r="Q64" i="229"/>
  <c r="R64" i="229"/>
  <c r="S64" i="229"/>
  <c r="T64" i="229"/>
  <c r="U64" i="229"/>
  <c r="V64" i="229"/>
  <c r="W64" i="229"/>
  <c r="X64" i="229"/>
  <c r="Y64" i="229"/>
  <c r="Z64" i="229"/>
  <c r="B2" i="6"/>
  <c r="O4" i="6"/>
  <c r="J12" i="6"/>
  <c r="J14" i="6" s="1"/>
  <c r="F14" i="6"/>
  <c r="F19" i="6" s="1"/>
  <c r="G14" i="6"/>
  <c r="H14" i="6"/>
  <c r="H19" i="6" s="1"/>
  <c r="H20" i="6" s="1"/>
  <c r="I14" i="6"/>
  <c r="J17" i="6"/>
  <c r="K17" i="6" s="1"/>
  <c r="L17" i="6" s="1"/>
  <c r="M17" i="6" s="1"/>
  <c r="N17" i="6" s="1"/>
  <c r="O17" i="6" s="1"/>
  <c r="F28" i="6"/>
  <c r="G28" i="6"/>
  <c r="H28" i="6"/>
  <c r="I28" i="6"/>
  <c r="M31" i="6"/>
  <c r="N31" i="6" s="1"/>
  <c r="O31" i="6" s="1"/>
  <c r="D47" i="6"/>
  <c r="W7" i="41" s="1"/>
  <c r="L67" i="6"/>
  <c r="K67" i="6" s="1"/>
  <c r="N67" i="6"/>
  <c r="O67" i="6" s="1"/>
  <c r="Q67" i="6"/>
  <c r="G68" i="6"/>
  <c r="J69" i="6"/>
  <c r="J68" i="6" s="1"/>
  <c r="J71" i="6"/>
  <c r="J72" i="6" s="1"/>
  <c r="K75" i="6"/>
  <c r="M75" i="6"/>
  <c r="F116" i="6"/>
  <c r="G116" i="6"/>
  <c r="H116" i="6"/>
  <c r="I116" i="6"/>
  <c r="J116" i="6"/>
  <c r="K116" i="6"/>
  <c r="B2" i="66"/>
  <c r="O3" i="66"/>
  <c r="L4" i="66"/>
  <c r="P4" i="66"/>
  <c r="F13" i="66"/>
  <c r="B2" i="52"/>
  <c r="O4" i="52"/>
  <c r="D11" i="52"/>
  <c r="E15" i="52"/>
  <c r="E92" i="52" s="1"/>
  <c r="S18" i="52"/>
  <c r="B19" i="52"/>
  <c r="B20" i="52"/>
  <c r="B21" i="52"/>
  <c r="B37" i="52" s="1"/>
  <c r="B80" i="52" s="1"/>
  <c r="S21" i="52"/>
  <c r="S26" i="52"/>
  <c r="B27" i="52"/>
  <c r="B28" i="52"/>
  <c r="B29" i="52"/>
  <c r="B30" i="52"/>
  <c r="O32" i="52"/>
  <c r="S34" i="52"/>
  <c r="S39" i="52"/>
  <c r="U39" i="52"/>
  <c r="B40" i="52"/>
  <c r="B83" i="52" s="1"/>
  <c r="S40" i="52"/>
  <c r="U40" i="52"/>
  <c r="B41" i="52"/>
  <c r="B84" i="52" s="1"/>
  <c r="S41" i="52"/>
  <c r="U41" i="52"/>
  <c r="B42" i="52"/>
  <c r="B85" i="52" s="1"/>
  <c r="S42" i="52"/>
  <c r="U42" i="52"/>
  <c r="S43" i="52"/>
  <c r="U43" i="52"/>
  <c r="B44" i="52"/>
  <c r="B87" i="52" s="1"/>
  <c r="S44" i="52"/>
  <c r="B45" i="52"/>
  <c r="B88" i="52" s="1"/>
  <c r="D58" i="52"/>
  <c r="D74" i="52"/>
  <c r="D108" i="52"/>
  <c r="D128" i="52" s="1"/>
  <c r="D142" i="52" s="1"/>
  <c r="B16" i="66"/>
  <c r="B2" i="132"/>
  <c r="F8" i="132"/>
  <c r="B2" i="126"/>
  <c r="G4" i="126"/>
  <c r="K8" i="126"/>
  <c r="J9" i="126"/>
  <c r="K9" i="126"/>
  <c r="J10" i="126"/>
  <c r="K10" i="126"/>
  <c r="B12" i="126"/>
  <c r="C15" i="126"/>
  <c r="C16" i="126" s="1"/>
  <c r="D16" i="126" s="1"/>
  <c r="D15" i="126"/>
  <c r="E15" i="126"/>
  <c r="B19" i="126"/>
  <c r="C22" i="126"/>
  <c r="E22" i="126"/>
  <c r="B26" i="126"/>
  <c r="C29" i="126"/>
  <c r="E29" i="126"/>
  <c r="C40" i="126"/>
  <c r="B2" i="73"/>
  <c r="H4" i="73"/>
  <c r="E11" i="73"/>
  <c r="E13" i="73" s="1"/>
  <c r="F11" i="73"/>
  <c r="F13" i="73" s="1"/>
  <c r="G11" i="73"/>
  <c r="G13" i="73" s="1"/>
  <c r="H11" i="73"/>
  <c r="E28" i="73"/>
  <c r="E29" i="73" s="1"/>
  <c r="F28" i="73"/>
  <c r="F29" i="73" s="1"/>
  <c r="G28" i="73"/>
  <c r="G29" i="73" s="1"/>
  <c r="L30" i="73"/>
  <c r="D30" i="73" s="1"/>
  <c r="D32" i="73" s="1"/>
  <c r="E35" i="73"/>
  <c r="E36" i="73" s="1"/>
  <c r="F35" i="73"/>
  <c r="F36" i="73" s="1"/>
  <c r="G35" i="73"/>
  <c r="G36" i="73" s="1"/>
  <c r="E45" i="73"/>
  <c r="F45" i="73"/>
  <c r="G45" i="73"/>
  <c r="B55" i="73"/>
  <c r="B65" i="73" s="1"/>
  <c r="B56" i="73"/>
  <c r="B66" i="73" s="1"/>
  <c r="B57" i="73"/>
  <c r="B67" i="73" s="1"/>
  <c r="B58" i="73"/>
  <c r="B68" i="73" s="1"/>
  <c r="B86" i="73" s="1"/>
  <c r="B203" i="73" s="1"/>
  <c r="B228" i="73" s="1"/>
  <c r="B70" i="73"/>
  <c r="B88" i="73" s="1"/>
  <c r="B207" i="73" s="1"/>
  <c r="B232" i="73" s="1"/>
  <c r="B71" i="73"/>
  <c r="B89" i="73" s="1"/>
  <c r="B208" i="73" s="1"/>
  <c r="B233" i="73" s="1"/>
  <c r="B72" i="73"/>
  <c r="B90" i="73" s="1"/>
  <c r="B209" i="73" s="1"/>
  <c r="B234" i="73" s="1"/>
  <c r="B74" i="73"/>
  <c r="B92" i="73" s="1"/>
  <c r="B211" i="73" s="1"/>
  <c r="B236" i="73" s="1"/>
  <c r="B75" i="73"/>
  <c r="B93" i="73" s="1"/>
  <c r="B212" i="73" s="1"/>
  <c r="B237" i="73" s="1"/>
  <c r="C109" i="73"/>
  <c r="D109" i="73" s="1"/>
  <c r="C124" i="73"/>
  <c r="C135" i="73"/>
  <c r="C172" i="73"/>
  <c r="D172" i="73" s="1"/>
  <c r="B2" i="4"/>
  <c r="J4" i="4"/>
  <c r="B2" i="133"/>
  <c r="E8" i="133"/>
  <c r="K8" i="133"/>
  <c r="B8" i="133" s="1"/>
  <c r="G8" i="133" s="1"/>
  <c r="G9" i="133"/>
  <c r="E10" i="133"/>
  <c r="G10" i="133"/>
  <c r="E11" i="133"/>
  <c r="J11" i="133"/>
  <c r="K11" i="133" s="1"/>
  <c r="L11" i="133"/>
  <c r="L12" i="133" s="1"/>
  <c r="L13" i="133" s="1"/>
  <c r="E12" i="133"/>
  <c r="E13" i="133"/>
  <c r="G14" i="133"/>
  <c r="E15" i="133"/>
  <c r="G15" i="133"/>
  <c r="L18" i="133"/>
  <c r="G19" i="133"/>
  <c r="E20" i="133"/>
  <c r="G20" i="133"/>
  <c r="G23" i="133"/>
  <c r="E24" i="133"/>
  <c r="G24" i="133"/>
  <c r="G27" i="133"/>
  <c r="E28" i="133"/>
  <c r="G28" i="133"/>
  <c r="G31" i="133"/>
  <c r="E32" i="133"/>
  <c r="G32" i="133"/>
  <c r="E33" i="133"/>
  <c r="E34" i="133"/>
  <c r="G35" i="133"/>
  <c r="E36" i="133"/>
  <c r="G36" i="133"/>
  <c r="E37" i="133"/>
  <c r="L38" i="133"/>
  <c r="L39" i="133" s="1"/>
  <c r="L40" i="133" s="1"/>
  <c r="L41" i="133" s="1"/>
  <c r="L42" i="133" s="1"/>
  <c r="L43" i="133" s="1"/>
  <c r="L44" i="133" s="1"/>
  <c r="L45" i="133" s="1"/>
  <c r="L46" i="133" s="1"/>
  <c r="B48" i="133"/>
  <c r="B8" i="232" s="1"/>
  <c r="E48" i="133"/>
  <c r="E49" i="133"/>
  <c r="E9" i="232" s="1"/>
  <c r="K49" i="133"/>
  <c r="L49" i="133"/>
  <c r="L50" i="133" s="1"/>
  <c r="L51" i="133" s="1"/>
  <c r="L52" i="133" s="1"/>
  <c r="L53" i="133" s="1"/>
  <c r="L54" i="133" s="1"/>
  <c r="L55" i="133" s="1"/>
  <c r="L56" i="133" s="1"/>
  <c r="E50" i="133"/>
  <c r="E10" i="232" s="1"/>
  <c r="E51" i="133"/>
  <c r="E11" i="232" s="1"/>
  <c r="E52" i="133"/>
  <c r="E12" i="232" s="1"/>
  <c r="E55" i="133"/>
  <c r="E15" i="232" s="1"/>
  <c r="E56" i="133"/>
  <c r="E16" i="232" s="1"/>
  <c r="D9" i="1"/>
  <c r="D13" i="1"/>
  <c r="D15" i="1"/>
  <c r="J20" i="1"/>
  <c r="J20" i="152" s="1"/>
  <c r="D20" i="152" s="1"/>
  <c r="B2"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C28" i="79"/>
  <c r="A29" i="79"/>
  <c r="A30" i="79" s="1"/>
  <c r="A31" i="79" s="1"/>
  <c r="A32" i="79" s="1"/>
  <c r="A33" i="79" s="1"/>
  <c r="A34" i="79" s="1"/>
  <c r="A35" i="79" s="1"/>
  <c r="A36" i="79" s="1"/>
  <c r="A37" i="79" s="1"/>
  <c r="A38" i="79" s="1"/>
  <c r="A39" i="79" s="1"/>
  <c r="A40" i="79" s="1"/>
  <c r="A41" i="79" s="1"/>
  <c r="A42" i="79" s="1"/>
  <c r="A43" i="79" s="1"/>
  <c r="A44" i="79" s="1"/>
  <c r="A45" i="79" s="1"/>
  <c r="A46" i="79" s="1"/>
  <c r="A47" i="79" s="1"/>
  <c r="A48" i="79" s="1"/>
  <c r="A49" i="79" s="1"/>
  <c r="A50" i="79" s="1"/>
  <c r="A51" i="79" s="1"/>
  <c r="A52" i="79" s="1"/>
  <c r="A53" i="79" s="1"/>
  <c r="A54" i="79" s="1"/>
  <c r="A55" i="79" s="1"/>
  <c r="A56" i="79" s="1"/>
  <c r="A57" i="79" s="1"/>
  <c r="B29" i="79"/>
  <c r="C29" i="79"/>
  <c r="B30" i="79"/>
  <c r="C30" i="79"/>
  <c r="B31" i="79"/>
  <c r="C31" i="79"/>
  <c r="B32" i="79"/>
  <c r="C32" i="79"/>
  <c r="B33" i="79"/>
  <c r="C33" i="79"/>
  <c r="B34" i="79"/>
  <c r="C34" i="79"/>
  <c r="B35" i="79"/>
  <c r="C35" i="79"/>
  <c r="B36" i="79"/>
  <c r="C36" i="79"/>
  <c r="B37" i="79"/>
  <c r="C37" i="79"/>
  <c r="B38" i="79"/>
  <c r="C38" i="79"/>
  <c r="B39" i="79"/>
  <c r="C39" i="79"/>
  <c r="B40" i="79"/>
  <c r="C40" i="79"/>
  <c r="B41" i="79"/>
  <c r="C41" i="79"/>
  <c r="B42" i="79"/>
  <c r="C42" i="79"/>
  <c r="B43" i="79"/>
  <c r="C43" i="79"/>
  <c r="A5" i="123"/>
  <c r="A6" i="123" s="1"/>
  <c r="A7" i="123" s="1"/>
  <c r="A8" i="123" s="1"/>
  <c r="K29" i="214"/>
  <c r="K21" i="214"/>
  <c r="BR14" i="213"/>
  <c r="J27" i="214"/>
  <c r="K19" i="214"/>
  <c r="J11" i="214"/>
  <c r="AT46" i="213"/>
  <c r="J13" i="214"/>
  <c r="AT45" i="213"/>
  <c r="K17" i="214"/>
  <c r="J25" i="214"/>
  <c r="AT51" i="213"/>
  <c r="K10" i="214"/>
  <c r="AT44" i="213"/>
  <c r="K24" i="214"/>
  <c r="K15" i="214"/>
  <c r="AT52" i="213"/>
  <c r="K13" i="214"/>
  <c r="J19" i="214"/>
  <c r="AT49" i="213"/>
  <c r="J16" i="214"/>
  <c r="K16" i="214"/>
  <c r="J14" i="214"/>
  <c r="AT50" i="213"/>
  <c r="AT53" i="213"/>
  <c r="J24" i="214"/>
  <c r="J28" i="214"/>
  <c r="J26" i="214"/>
  <c r="K20" i="214"/>
  <c r="K27" i="214"/>
  <c r="J10" i="214"/>
  <c r="J21" i="214"/>
  <c r="J20" i="214"/>
  <c r="K28" i="214"/>
  <c r="K26" i="214"/>
  <c r="K11" i="214"/>
  <c r="K12" i="214"/>
  <c r="K14" i="214"/>
  <c r="J22" i="214"/>
  <c r="J18" i="214"/>
  <c r="K22" i="214"/>
  <c r="J15" i="214"/>
  <c r="K18" i="214"/>
  <c r="AT47" i="213"/>
  <c r="J29" i="214"/>
  <c r="J23" i="214"/>
  <c r="J12" i="214"/>
  <c r="K25" i="214"/>
  <c r="J17" i="214"/>
  <c r="AT48" i="213"/>
  <c r="K23" i="214"/>
  <c r="V20" i="53" l="1"/>
  <c r="V16" i="53"/>
  <c r="V12" i="53"/>
  <c r="U22" i="53"/>
  <c r="W21" i="53"/>
  <c r="U18" i="53"/>
  <c r="W17" i="53"/>
  <c r="U16" i="53"/>
  <c r="W13" i="53"/>
  <c r="U12" i="53"/>
  <c r="K48" i="172"/>
  <c r="F48" i="172"/>
  <c r="K46" i="172"/>
  <c r="J25" i="257"/>
  <c r="J25" i="12"/>
  <c r="D25" i="12"/>
  <c r="D25" i="257"/>
  <c r="G25" i="281"/>
  <c r="G24" i="12"/>
  <c r="G24" i="257"/>
  <c r="G24" i="281"/>
  <c r="G23" i="257"/>
  <c r="G23" i="12"/>
  <c r="AB21" i="257"/>
  <c r="AB21" i="12"/>
  <c r="J21" i="281"/>
  <c r="J20" i="257"/>
  <c r="J20" i="12"/>
  <c r="F19" i="281"/>
  <c r="F18" i="257"/>
  <c r="F18" i="12"/>
  <c r="B26" i="281"/>
  <c r="B25" i="257"/>
  <c r="B25" i="12"/>
  <c r="AA24" i="257"/>
  <c r="AA25" i="256"/>
  <c r="AA25" i="249"/>
  <c r="AA25" i="250"/>
  <c r="AA25" i="278"/>
  <c r="AA23" i="256"/>
  <c r="AA23" i="249"/>
  <c r="AA22" i="257"/>
  <c r="AA23" i="250"/>
  <c r="AA23" i="278"/>
  <c r="AA20" i="257"/>
  <c r="AA21" i="278"/>
  <c r="AA21" i="250"/>
  <c r="AA21" i="256"/>
  <c r="AA21" i="249"/>
  <c r="AA19" i="278"/>
  <c r="AA19" i="256"/>
  <c r="AA19" i="249"/>
  <c r="AA19" i="250"/>
  <c r="AA18" i="257"/>
  <c r="AA16" i="257"/>
  <c r="AA17" i="249"/>
  <c r="AA17" i="256"/>
  <c r="AA17" i="250"/>
  <c r="AA17" i="278"/>
  <c r="AA15" i="278"/>
  <c r="AA15" i="250"/>
  <c r="AA14" i="257"/>
  <c r="AA15" i="256"/>
  <c r="AA15" i="249"/>
  <c r="AA12" i="257"/>
  <c r="AA13" i="256"/>
  <c r="AA13" i="278"/>
  <c r="AA13" i="249"/>
  <c r="AA13" i="250"/>
  <c r="G26" i="281"/>
  <c r="G25" i="257"/>
  <c r="G25" i="12"/>
  <c r="F25" i="281"/>
  <c r="F24" i="257"/>
  <c r="F24" i="12"/>
  <c r="F23" i="12"/>
  <c r="F23" i="257"/>
  <c r="AB22" i="12"/>
  <c r="AB22" i="257"/>
  <c r="E23" i="281"/>
  <c r="E22" i="257"/>
  <c r="E22" i="12"/>
  <c r="J21" i="257"/>
  <c r="J21" i="12"/>
  <c r="D21" i="257"/>
  <c r="D21" i="12"/>
  <c r="G21" i="281"/>
  <c r="G20" i="257"/>
  <c r="G20" i="12"/>
  <c r="F19" i="257"/>
  <c r="F19" i="12"/>
  <c r="AB18" i="12"/>
  <c r="AB18" i="257"/>
  <c r="E19" i="281"/>
  <c r="E18" i="12"/>
  <c r="E18" i="257"/>
  <c r="J17" i="257"/>
  <c r="J17" i="12"/>
  <c r="D17" i="257"/>
  <c r="D17" i="12"/>
  <c r="G17" i="281"/>
  <c r="G16" i="257"/>
  <c r="G16" i="12"/>
  <c r="F15" i="12"/>
  <c r="F15" i="257"/>
  <c r="AB14" i="257"/>
  <c r="AB14" i="12"/>
  <c r="E15" i="281"/>
  <c r="H15" i="281" s="1"/>
  <c r="E14" i="257"/>
  <c r="E14" i="12"/>
  <c r="J13" i="257"/>
  <c r="J13" i="12"/>
  <c r="D13" i="12"/>
  <c r="D13" i="257"/>
  <c r="G13" i="281"/>
  <c r="G38" i="281" s="1"/>
  <c r="G12" i="12"/>
  <c r="G12" i="257"/>
  <c r="F11" i="257"/>
  <c r="F11" i="12"/>
  <c r="B33" i="257"/>
  <c r="B33" i="12"/>
  <c r="B31" i="12"/>
  <c r="B31" i="257"/>
  <c r="U24" i="53"/>
  <c r="B22" i="257"/>
  <c r="B22" i="12"/>
  <c r="N21" i="53"/>
  <c r="B20" i="257"/>
  <c r="B20" i="12"/>
  <c r="B18" i="257"/>
  <c r="B18" i="12"/>
  <c r="B16" i="257"/>
  <c r="B16" i="12"/>
  <c r="N15" i="53"/>
  <c r="B14" i="257"/>
  <c r="B14" i="12"/>
  <c r="B12" i="257"/>
  <c r="B12" i="12"/>
  <c r="N11" i="53"/>
  <c r="F46" i="172"/>
  <c r="E21" i="12"/>
  <c r="E21" i="257"/>
  <c r="D20" i="257"/>
  <c r="D20" i="12"/>
  <c r="G20" i="281"/>
  <c r="G19" i="257"/>
  <c r="G19" i="12"/>
  <c r="AB17" i="12"/>
  <c r="AB17" i="257"/>
  <c r="J17" i="281"/>
  <c r="J16" i="257"/>
  <c r="J16" i="12"/>
  <c r="G16" i="281"/>
  <c r="G15" i="257"/>
  <c r="G15" i="12"/>
  <c r="AB13" i="257"/>
  <c r="AB13" i="12"/>
  <c r="E13" i="12"/>
  <c r="E13" i="257"/>
  <c r="D12" i="257"/>
  <c r="D12" i="12"/>
  <c r="G12" i="281"/>
  <c r="G11" i="12"/>
  <c r="G11" i="257"/>
  <c r="I46" i="172"/>
  <c r="F26" i="281"/>
  <c r="F25" i="12"/>
  <c r="F25" i="257"/>
  <c r="AB24" i="257"/>
  <c r="AB24" i="12"/>
  <c r="E25" i="281"/>
  <c r="E24" i="12"/>
  <c r="E24" i="257"/>
  <c r="AB23" i="12"/>
  <c r="AB23" i="257"/>
  <c r="E23" i="257"/>
  <c r="E23" i="12"/>
  <c r="J23" i="281"/>
  <c r="J22" i="257"/>
  <c r="J22" i="12"/>
  <c r="D22" i="12"/>
  <c r="D22" i="257"/>
  <c r="G22" i="281"/>
  <c r="G21" i="12"/>
  <c r="G21" i="257"/>
  <c r="F21" i="281"/>
  <c r="F20" i="12"/>
  <c r="F20" i="257"/>
  <c r="AB19" i="257"/>
  <c r="AB19" i="12"/>
  <c r="E19" i="257"/>
  <c r="H19" i="257" s="1"/>
  <c r="E19" i="12"/>
  <c r="H19" i="12" s="1"/>
  <c r="J19" i="281"/>
  <c r="J18" i="257"/>
  <c r="J18" i="12"/>
  <c r="D18" i="257"/>
  <c r="D18" i="12"/>
  <c r="G18" i="281"/>
  <c r="G17" i="257"/>
  <c r="G17" i="12"/>
  <c r="F17" i="281"/>
  <c r="F16" i="257"/>
  <c r="F16" i="12"/>
  <c r="AB15" i="12"/>
  <c r="AB15" i="257"/>
  <c r="E15" i="257"/>
  <c r="E15" i="12"/>
  <c r="J15" i="281"/>
  <c r="J14" i="257"/>
  <c r="J14" i="12"/>
  <c r="D14" i="257"/>
  <c r="D14" i="12"/>
  <c r="G14" i="281"/>
  <c r="G13" i="257"/>
  <c r="G13" i="12"/>
  <c r="F13" i="281"/>
  <c r="F12" i="257"/>
  <c r="F12" i="12"/>
  <c r="AB11" i="257"/>
  <c r="AB11" i="12"/>
  <c r="E11" i="257"/>
  <c r="E11" i="12"/>
  <c r="U32" i="53"/>
  <c r="I48" i="172"/>
  <c r="F23" i="281"/>
  <c r="F22" i="12"/>
  <c r="F22" i="257"/>
  <c r="E17" i="257"/>
  <c r="E17" i="12"/>
  <c r="D16" i="12"/>
  <c r="D16" i="257"/>
  <c r="F15" i="281"/>
  <c r="F14" i="12"/>
  <c r="F14" i="257"/>
  <c r="J13" i="281"/>
  <c r="J12" i="257"/>
  <c r="J12" i="12"/>
  <c r="M46" i="172"/>
  <c r="AA26" i="249"/>
  <c r="AA26" i="250"/>
  <c r="AA26" i="278"/>
  <c r="AA26" i="256"/>
  <c r="AA25" i="257"/>
  <c r="AA24" i="256"/>
  <c r="AA24" i="278"/>
  <c r="AA24" i="249"/>
  <c r="AA24" i="250"/>
  <c r="AA23" i="257"/>
  <c r="AA22" i="249"/>
  <c r="AA22" i="250"/>
  <c r="AA21" i="257"/>
  <c r="AA22" i="278"/>
  <c r="AA22" i="256"/>
  <c r="AA20" i="256"/>
  <c r="AA20" i="278"/>
  <c r="AA20" i="249"/>
  <c r="AA20" i="250"/>
  <c r="AA19" i="257"/>
  <c r="AA18" i="249"/>
  <c r="AA18" i="250"/>
  <c r="AA18" i="256"/>
  <c r="AA17" i="257"/>
  <c r="AA18" i="278"/>
  <c r="AA16" i="256"/>
  <c r="AA16" i="278"/>
  <c r="AA16" i="250"/>
  <c r="AA16" i="249"/>
  <c r="AA15" i="257"/>
  <c r="AA14" i="249"/>
  <c r="AA14" i="250"/>
  <c r="AA14" i="256"/>
  <c r="AA14" i="278"/>
  <c r="AA13" i="257"/>
  <c r="AA12" i="256"/>
  <c r="AA12" i="278"/>
  <c r="AA12" i="249"/>
  <c r="AA11" i="257"/>
  <c r="AA12" i="250"/>
  <c r="AB25" i="257"/>
  <c r="AB25" i="12"/>
  <c r="E25" i="257"/>
  <c r="E25" i="12"/>
  <c r="J25" i="281"/>
  <c r="J24" i="257"/>
  <c r="J24" i="12"/>
  <c r="D24" i="257"/>
  <c r="D24" i="12"/>
  <c r="J23" i="12"/>
  <c r="J23" i="257"/>
  <c r="D23" i="12"/>
  <c r="D23" i="257"/>
  <c r="G23" i="281"/>
  <c r="G22" i="257"/>
  <c r="G22" i="12"/>
  <c r="F21" i="257"/>
  <c r="F21" i="12"/>
  <c r="AB20" i="257"/>
  <c r="AB20" i="12"/>
  <c r="E21" i="281"/>
  <c r="E20" i="12"/>
  <c r="E20" i="257"/>
  <c r="J19" i="257"/>
  <c r="J19" i="12"/>
  <c r="D19" i="257"/>
  <c r="I19" i="257" s="1"/>
  <c r="K19" i="257" s="1"/>
  <c r="D19" i="12"/>
  <c r="G19" i="281"/>
  <c r="G18" i="257"/>
  <c r="G18" i="12"/>
  <c r="F17" i="257"/>
  <c r="F17" i="12"/>
  <c r="AB16" i="257"/>
  <c r="AB16" i="12"/>
  <c r="E17" i="281"/>
  <c r="H17" i="281" s="1"/>
  <c r="E16" i="257"/>
  <c r="E16" i="12"/>
  <c r="J15" i="257"/>
  <c r="J15" i="12"/>
  <c r="D15" i="257"/>
  <c r="D15" i="12"/>
  <c r="G15" i="281"/>
  <c r="G14" i="257"/>
  <c r="G14" i="12"/>
  <c r="F13" i="257"/>
  <c r="H13" i="257" s="1"/>
  <c r="F13" i="12"/>
  <c r="AB12" i="257"/>
  <c r="AB12" i="12"/>
  <c r="E13" i="281"/>
  <c r="H13" i="281" s="1"/>
  <c r="E12" i="257"/>
  <c r="E12" i="12"/>
  <c r="J11" i="257"/>
  <c r="J11" i="12"/>
  <c r="D11" i="257"/>
  <c r="D11" i="12"/>
  <c r="B34" i="257"/>
  <c r="B34" i="12"/>
  <c r="B32" i="12"/>
  <c r="B32" i="257"/>
  <c r="N31" i="53"/>
  <c r="B24" i="281"/>
  <c r="B23" i="257"/>
  <c r="B23" i="12"/>
  <c r="B22" i="281"/>
  <c r="B21" i="257"/>
  <c r="B21" i="12"/>
  <c r="B20" i="281"/>
  <c r="B19" i="257"/>
  <c r="B19" i="12"/>
  <c r="B18" i="281"/>
  <c r="B17" i="257"/>
  <c r="B17" i="12"/>
  <c r="B16" i="281"/>
  <c r="B15" i="257"/>
  <c r="B15" i="12"/>
  <c r="B14" i="281"/>
  <c r="B13" i="12"/>
  <c r="B13" i="257"/>
  <c r="B12" i="281"/>
  <c r="B11" i="257"/>
  <c r="B11" i="12"/>
  <c r="M48" i="172"/>
  <c r="I117" i="6"/>
  <c r="I119" i="6" s="1"/>
  <c r="D20" i="73"/>
  <c r="D21" i="73" s="1"/>
  <c r="G31" i="241"/>
  <c r="G74" i="241" s="1"/>
  <c r="N31" i="241"/>
  <c r="N74" i="241" s="1"/>
  <c r="J31" i="241"/>
  <c r="J74" i="241" s="1"/>
  <c r="K31" i="241"/>
  <c r="K74" i="241" s="1"/>
  <c r="M31" i="241"/>
  <c r="M74" i="241" s="1"/>
  <c r="I31" i="241"/>
  <c r="I74" i="241" s="1"/>
  <c r="H31" i="241"/>
  <c r="H74" i="241" s="1"/>
  <c r="L31" i="241"/>
  <c r="L74" i="241" s="1"/>
  <c r="F31" i="241"/>
  <c r="F74" i="241" s="1"/>
  <c r="O31" i="241"/>
  <c r="O74" i="241" s="1"/>
  <c r="D7" i="245"/>
  <c r="C66" i="156"/>
  <c r="F66" i="156" s="1"/>
  <c r="G20" i="73"/>
  <c r="G21" i="73" s="1"/>
  <c r="F20" i="73"/>
  <c r="F21" i="73" s="1"/>
  <c r="E20" i="73"/>
  <c r="E21" i="73" s="1"/>
  <c r="C158" i="73"/>
  <c r="D135" i="73"/>
  <c r="D158" i="73" s="1"/>
  <c r="C147" i="73"/>
  <c r="D124" i="73"/>
  <c r="D147" i="73" s="1"/>
  <c r="G16" i="64"/>
  <c r="S22" i="241" s="1"/>
  <c r="D22" i="241" s="1"/>
  <c r="D30" i="241" s="1"/>
  <c r="C79" i="156"/>
  <c r="D16" i="64"/>
  <c r="S19" i="279" s="1"/>
  <c r="S27" i="279" s="1"/>
  <c r="D27" i="279" s="1"/>
  <c r="AA22" i="244"/>
  <c r="AA22" i="281"/>
  <c r="AA18" i="244"/>
  <c r="AA18" i="281"/>
  <c r="AA16" i="244"/>
  <c r="AA16" i="281"/>
  <c r="AA14" i="244"/>
  <c r="AA14" i="281"/>
  <c r="AA12" i="244"/>
  <c r="AA12" i="281"/>
  <c r="B33" i="41"/>
  <c r="B33" i="281"/>
  <c r="B33" i="244"/>
  <c r="W8" i="241"/>
  <c r="W12" i="279"/>
  <c r="H21" i="281"/>
  <c r="E45" i="279"/>
  <c r="S38" i="52"/>
  <c r="O38" i="52" s="1"/>
  <c r="O81" i="52" s="1"/>
  <c r="S38" i="279"/>
  <c r="S22" i="279"/>
  <c r="AA24" i="244"/>
  <c r="AA24" i="281"/>
  <c r="AA23" i="244"/>
  <c r="AA23" i="281"/>
  <c r="AA19" i="244"/>
  <c r="AA19" i="281"/>
  <c r="AA15" i="244"/>
  <c r="AA15" i="281"/>
  <c r="V8" i="241"/>
  <c r="V12" i="279"/>
  <c r="B23" i="41"/>
  <c r="B23" i="281"/>
  <c r="B21" i="41"/>
  <c r="B21" i="281"/>
  <c r="B13" i="41"/>
  <c r="B13" i="281"/>
  <c r="B11" i="41"/>
  <c r="B11" i="281"/>
  <c r="G45" i="172"/>
  <c r="J67" i="73"/>
  <c r="S37" i="279"/>
  <c r="S29" i="279"/>
  <c r="D29" i="279" s="1"/>
  <c r="E29" i="279" s="1"/>
  <c r="F29" i="279" s="1"/>
  <c r="G29" i="279" s="1"/>
  <c r="H29" i="279" s="1"/>
  <c r="I29" i="279" s="1"/>
  <c r="J29" i="279" s="1"/>
  <c r="K29" i="279" s="1"/>
  <c r="L29" i="279" s="1"/>
  <c r="M29" i="279" s="1"/>
  <c r="D21" i="279"/>
  <c r="X23" i="185"/>
  <c r="X11" i="185"/>
  <c r="AA26" i="244"/>
  <c r="AA26" i="281"/>
  <c r="AA20" i="244"/>
  <c r="AA20" i="281"/>
  <c r="AA25" i="244"/>
  <c r="AA25" i="281"/>
  <c r="AA21" i="244"/>
  <c r="AA21" i="281"/>
  <c r="AA17" i="244"/>
  <c r="AA17" i="281"/>
  <c r="AA13" i="281"/>
  <c r="AA13" i="244"/>
  <c r="B34" i="41"/>
  <c r="B34" i="281"/>
  <c r="B34" i="244"/>
  <c r="B32" i="41"/>
  <c r="B32" i="281"/>
  <c r="B32" i="244"/>
  <c r="B19" i="41"/>
  <c r="B19" i="281"/>
  <c r="B17" i="41"/>
  <c r="B17" i="281"/>
  <c r="B15" i="41"/>
  <c r="B15" i="281"/>
  <c r="AA11" i="278"/>
  <c r="AA11" i="281"/>
  <c r="U12" i="279"/>
  <c r="G44" i="172"/>
  <c r="S20" i="241"/>
  <c r="D20" i="241" s="1"/>
  <c r="D28" i="241" s="1"/>
  <c r="S20" i="279"/>
  <c r="B35" i="41"/>
  <c r="B35" i="281"/>
  <c r="B35" i="244"/>
  <c r="J65" i="73"/>
  <c r="S35" i="279"/>
  <c r="E8" i="232"/>
  <c r="F16" i="278"/>
  <c r="F16" i="281"/>
  <c r="AB15" i="278"/>
  <c r="AB15" i="281"/>
  <c r="F12" i="278"/>
  <c r="F12" i="281"/>
  <c r="AB11" i="278"/>
  <c r="AB11" i="281"/>
  <c r="H11" i="281"/>
  <c r="AB25" i="278"/>
  <c r="AB25" i="281"/>
  <c r="AB24" i="278"/>
  <c r="AB24" i="281"/>
  <c r="E24" i="278"/>
  <c r="E24" i="281"/>
  <c r="D23" i="278"/>
  <c r="D23" i="281"/>
  <c r="AB20" i="278"/>
  <c r="AB20" i="281"/>
  <c r="E20" i="278"/>
  <c r="E20" i="281"/>
  <c r="D19" i="278"/>
  <c r="D19" i="281"/>
  <c r="AB16" i="278"/>
  <c r="AB16" i="281"/>
  <c r="E16" i="278"/>
  <c r="E16" i="281"/>
  <c r="D15" i="278"/>
  <c r="D15" i="281"/>
  <c r="I15" i="281" s="1"/>
  <c r="K15" i="281" s="1"/>
  <c r="AB12" i="278"/>
  <c r="AB12" i="281"/>
  <c r="E12" i="278"/>
  <c r="E12" i="281"/>
  <c r="D11" i="278"/>
  <c r="D11" i="281"/>
  <c r="J22" i="278"/>
  <c r="J22" i="281"/>
  <c r="D22" i="278"/>
  <c r="D22" i="281"/>
  <c r="D18" i="278"/>
  <c r="D18" i="281"/>
  <c r="J14" i="278"/>
  <c r="J14" i="281"/>
  <c r="AB26" i="278"/>
  <c r="AB26" i="281"/>
  <c r="E26" i="278"/>
  <c r="E26" i="281"/>
  <c r="H26" i="281" s="1"/>
  <c r="D25" i="278"/>
  <c r="D25" i="281"/>
  <c r="J24" i="278"/>
  <c r="J24" i="281"/>
  <c r="D24" i="278"/>
  <c r="D24" i="281"/>
  <c r="F22" i="278"/>
  <c r="F22" i="281"/>
  <c r="AB21" i="278"/>
  <c r="AB21" i="281"/>
  <c r="J20" i="278"/>
  <c r="J20" i="281"/>
  <c r="D20" i="278"/>
  <c r="D20" i="281"/>
  <c r="F18" i="278"/>
  <c r="F18" i="281"/>
  <c r="AB17" i="278"/>
  <c r="AB17" i="281"/>
  <c r="J16" i="278"/>
  <c r="J16" i="281"/>
  <c r="D16" i="278"/>
  <c r="D16" i="281"/>
  <c r="F14" i="278"/>
  <c r="F14" i="281"/>
  <c r="AB13" i="278"/>
  <c r="AB13" i="281"/>
  <c r="J12" i="278"/>
  <c r="J12" i="281"/>
  <c r="D12" i="278"/>
  <c r="D12" i="281"/>
  <c r="F24" i="278"/>
  <c r="F24" i="281"/>
  <c r="AB23" i="278"/>
  <c r="AB23" i="281"/>
  <c r="F20" i="278"/>
  <c r="F20" i="281"/>
  <c r="AB19" i="278"/>
  <c r="AB19" i="281"/>
  <c r="J18" i="278"/>
  <c r="J18" i="281"/>
  <c r="D14" i="278"/>
  <c r="D14" i="281"/>
  <c r="J26" i="278"/>
  <c r="J26" i="281"/>
  <c r="D26" i="278"/>
  <c r="D26" i="281"/>
  <c r="I26" i="281" s="1"/>
  <c r="AB22" i="278"/>
  <c r="AB22" i="281"/>
  <c r="E22" i="278"/>
  <c r="E22" i="281"/>
  <c r="D21" i="278"/>
  <c r="D21" i="281"/>
  <c r="I21" i="281" s="1"/>
  <c r="K21" i="281" s="1"/>
  <c r="AB18" i="278"/>
  <c r="AB18" i="281"/>
  <c r="E18" i="278"/>
  <c r="E18" i="281"/>
  <c r="D17" i="278"/>
  <c r="D17" i="281"/>
  <c r="AB14" i="278"/>
  <c r="AB14" i="281"/>
  <c r="E14" i="278"/>
  <c r="E14" i="281"/>
  <c r="D13" i="278"/>
  <c r="D13" i="281"/>
  <c r="F42" i="281"/>
  <c r="D77" i="241"/>
  <c r="I77" i="241"/>
  <c r="G77" i="241"/>
  <c r="F77" i="241"/>
  <c r="J77" i="241"/>
  <c r="L77" i="241"/>
  <c r="O77" i="241"/>
  <c r="K77" i="241"/>
  <c r="H77" i="241"/>
  <c r="E77" i="241"/>
  <c r="N77" i="241"/>
  <c r="M77" i="241"/>
  <c r="D75" i="241"/>
  <c r="F75" i="241"/>
  <c r="L75" i="241"/>
  <c r="O75" i="241"/>
  <c r="K75" i="241"/>
  <c r="H75" i="241"/>
  <c r="I75" i="241"/>
  <c r="N75" i="241"/>
  <c r="M75" i="241"/>
  <c r="E75" i="241"/>
  <c r="G75" i="241"/>
  <c r="J75" i="241"/>
  <c r="D79" i="241"/>
  <c r="L79" i="241"/>
  <c r="O79" i="241"/>
  <c r="K79" i="241"/>
  <c r="H79" i="241"/>
  <c r="I79" i="241"/>
  <c r="E79" i="241"/>
  <c r="N79" i="241"/>
  <c r="M79" i="241"/>
  <c r="G79" i="241"/>
  <c r="J79" i="241"/>
  <c r="F79" i="241"/>
  <c r="D78" i="241"/>
  <c r="I78" i="241"/>
  <c r="E78" i="241"/>
  <c r="N78" i="241"/>
  <c r="M78" i="241"/>
  <c r="G78" i="241"/>
  <c r="J78" i="241"/>
  <c r="F78" i="241"/>
  <c r="L78" i="241"/>
  <c r="O78" i="241"/>
  <c r="K78" i="241"/>
  <c r="H78" i="241"/>
  <c r="D76" i="241"/>
  <c r="G76" i="241"/>
  <c r="J76" i="241"/>
  <c r="F76" i="241"/>
  <c r="L76" i="241"/>
  <c r="O76" i="241"/>
  <c r="K76" i="241"/>
  <c r="H76" i="241"/>
  <c r="I76" i="241"/>
  <c r="E76" i="241"/>
  <c r="N76" i="241"/>
  <c r="M76" i="241"/>
  <c r="D74" i="241"/>
  <c r="E74" i="241"/>
  <c r="E100" i="241"/>
  <c r="E120" i="241" s="1"/>
  <c r="E135" i="241" s="1"/>
  <c r="E66" i="241"/>
  <c r="W12" i="52"/>
  <c r="G8" i="11"/>
  <c r="V12" i="52"/>
  <c r="F8" i="11"/>
  <c r="F10" i="11" s="1"/>
  <c r="O6" i="14" s="1"/>
  <c r="U12" i="52"/>
  <c r="E8" i="11"/>
  <c r="E10" i="11" s="1"/>
  <c r="D10" i="11"/>
  <c r="M6" i="14" s="1"/>
  <c r="S21" i="241"/>
  <c r="D21" i="241" s="1"/>
  <c r="D29" i="241" s="1"/>
  <c r="J57" i="73"/>
  <c r="J58" i="73"/>
  <c r="W29" i="41"/>
  <c r="I29" i="41" s="1"/>
  <c r="W28" i="41"/>
  <c r="I28" i="41" s="1"/>
  <c r="W35" i="41"/>
  <c r="I35" i="41" s="1"/>
  <c r="W27" i="41"/>
  <c r="I27" i="41" s="1"/>
  <c r="W33" i="41"/>
  <c r="I33" i="41" s="1"/>
  <c r="W34" i="41"/>
  <c r="I34" i="41" s="1"/>
  <c r="W32" i="41"/>
  <c r="I32" i="41" s="1"/>
  <c r="G48" i="172"/>
  <c r="G46" i="53"/>
  <c r="L44" i="172"/>
  <c r="G43" i="172"/>
  <c r="F43" i="53"/>
  <c r="L47" i="172"/>
  <c r="L43" i="172"/>
  <c r="F44" i="172"/>
  <c r="E44" i="172"/>
  <c r="V29" i="53"/>
  <c r="V25" i="53"/>
  <c r="O22" i="53"/>
  <c r="M21" i="53"/>
  <c r="M17" i="53"/>
  <c r="O16" i="53"/>
  <c r="M13" i="53"/>
  <c r="O12" i="53"/>
  <c r="L48" i="172"/>
  <c r="L45" i="172"/>
  <c r="Q46" i="53"/>
  <c r="G45" i="53"/>
  <c r="H26" i="13"/>
  <c r="I26" i="13" s="1"/>
  <c r="J26" i="13" s="1"/>
  <c r="K26" i="13" s="1"/>
  <c r="J48" i="172"/>
  <c r="V33" i="53"/>
  <c r="O28" i="53"/>
  <c r="K44" i="53"/>
  <c r="F45" i="53"/>
  <c r="O32" i="53"/>
  <c r="G47" i="172"/>
  <c r="K44" i="172"/>
  <c r="H16" i="13"/>
  <c r="I16" i="13" s="1"/>
  <c r="J16" i="13" s="1"/>
  <c r="K16" i="13" s="1"/>
  <c r="H14" i="13"/>
  <c r="I14" i="13" s="1"/>
  <c r="J14" i="13" s="1"/>
  <c r="K14" i="13" s="1"/>
  <c r="H17" i="13"/>
  <c r="I17" i="13" s="1"/>
  <c r="J17" i="13" s="1"/>
  <c r="K17" i="13" s="1"/>
  <c r="AB37" i="172"/>
  <c r="AC33" i="47"/>
  <c r="E33" i="278"/>
  <c r="AE28" i="47"/>
  <c r="AB30" i="172" s="1"/>
  <c r="G28" i="278"/>
  <c r="AH33" i="47"/>
  <c r="AE34" i="172" s="1"/>
  <c r="J33" i="278"/>
  <c r="AA28" i="172"/>
  <c r="AC25" i="47"/>
  <c r="Z26" i="172" s="1"/>
  <c r="E25" i="278"/>
  <c r="AH23" i="47"/>
  <c r="AE24" i="172" s="1"/>
  <c r="J23" i="278"/>
  <c r="AC17" i="47"/>
  <c r="Z18" i="172" s="1"/>
  <c r="E17" i="278"/>
  <c r="AE12" i="47"/>
  <c r="AB13" i="172" s="1"/>
  <c r="G12" i="278"/>
  <c r="AB40" i="172"/>
  <c r="AH35" i="47"/>
  <c r="AE36" i="172" s="1"/>
  <c r="J35" i="278"/>
  <c r="AE34" i="47"/>
  <c r="AB35" i="172" s="1"/>
  <c r="G34" i="278"/>
  <c r="I34" i="278" s="1"/>
  <c r="K34" i="278" s="1"/>
  <c r="AC34" i="278" s="1"/>
  <c r="AD33" i="47"/>
  <c r="AA34" i="172" s="1"/>
  <c r="F33" i="278"/>
  <c r="AH28" i="47"/>
  <c r="AE30" i="172" s="1"/>
  <c r="J28" i="278"/>
  <c r="AE28" i="172"/>
  <c r="AE25" i="47"/>
  <c r="AB26" i="172" s="1"/>
  <c r="G25" i="278"/>
  <c r="AE24" i="47"/>
  <c r="AB25" i="172" s="1"/>
  <c r="G24" i="278"/>
  <c r="AD23" i="47"/>
  <c r="AA24" i="172" s="1"/>
  <c r="F23" i="278"/>
  <c r="AC21" i="47"/>
  <c r="E21" i="278"/>
  <c r="AH19" i="47"/>
  <c r="AE20" i="172" s="1"/>
  <c r="J19" i="278"/>
  <c r="AE17" i="47"/>
  <c r="AB18" i="172" s="1"/>
  <c r="G17" i="278"/>
  <c r="AE16" i="47"/>
  <c r="AB17" i="172" s="1"/>
  <c r="G16" i="278"/>
  <c r="AD15" i="47"/>
  <c r="AA16" i="172" s="1"/>
  <c r="F15" i="278"/>
  <c r="AC13" i="47"/>
  <c r="E13" i="278"/>
  <c r="AH11" i="47"/>
  <c r="AE12" i="172" s="1"/>
  <c r="J11" i="278"/>
  <c r="J44" i="172"/>
  <c r="R43" i="53"/>
  <c r="I45" i="53"/>
  <c r="D41" i="53"/>
  <c r="K43" i="53"/>
  <c r="F41" i="53"/>
  <c r="AE32" i="172"/>
  <c r="AE27" i="47"/>
  <c r="AB29" i="172" s="1"/>
  <c r="G27" i="278"/>
  <c r="H27" i="278" s="1"/>
  <c r="AB28" i="172"/>
  <c r="AE26" i="47"/>
  <c r="AB27" i="172" s="1"/>
  <c r="G26" i="278"/>
  <c r="AD25" i="47"/>
  <c r="AA26" i="172" s="1"/>
  <c r="F25" i="278"/>
  <c r="AC23" i="47"/>
  <c r="E23" i="278"/>
  <c r="AH21" i="47"/>
  <c r="AE22" i="172" s="1"/>
  <c r="J21" i="278"/>
  <c r="AE19" i="47"/>
  <c r="AB20" i="172" s="1"/>
  <c r="G19" i="278"/>
  <c r="AE18" i="47"/>
  <c r="AB19" i="172" s="1"/>
  <c r="G18" i="278"/>
  <c r="AD17" i="47"/>
  <c r="AA18" i="172" s="1"/>
  <c r="F17" i="278"/>
  <c r="AC15" i="47"/>
  <c r="E15" i="278"/>
  <c r="AH13" i="47"/>
  <c r="AE14" i="172" s="1"/>
  <c r="J13" i="278"/>
  <c r="AE11" i="47"/>
  <c r="AB12" i="172" s="1"/>
  <c r="G11" i="278"/>
  <c r="E45" i="172"/>
  <c r="AE35" i="47"/>
  <c r="AB36" i="172" s="1"/>
  <c r="G35" i="278"/>
  <c r="AB38" i="172"/>
  <c r="AD28" i="47"/>
  <c r="AA30" i="172" s="1"/>
  <c r="F28" i="278"/>
  <c r="AB41" i="172"/>
  <c r="AA40" i="172"/>
  <c r="AE38" i="172"/>
  <c r="AD35" i="47"/>
  <c r="AA36" i="172" s="1"/>
  <c r="F35" i="278"/>
  <c r="AB32" i="172"/>
  <c r="AE29" i="47"/>
  <c r="AB31" i="172" s="1"/>
  <c r="G29" i="278"/>
  <c r="H29" i="278" s="1"/>
  <c r="O26" i="41"/>
  <c r="F26" i="278"/>
  <c r="AE21" i="47"/>
  <c r="AB22" i="172" s="1"/>
  <c r="G21" i="278"/>
  <c r="AE20" i="47"/>
  <c r="AB21" i="172" s="1"/>
  <c r="G20" i="278"/>
  <c r="AD19" i="47"/>
  <c r="AA20" i="172" s="1"/>
  <c r="F19" i="278"/>
  <c r="AH15" i="47"/>
  <c r="AE16" i="172" s="1"/>
  <c r="J15" i="278"/>
  <c r="AE13" i="47"/>
  <c r="AB14" i="172" s="1"/>
  <c r="G13" i="278"/>
  <c r="AD11" i="47"/>
  <c r="AA12" i="172" s="1"/>
  <c r="F11" i="278"/>
  <c r="AE40" i="172"/>
  <c r="AB39" i="172"/>
  <c r="AA38" i="172"/>
  <c r="AC35" i="47"/>
  <c r="AF35" i="47" s="1"/>
  <c r="E35" i="278"/>
  <c r="AE33" i="47"/>
  <c r="AB34" i="172" s="1"/>
  <c r="G33" i="278"/>
  <c r="AE32" i="47"/>
  <c r="AB33" i="172" s="1"/>
  <c r="G32" i="278"/>
  <c r="I32" i="278" s="1"/>
  <c r="K32" i="278" s="1"/>
  <c r="AC32" i="278" s="1"/>
  <c r="AA32" i="172"/>
  <c r="AC28" i="47"/>
  <c r="E28" i="278"/>
  <c r="AH25" i="47"/>
  <c r="AE26" i="172" s="1"/>
  <c r="J25" i="278"/>
  <c r="AE23" i="47"/>
  <c r="AB24" i="172" s="1"/>
  <c r="G23" i="278"/>
  <c r="AE22" i="47"/>
  <c r="AB23" i="172" s="1"/>
  <c r="G22" i="278"/>
  <c r="AD21" i="47"/>
  <c r="AA22" i="172" s="1"/>
  <c r="F21" i="278"/>
  <c r="AC19" i="47"/>
  <c r="Z20" i="172" s="1"/>
  <c r="E19" i="278"/>
  <c r="AH17" i="47"/>
  <c r="AE18" i="172" s="1"/>
  <c r="J17" i="278"/>
  <c r="AE15" i="47"/>
  <c r="AB16" i="172" s="1"/>
  <c r="G15" i="278"/>
  <c r="AE14" i="47"/>
  <c r="AB15" i="172" s="1"/>
  <c r="G14" i="278"/>
  <c r="AD13" i="47"/>
  <c r="AA14" i="172" s="1"/>
  <c r="F13" i="278"/>
  <c r="AC11" i="47"/>
  <c r="E11" i="278"/>
  <c r="M34" i="53"/>
  <c r="M26" i="53"/>
  <c r="M20" i="53"/>
  <c r="O19" i="53"/>
  <c r="O15" i="53"/>
  <c r="M14" i="53"/>
  <c r="O11" i="53"/>
  <c r="M10" i="53"/>
  <c r="E48" i="172"/>
  <c r="I44" i="172"/>
  <c r="N8" i="47"/>
  <c r="AB2" i="278"/>
  <c r="B39" i="53"/>
  <c r="B39" i="172"/>
  <c r="B35" i="53"/>
  <c r="B40" i="172"/>
  <c r="B36" i="172"/>
  <c r="B35" i="278"/>
  <c r="B34" i="172"/>
  <c r="B33" i="278"/>
  <c r="B32" i="172"/>
  <c r="B31" i="278"/>
  <c r="B27" i="15"/>
  <c r="B28" i="278"/>
  <c r="B28" i="172"/>
  <c r="B24" i="53"/>
  <c r="B25" i="278"/>
  <c r="B24" i="172"/>
  <c r="B23" i="278"/>
  <c r="B20" i="15"/>
  <c r="B21" i="278"/>
  <c r="B20" i="172"/>
  <c r="B19" i="278"/>
  <c r="B18" i="172"/>
  <c r="B17" i="278"/>
  <c r="B16" i="172"/>
  <c r="B15" i="278"/>
  <c r="B12" i="15"/>
  <c r="B13" i="278"/>
  <c r="B10" i="53"/>
  <c r="B11" i="278"/>
  <c r="B35" i="172"/>
  <c r="B34" i="278"/>
  <c r="B31" i="53"/>
  <c r="B32" i="278"/>
  <c r="B31" i="172"/>
  <c r="B29" i="278"/>
  <c r="B27" i="53"/>
  <c r="B27" i="278"/>
  <c r="B27" i="172"/>
  <c r="B26" i="278"/>
  <c r="B25" i="172"/>
  <c r="B24" i="278"/>
  <c r="B23" i="172"/>
  <c r="B22" i="278"/>
  <c r="B21" i="172"/>
  <c r="B20" i="278"/>
  <c r="B19" i="172"/>
  <c r="B18" i="278"/>
  <c r="B17" i="172"/>
  <c r="B16" i="278"/>
  <c r="B15" i="172"/>
  <c r="B14" i="278"/>
  <c r="B13" i="172"/>
  <c r="B12" i="278"/>
  <c r="N21" i="4"/>
  <c r="N19" i="4"/>
  <c r="I16" i="14"/>
  <c r="K206" i="73"/>
  <c r="K207" i="73" s="1"/>
  <c r="K208" i="73" s="1"/>
  <c r="K209" i="73" s="1"/>
  <c r="K210" i="73" s="1"/>
  <c r="K211" i="73" s="1"/>
  <c r="H48" i="185"/>
  <c r="D42" i="53"/>
  <c r="I12" i="14"/>
  <c r="U45" i="185"/>
  <c r="Y16" i="185"/>
  <c r="Y12" i="185"/>
  <c r="S45" i="53"/>
  <c r="J43" i="53"/>
  <c r="E43" i="53"/>
  <c r="G42" i="13"/>
  <c r="M44" i="172"/>
  <c r="D46" i="53"/>
  <c r="F42" i="53"/>
  <c r="H41" i="52"/>
  <c r="H84" i="52" s="1"/>
  <c r="K41" i="52"/>
  <c r="K84" i="52" s="1"/>
  <c r="I41" i="52"/>
  <c r="I84" i="52" s="1"/>
  <c r="E41" i="52"/>
  <c r="E84" i="52" s="1"/>
  <c r="F41" i="52"/>
  <c r="F84" i="52" s="1"/>
  <c r="M41" i="52"/>
  <c r="M84" i="52" s="1"/>
  <c r="O41" i="52"/>
  <c r="O84" i="52" s="1"/>
  <c r="J41" i="52"/>
  <c r="J84" i="52" s="1"/>
  <c r="L41" i="52"/>
  <c r="L84" i="52" s="1"/>
  <c r="N41" i="52"/>
  <c r="N84" i="52" s="1"/>
  <c r="G41" i="52"/>
  <c r="G84" i="52" s="1"/>
  <c r="D41" i="52"/>
  <c r="D84" i="52" s="1"/>
  <c r="L35" i="52"/>
  <c r="L78" i="52" s="1"/>
  <c r="M35" i="52"/>
  <c r="M78" i="52" s="1"/>
  <c r="N35" i="52"/>
  <c r="N78" i="52" s="1"/>
  <c r="O35" i="52"/>
  <c r="O78" i="52" s="1"/>
  <c r="G42" i="52"/>
  <c r="G85" i="52" s="1"/>
  <c r="H42" i="52"/>
  <c r="H85" i="52" s="1"/>
  <c r="K42" i="52"/>
  <c r="K85" i="52" s="1"/>
  <c r="I42" i="52"/>
  <c r="I85" i="52" s="1"/>
  <c r="N42" i="52"/>
  <c r="N85" i="52" s="1"/>
  <c r="D42" i="52"/>
  <c r="D85" i="52" s="1"/>
  <c r="E42" i="52"/>
  <c r="E85" i="52" s="1"/>
  <c r="F42" i="52"/>
  <c r="F85" i="52" s="1"/>
  <c r="O42" i="52"/>
  <c r="O85" i="52" s="1"/>
  <c r="J42" i="52"/>
  <c r="J85" i="52" s="1"/>
  <c r="M42" i="52"/>
  <c r="M85" i="52" s="1"/>
  <c r="L42" i="52"/>
  <c r="L85" i="52" s="1"/>
  <c r="O39" i="52"/>
  <c r="O82" i="52" s="1"/>
  <c r="M39" i="52"/>
  <c r="M82" i="52" s="1"/>
  <c r="G39" i="52"/>
  <c r="G82" i="52" s="1"/>
  <c r="I39" i="52"/>
  <c r="I82" i="52" s="1"/>
  <c r="E39" i="52"/>
  <c r="E82" i="52" s="1"/>
  <c r="F39" i="52"/>
  <c r="F82" i="52" s="1"/>
  <c r="H39" i="52"/>
  <c r="H82" i="52" s="1"/>
  <c r="J39" i="52"/>
  <c r="J82" i="52" s="1"/>
  <c r="N39" i="52"/>
  <c r="N82" i="52" s="1"/>
  <c r="D39" i="52"/>
  <c r="D82" i="52" s="1"/>
  <c r="K39" i="52"/>
  <c r="K82" i="52" s="1"/>
  <c r="L39" i="52"/>
  <c r="L82" i="52" s="1"/>
  <c r="D21" i="52"/>
  <c r="D80" i="52" s="1"/>
  <c r="S29" i="52"/>
  <c r="D29" i="52" s="1"/>
  <c r="E29" i="52" s="1"/>
  <c r="F29" i="52" s="1"/>
  <c r="G29" i="52" s="1"/>
  <c r="H29" i="52" s="1"/>
  <c r="I29" i="52" s="1"/>
  <c r="J29" i="52" s="1"/>
  <c r="K29" i="52" s="1"/>
  <c r="L29" i="52" s="1"/>
  <c r="M29" i="52" s="1"/>
  <c r="E43" i="52"/>
  <c r="E86" i="52" s="1"/>
  <c r="F43" i="52"/>
  <c r="F86" i="52" s="1"/>
  <c r="J43" i="52"/>
  <c r="J86" i="52" s="1"/>
  <c r="N43" i="52"/>
  <c r="N86" i="52" s="1"/>
  <c r="L43" i="52"/>
  <c r="L86" i="52" s="1"/>
  <c r="M43" i="52"/>
  <c r="M86" i="52" s="1"/>
  <c r="H43" i="52"/>
  <c r="H86" i="52" s="1"/>
  <c r="K43" i="52"/>
  <c r="K86" i="52" s="1"/>
  <c r="O43" i="52"/>
  <c r="O86" i="52" s="1"/>
  <c r="I43" i="52"/>
  <c r="I86" i="52" s="1"/>
  <c r="G43" i="52"/>
  <c r="G86" i="52" s="1"/>
  <c r="D43" i="52"/>
  <c r="D86" i="52" s="1"/>
  <c r="E40" i="52"/>
  <c r="E83" i="52" s="1"/>
  <c r="M40" i="52"/>
  <c r="M83" i="52" s="1"/>
  <c r="F40" i="52"/>
  <c r="F83" i="52" s="1"/>
  <c r="J40" i="52"/>
  <c r="J83" i="52" s="1"/>
  <c r="G40" i="52"/>
  <c r="G83" i="52" s="1"/>
  <c r="L40" i="52"/>
  <c r="L83" i="52" s="1"/>
  <c r="N40" i="52"/>
  <c r="N83" i="52" s="1"/>
  <c r="D40" i="52"/>
  <c r="D83" i="52" s="1"/>
  <c r="H40" i="52"/>
  <c r="H83" i="52" s="1"/>
  <c r="K40" i="52"/>
  <c r="K83" i="52" s="1"/>
  <c r="O40" i="52"/>
  <c r="O83" i="52" s="1"/>
  <c r="I40" i="52"/>
  <c r="I83" i="52" s="1"/>
  <c r="E74" i="52"/>
  <c r="E108" i="52"/>
  <c r="E128" i="52" s="1"/>
  <c r="E142" i="52" s="1"/>
  <c r="E58" i="52"/>
  <c r="J55" i="73"/>
  <c r="F9" i="66"/>
  <c r="S20" i="52"/>
  <c r="J56" i="73"/>
  <c r="S22" i="52"/>
  <c r="R44" i="53"/>
  <c r="I41" i="53"/>
  <c r="D44" i="53"/>
  <c r="K42" i="53"/>
  <c r="F44" i="53"/>
  <c r="G40" i="13"/>
  <c r="K117" i="6"/>
  <c r="J43" i="172"/>
  <c r="Q45" i="53"/>
  <c r="S46" i="53"/>
  <c r="J46" i="53"/>
  <c r="E46" i="53"/>
  <c r="E44" i="185"/>
  <c r="G47" i="185"/>
  <c r="R45" i="53"/>
  <c r="I44" i="53"/>
  <c r="M41" i="250"/>
  <c r="X26" i="185"/>
  <c r="I46" i="53"/>
  <c r="Q42" i="53"/>
  <c r="I15" i="14"/>
  <c r="AA38" i="234"/>
  <c r="M21" i="234"/>
  <c r="O21" i="234" s="1"/>
  <c r="S21" i="234" s="1"/>
  <c r="M24" i="234"/>
  <c r="O24" i="234" s="1"/>
  <c r="N20" i="4"/>
  <c r="H15" i="6"/>
  <c r="E40" i="13"/>
  <c r="E42" i="13"/>
  <c r="G52" i="13"/>
  <c r="D41" i="13"/>
  <c r="F14" i="66"/>
  <c r="J75" i="73"/>
  <c r="F12" i="66"/>
  <c r="J68" i="73"/>
  <c r="F20" i="6"/>
  <c r="F30" i="6"/>
  <c r="F31" i="6" s="1"/>
  <c r="L8" i="172"/>
  <c r="U8" i="172"/>
  <c r="M37" i="12"/>
  <c r="G38" i="13"/>
  <c r="E41" i="13"/>
  <c r="D42" i="13"/>
  <c r="F37" i="13"/>
  <c r="G41" i="13"/>
  <c r="D40" i="13"/>
  <c r="E39" i="13"/>
  <c r="U47" i="185"/>
  <c r="D43" i="185"/>
  <c r="Q43" i="185"/>
  <c r="K44" i="185"/>
  <c r="B43" i="52"/>
  <c r="B86" i="52" s="1"/>
  <c r="B118" i="52" s="1"/>
  <c r="B138" i="52" s="1"/>
  <c r="B152" i="52" s="1"/>
  <c r="B39" i="52"/>
  <c r="B82" i="52" s="1"/>
  <c r="B98" i="52" s="1"/>
  <c r="F9" i="6"/>
  <c r="F8" i="229" s="1"/>
  <c r="H21" i="39"/>
  <c r="D9" i="39" s="1"/>
  <c r="N45" i="41"/>
  <c r="O20" i="41"/>
  <c r="B20" i="41"/>
  <c r="K46" i="53"/>
  <c r="F46" i="53"/>
  <c r="D45" i="53"/>
  <c r="AA37" i="234"/>
  <c r="AA28" i="234"/>
  <c r="AA23" i="234"/>
  <c r="Q47" i="185"/>
  <c r="E45" i="185"/>
  <c r="I26" i="185"/>
  <c r="S25" i="185"/>
  <c r="J25" i="185"/>
  <c r="L25" i="185" s="1"/>
  <c r="D48" i="185"/>
  <c r="R44" i="185"/>
  <c r="X24" i="185"/>
  <c r="T11" i="185"/>
  <c r="V11" i="185" s="1"/>
  <c r="J11" i="185"/>
  <c r="L11" i="185" s="1"/>
  <c r="H30" i="6"/>
  <c r="H31" i="6" s="1"/>
  <c r="O22" i="41"/>
  <c r="B12" i="41"/>
  <c r="W38" i="53"/>
  <c r="W34" i="53"/>
  <c r="W30" i="53"/>
  <c r="W26" i="53"/>
  <c r="W24" i="53"/>
  <c r="W20" i="53"/>
  <c r="U19" i="53"/>
  <c r="W18" i="53"/>
  <c r="U15" i="53"/>
  <c r="W14" i="53"/>
  <c r="U11" i="53"/>
  <c r="W10" i="53"/>
  <c r="J47" i="172"/>
  <c r="J45" i="172"/>
  <c r="K45" i="53"/>
  <c r="E52" i="13"/>
  <c r="I14" i="14"/>
  <c r="AA27" i="234"/>
  <c r="K48" i="185"/>
  <c r="S26" i="185"/>
  <c r="J26" i="185"/>
  <c r="L26" i="185" s="1"/>
  <c r="E47" i="185"/>
  <c r="U46" i="185"/>
  <c r="S21" i="185"/>
  <c r="X20" i="185"/>
  <c r="I20" i="185"/>
  <c r="S17" i="185"/>
  <c r="T16" i="185"/>
  <c r="V16" i="185" s="1"/>
  <c r="X16" i="185"/>
  <c r="I16" i="185"/>
  <c r="B73" i="73"/>
  <c r="B91" i="73" s="1"/>
  <c r="B210" i="73" s="1"/>
  <c r="B235" i="73" s="1"/>
  <c r="B69" i="73"/>
  <c r="B87" i="73" s="1"/>
  <c r="B206" i="73" s="1"/>
  <c r="B231" i="73" s="1"/>
  <c r="I15" i="6"/>
  <c r="K12" i="6"/>
  <c r="L12" i="6" s="1"/>
  <c r="M12" i="6" s="1"/>
  <c r="O24" i="41"/>
  <c r="L40" i="47"/>
  <c r="N22" i="53"/>
  <c r="N18" i="53"/>
  <c r="N14" i="53"/>
  <c r="N10" i="53"/>
  <c r="D52" i="13"/>
  <c r="AA26" i="234"/>
  <c r="Q48" i="185"/>
  <c r="Q46" i="185"/>
  <c r="U44" i="185"/>
  <c r="R46" i="185"/>
  <c r="G44" i="185"/>
  <c r="I23" i="185"/>
  <c r="S22" i="185"/>
  <c r="H43" i="185"/>
  <c r="T21" i="185"/>
  <c r="V21" i="185" s="1"/>
  <c r="Y21" i="185"/>
  <c r="J21" i="185"/>
  <c r="L21" i="185" s="1"/>
  <c r="Q9" i="173"/>
  <c r="AE12" i="173" s="1"/>
  <c r="X12" i="173"/>
  <c r="P26" i="41"/>
  <c r="P24" i="41"/>
  <c r="P22" i="41"/>
  <c r="U22" i="41" s="1"/>
  <c r="V22" i="41" s="1"/>
  <c r="P20" i="41"/>
  <c r="R20" i="41" s="1"/>
  <c r="S44" i="53"/>
  <c r="J44" i="53"/>
  <c r="E44" i="53"/>
  <c r="I43" i="53"/>
  <c r="D43" i="53"/>
  <c r="I42" i="53"/>
  <c r="M38" i="256"/>
  <c r="F52" i="13"/>
  <c r="P45" i="185"/>
  <c r="U43" i="185"/>
  <c r="F93" i="6"/>
  <c r="Q43" i="53"/>
  <c r="G43" i="53"/>
  <c r="S42" i="53"/>
  <c r="S41" i="53"/>
  <c r="Q41" i="53"/>
  <c r="M41" i="256"/>
  <c r="M40" i="249"/>
  <c r="G39" i="13"/>
  <c r="G37" i="13"/>
  <c r="D39" i="13"/>
  <c r="F41" i="13"/>
  <c r="E37" i="13"/>
  <c r="F39" i="13"/>
  <c r="I18" i="14"/>
  <c r="AA40" i="234"/>
  <c r="M19" i="234"/>
  <c r="O19" i="234" s="1"/>
  <c r="T19" i="234" s="1"/>
  <c r="P48" i="185"/>
  <c r="E48" i="185"/>
  <c r="P47" i="185"/>
  <c r="K46" i="185"/>
  <c r="N45" i="185"/>
  <c r="K43" i="185"/>
  <c r="X25" i="185"/>
  <c r="I24" i="185"/>
  <c r="S23" i="185"/>
  <c r="J23" i="185"/>
  <c r="L23" i="185" s="1"/>
  <c r="X19" i="185"/>
  <c r="I19" i="185"/>
  <c r="S18" i="185"/>
  <c r="H44" i="185"/>
  <c r="D44" i="185"/>
  <c r="T17" i="185"/>
  <c r="V17" i="185" s="1"/>
  <c r="Y17" i="185"/>
  <c r="J17" i="185"/>
  <c r="L17" i="185" s="1"/>
  <c r="S13" i="185"/>
  <c r="T12" i="185"/>
  <c r="V12" i="185" s="1"/>
  <c r="X12" i="185"/>
  <c r="I12" i="185"/>
  <c r="M39" i="47"/>
  <c r="J45" i="53"/>
  <c r="E45" i="53"/>
  <c r="Q44" i="53"/>
  <c r="G44" i="53"/>
  <c r="S43" i="53"/>
  <c r="M41" i="12"/>
  <c r="M37" i="256"/>
  <c r="M39" i="256"/>
  <c r="M40" i="250"/>
  <c r="Y46" i="234"/>
  <c r="X47" i="234"/>
  <c r="M42" i="244"/>
  <c r="U48" i="185"/>
  <c r="N48" i="185"/>
  <c r="N47" i="185"/>
  <c r="H46" i="185"/>
  <c r="H45" i="185"/>
  <c r="I25" i="185"/>
  <c r="S24" i="185"/>
  <c r="J24" i="185"/>
  <c r="L24" i="185" s="1"/>
  <c r="Y20" i="185"/>
  <c r="T19" i="185"/>
  <c r="V19" i="185" s="1"/>
  <c r="K45" i="185"/>
  <c r="X15" i="185"/>
  <c r="I15" i="185"/>
  <c r="S14" i="185"/>
  <c r="T13" i="185"/>
  <c r="V13" i="185" s="1"/>
  <c r="Y13" i="185"/>
  <c r="J13" i="185"/>
  <c r="L13" i="185" s="1"/>
  <c r="I11" i="185"/>
  <c r="B11" i="133"/>
  <c r="G11" i="133" s="1"/>
  <c r="B3" i="73" s="1"/>
  <c r="F15" i="126"/>
  <c r="G117" i="6"/>
  <c r="G119" i="6" s="1"/>
  <c r="F57" i="6"/>
  <c r="F61" i="6" s="1"/>
  <c r="G61" i="6" s="1"/>
  <c r="H61" i="6" s="1"/>
  <c r="I61" i="6" s="1"/>
  <c r="J61" i="6" s="1"/>
  <c r="K61" i="6" s="1"/>
  <c r="L61" i="6" s="1"/>
  <c r="M61" i="6" s="1"/>
  <c r="N61" i="6" s="1"/>
  <c r="O61" i="6" s="1"/>
  <c r="E32" i="11"/>
  <c r="M38" i="12"/>
  <c r="M39" i="249"/>
  <c r="M42" i="250"/>
  <c r="I19" i="14"/>
  <c r="I11" i="14"/>
  <c r="R48" i="185"/>
  <c r="H47" i="185"/>
  <c r="D46" i="185"/>
  <c r="G45" i="185"/>
  <c r="E46" i="185"/>
  <c r="P44" i="185"/>
  <c r="E43" i="185"/>
  <c r="T20" i="185"/>
  <c r="V20" i="185" s="1"/>
  <c r="T15" i="185"/>
  <c r="V15" i="185" s="1"/>
  <c r="L46" i="41"/>
  <c r="L45" i="41"/>
  <c r="L43" i="41"/>
  <c r="L42" i="41"/>
  <c r="R42" i="53"/>
  <c r="R41" i="53"/>
  <c r="K41" i="53"/>
  <c r="E172" i="73"/>
  <c r="F172" i="73"/>
  <c r="G172" i="73"/>
  <c r="G135" i="73"/>
  <c r="G158" i="73" s="1"/>
  <c r="F135" i="73"/>
  <c r="F158" i="73" s="1"/>
  <c r="E135" i="73"/>
  <c r="E158" i="73" s="1"/>
  <c r="G109" i="73"/>
  <c r="E109" i="73"/>
  <c r="F109" i="73"/>
  <c r="C17" i="126"/>
  <c r="N44" i="41"/>
  <c r="O18" i="41"/>
  <c r="P18" i="41"/>
  <c r="R18" i="41" s="1"/>
  <c r="O16" i="41"/>
  <c r="P16" i="41"/>
  <c r="R16" i="41" s="1"/>
  <c r="O14" i="41"/>
  <c r="P14" i="41"/>
  <c r="R14" i="41" s="1"/>
  <c r="O12" i="41"/>
  <c r="P12" i="41"/>
  <c r="R12" i="41" s="1"/>
  <c r="K47" i="172"/>
  <c r="F47" i="172"/>
  <c r="K45" i="172"/>
  <c r="F45" i="172"/>
  <c r="K43" i="172"/>
  <c r="F43" i="172"/>
  <c r="E124" i="73"/>
  <c r="E147" i="73" s="1"/>
  <c r="F124" i="73"/>
  <c r="F147" i="73" s="1"/>
  <c r="G124" i="73"/>
  <c r="G147" i="73" s="1"/>
  <c r="C30" i="126"/>
  <c r="C31" i="126" s="1"/>
  <c r="C23" i="126"/>
  <c r="C24" i="126" s="1"/>
  <c r="H117" i="6"/>
  <c r="H119" i="6" s="1"/>
  <c r="G15" i="6"/>
  <c r="G9" i="6"/>
  <c r="N47" i="41"/>
  <c r="N43" i="41"/>
  <c r="H42" i="41"/>
  <c r="M42" i="47"/>
  <c r="O37" i="47"/>
  <c r="K9" i="10"/>
  <c r="D9" i="10"/>
  <c r="D8" i="8" s="1"/>
  <c r="G8" i="8" s="1"/>
  <c r="N46" i="41"/>
  <c r="N42" i="41"/>
  <c r="H42" i="47"/>
  <c r="M45" i="172"/>
  <c r="I45" i="172"/>
  <c r="M43" i="172"/>
  <c r="I43" i="172"/>
  <c r="E42" i="53"/>
  <c r="E41" i="53"/>
  <c r="W39" i="53"/>
  <c r="W37" i="53"/>
  <c r="G42" i="53"/>
  <c r="W35" i="53"/>
  <c r="G41" i="53"/>
  <c r="W33" i="53"/>
  <c r="W31" i="53"/>
  <c r="W29" i="53"/>
  <c r="W27" i="53"/>
  <c r="W25" i="53"/>
  <c r="V23" i="57"/>
  <c r="V11" i="57"/>
  <c r="E45" i="11"/>
  <c r="G39" i="11"/>
  <c r="G45" i="11"/>
  <c r="G57" i="11"/>
  <c r="M40" i="12"/>
  <c r="M36" i="12"/>
  <c r="M41" i="257"/>
  <c r="M39" i="257"/>
  <c r="M37" i="257"/>
  <c r="M36" i="257"/>
  <c r="M40" i="256"/>
  <c r="M42" i="249"/>
  <c r="M38" i="249"/>
  <c r="F42" i="13"/>
  <c r="F40" i="13"/>
  <c r="E38" i="13"/>
  <c r="I17" i="14"/>
  <c r="AA39" i="234"/>
  <c r="M25" i="234"/>
  <c r="O25" i="234" s="1"/>
  <c r="S25" i="234" s="1"/>
  <c r="M20" i="234"/>
  <c r="O20" i="234" s="1"/>
  <c r="R20" i="234" s="1"/>
  <c r="O48" i="185"/>
  <c r="G48" i="185"/>
  <c r="R47" i="185"/>
  <c r="K47" i="185"/>
  <c r="D47" i="185"/>
  <c r="P46" i="185"/>
  <c r="G46" i="185"/>
  <c r="R45" i="185"/>
  <c r="D45" i="185"/>
  <c r="Q44" i="185"/>
  <c r="P43" i="185"/>
  <c r="G43" i="185"/>
  <c r="T26" i="185"/>
  <c r="V26" i="185" s="1"/>
  <c r="Y26" i="185"/>
  <c r="T25" i="185"/>
  <c r="V25" i="185" s="1"/>
  <c r="Z25" i="185" s="1"/>
  <c r="Y25" i="185"/>
  <c r="T24" i="185"/>
  <c r="V24" i="185" s="1"/>
  <c r="Y24" i="185"/>
  <c r="T23" i="185"/>
  <c r="Y23" i="185"/>
  <c r="T22" i="185"/>
  <c r="V22" i="185" s="1"/>
  <c r="Y22" i="185"/>
  <c r="J22" i="185"/>
  <c r="L22" i="185" s="1"/>
  <c r="X21" i="185"/>
  <c r="I21" i="185"/>
  <c r="S19" i="185"/>
  <c r="T18" i="185"/>
  <c r="V18" i="185" s="1"/>
  <c r="Y18" i="185"/>
  <c r="J18" i="185"/>
  <c r="L18" i="185" s="1"/>
  <c r="X17" i="185"/>
  <c r="I17" i="185"/>
  <c r="S15" i="185"/>
  <c r="T14" i="185"/>
  <c r="V14" i="185" s="1"/>
  <c r="Y14" i="185"/>
  <c r="J14" i="185"/>
  <c r="L14" i="185" s="1"/>
  <c r="X13" i="185"/>
  <c r="I13" i="185"/>
  <c r="S11" i="185"/>
  <c r="D39" i="11"/>
  <c r="E26" i="11"/>
  <c r="M39" i="12"/>
  <c r="M41" i="249"/>
  <c r="M37" i="249"/>
  <c r="D38" i="13"/>
  <c r="D37" i="13"/>
  <c r="AA22" i="234"/>
  <c r="Y42" i="234"/>
  <c r="X42" i="234"/>
  <c r="Y47" i="234"/>
  <c r="N46" i="185"/>
  <c r="Q45" i="185"/>
  <c r="N43" i="185"/>
  <c r="O44" i="185"/>
  <c r="X22" i="185"/>
  <c r="I22" i="185"/>
  <c r="S20" i="185"/>
  <c r="Y19" i="185"/>
  <c r="J19" i="185"/>
  <c r="L19" i="185" s="1"/>
  <c r="X18" i="185"/>
  <c r="I18" i="185"/>
  <c r="S16" i="185"/>
  <c r="Y15" i="185"/>
  <c r="J15" i="185"/>
  <c r="L15" i="185" s="1"/>
  <c r="X14" i="185"/>
  <c r="I14" i="185"/>
  <c r="S12" i="185"/>
  <c r="Y11" i="185"/>
  <c r="D45" i="11"/>
  <c r="D57" i="11"/>
  <c r="M42" i="256"/>
  <c r="I13" i="14"/>
  <c r="N44" i="185"/>
  <c r="F44" i="185"/>
  <c r="R43" i="185"/>
  <c r="J20" i="185"/>
  <c r="L20" i="185" s="1"/>
  <c r="Z20" i="185" s="1"/>
  <c r="J16" i="185"/>
  <c r="L16" i="185" s="1"/>
  <c r="Z16" i="185" s="1"/>
  <c r="J12" i="185"/>
  <c r="L12" i="185" s="1"/>
  <c r="B27" i="241"/>
  <c r="B15" i="245" s="1"/>
  <c r="B18" i="245"/>
  <c r="B73" i="241"/>
  <c r="B105" i="241" s="1"/>
  <c r="B125" i="241" s="1"/>
  <c r="B140" i="241" s="1"/>
  <c r="F15" i="241"/>
  <c r="G15" i="241" s="1"/>
  <c r="G84" i="241" s="1"/>
  <c r="E84" i="241"/>
  <c r="B17" i="245"/>
  <c r="B72" i="241"/>
  <c r="B88" i="241" s="1"/>
  <c r="B16" i="245"/>
  <c r="B71" i="241"/>
  <c r="B87" i="241" s="1"/>
  <c r="B80" i="241"/>
  <c r="B96" i="241" s="1"/>
  <c r="B79" i="241"/>
  <c r="B95" i="241" s="1"/>
  <c r="F38" i="13"/>
  <c r="F15" i="52"/>
  <c r="F74" i="52" s="1"/>
  <c r="B35" i="52"/>
  <c r="B101" i="52"/>
  <c r="B117" i="52"/>
  <c r="B137" i="52" s="1"/>
  <c r="B151" i="52" s="1"/>
  <c r="B119" i="52"/>
  <c r="B139" i="52" s="1"/>
  <c r="B153" i="52" s="1"/>
  <c r="B103" i="52"/>
  <c r="B115" i="52"/>
  <c r="B135" i="52" s="1"/>
  <c r="B149" i="52" s="1"/>
  <c r="B99" i="52"/>
  <c r="B116" i="52"/>
  <c r="B136" i="52" s="1"/>
  <c r="B150" i="52" s="1"/>
  <c r="B100" i="52"/>
  <c r="B120" i="52"/>
  <c r="B104" i="52"/>
  <c r="B83" i="73"/>
  <c r="B194" i="73" s="1"/>
  <c r="B219" i="73" s="1"/>
  <c r="U44" i="52"/>
  <c r="O58" i="241"/>
  <c r="AF22" i="57"/>
  <c r="AF15" i="57"/>
  <c r="AF18" i="57"/>
  <c r="Y33" i="57"/>
  <c r="L17" i="62" s="1"/>
  <c r="H38" i="47"/>
  <c r="J41" i="47"/>
  <c r="O38" i="47"/>
  <c r="P37" i="47"/>
  <c r="L38" i="47"/>
  <c r="N42" i="47"/>
  <c r="M38" i="47"/>
  <c r="M40" i="47"/>
  <c r="J38" i="47"/>
  <c r="O41" i="47"/>
  <c r="O40" i="47"/>
  <c r="N41" i="47"/>
  <c r="I40" i="47"/>
  <c r="B22" i="41"/>
  <c r="B14" i="41"/>
  <c r="P42" i="47"/>
  <c r="L42" i="47"/>
  <c r="P41" i="47"/>
  <c r="P40" i="47"/>
  <c r="J40" i="47"/>
  <c r="L39" i="47"/>
  <c r="N38" i="47"/>
  <c r="I38" i="47"/>
  <c r="L37" i="47"/>
  <c r="O39" i="47"/>
  <c r="J39" i="47"/>
  <c r="M39" i="53"/>
  <c r="M37" i="53"/>
  <c r="M35" i="53"/>
  <c r="M33" i="53"/>
  <c r="M31" i="53"/>
  <c r="M29" i="53"/>
  <c r="M27" i="53"/>
  <c r="M25" i="53"/>
  <c r="O24" i="53"/>
  <c r="B24" i="41"/>
  <c r="B16" i="41"/>
  <c r="Z2" i="41"/>
  <c r="O42" i="47"/>
  <c r="J42" i="47"/>
  <c r="H40" i="47"/>
  <c r="H39" i="47"/>
  <c r="J37" i="47"/>
  <c r="N39" i="47"/>
  <c r="N37" i="47"/>
  <c r="N40" i="47"/>
  <c r="U39" i="53"/>
  <c r="N38" i="53"/>
  <c r="U37" i="53"/>
  <c r="N36" i="53"/>
  <c r="U35" i="53"/>
  <c r="N34" i="53"/>
  <c r="U33" i="53"/>
  <c r="N32" i="53"/>
  <c r="U31" i="53"/>
  <c r="N30" i="53"/>
  <c r="U29" i="53"/>
  <c r="N28" i="53"/>
  <c r="U27" i="53"/>
  <c r="N26" i="53"/>
  <c r="U25" i="53"/>
  <c r="I41" i="47"/>
  <c r="B26" i="41"/>
  <c r="B18" i="41"/>
  <c r="I42" i="47"/>
  <c r="L41" i="47"/>
  <c r="P39" i="47"/>
  <c r="P38" i="47"/>
  <c r="M41" i="47"/>
  <c r="M37" i="47"/>
  <c r="O39" i="53"/>
  <c r="O37" i="53"/>
  <c r="V36" i="53"/>
  <c r="O35" i="53"/>
  <c r="O33" i="53"/>
  <c r="V32" i="53"/>
  <c r="O31" i="53"/>
  <c r="V30" i="53"/>
  <c r="O29" i="53"/>
  <c r="V28" i="53"/>
  <c r="O27" i="53"/>
  <c r="V26" i="53"/>
  <c r="O25" i="53"/>
  <c r="V24" i="53"/>
  <c r="O62" i="241"/>
  <c r="AF14" i="57"/>
  <c r="Y32" i="57"/>
  <c r="L16" i="62" s="1"/>
  <c r="V19" i="57"/>
  <c r="V15" i="57"/>
  <c r="X31" i="57"/>
  <c r="J15" i="62" s="1"/>
  <c r="V26" i="57"/>
  <c r="R28" i="57"/>
  <c r="AG28" i="57"/>
  <c r="Y29" i="57"/>
  <c r="L13" i="62" s="1"/>
  <c r="AJ32" i="57"/>
  <c r="R16" i="62" s="1"/>
  <c r="AJ30" i="57"/>
  <c r="H11" i="189" s="1"/>
  <c r="AB32" i="57"/>
  <c r="X29" i="57"/>
  <c r="J13" i="62" s="1"/>
  <c r="AF19" i="57"/>
  <c r="V18" i="57"/>
  <c r="R33" i="57"/>
  <c r="AJ31" i="57"/>
  <c r="Y30" i="57"/>
  <c r="L14" i="62" s="1"/>
  <c r="AJ28" i="57"/>
  <c r="R12" i="62" s="1"/>
  <c r="V10" i="57"/>
  <c r="R30" i="57"/>
  <c r="AI30" i="57"/>
  <c r="AJ33" i="57"/>
  <c r="R17" i="62" s="1"/>
  <c r="AB31" i="57"/>
  <c r="AG29" i="57"/>
  <c r="AF23" i="57"/>
  <c r="AB33" i="57"/>
  <c r="AC31" i="57"/>
  <c r="Q31" i="57"/>
  <c r="AF26" i="57"/>
  <c r="V22" i="57"/>
  <c r="V14" i="57"/>
  <c r="AF10" i="57"/>
  <c r="AI28" i="57"/>
  <c r="P12" i="62" s="1"/>
  <c r="U20" i="57"/>
  <c r="AF20" i="57"/>
  <c r="V20" i="57"/>
  <c r="U12" i="57"/>
  <c r="AF12" i="57"/>
  <c r="V12" i="57"/>
  <c r="AI32" i="57"/>
  <c r="P16" i="62" s="1"/>
  <c r="AI29" i="57"/>
  <c r="P13" i="62" s="1"/>
  <c r="AI31" i="57"/>
  <c r="G12" i="189" s="1"/>
  <c r="AI33" i="57"/>
  <c r="P17" i="62" s="1"/>
  <c r="AA29" i="57"/>
  <c r="U21" i="57"/>
  <c r="V21" i="57"/>
  <c r="AF21" i="57"/>
  <c r="U13" i="57"/>
  <c r="V13" i="57"/>
  <c r="AF13" i="57"/>
  <c r="U25" i="57"/>
  <c r="V25" i="57"/>
  <c r="AF25" i="57"/>
  <c r="AA30" i="57"/>
  <c r="U17" i="57"/>
  <c r="V17" i="57"/>
  <c r="AF17" i="57"/>
  <c r="S33" i="57"/>
  <c r="S29" i="57"/>
  <c r="S31" i="57"/>
  <c r="U9" i="57"/>
  <c r="V9" i="57"/>
  <c r="L32" i="57"/>
  <c r="L30" i="57"/>
  <c r="AF9" i="57"/>
  <c r="L28" i="57"/>
  <c r="U24" i="57"/>
  <c r="AF24" i="57"/>
  <c r="V24" i="57"/>
  <c r="U16" i="57"/>
  <c r="AF16" i="57"/>
  <c r="V16" i="57"/>
  <c r="AA33" i="57"/>
  <c r="AA31" i="57"/>
  <c r="AC30" i="57"/>
  <c r="X30" i="57"/>
  <c r="J14" i="62" s="1"/>
  <c r="AC28" i="57"/>
  <c r="X28" i="57"/>
  <c r="J12" i="62" s="1"/>
  <c r="Q32" i="57"/>
  <c r="Q28" i="57"/>
  <c r="Y28" i="57"/>
  <c r="L12" i="62" s="1"/>
  <c r="Y31" i="57"/>
  <c r="L15" i="62" s="1"/>
  <c r="AG32" i="57"/>
  <c r="AG30" i="57"/>
  <c r="AG31" i="57"/>
  <c r="AG33" i="57"/>
  <c r="R29" i="57"/>
  <c r="R31" i="57"/>
  <c r="R32" i="57"/>
  <c r="AF11" i="57"/>
  <c r="AB29" i="57"/>
  <c r="AB30" i="57"/>
  <c r="AB28" i="57"/>
  <c r="AJ29" i="57"/>
  <c r="R13" i="62" s="1"/>
  <c r="AC33" i="57"/>
  <c r="AC29" i="57"/>
  <c r="X33" i="57"/>
  <c r="J17" i="62" s="1"/>
  <c r="AC32" i="57"/>
  <c r="S32" i="57"/>
  <c r="Q33" i="57"/>
  <c r="S28" i="57"/>
  <c r="U23" i="57"/>
  <c r="U19" i="57"/>
  <c r="U15" i="57"/>
  <c r="U11" i="57"/>
  <c r="X32" i="57"/>
  <c r="J16" i="62" s="1"/>
  <c r="S30" i="57"/>
  <c r="Q29" i="57"/>
  <c r="AA32" i="57"/>
  <c r="U26" i="57"/>
  <c r="Q30" i="57"/>
  <c r="AA28" i="57"/>
  <c r="U22" i="57"/>
  <c r="U18" i="57"/>
  <c r="U14" i="57"/>
  <c r="U10" i="57"/>
  <c r="J14" i="229"/>
  <c r="B3" i="4"/>
  <c r="X46" i="234"/>
  <c r="Y45" i="234"/>
  <c r="X44" i="234"/>
  <c r="Y43" i="234"/>
  <c r="X45" i="234"/>
  <c r="X43" i="234"/>
  <c r="Y44" i="234"/>
  <c r="F14" i="229"/>
  <c r="D15" i="40"/>
  <c r="H15" i="40" s="1"/>
  <c r="K34" i="10"/>
  <c r="K20" i="10"/>
  <c r="K14" i="10"/>
  <c r="M25" i="229"/>
  <c r="N14" i="229"/>
  <c r="J39" i="10"/>
  <c r="J21" i="10"/>
  <c r="H9" i="40"/>
  <c r="D20" i="1"/>
  <c r="D94" i="6"/>
  <c r="J29" i="10"/>
  <c r="J19" i="10"/>
  <c r="S45" i="52"/>
  <c r="E45" i="52" s="1"/>
  <c r="J30" i="10"/>
  <c r="J22" i="10"/>
  <c r="J34" i="10"/>
  <c r="J23" i="10"/>
  <c r="F11" i="66"/>
  <c r="S37" i="52"/>
  <c r="H25" i="229"/>
  <c r="K25" i="229"/>
  <c r="J20" i="10"/>
  <c r="O75" i="6"/>
  <c r="O25" i="229"/>
  <c r="G25" i="229"/>
  <c r="I25" i="229"/>
  <c r="P25" i="229"/>
  <c r="M14" i="229"/>
  <c r="I14" i="229"/>
  <c r="D16" i="63"/>
  <c r="L25" i="229"/>
  <c r="J9" i="63"/>
  <c r="J11" i="63" s="1"/>
  <c r="C80" i="156" s="1"/>
  <c r="G14" i="229"/>
  <c r="D25" i="8"/>
  <c r="AP41" i="173"/>
  <c r="AH40" i="172"/>
  <c r="AP38" i="173"/>
  <c r="AH37" i="172"/>
  <c r="AP35" i="173"/>
  <c r="AK33" i="47"/>
  <c r="AH34" i="172"/>
  <c r="AP32" i="173"/>
  <c r="AK29" i="47"/>
  <c r="AH31" i="172"/>
  <c r="AP29" i="173"/>
  <c r="AH28" i="172"/>
  <c r="AP26" i="173"/>
  <c r="AC24" i="185"/>
  <c r="AK24" i="47"/>
  <c r="AH25" i="172"/>
  <c r="AP22" i="173"/>
  <c r="AC20" i="185"/>
  <c r="AK20" i="47"/>
  <c r="AH21" i="172"/>
  <c r="Z39" i="53"/>
  <c r="Z37" i="53"/>
  <c r="Z35" i="53"/>
  <c r="AA34" i="12"/>
  <c r="M35" i="13" s="1"/>
  <c r="Z33" i="53"/>
  <c r="AA32" i="12"/>
  <c r="M33" i="13" s="1"/>
  <c r="Z31" i="53"/>
  <c r="Z29" i="53"/>
  <c r="AA27" i="12"/>
  <c r="M28" i="13" s="1"/>
  <c r="Z27" i="53"/>
  <c r="AA26" i="12"/>
  <c r="M27" i="13" s="1"/>
  <c r="Z26" i="53"/>
  <c r="AA24" i="12"/>
  <c r="M25" i="13" s="1"/>
  <c r="Z24" i="53"/>
  <c r="Y25" i="41"/>
  <c r="AA23" i="12"/>
  <c r="M24" i="13" s="1"/>
  <c r="Y24" i="41"/>
  <c r="Z23" i="53"/>
  <c r="Z21" i="53"/>
  <c r="AA21" i="12"/>
  <c r="M22" i="13" s="1"/>
  <c r="Y22" i="41"/>
  <c r="Z20" i="53"/>
  <c r="AA20" i="12"/>
  <c r="M21" i="13" s="1"/>
  <c r="Y21" i="41"/>
  <c r="AA19" i="12"/>
  <c r="M20" i="13" s="1"/>
  <c r="Z19" i="53"/>
  <c r="Y20" i="41"/>
  <c r="AA18" i="12"/>
  <c r="M19" i="13" s="1"/>
  <c r="Z18" i="53"/>
  <c r="Y19" i="41"/>
  <c r="Z17" i="53"/>
  <c r="AA17" i="12"/>
  <c r="M18" i="13" s="1"/>
  <c r="Y18" i="41"/>
  <c r="Z16" i="53"/>
  <c r="AA16" i="12"/>
  <c r="M17" i="13" s="1"/>
  <c r="Y17" i="41"/>
  <c r="AA15" i="12"/>
  <c r="M16" i="13" s="1"/>
  <c r="Z15" i="53"/>
  <c r="Y16" i="41"/>
  <c r="AA14" i="12"/>
  <c r="M15" i="13" s="1"/>
  <c r="Z14" i="53"/>
  <c r="Y15" i="41"/>
  <c r="Z13" i="53"/>
  <c r="AA13" i="12"/>
  <c r="M14" i="13" s="1"/>
  <c r="Y14" i="41"/>
  <c r="Z12" i="53"/>
  <c r="AA12" i="12"/>
  <c r="M13" i="13" s="1"/>
  <c r="Y13" i="41"/>
  <c r="AA11" i="12"/>
  <c r="M12" i="13" s="1"/>
  <c r="Y12" i="41"/>
  <c r="Z11" i="53"/>
  <c r="AA11" i="244"/>
  <c r="AA11" i="250"/>
  <c r="AA11" i="256"/>
  <c r="AA11" i="249"/>
  <c r="AA10" i="12"/>
  <c r="M11" i="13" s="1"/>
  <c r="AA10" i="257"/>
  <c r="Z10" i="53"/>
  <c r="Y11" i="41"/>
  <c r="G48" i="133"/>
  <c r="B3" i="236" s="1"/>
  <c r="J15" i="4" s="1"/>
  <c r="G8" i="229"/>
  <c r="H8" i="229" s="1"/>
  <c r="I8" i="229" s="1"/>
  <c r="J8" i="229" s="1"/>
  <c r="K8" i="229" s="1"/>
  <c r="L8" i="229" s="1"/>
  <c r="M8" i="229" s="1"/>
  <c r="N8" i="229" s="1"/>
  <c r="O8" i="229" s="1"/>
  <c r="P8" i="229" s="1"/>
  <c r="F16" i="229"/>
  <c r="AP42" i="173"/>
  <c r="AH41" i="172"/>
  <c r="AP39" i="173"/>
  <c r="AH38" i="172"/>
  <c r="AP36" i="173"/>
  <c r="AK34" i="47"/>
  <c r="AH35" i="172"/>
  <c r="AP33" i="173"/>
  <c r="AH32" i="172"/>
  <c r="AP31" i="173"/>
  <c r="AK28" i="47"/>
  <c r="AH30" i="172"/>
  <c r="AP27" i="173"/>
  <c r="AC25" i="185"/>
  <c r="AK25" i="47"/>
  <c r="AH26" i="172"/>
  <c r="AP24" i="173"/>
  <c r="AC22" i="185"/>
  <c r="AK22" i="47"/>
  <c r="AH23" i="172"/>
  <c r="AP20" i="173"/>
  <c r="AC18" i="185"/>
  <c r="AK18" i="47"/>
  <c r="AH19" i="172"/>
  <c r="Z38" i="53"/>
  <c r="Z36" i="53"/>
  <c r="Z34" i="53"/>
  <c r="Z32" i="53"/>
  <c r="AA31" i="12"/>
  <c r="M32" i="13" s="1"/>
  <c r="Z30" i="53"/>
  <c r="AA28" i="12"/>
  <c r="M29" i="13" s="1"/>
  <c r="Z28" i="53"/>
  <c r="AA25" i="12"/>
  <c r="M26" i="13" s="1"/>
  <c r="Y26" i="41"/>
  <c r="Z25" i="53"/>
  <c r="AA22" i="12"/>
  <c r="M23" i="13" s="1"/>
  <c r="Z22" i="53"/>
  <c r="Y23" i="41"/>
  <c r="F16" i="126"/>
  <c r="D17" i="126"/>
  <c r="B49" i="133"/>
  <c r="B9" i="232" s="1"/>
  <c r="K50" i="133"/>
  <c r="K51" i="133" s="1"/>
  <c r="K52" i="133" s="1"/>
  <c r="J12" i="133"/>
  <c r="J19" i="6"/>
  <c r="J20" i="6" s="1"/>
  <c r="J30" i="6"/>
  <c r="AP40" i="173"/>
  <c r="AH39" i="172"/>
  <c r="AP37" i="173"/>
  <c r="AK35" i="47"/>
  <c r="AH36" i="172"/>
  <c r="AP34" i="173"/>
  <c r="AK32" i="47"/>
  <c r="AH33" i="172"/>
  <c r="AP30" i="173"/>
  <c r="AK27" i="47"/>
  <c r="AH29" i="172"/>
  <c r="AP28" i="173"/>
  <c r="AC26" i="185"/>
  <c r="AK26" i="47"/>
  <c r="AH27" i="172"/>
  <c r="AP25" i="173"/>
  <c r="AC23" i="185"/>
  <c r="AK23" i="47"/>
  <c r="AH24" i="172"/>
  <c r="AP23" i="173"/>
  <c r="AC21" i="185"/>
  <c r="AK21" i="47"/>
  <c r="AH22" i="172"/>
  <c r="AP21" i="173"/>
  <c r="AC19" i="185"/>
  <c r="AK19" i="47"/>
  <c r="AH20" i="172"/>
  <c r="AP19" i="173"/>
  <c r="AC17" i="185"/>
  <c r="AK17" i="47"/>
  <c r="AH18" i="172"/>
  <c r="AP18" i="173"/>
  <c r="AC16" i="185"/>
  <c r="AK16" i="47"/>
  <c r="AH17" i="172"/>
  <c r="AP17" i="173"/>
  <c r="AC15" i="185"/>
  <c r="AK15" i="47"/>
  <c r="AH16" i="172"/>
  <c r="AP16" i="173"/>
  <c r="AC14" i="185"/>
  <c r="AK14" i="47"/>
  <c r="AH15" i="172"/>
  <c r="AP15" i="173"/>
  <c r="AC13" i="185"/>
  <c r="AK13" i="47"/>
  <c r="AH14" i="172"/>
  <c r="AP14" i="173"/>
  <c r="AC12" i="185"/>
  <c r="AK12" i="47"/>
  <c r="AH13" i="172"/>
  <c r="AP13" i="173"/>
  <c r="AC11" i="185"/>
  <c r="AK11" i="47"/>
  <c r="AH12" i="172"/>
  <c r="B85" i="73"/>
  <c r="B200" i="73" s="1"/>
  <c r="B225" i="73" s="1"/>
  <c r="B96" i="52"/>
  <c r="B84" i="73"/>
  <c r="B197" i="73" s="1"/>
  <c r="B222" i="73" s="1"/>
  <c r="L37" i="73"/>
  <c r="D37" i="73" s="1"/>
  <c r="D39" i="73" s="1"/>
  <c r="D41" i="73" s="1"/>
  <c r="G30" i="73"/>
  <c r="G32" i="73" s="1"/>
  <c r="B36" i="52"/>
  <c r="B79" i="52" s="1"/>
  <c r="J117" i="6"/>
  <c r="J119" i="6" s="1"/>
  <c r="M65" i="6"/>
  <c r="I19" i="6"/>
  <c r="D35" i="62"/>
  <c r="D43" i="48"/>
  <c r="P14" i="229"/>
  <c r="L14" i="229"/>
  <c r="H14" i="229"/>
  <c r="K29" i="10"/>
  <c r="K22" i="10"/>
  <c r="E48" i="8"/>
  <c r="AF33" i="47"/>
  <c r="Z34" i="172"/>
  <c r="AC34" i="172" s="1"/>
  <c r="R26" i="41"/>
  <c r="U26" i="41"/>
  <c r="V26" i="41" s="1"/>
  <c r="U18" i="41"/>
  <c r="V18" i="41" s="1"/>
  <c r="F30" i="73"/>
  <c r="F32" i="73" s="1"/>
  <c r="W12" i="41"/>
  <c r="W14" i="41"/>
  <c r="W16" i="41"/>
  <c r="W18" i="41"/>
  <c r="W20" i="41"/>
  <c r="W22" i="41"/>
  <c r="W24" i="41"/>
  <c r="W26" i="41"/>
  <c r="W11" i="41"/>
  <c r="W13" i="41"/>
  <c r="W15" i="41"/>
  <c r="W17" i="41"/>
  <c r="W19" i="41"/>
  <c r="W21" i="41"/>
  <c r="W23" i="41"/>
  <c r="W25" i="41"/>
  <c r="D31" i="62"/>
  <c r="D39" i="48"/>
  <c r="K19" i="10"/>
  <c r="E25" i="10"/>
  <c r="K25" i="10" s="1"/>
  <c r="K13" i="10"/>
  <c r="K21" i="10"/>
  <c r="K39" i="10"/>
  <c r="U12" i="41"/>
  <c r="V12" i="41" s="1"/>
  <c r="E30" i="73"/>
  <c r="E32" i="73" s="1"/>
  <c r="G19" i="6"/>
  <c r="D27" i="62"/>
  <c r="D35" i="48"/>
  <c r="I10" i="229"/>
  <c r="K30" i="10"/>
  <c r="J25" i="10"/>
  <c r="K23" i="10"/>
  <c r="E35" i="8"/>
  <c r="D35" i="8"/>
  <c r="Z38" i="172"/>
  <c r="AC38" i="172" s="1"/>
  <c r="Z22" i="172"/>
  <c r="Z14" i="172"/>
  <c r="O8" i="47"/>
  <c r="AB4" i="47"/>
  <c r="M8" i="47"/>
  <c r="X8" i="47"/>
  <c r="J9" i="48" s="1"/>
  <c r="B34" i="48" s="1"/>
  <c r="N25" i="229"/>
  <c r="J25" i="229"/>
  <c r="F25" i="229"/>
  <c r="J14" i="10"/>
  <c r="D16" i="10"/>
  <c r="D48" i="8"/>
  <c r="Z40" i="172"/>
  <c r="AC40" i="172" s="1"/>
  <c r="Z32" i="172"/>
  <c r="R24" i="41"/>
  <c r="U24" i="41"/>
  <c r="V24" i="41" s="1"/>
  <c r="Z16" i="172"/>
  <c r="V8" i="172"/>
  <c r="M8" i="172"/>
  <c r="W8" i="172" s="1"/>
  <c r="O14" i="229"/>
  <c r="K14" i="229"/>
  <c r="D23" i="62"/>
  <c r="L47" i="41"/>
  <c r="L44" i="41"/>
  <c r="AM42" i="173"/>
  <c r="AI42" i="173"/>
  <c r="AG41" i="173"/>
  <c r="AM40" i="173"/>
  <c r="AI40" i="173"/>
  <c r="AG39" i="173"/>
  <c r="AM38" i="173"/>
  <c r="AI38" i="173"/>
  <c r="AG37" i="173"/>
  <c r="D35" i="250"/>
  <c r="D35" i="256"/>
  <c r="D35" i="249"/>
  <c r="AM36" i="173"/>
  <c r="J34" i="250"/>
  <c r="J34" i="249"/>
  <c r="J34" i="256"/>
  <c r="AI36" i="173"/>
  <c r="F34" i="250"/>
  <c r="F34" i="249"/>
  <c r="F34" i="256"/>
  <c r="AG35" i="173"/>
  <c r="D33" i="250"/>
  <c r="D33" i="249"/>
  <c r="D33" i="256"/>
  <c r="AM34" i="173"/>
  <c r="J32" i="250"/>
  <c r="J32" i="249"/>
  <c r="J32" i="256"/>
  <c r="AI34" i="173"/>
  <c r="F32" i="250"/>
  <c r="F32" i="249"/>
  <c r="F32" i="256"/>
  <c r="AG33" i="173"/>
  <c r="AM32" i="173"/>
  <c r="J29" i="250"/>
  <c r="J29" i="249"/>
  <c r="J29" i="256"/>
  <c r="AI32" i="173"/>
  <c r="F29" i="250"/>
  <c r="F29" i="249"/>
  <c r="F29" i="256"/>
  <c r="AG31" i="173"/>
  <c r="D28" i="250"/>
  <c r="D28" i="249"/>
  <c r="D28" i="256"/>
  <c r="AM30" i="173"/>
  <c r="J27" i="250"/>
  <c r="J27" i="249"/>
  <c r="J27" i="256"/>
  <c r="AI30" i="173"/>
  <c r="F27" i="250"/>
  <c r="F27" i="249"/>
  <c r="F27" i="256"/>
  <c r="AG29" i="173"/>
  <c r="AM28" i="173"/>
  <c r="J26" i="244"/>
  <c r="J26" i="250"/>
  <c r="J26" i="249"/>
  <c r="J26" i="256"/>
  <c r="AI28" i="173"/>
  <c r="F26" i="244"/>
  <c r="F26" i="250"/>
  <c r="F26" i="249"/>
  <c r="F26" i="256"/>
  <c r="O25" i="41"/>
  <c r="AG27" i="173"/>
  <c r="D25" i="244"/>
  <c r="D25" i="250"/>
  <c r="D25" i="249"/>
  <c r="D25" i="256"/>
  <c r="AM26" i="173"/>
  <c r="J24" i="244"/>
  <c r="J24" i="250"/>
  <c r="J24" i="249"/>
  <c r="J24" i="256"/>
  <c r="AI26" i="173"/>
  <c r="F24" i="244"/>
  <c r="F24" i="250"/>
  <c r="F24" i="249"/>
  <c r="F24" i="256"/>
  <c r="O23" i="41"/>
  <c r="AG25" i="173"/>
  <c r="D23" i="244"/>
  <c r="D23" i="250"/>
  <c r="D23" i="256"/>
  <c r="D23" i="249"/>
  <c r="AM24" i="173"/>
  <c r="J22" i="244"/>
  <c r="J22" i="250"/>
  <c r="J22" i="256"/>
  <c r="J22" i="249"/>
  <c r="AI24" i="173"/>
  <c r="F22" i="244"/>
  <c r="F22" i="250"/>
  <c r="F22" i="256"/>
  <c r="F22" i="249"/>
  <c r="O21" i="41"/>
  <c r="AG23" i="173"/>
  <c r="D21" i="244"/>
  <c r="D21" i="249"/>
  <c r="D21" i="250"/>
  <c r="D21" i="256"/>
  <c r="AM22" i="173"/>
  <c r="J20" i="244"/>
  <c r="J20" i="250"/>
  <c r="J20" i="249"/>
  <c r="J20" i="256"/>
  <c r="AI22" i="173"/>
  <c r="F20" i="244"/>
  <c r="F20" i="250"/>
  <c r="F20" i="249"/>
  <c r="F20" i="256"/>
  <c r="O19" i="41"/>
  <c r="AG21" i="173"/>
  <c r="D19" i="244"/>
  <c r="D19" i="250"/>
  <c r="D19" i="256"/>
  <c r="D19" i="249"/>
  <c r="AM20" i="173"/>
  <c r="J18" i="244"/>
  <c r="J18" i="250"/>
  <c r="J18" i="256"/>
  <c r="J18" i="249"/>
  <c r="AI20" i="173"/>
  <c r="F18" i="244"/>
  <c r="F18" i="250"/>
  <c r="F18" i="256"/>
  <c r="F18" i="249"/>
  <c r="O17" i="41"/>
  <c r="AG19" i="173"/>
  <c r="D17" i="244"/>
  <c r="D17" i="250"/>
  <c r="D17" i="249"/>
  <c r="D17" i="256"/>
  <c r="AM18" i="173"/>
  <c r="J16" i="244"/>
  <c r="J16" i="250"/>
  <c r="J16" i="249"/>
  <c r="J16" i="256"/>
  <c r="AI18" i="173"/>
  <c r="F16" i="244"/>
  <c r="F16" i="250"/>
  <c r="F16" i="249"/>
  <c r="F16" i="256"/>
  <c r="O15" i="41"/>
  <c r="AG17" i="173"/>
  <c r="D15" i="244"/>
  <c r="D15" i="250"/>
  <c r="D15" i="256"/>
  <c r="D15" i="249"/>
  <c r="AM16" i="173"/>
  <c r="J14" i="244"/>
  <c r="J14" i="250"/>
  <c r="J14" i="256"/>
  <c r="J14" i="249"/>
  <c r="AI16" i="173"/>
  <c r="F14" i="244"/>
  <c r="F14" i="250"/>
  <c r="F14" i="256"/>
  <c r="F14" i="249"/>
  <c r="O13" i="41"/>
  <c r="AG15" i="173"/>
  <c r="D13" i="244"/>
  <c r="D13" i="249"/>
  <c r="D13" i="250"/>
  <c r="D13" i="256"/>
  <c r="AM14" i="173"/>
  <c r="J12" i="244"/>
  <c r="J12" i="250"/>
  <c r="J12" i="249"/>
  <c r="J12" i="256"/>
  <c r="AI14" i="173"/>
  <c r="F12" i="244"/>
  <c r="F12" i="250"/>
  <c r="F12" i="249"/>
  <c r="F12" i="256"/>
  <c r="O11" i="41"/>
  <c r="AG13" i="173"/>
  <c r="D11" i="244"/>
  <c r="D11" i="250"/>
  <c r="D11" i="256"/>
  <c r="D11" i="249"/>
  <c r="D10" i="257"/>
  <c r="D10" i="12"/>
  <c r="H41" i="47"/>
  <c r="H37" i="47"/>
  <c r="B41" i="172"/>
  <c r="B38" i="172"/>
  <c r="B37" i="172"/>
  <c r="B33" i="172"/>
  <c r="B30" i="172"/>
  <c r="B29" i="172"/>
  <c r="B26" i="172"/>
  <c r="B22" i="172"/>
  <c r="B14" i="172"/>
  <c r="B12" i="172"/>
  <c r="J8" i="172"/>
  <c r="J42" i="53"/>
  <c r="J41" i="53"/>
  <c r="V38" i="53"/>
  <c r="V34" i="53"/>
  <c r="M24" i="53"/>
  <c r="U23" i="53"/>
  <c r="M23" i="53"/>
  <c r="N20" i="53"/>
  <c r="V18" i="53"/>
  <c r="N17" i="53"/>
  <c r="W16" i="53"/>
  <c r="W15" i="53"/>
  <c r="O14" i="53"/>
  <c r="O13" i="53"/>
  <c r="G11" i="189"/>
  <c r="P14" i="62"/>
  <c r="K47" i="41"/>
  <c r="K46" i="41"/>
  <c r="K45" i="41"/>
  <c r="K44" i="41"/>
  <c r="K43" i="41"/>
  <c r="K42" i="41"/>
  <c r="AH42" i="173"/>
  <c r="AJ41" i="173"/>
  <c r="AH40" i="173"/>
  <c r="AJ39" i="173"/>
  <c r="AH38" i="173"/>
  <c r="AJ37" i="173"/>
  <c r="G35" i="250"/>
  <c r="G35" i="249"/>
  <c r="G35" i="256"/>
  <c r="AB34" i="250"/>
  <c r="AB34" i="249"/>
  <c r="AB34" i="256"/>
  <c r="AH36" i="173"/>
  <c r="E34" i="250"/>
  <c r="E34" i="249"/>
  <c r="E34" i="256"/>
  <c r="AJ35" i="173"/>
  <c r="G33" i="250"/>
  <c r="G33" i="249"/>
  <c r="G33" i="256"/>
  <c r="AB32" i="250"/>
  <c r="AB32" i="249"/>
  <c r="AB32" i="256"/>
  <c r="AH34" i="173"/>
  <c r="E32" i="250"/>
  <c r="E32" i="256"/>
  <c r="E32" i="249"/>
  <c r="AJ33" i="173"/>
  <c r="AB29" i="250"/>
  <c r="AB29" i="249"/>
  <c r="AB29" i="256"/>
  <c r="AH32" i="173"/>
  <c r="E29" i="250"/>
  <c r="E29" i="249"/>
  <c r="E29" i="256"/>
  <c r="AJ31" i="173"/>
  <c r="G28" i="250"/>
  <c r="G28" i="249"/>
  <c r="G28" i="256"/>
  <c r="AB27" i="250"/>
  <c r="AB27" i="249"/>
  <c r="AB27" i="256"/>
  <c r="AH30" i="173"/>
  <c r="E27" i="250"/>
  <c r="E27" i="256"/>
  <c r="E27" i="249"/>
  <c r="AJ29" i="173"/>
  <c r="AB26" i="244"/>
  <c r="AB26" i="250"/>
  <c r="AB26" i="249"/>
  <c r="AB26" i="256"/>
  <c r="AH28" i="173"/>
  <c r="E26" i="244"/>
  <c r="E26" i="249"/>
  <c r="E26" i="250"/>
  <c r="E26" i="256"/>
  <c r="AJ27" i="173"/>
  <c r="G25" i="244"/>
  <c r="G25" i="250"/>
  <c r="G25" i="249"/>
  <c r="G25" i="256"/>
  <c r="AB24" i="244"/>
  <c r="AB24" i="250"/>
  <c r="AB24" i="249"/>
  <c r="AB24" i="256"/>
  <c r="AH26" i="173"/>
  <c r="E24" i="244"/>
  <c r="E24" i="250"/>
  <c r="E24" i="256"/>
  <c r="E24" i="249"/>
  <c r="AJ25" i="173"/>
  <c r="G23" i="244"/>
  <c r="G23" i="250"/>
  <c r="G23" i="256"/>
  <c r="G23" i="249"/>
  <c r="AB22" i="244"/>
  <c r="AB22" i="250"/>
  <c r="AB22" i="249"/>
  <c r="AB22" i="256"/>
  <c r="AH24" i="173"/>
  <c r="E22" i="244"/>
  <c r="E22" i="250"/>
  <c r="E22" i="249"/>
  <c r="E22" i="256"/>
  <c r="AJ23" i="173"/>
  <c r="G21" i="244"/>
  <c r="G21" i="250"/>
  <c r="G21" i="249"/>
  <c r="G21" i="256"/>
  <c r="AB20" i="244"/>
  <c r="AB20" i="250"/>
  <c r="AB20" i="256"/>
  <c r="AB20" i="249"/>
  <c r="AH22" i="173"/>
  <c r="E20" i="244"/>
  <c r="E20" i="250"/>
  <c r="E20" i="256"/>
  <c r="E20" i="249"/>
  <c r="AJ21" i="173"/>
  <c r="G19" i="244"/>
  <c r="G19" i="250"/>
  <c r="G19" i="256"/>
  <c r="G19" i="249"/>
  <c r="AB18" i="244"/>
  <c r="AB18" i="250"/>
  <c r="AB18" i="249"/>
  <c r="AB18" i="256"/>
  <c r="AH20" i="173"/>
  <c r="E18" i="244"/>
  <c r="E18" i="249"/>
  <c r="E18" i="250"/>
  <c r="E18" i="256"/>
  <c r="AJ19" i="173"/>
  <c r="G17" i="244"/>
  <c r="G17" i="250"/>
  <c r="G17" i="249"/>
  <c r="G17" i="256"/>
  <c r="AB16" i="244"/>
  <c r="AB16" i="250"/>
  <c r="AB16" i="256"/>
  <c r="AB16" i="249"/>
  <c r="AH18" i="173"/>
  <c r="E16" i="244"/>
  <c r="E16" i="250"/>
  <c r="E16" i="256"/>
  <c r="E16" i="249"/>
  <c r="AJ17" i="173"/>
  <c r="G15" i="244"/>
  <c r="G15" i="250"/>
  <c r="G15" i="256"/>
  <c r="G15" i="249"/>
  <c r="AB14" i="244"/>
  <c r="AB14" i="250"/>
  <c r="AB14" i="249"/>
  <c r="AB14" i="256"/>
  <c r="AH16" i="173"/>
  <c r="E14" i="244"/>
  <c r="E14" i="250"/>
  <c r="E14" i="249"/>
  <c r="E14" i="256"/>
  <c r="AJ15" i="173"/>
  <c r="G13" i="244"/>
  <c r="G13" i="250"/>
  <c r="G13" i="249"/>
  <c r="G13" i="256"/>
  <c r="AB12" i="244"/>
  <c r="AB12" i="250"/>
  <c r="AB12" i="256"/>
  <c r="AB12" i="249"/>
  <c r="AH14" i="173"/>
  <c r="E12" i="244"/>
  <c r="E12" i="250"/>
  <c r="E12" i="256"/>
  <c r="E12" i="249"/>
  <c r="AJ13" i="173"/>
  <c r="G11" i="244"/>
  <c r="G11" i="250"/>
  <c r="G11" i="256"/>
  <c r="G11" i="249"/>
  <c r="G10" i="12"/>
  <c r="G10" i="257"/>
  <c r="L51" i="48"/>
  <c r="N51" i="48" s="1"/>
  <c r="I39" i="47"/>
  <c r="AE41" i="172"/>
  <c r="AA41" i="172"/>
  <c r="B42" i="173"/>
  <c r="B41" i="173"/>
  <c r="AE39" i="172"/>
  <c r="AA39" i="172"/>
  <c r="B40" i="173"/>
  <c r="B39" i="173"/>
  <c r="AE37" i="172"/>
  <c r="AA37" i="172"/>
  <c r="B38" i="173"/>
  <c r="B37" i="173"/>
  <c r="B35" i="13"/>
  <c r="B35" i="250"/>
  <c r="B35" i="249"/>
  <c r="B35" i="256"/>
  <c r="AH34" i="47"/>
  <c r="AE35" i="172" s="1"/>
  <c r="AD34" i="47"/>
  <c r="AA35" i="172" s="1"/>
  <c r="B36" i="173"/>
  <c r="B34" i="13"/>
  <c r="B34" i="256"/>
  <c r="B34" i="250"/>
  <c r="B34" i="249"/>
  <c r="B33" i="15"/>
  <c r="B35" i="173"/>
  <c r="B33" i="13"/>
  <c r="B33" i="250"/>
  <c r="B33" i="249"/>
  <c r="B33" i="256"/>
  <c r="AH32" i="47"/>
  <c r="AE33" i="172" s="1"/>
  <c r="AD32" i="47"/>
  <c r="AA33" i="172" s="1"/>
  <c r="B34" i="173"/>
  <c r="B32" i="13"/>
  <c r="B32" i="249"/>
  <c r="B32" i="250"/>
  <c r="B32" i="256"/>
  <c r="B31" i="15"/>
  <c r="B33" i="173"/>
  <c r="B31" i="13"/>
  <c r="B31" i="250"/>
  <c r="B31" i="249"/>
  <c r="B31" i="256"/>
  <c r="AH29" i="47"/>
  <c r="AE31" i="172" s="1"/>
  <c r="AD29" i="47"/>
  <c r="AA31" i="172" s="1"/>
  <c r="B32" i="173"/>
  <c r="B29" i="13"/>
  <c r="B29" i="256"/>
  <c r="B29" i="250"/>
  <c r="B29" i="249"/>
  <c r="B28" i="15"/>
  <c r="B31" i="173"/>
  <c r="B28" i="13"/>
  <c r="B28" i="250"/>
  <c r="B28" i="249"/>
  <c r="B28" i="256"/>
  <c r="AH27" i="47"/>
  <c r="AE29" i="172" s="1"/>
  <c r="AD27" i="47"/>
  <c r="AA29" i="172" s="1"/>
  <c r="B30" i="173"/>
  <c r="B27" i="13"/>
  <c r="B27" i="249"/>
  <c r="B27" i="250"/>
  <c r="B27" i="256"/>
  <c r="B26" i="15"/>
  <c r="B29" i="173"/>
  <c r="AH26" i="47"/>
  <c r="AE27" i="172" s="1"/>
  <c r="AD26" i="47"/>
  <c r="AA27" i="172" s="1"/>
  <c r="B28" i="173"/>
  <c r="B26" i="244"/>
  <c r="B26" i="13"/>
  <c r="B26" i="250"/>
  <c r="B26" i="256"/>
  <c r="B26" i="249"/>
  <c r="B25" i="15"/>
  <c r="B27" i="173"/>
  <c r="B25" i="244"/>
  <c r="B25" i="13"/>
  <c r="B25" i="250"/>
  <c r="B25" i="249"/>
  <c r="B25" i="256"/>
  <c r="AH24" i="47"/>
  <c r="AE25" i="172" s="1"/>
  <c r="AD24" i="47"/>
  <c r="AA25" i="172" s="1"/>
  <c r="B26" i="173"/>
  <c r="B24" i="244"/>
  <c r="B24" i="13"/>
  <c r="B24" i="250"/>
  <c r="B24" i="249"/>
  <c r="B24" i="256"/>
  <c r="B23" i="15"/>
  <c r="B23" i="53"/>
  <c r="B25" i="173"/>
  <c r="B23" i="244"/>
  <c r="B23" i="13"/>
  <c r="B23" i="250"/>
  <c r="B23" i="256"/>
  <c r="B23" i="249"/>
  <c r="AH22" i="47"/>
  <c r="AE23" i="172" s="1"/>
  <c r="AD22" i="47"/>
  <c r="AA23" i="172" s="1"/>
  <c r="B24" i="173"/>
  <c r="B22" i="244"/>
  <c r="B22" i="13"/>
  <c r="B22" i="250"/>
  <c r="B22" i="256"/>
  <c r="B22" i="249"/>
  <c r="B21" i="15"/>
  <c r="B21" i="53"/>
  <c r="B23" i="173"/>
  <c r="B21" i="244"/>
  <c r="B21" i="13"/>
  <c r="B21" i="250"/>
  <c r="B21" i="249"/>
  <c r="B21" i="256"/>
  <c r="B20" i="53"/>
  <c r="AH20" i="47"/>
  <c r="AE21" i="172" s="1"/>
  <c r="AD20" i="47"/>
  <c r="AA21" i="172" s="1"/>
  <c r="B22" i="173"/>
  <c r="B20" i="244"/>
  <c r="B20" i="13"/>
  <c r="B20" i="249"/>
  <c r="B20" i="250"/>
  <c r="B20" i="256"/>
  <c r="B19" i="15"/>
  <c r="B19" i="53"/>
  <c r="B21" i="173"/>
  <c r="B19" i="244"/>
  <c r="B19" i="13"/>
  <c r="B19" i="250"/>
  <c r="B19" i="256"/>
  <c r="B19" i="249"/>
  <c r="AH18" i="47"/>
  <c r="AE19" i="172" s="1"/>
  <c r="AD18" i="47"/>
  <c r="AA19" i="172" s="1"/>
  <c r="B20" i="173"/>
  <c r="B18" i="244"/>
  <c r="B18" i="13"/>
  <c r="B18" i="250"/>
  <c r="B18" i="256"/>
  <c r="B18" i="249"/>
  <c r="B17" i="15"/>
  <c r="B17" i="53"/>
  <c r="B19" i="173"/>
  <c r="B17" i="244"/>
  <c r="B17" i="13"/>
  <c r="B17" i="250"/>
  <c r="B17" i="249"/>
  <c r="B17" i="256"/>
  <c r="B16" i="53"/>
  <c r="AH16" i="47"/>
  <c r="AE17" i="172" s="1"/>
  <c r="AD16" i="47"/>
  <c r="AA17" i="172" s="1"/>
  <c r="B18" i="173"/>
  <c r="B16" i="244"/>
  <c r="B16" i="13"/>
  <c r="B16" i="250"/>
  <c r="B16" i="249"/>
  <c r="B16" i="256"/>
  <c r="B15" i="15"/>
  <c r="B15" i="53"/>
  <c r="B17" i="173"/>
  <c r="B15" i="244"/>
  <c r="B15" i="13"/>
  <c r="B15" i="250"/>
  <c r="B15" i="256"/>
  <c r="B15" i="249"/>
  <c r="AH14" i="47"/>
  <c r="AE15" i="172" s="1"/>
  <c r="AD14" i="47"/>
  <c r="AA15" i="172" s="1"/>
  <c r="B16" i="173"/>
  <c r="B14" i="244"/>
  <c r="B14" i="13"/>
  <c r="B14" i="250"/>
  <c r="B14" i="256"/>
  <c r="B14" i="249"/>
  <c r="B13" i="15"/>
  <c r="B13" i="53"/>
  <c r="B15" i="173"/>
  <c r="B13" i="244"/>
  <c r="B13" i="13"/>
  <c r="B13" i="250"/>
  <c r="B13" i="249"/>
  <c r="B13" i="256"/>
  <c r="B12" i="53"/>
  <c r="AH12" i="47"/>
  <c r="AE13" i="172" s="1"/>
  <c r="AD12" i="47"/>
  <c r="AA13" i="172" s="1"/>
  <c r="B14" i="173"/>
  <c r="B12" i="244"/>
  <c r="B12" i="13"/>
  <c r="B12" i="249"/>
  <c r="B12" i="250"/>
  <c r="B12" i="256"/>
  <c r="B11" i="15"/>
  <c r="B11" i="53"/>
  <c r="B13" i="173"/>
  <c r="B11" i="244"/>
  <c r="B11" i="13"/>
  <c r="B11" i="250"/>
  <c r="B11" i="256"/>
  <c r="B11" i="249"/>
  <c r="B10" i="12"/>
  <c r="B10" i="257"/>
  <c r="AB2" i="244"/>
  <c r="AB2" i="250"/>
  <c r="AB2" i="249"/>
  <c r="AB2" i="256"/>
  <c r="AM2" i="57"/>
  <c r="AB2" i="257"/>
  <c r="AB2" i="12"/>
  <c r="AA2" i="53"/>
  <c r="AI41" i="172"/>
  <c r="AA39" i="53" s="1"/>
  <c r="AI40" i="172"/>
  <c r="AA38" i="53" s="1"/>
  <c r="AI39" i="172"/>
  <c r="AA37" i="53" s="1"/>
  <c r="AI38" i="172"/>
  <c r="AA36" i="53" s="1"/>
  <c r="AI37" i="172"/>
  <c r="AA35" i="53" s="1"/>
  <c r="AI36" i="172"/>
  <c r="AA34" i="53" s="1"/>
  <c r="AI35" i="172"/>
  <c r="AA33" i="53" s="1"/>
  <c r="AI34" i="172"/>
  <c r="AA32" i="53" s="1"/>
  <c r="AI33" i="172"/>
  <c r="AA31" i="53" s="1"/>
  <c r="AI32" i="172"/>
  <c r="AA30" i="53" s="1"/>
  <c r="AI31" i="172"/>
  <c r="AA29" i="53" s="1"/>
  <c r="AI30" i="172"/>
  <c r="AA28" i="53" s="1"/>
  <c r="AI29" i="172"/>
  <c r="AA27" i="53" s="1"/>
  <c r="AI28" i="172"/>
  <c r="AA26" i="53" s="1"/>
  <c r="AI27" i="172"/>
  <c r="AA25" i="53" s="1"/>
  <c r="AI26" i="172"/>
  <c r="AA24" i="53" s="1"/>
  <c r="AI25" i="172"/>
  <c r="AA23" i="53" s="1"/>
  <c r="AI24" i="172"/>
  <c r="AA22" i="53" s="1"/>
  <c r="AI23" i="172"/>
  <c r="AA21" i="53" s="1"/>
  <c r="AI22" i="172"/>
  <c r="AA20" i="53" s="1"/>
  <c r="AI21" i="172"/>
  <c r="AA19" i="53" s="1"/>
  <c r="AI20" i="172"/>
  <c r="AA18" i="53" s="1"/>
  <c r="AI19" i="172"/>
  <c r="AA17" i="53" s="1"/>
  <c r="AI18" i="172"/>
  <c r="AA16" i="53" s="1"/>
  <c r="AI17" i="172"/>
  <c r="AA15" i="53" s="1"/>
  <c r="AI16" i="172"/>
  <c r="AA14" i="53" s="1"/>
  <c r="AI15" i="172"/>
  <c r="AA13" i="53" s="1"/>
  <c r="AI14" i="172"/>
  <c r="AA12" i="53" s="1"/>
  <c r="AI13" i="172"/>
  <c r="AA11" i="53" s="1"/>
  <c r="AI12" i="172"/>
  <c r="AA10" i="53" s="1"/>
  <c r="Y4" i="172"/>
  <c r="V39" i="53"/>
  <c r="U38" i="53"/>
  <c r="O38" i="53"/>
  <c r="N37" i="53"/>
  <c r="W36" i="53"/>
  <c r="M36" i="53"/>
  <c r="B36" i="53"/>
  <c r="V35" i="53"/>
  <c r="U34" i="53"/>
  <c r="O34" i="53"/>
  <c r="N33" i="53"/>
  <c r="W32" i="53"/>
  <c r="M32" i="53"/>
  <c r="B32" i="53"/>
  <c r="V31" i="53"/>
  <c r="U30" i="53"/>
  <c r="O30" i="53"/>
  <c r="N29" i="53"/>
  <c r="W28" i="53"/>
  <c r="M28" i="53"/>
  <c r="B28" i="53"/>
  <c r="V27" i="53"/>
  <c r="U26" i="53"/>
  <c r="O26" i="53"/>
  <c r="N25" i="53"/>
  <c r="N23" i="53"/>
  <c r="W22" i="53"/>
  <c r="M22" i="53"/>
  <c r="B22" i="53"/>
  <c r="U21" i="53"/>
  <c r="M19" i="53"/>
  <c r="N16" i="53"/>
  <c r="V15" i="53"/>
  <c r="V14" i="53"/>
  <c r="N13" i="53"/>
  <c r="W12" i="53"/>
  <c r="W11" i="53"/>
  <c r="O10" i="53"/>
  <c r="B30" i="15"/>
  <c r="B22" i="15"/>
  <c r="B14" i="15"/>
  <c r="AG42" i="173"/>
  <c r="AM41" i="173"/>
  <c r="AI41" i="173"/>
  <c r="AG40" i="173"/>
  <c r="AM39" i="173"/>
  <c r="AI39" i="173"/>
  <c r="AG38" i="173"/>
  <c r="AM37" i="173"/>
  <c r="J35" i="249"/>
  <c r="J35" i="250"/>
  <c r="J35" i="256"/>
  <c r="AI37" i="173"/>
  <c r="F35" i="250"/>
  <c r="F35" i="249"/>
  <c r="F35" i="256"/>
  <c r="AG36" i="173"/>
  <c r="D34" i="250"/>
  <c r="D34" i="249"/>
  <c r="D34" i="256"/>
  <c r="AM35" i="173"/>
  <c r="J33" i="256"/>
  <c r="J33" i="250"/>
  <c r="J33" i="249"/>
  <c r="AI35" i="173"/>
  <c r="F33" i="250"/>
  <c r="F33" i="256"/>
  <c r="F33" i="249"/>
  <c r="AG34" i="173"/>
  <c r="D32" i="250"/>
  <c r="D32" i="249"/>
  <c r="D32" i="256"/>
  <c r="AM33" i="173"/>
  <c r="AI33" i="173"/>
  <c r="AG32" i="173"/>
  <c r="D29" i="250"/>
  <c r="D29" i="249"/>
  <c r="D29" i="256"/>
  <c r="AM31" i="173"/>
  <c r="J28" i="256"/>
  <c r="J28" i="250"/>
  <c r="J28" i="249"/>
  <c r="AI31" i="173"/>
  <c r="F28" i="250"/>
  <c r="F28" i="256"/>
  <c r="F28" i="249"/>
  <c r="AG30" i="173"/>
  <c r="D27" i="250"/>
  <c r="D27" i="249"/>
  <c r="D27" i="256"/>
  <c r="AM29" i="173"/>
  <c r="AI29" i="173"/>
  <c r="AG28" i="173"/>
  <c r="D26" i="244"/>
  <c r="D26" i="250"/>
  <c r="D26" i="249"/>
  <c r="D26" i="256"/>
  <c r="AM27" i="173"/>
  <c r="J25" i="244"/>
  <c r="J25" i="250"/>
  <c r="J25" i="256"/>
  <c r="J25" i="249"/>
  <c r="AI27" i="173"/>
  <c r="F25" i="244"/>
  <c r="F25" i="250"/>
  <c r="F25" i="256"/>
  <c r="F25" i="249"/>
  <c r="AG26" i="173"/>
  <c r="D24" i="244"/>
  <c r="D24" i="250"/>
  <c r="D24" i="249"/>
  <c r="D24" i="256"/>
  <c r="AM25" i="173"/>
  <c r="J23" i="244"/>
  <c r="J23" i="250"/>
  <c r="J23" i="249"/>
  <c r="J23" i="256"/>
  <c r="AI25" i="173"/>
  <c r="F23" i="244"/>
  <c r="F23" i="249"/>
  <c r="F23" i="250"/>
  <c r="F23" i="256"/>
  <c r="AG24" i="173"/>
  <c r="D22" i="244"/>
  <c r="D22" i="250"/>
  <c r="D22" i="249"/>
  <c r="D22" i="256"/>
  <c r="AM23" i="173"/>
  <c r="J21" i="244"/>
  <c r="J21" i="250"/>
  <c r="J21" i="256"/>
  <c r="J21" i="249"/>
  <c r="AI23" i="173"/>
  <c r="F21" i="244"/>
  <c r="F21" i="250"/>
  <c r="F21" i="256"/>
  <c r="F21" i="249"/>
  <c r="AG22" i="173"/>
  <c r="D20" i="244"/>
  <c r="D20" i="250"/>
  <c r="D20" i="256"/>
  <c r="D20" i="249"/>
  <c r="AM21" i="173"/>
  <c r="J19" i="244"/>
  <c r="J19" i="249"/>
  <c r="J19" i="250"/>
  <c r="J19" i="256"/>
  <c r="AI21" i="173"/>
  <c r="F19" i="244"/>
  <c r="F19" i="250"/>
  <c r="F19" i="249"/>
  <c r="F19" i="256"/>
  <c r="AG20" i="173"/>
  <c r="D18" i="244"/>
  <c r="D18" i="250"/>
  <c r="D18" i="249"/>
  <c r="D18" i="256"/>
  <c r="AM19" i="173"/>
  <c r="J17" i="244"/>
  <c r="J17" i="250"/>
  <c r="J17" i="256"/>
  <c r="J17" i="249"/>
  <c r="AI19" i="173"/>
  <c r="F17" i="244"/>
  <c r="F17" i="250"/>
  <c r="F17" i="256"/>
  <c r="F17" i="249"/>
  <c r="AG18" i="173"/>
  <c r="D16" i="244"/>
  <c r="D16" i="250"/>
  <c r="D16" i="256"/>
  <c r="D16" i="249"/>
  <c r="AM17" i="173"/>
  <c r="J15" i="244"/>
  <c r="J15" i="250"/>
  <c r="J15" i="249"/>
  <c r="J15" i="256"/>
  <c r="AI17" i="173"/>
  <c r="F15" i="244"/>
  <c r="F15" i="249"/>
  <c r="F15" i="250"/>
  <c r="F15" i="256"/>
  <c r="AG16" i="173"/>
  <c r="D14" i="244"/>
  <c r="D14" i="250"/>
  <c r="D14" i="249"/>
  <c r="D14" i="256"/>
  <c r="AM15" i="173"/>
  <c r="J13" i="244"/>
  <c r="J13" i="250"/>
  <c r="J13" i="256"/>
  <c r="J13" i="249"/>
  <c r="AI15" i="173"/>
  <c r="F13" i="244"/>
  <c r="F13" i="250"/>
  <c r="F13" i="256"/>
  <c r="F13" i="249"/>
  <c r="AG14" i="173"/>
  <c r="D12" i="244"/>
  <c r="D12" i="250"/>
  <c r="D12" i="256"/>
  <c r="D12" i="249"/>
  <c r="AM13" i="173"/>
  <c r="J11" i="244"/>
  <c r="J11" i="249"/>
  <c r="J11" i="250"/>
  <c r="J11" i="256"/>
  <c r="J10" i="257"/>
  <c r="J10" i="12"/>
  <c r="AI13" i="173"/>
  <c r="F11" i="244"/>
  <c r="F11" i="250"/>
  <c r="F11" i="249"/>
  <c r="F11" i="256"/>
  <c r="F10" i="257"/>
  <c r="F10" i="12"/>
  <c r="AC34" i="47"/>
  <c r="AC32" i="47"/>
  <c r="AC29" i="47"/>
  <c r="AC27" i="47"/>
  <c r="AC26" i="47"/>
  <c r="AC24" i="47"/>
  <c r="AC22" i="47"/>
  <c r="AC20" i="47"/>
  <c r="AC18" i="47"/>
  <c r="AC16" i="47"/>
  <c r="AC14" i="47"/>
  <c r="AC12" i="47"/>
  <c r="B37" i="53"/>
  <c r="B33" i="53"/>
  <c r="B29" i="53"/>
  <c r="B25" i="53"/>
  <c r="N24" i="53"/>
  <c r="W23" i="53"/>
  <c r="O23" i="53"/>
  <c r="V21" i="53"/>
  <c r="O21" i="53"/>
  <c r="U20" i="53"/>
  <c r="O20" i="53"/>
  <c r="N19" i="53"/>
  <c r="M18" i="53"/>
  <c r="B18" i="53"/>
  <c r="U17" i="53"/>
  <c r="M16" i="53"/>
  <c r="M15" i="53"/>
  <c r="U14" i="53"/>
  <c r="N12" i="53"/>
  <c r="V11" i="53"/>
  <c r="V10" i="53"/>
  <c r="B32" i="15"/>
  <c r="B24" i="15"/>
  <c r="B16" i="15"/>
  <c r="Q47" i="41"/>
  <c r="M47" i="41"/>
  <c r="H47" i="41"/>
  <c r="Q46" i="41"/>
  <c r="M46" i="41"/>
  <c r="H46" i="41"/>
  <c r="Q45" i="41"/>
  <c r="M45" i="41"/>
  <c r="H45" i="41"/>
  <c r="Q44" i="41"/>
  <c r="M44" i="41"/>
  <c r="H44" i="41"/>
  <c r="Q43" i="41"/>
  <c r="M43" i="41"/>
  <c r="H43" i="41"/>
  <c r="Q42" i="41"/>
  <c r="M42" i="41"/>
  <c r="AJ42" i="173"/>
  <c r="AH41" i="173"/>
  <c r="AJ40" i="173"/>
  <c r="AH39" i="173"/>
  <c r="AJ38" i="173"/>
  <c r="AB35" i="256"/>
  <c r="AB35" i="250"/>
  <c r="AB35" i="249"/>
  <c r="AH37" i="173"/>
  <c r="E35" i="250"/>
  <c r="E35" i="249"/>
  <c r="E35" i="256"/>
  <c r="AJ36" i="173"/>
  <c r="G34" i="250"/>
  <c r="G34" i="256"/>
  <c r="G34" i="249"/>
  <c r="AB33" i="249"/>
  <c r="AB33" i="250"/>
  <c r="AB33" i="256"/>
  <c r="AH35" i="173"/>
  <c r="E33" i="250"/>
  <c r="E33" i="249"/>
  <c r="E33" i="256"/>
  <c r="AJ34" i="173"/>
  <c r="G32" i="250"/>
  <c r="G32" i="249"/>
  <c r="G32" i="256"/>
  <c r="AH33" i="173"/>
  <c r="AJ32" i="173"/>
  <c r="G29" i="250"/>
  <c r="G29" i="256"/>
  <c r="G29" i="249"/>
  <c r="AB28" i="249"/>
  <c r="AB28" i="250"/>
  <c r="AB28" i="256"/>
  <c r="AH31" i="173"/>
  <c r="E28" i="250"/>
  <c r="E28" i="249"/>
  <c r="E28" i="256"/>
  <c r="AJ30" i="173"/>
  <c r="G27" i="250"/>
  <c r="G27" i="249"/>
  <c r="G27" i="256"/>
  <c r="AH29" i="173"/>
  <c r="AJ28" i="173"/>
  <c r="G26" i="244"/>
  <c r="G26" i="250"/>
  <c r="G26" i="256"/>
  <c r="G26" i="249"/>
  <c r="AB25" i="244"/>
  <c r="AB25" i="250"/>
  <c r="AB25" i="249"/>
  <c r="AB25" i="256"/>
  <c r="P25" i="41"/>
  <c r="R25" i="41" s="1"/>
  <c r="AH27" i="173"/>
  <c r="E25" i="244"/>
  <c r="H25" i="244" s="1"/>
  <c r="E25" i="250"/>
  <c r="E25" i="249"/>
  <c r="E25" i="256"/>
  <c r="AJ26" i="173"/>
  <c r="G24" i="244"/>
  <c r="G24" i="249"/>
  <c r="G24" i="250"/>
  <c r="G24" i="256"/>
  <c r="AB23" i="244"/>
  <c r="AB23" i="250"/>
  <c r="AB23" i="256"/>
  <c r="AB23" i="249"/>
  <c r="P23" i="41"/>
  <c r="R23" i="41" s="1"/>
  <c r="AH25" i="173"/>
  <c r="E23" i="244"/>
  <c r="E23" i="250"/>
  <c r="E23" i="249"/>
  <c r="E23" i="256"/>
  <c r="AJ24" i="173"/>
  <c r="G22" i="244"/>
  <c r="G22" i="250"/>
  <c r="G22" i="256"/>
  <c r="G22" i="249"/>
  <c r="AB21" i="244"/>
  <c r="AB21" i="249"/>
  <c r="AB21" i="250"/>
  <c r="AB21" i="256"/>
  <c r="P21" i="41"/>
  <c r="R21" i="41" s="1"/>
  <c r="AH23" i="173"/>
  <c r="E21" i="244"/>
  <c r="E21" i="250"/>
  <c r="E21" i="256"/>
  <c r="E21" i="249"/>
  <c r="AJ22" i="173"/>
  <c r="G20" i="244"/>
  <c r="G20" i="250"/>
  <c r="G20" i="249"/>
  <c r="G20" i="256"/>
  <c r="AB19" i="244"/>
  <c r="AB19" i="250"/>
  <c r="AB19" i="256"/>
  <c r="AB19" i="249"/>
  <c r="P19" i="41"/>
  <c r="R19" i="41" s="1"/>
  <c r="AH21" i="173"/>
  <c r="E19" i="244"/>
  <c r="E19" i="250"/>
  <c r="E19" i="249"/>
  <c r="E19" i="256"/>
  <c r="AJ20" i="173"/>
  <c r="G18" i="244"/>
  <c r="G18" i="250"/>
  <c r="G18" i="256"/>
  <c r="G18" i="249"/>
  <c r="AB17" i="244"/>
  <c r="AB17" i="250"/>
  <c r="AB17" i="249"/>
  <c r="AB17" i="256"/>
  <c r="P17" i="41"/>
  <c r="R17" i="41" s="1"/>
  <c r="AH19" i="173"/>
  <c r="E17" i="244"/>
  <c r="H17" i="244" s="1"/>
  <c r="E17" i="250"/>
  <c r="E17" i="256"/>
  <c r="E17" i="249"/>
  <c r="AJ18" i="173"/>
  <c r="G16" i="244"/>
  <c r="G16" i="249"/>
  <c r="G16" i="250"/>
  <c r="G16" i="256"/>
  <c r="AB15" i="244"/>
  <c r="AB15" i="250"/>
  <c r="AB15" i="256"/>
  <c r="AB15" i="249"/>
  <c r="P15" i="41"/>
  <c r="R15" i="41" s="1"/>
  <c r="AH17" i="173"/>
  <c r="E15" i="244"/>
  <c r="E15" i="250"/>
  <c r="E15" i="249"/>
  <c r="E15" i="256"/>
  <c r="AJ16" i="173"/>
  <c r="G14" i="244"/>
  <c r="G14" i="250"/>
  <c r="G14" i="256"/>
  <c r="G14" i="249"/>
  <c r="AB13" i="244"/>
  <c r="AB13" i="249"/>
  <c r="AB13" i="250"/>
  <c r="AB13" i="256"/>
  <c r="P13" i="41"/>
  <c r="R13" i="41" s="1"/>
  <c r="AH15" i="173"/>
  <c r="E13" i="244"/>
  <c r="E13" i="250"/>
  <c r="E13" i="256"/>
  <c r="E13" i="249"/>
  <c r="AJ14" i="173"/>
  <c r="G12" i="244"/>
  <c r="G12" i="250"/>
  <c r="G12" i="249"/>
  <c r="G12" i="256"/>
  <c r="AB11" i="244"/>
  <c r="AB11" i="250"/>
  <c r="AB11" i="256"/>
  <c r="AB11" i="249"/>
  <c r="AB10" i="257"/>
  <c r="AB10" i="12"/>
  <c r="P11" i="41"/>
  <c r="U11" i="41" s="1"/>
  <c r="AH13" i="173"/>
  <c r="E11" i="244"/>
  <c r="E11" i="250"/>
  <c r="E11" i="249"/>
  <c r="E11" i="256"/>
  <c r="E10" i="257"/>
  <c r="E10" i="12"/>
  <c r="D31" i="48"/>
  <c r="I37" i="47"/>
  <c r="AB35" i="47"/>
  <c r="AB34" i="47"/>
  <c r="AB33" i="47"/>
  <c r="AB32" i="47"/>
  <c r="AB29" i="47"/>
  <c r="AB28" i="47"/>
  <c r="AB27" i="47"/>
  <c r="AB26" i="47"/>
  <c r="AB25" i="47"/>
  <c r="AB24" i="47"/>
  <c r="AB23" i="47"/>
  <c r="AB22" i="47"/>
  <c r="AB21" i="47"/>
  <c r="AB20" i="47"/>
  <c r="AB19" i="47"/>
  <c r="AB18" i="47"/>
  <c r="AB17" i="47"/>
  <c r="AB16" i="47"/>
  <c r="AB15" i="47"/>
  <c r="AB14" i="47"/>
  <c r="AB13" i="47"/>
  <c r="AB12" i="47"/>
  <c r="AB11" i="47"/>
  <c r="B38" i="53"/>
  <c r="B34" i="53"/>
  <c r="B30" i="53"/>
  <c r="B26" i="53"/>
  <c r="V22" i="53"/>
  <c r="W19" i="53"/>
  <c r="O18" i="53"/>
  <c r="O17" i="53"/>
  <c r="B14" i="53"/>
  <c r="U13" i="53"/>
  <c r="M12" i="53"/>
  <c r="M11" i="53"/>
  <c r="U10" i="53"/>
  <c r="B34" i="15"/>
  <c r="B18" i="15"/>
  <c r="B10" i="15"/>
  <c r="F14" i="242"/>
  <c r="S37" i="241"/>
  <c r="E37" i="241" s="1"/>
  <c r="F37" i="241" s="1"/>
  <c r="G37" i="241" s="1"/>
  <c r="H37" i="241" s="1"/>
  <c r="I37" i="241" s="1"/>
  <c r="J37" i="241" s="1"/>
  <c r="K37" i="241" s="1"/>
  <c r="L37" i="241" s="1"/>
  <c r="M37" i="241" s="1"/>
  <c r="N37" i="241" s="1"/>
  <c r="O37" i="241" s="1"/>
  <c r="H16" i="63"/>
  <c r="H20" i="63" s="1"/>
  <c r="S30" i="241"/>
  <c r="F12" i="242"/>
  <c r="G16" i="63"/>
  <c r="G20" i="63" s="1"/>
  <c r="P15" i="62"/>
  <c r="L33" i="57"/>
  <c r="L29" i="57"/>
  <c r="W26" i="57"/>
  <c r="W25" i="57"/>
  <c r="W24" i="57"/>
  <c r="W23" i="57"/>
  <c r="W22" i="57"/>
  <c r="W21" i="57"/>
  <c r="W20" i="57"/>
  <c r="W19" i="57"/>
  <c r="W18" i="57"/>
  <c r="W17" i="57"/>
  <c r="W16" i="57"/>
  <c r="W15" i="57"/>
  <c r="W14" i="57"/>
  <c r="W13" i="57"/>
  <c r="W12" i="57"/>
  <c r="W11" i="57"/>
  <c r="W10" i="57"/>
  <c r="W9" i="57"/>
  <c r="B21" i="245"/>
  <c r="B76" i="241"/>
  <c r="B92" i="241" s="1"/>
  <c r="B20" i="245"/>
  <c r="B75" i="241"/>
  <c r="B91" i="241" s="1"/>
  <c r="S29" i="241"/>
  <c r="F11" i="242"/>
  <c r="L31" i="57"/>
  <c r="AE26" i="57"/>
  <c r="AE25" i="57"/>
  <c r="AE24" i="57"/>
  <c r="AE23" i="57"/>
  <c r="AE22" i="57"/>
  <c r="AE21" i="57"/>
  <c r="AE20" i="57"/>
  <c r="AE19" i="57"/>
  <c r="AE18" i="57"/>
  <c r="AE17" i="57"/>
  <c r="AE16" i="57"/>
  <c r="AE15" i="57"/>
  <c r="AE14" i="57"/>
  <c r="AE13" i="57"/>
  <c r="AE12" i="57"/>
  <c r="AE11" i="57"/>
  <c r="AE10" i="57"/>
  <c r="AE9" i="57"/>
  <c r="B23" i="245"/>
  <c r="B78" i="241"/>
  <c r="B94" i="241" s="1"/>
  <c r="B19" i="245"/>
  <c r="B74" i="241"/>
  <c r="B90" i="241" s="1"/>
  <c r="F16" i="63"/>
  <c r="F20" i="63" s="1"/>
  <c r="E11" i="63"/>
  <c r="C12" i="156"/>
  <c r="F12" i="156" s="1"/>
  <c r="D32" i="11"/>
  <c r="M40" i="257"/>
  <c r="M38" i="257"/>
  <c r="B22" i="245"/>
  <c r="B77" i="241"/>
  <c r="B93" i="241" s="1"/>
  <c r="S27" i="241"/>
  <c r="F9" i="242"/>
  <c r="M37" i="250"/>
  <c r="M38" i="250"/>
  <c r="M39" i="250"/>
  <c r="R37" i="234"/>
  <c r="S37" i="234"/>
  <c r="T37" i="234"/>
  <c r="R29" i="234"/>
  <c r="S29" i="234"/>
  <c r="T27" i="234"/>
  <c r="R27" i="234"/>
  <c r="S27" i="234"/>
  <c r="T24" i="234"/>
  <c r="R24" i="234"/>
  <c r="S24" i="234"/>
  <c r="R17" i="234"/>
  <c r="S17" i="234"/>
  <c r="T17" i="234"/>
  <c r="S15" i="234"/>
  <c r="T15" i="234"/>
  <c r="R15" i="234"/>
  <c r="R40" i="234"/>
  <c r="S40" i="234"/>
  <c r="T40" i="234"/>
  <c r="R36" i="234"/>
  <c r="S36" i="234"/>
  <c r="R22" i="234"/>
  <c r="S22" i="234"/>
  <c r="S14" i="234"/>
  <c r="T14" i="234"/>
  <c r="R14" i="234"/>
  <c r="R39" i="234"/>
  <c r="S39" i="234"/>
  <c r="T39" i="234"/>
  <c r="T28" i="234"/>
  <c r="R28" i="234"/>
  <c r="S28" i="234"/>
  <c r="T26" i="234"/>
  <c r="R26" i="234"/>
  <c r="S26" i="234"/>
  <c r="T23" i="234"/>
  <c r="R23" i="234"/>
  <c r="S23" i="234"/>
  <c r="R18" i="234"/>
  <c r="S18" i="234"/>
  <c r="T18" i="234"/>
  <c r="S13" i="234"/>
  <c r="T13" i="234"/>
  <c r="R13" i="234"/>
  <c r="R38" i="234"/>
  <c r="S38" i="234"/>
  <c r="T38" i="234"/>
  <c r="S35" i="234"/>
  <c r="R35" i="234"/>
  <c r="S34" i="234"/>
  <c r="T34" i="234"/>
  <c r="R34" i="234"/>
  <c r="S33" i="234"/>
  <c r="T33" i="234"/>
  <c r="R33" i="234"/>
  <c r="S32" i="234"/>
  <c r="T32" i="234"/>
  <c r="R32" i="234"/>
  <c r="S31" i="234"/>
  <c r="T31" i="234"/>
  <c r="R31" i="234"/>
  <c r="S30" i="234"/>
  <c r="T30" i="234"/>
  <c r="R30" i="234"/>
  <c r="R25" i="234"/>
  <c r="S20" i="234"/>
  <c r="T20" i="234"/>
  <c r="R16" i="234"/>
  <c r="S16" i="234"/>
  <c r="T16" i="234"/>
  <c r="O12" i="234"/>
  <c r="AA34" i="234"/>
  <c r="AA33" i="234"/>
  <c r="AA32" i="234"/>
  <c r="AA31" i="234"/>
  <c r="AA30" i="234"/>
  <c r="M41" i="244"/>
  <c r="M39" i="244"/>
  <c r="M37" i="244"/>
  <c r="M40" i="244"/>
  <c r="M38" i="244"/>
  <c r="F48" i="185"/>
  <c r="V23" i="185"/>
  <c r="Z23" i="185" s="1"/>
  <c r="F45" i="185"/>
  <c r="F46" i="185"/>
  <c r="O47" i="185"/>
  <c r="F47" i="185"/>
  <c r="O43" i="185"/>
  <c r="F43" i="185"/>
  <c r="D7" i="185"/>
  <c r="O46" i="185"/>
  <c r="O45" i="185"/>
  <c r="I9" i="173"/>
  <c r="S19" i="241" l="1"/>
  <c r="D19" i="241" s="1"/>
  <c r="D27" i="241" s="1"/>
  <c r="I13" i="281"/>
  <c r="K13" i="281" s="1"/>
  <c r="I24" i="12"/>
  <c r="U14" i="41"/>
  <c r="V14" i="41" s="1"/>
  <c r="H25" i="12"/>
  <c r="H11" i="12"/>
  <c r="I15" i="12"/>
  <c r="K15" i="12" s="1"/>
  <c r="H15" i="12"/>
  <c r="T21" i="234"/>
  <c r="S19" i="234"/>
  <c r="S19" i="52"/>
  <c r="I11" i="12"/>
  <c r="K11" i="12" s="1"/>
  <c r="H17" i="257"/>
  <c r="I19" i="12"/>
  <c r="K19" i="12" s="1"/>
  <c r="H20" i="257"/>
  <c r="H25" i="257"/>
  <c r="H17" i="12"/>
  <c r="H23" i="281"/>
  <c r="H12" i="257"/>
  <c r="G39" i="281"/>
  <c r="I22" i="12"/>
  <c r="K22" i="12" s="1"/>
  <c r="H23" i="12"/>
  <c r="H24" i="257"/>
  <c r="H21" i="12"/>
  <c r="I13" i="12"/>
  <c r="K13" i="12" s="1"/>
  <c r="H15" i="257"/>
  <c r="H20" i="12"/>
  <c r="H25" i="281"/>
  <c r="H19" i="281"/>
  <c r="AC14" i="172"/>
  <c r="H14" i="278"/>
  <c r="H16" i="278"/>
  <c r="R21" i="234"/>
  <c r="AC16" i="172"/>
  <c r="U20" i="41"/>
  <c r="V20" i="41" s="1"/>
  <c r="AF25" i="47"/>
  <c r="Z19" i="185"/>
  <c r="S46" i="185"/>
  <c r="K26" i="281"/>
  <c r="G40" i="281"/>
  <c r="I19" i="281"/>
  <c r="K19" i="281" s="1"/>
  <c r="AC19" i="281" s="1"/>
  <c r="M46" i="234"/>
  <c r="H17" i="250"/>
  <c r="Z12" i="185"/>
  <c r="K14" i="6"/>
  <c r="G37" i="281"/>
  <c r="G42" i="281"/>
  <c r="I11" i="257"/>
  <c r="K11" i="257" s="1"/>
  <c r="I14" i="12"/>
  <c r="K14" i="12" s="1"/>
  <c r="I18" i="257"/>
  <c r="K18" i="257" s="1"/>
  <c r="H23" i="257"/>
  <c r="I12" i="257"/>
  <c r="K12" i="257" s="1"/>
  <c r="I20" i="12"/>
  <c r="K20" i="12" s="1"/>
  <c r="H12" i="12"/>
  <c r="I17" i="12"/>
  <c r="K17" i="12" s="1"/>
  <c r="I25" i="12"/>
  <c r="K25" i="12" s="1"/>
  <c r="H22" i="257"/>
  <c r="AC32" i="172"/>
  <c r="D44" i="48"/>
  <c r="Z36" i="172"/>
  <c r="AC36" i="172" s="1"/>
  <c r="I22" i="278"/>
  <c r="K22" i="278" s="1"/>
  <c r="AC22" i="278" s="1"/>
  <c r="G41" i="281"/>
  <c r="I25" i="281"/>
  <c r="K25" i="281" s="1"/>
  <c r="I23" i="281"/>
  <c r="K23" i="281" s="1"/>
  <c r="I23" i="257"/>
  <c r="K23" i="257" s="1"/>
  <c r="K24" i="12"/>
  <c r="I16" i="257"/>
  <c r="K16" i="257" s="1"/>
  <c r="I14" i="257"/>
  <c r="K14" i="257" s="1"/>
  <c r="I20" i="257"/>
  <c r="K20" i="257" s="1"/>
  <c r="H16" i="12"/>
  <c r="I17" i="257"/>
  <c r="K17" i="257" s="1"/>
  <c r="I18" i="12"/>
  <c r="K18" i="12" s="1"/>
  <c r="H18" i="12"/>
  <c r="H24" i="12"/>
  <c r="I12" i="12"/>
  <c r="K12" i="12" s="1"/>
  <c r="I21" i="257"/>
  <c r="K21" i="257" s="1"/>
  <c r="I25" i="257"/>
  <c r="K25" i="257" s="1"/>
  <c r="M44" i="234"/>
  <c r="H13" i="250"/>
  <c r="H21" i="250"/>
  <c r="D36" i="62"/>
  <c r="AC26" i="172"/>
  <c r="I17" i="281"/>
  <c r="K17" i="281" s="1"/>
  <c r="AC17" i="281" s="1"/>
  <c r="I15" i="257"/>
  <c r="K15" i="257" s="1"/>
  <c r="I23" i="12"/>
  <c r="K23" i="12" s="1"/>
  <c r="I24" i="257"/>
  <c r="K24" i="257" s="1"/>
  <c r="H14" i="257"/>
  <c r="I16" i="12"/>
  <c r="K16" i="12" s="1"/>
  <c r="H16" i="257"/>
  <c r="I22" i="257"/>
  <c r="K22" i="257" s="1"/>
  <c r="H13" i="12"/>
  <c r="H21" i="257"/>
  <c r="H11" i="257"/>
  <c r="I13" i="257"/>
  <c r="K13" i="257" s="1"/>
  <c r="H14" i="12"/>
  <c r="I21" i="12"/>
  <c r="K21" i="12" s="1"/>
  <c r="H22" i="12"/>
  <c r="H18" i="257"/>
  <c r="H13" i="244"/>
  <c r="H21" i="244"/>
  <c r="AF13" i="47"/>
  <c r="R22" i="41"/>
  <c r="H12" i="278"/>
  <c r="AF28" i="47"/>
  <c r="AF15" i="47"/>
  <c r="N29" i="241"/>
  <c r="N72" i="241" s="1"/>
  <c r="L27" i="241"/>
  <c r="M27" i="241"/>
  <c r="N27" i="241"/>
  <c r="O27" i="241"/>
  <c r="Z11" i="185"/>
  <c r="O30" i="241"/>
  <c r="O73" i="241" s="1"/>
  <c r="D42" i="278"/>
  <c r="B52" i="133"/>
  <c r="K53" i="133"/>
  <c r="F40" i="281"/>
  <c r="D19" i="279"/>
  <c r="X46" i="185"/>
  <c r="D41" i="271"/>
  <c r="D71" i="241"/>
  <c r="K37" i="13"/>
  <c r="H52" i="13"/>
  <c r="J42" i="13"/>
  <c r="J39" i="13"/>
  <c r="J37" i="13"/>
  <c r="H37" i="13"/>
  <c r="I42" i="13"/>
  <c r="H38" i="13"/>
  <c r="H39" i="13"/>
  <c r="J40" i="13"/>
  <c r="J41" i="13"/>
  <c r="K40" i="13"/>
  <c r="K41" i="13"/>
  <c r="J38" i="13"/>
  <c r="I37" i="13"/>
  <c r="I41" i="13"/>
  <c r="H19" i="256"/>
  <c r="L45" i="241"/>
  <c r="N45" i="241"/>
  <c r="M204" i="73"/>
  <c r="M205" i="73" s="1"/>
  <c r="D68" i="73"/>
  <c r="E68" i="73"/>
  <c r="M201" i="73"/>
  <c r="M202" i="73" s="1"/>
  <c r="E67" i="73"/>
  <c r="D67" i="73"/>
  <c r="M212" i="73"/>
  <c r="E75" i="73"/>
  <c r="D75" i="73"/>
  <c r="M195" i="73"/>
  <c r="M196" i="73" s="1"/>
  <c r="E65" i="73"/>
  <c r="D65" i="73"/>
  <c r="G45" i="241"/>
  <c r="M45" i="241"/>
  <c r="H45" i="241"/>
  <c r="D24" i="241"/>
  <c r="I45" i="241"/>
  <c r="J45" i="241"/>
  <c r="F80" i="156"/>
  <c r="F45" i="241"/>
  <c r="O45" i="241"/>
  <c r="D45" i="241"/>
  <c r="E45" i="241"/>
  <c r="K45" i="241"/>
  <c r="E20" i="241"/>
  <c r="F79" i="156"/>
  <c r="T46" i="185"/>
  <c r="Z17" i="185"/>
  <c r="Z24" i="185"/>
  <c r="Z26" i="185"/>
  <c r="J66" i="73"/>
  <c r="J77" i="73" s="1"/>
  <c r="S36" i="279"/>
  <c r="S47" i="279" s="1"/>
  <c r="S30" i="279"/>
  <c r="D30" i="279" s="1"/>
  <c r="E30" i="279" s="1"/>
  <c r="F30" i="279" s="1"/>
  <c r="G30" i="279" s="1"/>
  <c r="H30" i="279" s="1"/>
  <c r="I30" i="279" s="1"/>
  <c r="J30" i="279" s="1"/>
  <c r="K30" i="279" s="1"/>
  <c r="L30" i="279" s="1"/>
  <c r="M30" i="279" s="1"/>
  <c r="N30" i="279" s="1"/>
  <c r="N32" i="279" s="1"/>
  <c r="D22" i="279"/>
  <c r="AF23" i="47"/>
  <c r="N6" i="256"/>
  <c r="N13" i="256" s="1"/>
  <c r="D24" i="14"/>
  <c r="E27" i="279"/>
  <c r="E21" i="279"/>
  <c r="D80" i="279"/>
  <c r="D37" i="279"/>
  <c r="D73" i="241"/>
  <c r="E22" i="241"/>
  <c r="E30" i="241" s="1"/>
  <c r="H26" i="278"/>
  <c r="F38" i="281"/>
  <c r="H24" i="281"/>
  <c r="D78" i="279"/>
  <c r="D35" i="279"/>
  <c r="E19" i="279"/>
  <c r="D20" i="279"/>
  <c r="S28" i="279"/>
  <c r="D28" i="279" s="1"/>
  <c r="E28" i="279" s="1"/>
  <c r="F28" i="279" s="1"/>
  <c r="G28" i="279" s="1"/>
  <c r="H28" i="279" s="1"/>
  <c r="I28" i="279" s="1"/>
  <c r="J28" i="279" s="1"/>
  <c r="K28" i="279" s="1"/>
  <c r="L28" i="279" s="1"/>
  <c r="O38" i="279"/>
  <c r="O81" i="279" s="1"/>
  <c r="F45" i="279"/>
  <c r="E88" i="279"/>
  <c r="E54" i="11"/>
  <c r="E59" i="11" s="1"/>
  <c r="E61" i="11" s="1"/>
  <c r="E63" i="11" s="1"/>
  <c r="N6" i="14"/>
  <c r="D32" i="14" s="1"/>
  <c r="D39" i="278"/>
  <c r="I16" i="278"/>
  <c r="K16" i="278" s="1"/>
  <c r="AC16" i="278" s="1"/>
  <c r="L35" i="279"/>
  <c r="M35" i="279"/>
  <c r="O35" i="279"/>
  <c r="N35" i="279"/>
  <c r="N37" i="279"/>
  <c r="N80" i="279" s="1"/>
  <c r="O37" i="279"/>
  <c r="O80" i="279" s="1"/>
  <c r="J40" i="281"/>
  <c r="F39" i="281"/>
  <c r="J42" i="281"/>
  <c r="H14" i="281"/>
  <c r="H22" i="281"/>
  <c r="J41" i="281"/>
  <c r="F37" i="281"/>
  <c r="E39" i="281"/>
  <c r="E38" i="281"/>
  <c r="AC22" i="172"/>
  <c r="Z30" i="172"/>
  <c r="AC30" i="172" s="1"/>
  <c r="AC18" i="172"/>
  <c r="I12" i="278"/>
  <c r="K12" i="278" s="1"/>
  <c r="AC12" i="278" s="1"/>
  <c r="I18" i="278"/>
  <c r="K18" i="278" s="1"/>
  <c r="AC18" i="278" s="1"/>
  <c r="I25" i="278"/>
  <c r="D40" i="278"/>
  <c r="D38" i="278"/>
  <c r="AC26" i="281"/>
  <c r="I14" i="281"/>
  <c r="K14" i="281" s="1"/>
  <c r="I22" i="281"/>
  <c r="K22" i="281" s="1"/>
  <c r="I11" i="281"/>
  <c r="D39" i="281"/>
  <c r="D40" i="281"/>
  <c r="D42" i="281"/>
  <c r="D38" i="281"/>
  <c r="D41" i="281"/>
  <c r="D37" i="281"/>
  <c r="J37" i="281"/>
  <c r="AC15" i="281"/>
  <c r="AC23" i="281"/>
  <c r="E42" i="281"/>
  <c r="Z24" i="172"/>
  <c r="AC24" i="172" s="1"/>
  <c r="AF21" i="47"/>
  <c r="AC20" i="172"/>
  <c r="AF17" i="47"/>
  <c r="D37" i="278"/>
  <c r="D41" i="278"/>
  <c r="I24" i="278"/>
  <c r="K24" i="278" s="1"/>
  <c r="AC24" i="278" s="1"/>
  <c r="AC13" i="281"/>
  <c r="H18" i="281"/>
  <c r="AC21" i="281"/>
  <c r="J39" i="281"/>
  <c r="E37" i="281"/>
  <c r="E40" i="281"/>
  <c r="H12" i="281"/>
  <c r="AF19" i="47"/>
  <c r="H20" i="278"/>
  <c r="I17" i="278"/>
  <c r="K17" i="278" s="1"/>
  <c r="AC17" i="278" s="1"/>
  <c r="F41" i="281"/>
  <c r="H20" i="281"/>
  <c r="I12" i="281"/>
  <c r="K12" i="281" s="1"/>
  <c r="I16" i="281"/>
  <c r="K16" i="281" s="1"/>
  <c r="I20" i="281"/>
  <c r="K20" i="281" s="1"/>
  <c r="I24" i="281"/>
  <c r="K24" i="281" s="1"/>
  <c r="AC25" i="281"/>
  <c r="I18" i="281"/>
  <c r="K18" i="281" s="1"/>
  <c r="J38" i="281"/>
  <c r="H16" i="281"/>
  <c r="E41" i="281"/>
  <c r="E80" i="241"/>
  <c r="E19" i="241"/>
  <c r="E27" i="241" s="1"/>
  <c r="D70" i="241"/>
  <c r="D72" i="241"/>
  <c r="E21" i="241"/>
  <c r="E29" i="241" s="1"/>
  <c r="F50" i="241"/>
  <c r="F66" i="241"/>
  <c r="N6" i="278"/>
  <c r="F54" i="11"/>
  <c r="F59" i="11" s="1"/>
  <c r="F61" i="11" s="1"/>
  <c r="F63" i="11" s="1"/>
  <c r="F14" i="11"/>
  <c r="AF11" i="47"/>
  <c r="H19" i="244"/>
  <c r="H21" i="249"/>
  <c r="U16" i="41"/>
  <c r="V16" i="41" s="1"/>
  <c r="Z12" i="172"/>
  <c r="AC12" i="172" s="1"/>
  <c r="Z28" i="172"/>
  <c r="AC28" i="172" s="1"/>
  <c r="T28" i="41"/>
  <c r="T35" i="41"/>
  <c r="T27" i="41"/>
  <c r="T33" i="41"/>
  <c r="T34" i="41"/>
  <c r="T32" i="41"/>
  <c r="T29" i="41"/>
  <c r="H15" i="250"/>
  <c r="H23" i="250"/>
  <c r="H19" i="250"/>
  <c r="H18" i="278"/>
  <c r="I33" i="278"/>
  <c r="K33" i="278" s="1"/>
  <c r="AC33" i="278" s="1"/>
  <c r="H13" i="249"/>
  <c r="H28" i="249"/>
  <c r="H35" i="256"/>
  <c r="K38" i="13"/>
  <c r="Z14" i="185"/>
  <c r="Z22" i="185"/>
  <c r="I40" i="13"/>
  <c r="H42" i="13"/>
  <c r="H41" i="13"/>
  <c r="I23" i="278"/>
  <c r="K23" i="278" s="1"/>
  <c r="I39" i="13"/>
  <c r="H40" i="13"/>
  <c r="I38" i="13"/>
  <c r="I19" i="278"/>
  <c r="K19" i="278" s="1"/>
  <c r="AC19" i="278" s="1"/>
  <c r="H15" i="256"/>
  <c r="H23" i="256"/>
  <c r="K25" i="278"/>
  <c r="AC25" i="278" s="1"/>
  <c r="H35" i="278"/>
  <c r="H32" i="278"/>
  <c r="I15" i="278"/>
  <c r="K15" i="278" s="1"/>
  <c r="AC15" i="278" s="1"/>
  <c r="I29" i="278"/>
  <c r="K29" i="278" s="1"/>
  <c r="AC29" i="278" s="1"/>
  <c r="I26" i="278"/>
  <c r="K26" i="278" s="1"/>
  <c r="AC26" i="278" s="1"/>
  <c r="I28" i="278"/>
  <c r="K28" i="278" s="1"/>
  <c r="AC28" i="278" s="1"/>
  <c r="I27" i="278"/>
  <c r="K27" i="278" s="1"/>
  <c r="AC27" i="278" s="1"/>
  <c r="I20" i="278"/>
  <c r="K20" i="278" s="1"/>
  <c r="AC20" i="278" s="1"/>
  <c r="I13" i="278"/>
  <c r="K13" i="278" s="1"/>
  <c r="AC13" i="278" s="1"/>
  <c r="K39" i="13"/>
  <c r="K42" i="13"/>
  <c r="R14" i="62"/>
  <c r="AC23" i="278"/>
  <c r="H19" i="278"/>
  <c r="G40" i="278"/>
  <c r="G39" i="278"/>
  <c r="G42" i="278"/>
  <c r="G38" i="278"/>
  <c r="G41" i="278"/>
  <c r="G37" i="278"/>
  <c r="H22" i="278"/>
  <c r="H21" i="278"/>
  <c r="I14" i="278"/>
  <c r="K14" i="278" s="1"/>
  <c r="H25" i="278"/>
  <c r="X43" i="185"/>
  <c r="S43" i="185"/>
  <c r="H34" i="278"/>
  <c r="I21" i="278"/>
  <c r="K21" i="278" s="1"/>
  <c r="J42" i="278"/>
  <c r="J38" i="278"/>
  <c r="J41" i="278"/>
  <c r="J37" i="278"/>
  <c r="J40" i="278"/>
  <c r="J39" i="278"/>
  <c r="H15" i="278"/>
  <c r="H17" i="278"/>
  <c r="H28" i="278"/>
  <c r="H11" i="278"/>
  <c r="F40" i="278"/>
  <c r="F39" i="278"/>
  <c r="F42" i="278"/>
  <c r="F38" i="278"/>
  <c r="F41" i="278"/>
  <c r="F37" i="278"/>
  <c r="H23" i="278"/>
  <c r="I35" i="278"/>
  <c r="K35" i="278" s="1"/>
  <c r="H24" i="278"/>
  <c r="E41" i="278"/>
  <c r="E37" i="278"/>
  <c r="E40" i="278"/>
  <c r="E42" i="278"/>
  <c r="E38" i="278"/>
  <c r="E39" i="278"/>
  <c r="I11" i="278"/>
  <c r="H13" i="278"/>
  <c r="H33" i="278"/>
  <c r="E40" i="126"/>
  <c r="H35" i="250"/>
  <c r="F45" i="52"/>
  <c r="E88" i="52"/>
  <c r="X47" i="185"/>
  <c r="S47" i="185"/>
  <c r="M47" i="234"/>
  <c r="H15" i="244"/>
  <c r="H17" i="249"/>
  <c r="H23" i="244"/>
  <c r="H25" i="256"/>
  <c r="H28" i="256"/>
  <c r="H33" i="256"/>
  <c r="Z15" i="185"/>
  <c r="X45" i="185"/>
  <c r="S45" i="185"/>
  <c r="M42" i="234"/>
  <c r="T25" i="234"/>
  <c r="U25" i="234" s="1"/>
  <c r="R19" i="234"/>
  <c r="J46" i="185"/>
  <c r="M43" i="234"/>
  <c r="M45" i="234"/>
  <c r="AK13" i="173"/>
  <c r="H13" i="256"/>
  <c r="AK15" i="173"/>
  <c r="H15" i="249"/>
  <c r="AK17" i="173"/>
  <c r="H17" i="256"/>
  <c r="AK19" i="173"/>
  <c r="H19" i="249"/>
  <c r="AK21" i="173"/>
  <c r="H21" i="256"/>
  <c r="AK23" i="173"/>
  <c r="H23" i="249"/>
  <c r="AK25" i="173"/>
  <c r="H25" i="249"/>
  <c r="AK27" i="173"/>
  <c r="AK29" i="173"/>
  <c r="AK31" i="173"/>
  <c r="AK33" i="173"/>
  <c r="H33" i="249"/>
  <c r="AK35" i="173"/>
  <c r="H35" i="249"/>
  <c r="AK37" i="173"/>
  <c r="AK39" i="173"/>
  <c r="AK41" i="173"/>
  <c r="B114" i="52"/>
  <c r="B134" i="52" s="1"/>
  <c r="B148" i="52" s="1"/>
  <c r="D19" i="52"/>
  <c r="D78" i="52" s="1"/>
  <c r="S27" i="52"/>
  <c r="D27" i="52" s="1"/>
  <c r="N37" i="52"/>
  <c r="N80" i="52" s="1"/>
  <c r="D22" i="52"/>
  <c r="D81" i="52" s="1"/>
  <c r="S30" i="52"/>
  <c r="D30" i="52" s="1"/>
  <c r="E30" i="52" s="1"/>
  <c r="F30" i="52" s="1"/>
  <c r="G30" i="52" s="1"/>
  <c r="H30" i="52" s="1"/>
  <c r="I30" i="52" s="1"/>
  <c r="J30" i="52" s="1"/>
  <c r="K30" i="52" s="1"/>
  <c r="L30" i="52" s="1"/>
  <c r="M30" i="52" s="1"/>
  <c r="N30" i="52" s="1"/>
  <c r="N32" i="52" s="1"/>
  <c r="S28" i="52"/>
  <c r="D28" i="52" s="1"/>
  <c r="E28" i="52" s="1"/>
  <c r="F28" i="52" s="1"/>
  <c r="G28" i="52" s="1"/>
  <c r="H28" i="52" s="1"/>
  <c r="I28" i="52" s="1"/>
  <c r="J28" i="52" s="1"/>
  <c r="K28" i="52" s="1"/>
  <c r="L28" i="52" s="1"/>
  <c r="D20" i="52"/>
  <c r="D79" i="52" s="1"/>
  <c r="D37" i="52"/>
  <c r="E21" i="52"/>
  <c r="G44" i="52"/>
  <c r="G87" i="52" s="1"/>
  <c r="K44" i="52"/>
  <c r="K87" i="52" s="1"/>
  <c r="O44" i="52"/>
  <c r="O87" i="52" s="1"/>
  <c r="D44" i="52"/>
  <c r="D87" i="52" s="1"/>
  <c r="H44" i="52"/>
  <c r="H87" i="52" s="1"/>
  <c r="L44" i="52"/>
  <c r="L87" i="52" s="1"/>
  <c r="E44" i="52"/>
  <c r="E87" i="52" s="1"/>
  <c r="I44" i="52"/>
  <c r="I87" i="52" s="1"/>
  <c r="M44" i="52"/>
  <c r="M87" i="52" s="1"/>
  <c r="F44" i="52"/>
  <c r="F87" i="52" s="1"/>
  <c r="J44" i="52"/>
  <c r="J87" i="52" s="1"/>
  <c r="N44" i="52"/>
  <c r="N87" i="52" s="1"/>
  <c r="B102" i="52"/>
  <c r="J60" i="73"/>
  <c r="F94" i="6"/>
  <c r="J9" i="10"/>
  <c r="D36" i="48"/>
  <c r="L14" i="6"/>
  <c r="D28" i="62"/>
  <c r="D20" i="63"/>
  <c r="Z21" i="185"/>
  <c r="J47" i="185"/>
  <c r="U23" i="41"/>
  <c r="H25" i="250"/>
  <c r="H28" i="250"/>
  <c r="H33" i="250"/>
  <c r="B70" i="241"/>
  <c r="B86" i="241" s="1"/>
  <c r="D14" i="11"/>
  <c r="D54" i="11"/>
  <c r="D59" i="11" s="1"/>
  <c r="D61" i="11" s="1"/>
  <c r="D63" i="11" s="1"/>
  <c r="Z18" i="185"/>
  <c r="J43" i="185"/>
  <c r="S48" i="185"/>
  <c r="AA42" i="234"/>
  <c r="I18" i="41"/>
  <c r="I45" i="185"/>
  <c r="U19" i="41"/>
  <c r="X44" i="185"/>
  <c r="X48" i="185"/>
  <c r="H9" i="6"/>
  <c r="G93" i="6"/>
  <c r="G94" i="6" s="1"/>
  <c r="B12" i="242"/>
  <c r="F84" i="241"/>
  <c r="F100" i="241"/>
  <c r="F120" i="241" s="1"/>
  <c r="F135" i="241" s="1"/>
  <c r="B89" i="241"/>
  <c r="B111" i="241"/>
  <c r="B131" i="241" s="1"/>
  <c r="B146" i="241" s="1"/>
  <c r="B112" i="241"/>
  <c r="B103" i="241"/>
  <c r="B123" i="241" s="1"/>
  <c r="B138" i="241" s="1"/>
  <c r="B104" i="241"/>
  <c r="B124" i="241" s="1"/>
  <c r="B139" i="241" s="1"/>
  <c r="B14" i="66"/>
  <c r="B140" i="52"/>
  <c r="B154" i="52" s="1"/>
  <c r="G15" i="52"/>
  <c r="F92" i="52"/>
  <c r="F108" i="52"/>
  <c r="F128" i="52" s="1"/>
  <c r="F142" i="52" s="1"/>
  <c r="F58" i="52"/>
  <c r="B78" i="52"/>
  <c r="B110" i="52" s="1"/>
  <c r="B130" i="52" s="1"/>
  <c r="B144" i="52" s="1"/>
  <c r="U32" i="57"/>
  <c r="D16" i="62" s="1"/>
  <c r="M42" i="53"/>
  <c r="T13" i="41"/>
  <c r="T18" i="41"/>
  <c r="T21" i="41"/>
  <c r="T26" i="41"/>
  <c r="T12" i="41"/>
  <c r="T15" i="41"/>
  <c r="T23" i="41"/>
  <c r="T11" i="41"/>
  <c r="T16" i="41"/>
  <c r="T19" i="41"/>
  <c r="T24" i="41"/>
  <c r="T20" i="41"/>
  <c r="T14" i="41"/>
  <c r="T17" i="41"/>
  <c r="T22" i="41"/>
  <c r="T25" i="41"/>
  <c r="N45" i="53"/>
  <c r="W41" i="53"/>
  <c r="AF28" i="57"/>
  <c r="U28" i="57"/>
  <c r="D12" i="62" s="1"/>
  <c r="AF31" i="57"/>
  <c r="U30" i="57"/>
  <c r="D14" i="62" s="1"/>
  <c r="H12" i="189"/>
  <c r="R15" i="62"/>
  <c r="V28" i="57"/>
  <c r="F12" i="62" s="1"/>
  <c r="V33" i="57"/>
  <c r="F17" i="62" s="1"/>
  <c r="V32" i="57"/>
  <c r="F16" i="62" s="1"/>
  <c r="U33" i="57"/>
  <c r="D17" i="62" s="1"/>
  <c r="U31" i="57"/>
  <c r="D15" i="62" s="1"/>
  <c r="AF32" i="57"/>
  <c r="V30" i="57"/>
  <c r="F14" i="62" s="1"/>
  <c r="V29" i="57"/>
  <c r="F13" i="62" s="1"/>
  <c r="U29" i="57"/>
  <c r="D13" i="62" s="1"/>
  <c r="AF33" i="57"/>
  <c r="AF30" i="57"/>
  <c r="V31" i="57"/>
  <c r="F15" i="62" s="1"/>
  <c r="AF29" i="57"/>
  <c r="L40" i="62"/>
  <c r="N40" i="62" s="1"/>
  <c r="N49" i="62" s="1"/>
  <c r="L50" i="48"/>
  <c r="N50" i="48" s="1"/>
  <c r="J16" i="63"/>
  <c r="N24" i="63" s="1"/>
  <c r="G45" i="8"/>
  <c r="V46" i="185"/>
  <c r="T47" i="185"/>
  <c r="I47" i="185"/>
  <c r="L48" i="185"/>
  <c r="J48" i="185"/>
  <c r="S12" i="234"/>
  <c r="O43" i="234"/>
  <c r="O47" i="234"/>
  <c r="T12" i="234"/>
  <c r="O44" i="234"/>
  <c r="O45" i="234"/>
  <c r="R12" i="234"/>
  <c r="O42" i="234"/>
  <c r="O46" i="234"/>
  <c r="U31" i="234"/>
  <c r="V31" i="234"/>
  <c r="U13" i="234"/>
  <c r="V13" i="234"/>
  <c r="U28" i="234"/>
  <c r="V28" i="234"/>
  <c r="AA47" i="234"/>
  <c r="AA45" i="234"/>
  <c r="V19" i="234"/>
  <c r="U19" i="234"/>
  <c r="U27" i="234"/>
  <c r="V27" i="234"/>
  <c r="S28" i="241"/>
  <c r="F10" i="242"/>
  <c r="F16" i="242" s="1"/>
  <c r="E16" i="63"/>
  <c r="S36" i="52"/>
  <c r="F10" i="66"/>
  <c r="F16" i="66" s="1"/>
  <c r="B108" i="241"/>
  <c r="B128" i="241" s="1"/>
  <c r="B143" i="241" s="1"/>
  <c r="W28" i="57"/>
  <c r="H12" i="62" s="1"/>
  <c r="W32" i="57"/>
  <c r="H16" i="62" s="1"/>
  <c r="W29" i="57"/>
  <c r="H13" i="62" s="1"/>
  <c r="W33" i="57"/>
  <c r="H17" i="62" s="1"/>
  <c r="W30" i="57"/>
  <c r="H14" i="62" s="1"/>
  <c r="W31" i="57"/>
  <c r="H15" i="62" s="1"/>
  <c r="Y13" i="172"/>
  <c r="AG12" i="47"/>
  <c r="AI12" i="47" s="1"/>
  <c r="Y17" i="172"/>
  <c r="AG16" i="47"/>
  <c r="AI16" i="47" s="1"/>
  <c r="Y21" i="172"/>
  <c r="AG20" i="47"/>
  <c r="AI20" i="47" s="1"/>
  <c r="Y25" i="172"/>
  <c r="AG24" i="47"/>
  <c r="AI24" i="47" s="1"/>
  <c r="Y29" i="172"/>
  <c r="AG27" i="47"/>
  <c r="AI27" i="47" s="1"/>
  <c r="Y33" i="172"/>
  <c r="AG32" i="47"/>
  <c r="AI32" i="47" s="1"/>
  <c r="Y37" i="172"/>
  <c r="Y41" i="172"/>
  <c r="H10" i="257"/>
  <c r="E36" i="257"/>
  <c r="E37" i="257"/>
  <c r="E38" i="257"/>
  <c r="E39" i="257"/>
  <c r="E40" i="257"/>
  <c r="E41" i="257"/>
  <c r="V11" i="41"/>
  <c r="I11" i="41" s="1"/>
  <c r="AA13" i="41"/>
  <c r="C13" i="47"/>
  <c r="D30" i="79" s="1"/>
  <c r="AA21" i="41"/>
  <c r="C21" i="47"/>
  <c r="D38" i="79" s="1"/>
  <c r="C28" i="47"/>
  <c r="D45" i="79" s="1"/>
  <c r="V41" i="53"/>
  <c r="V42" i="53"/>
  <c r="V43" i="53"/>
  <c r="V44" i="53"/>
  <c r="V45" i="53"/>
  <c r="V46" i="53"/>
  <c r="AF18" i="47"/>
  <c r="Z19" i="172"/>
  <c r="AC19" i="172" s="1"/>
  <c r="AF26" i="47"/>
  <c r="Z27" i="172"/>
  <c r="AC27" i="172" s="1"/>
  <c r="AF34" i="47"/>
  <c r="Z35" i="172"/>
  <c r="AC35" i="172" s="1"/>
  <c r="F36" i="12"/>
  <c r="F37" i="12"/>
  <c r="F38" i="12"/>
  <c r="F39" i="12"/>
  <c r="F40" i="12"/>
  <c r="F41" i="12"/>
  <c r="F37" i="250"/>
  <c r="F38" i="250"/>
  <c r="F39" i="250"/>
  <c r="F40" i="250"/>
  <c r="F41" i="250"/>
  <c r="F42" i="250"/>
  <c r="J36" i="12"/>
  <c r="J37" i="12"/>
  <c r="J38" i="12"/>
  <c r="J39" i="12"/>
  <c r="J40" i="12"/>
  <c r="J41" i="12"/>
  <c r="J37" i="249"/>
  <c r="J38" i="249"/>
  <c r="J39" i="249"/>
  <c r="J40" i="249"/>
  <c r="J41" i="249"/>
  <c r="J42" i="249"/>
  <c r="I12" i="250"/>
  <c r="K12" i="250" s="1"/>
  <c r="I14" i="250"/>
  <c r="K14" i="250" s="1"/>
  <c r="I16" i="250"/>
  <c r="K16" i="250" s="1"/>
  <c r="I18" i="250"/>
  <c r="K18" i="250" s="1"/>
  <c r="I20" i="250"/>
  <c r="K20" i="250" s="1"/>
  <c r="I24" i="250"/>
  <c r="K24" i="250" s="1"/>
  <c r="I27" i="250"/>
  <c r="K27" i="250" s="1"/>
  <c r="I32" i="250"/>
  <c r="K32" i="250" s="1"/>
  <c r="N42" i="53"/>
  <c r="N46" i="53"/>
  <c r="G37" i="256"/>
  <c r="G38" i="256"/>
  <c r="G39" i="256"/>
  <c r="G40" i="256"/>
  <c r="G41" i="256"/>
  <c r="G42" i="256"/>
  <c r="H12" i="256"/>
  <c r="AK14" i="173"/>
  <c r="H14" i="250"/>
  <c r="H18" i="256"/>
  <c r="H18" i="244"/>
  <c r="H20" i="256"/>
  <c r="AK22" i="173"/>
  <c r="H22" i="250"/>
  <c r="H24" i="250"/>
  <c r="H26" i="256"/>
  <c r="H26" i="244"/>
  <c r="H27" i="256"/>
  <c r="AK30" i="173"/>
  <c r="H29" i="250"/>
  <c r="H34" i="256"/>
  <c r="AK38" i="173"/>
  <c r="I11" i="249"/>
  <c r="D37" i="249"/>
  <c r="D38" i="249"/>
  <c r="D39" i="249"/>
  <c r="D40" i="249"/>
  <c r="D41" i="249"/>
  <c r="D42" i="249"/>
  <c r="I11" i="244"/>
  <c r="K11" i="244" s="1"/>
  <c r="D37" i="244"/>
  <c r="D38" i="244"/>
  <c r="D39" i="244"/>
  <c r="D40" i="244"/>
  <c r="D41" i="244"/>
  <c r="D42" i="244"/>
  <c r="I15" i="250"/>
  <c r="K15" i="250" s="1"/>
  <c r="I17" i="249"/>
  <c r="K17" i="249" s="1"/>
  <c r="E19" i="173"/>
  <c r="J19" i="173"/>
  <c r="P19" i="173"/>
  <c r="F19" i="173"/>
  <c r="L19" i="173"/>
  <c r="Q19" i="173"/>
  <c r="AL19" i="173"/>
  <c r="AN19" i="173" s="1"/>
  <c r="G19" i="173"/>
  <c r="M19" i="173"/>
  <c r="C19" i="173"/>
  <c r="I19" i="173"/>
  <c r="N19" i="173"/>
  <c r="I19" i="249"/>
  <c r="K19" i="249" s="1"/>
  <c r="I19" i="244"/>
  <c r="K19" i="244" s="1"/>
  <c r="I23" i="250"/>
  <c r="K23" i="250" s="1"/>
  <c r="I25" i="249"/>
  <c r="K25" i="249" s="1"/>
  <c r="F27" i="173"/>
  <c r="L27" i="173"/>
  <c r="Q27" i="173"/>
  <c r="AL27" i="173"/>
  <c r="AN27" i="173" s="1"/>
  <c r="C27" i="173"/>
  <c r="I27" i="173"/>
  <c r="N27" i="173"/>
  <c r="G27" i="173"/>
  <c r="J27" i="173"/>
  <c r="M27" i="173"/>
  <c r="E27" i="173"/>
  <c r="P27" i="173"/>
  <c r="I33" i="249"/>
  <c r="K33" i="249" s="1"/>
  <c r="C35" i="173"/>
  <c r="I35" i="173"/>
  <c r="N35" i="173"/>
  <c r="E35" i="173"/>
  <c r="J35" i="173"/>
  <c r="P35" i="173"/>
  <c r="F35" i="173"/>
  <c r="L35" i="173"/>
  <c r="Q35" i="173"/>
  <c r="AL35" i="173"/>
  <c r="AN35" i="173" s="1"/>
  <c r="G35" i="173"/>
  <c r="M35" i="173"/>
  <c r="I35" i="249"/>
  <c r="K35" i="249" s="1"/>
  <c r="G21" i="8"/>
  <c r="D27" i="10"/>
  <c r="J16" i="10"/>
  <c r="L8" i="47"/>
  <c r="V8" i="47" s="1"/>
  <c r="D9" i="48" s="1"/>
  <c r="W8" i="47"/>
  <c r="F9" i="48" s="1"/>
  <c r="M45" i="53"/>
  <c r="M41" i="53"/>
  <c r="C14" i="47"/>
  <c r="D31" i="79" s="1"/>
  <c r="AA14" i="41"/>
  <c r="C27" i="47"/>
  <c r="D44" i="79" s="1"/>
  <c r="K16" i="10"/>
  <c r="E27" i="10"/>
  <c r="W44" i="53"/>
  <c r="D51" i="6" s="1"/>
  <c r="G10" i="11"/>
  <c r="G49" i="133"/>
  <c r="B3" i="241" s="1"/>
  <c r="F7" i="243" s="1"/>
  <c r="Y44" i="185"/>
  <c r="Y45" i="185"/>
  <c r="Y46" i="185"/>
  <c r="Y43" i="185"/>
  <c r="Y47" i="185"/>
  <c r="Y48" i="185"/>
  <c r="T45" i="185"/>
  <c r="T48" i="185"/>
  <c r="I43" i="185"/>
  <c r="T43" i="185"/>
  <c r="H15" i="241"/>
  <c r="H84" i="241" s="1"/>
  <c r="G66" i="241"/>
  <c r="G50" i="241"/>
  <c r="G100" i="241"/>
  <c r="G120" i="241" s="1"/>
  <c r="G135" i="241" s="1"/>
  <c r="U30" i="234"/>
  <c r="V30" i="234"/>
  <c r="U34" i="234"/>
  <c r="V34" i="234"/>
  <c r="U38" i="234"/>
  <c r="V38" i="234"/>
  <c r="V21" i="234"/>
  <c r="U21" i="234"/>
  <c r="U26" i="234"/>
  <c r="V26" i="234"/>
  <c r="U39" i="234"/>
  <c r="V39" i="234"/>
  <c r="AA43" i="234"/>
  <c r="AA44" i="234"/>
  <c r="V17" i="234"/>
  <c r="U17" i="234"/>
  <c r="U24" i="234"/>
  <c r="V24" i="234"/>
  <c r="B110" i="241"/>
  <c r="B130" i="241" s="1"/>
  <c r="B145" i="241" s="1"/>
  <c r="AE30" i="57"/>
  <c r="AE31" i="57"/>
  <c r="AE28" i="57"/>
  <c r="AE32" i="57"/>
  <c r="AE29" i="57"/>
  <c r="AE33" i="57"/>
  <c r="B107" i="241"/>
  <c r="B127" i="241" s="1"/>
  <c r="B142" i="241" s="1"/>
  <c r="Y14" i="172"/>
  <c r="AD14" i="172" s="1"/>
  <c r="AF14" i="172" s="1"/>
  <c r="AG13" i="47"/>
  <c r="AI13" i="47" s="1"/>
  <c r="Y18" i="172"/>
  <c r="AD18" i="172" s="1"/>
  <c r="AF18" i="172" s="1"/>
  <c r="AG17" i="47"/>
  <c r="AI17" i="47" s="1"/>
  <c r="Y22" i="172"/>
  <c r="AD22" i="172" s="1"/>
  <c r="AF22" i="172" s="1"/>
  <c r="AG21" i="47"/>
  <c r="AI21" i="47" s="1"/>
  <c r="Y26" i="172"/>
  <c r="AD26" i="172" s="1"/>
  <c r="AF26" i="172" s="1"/>
  <c r="AG25" i="47"/>
  <c r="AI25" i="47" s="1"/>
  <c r="Y30" i="172"/>
  <c r="AD30" i="172" s="1"/>
  <c r="AF30" i="172" s="1"/>
  <c r="AG28" i="47"/>
  <c r="AI28" i="47" s="1"/>
  <c r="Y34" i="172"/>
  <c r="AD34" i="172" s="1"/>
  <c r="AF34" i="172" s="1"/>
  <c r="AG33" i="47"/>
  <c r="AI33" i="47" s="1"/>
  <c r="Y38" i="172"/>
  <c r="AD38" i="172" s="1"/>
  <c r="AF38" i="172" s="1"/>
  <c r="H11" i="256"/>
  <c r="E37" i="256"/>
  <c r="E38" i="256"/>
  <c r="E39" i="256"/>
  <c r="E40" i="256"/>
  <c r="E41" i="256"/>
  <c r="E42" i="256"/>
  <c r="H11" i="244"/>
  <c r="E37" i="244"/>
  <c r="E39" i="244"/>
  <c r="E41" i="244"/>
  <c r="E42" i="244"/>
  <c r="E38" i="244"/>
  <c r="E40" i="244"/>
  <c r="U13" i="41"/>
  <c r="V13" i="41" s="1"/>
  <c r="AA15" i="41"/>
  <c r="C15" i="47"/>
  <c r="D32" i="79" s="1"/>
  <c r="U21" i="41"/>
  <c r="V21" i="41" s="1"/>
  <c r="AA23" i="41"/>
  <c r="C23" i="47"/>
  <c r="D40" i="79" s="1"/>
  <c r="AF12" i="47"/>
  <c r="Z13" i="172"/>
  <c r="AC13" i="172" s="1"/>
  <c r="AF20" i="47"/>
  <c r="Z21" i="172"/>
  <c r="AC21" i="172" s="1"/>
  <c r="AF27" i="47"/>
  <c r="Z29" i="172"/>
  <c r="AC29" i="172" s="1"/>
  <c r="Z37" i="172"/>
  <c r="AC37" i="172" s="1"/>
  <c r="F36" i="257"/>
  <c r="F37" i="257"/>
  <c r="F38" i="257"/>
  <c r="F39" i="257"/>
  <c r="F40" i="257"/>
  <c r="F41" i="257"/>
  <c r="J36" i="257"/>
  <c r="J37" i="257"/>
  <c r="J38" i="257"/>
  <c r="J39" i="257"/>
  <c r="J40" i="257"/>
  <c r="J41" i="257"/>
  <c r="I22" i="250"/>
  <c r="K22" i="250" s="1"/>
  <c r="I24" i="256"/>
  <c r="K24" i="256" s="1"/>
  <c r="I26" i="250"/>
  <c r="K26" i="250" s="1"/>
  <c r="I29" i="250"/>
  <c r="K29" i="250" s="1"/>
  <c r="I34" i="250"/>
  <c r="K34" i="250" s="1"/>
  <c r="N43" i="53"/>
  <c r="G36" i="257"/>
  <c r="G37" i="257"/>
  <c r="G38" i="257"/>
  <c r="G39" i="257"/>
  <c r="G40" i="257"/>
  <c r="G41" i="257"/>
  <c r="G37" i="250"/>
  <c r="G39" i="250"/>
  <c r="G41" i="250"/>
  <c r="G42" i="250"/>
  <c r="G38" i="250"/>
  <c r="G40" i="250"/>
  <c r="H12" i="250"/>
  <c r="H16" i="249"/>
  <c r="H16" i="244"/>
  <c r="H18" i="250"/>
  <c r="AK20" i="173"/>
  <c r="H20" i="250"/>
  <c r="H24" i="249"/>
  <c r="H24" i="244"/>
  <c r="H26" i="250"/>
  <c r="AK28" i="173"/>
  <c r="H27" i="250"/>
  <c r="H32" i="249"/>
  <c r="H34" i="249"/>
  <c r="AK36" i="173"/>
  <c r="I8" i="172"/>
  <c r="S8" i="172" s="1"/>
  <c r="T8" i="172"/>
  <c r="I11" i="256"/>
  <c r="D37" i="256"/>
  <c r="D38" i="256"/>
  <c r="D39" i="256"/>
  <c r="D40" i="256"/>
  <c r="D41" i="256"/>
  <c r="D42" i="256"/>
  <c r="C13" i="173"/>
  <c r="I13" i="173"/>
  <c r="N13" i="173"/>
  <c r="F13" i="173"/>
  <c r="L13" i="173"/>
  <c r="Q13" i="173"/>
  <c r="AL13" i="173"/>
  <c r="AN13" i="173" s="1"/>
  <c r="J13" i="173"/>
  <c r="M13" i="173"/>
  <c r="E13" i="173"/>
  <c r="P13" i="173"/>
  <c r="G13" i="173"/>
  <c r="I13" i="256"/>
  <c r="K13" i="256" s="1"/>
  <c r="I13" i="244"/>
  <c r="K13" i="244" s="1"/>
  <c r="I17" i="250"/>
  <c r="K17" i="250" s="1"/>
  <c r="I19" i="256"/>
  <c r="K19" i="256" s="1"/>
  <c r="F21" i="173"/>
  <c r="L21" i="173"/>
  <c r="Q21" i="173"/>
  <c r="AL21" i="173"/>
  <c r="AN21" i="173" s="1"/>
  <c r="C21" i="173"/>
  <c r="I21" i="173"/>
  <c r="N21" i="173"/>
  <c r="M21" i="173"/>
  <c r="E21" i="173"/>
  <c r="P21" i="173"/>
  <c r="G21" i="173"/>
  <c r="J21" i="173"/>
  <c r="I21" i="256"/>
  <c r="K21" i="256" s="1"/>
  <c r="I21" i="244"/>
  <c r="K21" i="244" s="1"/>
  <c r="I25" i="250"/>
  <c r="K25" i="250" s="1"/>
  <c r="F29" i="173"/>
  <c r="L29" i="173"/>
  <c r="C29" i="173"/>
  <c r="I29" i="173"/>
  <c r="N29" i="173"/>
  <c r="M29" i="173"/>
  <c r="E29" i="173"/>
  <c r="P29" i="173"/>
  <c r="G29" i="173"/>
  <c r="Q29" i="173"/>
  <c r="AL29" i="173"/>
  <c r="AN29" i="173" s="1"/>
  <c r="J29" i="173"/>
  <c r="I28" i="256"/>
  <c r="K28" i="256" s="1"/>
  <c r="I33" i="250"/>
  <c r="K33" i="250" s="1"/>
  <c r="I35" i="256"/>
  <c r="K35" i="256" s="1"/>
  <c r="C37" i="173"/>
  <c r="I37" i="173"/>
  <c r="N37" i="173"/>
  <c r="E37" i="173"/>
  <c r="J37" i="173"/>
  <c r="P37" i="173"/>
  <c r="F37" i="173"/>
  <c r="L37" i="173"/>
  <c r="Q37" i="173"/>
  <c r="AL37" i="173"/>
  <c r="AN37" i="173" s="1"/>
  <c r="G37" i="173"/>
  <c r="M37" i="173"/>
  <c r="C16" i="47"/>
  <c r="D33" i="79" s="1"/>
  <c r="AA16" i="41"/>
  <c r="G31" i="8"/>
  <c r="G44" i="8"/>
  <c r="G14" i="8"/>
  <c r="G17" i="8"/>
  <c r="G25" i="8"/>
  <c r="G13" i="8"/>
  <c r="G16" i="8"/>
  <c r="G22" i="8"/>
  <c r="G33" i="8"/>
  <c r="G38" i="8"/>
  <c r="G30" i="8"/>
  <c r="G43" i="8"/>
  <c r="G46" i="8"/>
  <c r="G23" i="8"/>
  <c r="G48" i="8"/>
  <c r="M44" i="53"/>
  <c r="C22" i="47"/>
  <c r="D39" i="79" s="1"/>
  <c r="AA22" i="41"/>
  <c r="E40" i="8"/>
  <c r="E50" i="8" s="1"/>
  <c r="E66" i="8" s="1"/>
  <c r="G20" i="6"/>
  <c r="G30" i="6"/>
  <c r="I24" i="41"/>
  <c r="I16" i="41"/>
  <c r="W43" i="53"/>
  <c r="C18" i="47"/>
  <c r="D35" i="79" s="1"/>
  <c r="AA18" i="41"/>
  <c r="B95" i="52"/>
  <c r="B37" i="236"/>
  <c r="I8" i="11"/>
  <c r="I54" i="11" s="1"/>
  <c r="L13" i="40"/>
  <c r="L11" i="40"/>
  <c r="J9" i="4"/>
  <c r="G16" i="229"/>
  <c r="H16" i="229" s="1"/>
  <c r="I16" i="229" s="1"/>
  <c r="J16" i="229" s="1"/>
  <c r="K16" i="229" s="1"/>
  <c r="L16" i="229" s="1"/>
  <c r="M16" i="229" s="1"/>
  <c r="N16" i="229" s="1"/>
  <c r="O16" i="229" s="1"/>
  <c r="P16" i="229" s="1"/>
  <c r="F27" i="229"/>
  <c r="I48" i="185"/>
  <c r="I46" i="185"/>
  <c r="J44" i="185"/>
  <c r="V20" i="234"/>
  <c r="U20" i="234"/>
  <c r="U33" i="234"/>
  <c r="V33" i="234"/>
  <c r="V18" i="234"/>
  <c r="U18" i="234"/>
  <c r="U23" i="234"/>
  <c r="V23" i="234"/>
  <c r="U14" i="234"/>
  <c r="V14" i="234"/>
  <c r="AA46" i="234"/>
  <c r="U40" i="234"/>
  <c r="V40" i="234"/>
  <c r="U41" i="53"/>
  <c r="U42" i="53"/>
  <c r="U43" i="53"/>
  <c r="U44" i="53"/>
  <c r="U45" i="53"/>
  <c r="U46" i="53"/>
  <c r="Y15" i="172"/>
  <c r="AG14" i="47"/>
  <c r="AI14" i="47" s="1"/>
  <c r="Y19" i="172"/>
  <c r="AG18" i="47"/>
  <c r="AI18" i="47" s="1"/>
  <c r="Y23" i="172"/>
  <c r="AG22" i="47"/>
  <c r="AI22" i="47" s="1"/>
  <c r="Y27" i="172"/>
  <c r="AG26" i="47"/>
  <c r="AI26" i="47" s="1"/>
  <c r="Y31" i="172"/>
  <c r="AG29" i="47"/>
  <c r="AI29" i="47" s="1"/>
  <c r="Y35" i="172"/>
  <c r="AG34" i="47"/>
  <c r="AI34" i="47" s="1"/>
  <c r="Y39" i="172"/>
  <c r="E37" i="249"/>
  <c r="E38" i="249"/>
  <c r="E39" i="249"/>
  <c r="E40" i="249"/>
  <c r="E41" i="249"/>
  <c r="E42" i="249"/>
  <c r="H11" i="249"/>
  <c r="AA17" i="41"/>
  <c r="C17" i="47"/>
  <c r="D34" i="79" s="1"/>
  <c r="AA25" i="41"/>
  <c r="C25" i="47"/>
  <c r="D42" i="79" s="1"/>
  <c r="C33" i="47"/>
  <c r="D49" i="79" s="1"/>
  <c r="AF14" i="47"/>
  <c r="Z15" i="172"/>
  <c r="AC15" i="172" s="1"/>
  <c r="AF22" i="47"/>
  <c r="Z23" i="172"/>
  <c r="AC23" i="172" s="1"/>
  <c r="AF29" i="47"/>
  <c r="Z31" i="172"/>
  <c r="AC31" i="172" s="1"/>
  <c r="Z39" i="172"/>
  <c r="AC39" i="172" s="1"/>
  <c r="F37" i="256"/>
  <c r="F38" i="256"/>
  <c r="F39" i="256"/>
  <c r="F40" i="256"/>
  <c r="F41" i="256"/>
  <c r="F42" i="256"/>
  <c r="F38" i="244"/>
  <c r="F40" i="244"/>
  <c r="F37" i="244"/>
  <c r="F39" i="244"/>
  <c r="F41" i="244"/>
  <c r="F42" i="244"/>
  <c r="J37" i="256"/>
  <c r="J38" i="256"/>
  <c r="J39" i="256"/>
  <c r="J40" i="256"/>
  <c r="J41" i="256"/>
  <c r="J42" i="256"/>
  <c r="J37" i="244"/>
  <c r="J39" i="244"/>
  <c r="J41" i="244"/>
  <c r="J38" i="244"/>
  <c r="J40" i="244"/>
  <c r="J42" i="244"/>
  <c r="I12" i="249"/>
  <c r="K12" i="249" s="1"/>
  <c r="I12" i="244"/>
  <c r="K12" i="244" s="1"/>
  <c r="I14" i="256"/>
  <c r="K14" i="256" s="1"/>
  <c r="I14" i="244"/>
  <c r="K14" i="244" s="1"/>
  <c r="I16" i="249"/>
  <c r="K16" i="249" s="1"/>
  <c r="I16" i="244"/>
  <c r="K16" i="244" s="1"/>
  <c r="I18" i="256"/>
  <c r="K18" i="256" s="1"/>
  <c r="I18" i="244"/>
  <c r="K18" i="244" s="1"/>
  <c r="I20" i="249"/>
  <c r="K20" i="249" s="1"/>
  <c r="I20" i="244"/>
  <c r="K20" i="244" s="1"/>
  <c r="I22" i="256"/>
  <c r="K22" i="256" s="1"/>
  <c r="I22" i="244"/>
  <c r="K22" i="244" s="1"/>
  <c r="I24" i="244"/>
  <c r="K24" i="244" s="1"/>
  <c r="I26" i="256"/>
  <c r="K26" i="256" s="1"/>
  <c r="I26" i="244"/>
  <c r="K26" i="244" s="1"/>
  <c r="I27" i="256"/>
  <c r="K27" i="256" s="1"/>
  <c r="I29" i="256"/>
  <c r="K29" i="256" s="1"/>
  <c r="I32" i="256"/>
  <c r="K32" i="256" s="1"/>
  <c r="I34" i="256"/>
  <c r="K34" i="256" s="1"/>
  <c r="O41" i="53"/>
  <c r="O42" i="53"/>
  <c r="O43" i="53"/>
  <c r="O44" i="53"/>
  <c r="D53" i="6" s="1"/>
  <c r="M53" i="6" s="1"/>
  <c r="O45" i="53"/>
  <c r="O46" i="53"/>
  <c r="N44" i="53"/>
  <c r="G36" i="12"/>
  <c r="G37" i="12"/>
  <c r="G38" i="12"/>
  <c r="G39" i="12"/>
  <c r="G40" i="12"/>
  <c r="G41" i="12"/>
  <c r="H14" i="256"/>
  <c r="H14" i="244"/>
  <c r="H16" i="256"/>
  <c r="AK18" i="173"/>
  <c r="H18" i="249"/>
  <c r="H22" i="256"/>
  <c r="H22" i="244"/>
  <c r="H24" i="256"/>
  <c r="AK26" i="173"/>
  <c r="H26" i="249"/>
  <c r="H29" i="256"/>
  <c r="H32" i="256"/>
  <c r="AK34" i="173"/>
  <c r="H34" i="250"/>
  <c r="AK42" i="173"/>
  <c r="I10" i="12"/>
  <c r="D36" i="12"/>
  <c r="D37" i="12"/>
  <c r="D38" i="12"/>
  <c r="D39" i="12"/>
  <c r="D40" i="12"/>
  <c r="D41" i="12"/>
  <c r="I11" i="250"/>
  <c r="D37" i="250"/>
  <c r="D38" i="250"/>
  <c r="D39" i="250"/>
  <c r="D40" i="250"/>
  <c r="D41" i="250"/>
  <c r="D42" i="250"/>
  <c r="O42" i="41"/>
  <c r="O43" i="41"/>
  <c r="O44" i="41"/>
  <c r="O45" i="41"/>
  <c r="O46" i="41"/>
  <c r="O47" i="41"/>
  <c r="I13" i="250"/>
  <c r="K13" i="250" s="1"/>
  <c r="C15" i="173"/>
  <c r="I15" i="173"/>
  <c r="N15" i="173"/>
  <c r="F15" i="173"/>
  <c r="L15" i="173"/>
  <c r="Q15" i="173"/>
  <c r="AL15" i="173"/>
  <c r="AN15" i="173" s="1"/>
  <c r="E15" i="173"/>
  <c r="P15" i="173"/>
  <c r="G15" i="173"/>
  <c r="J15" i="173"/>
  <c r="M15" i="173"/>
  <c r="I15" i="249"/>
  <c r="K15" i="249" s="1"/>
  <c r="I15" i="244"/>
  <c r="K15" i="244" s="1"/>
  <c r="I19" i="250"/>
  <c r="K19" i="250" s="1"/>
  <c r="I21" i="250"/>
  <c r="K21" i="250" s="1"/>
  <c r="F23" i="173"/>
  <c r="L23" i="173"/>
  <c r="Q23" i="173"/>
  <c r="AL23" i="173"/>
  <c r="AN23" i="173" s="1"/>
  <c r="C23" i="173"/>
  <c r="I23" i="173"/>
  <c r="N23" i="173"/>
  <c r="G23" i="173"/>
  <c r="J23" i="173"/>
  <c r="M23" i="173"/>
  <c r="E23" i="173"/>
  <c r="P23" i="173"/>
  <c r="I23" i="249"/>
  <c r="K23" i="249" s="1"/>
  <c r="I23" i="244"/>
  <c r="K23" i="244" s="1"/>
  <c r="I28" i="249"/>
  <c r="K28" i="249" s="1"/>
  <c r="C31" i="173"/>
  <c r="I31" i="173"/>
  <c r="N31" i="173"/>
  <c r="E31" i="173"/>
  <c r="J31" i="173"/>
  <c r="P31" i="173"/>
  <c r="F31" i="173"/>
  <c r="L31" i="173"/>
  <c r="Q31" i="173"/>
  <c r="AL31" i="173"/>
  <c r="AN31" i="173" s="1"/>
  <c r="G31" i="173"/>
  <c r="M31" i="173"/>
  <c r="I35" i="250"/>
  <c r="K35" i="250" s="1"/>
  <c r="C39" i="173"/>
  <c r="I39" i="173"/>
  <c r="N39" i="173"/>
  <c r="E39" i="173"/>
  <c r="J39" i="173"/>
  <c r="P39" i="173"/>
  <c r="F39" i="173"/>
  <c r="L39" i="173"/>
  <c r="Q39" i="173"/>
  <c r="AL39" i="173"/>
  <c r="AN39" i="173" s="1"/>
  <c r="G39" i="173"/>
  <c r="M39" i="173"/>
  <c r="E25" i="8"/>
  <c r="C24" i="47"/>
  <c r="D41" i="79" s="1"/>
  <c r="AA24" i="41"/>
  <c r="G19" i="8"/>
  <c r="G32" i="8"/>
  <c r="Y8" i="47"/>
  <c r="L9" i="48" s="1"/>
  <c r="B38" i="48" s="1"/>
  <c r="P8" i="47"/>
  <c r="Z8" i="47" s="1"/>
  <c r="N9" i="48" s="1"/>
  <c r="B42" i="48" s="1"/>
  <c r="M43" i="53"/>
  <c r="C29" i="47"/>
  <c r="D46" i="79" s="1"/>
  <c r="N6" i="249"/>
  <c r="E14" i="11"/>
  <c r="N41" i="53"/>
  <c r="C12" i="47"/>
  <c r="D29" i="79" s="1"/>
  <c r="AA12" i="41"/>
  <c r="I22" i="41"/>
  <c r="I14" i="41"/>
  <c r="W46" i="53"/>
  <c r="W42" i="53"/>
  <c r="C26" i="47"/>
  <c r="D43" i="79" s="1"/>
  <c r="AA26" i="41"/>
  <c r="I20" i="6"/>
  <c r="I30" i="6"/>
  <c r="B112" i="52"/>
  <c r="B132" i="52" s="1"/>
  <c r="B146" i="52" s="1"/>
  <c r="J28" i="6"/>
  <c r="K12" i="133"/>
  <c r="B12" i="133" s="1"/>
  <c r="G12" i="133" s="1"/>
  <c r="B3" i="126" s="1"/>
  <c r="B184" i="73" s="1"/>
  <c r="J13" i="133"/>
  <c r="J16" i="133" s="1"/>
  <c r="L30" i="6"/>
  <c r="L19" i="6"/>
  <c r="L20" i="6" s="1"/>
  <c r="P9" i="173"/>
  <c r="AD12" i="173" s="1"/>
  <c r="W12" i="173"/>
  <c r="L44" i="185"/>
  <c r="L45" i="185"/>
  <c r="L47" i="185"/>
  <c r="I44" i="185"/>
  <c r="V48" i="185"/>
  <c r="V16" i="234"/>
  <c r="U16" i="234"/>
  <c r="V25" i="234"/>
  <c r="U32" i="234"/>
  <c r="V32" i="234"/>
  <c r="U15" i="234"/>
  <c r="V15" i="234"/>
  <c r="U37" i="234"/>
  <c r="V37" i="234"/>
  <c r="B109" i="241"/>
  <c r="B129" i="241" s="1"/>
  <c r="B144" i="241" s="1"/>
  <c r="B106" i="241"/>
  <c r="B126" i="241" s="1"/>
  <c r="B141" i="241" s="1"/>
  <c r="Y12" i="172"/>
  <c r="AG11" i="47"/>
  <c r="AI11" i="47" s="1"/>
  <c r="Y16" i="172"/>
  <c r="AD16" i="172" s="1"/>
  <c r="AF16" i="172" s="1"/>
  <c r="AG15" i="47"/>
  <c r="AI15" i="47" s="1"/>
  <c r="Y20" i="172"/>
  <c r="AD20" i="172" s="1"/>
  <c r="AF20" i="172" s="1"/>
  <c r="AG19" i="47"/>
  <c r="AI19" i="47" s="1"/>
  <c r="Y24" i="172"/>
  <c r="AG23" i="47"/>
  <c r="AI23" i="47" s="1"/>
  <c r="Y28" i="172"/>
  <c r="AD28" i="172" s="1"/>
  <c r="AF28" i="172" s="1"/>
  <c r="Y32" i="172"/>
  <c r="AD32" i="172" s="1"/>
  <c r="AF32" i="172" s="1"/>
  <c r="Y36" i="172"/>
  <c r="AD36" i="172" s="1"/>
  <c r="AF36" i="172" s="1"/>
  <c r="AG35" i="47"/>
  <c r="AI35" i="47" s="1"/>
  <c r="Y40" i="172"/>
  <c r="AD40" i="172" s="1"/>
  <c r="AF40" i="172" s="1"/>
  <c r="H10" i="12"/>
  <c r="E36" i="12"/>
  <c r="E37" i="12"/>
  <c r="E38" i="12"/>
  <c r="E39" i="12"/>
  <c r="E40" i="12"/>
  <c r="E41" i="12"/>
  <c r="H11" i="250"/>
  <c r="E37" i="250"/>
  <c r="E39" i="250"/>
  <c r="E38" i="250"/>
  <c r="E40" i="250"/>
  <c r="E41" i="250"/>
  <c r="E42" i="250"/>
  <c r="R11" i="41"/>
  <c r="P42" i="41"/>
  <c r="P43" i="41"/>
  <c r="P44" i="41"/>
  <c r="P45" i="41"/>
  <c r="P46" i="41"/>
  <c r="P47" i="41"/>
  <c r="U17" i="41"/>
  <c r="AA19" i="41"/>
  <c r="C19" i="47"/>
  <c r="D36" i="79" s="1"/>
  <c r="U25" i="41"/>
  <c r="C35" i="47"/>
  <c r="D51" i="79" s="1"/>
  <c r="AF16" i="47"/>
  <c r="Z17" i="172"/>
  <c r="AC17" i="172" s="1"/>
  <c r="AF24" i="47"/>
  <c r="Z25" i="172"/>
  <c r="AC25" i="172" s="1"/>
  <c r="AF32" i="47"/>
  <c r="Z33" i="172"/>
  <c r="AC33" i="172" s="1"/>
  <c r="Z41" i="172"/>
  <c r="AC41" i="172" s="1"/>
  <c r="F37" i="249"/>
  <c r="F38" i="249"/>
  <c r="F39" i="249"/>
  <c r="F40" i="249"/>
  <c r="F41" i="249"/>
  <c r="F42" i="249"/>
  <c r="J37" i="250"/>
  <c r="J38" i="250"/>
  <c r="J39" i="250"/>
  <c r="J40" i="250"/>
  <c r="J41" i="250"/>
  <c r="J42" i="250"/>
  <c r="I12" i="256"/>
  <c r="K12" i="256" s="1"/>
  <c r="C14" i="173"/>
  <c r="I14" i="173"/>
  <c r="N14" i="173"/>
  <c r="F14" i="173"/>
  <c r="L14" i="173"/>
  <c r="Q14" i="173"/>
  <c r="AL14" i="173"/>
  <c r="AN14" i="173" s="1"/>
  <c r="G14" i="173"/>
  <c r="J14" i="173"/>
  <c r="M14" i="173"/>
  <c r="E14" i="173"/>
  <c r="P14" i="173"/>
  <c r="I14" i="249"/>
  <c r="K14" i="249" s="1"/>
  <c r="C16" i="173"/>
  <c r="I16" i="173"/>
  <c r="N16" i="173"/>
  <c r="F16" i="173"/>
  <c r="L16" i="173"/>
  <c r="Q16" i="173"/>
  <c r="AL16" i="173"/>
  <c r="AN16" i="173" s="1"/>
  <c r="M16" i="173"/>
  <c r="E16" i="173"/>
  <c r="P16" i="173"/>
  <c r="G16" i="173"/>
  <c r="J16" i="173"/>
  <c r="I16" i="256"/>
  <c r="K16" i="256" s="1"/>
  <c r="E18" i="173"/>
  <c r="J18" i="173"/>
  <c r="P18" i="173"/>
  <c r="F18" i="173"/>
  <c r="L18" i="173"/>
  <c r="Q18" i="173"/>
  <c r="AL18" i="173"/>
  <c r="AN18" i="173" s="1"/>
  <c r="G18" i="173"/>
  <c r="M18" i="173"/>
  <c r="C18" i="173"/>
  <c r="I18" i="173"/>
  <c r="N18" i="173"/>
  <c r="I18" i="249"/>
  <c r="K18" i="249" s="1"/>
  <c r="F20" i="173"/>
  <c r="L20" i="173"/>
  <c r="Q20" i="173"/>
  <c r="AL20" i="173"/>
  <c r="AN20" i="173" s="1"/>
  <c r="G20" i="173"/>
  <c r="M20" i="173"/>
  <c r="C20" i="173"/>
  <c r="I20" i="173"/>
  <c r="N20" i="173"/>
  <c r="P20" i="173"/>
  <c r="E20" i="173"/>
  <c r="J20" i="173"/>
  <c r="I20" i="256"/>
  <c r="K20" i="256" s="1"/>
  <c r="F22" i="173"/>
  <c r="L22" i="173"/>
  <c r="Q22" i="173"/>
  <c r="AL22" i="173"/>
  <c r="AN22" i="173" s="1"/>
  <c r="C22" i="173"/>
  <c r="I22" i="173"/>
  <c r="N22" i="173"/>
  <c r="J22" i="173"/>
  <c r="M22" i="173"/>
  <c r="E22" i="173"/>
  <c r="P22" i="173"/>
  <c r="G22" i="173"/>
  <c r="I22" i="249"/>
  <c r="K22" i="249" s="1"/>
  <c r="F24" i="173"/>
  <c r="L24" i="173"/>
  <c r="Q24" i="173"/>
  <c r="AL24" i="173"/>
  <c r="AN24" i="173" s="1"/>
  <c r="C24" i="173"/>
  <c r="I24" i="173"/>
  <c r="N24" i="173"/>
  <c r="E24" i="173"/>
  <c r="P24" i="173"/>
  <c r="G24" i="173"/>
  <c r="J24" i="173"/>
  <c r="M24" i="173"/>
  <c r="I24" i="249"/>
  <c r="K24" i="249" s="1"/>
  <c r="F26" i="173"/>
  <c r="L26" i="173"/>
  <c r="Q26" i="173"/>
  <c r="AL26" i="173"/>
  <c r="AN26" i="173" s="1"/>
  <c r="C26" i="173"/>
  <c r="I26" i="173"/>
  <c r="N26" i="173"/>
  <c r="J26" i="173"/>
  <c r="M26" i="173"/>
  <c r="E26" i="173"/>
  <c r="P26" i="173"/>
  <c r="G26" i="173"/>
  <c r="I26" i="249"/>
  <c r="K26" i="249" s="1"/>
  <c r="F28" i="173"/>
  <c r="L28" i="173"/>
  <c r="Q28" i="173"/>
  <c r="AL28" i="173"/>
  <c r="AN28" i="173" s="1"/>
  <c r="C28" i="173"/>
  <c r="I28" i="173"/>
  <c r="N28" i="173"/>
  <c r="E28" i="173"/>
  <c r="P28" i="173"/>
  <c r="G28" i="173"/>
  <c r="J28" i="173"/>
  <c r="M28" i="173"/>
  <c r="I27" i="249"/>
  <c r="K27" i="249" s="1"/>
  <c r="C30" i="173"/>
  <c r="I30" i="173"/>
  <c r="N30" i="173"/>
  <c r="E30" i="173"/>
  <c r="J30" i="173"/>
  <c r="P30" i="173"/>
  <c r="F30" i="173"/>
  <c r="L30" i="173"/>
  <c r="Q30" i="173"/>
  <c r="AL30" i="173"/>
  <c r="AN30" i="173" s="1"/>
  <c r="G30" i="173"/>
  <c r="M30" i="173"/>
  <c r="I29" i="249"/>
  <c r="K29" i="249" s="1"/>
  <c r="C32" i="173"/>
  <c r="I32" i="173"/>
  <c r="N32" i="173"/>
  <c r="E32" i="173"/>
  <c r="J32" i="173"/>
  <c r="P32" i="173"/>
  <c r="F32" i="173"/>
  <c r="L32" i="173"/>
  <c r="Q32" i="173"/>
  <c r="AL32" i="173"/>
  <c r="AN32" i="173" s="1"/>
  <c r="G32" i="173"/>
  <c r="M32" i="173"/>
  <c r="I32" i="249"/>
  <c r="K32" i="249" s="1"/>
  <c r="C34" i="173"/>
  <c r="I34" i="173"/>
  <c r="N34" i="173"/>
  <c r="E34" i="173"/>
  <c r="J34" i="173"/>
  <c r="P34" i="173"/>
  <c r="F34" i="173"/>
  <c r="L34" i="173"/>
  <c r="Q34" i="173"/>
  <c r="AL34" i="173"/>
  <c r="AN34" i="173" s="1"/>
  <c r="G34" i="173"/>
  <c r="M34" i="173"/>
  <c r="I34" i="249"/>
  <c r="K34" i="249" s="1"/>
  <c r="C36" i="173"/>
  <c r="I36" i="173"/>
  <c r="N36" i="173"/>
  <c r="E36" i="173"/>
  <c r="J36" i="173"/>
  <c r="P36" i="173"/>
  <c r="F36" i="173"/>
  <c r="L36" i="173"/>
  <c r="Q36" i="173"/>
  <c r="AL36" i="173"/>
  <c r="AN36" i="173" s="1"/>
  <c r="G36" i="173"/>
  <c r="M36" i="173"/>
  <c r="C38" i="173"/>
  <c r="I38" i="173"/>
  <c r="N38" i="173"/>
  <c r="E38" i="173"/>
  <c r="J38" i="173"/>
  <c r="P38" i="173"/>
  <c r="F38" i="173"/>
  <c r="L38" i="173"/>
  <c r="Q38" i="173"/>
  <c r="AL38" i="173"/>
  <c r="AN38" i="173" s="1"/>
  <c r="G38" i="173"/>
  <c r="M38" i="173"/>
  <c r="C40" i="173"/>
  <c r="I40" i="173"/>
  <c r="N40" i="173"/>
  <c r="E40" i="173"/>
  <c r="J40" i="173"/>
  <c r="P40" i="173"/>
  <c r="F40" i="173"/>
  <c r="L40" i="173"/>
  <c r="Q40" i="173"/>
  <c r="AL40" i="173"/>
  <c r="AN40" i="173" s="1"/>
  <c r="G40" i="173"/>
  <c r="M40" i="173"/>
  <c r="C42" i="173"/>
  <c r="I42" i="173"/>
  <c r="N42" i="173"/>
  <c r="E42" i="173"/>
  <c r="J42" i="173"/>
  <c r="P42" i="173"/>
  <c r="F42" i="173"/>
  <c r="L42" i="173"/>
  <c r="Q42" i="173"/>
  <c r="AL42" i="173"/>
  <c r="AN42" i="173" s="1"/>
  <c r="G42" i="173"/>
  <c r="M42" i="173"/>
  <c r="G37" i="249"/>
  <c r="G38" i="249"/>
  <c r="G39" i="249"/>
  <c r="G40" i="249"/>
  <c r="G41" i="249"/>
  <c r="G42" i="249"/>
  <c r="G37" i="244"/>
  <c r="G38" i="244"/>
  <c r="G39" i="244"/>
  <c r="G40" i="244"/>
  <c r="G41" i="244"/>
  <c r="G42" i="244"/>
  <c r="H12" i="249"/>
  <c r="H12" i="244"/>
  <c r="H14" i="249"/>
  <c r="AK16" i="173"/>
  <c r="H16" i="250"/>
  <c r="H20" i="249"/>
  <c r="H20" i="244"/>
  <c r="H22" i="249"/>
  <c r="AK24" i="173"/>
  <c r="H27" i="249"/>
  <c r="H29" i="249"/>
  <c r="AK32" i="173"/>
  <c r="H32" i="250"/>
  <c r="AK40" i="173"/>
  <c r="I10" i="257"/>
  <c r="D36" i="257"/>
  <c r="D37" i="257"/>
  <c r="D38" i="257"/>
  <c r="D39" i="257"/>
  <c r="D40" i="257"/>
  <c r="D41" i="257"/>
  <c r="I13" i="249"/>
  <c r="K13" i="249" s="1"/>
  <c r="I15" i="256"/>
  <c r="K15" i="256" s="1"/>
  <c r="C17" i="173"/>
  <c r="I17" i="173"/>
  <c r="N17" i="173"/>
  <c r="G17" i="173"/>
  <c r="P17" i="173"/>
  <c r="J17" i="173"/>
  <c r="Q17" i="173"/>
  <c r="AL17" i="173"/>
  <c r="AN17" i="173" s="1"/>
  <c r="E17" i="173"/>
  <c r="L17" i="173"/>
  <c r="F17" i="173"/>
  <c r="M17" i="173"/>
  <c r="I17" i="256"/>
  <c r="K17" i="256" s="1"/>
  <c r="I17" i="244"/>
  <c r="K17" i="244" s="1"/>
  <c r="I21" i="249"/>
  <c r="K21" i="249" s="1"/>
  <c r="I23" i="256"/>
  <c r="K23" i="256" s="1"/>
  <c r="F25" i="173"/>
  <c r="L25" i="173"/>
  <c r="Q25" i="173"/>
  <c r="AL25" i="173"/>
  <c r="AN25" i="173" s="1"/>
  <c r="C25" i="173"/>
  <c r="I25" i="173"/>
  <c r="N25" i="173"/>
  <c r="M25" i="173"/>
  <c r="E25" i="173"/>
  <c r="P25" i="173"/>
  <c r="G25" i="173"/>
  <c r="J25" i="173"/>
  <c r="I25" i="256"/>
  <c r="K25" i="256" s="1"/>
  <c r="I25" i="244"/>
  <c r="K25" i="244" s="1"/>
  <c r="I28" i="250"/>
  <c r="K28" i="250" s="1"/>
  <c r="C33" i="173"/>
  <c r="I33" i="173"/>
  <c r="N33" i="173"/>
  <c r="E33" i="173"/>
  <c r="J33" i="173"/>
  <c r="P33" i="173"/>
  <c r="F33" i="173"/>
  <c r="L33" i="173"/>
  <c r="Q33" i="173"/>
  <c r="AL33" i="173"/>
  <c r="AN33" i="173" s="1"/>
  <c r="G33" i="173"/>
  <c r="M33" i="173"/>
  <c r="I33" i="256"/>
  <c r="K33" i="256" s="1"/>
  <c r="C41" i="173"/>
  <c r="I41" i="173"/>
  <c r="E41" i="173"/>
  <c r="J41" i="173"/>
  <c r="F41" i="173"/>
  <c r="L41" i="173"/>
  <c r="G41" i="173"/>
  <c r="M41" i="173"/>
  <c r="N41" i="173"/>
  <c r="P41" i="173"/>
  <c r="Q41" i="173"/>
  <c r="AL41" i="173"/>
  <c r="AN41" i="173" s="1"/>
  <c r="C32" i="47"/>
  <c r="D48" i="79" s="1"/>
  <c r="M46" i="53"/>
  <c r="D40" i="8"/>
  <c r="G40" i="8" s="1"/>
  <c r="G35" i="8"/>
  <c r="J10" i="229"/>
  <c r="C20" i="47"/>
  <c r="D37" i="79" s="1"/>
  <c r="AA20" i="41"/>
  <c r="G15" i="8"/>
  <c r="G37" i="8"/>
  <c r="I20" i="41"/>
  <c r="I12" i="41"/>
  <c r="W45" i="53"/>
  <c r="C34" i="47"/>
  <c r="D50" i="79" s="1"/>
  <c r="G37" i="73"/>
  <c r="G39" i="73" s="1"/>
  <c r="G41" i="73" s="1"/>
  <c r="D46" i="73"/>
  <c r="D48" i="73" s="1"/>
  <c r="E37" i="73"/>
  <c r="E39" i="73" s="1"/>
  <c r="E41" i="73" s="1"/>
  <c r="F37" i="73"/>
  <c r="F39" i="73" s="1"/>
  <c r="F41" i="73" s="1"/>
  <c r="B50" i="133"/>
  <c r="B10" i="232" s="1"/>
  <c r="M14" i="6"/>
  <c r="N12" i="6"/>
  <c r="K19" i="6" l="1"/>
  <c r="K20" i="6" s="1"/>
  <c r="K30" i="6"/>
  <c r="K28" i="6" s="1"/>
  <c r="AD24" i="172"/>
  <c r="AF24" i="172" s="1"/>
  <c r="K119" i="6"/>
  <c r="M28" i="241"/>
  <c r="M71" i="241" s="1"/>
  <c r="G52" i="133"/>
  <c r="B12" i="232"/>
  <c r="K54" i="133"/>
  <c r="B53" i="133"/>
  <c r="F20" i="241"/>
  <c r="F28" i="241" s="1"/>
  <c r="E28" i="241"/>
  <c r="E71" i="241" s="1"/>
  <c r="M32" i="279"/>
  <c r="K16" i="133"/>
  <c r="J17" i="133"/>
  <c r="K17" i="133" s="1"/>
  <c r="H19" i="8"/>
  <c r="H16" i="8"/>
  <c r="H17" i="8"/>
  <c r="H15" i="8"/>
  <c r="H14" i="8"/>
  <c r="M198" i="73"/>
  <c r="M199" i="73" s="1"/>
  <c r="D66" i="73"/>
  <c r="E66" i="73"/>
  <c r="N19" i="256"/>
  <c r="N28" i="256"/>
  <c r="N29" i="256"/>
  <c r="N14" i="256"/>
  <c r="N15" i="256"/>
  <c r="N24" i="256"/>
  <c r="N21" i="256"/>
  <c r="N33" i="256"/>
  <c r="N18" i="256"/>
  <c r="N27" i="256"/>
  <c r="N25" i="256"/>
  <c r="N46" i="256"/>
  <c r="N26" i="256"/>
  <c r="Q6" i="256"/>
  <c r="Q11" i="256" s="1"/>
  <c r="N11" i="256"/>
  <c r="N20" i="256"/>
  <c r="N17" i="256"/>
  <c r="N34" i="256"/>
  <c r="N12" i="256"/>
  <c r="N35" i="256"/>
  <c r="N44" i="256"/>
  <c r="N22" i="256"/>
  <c r="N23" i="256"/>
  <c r="N32" i="256"/>
  <c r="N16" i="256"/>
  <c r="D52" i="73"/>
  <c r="D170" i="73" s="1"/>
  <c r="D174" i="73" s="1"/>
  <c r="E25" i="236" s="1"/>
  <c r="D24" i="279"/>
  <c r="E24" i="241"/>
  <c r="L32" i="279"/>
  <c r="M78" i="279"/>
  <c r="E35" i="279"/>
  <c r="F19" i="279"/>
  <c r="D24" i="52"/>
  <c r="L78" i="279"/>
  <c r="E73" i="241"/>
  <c r="F22" i="241"/>
  <c r="F30" i="241" s="1"/>
  <c r="E37" i="279"/>
  <c r="E80" i="279" s="1"/>
  <c r="F21" i="279"/>
  <c r="G54" i="11"/>
  <c r="G59" i="11" s="1"/>
  <c r="G61" i="11" s="1"/>
  <c r="G63" i="11" s="1"/>
  <c r="P6" i="14"/>
  <c r="N78" i="279"/>
  <c r="D32" i="279"/>
  <c r="M36" i="279"/>
  <c r="M79" i="279" s="1"/>
  <c r="O36" i="279"/>
  <c r="O79" i="279" s="1"/>
  <c r="N36" i="279"/>
  <c r="N79" i="279" s="1"/>
  <c r="O78" i="279"/>
  <c r="G45" i="279"/>
  <c r="F88" i="279"/>
  <c r="D79" i="279"/>
  <c r="E20" i="279"/>
  <c r="D36" i="279"/>
  <c r="E32" i="279"/>
  <c r="F27" i="279"/>
  <c r="D81" i="279"/>
  <c r="D38" i="279"/>
  <c r="E22" i="279"/>
  <c r="K38" i="244"/>
  <c r="K42" i="244"/>
  <c r="K39" i="244"/>
  <c r="K40" i="244"/>
  <c r="K37" i="244"/>
  <c r="K41" i="244"/>
  <c r="H40" i="281"/>
  <c r="AC18" i="281"/>
  <c r="AC20" i="281"/>
  <c r="H42" i="281"/>
  <c r="AC22" i="281"/>
  <c r="AC16" i="281"/>
  <c r="H38" i="281"/>
  <c r="H37" i="281"/>
  <c r="AC14" i="281"/>
  <c r="AC12" i="281"/>
  <c r="H39" i="281"/>
  <c r="H41" i="281"/>
  <c r="AC24" i="281"/>
  <c r="I41" i="281"/>
  <c r="I37" i="281"/>
  <c r="I42" i="281"/>
  <c r="I38" i="281"/>
  <c r="I40" i="281"/>
  <c r="K11" i="281"/>
  <c r="I39" i="281"/>
  <c r="F80" i="241"/>
  <c r="L70" i="241"/>
  <c r="F19" i="241"/>
  <c r="F27" i="241" s="1"/>
  <c r="O70" i="241"/>
  <c r="D39" i="241"/>
  <c r="D43" i="241" s="1"/>
  <c r="D47" i="241" s="1"/>
  <c r="L55" i="73" s="1"/>
  <c r="F21" i="241"/>
  <c r="F29" i="241" s="1"/>
  <c r="E72" i="241"/>
  <c r="F71" i="241"/>
  <c r="G20" i="241"/>
  <c r="G28" i="241" s="1"/>
  <c r="N70" i="241"/>
  <c r="M70" i="241"/>
  <c r="D82" i="241"/>
  <c r="B102" i="241"/>
  <c r="N22" i="278"/>
  <c r="N17" i="278"/>
  <c r="N33" i="278"/>
  <c r="N11" i="278"/>
  <c r="N28" i="278"/>
  <c r="N19" i="278"/>
  <c r="N15" i="278"/>
  <c r="N21" i="278"/>
  <c r="N44" i="278"/>
  <c r="N23" i="278"/>
  <c r="N20" i="278"/>
  <c r="N16" i="278"/>
  <c r="N12" i="278"/>
  <c r="N24" i="278"/>
  <c r="N14" i="278"/>
  <c r="N27" i="278"/>
  <c r="N32" i="278"/>
  <c r="N46" i="278"/>
  <c r="N29" i="278"/>
  <c r="N34" i="278"/>
  <c r="N25" i="278"/>
  <c r="N13" i="278"/>
  <c r="N18" i="278"/>
  <c r="Q6" i="278"/>
  <c r="N35" i="278"/>
  <c r="N26" i="278"/>
  <c r="F30" i="11"/>
  <c r="F41" i="11" s="1"/>
  <c r="F47" i="11" s="1"/>
  <c r="F48" i="11" s="1"/>
  <c r="F50" i="11" s="1"/>
  <c r="F19" i="11"/>
  <c r="F20" i="11" s="1"/>
  <c r="AD27" i="172"/>
  <c r="AF27" i="172" s="1"/>
  <c r="AD12" i="172"/>
  <c r="AF12" i="172" s="1"/>
  <c r="L46" i="185"/>
  <c r="L43" i="185"/>
  <c r="I40" i="278"/>
  <c r="K11" i="278"/>
  <c r="I39" i="278"/>
  <c r="I42" i="278"/>
  <c r="I38" i="278"/>
  <c r="I41" i="278"/>
  <c r="I37" i="278"/>
  <c r="AC14" i="278"/>
  <c r="V47" i="185"/>
  <c r="H42" i="278"/>
  <c r="AC35" i="278"/>
  <c r="H37" i="278"/>
  <c r="H41" i="278"/>
  <c r="H39" i="278"/>
  <c r="H40" i="278"/>
  <c r="H38" i="278"/>
  <c r="AC21" i="278"/>
  <c r="K56" i="73"/>
  <c r="K55" i="73"/>
  <c r="E46" i="73"/>
  <c r="E48" i="73" s="1"/>
  <c r="W11" i="52"/>
  <c r="U11" i="52"/>
  <c r="V11" i="52"/>
  <c r="G45" i="52"/>
  <c r="F88" i="52"/>
  <c r="L32" i="52"/>
  <c r="K57" i="73"/>
  <c r="K58" i="73"/>
  <c r="D90" i="52"/>
  <c r="D94" i="52" s="1"/>
  <c r="O36" i="52"/>
  <c r="O79" i="52" s="1"/>
  <c r="M36" i="52"/>
  <c r="M79" i="52" s="1"/>
  <c r="N36" i="52"/>
  <c r="N79" i="52" s="1"/>
  <c r="E37" i="52"/>
  <c r="E80" i="52" s="1"/>
  <c r="F21" i="52"/>
  <c r="M32" i="52"/>
  <c r="D38" i="52"/>
  <c r="E22" i="52"/>
  <c r="E27" i="52"/>
  <c r="D32" i="52"/>
  <c r="D36" i="52"/>
  <c r="E20" i="52"/>
  <c r="D35" i="52"/>
  <c r="E19" i="52"/>
  <c r="V44" i="185"/>
  <c r="E20" i="63"/>
  <c r="J20" i="63" s="1"/>
  <c r="Q47" i="279" s="1"/>
  <c r="Z3" i="172"/>
  <c r="AB3" i="172" s="1"/>
  <c r="M5" i="4" s="1"/>
  <c r="AC3" i="47"/>
  <c r="AE3" i="47" s="1"/>
  <c r="L5" i="4" s="1"/>
  <c r="AC4" i="47"/>
  <c r="AE4" i="47" s="1"/>
  <c r="L6" i="4" s="1"/>
  <c r="AC2" i="47"/>
  <c r="AE2" i="47" s="1"/>
  <c r="L4" i="4" s="1"/>
  <c r="Z2" i="172"/>
  <c r="AB2" i="172" s="1"/>
  <c r="M4" i="4" s="1"/>
  <c r="Z4" i="172"/>
  <c r="AB4" i="172" s="1"/>
  <c r="M6" i="4" s="1"/>
  <c r="J45" i="185"/>
  <c r="U15" i="41"/>
  <c r="U45" i="41" s="1"/>
  <c r="T44" i="185"/>
  <c r="I26" i="41"/>
  <c r="F17" i="126"/>
  <c r="G17" i="126" s="1"/>
  <c r="D23" i="126" s="1"/>
  <c r="F23" i="126" s="1"/>
  <c r="E41" i="126" s="1"/>
  <c r="Z13" i="185"/>
  <c r="Z44" i="185" s="1"/>
  <c r="S44" i="185"/>
  <c r="V45" i="185"/>
  <c r="H93" i="6"/>
  <c r="H94" i="6" s="1"/>
  <c r="I9" i="6"/>
  <c r="S39" i="241"/>
  <c r="B14" i="242"/>
  <c r="B132" i="241"/>
  <c r="B147" i="241" s="1"/>
  <c r="B11" i="242"/>
  <c r="B10" i="242"/>
  <c r="S47" i="52"/>
  <c r="G92" i="52"/>
  <c r="G74" i="52"/>
  <c r="G58" i="52"/>
  <c r="G108" i="52"/>
  <c r="G128" i="52" s="1"/>
  <c r="G142" i="52" s="1"/>
  <c r="H15" i="52"/>
  <c r="B9" i="66"/>
  <c r="B94" i="52"/>
  <c r="B113" i="52"/>
  <c r="B133" i="52" s="1"/>
  <c r="B147" i="52" s="1"/>
  <c r="B97" i="52"/>
  <c r="AD35" i="172"/>
  <c r="AF35" i="172" s="1"/>
  <c r="AD19" i="172"/>
  <c r="AF19" i="172" s="1"/>
  <c r="L49" i="62"/>
  <c r="AC26" i="257"/>
  <c r="AC21" i="249"/>
  <c r="AC17" i="244"/>
  <c r="AC12" i="12"/>
  <c r="AC27" i="249"/>
  <c r="AC20" i="256"/>
  <c r="AC12" i="256"/>
  <c r="C28" i="172"/>
  <c r="AA11" i="41"/>
  <c r="AA8" i="41" s="1" a="1"/>
  <c r="AA8" i="41" s="1"/>
  <c r="D14" i="248" s="1"/>
  <c r="R42" i="41"/>
  <c r="R43" i="41"/>
  <c r="R44" i="41"/>
  <c r="R45" i="41"/>
  <c r="R46" i="41"/>
  <c r="R47" i="41"/>
  <c r="C11" i="47"/>
  <c r="L28" i="6"/>
  <c r="I31" i="6"/>
  <c r="N11" i="249"/>
  <c r="N15" i="249"/>
  <c r="N19" i="249"/>
  <c r="N23" i="249"/>
  <c r="N35" i="249"/>
  <c r="N44" i="249"/>
  <c r="N46" i="249"/>
  <c r="Q6" i="249"/>
  <c r="N14" i="249"/>
  <c r="N18" i="249"/>
  <c r="N22" i="249"/>
  <c r="N26" i="249"/>
  <c r="N29" i="249"/>
  <c r="N34" i="249"/>
  <c r="N13" i="249"/>
  <c r="N17" i="249"/>
  <c r="N21" i="249"/>
  <c r="N25" i="249"/>
  <c r="N28" i="249"/>
  <c r="N33" i="249"/>
  <c r="N12" i="249"/>
  <c r="N16" i="249"/>
  <c r="N20" i="249"/>
  <c r="N24" i="249"/>
  <c r="N27" i="249"/>
  <c r="N32" i="249"/>
  <c r="C31" i="172"/>
  <c r="R29" i="47"/>
  <c r="W29" i="47"/>
  <c r="S29" i="47"/>
  <c r="X29" i="47"/>
  <c r="T29" i="47"/>
  <c r="Y29" i="47"/>
  <c r="V29" i="47"/>
  <c r="Z29" i="47"/>
  <c r="AC32" i="257"/>
  <c r="AC23" i="244"/>
  <c r="AC18" i="12"/>
  <c r="AC15" i="249"/>
  <c r="AC26" i="244"/>
  <c r="AC22" i="244"/>
  <c r="AC18" i="244"/>
  <c r="AC14" i="244"/>
  <c r="C34" i="172"/>
  <c r="R33" i="47"/>
  <c r="W33" i="47"/>
  <c r="S33" i="47"/>
  <c r="X33" i="47"/>
  <c r="T33" i="47"/>
  <c r="Y33" i="47"/>
  <c r="V33" i="47"/>
  <c r="Z33" i="47"/>
  <c r="C18" i="172"/>
  <c r="R17" i="47"/>
  <c r="W17" i="47"/>
  <c r="S17" i="47"/>
  <c r="X17" i="47"/>
  <c r="T17" i="47"/>
  <c r="Y17" i="47"/>
  <c r="V17" i="47"/>
  <c r="Z17" i="47"/>
  <c r="AD39" i="172"/>
  <c r="AF39" i="172" s="1"/>
  <c r="AD31" i="172"/>
  <c r="AF31" i="172" s="1"/>
  <c r="AD23" i="172"/>
  <c r="AF23" i="172" s="1"/>
  <c r="AD15" i="172"/>
  <c r="AF15" i="172" s="1"/>
  <c r="C19" i="172"/>
  <c r="R18" i="47"/>
  <c r="W18" i="47"/>
  <c r="S18" i="47"/>
  <c r="X18" i="47"/>
  <c r="T18" i="47"/>
  <c r="Y18" i="47"/>
  <c r="V18" i="47"/>
  <c r="Z18" i="47"/>
  <c r="C37" i="172"/>
  <c r="C23" i="172"/>
  <c r="R22" i="47"/>
  <c r="W22" i="47"/>
  <c r="S22" i="47"/>
  <c r="X22" i="47"/>
  <c r="T22" i="47"/>
  <c r="Y22" i="47"/>
  <c r="V22" i="47"/>
  <c r="Z22" i="47"/>
  <c r="D50" i="8"/>
  <c r="D66" i="8" s="1"/>
  <c r="AC35" i="256"/>
  <c r="AC30" i="257"/>
  <c r="AC25" i="250"/>
  <c r="AC21" i="244"/>
  <c r="AC16" i="12"/>
  <c r="AC13" i="256"/>
  <c r="M46" i="173"/>
  <c r="M45" i="173"/>
  <c r="M49" i="173"/>
  <c r="M44" i="173"/>
  <c r="M48" i="173"/>
  <c r="M47" i="173"/>
  <c r="L45" i="173"/>
  <c r="L49" i="173"/>
  <c r="L44" i="173"/>
  <c r="L48" i="173"/>
  <c r="L47" i="173"/>
  <c r="L46" i="173"/>
  <c r="C47" i="173"/>
  <c r="C46" i="173"/>
  <c r="C45" i="173"/>
  <c r="C49" i="173"/>
  <c r="C44" i="173"/>
  <c r="C48" i="173"/>
  <c r="AC31" i="12"/>
  <c r="AC27" i="12"/>
  <c r="AC24" i="256"/>
  <c r="AC19" i="12"/>
  <c r="AC15" i="12"/>
  <c r="AC11" i="12"/>
  <c r="C32" i="172"/>
  <c r="E40" i="10"/>
  <c r="K40" i="10" s="1"/>
  <c r="K27" i="10"/>
  <c r="E32" i="10"/>
  <c r="C15" i="172"/>
  <c r="R14" i="47"/>
  <c r="W14" i="47"/>
  <c r="S14" i="47"/>
  <c r="X14" i="47"/>
  <c r="T14" i="47"/>
  <c r="Y14" i="47"/>
  <c r="V14" i="47"/>
  <c r="Z14" i="47"/>
  <c r="AC22" i="12"/>
  <c r="AC19" i="249"/>
  <c r="I38" i="244"/>
  <c r="I40" i="244"/>
  <c r="I42" i="244"/>
  <c r="I37" i="244"/>
  <c r="I39" i="244"/>
  <c r="I41" i="244"/>
  <c r="AC31" i="257"/>
  <c r="AC27" i="257"/>
  <c r="AC23" i="257"/>
  <c r="AC19" i="257"/>
  <c r="AC15" i="257"/>
  <c r="AC11" i="257"/>
  <c r="S43" i="234"/>
  <c r="S47" i="234"/>
  <c r="S44" i="234"/>
  <c r="S45" i="234"/>
  <c r="S42" i="234"/>
  <c r="S46" i="234"/>
  <c r="I13" i="41"/>
  <c r="M30" i="6"/>
  <c r="M19" i="6"/>
  <c r="M20" i="6" s="1"/>
  <c r="AC34" i="257"/>
  <c r="AC28" i="250"/>
  <c r="AC25" i="244"/>
  <c r="AC20" i="12"/>
  <c r="AC17" i="256"/>
  <c r="AC34" i="249"/>
  <c r="AC26" i="249"/>
  <c r="AC18" i="249"/>
  <c r="C36" i="172"/>
  <c r="R35" i="47"/>
  <c r="W35" i="47"/>
  <c r="S35" i="47"/>
  <c r="X35" i="47"/>
  <c r="T35" i="47"/>
  <c r="Y35" i="47"/>
  <c r="V35" i="47"/>
  <c r="Z35" i="47"/>
  <c r="V17" i="41"/>
  <c r="I17" i="41" s="1"/>
  <c r="K13" i="133"/>
  <c r="B13" i="133" s="1"/>
  <c r="G13" i="133" s="1"/>
  <c r="B3" i="132" s="1"/>
  <c r="B49" i="126" s="1"/>
  <c r="B11" i="66"/>
  <c r="C13" i="172"/>
  <c r="R12" i="47"/>
  <c r="W12" i="47"/>
  <c r="S12" i="47"/>
  <c r="X12" i="47"/>
  <c r="T12" i="47"/>
  <c r="Y12" i="47"/>
  <c r="V12" i="47"/>
  <c r="Z12" i="47"/>
  <c r="D31" i="14"/>
  <c r="E31" i="14" s="1"/>
  <c r="D30" i="14"/>
  <c r="E30" i="14" s="1"/>
  <c r="H21" i="8"/>
  <c r="H23" i="8"/>
  <c r="H32" i="8"/>
  <c r="H37" i="8"/>
  <c r="H45" i="8"/>
  <c r="H25" i="8"/>
  <c r="H30" i="8"/>
  <c r="H43" i="8"/>
  <c r="H46" i="8"/>
  <c r="H31" i="8"/>
  <c r="H44" i="8"/>
  <c r="H38" i="8"/>
  <c r="H22" i="8"/>
  <c r="H13" i="8"/>
  <c r="H33" i="8"/>
  <c r="AC35" i="250"/>
  <c r="AC26" i="12"/>
  <c r="AC23" i="249"/>
  <c r="AC13" i="250"/>
  <c r="K10" i="12"/>
  <c r="I36" i="12"/>
  <c r="I37" i="12"/>
  <c r="I38" i="12"/>
  <c r="I39" i="12"/>
  <c r="I40" i="12"/>
  <c r="I41" i="12"/>
  <c r="AC34" i="256"/>
  <c r="AC29" i="256"/>
  <c r="AC26" i="256"/>
  <c r="AC22" i="256"/>
  <c r="AC18" i="256"/>
  <c r="AC14" i="256"/>
  <c r="H48" i="8"/>
  <c r="D32" i="62"/>
  <c r="D40" i="48"/>
  <c r="G31" i="6"/>
  <c r="H35" i="8"/>
  <c r="C17" i="172"/>
  <c r="R16" i="47"/>
  <c r="W16" i="47"/>
  <c r="S16" i="47"/>
  <c r="X16" i="47"/>
  <c r="T16" i="47"/>
  <c r="Y16" i="47"/>
  <c r="V16" i="47"/>
  <c r="Z16" i="47"/>
  <c r="AC33" i="250"/>
  <c r="AC24" i="12"/>
  <c r="AC21" i="256"/>
  <c r="G46" i="173"/>
  <c r="G45" i="173"/>
  <c r="G49" i="173"/>
  <c r="G44" i="173"/>
  <c r="G48" i="173"/>
  <c r="G47" i="173"/>
  <c r="J44" i="173"/>
  <c r="J48" i="173"/>
  <c r="J47" i="173"/>
  <c r="J46" i="173"/>
  <c r="J45" i="173"/>
  <c r="J49" i="173"/>
  <c r="F45" i="173"/>
  <c r="F49" i="173"/>
  <c r="F44" i="173"/>
  <c r="F48" i="173"/>
  <c r="F47" i="173"/>
  <c r="F46" i="173"/>
  <c r="AC34" i="250"/>
  <c r="AC29" i="250"/>
  <c r="AC26" i="250"/>
  <c r="AC22" i="250"/>
  <c r="C40" i="172"/>
  <c r="N6" i="250"/>
  <c r="G14" i="11"/>
  <c r="F51" i="6"/>
  <c r="J51" i="6"/>
  <c r="G51" i="6"/>
  <c r="K51" i="6"/>
  <c r="H51" i="6"/>
  <c r="L51" i="6"/>
  <c r="I51" i="6"/>
  <c r="M51" i="6"/>
  <c r="C41" i="172"/>
  <c r="AC30" i="12"/>
  <c r="AC17" i="249"/>
  <c r="AC12" i="257"/>
  <c r="AC18" i="250"/>
  <c r="AC14" i="250"/>
  <c r="C38" i="172"/>
  <c r="C22" i="172"/>
  <c r="R21" i="47"/>
  <c r="W21" i="47"/>
  <c r="S21" i="47"/>
  <c r="X21" i="47"/>
  <c r="T21" i="47"/>
  <c r="Y21" i="47"/>
  <c r="V21" i="47"/>
  <c r="Z21" i="47"/>
  <c r="H36" i="257"/>
  <c r="H37" i="257"/>
  <c r="H38" i="257"/>
  <c r="H39" i="257"/>
  <c r="H40" i="257"/>
  <c r="H41" i="257"/>
  <c r="AD37" i="172"/>
  <c r="AF37" i="172" s="1"/>
  <c r="AD29" i="172"/>
  <c r="AF29" i="172" s="1"/>
  <c r="AD21" i="172"/>
  <c r="AF21" i="172" s="1"/>
  <c r="AD13" i="172"/>
  <c r="AF13" i="172" s="1"/>
  <c r="T42" i="234"/>
  <c r="T46" i="234"/>
  <c r="T43" i="234"/>
  <c r="T47" i="234"/>
  <c r="U12" i="234"/>
  <c r="T44" i="234"/>
  <c r="V12" i="234"/>
  <c r="T45" i="234"/>
  <c r="I21" i="41"/>
  <c r="G50" i="133"/>
  <c r="B3" i="242" s="1"/>
  <c r="C35" i="172"/>
  <c r="R34" i="47"/>
  <c r="W34" i="47"/>
  <c r="S34" i="47"/>
  <c r="X34" i="47"/>
  <c r="T34" i="47"/>
  <c r="Y34" i="47"/>
  <c r="V34" i="47"/>
  <c r="Z34" i="47"/>
  <c r="AC28" i="12"/>
  <c r="AC25" i="256"/>
  <c r="AC15" i="256"/>
  <c r="I36" i="257"/>
  <c r="I37" i="257"/>
  <c r="I38" i="257"/>
  <c r="I39" i="257"/>
  <c r="I40" i="257"/>
  <c r="I41" i="257"/>
  <c r="K10" i="257"/>
  <c r="AC32" i="249"/>
  <c r="AC24" i="249"/>
  <c r="AC16" i="256"/>
  <c r="V25" i="41"/>
  <c r="I25" i="41" s="1"/>
  <c r="H36" i="12"/>
  <c r="H37" i="12"/>
  <c r="H38" i="12"/>
  <c r="H39" i="12"/>
  <c r="H40" i="12"/>
  <c r="H41" i="12"/>
  <c r="C25" i="172"/>
  <c r="R24" i="47"/>
  <c r="W24" i="47"/>
  <c r="S24" i="47"/>
  <c r="X24" i="47"/>
  <c r="T24" i="47"/>
  <c r="Y24" i="47"/>
  <c r="V24" i="47"/>
  <c r="Z24" i="47"/>
  <c r="AC34" i="12"/>
  <c r="AC21" i="250"/>
  <c r="AC16" i="257"/>
  <c r="K11" i="250"/>
  <c r="I38" i="250"/>
  <c r="I40" i="250"/>
  <c r="I37" i="250"/>
  <c r="I39" i="250"/>
  <c r="I41" i="250"/>
  <c r="I42" i="250"/>
  <c r="I53" i="6"/>
  <c r="F53" i="6"/>
  <c r="G53" i="6"/>
  <c r="K53" i="6"/>
  <c r="H53" i="6"/>
  <c r="L53" i="6"/>
  <c r="J53" i="6"/>
  <c r="AC24" i="244"/>
  <c r="AC20" i="244"/>
  <c r="AC16" i="244"/>
  <c r="AC12" i="244"/>
  <c r="C26" i="172"/>
  <c r="R25" i="47"/>
  <c r="W25" i="47"/>
  <c r="S25" i="47"/>
  <c r="X25" i="47"/>
  <c r="T25" i="47"/>
  <c r="Y25" i="47"/>
  <c r="V25" i="47"/>
  <c r="Z25" i="47"/>
  <c r="H37" i="249"/>
  <c r="H38" i="249"/>
  <c r="H39" i="249"/>
  <c r="H40" i="249"/>
  <c r="H41" i="249"/>
  <c r="H42" i="249"/>
  <c r="H50" i="8"/>
  <c r="E63" i="8"/>
  <c r="H40" i="8"/>
  <c r="AC32" i="12"/>
  <c r="AC28" i="256"/>
  <c r="AC19" i="256"/>
  <c r="AC14" i="257"/>
  <c r="P44" i="173"/>
  <c r="P48" i="173"/>
  <c r="P47" i="173"/>
  <c r="P46" i="173"/>
  <c r="P45" i="173"/>
  <c r="P49" i="173"/>
  <c r="N47" i="173"/>
  <c r="N46" i="173"/>
  <c r="N45" i="173"/>
  <c r="N49" i="173"/>
  <c r="N44" i="173"/>
  <c r="N48" i="173"/>
  <c r="AC33" i="257"/>
  <c r="AC29" i="257"/>
  <c r="AC25" i="257"/>
  <c r="AC21" i="257"/>
  <c r="AC17" i="257"/>
  <c r="AC13" i="257"/>
  <c r="C16" i="172"/>
  <c r="R15" i="47"/>
  <c r="W15" i="47"/>
  <c r="S15" i="47"/>
  <c r="X15" i="47"/>
  <c r="T15" i="47"/>
  <c r="Y15" i="47"/>
  <c r="V15" i="47"/>
  <c r="Z15" i="47"/>
  <c r="H37" i="256"/>
  <c r="H38" i="256"/>
  <c r="H39" i="256"/>
  <c r="H40" i="256"/>
  <c r="H41" i="256"/>
  <c r="H42" i="256"/>
  <c r="B36" i="236"/>
  <c r="C29" i="172"/>
  <c r="R27" i="47"/>
  <c r="W27" i="47"/>
  <c r="S27" i="47"/>
  <c r="X27" i="47"/>
  <c r="T27" i="47"/>
  <c r="Y27" i="47"/>
  <c r="V27" i="47"/>
  <c r="Z27" i="47"/>
  <c r="D32" i="10"/>
  <c r="D40" i="10"/>
  <c r="J40" i="10" s="1"/>
  <c r="J27" i="10"/>
  <c r="AC35" i="249"/>
  <c r="AC25" i="249"/>
  <c r="AC20" i="257"/>
  <c r="AC15" i="250"/>
  <c r="AC33" i="12"/>
  <c r="AC25" i="12"/>
  <c r="AC21" i="12"/>
  <c r="AC17" i="12"/>
  <c r="AC13" i="12"/>
  <c r="R44" i="234"/>
  <c r="R45" i="234"/>
  <c r="R42" i="234"/>
  <c r="R46" i="234"/>
  <c r="R43" i="234"/>
  <c r="R47" i="234"/>
  <c r="O12" i="6"/>
  <c r="O53" i="6" s="1"/>
  <c r="N14" i="6"/>
  <c r="N53" i="6"/>
  <c r="B51" i="133"/>
  <c r="F46" i="73"/>
  <c r="F48" i="73" s="1"/>
  <c r="G46" i="73"/>
  <c r="G48" i="73" s="1"/>
  <c r="C21" i="172"/>
  <c r="R20" i="47"/>
  <c r="W20" i="47"/>
  <c r="S20" i="47"/>
  <c r="X20" i="47"/>
  <c r="T20" i="47"/>
  <c r="Y20" i="47"/>
  <c r="V20" i="47"/>
  <c r="Z20" i="47"/>
  <c r="K10" i="229"/>
  <c r="C39" i="172"/>
  <c r="C33" i="172"/>
  <c r="R32" i="47"/>
  <c r="W32" i="47"/>
  <c r="S32" i="47"/>
  <c r="X32" i="47"/>
  <c r="T32" i="47"/>
  <c r="Y32" i="47"/>
  <c r="V32" i="47"/>
  <c r="Z32" i="47"/>
  <c r="AC33" i="256"/>
  <c r="AC23" i="256"/>
  <c r="AC18" i="257"/>
  <c r="AC13" i="249"/>
  <c r="AC29" i="249"/>
  <c r="AC22" i="249"/>
  <c r="AC14" i="249"/>
  <c r="C20" i="172"/>
  <c r="R19" i="47"/>
  <c r="W19" i="47"/>
  <c r="S19" i="47"/>
  <c r="X19" i="47"/>
  <c r="T19" i="47"/>
  <c r="Y19" i="47"/>
  <c r="V19" i="47"/>
  <c r="Z19" i="47"/>
  <c r="H37" i="250"/>
  <c r="H38" i="250"/>
  <c r="H39" i="250"/>
  <c r="H40" i="250"/>
  <c r="H41" i="250"/>
  <c r="H42" i="250"/>
  <c r="C27" i="172"/>
  <c r="R26" i="47"/>
  <c r="W26" i="47"/>
  <c r="S26" i="47"/>
  <c r="X26" i="47"/>
  <c r="T26" i="47"/>
  <c r="Y26" i="47"/>
  <c r="V26" i="47"/>
  <c r="Z26" i="47"/>
  <c r="E30" i="11"/>
  <c r="E41" i="11" s="1"/>
  <c r="E19" i="11"/>
  <c r="E20" i="11" s="1"/>
  <c r="AC28" i="249"/>
  <c r="AC24" i="257"/>
  <c r="AC19" i="250"/>
  <c r="AC15" i="244"/>
  <c r="AC32" i="256"/>
  <c r="AC27" i="256"/>
  <c r="AC23" i="12"/>
  <c r="AC20" i="249"/>
  <c r="AC16" i="249"/>
  <c r="AC12" i="249"/>
  <c r="G27" i="229"/>
  <c r="H27" i="229" s="1"/>
  <c r="I27" i="229" s="1"/>
  <c r="J27" i="229" s="1"/>
  <c r="K27" i="229" s="1"/>
  <c r="L27" i="229" s="1"/>
  <c r="M27" i="229" s="1"/>
  <c r="N27" i="229" s="1"/>
  <c r="O27" i="229" s="1"/>
  <c r="P27" i="229" s="1"/>
  <c r="C28" i="229"/>
  <c r="B111" i="52"/>
  <c r="B131" i="52" s="1"/>
  <c r="B145" i="52" s="1"/>
  <c r="AC22" i="257"/>
  <c r="AC17" i="250"/>
  <c r="AC13" i="244"/>
  <c r="E44" i="173"/>
  <c r="E48" i="173"/>
  <c r="E47" i="173"/>
  <c r="E46" i="173"/>
  <c r="E45" i="173"/>
  <c r="E49" i="173"/>
  <c r="Q45" i="173"/>
  <c r="Q49" i="173"/>
  <c r="Q44" i="173"/>
  <c r="Q48" i="173"/>
  <c r="Q47" i="173"/>
  <c r="Q46" i="173"/>
  <c r="I47" i="173"/>
  <c r="I46" i="173"/>
  <c r="I45" i="173"/>
  <c r="I49" i="173"/>
  <c r="I44" i="173"/>
  <c r="I48" i="173"/>
  <c r="K11" i="256"/>
  <c r="I37" i="256"/>
  <c r="I38" i="256"/>
  <c r="I39" i="256"/>
  <c r="I40" i="256"/>
  <c r="I41" i="256"/>
  <c r="I42" i="256"/>
  <c r="C24" i="172"/>
  <c r="R23" i="47"/>
  <c r="W23" i="47"/>
  <c r="S23" i="47"/>
  <c r="X23" i="47"/>
  <c r="T23" i="47"/>
  <c r="Y23" i="47"/>
  <c r="V23" i="47"/>
  <c r="Z23" i="47"/>
  <c r="H37" i="244"/>
  <c r="H38" i="244"/>
  <c r="H39" i="244"/>
  <c r="H40" i="244"/>
  <c r="H41" i="244"/>
  <c r="H42" i="244"/>
  <c r="I15" i="241"/>
  <c r="I84" i="241" s="1"/>
  <c r="H50" i="241"/>
  <c r="H66" i="241"/>
  <c r="H100" i="241"/>
  <c r="H120" i="241" s="1"/>
  <c r="H135" i="241" s="1"/>
  <c r="AC33" i="249"/>
  <c r="AC28" i="257"/>
  <c r="AC23" i="250"/>
  <c r="AC19" i="244"/>
  <c r="AC14" i="12"/>
  <c r="I37" i="249"/>
  <c r="I38" i="249"/>
  <c r="I39" i="249"/>
  <c r="I40" i="249"/>
  <c r="I41" i="249"/>
  <c r="I42" i="249"/>
  <c r="K11" i="249"/>
  <c r="AC32" i="250"/>
  <c r="AC27" i="250"/>
  <c r="AC24" i="250"/>
  <c r="AC20" i="250"/>
  <c r="AC16" i="250"/>
  <c r="AC12" i="250"/>
  <c r="C30" i="172"/>
  <c r="R28" i="47"/>
  <c r="W28" i="47"/>
  <c r="S28" i="47"/>
  <c r="X28" i="47"/>
  <c r="T28" i="47"/>
  <c r="Y28" i="47"/>
  <c r="V28" i="47"/>
  <c r="Z28" i="47"/>
  <c r="C14" i="172"/>
  <c r="R13" i="47"/>
  <c r="W13" i="47"/>
  <c r="S13" i="47"/>
  <c r="X13" i="47"/>
  <c r="T13" i="47"/>
  <c r="Y13" i="47"/>
  <c r="V13" i="47"/>
  <c r="Z13" i="47"/>
  <c r="AD41" i="172"/>
  <c r="AF41" i="172" s="1"/>
  <c r="AD33" i="172"/>
  <c r="AF33" i="172" s="1"/>
  <c r="AD25" i="172"/>
  <c r="AF25" i="172" s="1"/>
  <c r="AD17" i="172"/>
  <c r="AF17" i="172" s="1"/>
  <c r="V43" i="185"/>
  <c r="U44" i="41" l="1"/>
  <c r="U43" i="41"/>
  <c r="D22" i="126"/>
  <c r="Q17" i="256"/>
  <c r="S17" i="256" s="1"/>
  <c r="U42" i="41"/>
  <c r="U47" i="41"/>
  <c r="U46" i="41"/>
  <c r="Q47" i="52"/>
  <c r="Q39" i="241"/>
  <c r="G51" i="133"/>
  <c r="B11" i="232"/>
  <c r="G53" i="133"/>
  <c r="B13" i="232"/>
  <c r="K55" i="133"/>
  <c r="B54" i="133"/>
  <c r="D118" i="241"/>
  <c r="D132" i="241" s="1"/>
  <c r="D53" i="241"/>
  <c r="E52" i="241" s="1"/>
  <c r="N40" i="256"/>
  <c r="Q16" i="256"/>
  <c r="S16" i="256" s="1"/>
  <c r="N42" i="256"/>
  <c r="N38" i="256"/>
  <c r="Q26" i="256"/>
  <c r="Q32" i="256"/>
  <c r="S32" i="256" s="1"/>
  <c r="Q23" i="256"/>
  <c r="S23" i="256" s="1"/>
  <c r="N37" i="256"/>
  <c r="Q35" i="256"/>
  <c r="S35" i="256" s="1"/>
  <c r="Q27" i="256"/>
  <c r="S27" i="256" s="1"/>
  <c r="Q12" i="256"/>
  <c r="Q13" i="256"/>
  <c r="S13" i="256" s="1"/>
  <c r="Q22" i="256"/>
  <c r="S22" i="256" s="1"/>
  <c r="T22" i="256" s="1"/>
  <c r="V22" i="256" s="1"/>
  <c r="Q19" i="256"/>
  <c r="S19" i="256" s="1"/>
  <c r="Q33" i="256"/>
  <c r="S33" i="256" s="1"/>
  <c r="Q24" i="256"/>
  <c r="S24" i="256" s="1"/>
  <c r="Q25" i="256"/>
  <c r="Q34" i="256"/>
  <c r="S34" i="256" s="1"/>
  <c r="Q18" i="256"/>
  <c r="S18" i="256" s="1"/>
  <c r="Q15" i="256"/>
  <c r="S15" i="256" s="1"/>
  <c r="Q28" i="256"/>
  <c r="Q20" i="256"/>
  <c r="S20" i="256" s="1"/>
  <c r="T20" i="256" s="1"/>
  <c r="V20" i="256" s="1"/>
  <c r="Q21" i="256"/>
  <c r="S21" i="256" s="1"/>
  <c r="Q29" i="256"/>
  <c r="S29" i="256" s="1"/>
  <c r="Q14" i="256"/>
  <c r="S14" i="256" s="1"/>
  <c r="T14" i="256" s="1"/>
  <c r="V14" i="256" s="1"/>
  <c r="N39" i="256"/>
  <c r="N41" i="256"/>
  <c r="D90" i="279"/>
  <c r="D104" i="279" s="1"/>
  <c r="D47" i="279"/>
  <c r="D51" i="279" s="1"/>
  <c r="D55" i="279" s="1"/>
  <c r="D61" i="279" s="1"/>
  <c r="E60" i="279" s="1"/>
  <c r="F22" i="279"/>
  <c r="E38" i="279"/>
  <c r="E81" i="279" s="1"/>
  <c r="G21" i="279"/>
  <c r="F37" i="279"/>
  <c r="F80" i="279" s="1"/>
  <c r="G19" i="279"/>
  <c r="F35" i="279"/>
  <c r="E36" i="279"/>
  <c r="E79" i="279" s="1"/>
  <c r="F20" i="279"/>
  <c r="H45" i="279"/>
  <c r="G88" i="279"/>
  <c r="E24" i="279"/>
  <c r="F73" i="241"/>
  <c r="G22" i="241"/>
  <c r="G30" i="241" s="1"/>
  <c r="E78" i="279"/>
  <c r="G27" i="279"/>
  <c r="F32" i="279"/>
  <c r="K41" i="281"/>
  <c r="K37" i="281"/>
  <c r="K38" i="281"/>
  <c r="K40" i="281"/>
  <c r="AC11" i="281"/>
  <c r="K42" i="281"/>
  <c r="K39" i="281"/>
  <c r="D86" i="241"/>
  <c r="D96" i="241"/>
  <c r="D89" i="241"/>
  <c r="D95" i="241"/>
  <c r="D93" i="241"/>
  <c r="D94" i="241"/>
  <c r="D91" i="241"/>
  <c r="D92" i="241"/>
  <c r="D87" i="241"/>
  <c r="D90" i="241"/>
  <c r="G80" i="241"/>
  <c r="D88" i="241"/>
  <c r="G19" i="241"/>
  <c r="G27" i="241" s="1"/>
  <c r="F24" i="241"/>
  <c r="G21" i="241"/>
  <c r="G29" i="241" s="1"/>
  <c r="F72" i="241"/>
  <c r="G71" i="241"/>
  <c r="H20" i="241"/>
  <c r="H28" i="241" s="1"/>
  <c r="B9" i="242"/>
  <c r="B122" i="241"/>
  <c r="B137" i="241" s="1"/>
  <c r="Q24" i="278"/>
  <c r="S24" i="278" s="1"/>
  <c r="Q21" i="278"/>
  <c r="Q20" i="278"/>
  <c r="Q25" i="278"/>
  <c r="S25" i="278" s="1"/>
  <c r="Q22" i="278"/>
  <c r="Q13" i="278"/>
  <c r="S13" i="278" s="1"/>
  <c r="Q14" i="278"/>
  <c r="Q15" i="278"/>
  <c r="S15" i="278" s="1"/>
  <c r="Q26" i="278"/>
  <c r="S26" i="278" s="1"/>
  <c r="Q35" i="278"/>
  <c r="Q18" i="278"/>
  <c r="S18" i="278" s="1"/>
  <c r="Q29" i="278"/>
  <c r="S29" i="278" s="1"/>
  <c r="Q11" i="278"/>
  <c r="Q33" i="278"/>
  <c r="S33" i="278" s="1"/>
  <c r="Q19" i="278"/>
  <c r="Q27" i="278"/>
  <c r="S27" i="278" s="1"/>
  <c r="Q12" i="278"/>
  <c r="S12" i="278" s="1"/>
  <c r="Q23" i="278"/>
  <c r="Q34" i="278"/>
  <c r="S34" i="278" s="1"/>
  <c r="Q28" i="278"/>
  <c r="S28" i="278" s="1"/>
  <c r="T28" i="278" s="1"/>
  <c r="V28" i="278" s="1"/>
  <c r="Q16" i="278"/>
  <c r="S16" i="278" s="1"/>
  <c r="Q17" i="278"/>
  <c r="Q32" i="278"/>
  <c r="S32" i="278" s="1"/>
  <c r="N41" i="278"/>
  <c r="N42" i="278"/>
  <c r="N38" i="278"/>
  <c r="N40" i="278"/>
  <c r="N39" i="278"/>
  <c r="N37" i="278"/>
  <c r="D103" i="52"/>
  <c r="K42" i="278"/>
  <c r="K38" i="278"/>
  <c r="K41" i="278"/>
  <c r="K37" i="278"/>
  <c r="AC11" i="278"/>
  <c r="K39" i="278"/>
  <c r="K40" i="278"/>
  <c r="D33" i="14"/>
  <c r="E33" i="14" s="1"/>
  <c r="D40" i="14"/>
  <c r="K60" i="73"/>
  <c r="E52" i="73"/>
  <c r="E170" i="73" s="1"/>
  <c r="E174" i="73" s="1"/>
  <c r="H45" i="52"/>
  <c r="G88" i="52"/>
  <c r="D97" i="52"/>
  <c r="D95" i="52"/>
  <c r="D96" i="52"/>
  <c r="D100" i="52"/>
  <c r="D101" i="52"/>
  <c r="D98" i="52"/>
  <c r="D99" i="52"/>
  <c r="D104" i="52"/>
  <c r="D102" i="52"/>
  <c r="F20" i="52"/>
  <c r="E36" i="52"/>
  <c r="E79" i="52" s="1"/>
  <c r="E35" i="52"/>
  <c r="E78" i="52" s="1"/>
  <c r="F19" i="52"/>
  <c r="E24" i="52"/>
  <c r="F22" i="52"/>
  <c r="E38" i="52"/>
  <c r="E81" i="52" s="1"/>
  <c r="F27" i="52"/>
  <c r="E32" i="52"/>
  <c r="G21" i="52"/>
  <c r="F37" i="52"/>
  <c r="F80" i="52" s="1"/>
  <c r="D22" i="14"/>
  <c r="E22" i="14" s="1"/>
  <c r="D23" i="14"/>
  <c r="E23" i="14" s="1"/>
  <c r="D25" i="14"/>
  <c r="E25" i="14" s="1"/>
  <c r="V19" i="41"/>
  <c r="I19" i="41" s="1"/>
  <c r="D19" i="11"/>
  <c r="D20" i="11" s="1"/>
  <c r="D30" i="11"/>
  <c r="D41" i="11" s="1"/>
  <c r="D47" i="11" s="1"/>
  <c r="D48" i="11" s="1"/>
  <c r="D50" i="11" s="1"/>
  <c r="V23" i="41"/>
  <c r="I23" i="41" s="1"/>
  <c r="V15" i="41"/>
  <c r="I15" i="41" s="1"/>
  <c r="I93" i="6"/>
  <c r="I94" i="6" s="1"/>
  <c r="J9" i="6"/>
  <c r="E32" i="14"/>
  <c r="E35" i="14" s="1"/>
  <c r="H92" i="52"/>
  <c r="H58" i="52"/>
  <c r="H108" i="52"/>
  <c r="H128" i="52" s="1"/>
  <c r="H142" i="52" s="1"/>
  <c r="H74" i="52"/>
  <c r="I15" i="52"/>
  <c r="B12" i="66"/>
  <c r="AC11" i="249"/>
  <c r="K37" i="249"/>
  <c r="K38" i="249"/>
  <c r="K39" i="249"/>
  <c r="K40" i="249"/>
  <c r="K41" i="249"/>
  <c r="K42" i="249"/>
  <c r="J15" i="241"/>
  <c r="J84" i="241" s="1"/>
  <c r="I66" i="241"/>
  <c r="I50" i="241"/>
  <c r="I100" i="241"/>
  <c r="I120" i="241" s="1"/>
  <c r="I135" i="241" s="1"/>
  <c r="AC11" i="256"/>
  <c r="K37" i="256"/>
  <c r="K38" i="256"/>
  <c r="K39" i="256"/>
  <c r="K40" i="256"/>
  <c r="K41" i="256"/>
  <c r="K42" i="256"/>
  <c r="C29" i="229"/>
  <c r="S27" i="172"/>
  <c r="W27" i="172"/>
  <c r="O27" i="172"/>
  <c r="T27" i="172"/>
  <c r="P27" i="172"/>
  <c r="U27" i="172"/>
  <c r="Q27" i="172"/>
  <c r="V27" i="172"/>
  <c r="Z48" i="185"/>
  <c r="Z43" i="185"/>
  <c r="S39" i="172"/>
  <c r="W39" i="172"/>
  <c r="O39" i="172"/>
  <c r="T39" i="172"/>
  <c r="P39" i="172"/>
  <c r="U39" i="172"/>
  <c r="Q39" i="172"/>
  <c r="V39" i="172"/>
  <c r="S26" i="172"/>
  <c r="W26" i="172"/>
  <c r="O26" i="172"/>
  <c r="T26" i="172"/>
  <c r="P26" i="172"/>
  <c r="U26" i="172"/>
  <c r="Q26" i="172"/>
  <c r="V26" i="172"/>
  <c r="V44" i="234"/>
  <c r="V45" i="234"/>
  <c r="V42" i="234"/>
  <c r="V46" i="234"/>
  <c r="V43" i="234"/>
  <c r="V47" i="234"/>
  <c r="S22" i="172"/>
  <c r="W22" i="172"/>
  <c r="O22" i="172"/>
  <c r="T22" i="172"/>
  <c r="P22" i="172"/>
  <c r="U22" i="172"/>
  <c r="Q22" i="172"/>
  <c r="V22" i="172"/>
  <c r="K36" i="12"/>
  <c r="K37" i="12"/>
  <c r="K38" i="12"/>
  <c r="K39" i="12"/>
  <c r="K40" i="12"/>
  <c r="K41" i="12"/>
  <c r="AC10" i="12"/>
  <c r="S13" i="172"/>
  <c r="W13" i="172"/>
  <c r="O13" i="172"/>
  <c r="T13" i="172"/>
  <c r="P13" i="172"/>
  <c r="U13" i="172"/>
  <c r="Q13" i="172"/>
  <c r="V13" i="172"/>
  <c r="S36" i="172"/>
  <c r="W36" i="172"/>
  <c r="O36" i="172"/>
  <c r="T36" i="172"/>
  <c r="P36" i="172"/>
  <c r="U36" i="172"/>
  <c r="Q36" i="172"/>
  <c r="V36" i="172"/>
  <c r="D24" i="62"/>
  <c r="D32" i="48"/>
  <c r="S34" i="172"/>
  <c r="W34" i="172"/>
  <c r="O34" i="172"/>
  <c r="T34" i="172"/>
  <c r="P34" i="172"/>
  <c r="U34" i="172"/>
  <c r="Q34" i="172"/>
  <c r="V34" i="172"/>
  <c r="Q13" i="249"/>
  <c r="Q17" i="249"/>
  <c r="Q21" i="249"/>
  <c r="Q25" i="249"/>
  <c r="Q28" i="249"/>
  <c r="Q33" i="249"/>
  <c r="Q12" i="249"/>
  <c r="Q16" i="249"/>
  <c r="Q20" i="249"/>
  <c r="Q24" i="249"/>
  <c r="Q27" i="249"/>
  <c r="Q32" i="249"/>
  <c r="Q11" i="249"/>
  <c r="Q15" i="249"/>
  <c r="Q19" i="249"/>
  <c r="Q23" i="249"/>
  <c r="Q35" i="249"/>
  <c r="Q14" i="249"/>
  <c r="Q18" i="249"/>
  <c r="Q22" i="249"/>
  <c r="Q26" i="249"/>
  <c r="Q29" i="249"/>
  <c r="Q34" i="249"/>
  <c r="S26" i="256"/>
  <c r="S30" i="172"/>
  <c r="W30" i="172"/>
  <c r="O30" i="172"/>
  <c r="T30" i="172"/>
  <c r="P30" i="172"/>
  <c r="U30" i="172"/>
  <c r="Q30" i="172"/>
  <c r="V30" i="172"/>
  <c r="S24" i="172"/>
  <c r="W24" i="172"/>
  <c r="O24" i="172"/>
  <c r="T24" i="172"/>
  <c r="P24" i="172"/>
  <c r="U24" i="172"/>
  <c r="Q24" i="172"/>
  <c r="V24" i="172"/>
  <c r="E47" i="11"/>
  <c r="E48" i="11" s="1"/>
  <c r="E50" i="11" s="1"/>
  <c r="Z46" i="185"/>
  <c r="S20" i="172"/>
  <c r="W20" i="172"/>
  <c r="O20" i="172"/>
  <c r="T20" i="172"/>
  <c r="P20" i="172"/>
  <c r="U20" i="172"/>
  <c r="Q20" i="172"/>
  <c r="V20" i="172"/>
  <c r="L10" i="229"/>
  <c r="F52" i="73"/>
  <c r="F170" i="73" s="1"/>
  <c r="F174" i="73" s="1"/>
  <c r="B3" i="243"/>
  <c r="B19" i="242" s="1"/>
  <c r="S29" i="172"/>
  <c r="W29" i="172"/>
  <c r="O29" i="172"/>
  <c r="T29" i="172"/>
  <c r="P29" i="172"/>
  <c r="U29" i="172"/>
  <c r="Q29" i="172"/>
  <c r="V29" i="172"/>
  <c r="S35" i="172"/>
  <c r="W35" i="172"/>
  <c r="O35" i="172"/>
  <c r="T35" i="172"/>
  <c r="P35" i="172"/>
  <c r="U35" i="172"/>
  <c r="Q35" i="172"/>
  <c r="V35" i="172"/>
  <c r="F22" i="126"/>
  <c r="E36" i="126" s="1"/>
  <c r="D24" i="126"/>
  <c r="S17" i="172"/>
  <c r="W17" i="172"/>
  <c r="O17" i="172"/>
  <c r="T17" i="172"/>
  <c r="P17" i="172"/>
  <c r="U17" i="172"/>
  <c r="Q17" i="172"/>
  <c r="V17" i="172"/>
  <c r="U14" i="256"/>
  <c r="W14" i="256" s="1"/>
  <c r="K32" i="10"/>
  <c r="E36" i="10"/>
  <c r="K36" i="10" s="1"/>
  <c r="D63" i="8"/>
  <c r="E64" i="8" s="1"/>
  <c r="D12" i="248" s="1"/>
  <c r="G50" i="8"/>
  <c r="S37" i="172"/>
  <c r="W37" i="172"/>
  <c r="O37" i="172"/>
  <c r="T37" i="172"/>
  <c r="P37" i="172"/>
  <c r="U37" i="172"/>
  <c r="Q37" i="172"/>
  <c r="V37" i="172"/>
  <c r="S31" i="172"/>
  <c r="W31" i="172"/>
  <c r="O31" i="172"/>
  <c r="T31" i="172"/>
  <c r="P31" i="172"/>
  <c r="U31" i="172"/>
  <c r="Q31" i="172"/>
  <c r="V31" i="172"/>
  <c r="C12" i="172"/>
  <c r="R11" i="47"/>
  <c r="W11" i="47"/>
  <c r="C39" i="47"/>
  <c r="S11" i="47"/>
  <c r="X11" i="47"/>
  <c r="C40" i="47"/>
  <c r="T11" i="47"/>
  <c r="Y11" i="47"/>
  <c r="C37" i="47"/>
  <c r="C41" i="47"/>
  <c r="V11" i="47"/>
  <c r="Z11" i="47"/>
  <c r="C38" i="47"/>
  <c r="C42" i="47"/>
  <c r="D28" i="79"/>
  <c r="Y14" i="256"/>
  <c r="B10" i="66"/>
  <c r="Z45" i="185"/>
  <c r="S33" i="172"/>
  <c r="W33" i="172"/>
  <c r="O33" i="172"/>
  <c r="T33" i="172"/>
  <c r="P33" i="172"/>
  <c r="U33" i="172"/>
  <c r="Q33" i="172"/>
  <c r="V33" i="172"/>
  <c r="U45" i="234"/>
  <c r="U42" i="234"/>
  <c r="U46" i="234"/>
  <c r="U43" i="234"/>
  <c r="U47" i="234"/>
  <c r="U44" i="234"/>
  <c r="S38" i="172"/>
  <c r="W38" i="172"/>
  <c r="O38" i="172"/>
  <c r="T38" i="172"/>
  <c r="P38" i="172"/>
  <c r="U38" i="172"/>
  <c r="Q38" i="172"/>
  <c r="V38" i="172"/>
  <c r="G30" i="11"/>
  <c r="G41" i="11" s="1"/>
  <c r="G19" i="11"/>
  <c r="G20" i="11" s="1"/>
  <c r="S40" i="172"/>
  <c r="W40" i="172"/>
  <c r="O40" i="172"/>
  <c r="T40" i="172"/>
  <c r="P40" i="172"/>
  <c r="U40" i="172"/>
  <c r="Q40" i="172"/>
  <c r="V40" i="172"/>
  <c r="AC11" i="244"/>
  <c r="S15" i="172"/>
  <c r="W15" i="172"/>
  <c r="O15" i="172"/>
  <c r="T15" i="172"/>
  <c r="P15" i="172"/>
  <c r="U15" i="172"/>
  <c r="Q15" i="172"/>
  <c r="V15" i="172"/>
  <c r="S18" i="172"/>
  <c r="W18" i="172"/>
  <c r="O18" i="172"/>
  <c r="T18" i="172"/>
  <c r="P18" i="172"/>
  <c r="U18" i="172"/>
  <c r="Q18" i="172"/>
  <c r="V18" i="172"/>
  <c r="N37" i="249"/>
  <c r="N38" i="249"/>
  <c r="N39" i="249"/>
  <c r="N40" i="249"/>
  <c r="N41" i="249"/>
  <c r="N42" i="249"/>
  <c r="S28" i="172"/>
  <c r="W28" i="172"/>
  <c r="O28" i="172"/>
  <c r="T28" i="172"/>
  <c r="P28" i="172"/>
  <c r="U28" i="172"/>
  <c r="Q28" i="172"/>
  <c r="V28" i="172"/>
  <c r="S25" i="256"/>
  <c r="Y22" i="256"/>
  <c r="S14" i="172"/>
  <c r="W14" i="172"/>
  <c r="O14" i="172"/>
  <c r="T14" i="172"/>
  <c r="P14" i="172"/>
  <c r="U14" i="172"/>
  <c r="Q14" i="172"/>
  <c r="V14" i="172"/>
  <c r="Z47" i="185"/>
  <c r="S21" i="172"/>
  <c r="W21" i="172"/>
  <c r="O21" i="172"/>
  <c r="T21" i="172"/>
  <c r="P21" i="172"/>
  <c r="U21" i="172"/>
  <c r="Q21" i="172"/>
  <c r="V21" i="172"/>
  <c r="G52" i="73"/>
  <c r="G170" i="73" s="1"/>
  <c r="G174" i="73" s="1"/>
  <c r="N19" i="6"/>
  <c r="N20" i="6" s="1"/>
  <c r="O14" i="6"/>
  <c r="N30" i="6"/>
  <c r="D36" i="10"/>
  <c r="J36" i="10" s="1"/>
  <c r="J32" i="10"/>
  <c r="S16" i="172"/>
  <c r="W16" i="172"/>
  <c r="O16" i="172"/>
  <c r="T16" i="172"/>
  <c r="P16" i="172"/>
  <c r="U16" i="172"/>
  <c r="Q16" i="172"/>
  <c r="V16" i="172"/>
  <c r="AC11" i="250"/>
  <c r="K38" i="250"/>
  <c r="K40" i="250"/>
  <c r="K41" i="250"/>
  <c r="K42" i="250"/>
  <c r="K37" i="250"/>
  <c r="K39" i="250"/>
  <c r="S25" i="172"/>
  <c r="W25" i="172"/>
  <c r="O25" i="172"/>
  <c r="T25" i="172"/>
  <c r="P25" i="172"/>
  <c r="U25" i="172"/>
  <c r="Q25" i="172"/>
  <c r="V25" i="172"/>
  <c r="K36" i="257"/>
  <c r="K37" i="257"/>
  <c r="K38" i="257"/>
  <c r="K39" i="257"/>
  <c r="K40" i="257"/>
  <c r="K41" i="257"/>
  <c r="AC10" i="257"/>
  <c r="S41" i="172"/>
  <c r="W41" i="172"/>
  <c r="O41" i="172"/>
  <c r="T41" i="172"/>
  <c r="P41" i="172"/>
  <c r="U41" i="172"/>
  <c r="Q41" i="172"/>
  <c r="V41" i="172"/>
  <c r="N51" i="6"/>
  <c r="N12" i="250"/>
  <c r="N16" i="250"/>
  <c r="N20" i="250"/>
  <c r="N24" i="250"/>
  <c r="N11" i="250"/>
  <c r="N15" i="250"/>
  <c r="N19" i="250"/>
  <c r="N23" i="250"/>
  <c r="N35" i="250"/>
  <c r="N13" i="250"/>
  <c r="N17" i="250"/>
  <c r="N21" i="250"/>
  <c r="N25" i="250"/>
  <c r="N28" i="250"/>
  <c r="N33" i="250"/>
  <c r="Q6" i="250"/>
  <c r="N18" i="250"/>
  <c r="N26" i="250"/>
  <c r="N27" i="250"/>
  <c r="N29" i="250"/>
  <c r="N32" i="250"/>
  <c r="N34" i="250"/>
  <c r="N44" i="250"/>
  <c r="N46" i="250"/>
  <c r="N14" i="250"/>
  <c r="N22" i="250"/>
  <c r="U22" i="256"/>
  <c r="W22" i="256" s="1"/>
  <c r="M28" i="6"/>
  <c r="S32" i="172"/>
  <c r="W32" i="172"/>
  <c r="O32" i="172"/>
  <c r="T32" i="172"/>
  <c r="P32" i="172"/>
  <c r="U32" i="172"/>
  <c r="Q32" i="172"/>
  <c r="V32" i="172"/>
  <c r="S23" i="172"/>
  <c r="W23" i="172"/>
  <c r="O23" i="172"/>
  <c r="T23" i="172"/>
  <c r="P23" i="172"/>
  <c r="U23" i="172"/>
  <c r="Q23" i="172"/>
  <c r="V23" i="172"/>
  <c r="S19" i="172"/>
  <c r="W19" i="172"/>
  <c r="O19" i="172"/>
  <c r="T19" i="172"/>
  <c r="P19" i="172"/>
  <c r="U19" i="172"/>
  <c r="Q19" i="172"/>
  <c r="V19" i="172"/>
  <c r="S28" i="256"/>
  <c r="S11" i="256"/>
  <c r="Y23" i="256" l="1"/>
  <c r="Y19" i="256"/>
  <c r="Y20" i="256"/>
  <c r="U20" i="256"/>
  <c r="W20" i="256" s="1"/>
  <c r="G54" i="133"/>
  <c r="B14" i="232"/>
  <c r="K56" i="133"/>
  <c r="B56" i="133" s="1"/>
  <c r="B55" i="133"/>
  <c r="C41" i="156"/>
  <c r="F41" i="156" s="1"/>
  <c r="D125" i="241"/>
  <c r="D140" i="241" s="1"/>
  <c r="D126" i="241"/>
  <c r="D141" i="241" s="1"/>
  <c r="D130" i="241"/>
  <c r="D145" i="241" s="1"/>
  <c r="D129" i="241"/>
  <c r="D144" i="241" s="1"/>
  <c r="D124" i="241"/>
  <c r="D139" i="241" s="1"/>
  <c r="D122" i="241"/>
  <c r="D137" i="241" s="1"/>
  <c r="D127" i="241"/>
  <c r="D142" i="241" s="1"/>
  <c r="D131" i="241"/>
  <c r="D146" i="241" s="1"/>
  <c r="D123" i="241"/>
  <c r="D138" i="241" s="1"/>
  <c r="D128" i="241"/>
  <c r="D143" i="241" s="1"/>
  <c r="E15" i="11"/>
  <c r="O6" i="249"/>
  <c r="Q39" i="256"/>
  <c r="Q38" i="256"/>
  <c r="Q42" i="256"/>
  <c r="S12" i="256"/>
  <c r="S40" i="256" s="1"/>
  <c r="Q40" i="256"/>
  <c r="Q37" i="256"/>
  <c r="Q41" i="256"/>
  <c r="D96" i="279"/>
  <c r="D97" i="279"/>
  <c r="D101" i="279"/>
  <c r="D103" i="279"/>
  <c r="D102" i="279"/>
  <c r="D94" i="279"/>
  <c r="D100" i="73"/>
  <c r="E38" i="126"/>
  <c r="C43" i="156" s="1"/>
  <c r="E47" i="279"/>
  <c r="E51" i="279" s="1"/>
  <c r="E55" i="279" s="1"/>
  <c r="D98" i="279"/>
  <c r="D99" i="279"/>
  <c r="D95" i="279"/>
  <c r="D100" i="279"/>
  <c r="D126" i="279"/>
  <c r="D134" i="279" s="1"/>
  <c r="D148" i="279" s="1"/>
  <c r="H27" i="279"/>
  <c r="G32" i="279"/>
  <c r="G73" i="241"/>
  <c r="H22" i="241"/>
  <c r="H30" i="241" s="1"/>
  <c r="G20" i="279"/>
  <c r="F36" i="279"/>
  <c r="F79" i="279" s="1"/>
  <c r="F78" i="279"/>
  <c r="H21" i="279"/>
  <c r="G37" i="279"/>
  <c r="G80" i="279" s="1"/>
  <c r="F38" i="279"/>
  <c r="F81" i="279" s="1"/>
  <c r="G22" i="279"/>
  <c r="F24" i="279"/>
  <c r="F25" i="236"/>
  <c r="G35" i="279"/>
  <c r="H19" i="279"/>
  <c r="B3" i="244"/>
  <c r="E11" i="241" s="1"/>
  <c r="B3" i="281"/>
  <c r="F16" i="243" s="1"/>
  <c r="E90" i="279"/>
  <c r="E95" i="279" s="1"/>
  <c r="I45" i="279"/>
  <c r="H88" i="279"/>
  <c r="H80" i="241"/>
  <c r="D98" i="241"/>
  <c r="H19" i="241"/>
  <c r="H27" i="241" s="1"/>
  <c r="G24" i="241"/>
  <c r="E70" i="241"/>
  <c r="E39" i="241"/>
  <c r="E43" i="241" s="1"/>
  <c r="E47" i="241" s="1"/>
  <c r="K75" i="73" s="1"/>
  <c r="F75" i="73" s="1"/>
  <c r="H21" i="241"/>
  <c r="H29" i="241" s="1"/>
  <c r="G72" i="241"/>
  <c r="I20" i="241"/>
  <c r="I28" i="241" s="1"/>
  <c r="H71" i="241"/>
  <c r="S19" i="278"/>
  <c r="T19" i="278" s="1"/>
  <c r="Y19" i="278"/>
  <c r="S14" i="278"/>
  <c r="T14" i="278" s="1"/>
  <c r="Y14" i="278"/>
  <c r="S20" i="278"/>
  <c r="T20" i="278" s="1"/>
  <c r="Y20" i="278"/>
  <c r="S17" i="278"/>
  <c r="T17" i="278" s="1"/>
  <c r="Y17" i="278"/>
  <c r="S23" i="278"/>
  <c r="T23" i="278" s="1"/>
  <c r="Y23" i="278"/>
  <c r="S35" i="278"/>
  <c r="T35" i="278" s="1"/>
  <c r="Y35" i="278"/>
  <c r="S21" i="278"/>
  <c r="Y21" i="278"/>
  <c r="U28" i="278"/>
  <c r="W28" i="278" s="1"/>
  <c r="S11" i="278"/>
  <c r="Q39" i="278"/>
  <c r="Q38" i="278"/>
  <c r="Q41" i="278"/>
  <c r="Q40" i="278"/>
  <c r="Q37" i="278"/>
  <c r="Q42" i="278"/>
  <c r="S22" i="278"/>
  <c r="T22" i="278" s="1"/>
  <c r="Y22" i="278"/>
  <c r="X24" i="278"/>
  <c r="T24" i="278"/>
  <c r="I45" i="52"/>
  <c r="H88" i="52"/>
  <c r="D106" i="52"/>
  <c r="E90" i="52"/>
  <c r="E97" i="52" s="1"/>
  <c r="F35" i="52"/>
  <c r="F78" i="52" s="1"/>
  <c r="G19" i="52"/>
  <c r="F24" i="52"/>
  <c r="G27" i="52"/>
  <c r="F32" i="52"/>
  <c r="G37" i="52"/>
  <c r="G80" i="52" s="1"/>
  <c r="H21" i="52"/>
  <c r="G22" i="52"/>
  <c r="F38" i="52"/>
  <c r="F81" i="52" s="1"/>
  <c r="G20" i="52"/>
  <c r="F36" i="52"/>
  <c r="F79" i="52" s="1"/>
  <c r="I45" i="41"/>
  <c r="H25" i="39" s="1"/>
  <c r="I42" i="41"/>
  <c r="I47" i="41"/>
  <c r="I46" i="41"/>
  <c r="I44" i="41"/>
  <c r="I43" i="41"/>
  <c r="E24" i="14"/>
  <c r="E27" i="14" s="1"/>
  <c r="V43" i="41"/>
  <c r="V47" i="41"/>
  <c r="V42" i="41"/>
  <c r="V46" i="41"/>
  <c r="V44" i="41"/>
  <c r="V45" i="41"/>
  <c r="F10" i="39" s="1"/>
  <c r="F9" i="39" s="1"/>
  <c r="H9" i="39" s="1"/>
  <c r="J93" i="6"/>
  <c r="J94" i="6" s="1"/>
  <c r="K9" i="6"/>
  <c r="D147" i="241"/>
  <c r="D156" i="241" s="1"/>
  <c r="D157" i="241" s="1"/>
  <c r="I92" i="52"/>
  <c r="I108" i="52"/>
  <c r="I128" i="52" s="1"/>
  <c r="I142" i="52" s="1"/>
  <c r="J15" i="52"/>
  <c r="I74" i="52"/>
  <c r="I58" i="52"/>
  <c r="O19" i="6"/>
  <c r="O20" i="6" s="1"/>
  <c r="O30" i="6"/>
  <c r="O51" i="6"/>
  <c r="D96" i="6" s="1" a="1"/>
  <c r="Z39" i="47"/>
  <c r="N13" i="48" s="1"/>
  <c r="Z40" i="47"/>
  <c r="N14" i="48" s="1"/>
  <c r="Z37" i="47"/>
  <c r="N11" i="48" s="1"/>
  <c r="Z41" i="47"/>
  <c r="N15" i="48" s="1"/>
  <c r="Z38" i="47"/>
  <c r="N12" i="48" s="1"/>
  <c r="Z42" i="47"/>
  <c r="N16" i="48" s="1"/>
  <c r="Y40" i="47"/>
  <c r="L14" i="48" s="1"/>
  <c r="Y37" i="47"/>
  <c r="L11" i="48" s="1"/>
  <c r="Y41" i="47"/>
  <c r="L15" i="48" s="1"/>
  <c r="Y38" i="47"/>
  <c r="L12" i="48" s="1"/>
  <c r="Y42" i="47"/>
  <c r="L16" i="48" s="1"/>
  <c r="Y39" i="47"/>
  <c r="L13" i="48" s="1"/>
  <c r="S37" i="47"/>
  <c r="S41" i="47"/>
  <c r="S38" i="47"/>
  <c r="S42" i="47"/>
  <c r="S39" i="47"/>
  <c r="S40" i="47"/>
  <c r="S12" i="172"/>
  <c r="W12" i="172"/>
  <c r="C44" i="172"/>
  <c r="C48" i="172"/>
  <c r="O12" i="172"/>
  <c r="T12" i="172"/>
  <c r="C45" i="172"/>
  <c r="P12" i="172"/>
  <c r="U12" i="172"/>
  <c r="C46" i="172"/>
  <c r="Q12" i="172"/>
  <c r="V12" i="172"/>
  <c r="C43" i="172"/>
  <c r="C47" i="172"/>
  <c r="D48" i="14"/>
  <c r="F24" i="126"/>
  <c r="G24" i="126" s="1"/>
  <c r="L8" i="126"/>
  <c r="M10" i="229"/>
  <c r="T35" i="256"/>
  <c r="S22" i="249"/>
  <c r="Y22" i="249"/>
  <c r="S35" i="249"/>
  <c r="S19" i="249"/>
  <c r="Y19" i="249"/>
  <c r="S20" i="249"/>
  <c r="Y20" i="249"/>
  <c r="S33" i="249"/>
  <c r="S17" i="249"/>
  <c r="T28" i="256"/>
  <c r="N37" i="250"/>
  <c r="N39" i="250"/>
  <c r="N38" i="250"/>
  <c r="N40" i="250"/>
  <c r="N41" i="250"/>
  <c r="N42" i="250"/>
  <c r="V39" i="47"/>
  <c r="D13" i="48" s="1"/>
  <c r="V40" i="47"/>
  <c r="D14" i="48" s="1"/>
  <c r="V37" i="47"/>
  <c r="D11" i="48" s="1"/>
  <c r="V41" i="47"/>
  <c r="D15" i="48" s="1"/>
  <c r="V38" i="47"/>
  <c r="D12" i="48" s="1"/>
  <c r="V42" i="47"/>
  <c r="D16" i="48" s="1"/>
  <c r="T40" i="47"/>
  <c r="H14" i="48" s="1"/>
  <c r="T37" i="47"/>
  <c r="H11" i="48" s="1"/>
  <c r="T41" i="47"/>
  <c r="H15" i="48" s="1"/>
  <c r="T38" i="47"/>
  <c r="H12" i="48" s="1"/>
  <c r="T42" i="47"/>
  <c r="H16" i="48" s="1"/>
  <c r="T39" i="47"/>
  <c r="H13" i="48" s="1"/>
  <c r="S34" i="249"/>
  <c r="S18" i="249"/>
  <c r="S15" i="249"/>
  <c r="S32" i="249"/>
  <c r="S16" i="249"/>
  <c r="S28" i="249"/>
  <c r="S13" i="249"/>
  <c r="Q14" i="250"/>
  <c r="Q18" i="250"/>
  <c r="Q22" i="250"/>
  <c r="Q26" i="250"/>
  <c r="Q13" i="250"/>
  <c r="Q17" i="250"/>
  <c r="Q21" i="250"/>
  <c r="Q25" i="250"/>
  <c r="Q28" i="250"/>
  <c r="Q33" i="250"/>
  <c r="Q11" i="250"/>
  <c r="Q15" i="250"/>
  <c r="Q19" i="250"/>
  <c r="Q23" i="250"/>
  <c r="Q35" i="250"/>
  <c r="Q16" i="250"/>
  <c r="Q24" i="250"/>
  <c r="Q27" i="250"/>
  <c r="Q29" i="250"/>
  <c r="Q32" i="250"/>
  <c r="Q34" i="250"/>
  <c r="Q12" i="250"/>
  <c r="Q20" i="250"/>
  <c r="T19" i="256"/>
  <c r="W38" i="47"/>
  <c r="F12" i="48" s="1"/>
  <c r="W42" i="47"/>
  <c r="F16" i="48" s="1"/>
  <c r="W39" i="47"/>
  <c r="F13" i="48" s="1"/>
  <c r="W40" i="47"/>
  <c r="F14" i="48" s="1"/>
  <c r="W37" i="47"/>
  <c r="F11" i="48" s="1"/>
  <c r="W41" i="47"/>
  <c r="F15" i="48" s="1"/>
  <c r="T23" i="256"/>
  <c r="S29" i="249"/>
  <c r="S14" i="249"/>
  <c r="Y14" i="249"/>
  <c r="S11" i="249"/>
  <c r="Q37" i="249"/>
  <c r="Q38" i="249"/>
  <c r="Q39" i="249"/>
  <c r="Q40" i="249"/>
  <c r="Q41" i="249"/>
  <c r="Q42" i="249"/>
  <c r="S27" i="249"/>
  <c r="S12" i="249"/>
  <c r="S25" i="249"/>
  <c r="N28" i="6"/>
  <c r="G47" i="11"/>
  <c r="G48" i="11" s="1"/>
  <c r="G50" i="11" s="1"/>
  <c r="X37" i="47"/>
  <c r="J11" i="48" s="1"/>
  <c r="X41" i="47"/>
  <c r="J15" i="48" s="1"/>
  <c r="X38" i="47"/>
  <c r="J12" i="48" s="1"/>
  <c r="X42" i="47"/>
  <c r="J16" i="48" s="1"/>
  <c r="X39" i="47"/>
  <c r="J13" i="48" s="1"/>
  <c r="X40" i="47"/>
  <c r="J14" i="48" s="1"/>
  <c r="R38" i="47"/>
  <c r="R42" i="47"/>
  <c r="R39" i="47"/>
  <c r="R40" i="47"/>
  <c r="R37" i="47"/>
  <c r="R41" i="47"/>
  <c r="S26" i="249"/>
  <c r="S23" i="249"/>
  <c r="Y23" i="249"/>
  <c r="S24" i="249"/>
  <c r="S21" i="249"/>
  <c r="C30" i="229"/>
  <c r="F29" i="229"/>
  <c r="J50" i="241"/>
  <c r="K15" i="241"/>
  <c r="K84" i="241" s="1"/>
  <c r="J66" i="241"/>
  <c r="J100" i="241"/>
  <c r="J120" i="241" s="1"/>
  <c r="J135" i="241" s="1"/>
  <c r="S39" i="256" l="1"/>
  <c r="G55" i="133"/>
  <c r="B3" i="185" s="1"/>
  <c r="B15" i="232"/>
  <c r="G56" i="133"/>
  <c r="B3" i="156" s="1"/>
  <c r="J19" i="4" s="1"/>
  <c r="B16" i="232"/>
  <c r="D133" i="241"/>
  <c r="G24" i="279"/>
  <c r="O6" i="256"/>
  <c r="D15" i="11"/>
  <c r="S42" i="256"/>
  <c r="S38" i="256"/>
  <c r="S41" i="256"/>
  <c r="S37" i="256"/>
  <c r="D138" i="279"/>
  <c r="D152" i="279" s="1"/>
  <c r="G75" i="73"/>
  <c r="F43" i="156"/>
  <c r="D106" i="279"/>
  <c r="D140" i="279"/>
  <c r="D154" i="279" s="1"/>
  <c r="D161" i="279" s="1"/>
  <c r="D139" i="279"/>
  <c r="D153" i="279" s="1"/>
  <c r="D135" i="279"/>
  <c r="D149" i="279" s="1"/>
  <c r="D133" i="279"/>
  <c r="D147" i="279" s="1"/>
  <c r="D131" i="279"/>
  <c r="D145" i="279" s="1"/>
  <c r="D137" i="279"/>
  <c r="D151" i="279" s="1"/>
  <c r="D132" i="279"/>
  <c r="D146" i="279" s="1"/>
  <c r="D136" i="279"/>
  <c r="D150" i="279" s="1"/>
  <c r="D130" i="279"/>
  <c r="D144" i="279" s="1"/>
  <c r="E94" i="279"/>
  <c r="H35" i="279"/>
  <c r="I19" i="279"/>
  <c r="H37" i="279"/>
  <c r="H80" i="279" s="1"/>
  <c r="I21" i="279"/>
  <c r="E97" i="279"/>
  <c r="G78" i="279"/>
  <c r="G38" i="279"/>
  <c r="G81" i="279" s="1"/>
  <c r="H22" i="279"/>
  <c r="F47" i="279"/>
  <c r="F51" i="279" s="1"/>
  <c r="F55" i="279" s="1"/>
  <c r="H20" i="279"/>
  <c r="G36" i="279"/>
  <c r="G79" i="279" s="1"/>
  <c r="I27" i="279"/>
  <c r="H32" i="279"/>
  <c r="J45" i="279"/>
  <c r="I88" i="279"/>
  <c r="F90" i="279"/>
  <c r="F95" i="279" s="1"/>
  <c r="H73" i="241"/>
  <c r="I22" i="241"/>
  <c r="I30" i="241" s="1"/>
  <c r="E101" i="279"/>
  <c r="E99" i="279"/>
  <c r="E100" i="279"/>
  <c r="E103" i="279"/>
  <c r="E102" i="279"/>
  <c r="E98" i="279"/>
  <c r="E104" i="279"/>
  <c r="E96" i="279"/>
  <c r="I80" i="241"/>
  <c r="J20" i="241"/>
  <c r="J28" i="241" s="1"/>
  <c r="I71" i="241"/>
  <c r="E82" i="241"/>
  <c r="I21" i="241"/>
  <c r="I29" i="241" s="1"/>
  <c r="H72" i="241"/>
  <c r="F70" i="241"/>
  <c r="F39" i="241"/>
  <c r="F43" i="241" s="1"/>
  <c r="F47" i="241" s="1"/>
  <c r="I19" i="241"/>
  <c r="I27" i="241" s="1"/>
  <c r="H24" i="241"/>
  <c r="D148" i="241"/>
  <c r="S38" i="278"/>
  <c r="S42" i="278"/>
  <c r="S37" i="278"/>
  <c r="S41" i="278"/>
  <c r="S39" i="278"/>
  <c r="S40" i="278"/>
  <c r="V22" i="278"/>
  <c r="U22" i="278"/>
  <c r="W22" i="278" s="1"/>
  <c r="U17" i="278"/>
  <c r="W17" i="278" s="1"/>
  <c r="V17" i="278"/>
  <c r="V24" i="278"/>
  <c r="Y24" i="278" s="1"/>
  <c r="U24" i="278"/>
  <c r="W24" i="278" s="1"/>
  <c r="V35" i="278"/>
  <c r="U35" i="278"/>
  <c r="W35" i="278" s="1"/>
  <c r="U14" i="278"/>
  <c r="W14" i="278" s="1"/>
  <c r="V14" i="278"/>
  <c r="T21" i="278"/>
  <c r="X21" i="278"/>
  <c r="U23" i="278"/>
  <c r="W23" i="278" s="1"/>
  <c r="V23" i="278"/>
  <c r="U20" i="278"/>
  <c r="W20" i="278" s="1"/>
  <c r="V20" i="278"/>
  <c r="U19" i="278"/>
  <c r="W19" i="278" s="1"/>
  <c r="V19" i="278"/>
  <c r="H26" i="39"/>
  <c r="H29" i="39" s="1"/>
  <c r="D28" i="229" a="1"/>
  <c r="J45" i="52"/>
  <c r="I88" i="52"/>
  <c r="E99" i="52"/>
  <c r="E102" i="52"/>
  <c r="E98" i="52"/>
  <c r="E101" i="52"/>
  <c r="E104" i="52"/>
  <c r="E100" i="52"/>
  <c r="E103" i="52"/>
  <c r="E96" i="52"/>
  <c r="F90" i="52"/>
  <c r="F94" i="52" s="1"/>
  <c r="E95" i="52"/>
  <c r="E94" i="52"/>
  <c r="H27" i="52"/>
  <c r="G32" i="52"/>
  <c r="H20" i="52"/>
  <c r="G36" i="52"/>
  <c r="G79" i="52" s="1"/>
  <c r="H37" i="52"/>
  <c r="H80" i="52" s="1"/>
  <c r="I21" i="52"/>
  <c r="H22" i="52"/>
  <c r="G38" i="52"/>
  <c r="G81" i="52" s="1"/>
  <c r="G35" i="52"/>
  <c r="G78" i="52" s="1"/>
  <c r="H19" i="52"/>
  <c r="G24" i="52"/>
  <c r="K93" i="6"/>
  <c r="K94" i="6" s="1"/>
  <c r="L9" i="6"/>
  <c r="J92" i="52"/>
  <c r="J58" i="52"/>
  <c r="J108" i="52"/>
  <c r="J128" i="52" s="1"/>
  <c r="J142" i="52" s="1"/>
  <c r="K15" i="52"/>
  <c r="J74" i="52"/>
  <c r="D96" i="6"/>
  <c r="D97" i="6"/>
  <c r="D98" i="6"/>
  <c r="D99" i="6"/>
  <c r="D100" i="6"/>
  <c r="D101" i="6"/>
  <c r="D102" i="6"/>
  <c r="D103" i="6"/>
  <c r="D104" i="6"/>
  <c r="D105" i="6"/>
  <c r="L15" i="241"/>
  <c r="L84" i="241" s="1"/>
  <c r="K66" i="241"/>
  <c r="K50" i="241"/>
  <c r="K100" i="241"/>
  <c r="K120" i="241" s="1"/>
  <c r="K135" i="241" s="1"/>
  <c r="D29" i="126"/>
  <c r="D30" i="126"/>
  <c r="F30" i="126" s="1"/>
  <c r="S37" i="249"/>
  <c r="S38" i="249"/>
  <c r="S39" i="249"/>
  <c r="S40" i="249"/>
  <c r="S41" i="249"/>
  <c r="S42" i="249"/>
  <c r="T14" i="249"/>
  <c r="U23" i="256"/>
  <c r="W23" i="256" s="1"/>
  <c r="V23" i="256"/>
  <c r="S29" i="250"/>
  <c r="S23" i="250"/>
  <c r="Y23" i="250"/>
  <c r="S21" i="250"/>
  <c r="S22" i="250"/>
  <c r="Y22" i="250"/>
  <c r="U35" i="256"/>
  <c r="W35" i="256" s="1"/>
  <c r="V35" i="256"/>
  <c r="Q45" i="172"/>
  <c r="H21" i="48" s="1"/>
  <c r="Q46" i="172"/>
  <c r="H22" i="48" s="1"/>
  <c r="Q43" i="172"/>
  <c r="H19" i="48" s="1"/>
  <c r="Q47" i="172"/>
  <c r="H23" i="48" s="1"/>
  <c r="Q44" i="172"/>
  <c r="H20" i="48" s="1"/>
  <c r="Q48" i="172"/>
  <c r="H24" i="48" s="1"/>
  <c r="B16" i="133"/>
  <c r="G16" i="133" s="1"/>
  <c r="O28" i="6"/>
  <c r="C31" i="229"/>
  <c r="F30" i="229"/>
  <c r="G30" i="229"/>
  <c r="X21" i="249"/>
  <c r="T21" i="249"/>
  <c r="X24" i="249"/>
  <c r="T24" i="249"/>
  <c r="T23" i="249"/>
  <c r="T26" i="249"/>
  <c r="S20" i="250"/>
  <c r="Y20" i="250"/>
  <c r="S27" i="250"/>
  <c r="S35" i="250"/>
  <c r="S19" i="250"/>
  <c r="Y19" i="250"/>
  <c r="S33" i="250"/>
  <c r="S17" i="250"/>
  <c r="S18" i="250"/>
  <c r="H34" i="39"/>
  <c r="D10" i="39" s="1"/>
  <c r="H10" i="39" s="1"/>
  <c r="H12" i="39" s="1"/>
  <c r="H14" i="39" s="1"/>
  <c r="T28" i="249"/>
  <c r="T32" i="249"/>
  <c r="T34" i="249"/>
  <c r="T17" i="249"/>
  <c r="T20" i="249"/>
  <c r="T19" i="249"/>
  <c r="T22" i="249"/>
  <c r="T43" i="172"/>
  <c r="F19" i="48" s="1"/>
  <c r="T47" i="172"/>
  <c r="F23" i="48" s="1"/>
  <c r="T44" i="172"/>
  <c r="F20" i="48" s="1"/>
  <c r="T48" i="172"/>
  <c r="F24" i="48" s="1"/>
  <c r="T45" i="172"/>
  <c r="F21" i="48" s="1"/>
  <c r="T46" i="172"/>
  <c r="F22" i="48" s="1"/>
  <c r="W44" i="172"/>
  <c r="N20" i="48" s="1"/>
  <c r="W48" i="172"/>
  <c r="N24" i="48" s="1"/>
  <c r="W45" i="172"/>
  <c r="N21" i="48" s="1"/>
  <c r="W46" i="172"/>
  <c r="N22" i="48" s="1"/>
  <c r="W43" i="172"/>
  <c r="N19" i="48" s="1"/>
  <c r="W47" i="172"/>
  <c r="N23" i="48" s="1"/>
  <c r="S12" i="250"/>
  <c r="S34" i="250"/>
  <c r="S24" i="250"/>
  <c r="S15" i="250"/>
  <c r="S28" i="250"/>
  <c r="S13" i="250"/>
  <c r="S14" i="250"/>
  <c r="Y14" i="250"/>
  <c r="D28" i="229"/>
  <c r="D29" i="229"/>
  <c r="D33" i="229"/>
  <c r="D37" i="229"/>
  <c r="D30" i="229"/>
  <c r="H30" i="229" s="1"/>
  <c r="D34" i="229"/>
  <c r="D31" i="229"/>
  <c r="D35" i="229"/>
  <c r="D32" i="229"/>
  <c r="D36" i="229"/>
  <c r="D46" i="14"/>
  <c r="E46" i="14" s="1"/>
  <c r="D47" i="14"/>
  <c r="E47" i="14" s="1"/>
  <c r="D49" i="14"/>
  <c r="E49" i="14" s="1"/>
  <c r="U46" i="172"/>
  <c r="J22" i="48" s="1"/>
  <c r="U43" i="172"/>
  <c r="J19" i="48" s="1"/>
  <c r="U47" i="172"/>
  <c r="J23" i="48" s="1"/>
  <c r="U44" i="172"/>
  <c r="J20" i="48" s="1"/>
  <c r="U48" i="172"/>
  <c r="J24" i="48" s="1"/>
  <c r="U45" i="172"/>
  <c r="J21" i="48" s="1"/>
  <c r="O43" i="172"/>
  <c r="O47" i="172"/>
  <c r="O44" i="172"/>
  <c r="O48" i="172"/>
  <c r="O45" i="172"/>
  <c r="O46" i="172"/>
  <c r="S44" i="172"/>
  <c r="D20" i="48" s="1"/>
  <c r="S48" i="172"/>
  <c r="D24" i="48" s="1"/>
  <c r="S45" i="172"/>
  <c r="D21" i="48" s="1"/>
  <c r="S46" i="172"/>
  <c r="D22" i="48" s="1"/>
  <c r="S43" i="172"/>
  <c r="D19" i="48" s="1"/>
  <c r="S47" i="172"/>
  <c r="D23" i="48" s="1"/>
  <c r="V19" i="256"/>
  <c r="U19" i="256"/>
  <c r="W19" i="256" s="1"/>
  <c r="S32" i="250"/>
  <c r="S16" i="250"/>
  <c r="S11" i="250"/>
  <c r="Q37" i="250"/>
  <c r="Q39" i="250"/>
  <c r="Q40" i="250"/>
  <c r="Q41" i="250"/>
  <c r="Q42" i="250"/>
  <c r="Q38" i="250"/>
  <c r="S25" i="250"/>
  <c r="S26" i="250"/>
  <c r="T15" i="249"/>
  <c r="U28" i="256"/>
  <c r="W28" i="256" s="1"/>
  <c r="V28" i="256"/>
  <c r="T35" i="249"/>
  <c r="N10" i="229"/>
  <c r="V45" i="172"/>
  <c r="L21" i="48" s="1"/>
  <c r="V46" i="172"/>
  <c r="L22" i="48" s="1"/>
  <c r="V43" i="172"/>
  <c r="L19" i="48" s="1"/>
  <c r="V47" i="172"/>
  <c r="L23" i="48" s="1"/>
  <c r="V44" i="172"/>
  <c r="L20" i="48" s="1"/>
  <c r="V48" i="172"/>
  <c r="L24" i="48" s="1"/>
  <c r="P46" i="172"/>
  <c r="P43" i="172"/>
  <c r="P47" i="172"/>
  <c r="P44" i="172"/>
  <c r="P48" i="172"/>
  <c r="P45" i="172"/>
  <c r="J18" i="4" l="1"/>
  <c r="H24" i="279"/>
  <c r="F94" i="279"/>
  <c r="F97" i="279"/>
  <c r="G47" i="279"/>
  <c r="G51" i="279" s="1"/>
  <c r="G55" i="279" s="1"/>
  <c r="F126" i="279" s="1"/>
  <c r="E106" i="279"/>
  <c r="I32" i="279"/>
  <c r="J27" i="279"/>
  <c r="E126" i="279"/>
  <c r="E61" i="279"/>
  <c r="J88" i="279"/>
  <c r="K45" i="279"/>
  <c r="I22" i="279"/>
  <c r="H38" i="279"/>
  <c r="H81" i="279" s="1"/>
  <c r="F100" i="279"/>
  <c r="F101" i="279"/>
  <c r="F102" i="279"/>
  <c r="F103" i="279"/>
  <c r="F99" i="279"/>
  <c r="F98" i="279"/>
  <c r="F104" i="279"/>
  <c r="F96" i="279"/>
  <c r="I20" i="279"/>
  <c r="H36" i="279"/>
  <c r="H79" i="279" s="1"/>
  <c r="I35" i="279"/>
  <c r="J19" i="279"/>
  <c r="J22" i="241"/>
  <c r="J30" i="241" s="1"/>
  <c r="I73" i="241"/>
  <c r="G90" i="279"/>
  <c r="G94" i="279" s="1"/>
  <c r="J21" i="279"/>
  <c r="I37" i="279"/>
  <c r="I80" i="279" s="1"/>
  <c r="H78" i="279"/>
  <c r="J80" i="241"/>
  <c r="E89" i="241"/>
  <c r="E95" i="241"/>
  <c r="E90" i="241"/>
  <c r="E93" i="241"/>
  <c r="E92" i="241"/>
  <c r="E94" i="241"/>
  <c r="E91" i="241"/>
  <c r="E96" i="241"/>
  <c r="E87" i="241"/>
  <c r="E88" i="241"/>
  <c r="E86" i="241"/>
  <c r="J19" i="241"/>
  <c r="J27" i="241" s="1"/>
  <c r="I24" i="241"/>
  <c r="J21" i="241"/>
  <c r="J29" i="241" s="1"/>
  <c r="I72" i="241"/>
  <c r="E118" i="241"/>
  <c r="E131" i="241" s="1"/>
  <c r="E53" i="241"/>
  <c r="F82" i="241"/>
  <c r="G70" i="241"/>
  <c r="G39" i="241"/>
  <c r="G43" i="241" s="1"/>
  <c r="G47" i="241" s="1"/>
  <c r="K20" i="241"/>
  <c r="K28" i="241" s="1"/>
  <c r="J71" i="241"/>
  <c r="V21" i="278"/>
  <c r="U21" i="278"/>
  <c r="W21" i="278" s="1"/>
  <c r="Y35" i="256"/>
  <c r="O16" i="249"/>
  <c r="T16" i="249" s="1"/>
  <c r="U16" i="249" s="1"/>
  <c r="W16" i="249" s="1"/>
  <c r="O32" i="249"/>
  <c r="O15" i="249"/>
  <c r="O46" i="249"/>
  <c r="O26" i="249"/>
  <c r="O13" i="249"/>
  <c r="T13" i="249" s="1"/>
  <c r="V13" i="249" s="1"/>
  <c r="O28" i="249"/>
  <c r="O20" i="249"/>
  <c r="O19" i="249"/>
  <c r="O35" i="249"/>
  <c r="O29" i="249"/>
  <c r="T29" i="249" s="1"/>
  <c r="U29" i="249" s="1"/>
  <c r="W29" i="249" s="1"/>
  <c r="O17" i="249"/>
  <c r="O33" i="249"/>
  <c r="T33" i="249" s="1"/>
  <c r="V33" i="249" s="1"/>
  <c r="O11" i="249"/>
  <c r="O14" i="249"/>
  <c r="O22" i="249"/>
  <c r="O24" i="249"/>
  <c r="O23" i="249"/>
  <c r="O18" i="249"/>
  <c r="T18" i="249" s="1"/>
  <c r="V18" i="249" s="1"/>
  <c r="O34" i="249"/>
  <c r="O21" i="249"/>
  <c r="O12" i="249"/>
  <c r="T12" i="249" s="1"/>
  <c r="V12" i="249" s="1"/>
  <c r="O27" i="249"/>
  <c r="T27" i="249" s="1"/>
  <c r="U27" i="249" s="1"/>
  <c r="W27" i="249" s="1"/>
  <c r="O44" i="249"/>
  <c r="O25" i="249"/>
  <c r="T25" i="249" s="1"/>
  <c r="V25" i="249" s="1"/>
  <c r="E55" i="11"/>
  <c r="E22" i="11"/>
  <c r="E31" i="11"/>
  <c r="E34" i="11" s="1"/>
  <c r="E35" i="11" s="1"/>
  <c r="E37" i="11" s="1"/>
  <c r="E21" i="11"/>
  <c r="D41" i="14"/>
  <c r="E41" i="14" s="1"/>
  <c r="D38" i="14"/>
  <c r="E38" i="14" s="1"/>
  <c r="D39" i="14"/>
  <c r="E39" i="14" s="1"/>
  <c r="E42" i="126"/>
  <c r="E45" i="126" s="1"/>
  <c r="F102" i="52"/>
  <c r="F98" i="52"/>
  <c r="F101" i="52"/>
  <c r="F104" i="52"/>
  <c r="F100" i="52"/>
  <c r="F99" i="52"/>
  <c r="F103" i="52"/>
  <c r="F96" i="52"/>
  <c r="F95" i="52"/>
  <c r="F97" i="52"/>
  <c r="G90" i="52"/>
  <c r="G95" i="52" s="1"/>
  <c r="I22" i="52"/>
  <c r="H38" i="52"/>
  <c r="H81" i="52" s="1"/>
  <c r="I20" i="52"/>
  <c r="H36" i="52"/>
  <c r="H79" i="52" s="1"/>
  <c r="H35" i="52"/>
  <c r="H78" i="52" s="1"/>
  <c r="I19" i="52"/>
  <c r="H24" i="52"/>
  <c r="J21" i="52"/>
  <c r="I37" i="52"/>
  <c r="I80" i="52" s="1"/>
  <c r="I27" i="52"/>
  <c r="H32" i="52"/>
  <c r="M9" i="6"/>
  <c r="L93" i="6"/>
  <c r="L94" i="6" s="1"/>
  <c r="K92" i="52"/>
  <c r="K74" i="52"/>
  <c r="K58" i="52"/>
  <c r="K108" i="52"/>
  <c r="K128" i="52" s="1"/>
  <c r="K142" i="52" s="1"/>
  <c r="L15" i="52"/>
  <c r="I29" i="229"/>
  <c r="J29" i="229"/>
  <c r="M29" i="229"/>
  <c r="N29" i="229"/>
  <c r="H29" i="229"/>
  <c r="L29" i="229"/>
  <c r="K29" i="229"/>
  <c r="O29" i="229"/>
  <c r="G29" i="229"/>
  <c r="P29" i="229"/>
  <c r="U24" i="249"/>
  <c r="W24" i="249" s="1"/>
  <c r="V24" i="249"/>
  <c r="Y24" i="249" s="1"/>
  <c r="O30" i="229"/>
  <c r="J30" i="229"/>
  <c r="I30" i="229"/>
  <c r="U14" i="249"/>
  <c r="W14" i="249" s="1"/>
  <c r="V14" i="249"/>
  <c r="O10" i="229"/>
  <c r="U15" i="249"/>
  <c r="W15" i="249" s="1"/>
  <c r="V15" i="249"/>
  <c r="S37" i="250"/>
  <c r="S38" i="250"/>
  <c r="S39" i="250"/>
  <c r="S40" i="250"/>
  <c r="S41" i="250"/>
  <c r="S42" i="250"/>
  <c r="N28" i="229"/>
  <c r="K28" i="229"/>
  <c r="G28" i="229"/>
  <c r="J28" i="229"/>
  <c r="P28" i="229"/>
  <c r="I28" i="229"/>
  <c r="L28" i="229"/>
  <c r="O28" i="229"/>
  <c r="M28" i="229"/>
  <c r="H28" i="229"/>
  <c r="F28" i="229"/>
  <c r="X24" i="250"/>
  <c r="T24" i="250"/>
  <c r="U22" i="249"/>
  <c r="W22" i="249" s="1"/>
  <c r="V22" i="249"/>
  <c r="U20" i="249"/>
  <c r="W20" i="249" s="1"/>
  <c r="V20" i="249"/>
  <c r="V28" i="249"/>
  <c r="U28" i="249"/>
  <c r="W28" i="249" s="1"/>
  <c r="T17" i="250"/>
  <c r="T19" i="250"/>
  <c r="T20" i="250"/>
  <c r="U26" i="249"/>
  <c r="W26" i="249" s="1"/>
  <c r="V26" i="249"/>
  <c r="K30" i="229"/>
  <c r="P30" i="229"/>
  <c r="T22" i="250"/>
  <c r="M15" i="241"/>
  <c r="M84" i="241" s="1"/>
  <c r="L50" i="241"/>
  <c r="L66" i="241"/>
  <c r="L100" i="241"/>
  <c r="L120" i="241" s="1"/>
  <c r="L135" i="241" s="1"/>
  <c r="U19" i="249"/>
  <c r="W19" i="249" s="1"/>
  <c r="V19" i="249"/>
  <c r="V21" i="249"/>
  <c r="Y21" i="249" s="1"/>
  <c r="U21" i="249"/>
  <c r="W21" i="249" s="1"/>
  <c r="G31" i="229"/>
  <c r="K31" i="229"/>
  <c r="O31" i="229"/>
  <c r="H31" i="229"/>
  <c r="L31" i="229"/>
  <c r="P31" i="229"/>
  <c r="I31" i="229"/>
  <c r="M31" i="229"/>
  <c r="C32" i="229"/>
  <c r="F31" i="229"/>
  <c r="J31" i="229"/>
  <c r="N31" i="229"/>
  <c r="L30" i="229"/>
  <c r="U35" i="249"/>
  <c r="W35" i="249" s="1"/>
  <c r="V35" i="249"/>
  <c r="E48" i="14"/>
  <c r="E51" i="14" s="1"/>
  <c r="T14" i="250"/>
  <c r="T28" i="250"/>
  <c r="V17" i="249"/>
  <c r="U17" i="249"/>
  <c r="W17" i="249" s="1"/>
  <c r="U34" i="249"/>
  <c r="W34" i="249" s="1"/>
  <c r="V34" i="249"/>
  <c r="U32" i="249"/>
  <c r="W32" i="249" s="1"/>
  <c r="V32" i="249"/>
  <c r="T35" i="250"/>
  <c r="U23" i="249"/>
  <c r="W23" i="249" s="1"/>
  <c r="V23" i="249"/>
  <c r="N30" i="229"/>
  <c r="M30" i="229"/>
  <c r="J18" i="133"/>
  <c r="J21" i="133" s="1"/>
  <c r="B17" i="133"/>
  <c r="G17" i="133" s="1"/>
  <c r="T21" i="250"/>
  <c r="X21" i="250"/>
  <c r="T23" i="250"/>
  <c r="F29" i="126"/>
  <c r="D31" i="126"/>
  <c r="I24" i="279" l="1"/>
  <c r="C45" i="156"/>
  <c r="F45" i="156" s="1"/>
  <c r="H113" i="73"/>
  <c r="G45" i="126"/>
  <c r="H21" i="73" s="1"/>
  <c r="D45" i="126"/>
  <c r="H15" i="73" s="1"/>
  <c r="H13" i="73" s="1"/>
  <c r="K21" i="133"/>
  <c r="J22" i="133"/>
  <c r="O6" i="250"/>
  <c r="G15" i="11"/>
  <c r="V29" i="249"/>
  <c r="X29" i="249" s="1"/>
  <c r="Y29" i="249" s="1"/>
  <c r="F136" i="279"/>
  <c r="F132" i="279"/>
  <c r="F135" i="279"/>
  <c r="F139" i="279"/>
  <c r="F134" i="279"/>
  <c r="F131" i="279"/>
  <c r="F137" i="279"/>
  <c r="F138" i="279"/>
  <c r="F140" i="279"/>
  <c r="E98" i="241"/>
  <c r="H47" i="279"/>
  <c r="H51" i="279" s="1"/>
  <c r="H55" i="279" s="1"/>
  <c r="G126" i="279" s="1"/>
  <c r="F106" i="279"/>
  <c r="J73" i="241"/>
  <c r="K22" i="241"/>
  <c r="K30" i="241" s="1"/>
  <c r="E122" i="241"/>
  <c r="E137" i="241" s="1"/>
  <c r="J37" i="279"/>
  <c r="J80" i="279" s="1"/>
  <c r="K21" i="279"/>
  <c r="K19" i="279"/>
  <c r="J35" i="279"/>
  <c r="G95" i="279"/>
  <c r="F60" i="279"/>
  <c r="K27" i="279"/>
  <c r="K32" i="279" s="1"/>
  <c r="J32" i="279"/>
  <c r="F130" i="279"/>
  <c r="F133" i="279"/>
  <c r="U13" i="249"/>
  <c r="W13" i="249" s="1"/>
  <c r="X13" i="249" s="1"/>
  <c r="Y13" i="249" s="1"/>
  <c r="I78" i="279"/>
  <c r="I38" i="279"/>
  <c r="I81" i="279" s="1"/>
  <c r="J22" i="279"/>
  <c r="E130" i="279"/>
  <c r="E136" i="279"/>
  <c r="E134" i="279"/>
  <c r="E133" i="279"/>
  <c r="E139" i="279"/>
  <c r="E137" i="279"/>
  <c r="E131" i="279"/>
  <c r="E138" i="279"/>
  <c r="E140" i="279"/>
  <c r="E135" i="279"/>
  <c r="E132" i="279"/>
  <c r="F61" i="279"/>
  <c r="E37" i="126"/>
  <c r="E39" i="126"/>
  <c r="C44" i="156" s="1"/>
  <c r="E126" i="241"/>
  <c r="E141" i="241" s="1"/>
  <c r="H90" i="279"/>
  <c r="G103" i="279"/>
  <c r="G100" i="279"/>
  <c r="G101" i="279"/>
  <c r="G102" i="279"/>
  <c r="G99" i="279"/>
  <c r="G98" i="279"/>
  <c r="G104" i="279"/>
  <c r="G96" i="279"/>
  <c r="G97" i="279"/>
  <c r="I36" i="279"/>
  <c r="I79" i="279" s="1"/>
  <c r="J20" i="279"/>
  <c r="K88" i="279"/>
  <c r="L45" i="279"/>
  <c r="K80" i="241"/>
  <c r="F89" i="241"/>
  <c r="F91" i="241"/>
  <c r="F92" i="241"/>
  <c r="F95" i="241"/>
  <c r="F93" i="241"/>
  <c r="F94" i="241"/>
  <c r="F90" i="241"/>
  <c r="F87" i="241"/>
  <c r="F96" i="241"/>
  <c r="F88" i="241"/>
  <c r="E128" i="241"/>
  <c r="E143" i="241" s="1"/>
  <c r="F86" i="241"/>
  <c r="E123" i="241"/>
  <c r="E138" i="241" s="1"/>
  <c r="F118" i="241"/>
  <c r="F132" i="241" s="1"/>
  <c r="F53" i="241"/>
  <c r="F52" i="241"/>
  <c r="E132" i="241"/>
  <c r="E129" i="241"/>
  <c r="G82" i="241"/>
  <c r="G86" i="241" s="1"/>
  <c r="E146" i="241"/>
  <c r="E125" i="241"/>
  <c r="K19" i="241"/>
  <c r="K27" i="241" s="1"/>
  <c r="J24" i="241"/>
  <c r="H70" i="241"/>
  <c r="H39" i="241"/>
  <c r="H43" i="241" s="1"/>
  <c r="H47" i="241" s="1"/>
  <c r="L20" i="241"/>
  <c r="L28" i="241" s="1"/>
  <c r="K71" i="241"/>
  <c r="E127" i="241"/>
  <c r="E124" i="241"/>
  <c r="E130" i="241"/>
  <c r="K21" i="241"/>
  <c r="K29" i="241" s="1"/>
  <c r="J72" i="241"/>
  <c r="U12" i="249"/>
  <c r="W12" i="249" s="1"/>
  <c r="X12" i="249" s="1"/>
  <c r="Y12" i="249" s="1"/>
  <c r="V27" i="249"/>
  <c r="X27" i="249" s="1"/>
  <c r="Y27" i="249" s="1"/>
  <c r="U33" i="249"/>
  <c r="W33" i="249" s="1"/>
  <c r="X33" i="249" s="1"/>
  <c r="Y33" i="249" s="1"/>
  <c r="E24" i="11"/>
  <c r="V16" i="249"/>
  <c r="X16" i="249" s="1"/>
  <c r="Y16" i="249" s="1"/>
  <c r="U25" i="249"/>
  <c r="W25" i="249" s="1"/>
  <c r="X25" i="249" s="1"/>
  <c r="Y25" i="249" s="1"/>
  <c r="X20" i="249"/>
  <c r="U18" i="249"/>
  <c r="W18" i="249" s="1"/>
  <c r="X18" i="249" s="1"/>
  <c r="Y18" i="249" s="1"/>
  <c r="X23" i="249"/>
  <c r="Y17" i="249"/>
  <c r="X17" i="249"/>
  <c r="Y35" i="249"/>
  <c r="X35" i="249"/>
  <c r="O38" i="249"/>
  <c r="O42" i="249"/>
  <c r="O39" i="249"/>
  <c r="O40" i="249"/>
  <c r="T11" i="249"/>
  <c r="O37" i="249"/>
  <c r="O41" i="249"/>
  <c r="E40" i="14"/>
  <c r="E43" i="14" s="1"/>
  <c r="X22" i="249"/>
  <c r="B3" i="271"/>
  <c r="B180" i="73" s="1"/>
  <c r="E106" i="52"/>
  <c r="K45" i="52"/>
  <c r="J88" i="52"/>
  <c r="G94" i="52"/>
  <c r="F106" i="52"/>
  <c r="G101" i="52"/>
  <c r="G104" i="52"/>
  <c r="G100" i="52"/>
  <c r="G99" i="52"/>
  <c r="G102" i="52"/>
  <c r="G98" i="52"/>
  <c r="G103" i="52"/>
  <c r="G96" i="52"/>
  <c r="G97" i="52"/>
  <c r="H90" i="52"/>
  <c r="H97" i="52" s="1"/>
  <c r="K21" i="52"/>
  <c r="J37" i="52"/>
  <c r="J80" i="52" s="1"/>
  <c r="J20" i="52"/>
  <c r="I36" i="52"/>
  <c r="I79" i="52" s="1"/>
  <c r="J27" i="52"/>
  <c r="I32" i="52"/>
  <c r="J19" i="52"/>
  <c r="I35" i="52"/>
  <c r="I78" i="52" s="1"/>
  <c r="I24" i="52"/>
  <c r="J22" i="52"/>
  <c r="I38" i="52"/>
  <c r="I81" i="52" s="1"/>
  <c r="N9" i="6"/>
  <c r="M93" i="6"/>
  <c r="M94" i="6" s="1"/>
  <c r="X34" i="249"/>
  <c r="Y34" i="249" s="1"/>
  <c r="X19" i="249"/>
  <c r="X15" i="249"/>
  <c r="Y15" i="249" s="1"/>
  <c r="X32" i="249"/>
  <c r="Y32" i="249" s="1"/>
  <c r="X14" i="249"/>
  <c r="L92" i="52"/>
  <c r="L58" i="52"/>
  <c r="L108" i="52"/>
  <c r="L128" i="52" s="1"/>
  <c r="L142" i="52" s="1"/>
  <c r="M15" i="52"/>
  <c r="L74" i="52"/>
  <c r="V14" i="250"/>
  <c r="U14" i="250"/>
  <c r="W14" i="250" s="1"/>
  <c r="U17" i="250"/>
  <c r="W17" i="250" s="1"/>
  <c r="V17" i="250"/>
  <c r="E58" i="133"/>
  <c r="F31" i="126"/>
  <c r="G31" i="126" s="1"/>
  <c r="L9" i="126"/>
  <c r="U21" i="250"/>
  <c r="W21" i="250" s="1"/>
  <c r="V21" i="250"/>
  <c r="Y21" i="250" s="1"/>
  <c r="K18" i="133"/>
  <c r="B18" i="133" s="1"/>
  <c r="G18" i="133" s="1"/>
  <c r="B3" i="10" s="1"/>
  <c r="V35" i="250"/>
  <c r="U35" i="250"/>
  <c r="W35" i="250" s="1"/>
  <c r="N15" i="241"/>
  <c r="M66" i="241"/>
  <c r="M50" i="241"/>
  <c r="M100" i="241"/>
  <c r="M120" i="241" s="1"/>
  <c r="M135" i="241" s="1"/>
  <c r="X28" i="249"/>
  <c r="Y28" i="249" s="1"/>
  <c r="U24" i="250"/>
  <c r="W24" i="250" s="1"/>
  <c r="V24" i="250"/>
  <c r="Y24" i="250" s="1"/>
  <c r="P10" i="229"/>
  <c r="H18" i="229" s="1"/>
  <c r="B57" i="133"/>
  <c r="V28" i="250"/>
  <c r="U28" i="250"/>
  <c r="W28" i="250" s="1"/>
  <c r="V19" i="250"/>
  <c r="U19" i="250"/>
  <c r="W19" i="250" s="1"/>
  <c r="V23" i="250"/>
  <c r="U23" i="250"/>
  <c r="W23" i="250" s="1"/>
  <c r="F32" i="229"/>
  <c r="J32" i="229"/>
  <c r="N32" i="229"/>
  <c r="G32" i="229"/>
  <c r="K32" i="229"/>
  <c r="O32" i="229"/>
  <c r="H32" i="229"/>
  <c r="L32" i="229"/>
  <c r="P32" i="229"/>
  <c r="I32" i="229"/>
  <c r="M32" i="229"/>
  <c r="C33" i="229"/>
  <c r="V22" i="250"/>
  <c r="U22" i="250"/>
  <c r="W22" i="250" s="1"/>
  <c r="X26" i="249"/>
  <c r="U20" i="250"/>
  <c r="W20" i="250" s="1"/>
  <c r="V20" i="250"/>
  <c r="J28" i="48"/>
  <c r="J20" i="62" s="1"/>
  <c r="D62" i="6"/>
  <c r="I70" i="6"/>
  <c r="G69" i="6"/>
  <c r="F70" i="6"/>
  <c r="E65" i="11" l="1"/>
  <c r="C49" i="156" s="1"/>
  <c r="F49" i="156" s="1"/>
  <c r="D113" i="73" a="1"/>
  <c r="H35" i="73"/>
  <c r="H32" i="73"/>
  <c r="K22" i="133"/>
  <c r="J25" i="133"/>
  <c r="O6" i="278"/>
  <c r="F15" i="11"/>
  <c r="E43" i="126"/>
  <c r="C42" i="156"/>
  <c r="F42" i="156" s="1"/>
  <c r="F44" i="156"/>
  <c r="F122" i="241"/>
  <c r="F137" i="241" s="1"/>
  <c r="G130" i="279"/>
  <c r="G144" i="279" s="1"/>
  <c r="G133" i="279"/>
  <c r="G147" i="279" s="1"/>
  <c r="G139" i="279"/>
  <c r="G153" i="279" s="1"/>
  <c r="G135" i="279"/>
  <c r="G149" i="279" s="1"/>
  <c r="G131" i="279"/>
  <c r="G145" i="279" s="1"/>
  <c r="G137" i="279"/>
  <c r="G151" i="279" s="1"/>
  <c r="G140" i="279"/>
  <c r="G154" i="279" s="1"/>
  <c r="G161" i="279" s="1"/>
  <c r="G138" i="279"/>
  <c r="G152" i="279" s="1"/>
  <c r="G132" i="279"/>
  <c r="G146" i="279" s="1"/>
  <c r="G136" i="279"/>
  <c r="G150" i="279" s="1"/>
  <c r="G134" i="279"/>
  <c r="G148" i="279" s="1"/>
  <c r="G106" i="279"/>
  <c r="F129" i="241"/>
  <c r="F144" i="241" s="1"/>
  <c r="J24" i="279"/>
  <c r="H94" i="279"/>
  <c r="E146" i="279"/>
  <c r="F146" i="279"/>
  <c r="E145" i="279"/>
  <c r="F145" i="279"/>
  <c r="E148" i="279"/>
  <c r="H97" i="279"/>
  <c r="F125" i="241"/>
  <c r="F98" i="241"/>
  <c r="G60" i="279"/>
  <c r="F149" i="279"/>
  <c r="E149" i="279"/>
  <c r="E151" i="279"/>
  <c r="F151" i="279"/>
  <c r="F150" i="279"/>
  <c r="E150" i="279"/>
  <c r="I47" i="279"/>
  <c r="I51" i="279" s="1"/>
  <c r="I55" i="279" s="1"/>
  <c r="J78" i="279"/>
  <c r="F148" i="279"/>
  <c r="F154" i="279"/>
  <c r="F161" i="279" s="1"/>
  <c r="E154" i="279"/>
  <c r="E161" i="279" s="1"/>
  <c r="E153" i="279"/>
  <c r="F153" i="279"/>
  <c r="F144" i="279"/>
  <c r="E144" i="279"/>
  <c r="J38" i="279"/>
  <c r="J81" i="279" s="1"/>
  <c r="K22" i="279"/>
  <c r="I90" i="279"/>
  <c r="K35" i="279"/>
  <c r="K37" i="279"/>
  <c r="K80" i="279" s="1"/>
  <c r="L21" i="279"/>
  <c r="G61" i="279"/>
  <c r="M45" i="279"/>
  <c r="L88" i="279"/>
  <c r="J36" i="279"/>
  <c r="J79" i="279" s="1"/>
  <c r="K20" i="279"/>
  <c r="H102" i="279"/>
  <c r="H100" i="279"/>
  <c r="H103" i="279"/>
  <c r="H101" i="279"/>
  <c r="H99" i="279"/>
  <c r="H98" i="279"/>
  <c r="H104" i="279"/>
  <c r="H96" i="279"/>
  <c r="F152" i="279"/>
  <c r="E152" i="279"/>
  <c r="F147" i="279"/>
  <c r="E147" i="279"/>
  <c r="H95" i="279"/>
  <c r="K73" i="241"/>
  <c r="L22" i="241"/>
  <c r="L30" i="241" s="1"/>
  <c r="E133" i="241"/>
  <c r="F127" i="241"/>
  <c r="F142" i="241" s="1"/>
  <c r="F123" i="241"/>
  <c r="F138" i="241" s="1"/>
  <c r="G89" i="241"/>
  <c r="G91" i="241"/>
  <c r="G93" i="241"/>
  <c r="G94" i="241"/>
  <c r="G90" i="241"/>
  <c r="G92" i="241"/>
  <c r="G95" i="241"/>
  <c r="G96" i="241"/>
  <c r="G87" i="241"/>
  <c r="G88" i="241"/>
  <c r="F130" i="241"/>
  <c r="F145" i="241" s="1"/>
  <c r="L80" i="241"/>
  <c r="L21" i="241"/>
  <c r="L29" i="241" s="1"/>
  <c r="K72" i="241"/>
  <c r="G118" i="241"/>
  <c r="G127" i="241" s="1"/>
  <c r="G53" i="241"/>
  <c r="K24" i="241"/>
  <c r="I70" i="241"/>
  <c r="I39" i="241"/>
  <c r="I43" i="241" s="1"/>
  <c r="I47" i="241" s="1"/>
  <c r="F124" i="241"/>
  <c r="F128" i="241"/>
  <c r="F126" i="241"/>
  <c r="E145" i="241"/>
  <c r="H82" i="241"/>
  <c r="E144" i="241"/>
  <c r="E139" i="241"/>
  <c r="N20" i="241"/>
  <c r="N28" i="241" s="1"/>
  <c r="F147" i="241"/>
  <c r="F156" i="241" s="1"/>
  <c r="F157" i="241" s="1"/>
  <c r="E147" i="241"/>
  <c r="E156" i="241" s="1"/>
  <c r="E157" i="241" s="1"/>
  <c r="F131" i="241"/>
  <c r="G52" i="241"/>
  <c r="E142" i="241"/>
  <c r="E140" i="241"/>
  <c r="N84" i="241"/>
  <c r="O15" i="241"/>
  <c r="H94" i="52"/>
  <c r="G106" i="52"/>
  <c r="Y35" i="250"/>
  <c r="T39" i="249"/>
  <c r="V11" i="249"/>
  <c r="U11" i="249"/>
  <c r="T40" i="249"/>
  <c r="T37" i="249"/>
  <c r="T41" i="249"/>
  <c r="T38" i="249"/>
  <c r="T42" i="249"/>
  <c r="Y17" i="250"/>
  <c r="Y15" i="278"/>
  <c r="L45" i="52"/>
  <c r="K88" i="52"/>
  <c r="I90" i="52"/>
  <c r="I94" i="52" s="1"/>
  <c r="H104" i="52"/>
  <c r="H100" i="52"/>
  <c r="H99" i="52"/>
  <c r="H102" i="52"/>
  <c r="H98" i="52"/>
  <c r="H101" i="52"/>
  <c r="H103" i="52"/>
  <c r="H96" i="52"/>
  <c r="H95" i="52"/>
  <c r="K37" i="52"/>
  <c r="K80" i="52" s="1"/>
  <c r="L21" i="52"/>
  <c r="K22" i="52"/>
  <c r="J38" i="52"/>
  <c r="J81" i="52" s="1"/>
  <c r="K27" i="52"/>
  <c r="K32" i="52" s="1"/>
  <c r="J32" i="52"/>
  <c r="K19" i="52"/>
  <c r="J35" i="52"/>
  <c r="J78" i="52" s="1"/>
  <c r="J24" i="52"/>
  <c r="K20" i="52"/>
  <c r="J36" i="52"/>
  <c r="J79" i="52" s="1"/>
  <c r="X24" i="256"/>
  <c r="X21" i="256"/>
  <c r="Y21" i="256" s="1"/>
  <c r="N18" i="229"/>
  <c r="F18" i="229"/>
  <c r="K18" i="229"/>
  <c r="L18" i="229"/>
  <c r="O18" i="229"/>
  <c r="G18" i="229"/>
  <c r="O9" i="6"/>
  <c r="O93" i="6" s="1"/>
  <c r="N93" i="6"/>
  <c r="M92" i="52"/>
  <c r="M108" i="52"/>
  <c r="M128" i="52" s="1"/>
  <c r="M142" i="52" s="1"/>
  <c r="N15" i="52"/>
  <c r="O15" i="52" s="1"/>
  <c r="M74" i="52"/>
  <c r="M58" i="52"/>
  <c r="B59" i="133"/>
  <c r="G59" i="133" s="1"/>
  <c r="B58" i="133"/>
  <c r="M18" i="229"/>
  <c r="I18" i="229"/>
  <c r="P18" i="229"/>
  <c r="J18" i="229"/>
  <c r="B3" i="8"/>
  <c r="L10" i="126"/>
  <c r="L11" i="126" s="1"/>
  <c r="L37" i="126"/>
  <c r="L39" i="126"/>
  <c r="J27" i="62"/>
  <c r="J35" i="62"/>
  <c r="J31" i="62"/>
  <c r="J35" i="48"/>
  <c r="J43" i="48"/>
  <c r="J39" i="48"/>
  <c r="G62" i="6"/>
  <c r="K62" i="6"/>
  <c r="O62" i="6"/>
  <c r="F72" i="6" s="1"/>
  <c r="H62" i="6"/>
  <c r="L62" i="6"/>
  <c r="I62" i="6"/>
  <c r="M62" i="6"/>
  <c r="F62" i="6"/>
  <c r="J62" i="6"/>
  <c r="N62" i="6"/>
  <c r="Y26" i="249"/>
  <c r="I33" i="229"/>
  <c r="M33" i="229"/>
  <c r="C34" i="229"/>
  <c r="F33" i="229"/>
  <c r="J33" i="229"/>
  <c r="N33" i="229"/>
  <c r="G33" i="229"/>
  <c r="K33" i="229"/>
  <c r="O33" i="229"/>
  <c r="H33" i="229"/>
  <c r="L33" i="229"/>
  <c r="P33" i="229"/>
  <c r="G57" i="133"/>
  <c r="E59" i="133"/>
  <c r="B3" i="173" s="1"/>
  <c r="N50" i="241"/>
  <c r="N100" i="241"/>
  <c r="N120" i="241" s="1"/>
  <c r="N135" i="241" s="1"/>
  <c r="N66" i="241"/>
  <c r="R23" i="62"/>
  <c r="R24" i="62"/>
  <c r="R31" i="48"/>
  <c r="R32" i="48"/>
  <c r="H3" i="10"/>
  <c r="L38" i="126"/>
  <c r="E104" i="73" l="1"/>
  <c r="F13" i="236" s="1"/>
  <c r="K24" i="279"/>
  <c r="X8" i="241"/>
  <c r="Z12" i="279"/>
  <c r="H135" i="73"/>
  <c r="H158" i="73" s="1"/>
  <c r="H109" i="73"/>
  <c r="H124" i="73"/>
  <c r="H147" i="73" s="1"/>
  <c r="Z12" i="52"/>
  <c r="H172" i="73"/>
  <c r="H36" i="73"/>
  <c r="H20" i="73" s="1"/>
  <c r="H37" i="73"/>
  <c r="F113" i="73"/>
  <c r="F114" i="73" s="1"/>
  <c r="G113" i="73"/>
  <c r="G114" i="73" s="1"/>
  <c r="E113" i="73"/>
  <c r="E114" i="73" s="1"/>
  <c r="F9" i="236" s="1"/>
  <c r="D113" i="73"/>
  <c r="L24" i="241"/>
  <c r="G124" i="241"/>
  <c r="G139" i="241" s="1"/>
  <c r="B3" i="2"/>
  <c r="B3" i="5"/>
  <c r="K25" i="133"/>
  <c r="J26" i="133"/>
  <c r="K26" i="133" s="1"/>
  <c r="B3" i="245"/>
  <c r="F31" i="243" s="1"/>
  <c r="F44" i="243" s="1"/>
  <c r="F31" i="11"/>
  <c r="F34" i="11" s="1"/>
  <c r="F35" i="11" s="1"/>
  <c r="F37" i="11" s="1"/>
  <c r="F55" i="11"/>
  <c r="F21" i="11"/>
  <c r="F22" i="11"/>
  <c r="O19" i="278"/>
  <c r="X19" i="278" s="1"/>
  <c r="O28" i="278"/>
  <c r="X28" i="278" s="1"/>
  <c r="Y28" i="278" s="1"/>
  <c r="O26" i="278"/>
  <c r="T26" i="278" s="1"/>
  <c r="O44" i="278"/>
  <c r="O24" i="278"/>
  <c r="O34" i="278"/>
  <c r="T34" i="278" s="1"/>
  <c r="O25" i="278"/>
  <c r="T25" i="278" s="1"/>
  <c r="O11" i="278"/>
  <c r="O35" i="278"/>
  <c r="X35" i="278" s="1"/>
  <c r="O33" i="278"/>
  <c r="T33" i="278" s="1"/>
  <c r="O16" i="278"/>
  <c r="T16" i="278" s="1"/>
  <c r="O18" i="278"/>
  <c r="T18" i="278" s="1"/>
  <c r="O12" i="278"/>
  <c r="T12" i="278" s="1"/>
  <c r="O23" i="278"/>
  <c r="X23" i="278" s="1"/>
  <c r="O14" i="278"/>
  <c r="X14" i="278" s="1"/>
  <c r="O20" i="278"/>
  <c r="X20" i="278" s="1"/>
  <c r="O22" i="278"/>
  <c r="X22" i="278" s="1"/>
  <c r="O29" i="278"/>
  <c r="T29" i="278" s="1"/>
  <c r="O21" i="278"/>
  <c r="O15" i="278"/>
  <c r="T15" i="278" s="1"/>
  <c r="O46" i="278"/>
  <c r="O27" i="278"/>
  <c r="T27" i="278" s="1"/>
  <c r="O17" i="278"/>
  <c r="X17" i="278" s="1"/>
  <c r="O32" i="278"/>
  <c r="T32" i="278" s="1"/>
  <c r="O13" i="278"/>
  <c r="T13" i="278" s="1"/>
  <c r="B3" i="66"/>
  <c r="B3" i="52"/>
  <c r="G126" i="241"/>
  <c r="G141" i="241" s="1"/>
  <c r="H118" i="241"/>
  <c r="H130" i="241" s="1"/>
  <c r="G122" i="241"/>
  <c r="G137" i="241" s="1"/>
  <c r="G123" i="241"/>
  <c r="G138" i="241" s="1"/>
  <c r="G131" i="241"/>
  <c r="G146" i="241" s="1"/>
  <c r="G125" i="241"/>
  <c r="G140" i="241" s="1"/>
  <c r="G128" i="241"/>
  <c r="G143" i="241" s="1"/>
  <c r="G130" i="241"/>
  <c r="G145" i="241" s="1"/>
  <c r="G132" i="241"/>
  <c r="G147" i="241" s="1"/>
  <c r="G156" i="241" s="1"/>
  <c r="G157" i="241" s="1"/>
  <c r="G129" i="241"/>
  <c r="G144" i="241" s="1"/>
  <c r="I94" i="279"/>
  <c r="I101" i="279"/>
  <c r="I102" i="279"/>
  <c r="I100" i="279"/>
  <c r="I99" i="279"/>
  <c r="I103" i="279"/>
  <c r="I98" i="279"/>
  <c r="I104" i="279"/>
  <c r="I96" i="279"/>
  <c r="B3" i="280"/>
  <c r="E12" i="52" s="1"/>
  <c r="F140" i="241"/>
  <c r="M22" i="241"/>
  <c r="M30" i="241" s="1"/>
  <c r="L73" i="241"/>
  <c r="I97" i="279"/>
  <c r="K38" i="279"/>
  <c r="K81" i="279" s="1"/>
  <c r="L22" i="279"/>
  <c r="H126" i="279"/>
  <c r="H61" i="279"/>
  <c r="N45" i="279"/>
  <c r="M88" i="279"/>
  <c r="L37" i="279"/>
  <c r="L80" i="279" s="1"/>
  <c r="M21" i="279"/>
  <c r="J90" i="279"/>
  <c r="J94" i="279" s="1"/>
  <c r="H106" i="279"/>
  <c r="L20" i="279"/>
  <c r="K36" i="279"/>
  <c r="K79" i="279" s="1"/>
  <c r="H60" i="279"/>
  <c r="K78" i="279"/>
  <c r="B3" i="279"/>
  <c r="J47" i="279"/>
  <c r="J51" i="279" s="1"/>
  <c r="J55" i="279" s="1"/>
  <c r="I95" i="279"/>
  <c r="F133" i="241"/>
  <c r="G98" i="241"/>
  <c r="E148" i="241"/>
  <c r="G142" i="241"/>
  <c r="F139" i="241"/>
  <c r="H89" i="241"/>
  <c r="H92" i="241"/>
  <c r="H90" i="241"/>
  <c r="H94" i="241"/>
  <c r="H93" i="241"/>
  <c r="H95" i="241"/>
  <c r="H91" i="241"/>
  <c r="H87" i="241"/>
  <c r="H96" i="241"/>
  <c r="H88" i="241"/>
  <c r="M80" i="241"/>
  <c r="H86" i="241"/>
  <c r="F141" i="241"/>
  <c r="F143" i="241"/>
  <c r="F146" i="241"/>
  <c r="J70" i="241"/>
  <c r="J39" i="241"/>
  <c r="J43" i="241" s="1"/>
  <c r="J47" i="241" s="1"/>
  <c r="M21" i="241"/>
  <c r="M29" i="241" s="1"/>
  <c r="L72" i="241"/>
  <c r="H53" i="241"/>
  <c r="H52" i="241"/>
  <c r="I82" i="241"/>
  <c r="O20" i="241"/>
  <c r="O28" i="241" s="1"/>
  <c r="D21" i="11"/>
  <c r="U40" i="249"/>
  <c r="U37" i="249"/>
  <c r="U41" i="249"/>
  <c r="U38" i="249"/>
  <c r="U42" i="249"/>
  <c r="U39" i="249"/>
  <c r="W11" i="249"/>
  <c r="V41" i="249"/>
  <c r="V38" i="249"/>
  <c r="V42" i="249"/>
  <c r="V39" i="249"/>
  <c r="V40" i="249"/>
  <c r="V37" i="249"/>
  <c r="O17" i="250"/>
  <c r="X17" i="250" s="1"/>
  <c r="O16" i="250"/>
  <c r="T16" i="250" s="1"/>
  <c r="O32" i="250"/>
  <c r="T32" i="250" s="1"/>
  <c r="O18" i="250"/>
  <c r="T18" i="250" s="1"/>
  <c r="O34" i="250"/>
  <c r="T34" i="250" s="1"/>
  <c r="O35" i="250"/>
  <c r="X35" i="250" s="1"/>
  <c r="O23" i="250"/>
  <c r="X23" i="250" s="1"/>
  <c r="O21" i="250"/>
  <c r="O20" i="250"/>
  <c r="X20" i="250" s="1"/>
  <c r="O22" i="250"/>
  <c r="X22" i="250" s="1"/>
  <c r="O28" i="250"/>
  <c r="X28" i="250" s="1"/>
  <c r="Y28" i="250" s="1"/>
  <c r="O44" i="250"/>
  <c r="O25" i="250"/>
  <c r="O24" i="250"/>
  <c r="O26" i="250"/>
  <c r="T26" i="250" s="1"/>
  <c r="O11" i="250"/>
  <c r="O46" i="250"/>
  <c r="O13" i="250"/>
  <c r="T13" i="250" s="1"/>
  <c r="O12" i="250"/>
  <c r="T12" i="250" s="1"/>
  <c r="O27" i="250"/>
  <c r="T27" i="250" s="1"/>
  <c r="O14" i="250"/>
  <c r="X14" i="250" s="1"/>
  <c r="O29" i="250"/>
  <c r="O19" i="250"/>
  <c r="X19" i="250" s="1"/>
  <c r="O33" i="250"/>
  <c r="T33" i="250" s="1"/>
  <c r="O15" i="250"/>
  <c r="T15" i="250" s="1"/>
  <c r="G55" i="11"/>
  <c r="G31" i="11"/>
  <c r="G34" i="11" s="1"/>
  <c r="G35" i="11" s="1"/>
  <c r="G37" i="11" s="1"/>
  <c r="G21" i="11"/>
  <c r="G22" i="11"/>
  <c r="B3" i="6"/>
  <c r="J19" i="39" s="1"/>
  <c r="B3" i="229"/>
  <c r="H106" i="52"/>
  <c r="M45" i="52"/>
  <c r="L88" i="52"/>
  <c r="I97" i="52"/>
  <c r="I95" i="52"/>
  <c r="J90" i="52"/>
  <c r="J97" i="52" s="1"/>
  <c r="I104" i="52"/>
  <c r="I100" i="52"/>
  <c r="I99" i="52"/>
  <c r="I102" i="52"/>
  <c r="I98" i="52"/>
  <c r="I101" i="52"/>
  <c r="I103" i="52"/>
  <c r="I96" i="52"/>
  <c r="K35" i="52"/>
  <c r="K78" i="52" s="1"/>
  <c r="K24" i="52"/>
  <c r="K38" i="52"/>
  <c r="K81" i="52" s="1"/>
  <c r="L22" i="52"/>
  <c r="K36" i="52"/>
  <c r="K79" i="52" s="1"/>
  <c r="L20" i="52"/>
  <c r="M21" i="52"/>
  <c r="L37" i="52"/>
  <c r="L80" i="52" s="1"/>
  <c r="N94" i="6"/>
  <c r="O94" i="6"/>
  <c r="B96" i="6" a="1"/>
  <c r="N92" i="52"/>
  <c r="N74" i="52"/>
  <c r="N58" i="52"/>
  <c r="N108" i="52"/>
  <c r="N128" i="52" s="1"/>
  <c r="N142" i="52" s="1"/>
  <c r="R18" i="229"/>
  <c r="J23" i="62"/>
  <c r="J31" i="48"/>
  <c r="J40" i="48"/>
  <c r="L39" i="48"/>
  <c r="N39" i="48"/>
  <c r="J36" i="62"/>
  <c r="L35" i="62"/>
  <c r="N35" i="62"/>
  <c r="G58" i="133"/>
  <c r="J44" i="48"/>
  <c r="L43" i="48"/>
  <c r="N43" i="48"/>
  <c r="J28" i="62"/>
  <c r="L27" i="62"/>
  <c r="N27" i="62"/>
  <c r="B21" i="133"/>
  <c r="G21" i="133" s="1"/>
  <c r="B3" i="39" s="1"/>
  <c r="H34" i="229"/>
  <c r="L34" i="229"/>
  <c r="P34" i="229"/>
  <c r="I34" i="229"/>
  <c r="M34" i="229"/>
  <c r="C35" i="229"/>
  <c r="F34" i="229"/>
  <c r="J34" i="229"/>
  <c r="N34" i="229"/>
  <c r="G34" i="229"/>
  <c r="K34" i="229"/>
  <c r="O34" i="229"/>
  <c r="J36" i="48"/>
  <c r="L35" i="48"/>
  <c r="N35" i="48"/>
  <c r="R40" i="62"/>
  <c r="R51" i="48"/>
  <c r="R49" i="62"/>
  <c r="R50" i="48"/>
  <c r="L9" i="40"/>
  <c r="J32" i="62"/>
  <c r="L31" i="62"/>
  <c r="N31" i="62"/>
  <c r="L40" i="126"/>
  <c r="F24" i="11" l="1"/>
  <c r="H39" i="73"/>
  <c r="H41" i="73" s="1"/>
  <c r="F14" i="243"/>
  <c r="E12" i="241"/>
  <c r="U16" i="278"/>
  <c r="W16" i="278" s="1"/>
  <c r="V16" i="278"/>
  <c r="V25" i="278"/>
  <c r="U25" i="278"/>
  <c r="W25" i="278" s="1"/>
  <c r="V26" i="278"/>
  <c r="U26" i="278"/>
  <c r="W26" i="278" s="1"/>
  <c r="U27" i="278"/>
  <c r="W27" i="278" s="1"/>
  <c r="V27" i="278"/>
  <c r="V29" i="278"/>
  <c r="U29" i="278"/>
  <c r="W29" i="278" s="1"/>
  <c r="U33" i="278"/>
  <c r="W33" i="278" s="1"/>
  <c r="V33" i="278"/>
  <c r="V34" i="278"/>
  <c r="U34" i="278"/>
  <c r="W34" i="278" s="1"/>
  <c r="V13" i="278"/>
  <c r="U13" i="278"/>
  <c r="W13" i="278" s="1"/>
  <c r="U12" i="278"/>
  <c r="W12" i="278" s="1"/>
  <c r="V12" i="278"/>
  <c r="V32" i="278"/>
  <c r="U32" i="278"/>
  <c r="W32" i="278" s="1"/>
  <c r="V15" i="278"/>
  <c r="U15" i="278"/>
  <c r="W15" i="278" s="1"/>
  <c r="U18" i="278"/>
  <c r="W18" i="278" s="1"/>
  <c r="V18" i="278"/>
  <c r="T11" i="278"/>
  <c r="O39" i="278"/>
  <c r="O37" i="278"/>
  <c r="O40" i="278"/>
  <c r="O38" i="278"/>
  <c r="O41" i="278"/>
  <c r="O42" i="278"/>
  <c r="H124" i="241"/>
  <c r="H139" i="241" s="1"/>
  <c r="H127" i="241"/>
  <c r="H142" i="241" s="1"/>
  <c r="H125" i="241"/>
  <c r="H140" i="241" s="1"/>
  <c r="H123" i="241"/>
  <c r="H138" i="241" s="1"/>
  <c r="H129" i="241"/>
  <c r="H144" i="241" s="1"/>
  <c r="H131" i="241"/>
  <c r="H146" i="241" s="1"/>
  <c r="H122" i="241"/>
  <c r="H137" i="241" s="1"/>
  <c r="H128" i="241"/>
  <c r="H143" i="241" s="1"/>
  <c r="H126" i="241"/>
  <c r="H141" i="241" s="1"/>
  <c r="H132" i="241"/>
  <c r="H147" i="241" s="1"/>
  <c r="H156" i="241" s="1"/>
  <c r="H157" i="241" s="1"/>
  <c r="U13" i="279"/>
  <c r="U13" i="52"/>
  <c r="E176" i="73"/>
  <c r="V9" i="241"/>
  <c r="V13" i="279"/>
  <c r="V13" i="52"/>
  <c r="F176" i="73"/>
  <c r="W9" i="241"/>
  <c r="W13" i="279"/>
  <c r="W13" i="52"/>
  <c r="G176" i="73"/>
  <c r="C113" i="73"/>
  <c r="D114" i="73"/>
  <c r="D31" i="11"/>
  <c r="D34" i="11" s="1"/>
  <c r="D35" i="11" s="1"/>
  <c r="D37" i="11" s="1"/>
  <c r="G133" i="241"/>
  <c r="J97" i="279"/>
  <c r="H98" i="241"/>
  <c r="F148" i="241"/>
  <c r="L36" i="279"/>
  <c r="L24" i="279"/>
  <c r="J99" i="279"/>
  <c r="J101" i="279"/>
  <c r="J102" i="279"/>
  <c r="J100" i="279"/>
  <c r="J103" i="279"/>
  <c r="J98" i="279"/>
  <c r="J104" i="279"/>
  <c r="J96" i="279"/>
  <c r="M37" i="279"/>
  <c r="N22" i="241"/>
  <c r="N30" i="241" s="1"/>
  <c r="M73" i="241"/>
  <c r="N88" i="279"/>
  <c r="O45" i="279"/>
  <c r="K47" i="279"/>
  <c r="K51" i="279" s="1"/>
  <c r="K55" i="279" s="1"/>
  <c r="I60" i="279"/>
  <c r="M22" i="279"/>
  <c r="L38" i="279"/>
  <c r="L81" i="279" s="1"/>
  <c r="I106" i="279"/>
  <c r="I126" i="279"/>
  <c r="I61" i="279"/>
  <c r="K90" i="279"/>
  <c r="K97" i="279" s="1"/>
  <c r="H130" i="279"/>
  <c r="H136" i="279"/>
  <c r="H132" i="279"/>
  <c r="H131" i="279"/>
  <c r="H133" i="279"/>
  <c r="H135" i="279"/>
  <c r="H139" i="279"/>
  <c r="H140" i="279"/>
  <c r="H137" i="279"/>
  <c r="H138" i="279"/>
  <c r="H134" i="279"/>
  <c r="J95" i="279"/>
  <c r="I89" i="241"/>
  <c r="I92" i="241"/>
  <c r="I95" i="241"/>
  <c r="I90" i="241"/>
  <c r="I91" i="241"/>
  <c r="I94" i="241"/>
  <c r="I93" i="241"/>
  <c r="I87" i="241"/>
  <c r="I96" i="241"/>
  <c r="I88" i="241"/>
  <c r="O80" i="241"/>
  <c r="N80" i="241"/>
  <c r="I86" i="241"/>
  <c r="G148" i="241"/>
  <c r="H145" i="241"/>
  <c r="L71" i="241"/>
  <c r="L39" i="241"/>
  <c r="L43" i="241" s="1"/>
  <c r="L47" i="241" s="1"/>
  <c r="J82" i="241"/>
  <c r="O21" i="241"/>
  <c r="M24" i="241"/>
  <c r="I52" i="241"/>
  <c r="K70" i="241"/>
  <c r="K39" i="241"/>
  <c r="K43" i="241" s="1"/>
  <c r="K47" i="241" s="1"/>
  <c r="K69" i="73" s="1" a="1"/>
  <c r="I118" i="241"/>
  <c r="I126" i="241" s="1"/>
  <c r="I53" i="241"/>
  <c r="D55" i="11"/>
  <c r="D22" i="11"/>
  <c r="D24" i="11" s="1"/>
  <c r="T29" i="250"/>
  <c r="T25" i="250"/>
  <c r="G24" i="11"/>
  <c r="X11" i="249"/>
  <c r="W38" i="249"/>
  <c r="W42" i="249"/>
  <c r="W39" i="249"/>
  <c r="W40" i="249"/>
  <c r="W37" i="249"/>
  <c r="W41" i="249"/>
  <c r="O22" i="256"/>
  <c r="X22" i="256" s="1"/>
  <c r="O13" i="256"/>
  <c r="T13" i="256" s="1"/>
  <c r="O35" i="256"/>
  <c r="X35" i="256" s="1"/>
  <c r="O14" i="256"/>
  <c r="X14" i="256" s="1"/>
  <c r="O23" i="256"/>
  <c r="X23" i="256" s="1"/>
  <c r="O18" i="256"/>
  <c r="T18" i="256" s="1"/>
  <c r="O25" i="256"/>
  <c r="O29" i="256"/>
  <c r="O28" i="256"/>
  <c r="X28" i="256" s="1"/>
  <c r="Y28" i="256" s="1"/>
  <c r="O32" i="256"/>
  <c r="T32" i="256" s="1"/>
  <c r="O17" i="256"/>
  <c r="T17" i="256" s="1"/>
  <c r="O21" i="256"/>
  <c r="T21" i="256" s="1"/>
  <c r="O27" i="256"/>
  <c r="T27" i="256" s="1"/>
  <c r="O16" i="256"/>
  <c r="T16" i="256" s="1"/>
  <c r="O20" i="256"/>
  <c r="X20" i="256" s="1"/>
  <c r="O44" i="256"/>
  <c r="O33" i="256"/>
  <c r="T33" i="256" s="1"/>
  <c r="O34" i="256"/>
  <c r="T34" i="256" s="1"/>
  <c r="O12" i="256"/>
  <c r="T12" i="256" s="1"/>
  <c r="O15" i="256"/>
  <c r="T15" i="256" s="1"/>
  <c r="O19" i="256"/>
  <c r="X19" i="256" s="1"/>
  <c r="O24" i="256"/>
  <c r="T24" i="256" s="1"/>
  <c r="O46" i="256"/>
  <c r="O11" i="256"/>
  <c r="O26" i="256"/>
  <c r="T26" i="256" s="1"/>
  <c r="U12" i="250"/>
  <c r="W12" i="250" s="1"/>
  <c r="V12" i="250"/>
  <c r="V15" i="250"/>
  <c r="U15" i="250"/>
  <c r="W15" i="250" s="1"/>
  <c r="V26" i="250"/>
  <c r="U26" i="250"/>
  <c r="W26" i="250" s="1"/>
  <c r="V18" i="250"/>
  <c r="U18" i="250"/>
  <c r="W18" i="250" s="1"/>
  <c r="V33" i="250"/>
  <c r="U33" i="250"/>
  <c r="W33" i="250" s="1"/>
  <c r="U27" i="250"/>
  <c r="W27" i="250" s="1"/>
  <c r="V27" i="250"/>
  <c r="U32" i="250"/>
  <c r="W32" i="250" s="1"/>
  <c r="V32" i="250"/>
  <c r="U16" i="250"/>
  <c r="W16" i="250" s="1"/>
  <c r="V16" i="250"/>
  <c r="U13" i="250"/>
  <c r="W13" i="250" s="1"/>
  <c r="V13" i="250"/>
  <c r="O38" i="250"/>
  <c r="O42" i="250"/>
  <c r="T11" i="250"/>
  <c r="O39" i="250"/>
  <c r="O40" i="250"/>
  <c r="O37" i="250"/>
  <c r="O41" i="250"/>
  <c r="U34" i="250"/>
  <c r="W34" i="250" s="1"/>
  <c r="V34" i="250"/>
  <c r="N45" i="52"/>
  <c r="M88" i="52"/>
  <c r="R28" i="62"/>
  <c r="R36" i="48"/>
  <c r="R35" i="48"/>
  <c r="R36" i="62"/>
  <c r="R43" i="48"/>
  <c r="R40" i="48"/>
  <c r="R27" i="62"/>
  <c r="R31" i="62"/>
  <c r="R39" i="48"/>
  <c r="R35" i="62"/>
  <c r="R32" i="62"/>
  <c r="R44" i="48"/>
  <c r="J94" i="52"/>
  <c r="I106" i="52"/>
  <c r="J95" i="52"/>
  <c r="K90" i="52"/>
  <c r="K94" i="52" s="1"/>
  <c r="J99" i="52"/>
  <c r="J102" i="52"/>
  <c r="J98" i="52"/>
  <c r="J101" i="52"/>
  <c r="J104" i="52"/>
  <c r="J100" i="52"/>
  <c r="J103" i="52"/>
  <c r="J96" i="52"/>
  <c r="L38" i="52"/>
  <c r="L81" i="52" s="1"/>
  <c r="M22" i="52"/>
  <c r="O21" i="52"/>
  <c r="M37" i="52"/>
  <c r="M80" i="52" s="1"/>
  <c r="L36" i="52"/>
  <c r="L79" i="52" s="1"/>
  <c r="L24" i="52"/>
  <c r="B98" i="6"/>
  <c r="B102" i="6"/>
  <c r="B96" i="6"/>
  <c r="B97" i="6"/>
  <c r="B101" i="6"/>
  <c r="B105" i="6"/>
  <c r="B99" i="6"/>
  <c r="B103" i="6"/>
  <c r="B100" i="6"/>
  <c r="B104" i="6"/>
  <c r="N32" i="62"/>
  <c r="L32" i="62"/>
  <c r="L36" i="48"/>
  <c r="N36" i="48"/>
  <c r="G35" i="229"/>
  <c r="K35" i="229"/>
  <c r="O35" i="229"/>
  <c r="H35" i="229"/>
  <c r="L35" i="229"/>
  <c r="P35" i="229"/>
  <c r="I35" i="229"/>
  <c r="M35" i="229"/>
  <c r="C36" i="229"/>
  <c r="F35" i="229"/>
  <c r="J35" i="229"/>
  <c r="N35" i="229"/>
  <c r="N28" i="62"/>
  <c r="L28" i="62"/>
  <c r="J24" i="62"/>
  <c r="N23" i="62"/>
  <c r="L23" i="62"/>
  <c r="B22" i="133"/>
  <c r="G22" i="133" s="1"/>
  <c r="B3" i="41" s="1"/>
  <c r="J25" i="39" s="1"/>
  <c r="L40" i="48"/>
  <c r="N40" i="48"/>
  <c r="L44" i="48"/>
  <c r="N44" i="48"/>
  <c r="N36" i="62"/>
  <c r="L36" i="62"/>
  <c r="J32" i="48"/>
  <c r="L31" i="48"/>
  <c r="N31" i="48"/>
  <c r="G65" i="11" l="1"/>
  <c r="G104" i="73" s="1"/>
  <c r="F65" i="11"/>
  <c r="F104" i="73" s="1"/>
  <c r="D65" i="11"/>
  <c r="D104" i="73" s="1"/>
  <c r="E13" i="236" s="1"/>
  <c r="E9" i="236"/>
  <c r="D9" i="236" s="1"/>
  <c r="C9" i="236" s="1"/>
  <c r="T13" i="52"/>
  <c r="T13" i="279"/>
  <c r="X32" i="278"/>
  <c r="Y32" i="278" s="1"/>
  <c r="X13" i="278"/>
  <c r="Y13" i="278" s="1"/>
  <c r="X25" i="278"/>
  <c r="Y25" i="278" s="1"/>
  <c r="C51" i="156"/>
  <c r="F51" i="156" s="1"/>
  <c r="X15" i="278"/>
  <c r="X12" i="278"/>
  <c r="Y12" i="278" s="1"/>
  <c r="X16" i="278"/>
  <c r="Y16" i="278" s="1"/>
  <c r="X18" i="278"/>
  <c r="Y18" i="278" s="1"/>
  <c r="X33" i="278"/>
  <c r="Y33" i="278" s="1"/>
  <c r="X27" i="278"/>
  <c r="Y27" i="278" s="1"/>
  <c r="V11" i="278"/>
  <c r="U11" i="278"/>
  <c r="T37" i="278"/>
  <c r="T41" i="278"/>
  <c r="T42" i="278"/>
  <c r="T40" i="278"/>
  <c r="T39" i="278"/>
  <c r="T38" i="278"/>
  <c r="X34" i="278"/>
  <c r="Y34" i="278" s="1"/>
  <c r="X29" i="278"/>
  <c r="Y29" i="278" s="1"/>
  <c r="X26" i="278"/>
  <c r="Y26" i="278" s="1"/>
  <c r="H133" i="241"/>
  <c r="K69" i="73"/>
  <c r="K74" i="73"/>
  <c r="K70" i="73"/>
  <c r="K72" i="73"/>
  <c r="K73" i="73"/>
  <c r="K71" i="73"/>
  <c r="D176" i="73"/>
  <c r="H114" i="73"/>
  <c r="D10" i="282" s="1"/>
  <c r="I98" i="241"/>
  <c r="J106" i="279"/>
  <c r="H149" i="279"/>
  <c r="H152" i="279"/>
  <c r="H150" i="279"/>
  <c r="L79" i="279"/>
  <c r="L47" i="279"/>
  <c r="L51" i="279" s="1"/>
  <c r="L55" i="279" s="1"/>
  <c r="H151" i="279"/>
  <c r="H147" i="279"/>
  <c r="H144" i="279"/>
  <c r="K94" i="279"/>
  <c r="K103" i="279"/>
  <c r="K99" i="279"/>
  <c r="K101" i="279"/>
  <c r="K102" i="279"/>
  <c r="K100" i="279"/>
  <c r="K98" i="279"/>
  <c r="K104" i="279"/>
  <c r="K96" i="279"/>
  <c r="J126" i="279"/>
  <c r="J61" i="279"/>
  <c r="K95" i="279"/>
  <c r="M80" i="279"/>
  <c r="H154" i="279"/>
  <c r="H161" i="279" s="1"/>
  <c r="H145" i="279"/>
  <c r="J60" i="279"/>
  <c r="M38" i="279"/>
  <c r="M81" i="279" s="1"/>
  <c r="N22" i="279"/>
  <c r="O88" i="279"/>
  <c r="O47" i="279"/>
  <c r="O51" i="279" s="1"/>
  <c r="O55" i="279" s="1"/>
  <c r="M24" i="279"/>
  <c r="C73" i="156"/>
  <c r="F73" i="156" s="1"/>
  <c r="H148" i="279"/>
  <c r="H153" i="279"/>
  <c r="H146" i="279"/>
  <c r="I139" i="279"/>
  <c r="I153" i="279" s="1"/>
  <c r="I138" i="279"/>
  <c r="I152" i="279" s="1"/>
  <c r="I134" i="279"/>
  <c r="I148" i="279" s="1"/>
  <c r="I132" i="279"/>
  <c r="I146" i="279" s="1"/>
  <c r="I140" i="279"/>
  <c r="I154" i="279" s="1"/>
  <c r="I161" i="279" s="1"/>
  <c r="I133" i="279"/>
  <c r="I131" i="279"/>
  <c r="I136" i="279"/>
  <c r="I150" i="279" s="1"/>
  <c r="I135" i="279"/>
  <c r="I149" i="279" s="1"/>
  <c r="I130" i="279"/>
  <c r="I144" i="279" s="1"/>
  <c r="I137" i="279"/>
  <c r="I151" i="279" s="1"/>
  <c r="N24" i="241"/>
  <c r="H148" i="241"/>
  <c r="J89" i="241"/>
  <c r="J91" i="241"/>
  <c r="J94" i="241"/>
  <c r="J90" i="241"/>
  <c r="J92" i="241"/>
  <c r="J95" i="241"/>
  <c r="J93" i="241"/>
  <c r="J96" i="241"/>
  <c r="J87" i="241"/>
  <c r="J88" i="241"/>
  <c r="J86" i="241"/>
  <c r="I141" i="241"/>
  <c r="J118" i="241"/>
  <c r="J127" i="241" s="1"/>
  <c r="J53" i="241"/>
  <c r="K82" i="241"/>
  <c r="K86" i="241" s="1"/>
  <c r="I132" i="241"/>
  <c r="I130" i="241"/>
  <c r="K118" i="241"/>
  <c r="J52" i="241"/>
  <c r="I122" i="241"/>
  <c r="I125" i="241"/>
  <c r="I127" i="241"/>
  <c r="L82" i="241"/>
  <c r="I123" i="241"/>
  <c r="I129" i="241"/>
  <c r="I131" i="241"/>
  <c r="O24" i="241"/>
  <c r="N71" i="241"/>
  <c r="I124" i="241"/>
  <c r="I128" i="241"/>
  <c r="X18" i="250"/>
  <c r="Y18" i="250" s="1"/>
  <c r="X13" i="250"/>
  <c r="Y13" i="250" s="1"/>
  <c r="U26" i="256"/>
  <c r="W26" i="256" s="1"/>
  <c r="V26" i="256"/>
  <c r="V27" i="256"/>
  <c r="U27" i="256"/>
  <c r="W27" i="256" s="1"/>
  <c r="U32" i="256"/>
  <c r="W32" i="256" s="1"/>
  <c r="V32" i="256"/>
  <c r="U25" i="250"/>
  <c r="W25" i="250" s="1"/>
  <c r="V25" i="250"/>
  <c r="O42" i="256"/>
  <c r="O41" i="256"/>
  <c r="O39" i="256"/>
  <c r="T11" i="256"/>
  <c r="O40" i="256"/>
  <c r="O38" i="256"/>
  <c r="O37" i="256"/>
  <c r="U12" i="256"/>
  <c r="W12" i="256" s="1"/>
  <c r="V12" i="256"/>
  <c r="U21" i="256"/>
  <c r="W21" i="256" s="1"/>
  <c r="V21" i="256"/>
  <c r="U18" i="256"/>
  <c r="W18" i="256" s="1"/>
  <c r="V18" i="256"/>
  <c r="V13" i="256"/>
  <c r="U13" i="256"/>
  <c r="W13" i="256" s="1"/>
  <c r="X12" i="250"/>
  <c r="Y12" i="250" s="1"/>
  <c r="U34" i="256"/>
  <c r="W34" i="256" s="1"/>
  <c r="V34" i="256"/>
  <c r="T29" i="256"/>
  <c r="Y11" i="249"/>
  <c r="X38" i="249"/>
  <c r="X40" i="249"/>
  <c r="X42" i="249"/>
  <c r="X37" i="249"/>
  <c r="X39" i="249"/>
  <c r="X41" i="249"/>
  <c r="U29" i="250"/>
  <c r="W29" i="250" s="1"/>
  <c r="V29" i="250"/>
  <c r="V24" i="256"/>
  <c r="Y24" i="256" s="1"/>
  <c r="U24" i="256"/>
  <c r="W24" i="256" s="1"/>
  <c r="V15" i="256"/>
  <c r="U15" i="256"/>
  <c r="W15" i="256" s="1"/>
  <c r="U33" i="256"/>
  <c r="W33" i="256" s="1"/>
  <c r="V33" i="256"/>
  <c r="V16" i="256"/>
  <c r="U16" i="256"/>
  <c r="W16" i="256" s="1"/>
  <c r="U17" i="256"/>
  <c r="W17" i="256" s="1"/>
  <c r="V17" i="256"/>
  <c r="T25" i="256"/>
  <c r="X15" i="250"/>
  <c r="Y15" i="250" s="1"/>
  <c r="X16" i="250"/>
  <c r="Y16" i="250" s="1"/>
  <c r="X26" i="250"/>
  <c r="Y26" i="250" s="1"/>
  <c r="X33" i="250"/>
  <c r="Y33" i="250" s="1"/>
  <c r="T37" i="250"/>
  <c r="T42" i="250"/>
  <c r="V11" i="250"/>
  <c r="T39" i="250"/>
  <c r="T38" i="250"/>
  <c r="T40" i="250"/>
  <c r="U11" i="250"/>
  <c r="T41" i="250"/>
  <c r="X32" i="250"/>
  <c r="Y32" i="250" s="1"/>
  <c r="X34" i="250"/>
  <c r="Y34" i="250" s="1"/>
  <c r="X27" i="250"/>
  <c r="Y27" i="250" s="1"/>
  <c r="O24" i="52"/>
  <c r="O37" i="52"/>
  <c r="O80" i="52" s="1"/>
  <c r="O45" i="52"/>
  <c r="O88" i="52" s="1"/>
  <c r="N88" i="52"/>
  <c r="K97" i="52"/>
  <c r="J106" i="52"/>
  <c r="L90" i="52"/>
  <c r="L95" i="52" s="1"/>
  <c r="K102" i="52"/>
  <c r="K98" i="52"/>
  <c r="K101" i="52"/>
  <c r="K104" i="52"/>
  <c r="K100" i="52"/>
  <c r="K99" i="52"/>
  <c r="K103" i="52"/>
  <c r="K96" i="52"/>
  <c r="K95" i="52"/>
  <c r="N22" i="52"/>
  <c r="M38" i="52"/>
  <c r="M81" i="52" s="1"/>
  <c r="M24" i="52"/>
  <c r="H103" i="6"/>
  <c r="J103" i="6"/>
  <c r="L103" i="6"/>
  <c r="G103" i="6"/>
  <c r="K103" i="6"/>
  <c r="I103" i="6"/>
  <c r="F103" i="6"/>
  <c r="F97" i="6"/>
  <c r="F99" i="6"/>
  <c r="G99" i="6"/>
  <c r="H99" i="6"/>
  <c r="F96" i="6"/>
  <c r="M104" i="6"/>
  <c r="K104" i="6"/>
  <c r="H104" i="6"/>
  <c r="F104" i="6"/>
  <c r="L104" i="6"/>
  <c r="J104" i="6"/>
  <c r="I104" i="6"/>
  <c r="G104" i="6"/>
  <c r="M105" i="6"/>
  <c r="G105" i="6"/>
  <c r="H105" i="6"/>
  <c r="F105" i="6"/>
  <c r="K105" i="6"/>
  <c r="L105" i="6"/>
  <c r="J105" i="6"/>
  <c r="I105" i="6"/>
  <c r="N105" i="6"/>
  <c r="J102" i="6"/>
  <c r="K102" i="6"/>
  <c r="H102" i="6"/>
  <c r="G102" i="6"/>
  <c r="I102" i="6"/>
  <c r="F102" i="6"/>
  <c r="G100" i="6"/>
  <c r="H100" i="6"/>
  <c r="I100" i="6"/>
  <c r="F100" i="6"/>
  <c r="F101" i="6"/>
  <c r="J101" i="6"/>
  <c r="H101" i="6"/>
  <c r="G101" i="6"/>
  <c r="I101" i="6"/>
  <c r="G98" i="6"/>
  <c r="F98" i="6"/>
  <c r="N32" i="48"/>
  <c r="N46" i="48" s="1"/>
  <c r="N48" i="48" s="1"/>
  <c r="L32" i="48"/>
  <c r="L46" i="48" s="1"/>
  <c r="L48" i="48" s="1"/>
  <c r="B3" i="40"/>
  <c r="B183" i="73" s="1"/>
  <c r="N24" i="62"/>
  <c r="N38" i="62" s="1"/>
  <c r="N42" i="62" s="1"/>
  <c r="N45" i="62" s="1"/>
  <c r="N47" i="62" s="1"/>
  <c r="N51" i="62" s="1"/>
  <c r="N53" i="62" s="1"/>
  <c r="L24" i="62"/>
  <c r="L38" i="62" s="1"/>
  <c r="L42" i="62" s="1"/>
  <c r="L45" i="62" s="1"/>
  <c r="L47" i="62" s="1"/>
  <c r="L51" i="62" s="1"/>
  <c r="L53" i="62" s="1"/>
  <c r="F36" i="229"/>
  <c r="J36" i="229"/>
  <c r="N36" i="229"/>
  <c r="G36" i="229"/>
  <c r="K36" i="229"/>
  <c r="O36" i="229"/>
  <c r="H36" i="229"/>
  <c r="L36" i="229"/>
  <c r="P36" i="229"/>
  <c r="I36" i="229"/>
  <c r="M36" i="229"/>
  <c r="C37" i="229"/>
  <c r="C50" i="156" l="1"/>
  <c r="F50" i="156" s="1"/>
  <c r="C48" i="156"/>
  <c r="F48" i="156" s="1"/>
  <c r="O29" i="241"/>
  <c r="O72" i="241" s="1"/>
  <c r="F69" i="73"/>
  <c r="G69" i="73"/>
  <c r="D12" i="282"/>
  <c r="D13" i="282" s="1"/>
  <c r="F10" i="282"/>
  <c r="F12" i="282" s="1"/>
  <c r="F13" i="282" s="1"/>
  <c r="J125" i="241"/>
  <c r="J140" i="241" s="1"/>
  <c r="J132" i="241"/>
  <c r="J147" i="241" s="1"/>
  <c r="J156" i="241" s="1"/>
  <c r="J157" i="241" s="1"/>
  <c r="V38" i="278"/>
  <c r="V41" i="278"/>
  <c r="V37" i="278"/>
  <c r="V39" i="278"/>
  <c r="V40" i="278"/>
  <c r="V42" i="278"/>
  <c r="W11" i="278"/>
  <c r="X11" i="278" s="1"/>
  <c r="U38" i="278"/>
  <c r="U42" i="278"/>
  <c r="U40" i="278"/>
  <c r="U39" i="278"/>
  <c r="U41" i="278"/>
  <c r="U37" i="278"/>
  <c r="J123" i="241"/>
  <c r="J138" i="241" s="1"/>
  <c r="J128" i="241"/>
  <c r="J143" i="241" s="1"/>
  <c r="J129" i="241"/>
  <c r="J144" i="241" s="1"/>
  <c r="G70" i="73"/>
  <c r="F70" i="73"/>
  <c r="F71" i="73"/>
  <c r="G71" i="73"/>
  <c r="G74" i="73"/>
  <c r="F74" i="73"/>
  <c r="F73" i="73"/>
  <c r="G73" i="73"/>
  <c r="F72" i="73"/>
  <c r="G72" i="73"/>
  <c r="X9" i="241"/>
  <c r="Z13" i="279"/>
  <c r="T14" i="279" s="1"/>
  <c r="D10" i="279" s="1"/>
  <c r="N6" i="257" s="1"/>
  <c r="Z13" i="52"/>
  <c r="T14" i="52" s="1"/>
  <c r="D10" i="52" s="1"/>
  <c r="N6" i="12" s="1"/>
  <c r="C114" i="73"/>
  <c r="J122" i="241"/>
  <c r="J137" i="241" s="1"/>
  <c r="J131" i="241"/>
  <c r="J146" i="241" s="1"/>
  <c r="J130" i="241"/>
  <c r="J145" i="241" s="1"/>
  <c r="J124" i="241"/>
  <c r="J126" i="241"/>
  <c r="J141" i="241" s="1"/>
  <c r="J98" i="241"/>
  <c r="K126" i="279"/>
  <c r="K61" i="279"/>
  <c r="I145" i="279"/>
  <c r="K106" i="279"/>
  <c r="I147" i="279"/>
  <c r="O90" i="279"/>
  <c r="K60" i="279"/>
  <c r="N38" i="279"/>
  <c r="N24" i="279"/>
  <c r="M47" i="279"/>
  <c r="M51" i="279" s="1"/>
  <c r="M55" i="279" s="1"/>
  <c r="J131" i="279"/>
  <c r="J145" i="279" s="1"/>
  <c r="J134" i="279"/>
  <c r="J148" i="279" s="1"/>
  <c r="J130" i="279"/>
  <c r="J144" i="279" s="1"/>
  <c r="J137" i="279"/>
  <c r="J151" i="279" s="1"/>
  <c r="J136" i="279"/>
  <c r="J150" i="279" s="1"/>
  <c r="J133" i="279"/>
  <c r="J147" i="279" s="1"/>
  <c r="J138" i="279"/>
  <c r="J152" i="279" s="1"/>
  <c r="J135" i="279"/>
  <c r="J149" i="279" s="1"/>
  <c r="J140" i="279"/>
  <c r="J154" i="279" s="1"/>
  <c r="J161" i="279" s="1"/>
  <c r="J139" i="279"/>
  <c r="J132" i="279"/>
  <c r="J146" i="279" s="1"/>
  <c r="L90" i="279"/>
  <c r="L95" i="279" s="1"/>
  <c r="K122" i="241"/>
  <c r="M90" i="279"/>
  <c r="M96" i="279" s="1"/>
  <c r="K89" i="241"/>
  <c r="K90" i="241"/>
  <c r="K94" i="241"/>
  <c r="K91" i="241"/>
  <c r="K93" i="241"/>
  <c r="K92" i="241"/>
  <c r="K95" i="241"/>
  <c r="K87" i="241"/>
  <c r="K96" i="241"/>
  <c r="K88" i="241"/>
  <c r="L89" i="241"/>
  <c r="L90" i="241"/>
  <c r="L92" i="241"/>
  <c r="L95" i="241"/>
  <c r="L91" i="241"/>
  <c r="L93" i="241"/>
  <c r="L94" i="241"/>
  <c r="L86" i="241"/>
  <c r="L96" i="241"/>
  <c r="L88" i="241"/>
  <c r="L87" i="241"/>
  <c r="I143" i="241"/>
  <c r="I138" i="241"/>
  <c r="I144" i="241"/>
  <c r="I139" i="241"/>
  <c r="I145" i="241"/>
  <c r="I140" i="241"/>
  <c r="I146" i="241"/>
  <c r="I142" i="241"/>
  <c r="J142" i="241"/>
  <c r="I133" i="241"/>
  <c r="I137" i="241"/>
  <c r="I147" i="241"/>
  <c r="I156" i="241" s="1"/>
  <c r="I157" i="241" s="1"/>
  <c r="O71" i="241"/>
  <c r="O39" i="241"/>
  <c r="O43" i="241" s="1"/>
  <c r="O47" i="241" s="1"/>
  <c r="K130" i="241"/>
  <c r="K126" i="241"/>
  <c r="K129" i="241"/>
  <c r="K125" i="241"/>
  <c r="K132" i="241"/>
  <c r="K128" i="241"/>
  <c r="K131" i="241"/>
  <c r="K127" i="241"/>
  <c r="K142" i="241" s="1"/>
  <c r="K123" i="241"/>
  <c r="K124" i="241"/>
  <c r="K53" i="241"/>
  <c r="K52" i="241"/>
  <c r="M72" i="241"/>
  <c r="M39" i="241"/>
  <c r="M43" i="241" s="1"/>
  <c r="M47" i="241" s="1"/>
  <c r="X13" i="256"/>
  <c r="Y13" i="256" s="1"/>
  <c r="X17" i="256"/>
  <c r="Y17" i="256" s="1"/>
  <c r="X33" i="256"/>
  <c r="Y33" i="256" s="1"/>
  <c r="X25" i="250"/>
  <c r="Y25" i="250" s="1"/>
  <c r="X32" i="256"/>
  <c r="Y32" i="256" s="1"/>
  <c r="X26" i="256"/>
  <c r="Y26" i="256" s="1"/>
  <c r="X29" i="250"/>
  <c r="Y29" i="250" s="1"/>
  <c r="U29" i="256"/>
  <c r="W29" i="256" s="1"/>
  <c r="V29" i="256"/>
  <c r="X18" i="256"/>
  <c r="Y18" i="256" s="1"/>
  <c r="X12" i="256"/>
  <c r="Y12" i="256" s="1"/>
  <c r="X27" i="256"/>
  <c r="Y27" i="256" s="1"/>
  <c r="U25" i="256"/>
  <c r="W25" i="256" s="1"/>
  <c r="V25" i="256"/>
  <c r="Y38" i="249"/>
  <c r="Y40" i="249"/>
  <c r="AB39" i="249" s="1"/>
  <c r="Y42" i="249"/>
  <c r="Y37" i="249"/>
  <c r="Y39" i="249"/>
  <c r="Y41" i="249"/>
  <c r="T39" i="256"/>
  <c r="T41" i="256"/>
  <c r="T38" i="256"/>
  <c r="U11" i="256"/>
  <c r="T42" i="256"/>
  <c r="T40" i="256"/>
  <c r="V11" i="256"/>
  <c r="T37" i="256"/>
  <c r="X16" i="256"/>
  <c r="Y16" i="256" s="1"/>
  <c r="X15" i="256"/>
  <c r="Y15" i="256" s="1"/>
  <c r="X34" i="256"/>
  <c r="Y34" i="256" s="1"/>
  <c r="U38" i="250"/>
  <c r="U42" i="250"/>
  <c r="U39" i="250"/>
  <c r="W11" i="250"/>
  <c r="U40" i="250"/>
  <c r="U37" i="250"/>
  <c r="U41" i="250"/>
  <c r="V42" i="250"/>
  <c r="V38" i="250"/>
  <c r="V37" i="250"/>
  <c r="V40" i="250"/>
  <c r="V39" i="250"/>
  <c r="V41" i="250"/>
  <c r="O90" i="52"/>
  <c r="O96" i="52" s="1"/>
  <c r="S17" i="245" s="1"/>
  <c r="K106" i="52"/>
  <c r="L97" i="52"/>
  <c r="M90" i="52"/>
  <c r="L101" i="52"/>
  <c r="L104" i="52"/>
  <c r="L100" i="52"/>
  <c r="L99" i="52"/>
  <c r="L102" i="52"/>
  <c r="L98" i="52"/>
  <c r="L94" i="52"/>
  <c r="L103" i="52"/>
  <c r="L96" i="52"/>
  <c r="N38" i="52"/>
  <c r="N81" i="52" s="1"/>
  <c r="N24" i="52"/>
  <c r="J100" i="6"/>
  <c r="K100" i="6" s="1"/>
  <c r="H98" i="6"/>
  <c r="I98" i="6" s="1"/>
  <c r="J98" i="6" s="1"/>
  <c r="K98" i="6" s="1"/>
  <c r="G96" i="6"/>
  <c r="H96" i="6" s="1"/>
  <c r="I96" i="6" s="1"/>
  <c r="J96" i="6" s="1"/>
  <c r="M103" i="6"/>
  <c r="N103" i="6" s="1"/>
  <c r="O103" i="6" s="1"/>
  <c r="O105" i="6"/>
  <c r="N104" i="6"/>
  <c r="O104" i="6" s="1"/>
  <c r="L102" i="6"/>
  <c r="M102" i="6" s="1"/>
  <c r="N102" i="6" s="1"/>
  <c r="O102" i="6" s="1"/>
  <c r="F107" i="6"/>
  <c r="F52" i="6" s="1"/>
  <c r="F33" i="6" s="1"/>
  <c r="F35" i="6" s="1"/>
  <c r="K101" i="6"/>
  <c r="I99" i="6"/>
  <c r="G97" i="6"/>
  <c r="J14" i="66"/>
  <c r="L53" i="48"/>
  <c r="I37" i="229"/>
  <c r="M37" i="229"/>
  <c r="C38" i="229"/>
  <c r="F37" i="229"/>
  <c r="J37" i="229"/>
  <c r="N37" i="229"/>
  <c r="G37" i="229"/>
  <c r="K37" i="229"/>
  <c r="O37" i="229"/>
  <c r="H37" i="229"/>
  <c r="L37" i="229"/>
  <c r="P37" i="229"/>
  <c r="N53" i="48"/>
  <c r="O84" i="241"/>
  <c r="B3" i="38"/>
  <c r="D15" i="282" l="1"/>
  <c r="D16" i="282" s="1"/>
  <c r="D18" i="282" s="1"/>
  <c r="N19" i="12"/>
  <c r="N27" i="12"/>
  <c r="N11" i="12"/>
  <c r="N12" i="12"/>
  <c r="N15" i="12"/>
  <c r="N10" i="12"/>
  <c r="N31" i="12"/>
  <c r="N45" i="12"/>
  <c r="N23" i="12"/>
  <c r="N32" i="12"/>
  <c r="N34" i="12"/>
  <c r="N25" i="12"/>
  <c r="N24" i="12"/>
  <c r="Q6" i="12"/>
  <c r="N22" i="12"/>
  <c r="N16" i="12"/>
  <c r="N28" i="12"/>
  <c r="N33" i="12"/>
  <c r="N26" i="12"/>
  <c r="N21" i="12"/>
  <c r="N13" i="12"/>
  <c r="N14" i="12"/>
  <c r="N17" i="12"/>
  <c r="N20" i="12"/>
  <c r="N43" i="12"/>
  <c r="N18" i="12"/>
  <c r="N11" i="257"/>
  <c r="N15" i="257"/>
  <c r="N28" i="257"/>
  <c r="N24" i="257"/>
  <c r="N19" i="257"/>
  <c r="N31" i="257"/>
  <c r="N27" i="257"/>
  <c r="N34" i="257"/>
  <c r="N12" i="257"/>
  <c r="N16" i="257"/>
  <c r="N32" i="257"/>
  <c r="N25" i="257"/>
  <c r="N20" i="257"/>
  <c r="N18" i="257"/>
  <c r="N13" i="257"/>
  <c r="N17" i="257"/>
  <c r="N33" i="257"/>
  <c r="N26" i="257"/>
  <c r="N21" i="257"/>
  <c r="N14" i="257"/>
  <c r="N23" i="257"/>
  <c r="N22" i="257"/>
  <c r="Q6" i="257"/>
  <c r="N43" i="257"/>
  <c r="N10" i="257"/>
  <c r="N45" i="257"/>
  <c r="X10" i="241"/>
  <c r="W10" i="241"/>
  <c r="V10" i="241"/>
  <c r="K140" i="241"/>
  <c r="W41" i="278"/>
  <c r="W37" i="278"/>
  <c r="W38" i="278"/>
  <c r="W40" i="278"/>
  <c r="W39" i="278"/>
  <c r="W42" i="278"/>
  <c r="Y11" i="278"/>
  <c r="X41" i="278"/>
  <c r="X40" i="278"/>
  <c r="X38" i="278"/>
  <c r="X37" i="278"/>
  <c r="X39" i="278"/>
  <c r="X42" i="278"/>
  <c r="K137" i="241"/>
  <c r="K139" i="241"/>
  <c r="G79" i="73"/>
  <c r="F79" i="73"/>
  <c r="J133" i="241"/>
  <c r="J139" i="241"/>
  <c r="J148" i="241" s="1"/>
  <c r="K98" i="241"/>
  <c r="M99" i="279"/>
  <c r="M100" i="279"/>
  <c r="M101" i="279"/>
  <c r="M102" i="279"/>
  <c r="M103" i="279"/>
  <c r="M98" i="279"/>
  <c r="M95" i="279"/>
  <c r="M94" i="279"/>
  <c r="M104" i="279"/>
  <c r="M97" i="279"/>
  <c r="L99" i="279"/>
  <c r="L102" i="279"/>
  <c r="L100" i="279"/>
  <c r="L101" i="279"/>
  <c r="L103" i="279"/>
  <c r="L98" i="279"/>
  <c r="L94" i="279"/>
  <c r="L104" i="279"/>
  <c r="L96" i="279"/>
  <c r="L97" i="279"/>
  <c r="J153" i="279"/>
  <c r="N81" i="279"/>
  <c r="N47" i="279"/>
  <c r="N51" i="279" s="1"/>
  <c r="N55" i="279" s="1"/>
  <c r="N73" i="241"/>
  <c r="N82" i="241" s="1"/>
  <c r="N88" i="241" s="1"/>
  <c r="N39" i="241"/>
  <c r="N43" i="241" s="1"/>
  <c r="N47" i="241" s="1"/>
  <c r="L126" i="279"/>
  <c r="L138" i="279" s="1"/>
  <c r="L61" i="279"/>
  <c r="O99" i="279"/>
  <c r="O101" i="279"/>
  <c r="O102" i="279"/>
  <c r="O100" i="279"/>
  <c r="O103" i="279"/>
  <c r="O98" i="279"/>
  <c r="O97" i="279"/>
  <c r="O96" i="279"/>
  <c r="O94" i="279"/>
  <c r="O95" i="279"/>
  <c r="L60" i="279"/>
  <c r="O104" i="279"/>
  <c r="K130" i="279"/>
  <c r="K144" i="279" s="1"/>
  <c r="K133" i="279"/>
  <c r="K147" i="279" s="1"/>
  <c r="K131" i="279"/>
  <c r="K145" i="279" s="1"/>
  <c r="K140" i="279"/>
  <c r="K154" i="279" s="1"/>
  <c r="K161" i="279" s="1"/>
  <c r="K138" i="279"/>
  <c r="K152" i="279" s="1"/>
  <c r="K137" i="279"/>
  <c r="K151" i="279" s="1"/>
  <c r="K136" i="279"/>
  <c r="K150" i="279" s="1"/>
  <c r="K139" i="279"/>
  <c r="K153" i="279" s="1"/>
  <c r="K134" i="279"/>
  <c r="K148" i="279" s="1"/>
  <c r="K132" i="279"/>
  <c r="K146" i="279" s="1"/>
  <c r="K135" i="279"/>
  <c r="K149" i="279" s="1"/>
  <c r="K146" i="241"/>
  <c r="K144" i="241"/>
  <c r="K147" i="241"/>
  <c r="K156" i="241" s="1"/>
  <c r="K157" i="241" s="1"/>
  <c r="K141" i="241"/>
  <c r="K133" i="241"/>
  <c r="K138" i="241"/>
  <c r="K143" i="241"/>
  <c r="I148" i="241"/>
  <c r="K145" i="241"/>
  <c r="M82" i="241"/>
  <c r="L52" i="241"/>
  <c r="L98" i="241"/>
  <c r="O82" i="241"/>
  <c r="O87" i="241" s="1"/>
  <c r="L118" i="241"/>
  <c r="L53" i="241"/>
  <c r="X25" i="256"/>
  <c r="Y25" i="256" s="1"/>
  <c r="V38" i="256"/>
  <c r="V42" i="256"/>
  <c r="V37" i="256"/>
  <c r="V39" i="256"/>
  <c r="V41" i="256"/>
  <c r="V40" i="256"/>
  <c r="X29" i="256"/>
  <c r="Y29" i="256" s="1"/>
  <c r="U38" i="256"/>
  <c r="U41" i="256"/>
  <c r="U42" i="256"/>
  <c r="W11" i="256"/>
  <c r="U40" i="256"/>
  <c r="U37" i="256"/>
  <c r="U39" i="256"/>
  <c r="X11" i="250"/>
  <c r="W40" i="250"/>
  <c r="W37" i="250"/>
  <c r="W41" i="250"/>
  <c r="W38" i="250"/>
  <c r="W42" i="250"/>
  <c r="W39" i="250"/>
  <c r="O103" i="52"/>
  <c r="S24" i="245" s="1"/>
  <c r="O102" i="52"/>
  <c r="S23" i="245" s="1"/>
  <c r="O97" i="52"/>
  <c r="S18" i="245" s="1"/>
  <c r="O98" i="52"/>
  <c r="S19" i="245" s="1"/>
  <c r="O99" i="52"/>
  <c r="S20" i="245" s="1"/>
  <c r="O94" i="52"/>
  <c r="S15" i="245" s="1"/>
  <c r="O100" i="52"/>
  <c r="S21" i="245" s="1"/>
  <c r="O95" i="52"/>
  <c r="S16" i="245" s="1"/>
  <c r="O101" i="52"/>
  <c r="S22" i="245" s="1"/>
  <c r="O104" i="52"/>
  <c r="S25" i="245" s="1"/>
  <c r="M101" i="52"/>
  <c r="M104" i="52"/>
  <c r="M100" i="52"/>
  <c r="M99" i="52"/>
  <c r="M95" i="52"/>
  <c r="M102" i="52"/>
  <c r="M98" i="52"/>
  <c r="M94" i="52"/>
  <c r="M103" i="52"/>
  <c r="M96" i="52"/>
  <c r="L106" i="52"/>
  <c r="M97" i="52"/>
  <c r="N90" i="52"/>
  <c r="N97" i="52" s="1"/>
  <c r="L100" i="6"/>
  <c r="M100" i="6" s="1"/>
  <c r="N100" i="6" s="1"/>
  <c r="H97" i="6"/>
  <c r="H107" i="6" s="1"/>
  <c r="H52" i="6" s="1"/>
  <c r="H33" i="6" s="1"/>
  <c r="H35" i="6" s="1"/>
  <c r="J99" i="6"/>
  <c r="K96" i="6"/>
  <c r="G107" i="6"/>
  <c r="G52" i="6" s="1"/>
  <c r="G33" i="6" s="1"/>
  <c r="G35" i="6" s="1"/>
  <c r="L101" i="6"/>
  <c r="M101" i="6" s="1"/>
  <c r="F41" i="6"/>
  <c r="F40" i="6"/>
  <c r="F36" i="6"/>
  <c r="J29" i="133"/>
  <c r="B25" i="133"/>
  <c r="G25" i="133" s="1"/>
  <c r="B3" i="48" s="1"/>
  <c r="L98" i="6"/>
  <c r="O66" i="241"/>
  <c r="O50" i="241"/>
  <c r="O100" i="241"/>
  <c r="I38" i="229"/>
  <c r="I40" i="229" s="1"/>
  <c r="I42" i="229" s="1"/>
  <c r="M38" i="229"/>
  <c r="M40" i="229" s="1"/>
  <c r="M42" i="229" s="1"/>
  <c r="F38" i="229"/>
  <c r="F40" i="229" s="1"/>
  <c r="F42" i="229" s="1"/>
  <c r="J38" i="229"/>
  <c r="J40" i="229" s="1"/>
  <c r="J42" i="229" s="1"/>
  <c r="N38" i="229"/>
  <c r="N40" i="229" s="1"/>
  <c r="N42" i="229" s="1"/>
  <c r="G38" i="229"/>
  <c r="G40" i="229" s="1"/>
  <c r="G42" i="229" s="1"/>
  <c r="K38" i="229"/>
  <c r="K40" i="229" s="1"/>
  <c r="K42" i="229" s="1"/>
  <c r="O38" i="229"/>
  <c r="O40" i="229" s="1"/>
  <c r="O42" i="229" s="1"/>
  <c r="H38" i="229"/>
  <c r="H40" i="229" s="1"/>
  <c r="H42" i="229" s="1"/>
  <c r="L38" i="229"/>
  <c r="L40" i="229" s="1"/>
  <c r="L42" i="229" s="1"/>
  <c r="P38" i="229"/>
  <c r="P40" i="229" s="1"/>
  <c r="D14" i="236" l="1"/>
  <c r="D105" i="73"/>
  <c r="E14" i="236" s="1"/>
  <c r="N37" i="257"/>
  <c r="N41" i="257"/>
  <c r="N38" i="257"/>
  <c r="N39" i="257"/>
  <c r="N36" i="257"/>
  <c r="N40" i="257"/>
  <c r="Q12" i="12"/>
  <c r="S12" i="12" s="1"/>
  <c r="Q28" i="12"/>
  <c r="S28" i="12" s="1"/>
  <c r="Q25" i="12"/>
  <c r="S25" i="12" s="1"/>
  <c r="Q14" i="12"/>
  <c r="Q19" i="12"/>
  <c r="Q31" i="12"/>
  <c r="S31" i="12" s="1"/>
  <c r="Q10" i="12"/>
  <c r="Q24" i="12"/>
  <c r="Q26" i="12"/>
  <c r="Q16" i="12"/>
  <c r="Q13" i="12"/>
  <c r="Q11" i="12"/>
  <c r="Q18" i="12"/>
  <c r="Q27" i="12"/>
  <c r="Q32" i="12"/>
  <c r="S32" i="12" s="1"/>
  <c r="Q20" i="12"/>
  <c r="S20" i="12" s="1"/>
  <c r="Q17" i="12"/>
  <c r="S17" i="12" s="1"/>
  <c r="Q15" i="12"/>
  <c r="S15" i="12" s="1"/>
  <c r="Q22" i="12"/>
  <c r="Q34" i="12"/>
  <c r="Q33" i="12"/>
  <c r="S33" i="12" s="1"/>
  <c r="Q21" i="12"/>
  <c r="Q23" i="12"/>
  <c r="S23" i="12" s="1"/>
  <c r="N38" i="12"/>
  <c r="N41" i="12"/>
  <c r="N36" i="12"/>
  <c r="N37" i="12"/>
  <c r="N40" i="12"/>
  <c r="N39" i="12"/>
  <c r="Q22" i="257"/>
  <c r="Q18" i="257"/>
  <c r="Q13" i="257"/>
  <c r="Q17" i="257"/>
  <c r="Q23" i="257"/>
  <c r="Q11" i="257"/>
  <c r="S11" i="257" s="1"/>
  <c r="Q28" i="257"/>
  <c r="Q26" i="257"/>
  <c r="Q21" i="257"/>
  <c r="Q34" i="257"/>
  <c r="Q12" i="257"/>
  <c r="Q32" i="257"/>
  <c r="Q19" i="257"/>
  <c r="Q31" i="257"/>
  <c r="Q33" i="257"/>
  <c r="Q14" i="257"/>
  <c r="Q27" i="257"/>
  <c r="Q24" i="257"/>
  <c r="Q10" i="257"/>
  <c r="Q20" i="257"/>
  <c r="Q25" i="257"/>
  <c r="Q15" i="257"/>
  <c r="Q16" i="257"/>
  <c r="E105" i="73"/>
  <c r="F14" i="236" s="1"/>
  <c r="V11" i="241"/>
  <c r="D10" i="241" s="1"/>
  <c r="Y37" i="278"/>
  <c r="Y42" i="278"/>
  <c r="Y40" i="278"/>
  <c r="AB39" i="278" s="1"/>
  <c r="Y38" i="278"/>
  <c r="Y39" i="278"/>
  <c r="Y41" i="278"/>
  <c r="J30" i="133"/>
  <c r="K29" i="133"/>
  <c r="N118" i="241"/>
  <c r="N126" i="241" s="1"/>
  <c r="G56" i="73"/>
  <c r="F56" i="73"/>
  <c r="G57" i="73"/>
  <c r="F58" i="73"/>
  <c r="G55" i="73"/>
  <c r="F57" i="73"/>
  <c r="F55" i="73"/>
  <c r="G58" i="73"/>
  <c r="K65" i="73" a="1"/>
  <c r="N93" i="241"/>
  <c r="N94" i="241"/>
  <c r="N90" i="241"/>
  <c r="N89" i="241"/>
  <c r="N87" i="241"/>
  <c r="N91" i="241"/>
  <c r="N86" i="241"/>
  <c r="N92" i="241"/>
  <c r="L132" i="279"/>
  <c r="L146" i="279" s="1"/>
  <c r="L131" i="279"/>
  <c r="L145" i="279" s="1"/>
  <c r="L134" i="279"/>
  <c r="L148" i="279" s="1"/>
  <c r="L140" i="279"/>
  <c r="L154" i="279" s="1"/>
  <c r="L161" i="279" s="1"/>
  <c r="L133" i="279"/>
  <c r="L147" i="279" s="1"/>
  <c r="L137" i="279"/>
  <c r="L151" i="279" s="1"/>
  <c r="O106" i="279"/>
  <c r="M118" i="241"/>
  <c r="M128" i="241" s="1"/>
  <c r="L152" i="279"/>
  <c r="L136" i="279"/>
  <c r="L150" i="279" s="1"/>
  <c r="L106" i="279"/>
  <c r="M61" i="279"/>
  <c r="M126" i="279"/>
  <c r="N126" i="279"/>
  <c r="M106" i="279"/>
  <c r="M60" i="279"/>
  <c r="N90" i="279"/>
  <c r="N96" i="241"/>
  <c r="N95" i="241"/>
  <c r="L130" i="279"/>
  <c r="L144" i="279" s="1"/>
  <c r="L139" i="279"/>
  <c r="L153" i="279" s="1"/>
  <c r="L135" i="279"/>
  <c r="L149" i="279" s="1"/>
  <c r="K148" i="241"/>
  <c r="O90" i="241"/>
  <c r="O93" i="241"/>
  <c r="O94" i="241"/>
  <c r="O95" i="241"/>
  <c r="O92" i="241"/>
  <c r="O91" i="241"/>
  <c r="O89" i="241"/>
  <c r="O86" i="241"/>
  <c r="O96" i="241"/>
  <c r="O88" i="241"/>
  <c r="M89" i="241"/>
  <c r="M94" i="241"/>
  <c r="M93" i="241"/>
  <c r="M95" i="241"/>
  <c r="M90" i="241"/>
  <c r="M92" i="241"/>
  <c r="M91" i="241"/>
  <c r="M87" i="241"/>
  <c r="M86" i="241"/>
  <c r="M96" i="241"/>
  <c r="M88" i="241"/>
  <c r="M52" i="241"/>
  <c r="M53" i="241"/>
  <c r="L123" i="241"/>
  <c r="L129" i="241"/>
  <c r="L131" i="241"/>
  <c r="L126" i="241"/>
  <c r="L132" i="241"/>
  <c r="L127" i="241"/>
  <c r="L128" i="241"/>
  <c r="L122" i="241"/>
  <c r="L125" i="241"/>
  <c r="L130" i="241"/>
  <c r="L124" i="241"/>
  <c r="W40" i="256"/>
  <c r="W38" i="256"/>
  <c r="W37" i="256"/>
  <c r="W42" i="256"/>
  <c r="W41" i="256"/>
  <c r="W39" i="256"/>
  <c r="X11" i="256"/>
  <c r="Y11" i="250"/>
  <c r="X39" i="250"/>
  <c r="X40" i="250"/>
  <c r="X42" i="250"/>
  <c r="X38" i="250"/>
  <c r="X37" i="250"/>
  <c r="X41" i="250"/>
  <c r="O106" i="52"/>
  <c r="M106" i="52"/>
  <c r="N104" i="52"/>
  <c r="N100" i="52"/>
  <c r="N96" i="52"/>
  <c r="N99" i="52"/>
  <c r="N95" i="52"/>
  <c r="N102" i="52"/>
  <c r="N98" i="52"/>
  <c r="N94" i="52"/>
  <c r="N101" i="52"/>
  <c r="N103" i="52"/>
  <c r="F45" i="6"/>
  <c r="F47" i="6" s="1"/>
  <c r="F49" i="6" s="1"/>
  <c r="F55" i="6" s="1"/>
  <c r="F59" i="6" s="1"/>
  <c r="F64" i="6" s="1"/>
  <c r="N101" i="6"/>
  <c r="O101" i="6" s="1"/>
  <c r="K99" i="6"/>
  <c r="I97" i="6"/>
  <c r="F43" i="6"/>
  <c r="G39" i="6" s="1"/>
  <c r="G36" i="6"/>
  <c r="G41" i="6"/>
  <c r="G40" i="6"/>
  <c r="L96" i="6"/>
  <c r="O100" i="6"/>
  <c r="H40" i="6"/>
  <c r="H36" i="6"/>
  <c r="H41" i="6"/>
  <c r="O92" i="52"/>
  <c r="O74" i="52"/>
  <c r="O108" i="52"/>
  <c r="O58" i="52"/>
  <c r="B26" i="133"/>
  <c r="G26" i="133" s="1"/>
  <c r="B3" i="47" s="1"/>
  <c r="M98" i="6"/>
  <c r="S20" i="257" l="1"/>
  <c r="Y20" i="257"/>
  <c r="S32" i="257"/>
  <c r="S17" i="257"/>
  <c r="S18" i="12"/>
  <c r="Y18" i="12"/>
  <c r="S26" i="12"/>
  <c r="S16" i="257"/>
  <c r="Y16" i="257"/>
  <c r="S33" i="257"/>
  <c r="Y33" i="257"/>
  <c r="S12" i="257"/>
  <c r="S13" i="257"/>
  <c r="Y13" i="257"/>
  <c r="S34" i="12"/>
  <c r="T34" i="12" s="1"/>
  <c r="Y34" i="12"/>
  <c r="X20" i="12"/>
  <c r="T20" i="12"/>
  <c r="S11" i="12"/>
  <c r="S24" i="12"/>
  <c r="S14" i="12"/>
  <c r="Y14" i="12"/>
  <c r="S15" i="257"/>
  <c r="S24" i="257"/>
  <c r="S31" i="257"/>
  <c r="Y31" i="257"/>
  <c r="S34" i="257"/>
  <c r="Y34" i="257"/>
  <c r="S18" i="257"/>
  <c r="Y18" i="257"/>
  <c r="X23" i="12"/>
  <c r="T23" i="12"/>
  <c r="Y22" i="12"/>
  <c r="S22" i="12"/>
  <c r="S13" i="12"/>
  <c r="Y13" i="12"/>
  <c r="Q37" i="12"/>
  <c r="Q40" i="12"/>
  <c r="Q41" i="12"/>
  <c r="Q38" i="12"/>
  <c r="Q39" i="12"/>
  <c r="S10" i="12"/>
  <c r="Q36" i="12"/>
  <c r="S14" i="257"/>
  <c r="Y14" i="257"/>
  <c r="S26" i="257"/>
  <c r="Y19" i="12"/>
  <c r="S19" i="12"/>
  <c r="Q37" i="257"/>
  <c r="Q41" i="257"/>
  <c r="S10" i="257"/>
  <c r="Q40" i="257"/>
  <c r="Q38" i="257"/>
  <c r="Q39" i="257"/>
  <c r="Q36" i="257"/>
  <c r="S28" i="257"/>
  <c r="S25" i="257"/>
  <c r="Y25" i="257"/>
  <c r="S27" i="257"/>
  <c r="Y27" i="257"/>
  <c r="S19" i="257"/>
  <c r="Y19" i="257"/>
  <c r="S21" i="257"/>
  <c r="Y21" i="257"/>
  <c r="S23" i="257"/>
  <c r="S22" i="257"/>
  <c r="Y22" i="257"/>
  <c r="S21" i="12"/>
  <c r="Y21" i="12"/>
  <c r="S27" i="12"/>
  <c r="Y27" i="12"/>
  <c r="S16" i="12"/>
  <c r="Y16" i="12"/>
  <c r="F105" i="73"/>
  <c r="G105" i="73" s="1"/>
  <c r="C64" i="156"/>
  <c r="L4" i="14"/>
  <c r="D7" i="243"/>
  <c r="D9" i="243" s="1"/>
  <c r="L4" i="280"/>
  <c r="N6" i="244"/>
  <c r="N132" i="241"/>
  <c r="N122" i="241"/>
  <c r="N124" i="241"/>
  <c r="N128" i="241"/>
  <c r="N143" i="241" s="1"/>
  <c r="N130" i="241"/>
  <c r="N123" i="241"/>
  <c r="N125" i="241"/>
  <c r="N129" i="241"/>
  <c r="N127" i="241"/>
  <c r="N131" i="241"/>
  <c r="K30" i="133"/>
  <c r="J33" i="133"/>
  <c r="M127" i="241"/>
  <c r="M142" i="241" s="1"/>
  <c r="M129" i="241"/>
  <c r="M144" i="241" s="1"/>
  <c r="K65" i="73"/>
  <c r="K67" i="73"/>
  <c r="K66" i="73"/>
  <c r="K68" i="73"/>
  <c r="M125" i="241"/>
  <c r="M140" i="241" s="1"/>
  <c r="M131" i="241"/>
  <c r="M124" i="241"/>
  <c r="M126" i="241"/>
  <c r="N141" i="241" s="1"/>
  <c r="M123" i="241"/>
  <c r="M138" i="241" s="1"/>
  <c r="M130" i="241"/>
  <c r="M145" i="241" s="1"/>
  <c r="M132" i="241"/>
  <c r="M147" i="241" s="1"/>
  <c r="M156" i="241" s="1"/>
  <c r="M157" i="241" s="1"/>
  <c r="M122" i="241"/>
  <c r="N137" i="241" s="1"/>
  <c r="N133" i="279"/>
  <c r="N98" i="241"/>
  <c r="M135" i="279"/>
  <c r="M149" i="279" s="1"/>
  <c r="M137" i="279"/>
  <c r="M151" i="279" s="1"/>
  <c r="M130" i="279"/>
  <c r="M144" i="279" s="1"/>
  <c r="M132" i="279"/>
  <c r="M146" i="279" s="1"/>
  <c r="M138" i="279"/>
  <c r="M152" i="279" s="1"/>
  <c r="M139" i="279"/>
  <c r="M153" i="279" s="1"/>
  <c r="M140" i="279"/>
  <c r="M154" i="279" s="1"/>
  <c r="M161" i="279" s="1"/>
  <c r="M133" i="279"/>
  <c r="M147" i="279" s="1"/>
  <c r="M136" i="279"/>
  <c r="M150" i="279" s="1"/>
  <c r="M134" i="279"/>
  <c r="M148" i="279" s="1"/>
  <c r="M131" i="279"/>
  <c r="M145" i="279" s="1"/>
  <c r="N60" i="279"/>
  <c r="N61" i="279"/>
  <c r="N102" i="279"/>
  <c r="N101" i="279"/>
  <c r="N137" i="279"/>
  <c r="N138" i="279"/>
  <c r="N152" i="279" s="1"/>
  <c r="N103" i="279"/>
  <c r="N99" i="279"/>
  <c r="N136" i="279"/>
  <c r="N139" i="279"/>
  <c r="N135" i="279"/>
  <c r="N100" i="279"/>
  <c r="N98" i="279"/>
  <c r="N134" i="279"/>
  <c r="N96" i="279"/>
  <c r="N132" i="279"/>
  <c r="N130" i="279"/>
  <c r="N94" i="279"/>
  <c r="N95" i="279"/>
  <c r="N131" i="279"/>
  <c r="N140" i="279"/>
  <c r="N104" i="279"/>
  <c r="N97" i="279"/>
  <c r="L145" i="241"/>
  <c r="L142" i="241"/>
  <c r="L144" i="241"/>
  <c r="L140" i="241"/>
  <c r="L147" i="241"/>
  <c r="L156" i="241" s="1"/>
  <c r="L157" i="241" s="1"/>
  <c r="L138" i="241"/>
  <c r="L137" i="241"/>
  <c r="L141" i="241"/>
  <c r="L139" i="241"/>
  <c r="M143" i="241"/>
  <c r="L143" i="241"/>
  <c r="L146" i="241"/>
  <c r="N53" i="241"/>
  <c r="N52" i="241"/>
  <c r="M98" i="241"/>
  <c r="L133" i="241"/>
  <c r="O98" i="241"/>
  <c r="X38" i="256"/>
  <c r="X41" i="256"/>
  <c r="X40" i="256"/>
  <c r="X37" i="256"/>
  <c r="Y11" i="256"/>
  <c r="X39" i="256"/>
  <c r="X42" i="256"/>
  <c r="Y39" i="250"/>
  <c r="Y40" i="250"/>
  <c r="AB39" i="250" s="1"/>
  <c r="Y42" i="250"/>
  <c r="Y37" i="250"/>
  <c r="Y41" i="250"/>
  <c r="Y38" i="250"/>
  <c r="N106" i="52"/>
  <c r="G45" i="6"/>
  <c r="G47" i="6" s="1"/>
  <c r="G49" i="6" s="1"/>
  <c r="G55" i="6" s="1"/>
  <c r="G59" i="6" s="1"/>
  <c r="G64" i="6" s="1"/>
  <c r="G43" i="6"/>
  <c r="H39" i="6" s="1"/>
  <c r="H43" i="6" s="1"/>
  <c r="I39" i="6" s="1"/>
  <c r="H45" i="6"/>
  <c r="H47" i="6" s="1"/>
  <c r="H49" i="6" s="1"/>
  <c r="H55" i="6" s="1"/>
  <c r="H59" i="6" s="1"/>
  <c r="H64" i="6" s="1"/>
  <c r="M96" i="6"/>
  <c r="N96" i="6" s="1"/>
  <c r="O96" i="6" s="1"/>
  <c r="I107" i="6"/>
  <c r="I52" i="6" s="1"/>
  <c r="I33" i="6" s="1"/>
  <c r="I35" i="6" s="1"/>
  <c r="J97" i="6"/>
  <c r="J107" i="6" s="1"/>
  <c r="J52" i="6" s="1"/>
  <c r="J33" i="6" s="1"/>
  <c r="J35" i="6" s="1"/>
  <c r="L99" i="6"/>
  <c r="M99" i="6" s="1"/>
  <c r="N99" i="6" s="1"/>
  <c r="O99" i="6" s="1"/>
  <c r="N98" i="6"/>
  <c r="B3" i="172"/>
  <c r="T22" i="257" l="1"/>
  <c r="T21" i="257"/>
  <c r="T13" i="257"/>
  <c r="T16" i="12"/>
  <c r="T21" i="12"/>
  <c r="X23" i="257"/>
  <c r="T23" i="257"/>
  <c r="T19" i="257"/>
  <c r="T25" i="257"/>
  <c r="S37" i="12"/>
  <c r="S36" i="12"/>
  <c r="S39" i="12"/>
  <c r="S41" i="12"/>
  <c r="S38" i="12"/>
  <c r="S40" i="12"/>
  <c r="T22" i="12"/>
  <c r="U34" i="12"/>
  <c r="W34" i="12" s="1"/>
  <c r="V34" i="12"/>
  <c r="T16" i="257"/>
  <c r="T20" i="257"/>
  <c r="X20" i="257"/>
  <c r="T27" i="257"/>
  <c r="T19" i="12"/>
  <c r="U23" i="12"/>
  <c r="W23" i="12" s="1"/>
  <c r="V23" i="12"/>
  <c r="Y23" i="12" s="1"/>
  <c r="T33" i="257"/>
  <c r="T14" i="257"/>
  <c r="T13" i="12"/>
  <c r="T31" i="257"/>
  <c r="S36" i="257"/>
  <c r="S40" i="257"/>
  <c r="S41" i="257"/>
  <c r="S38" i="257"/>
  <c r="S37" i="257"/>
  <c r="S39" i="257"/>
  <c r="T18" i="257"/>
  <c r="T34" i="257"/>
  <c r="U20" i="12"/>
  <c r="W20" i="12" s="1"/>
  <c r="V20" i="12"/>
  <c r="Y20" i="12" s="1"/>
  <c r="T18" i="12"/>
  <c r="C65" i="156"/>
  <c r="F65" i="156" s="1"/>
  <c r="F64" i="156"/>
  <c r="N21" i="244"/>
  <c r="N14" i="244"/>
  <c r="N35" i="244"/>
  <c r="N25" i="244"/>
  <c r="N23" i="244"/>
  <c r="N16" i="244"/>
  <c r="N19" i="244"/>
  <c r="Q6" i="244"/>
  <c r="N15" i="244"/>
  <c r="N13" i="244"/>
  <c r="N34" i="244"/>
  <c r="N33" i="244"/>
  <c r="N17" i="244"/>
  <c r="N22" i="244"/>
  <c r="N28" i="244"/>
  <c r="N29" i="244"/>
  <c r="N18" i="244"/>
  <c r="N44" i="244"/>
  <c r="N11" i="244"/>
  <c r="N46" i="244"/>
  <c r="N27" i="244"/>
  <c r="N20" i="244"/>
  <c r="N26" i="244"/>
  <c r="N32" i="244"/>
  <c r="N24" i="244"/>
  <c r="N12" i="244"/>
  <c r="D24" i="280"/>
  <c r="D72" i="280"/>
  <c r="N6" i="281"/>
  <c r="D13" i="243"/>
  <c r="N139" i="241"/>
  <c r="N144" i="241"/>
  <c r="N138" i="241"/>
  <c r="M137" i="241"/>
  <c r="N142" i="241"/>
  <c r="N133" i="241"/>
  <c r="N140" i="241"/>
  <c r="N146" i="241"/>
  <c r="K33" i="133"/>
  <c r="J34" i="133"/>
  <c r="K34" i="133" s="1"/>
  <c r="N145" i="279"/>
  <c r="M146" i="241"/>
  <c r="N145" i="241"/>
  <c r="N147" i="241"/>
  <c r="N156" i="241" s="1"/>
  <c r="N157" i="241" s="1"/>
  <c r="M141" i="241"/>
  <c r="F68" i="73"/>
  <c r="G68" i="73"/>
  <c r="G66" i="73"/>
  <c r="F66" i="73"/>
  <c r="G67" i="73"/>
  <c r="F67" i="73"/>
  <c r="G65" i="73"/>
  <c r="F65" i="73"/>
  <c r="M133" i="241"/>
  <c r="M139" i="241"/>
  <c r="N146" i="279"/>
  <c r="N149" i="279"/>
  <c r="N148" i="279"/>
  <c r="N153" i="279"/>
  <c r="N154" i="279"/>
  <c r="N161" i="279" s="1"/>
  <c r="N144" i="279"/>
  <c r="N150" i="279"/>
  <c r="N151" i="279"/>
  <c r="N106" i="279"/>
  <c r="O60" i="279"/>
  <c r="N147" i="279"/>
  <c r="L148" i="241"/>
  <c r="O52" i="241"/>
  <c r="Y39" i="256"/>
  <c r="Y40" i="256"/>
  <c r="AB39" i="256" s="1"/>
  <c r="Y38" i="256"/>
  <c r="Y42" i="256"/>
  <c r="Y37" i="256"/>
  <c r="Y41" i="256"/>
  <c r="J36" i="6"/>
  <c r="J40" i="6"/>
  <c r="I40" i="6"/>
  <c r="I41" i="6" s="1"/>
  <c r="I36" i="6"/>
  <c r="K97" i="6"/>
  <c r="B3" i="53"/>
  <c r="O98" i="6"/>
  <c r="V34" i="257" l="1"/>
  <c r="U34" i="257"/>
  <c r="W34" i="257" s="1"/>
  <c r="V13" i="12"/>
  <c r="U13" i="12"/>
  <c r="W13" i="12" s="1"/>
  <c r="U33" i="257"/>
  <c r="W33" i="257" s="1"/>
  <c r="V33" i="257"/>
  <c r="V19" i="12"/>
  <c r="U19" i="12"/>
  <c r="W19" i="12" s="1"/>
  <c r="U20" i="257"/>
  <c r="W20" i="257" s="1"/>
  <c r="V20" i="257"/>
  <c r="V16" i="257"/>
  <c r="U16" i="257"/>
  <c r="W16" i="257" s="1"/>
  <c r="U19" i="257"/>
  <c r="W19" i="257" s="1"/>
  <c r="V19" i="257"/>
  <c r="V21" i="12"/>
  <c r="U21" i="12"/>
  <c r="W21" i="12" s="1"/>
  <c r="V22" i="257"/>
  <c r="U22" i="257"/>
  <c r="W22" i="257" s="1"/>
  <c r="V23" i="257"/>
  <c r="U23" i="257"/>
  <c r="W23" i="257" s="1"/>
  <c r="U18" i="12"/>
  <c r="W18" i="12" s="1"/>
  <c r="V18" i="12"/>
  <c r="U18" i="257"/>
  <c r="W18" i="257" s="1"/>
  <c r="V18" i="257"/>
  <c r="V31" i="257"/>
  <c r="U31" i="257"/>
  <c r="W31" i="257" s="1"/>
  <c r="U14" i="257"/>
  <c r="W14" i="257" s="1"/>
  <c r="V14" i="257"/>
  <c r="V27" i="257"/>
  <c r="U27" i="257"/>
  <c r="W27" i="257" s="1"/>
  <c r="V22" i="12"/>
  <c r="U22" i="12"/>
  <c r="W22" i="12" s="1"/>
  <c r="U25" i="257"/>
  <c r="W25" i="257" s="1"/>
  <c r="V25" i="257"/>
  <c r="Y23" i="257"/>
  <c r="U16" i="12"/>
  <c r="W16" i="12" s="1"/>
  <c r="V16" i="12"/>
  <c r="V13" i="257"/>
  <c r="U13" i="257"/>
  <c r="W13" i="257" s="1"/>
  <c r="U21" i="257"/>
  <c r="W21" i="257" s="1"/>
  <c r="V21" i="257"/>
  <c r="D71" i="280"/>
  <c r="E71" i="280" s="1"/>
  <c r="D70" i="280"/>
  <c r="E70" i="280" s="1"/>
  <c r="D73" i="280"/>
  <c r="E73" i="280" s="1"/>
  <c r="Q15" i="244"/>
  <c r="S15" i="244" s="1"/>
  <c r="Q13" i="244"/>
  <c r="S13" i="244" s="1"/>
  <c r="Q32" i="244"/>
  <c r="Q14" i="244"/>
  <c r="Q21" i="244"/>
  <c r="S21" i="244" s="1"/>
  <c r="Q33" i="244"/>
  <c r="S33" i="244" s="1"/>
  <c r="Q18" i="244"/>
  <c r="S18" i="244" s="1"/>
  <c r="Q17" i="244"/>
  <c r="Q29" i="244"/>
  <c r="S29" i="244" s="1"/>
  <c r="Q19" i="244"/>
  <c r="Q23" i="244"/>
  <c r="Q16" i="244"/>
  <c r="S16" i="244" s="1"/>
  <c r="Q34" i="244"/>
  <c r="Q12" i="244"/>
  <c r="S12" i="244" s="1"/>
  <c r="Q26" i="244"/>
  <c r="S26" i="244" s="1"/>
  <c r="Q35" i="244"/>
  <c r="Q11" i="244"/>
  <c r="Q22" i="244"/>
  <c r="Q27" i="244"/>
  <c r="S27" i="244" s="1"/>
  <c r="Q20" i="244"/>
  <c r="Q24" i="244"/>
  <c r="S24" i="244" s="1"/>
  <c r="Q25" i="244"/>
  <c r="S25" i="244" s="1"/>
  <c r="Q28" i="244"/>
  <c r="D23" i="280"/>
  <c r="E23" i="280" s="1"/>
  <c r="D22" i="280"/>
  <c r="E22" i="280" s="1"/>
  <c r="D25" i="280"/>
  <c r="E25" i="280" s="1"/>
  <c r="N41" i="244"/>
  <c r="N39" i="244"/>
  <c r="N42" i="244"/>
  <c r="N38" i="244"/>
  <c r="N40" i="244"/>
  <c r="N37" i="244"/>
  <c r="L6" i="14"/>
  <c r="L6" i="280"/>
  <c r="D29" i="243"/>
  <c r="D40" i="243" s="1"/>
  <c r="N13" i="281"/>
  <c r="N22" i="281"/>
  <c r="N23" i="281"/>
  <c r="N33" i="281"/>
  <c r="N21" i="281"/>
  <c r="N35" i="281"/>
  <c r="N18" i="281"/>
  <c r="N15" i="281"/>
  <c r="N32" i="281"/>
  <c r="N27" i="281"/>
  <c r="N20" i="281"/>
  <c r="N28" i="281"/>
  <c r="N12" i="281"/>
  <c r="N25" i="281"/>
  <c r="N14" i="281"/>
  <c r="N16" i="281"/>
  <c r="N26" i="281"/>
  <c r="N34" i="281"/>
  <c r="N24" i="281"/>
  <c r="Q6" i="281"/>
  <c r="N19" i="281"/>
  <c r="N44" i="281"/>
  <c r="N11" i="281"/>
  <c r="N17" i="281"/>
  <c r="N46" i="281"/>
  <c r="N29" i="281"/>
  <c r="N148" i="241"/>
  <c r="M148" i="241"/>
  <c r="I45" i="6"/>
  <c r="I47" i="6" s="1"/>
  <c r="I49" i="6" s="1"/>
  <c r="I55" i="6" s="1"/>
  <c r="I59" i="6" s="1"/>
  <c r="I64" i="6" s="1"/>
  <c r="I43" i="6"/>
  <c r="J39" i="6" s="1"/>
  <c r="J41" i="6" s="1"/>
  <c r="J43" i="6" s="1"/>
  <c r="K39" i="6" s="1"/>
  <c r="K107" i="6"/>
  <c r="K52" i="6" s="1"/>
  <c r="K33" i="6" s="1"/>
  <c r="K35" i="6" s="1"/>
  <c r="L97" i="6"/>
  <c r="B3" i="15"/>
  <c r="I27" i="213"/>
  <c r="AF15" i="213"/>
  <c r="O47" i="213"/>
  <c r="J22" i="213"/>
  <c r="Z18" i="214"/>
  <c r="AV19" i="213"/>
  <c r="BO17" i="213"/>
  <c r="V33" i="213"/>
  <c r="AR16" i="213"/>
  <c r="AS35" i="213"/>
  <c r="AW33" i="213"/>
  <c r="V20" i="213"/>
  <c r="R22" i="213"/>
  <c r="AW31" i="213"/>
  <c r="AE37" i="213"/>
  <c r="H42" i="213"/>
  <c r="AK52" i="213"/>
  <c r="AM34" i="213"/>
  <c r="AL30" i="213"/>
  <c r="H16" i="213"/>
  <c r="E16" i="213"/>
  <c r="J53" i="213"/>
  <c r="I35" i="213"/>
  <c r="BM19" i="213"/>
  <c r="W19" i="213"/>
  <c r="AJ27" i="214"/>
  <c r="BJ22" i="213"/>
  <c r="AM33" i="213"/>
  <c r="P37" i="213"/>
  <c r="BQ20" i="213"/>
  <c r="BD22" i="213"/>
  <c r="Q45" i="213"/>
  <c r="Y10" i="214"/>
  <c r="O17" i="214"/>
  <c r="BH25" i="213"/>
  <c r="E22" i="213"/>
  <c r="T39" i="213"/>
  <c r="AJ33" i="213"/>
  <c r="BM33" i="213"/>
  <c r="AG21" i="214"/>
  <c r="C36" i="213"/>
  <c r="AP20" i="213"/>
  <c r="AI22" i="213"/>
  <c r="AS19" i="213"/>
  <c r="AQ38" i="213"/>
  <c r="AA28" i="213"/>
  <c r="D38" i="213"/>
  <c r="BO38" i="213"/>
  <c r="Q47" i="213"/>
  <c r="BE34" i="213"/>
  <c r="G21" i="214"/>
  <c r="AG51" i="213"/>
  <c r="V23" i="214"/>
  <c r="P40" i="213"/>
  <c r="BK34" i="213"/>
  <c r="S15" i="213"/>
  <c r="AH36" i="213"/>
  <c r="AQ18" i="213"/>
  <c r="AI20" i="213"/>
  <c r="X42" i="213"/>
  <c r="BG45" i="213"/>
  <c r="X12" i="214"/>
  <c r="AE32" i="213"/>
  <c r="P23" i="213"/>
  <c r="BJ38" i="213"/>
  <c r="AP42" i="213"/>
  <c r="BH29" i="213"/>
  <c r="M32" i="213"/>
  <c r="AS40" i="213"/>
  <c r="P36" i="213"/>
  <c r="C24" i="214"/>
  <c r="U53" i="213"/>
  <c r="BL29" i="213"/>
  <c r="AB15" i="213"/>
  <c r="AD52" i="213"/>
  <c r="Y18" i="213"/>
  <c r="F28" i="214"/>
  <c r="E31" i="213"/>
  <c r="N23" i="213"/>
  <c r="AT35" i="213"/>
  <c r="Z16" i="213"/>
  <c r="G38" i="213"/>
  <c r="R25" i="213"/>
  <c r="L27" i="214"/>
  <c r="F18" i="214"/>
  <c r="BL16" i="213"/>
  <c r="O39" i="213"/>
  <c r="BP40" i="213"/>
  <c r="T22" i="213"/>
  <c r="BC19" i="213"/>
  <c r="AX34" i="213"/>
  <c r="AN19" i="213"/>
  <c r="AE23" i="213"/>
  <c r="AE33" i="213"/>
  <c r="AD39" i="213"/>
  <c r="AJ32" i="213"/>
  <c r="AC23" i="213"/>
  <c r="L29" i="214"/>
  <c r="AV33" i="213"/>
  <c r="AU31" i="213"/>
  <c r="F47" i="213"/>
  <c r="V21" i="214"/>
  <c r="BC40" i="213"/>
  <c r="BO23" i="213"/>
  <c r="K38" i="213"/>
  <c r="A18" i="213"/>
  <c r="D25" i="213"/>
  <c r="I27" i="214"/>
  <c r="AX30" i="213"/>
  <c r="BI21" i="213"/>
  <c r="AE15" i="213"/>
  <c r="X15" i="214"/>
  <c r="G16" i="214"/>
  <c r="P19" i="213"/>
  <c r="X35" i="213"/>
  <c r="I38" i="213"/>
  <c r="Q20" i="213"/>
  <c r="I22" i="214"/>
  <c r="S21" i="213"/>
  <c r="BI34" i="213"/>
  <c r="AJ51" i="213"/>
  <c r="AR18" i="213"/>
  <c r="BN22" i="213"/>
  <c r="K16" i="213"/>
  <c r="P23" i="214"/>
  <c r="BJ52" i="213"/>
  <c r="BF18" i="213"/>
  <c r="Y24" i="213"/>
  <c r="AL17" i="213"/>
  <c r="V10" i="214"/>
  <c r="F32" i="213"/>
  <c r="BC32" i="213"/>
  <c r="AZ18" i="213"/>
  <c r="BP32" i="213"/>
  <c r="AQ47" i="213"/>
  <c r="Y19" i="214"/>
  <c r="BM20" i="213"/>
  <c r="D10" i="214"/>
  <c r="BK19" i="213"/>
  <c r="W40" i="213"/>
  <c r="C16" i="214"/>
  <c r="F50" i="213"/>
  <c r="O16" i="214"/>
  <c r="BA30" i="213"/>
  <c r="AV34" i="213"/>
  <c r="AH41" i="213"/>
  <c r="H45" i="213"/>
  <c r="AT39" i="213"/>
  <c r="A47" i="213"/>
  <c r="AF40" i="213"/>
  <c r="AA19" i="213"/>
  <c r="T44" i="213"/>
  <c r="R40" i="213"/>
  <c r="P25" i="214"/>
  <c r="AL20" i="213"/>
  <c r="BN42" i="213"/>
  <c r="BM49" i="213"/>
  <c r="AF46" i="213"/>
  <c r="BD19" i="213"/>
  <c r="AC24" i="213"/>
  <c r="BC45" i="213"/>
  <c r="AN21" i="213"/>
  <c r="AQ37" i="213"/>
  <c r="AJ41" i="213"/>
  <c r="R42" i="213"/>
  <c r="AC19" i="213"/>
  <c r="M45" i="213"/>
  <c r="AD21" i="213"/>
  <c r="AP23" i="213"/>
  <c r="AJ21" i="214"/>
  <c r="AJ25" i="214"/>
  <c r="D14" i="214"/>
  <c r="G27" i="214"/>
  <c r="U17" i="214"/>
  <c r="Z51" i="213"/>
  <c r="AU40" i="213"/>
  <c r="G32" i="213"/>
  <c r="BC37" i="213"/>
  <c r="BP18" i="213"/>
  <c r="AZ17" i="213"/>
  <c r="Y22" i="213"/>
  <c r="BP51" i="213"/>
  <c r="W16" i="213"/>
  <c r="AS48" i="213"/>
  <c r="AR37" i="213"/>
  <c r="AK32" i="213"/>
  <c r="AE18" i="213"/>
  <c r="AL31" i="213"/>
  <c r="Z47" i="213"/>
  <c r="H19" i="213"/>
  <c r="I32" i="213"/>
  <c r="AI52" i="213"/>
  <c r="B10" i="214"/>
  <c r="BE20" i="213"/>
  <c r="BM36" i="213"/>
  <c r="W28" i="213"/>
  <c r="J45" i="213"/>
  <c r="Y53" i="213"/>
  <c r="AP39" i="213"/>
  <c r="BF30" i="213"/>
  <c r="BK52" i="213"/>
  <c r="BJ42" i="213"/>
  <c r="AQ40" i="213"/>
  <c r="AH16" i="213"/>
  <c r="Y12" i="214"/>
  <c r="AX36" i="213"/>
  <c r="X45" i="213"/>
  <c r="BE17" i="213"/>
  <c r="BK22" i="213"/>
  <c r="B17" i="214"/>
  <c r="Z25" i="213"/>
  <c r="BK48" i="213"/>
  <c r="X47" i="213"/>
  <c r="L20" i="213"/>
  <c r="AD17" i="213"/>
  <c r="AJ18" i="213"/>
  <c r="BE31" i="213"/>
  <c r="AK42" i="213"/>
  <c r="D12" i="214"/>
  <c r="AY36" i="213"/>
  <c r="P31" i="213"/>
  <c r="X41" i="213"/>
  <c r="N24" i="214"/>
  <c r="G22" i="213"/>
  <c r="C38" i="213"/>
  <c r="BJ33" i="213"/>
  <c r="D33" i="213"/>
  <c r="G36" i="213"/>
  <c r="BF29" i="213"/>
  <c r="W21" i="213"/>
  <c r="N20" i="214"/>
  <c r="BN31" i="213"/>
  <c r="G39" i="213"/>
  <c r="C24" i="213"/>
  <c r="H18" i="213"/>
  <c r="AW36" i="213"/>
  <c r="R35" i="213"/>
  <c r="K35" i="213"/>
  <c r="AZ24" i="213"/>
  <c r="U27" i="214"/>
  <c r="V16" i="214"/>
  <c r="BB47" i="213"/>
  <c r="K30" i="213"/>
  <c r="BK24" i="213"/>
  <c r="BA53" i="213"/>
  <c r="AI38" i="213"/>
  <c r="BD50" i="213"/>
  <c r="BQ39" i="213"/>
  <c r="D23" i="213"/>
  <c r="BM32" i="213"/>
  <c r="C40" i="213"/>
  <c r="BP25" i="213"/>
  <c r="BG20" i="213"/>
  <c r="Z36" i="213"/>
  <c r="BP30" i="213"/>
  <c r="L48" i="213"/>
  <c r="AS15" i="213"/>
  <c r="N17" i="213"/>
  <c r="D11" i="214"/>
  <c r="AF26" i="214"/>
  <c r="AT22" i="213"/>
  <c r="L11" i="214"/>
  <c r="J47" i="213"/>
  <c r="N21" i="213"/>
  <c r="AK20" i="213"/>
  <c r="K42" i="213"/>
  <c r="G26" i="214"/>
  <c r="F27" i="214"/>
  <c r="BI39" i="213"/>
  <c r="AJ50" i="213"/>
  <c r="K23" i="213"/>
  <c r="BA34" i="213"/>
  <c r="O36" i="213"/>
  <c r="U38" i="213"/>
  <c r="BP20" i="213"/>
  <c r="AP40" i="213"/>
  <c r="BD34" i="213"/>
  <c r="AG28" i="213"/>
  <c r="BC52" i="213"/>
  <c r="S40" i="213"/>
  <c r="Y25" i="214"/>
  <c r="M26" i="213"/>
  <c r="AA23" i="213"/>
  <c r="BG17" i="213"/>
  <c r="BQ33" i="213"/>
  <c r="U12" i="214"/>
  <c r="BM50" i="213"/>
  <c r="BL34" i="213"/>
  <c r="BJ29" i="213"/>
  <c r="L53" i="213"/>
  <c r="C34" i="213"/>
  <c r="U30" i="213"/>
  <c r="Z22" i="214"/>
  <c r="BD33" i="213"/>
  <c r="AS18" i="213"/>
  <c r="V14" i="214"/>
  <c r="AC52" i="213"/>
  <c r="BH19" i="213"/>
  <c r="AJ40" i="213"/>
  <c r="O27" i="214"/>
  <c r="AT20" i="213"/>
  <c r="BE21" i="213"/>
  <c r="G14" i="214"/>
  <c r="AH50" i="213"/>
  <c r="E12" i="214"/>
  <c r="BB16" i="213"/>
  <c r="AL45" i="213"/>
  <c r="L32" i="213"/>
  <c r="AB41" i="213"/>
  <c r="I46" i="213"/>
  <c r="AJ20" i="214"/>
  <c r="O24" i="213"/>
  <c r="BQ40" i="213"/>
  <c r="AS31" i="213"/>
  <c r="R34" i="213"/>
  <c r="AW35" i="213"/>
  <c r="BL15" i="213"/>
  <c r="A37" i="213"/>
  <c r="AZ22" i="213"/>
  <c r="BF45" i="213"/>
  <c r="C45" i="213"/>
  <c r="AR40" i="213"/>
  <c r="G52" i="213"/>
  <c r="C29" i="214"/>
  <c r="N27" i="214"/>
  <c r="L17" i="214"/>
  <c r="AM53" i="213"/>
  <c r="BB34" i="213"/>
  <c r="AD44" i="213"/>
  <c r="AF15" i="214"/>
  <c r="BB20" i="213"/>
  <c r="BE38" i="213"/>
  <c r="Q28" i="213"/>
  <c r="R20" i="213"/>
  <c r="E53" i="213"/>
  <c r="BJ32" i="213"/>
  <c r="Y21" i="213"/>
  <c r="D22" i="214"/>
  <c r="Y45" i="213"/>
  <c r="BO21" i="213"/>
  <c r="X20" i="214"/>
  <c r="AJ18" i="214"/>
  <c r="BO48" i="213"/>
  <c r="BC30" i="213"/>
  <c r="Z16" i="214"/>
  <c r="S31" i="213"/>
  <c r="F40" i="213"/>
  <c r="V18" i="214"/>
  <c r="BP39" i="213"/>
  <c r="C12" i="214"/>
  <c r="AB42" i="213"/>
  <c r="Q29" i="213"/>
  <c r="AK40" i="213"/>
  <c r="AF35" i="213"/>
  <c r="L29" i="213"/>
  <c r="K24" i="213"/>
  <c r="AC46" i="213"/>
  <c r="C17" i="213"/>
  <c r="U49" i="213"/>
  <c r="L19" i="213"/>
  <c r="P35" i="213"/>
  <c r="BG32" i="213"/>
  <c r="AL52" i="213"/>
  <c r="BO42" i="213"/>
  <c r="AL22" i="213"/>
  <c r="L20" i="214"/>
  <c r="BQ34" i="213"/>
  <c r="BK30" i="213"/>
  <c r="W26" i="213"/>
  <c r="AF21" i="214"/>
  <c r="V29" i="213"/>
  <c r="N26" i="213"/>
  <c r="C37" i="213"/>
  <c r="S53" i="213"/>
  <c r="O23" i="214"/>
  <c r="BE52" i="213"/>
  <c r="BO44" i="213"/>
  <c r="AR41" i="213"/>
  <c r="AD48" i="213"/>
  <c r="BC53" i="213"/>
  <c r="G11" i="214"/>
  <c r="C18" i="213"/>
  <c r="Q37" i="213"/>
  <c r="J31" i="213"/>
  <c r="I16" i="214"/>
  <c r="V28" i="214"/>
  <c r="BK25" i="213"/>
  <c r="W18" i="213"/>
  <c r="C41" i="213"/>
  <c r="O20" i="213"/>
  <c r="AB35" i="213"/>
  <c r="C20" i="213"/>
  <c r="Y30" i="213"/>
  <c r="Y16" i="213"/>
  <c r="K19" i="213"/>
  <c r="F12" i="214"/>
  <c r="BI40" i="213"/>
  <c r="AA29" i="213"/>
  <c r="Y19" i="213"/>
  <c r="Y51" i="213"/>
  <c r="D19" i="214"/>
  <c r="AC22" i="213"/>
  <c r="AH33" i="213"/>
  <c r="Y23" i="213"/>
  <c r="AL48" i="213"/>
  <c r="AY28" i="213"/>
  <c r="S41" i="213"/>
  <c r="AG50" i="213"/>
  <c r="Z27" i="213"/>
  <c r="V19" i="214"/>
  <c r="BD40" i="213"/>
  <c r="AI17" i="213"/>
  <c r="BM26" i="213"/>
  <c r="V24" i="213"/>
  <c r="AO20" i="213"/>
  <c r="F13" i="214"/>
  <c r="AR29" i="213"/>
  <c r="K33" i="213"/>
  <c r="J48" i="213"/>
  <c r="BF38" i="213"/>
  <c r="R44" i="213"/>
  <c r="C11" i="214"/>
  <c r="BK50" i="213"/>
  <c r="AY48" i="213"/>
  <c r="O26" i="213"/>
  <c r="G20" i="214"/>
  <c r="AG37" i="213"/>
  <c r="AX40" i="213"/>
  <c r="BM31" i="213"/>
  <c r="BI51" i="213"/>
  <c r="AV49" i="213"/>
  <c r="AX46" i="213"/>
  <c r="AV31" i="213"/>
  <c r="X37" i="213"/>
  <c r="A25" i="213"/>
  <c r="T45" i="213"/>
  <c r="BE16" i="213"/>
  <c r="AY42" i="213"/>
  <c r="AY46" i="213"/>
  <c r="O41" i="213"/>
  <c r="G24" i="214"/>
  <c r="Q32" i="213"/>
  <c r="AI23" i="213"/>
  <c r="D29" i="214"/>
  <c r="Z17" i="213"/>
  <c r="BQ31" i="213"/>
  <c r="Z10" i="214"/>
  <c r="BG23" i="213"/>
  <c r="AT25" i="213"/>
  <c r="BK23" i="213"/>
  <c r="AZ44" i="213"/>
  <c r="V17" i="213"/>
  <c r="AB17" i="213"/>
  <c r="H33" i="213"/>
  <c r="BJ15" i="213"/>
  <c r="G19" i="213"/>
  <c r="AW38" i="213"/>
  <c r="AF16" i="214"/>
  <c r="I48" i="213"/>
  <c r="AZ53" i="213"/>
  <c r="BM24" i="213"/>
  <c r="BM38" i="213"/>
  <c r="E50" i="213"/>
  <c r="Z38" i="213"/>
  <c r="Q46" i="213"/>
  <c r="F42" i="213"/>
  <c r="M17" i="213"/>
  <c r="G53" i="213"/>
  <c r="AX20" i="213"/>
  <c r="C14" i="214"/>
  <c r="AG25" i="214"/>
  <c r="BD42" i="213"/>
  <c r="K44" i="213"/>
  <c r="BD51" i="213"/>
  <c r="AP17" i="213"/>
  <c r="AR24" i="213"/>
  <c r="BD17" i="213"/>
  <c r="AR17" i="213"/>
  <c r="B22" i="214"/>
  <c r="O28" i="214"/>
  <c r="AP21" i="213"/>
  <c r="N27" i="213"/>
  <c r="AS37" i="213"/>
  <c r="I26" i="213"/>
  <c r="BK28" i="213"/>
  <c r="Y13" i="214"/>
  <c r="G15" i="214"/>
  <c r="AI33" i="213"/>
  <c r="U26" i="214"/>
  <c r="Q50" i="213"/>
  <c r="AG17" i="213"/>
  <c r="AP26" i="213"/>
  <c r="BK40" i="213"/>
  <c r="O13" i="214"/>
  <c r="C17" i="214"/>
  <c r="AD38" i="213"/>
  <c r="AG15" i="214"/>
  <c r="AK24" i="213"/>
  <c r="AA52" i="213"/>
  <c r="G23" i="213"/>
  <c r="U18" i="214"/>
  <c r="Y31" i="213"/>
  <c r="P12" i="214"/>
  <c r="AL40" i="213"/>
  <c r="BG42" i="213"/>
  <c r="F29" i="214"/>
  <c r="X48" i="213"/>
  <c r="AP53" i="213"/>
  <c r="AG24" i="214"/>
  <c r="AU29" i="213"/>
  <c r="Q25" i="213"/>
  <c r="U22" i="213"/>
  <c r="C23" i="213"/>
  <c r="AL38" i="213"/>
  <c r="AY45" i="213"/>
  <c r="AL33" i="213"/>
  <c r="AP44" i="213"/>
  <c r="G16" i="213"/>
  <c r="BI18" i="213"/>
  <c r="AJ45" i="213"/>
  <c r="AP38" i="213"/>
  <c r="AM44" i="213"/>
  <c r="P14" i="214"/>
  <c r="N18" i="214"/>
  <c r="AJ31" i="213"/>
  <c r="J40" i="213"/>
  <c r="Q42" i="213"/>
  <c r="BP37" i="213"/>
  <c r="AP24" i="213"/>
  <c r="BB26" i="213"/>
  <c r="F11" i="214"/>
  <c r="BK21" i="213"/>
  <c r="BE15" i="213"/>
  <c r="AP33" i="213"/>
  <c r="N11" i="214"/>
  <c r="H37" i="213"/>
  <c r="H36" i="213"/>
  <c r="BK33" i="213"/>
  <c r="G17" i="213"/>
  <c r="G15" i="213"/>
  <c r="BJ36" i="213"/>
  <c r="AX42" i="213"/>
  <c r="N39" i="213"/>
  <c r="BI28" i="213"/>
  <c r="A30" i="213"/>
  <c r="AP37" i="213"/>
  <c r="BG46" i="213"/>
  <c r="E26" i="213"/>
  <c r="AP22" i="213"/>
  <c r="BN37" i="213"/>
  <c r="E17" i="214"/>
  <c r="N34" i="213"/>
  <c r="BF20" i="213"/>
  <c r="C49" i="213"/>
  <c r="Y39" i="213"/>
  <c r="AG36" i="213"/>
  <c r="P26" i="214"/>
  <c r="AP15" i="213"/>
  <c r="D50" i="213"/>
  <c r="BC16" i="213"/>
  <c r="I22" i="213"/>
  <c r="G49" i="213"/>
  <c r="S46" i="213"/>
  <c r="AM25" i="213"/>
  <c r="F17" i="214"/>
  <c r="AB37" i="213"/>
  <c r="A29" i="213"/>
  <c r="O29" i="214"/>
  <c r="V50" i="213"/>
  <c r="Y41" i="213"/>
  <c r="M40" i="213"/>
  <c r="AF25" i="213"/>
  <c r="BE27" i="213"/>
  <c r="AC30" i="213"/>
  <c r="AF24" i="214"/>
  <c r="K29" i="213"/>
  <c r="C25" i="213"/>
  <c r="Y27" i="214"/>
  <c r="BB42" i="213"/>
  <c r="AS38" i="213"/>
  <c r="BF33" i="213"/>
  <c r="I29" i="213"/>
  <c r="I17" i="213"/>
  <c r="AS27" i="213"/>
  <c r="AQ29" i="213"/>
  <c r="BF46" i="213"/>
  <c r="I25" i="213"/>
  <c r="BL32" i="213"/>
  <c r="BJ16" i="213"/>
  <c r="BJ20" i="213"/>
  <c r="T53" i="213"/>
  <c r="AO26" i="213"/>
  <c r="AW44" i="213"/>
  <c r="X17" i="213"/>
  <c r="AP41" i="213"/>
  <c r="BN20" i="213"/>
  <c r="C27" i="213"/>
  <c r="N53" i="213"/>
  <c r="C10" i="214"/>
  <c r="F24" i="214"/>
  <c r="F33" i="213"/>
  <c r="AD32" i="213"/>
  <c r="BL42" i="213"/>
  <c r="BN24" i="213"/>
  <c r="I21" i="213"/>
  <c r="BD39" i="213"/>
  <c r="BN33" i="213"/>
  <c r="T41" i="213"/>
  <c r="AB20" i="213"/>
  <c r="M23" i="213"/>
  <c r="BG37" i="213"/>
  <c r="AJ29" i="213"/>
  <c r="AV40" i="213"/>
  <c r="AQ23" i="213"/>
  <c r="J52" i="213"/>
  <c r="T42" i="213"/>
  <c r="V25" i="214"/>
  <c r="Y26" i="214"/>
  <c r="Q30" i="213"/>
  <c r="BI23" i="213"/>
  <c r="BB49" i="213"/>
  <c r="AE25" i="213"/>
  <c r="AP50" i="213"/>
  <c r="AC32" i="213"/>
  <c r="BK31" i="213"/>
  <c r="I49" i="213"/>
  <c r="AG32" i="213"/>
  <c r="AC29" i="213"/>
  <c r="E10" i="214"/>
  <c r="V16" i="213"/>
  <c r="BG47" i="213"/>
  <c r="BE46" i="213"/>
  <c r="AZ32" i="213"/>
  <c r="BP42" i="213"/>
  <c r="AW21" i="213"/>
  <c r="BA36" i="213"/>
  <c r="AC37" i="213"/>
  <c r="Y16" i="214"/>
  <c r="AY22" i="213"/>
  <c r="T29" i="213"/>
  <c r="N24" i="213"/>
  <c r="AL49" i="213"/>
  <c r="BE41" i="213"/>
  <c r="AC25" i="213"/>
  <c r="BL28" i="213"/>
  <c r="AP34" i="213"/>
  <c r="L25" i="214"/>
  <c r="AH19" i="213"/>
  <c r="AS34" i="213"/>
  <c r="AC50" i="213"/>
  <c r="S51" i="213"/>
  <c r="Q40" i="213"/>
  <c r="BE44" i="213"/>
  <c r="AQ26" i="213"/>
  <c r="AC31" i="213"/>
  <c r="AJ29" i="214"/>
  <c r="BA31" i="213"/>
  <c r="BH49" i="213"/>
  <c r="G51" i="213"/>
  <c r="AF47" i="213"/>
  <c r="L25" i="213"/>
  <c r="L21" i="213"/>
  <c r="P41" i="213"/>
  <c r="L21" i="214"/>
  <c r="AV44" i="213"/>
  <c r="AF48" i="213"/>
  <c r="S20" i="213"/>
  <c r="BA47" i="213"/>
  <c r="AY21" i="213"/>
  <c r="E15" i="214"/>
  <c r="A32" i="213"/>
  <c r="AU38" i="213"/>
  <c r="AF45" i="213"/>
  <c r="F15" i="213"/>
  <c r="Q31" i="213"/>
  <c r="AI34" i="213"/>
  <c r="AB44" i="213"/>
  <c r="E26" i="214"/>
  <c r="H23" i="213"/>
  <c r="C27" i="214"/>
  <c r="B14" i="214"/>
  <c r="L28" i="213"/>
  <c r="AK35" i="213"/>
  <c r="V22" i="214"/>
  <c r="L35" i="213"/>
  <c r="AB40" i="213"/>
  <c r="BH23" i="213"/>
  <c r="AN32" i="213"/>
  <c r="L16" i="213"/>
  <c r="F16" i="214"/>
  <c r="AL23" i="213"/>
  <c r="AT27" i="213"/>
  <c r="AK50" i="213"/>
  <c r="AD47" i="213"/>
  <c r="BM27" i="213"/>
  <c r="BC36" i="213"/>
  <c r="AJ34" i="213"/>
  <c r="P52" i="213"/>
  <c r="AF41" i="213"/>
  <c r="BI42" i="213"/>
  <c r="AC48" i="213"/>
  <c r="BC39" i="213"/>
  <c r="BI38" i="213"/>
  <c r="A38" i="213"/>
  <c r="AD22" i="213"/>
  <c r="Z21" i="213"/>
  <c r="AE36" i="213"/>
  <c r="AV25" i="213"/>
  <c r="T52" i="213"/>
  <c r="AW47" i="213"/>
  <c r="I28" i="214"/>
  <c r="U28" i="213"/>
  <c r="AF19" i="214"/>
  <c r="AD41" i="213"/>
  <c r="U35" i="213"/>
  <c r="AM24" i="213"/>
  <c r="AM36" i="213"/>
  <c r="U32" i="213"/>
  <c r="O48" i="213"/>
  <c r="A44" i="213"/>
  <c r="N16" i="214"/>
  <c r="P25" i="213"/>
  <c r="BC28" i="213"/>
  <c r="L14" i="214"/>
  <c r="AM52" i="213"/>
  <c r="BP21" i="213"/>
  <c r="BA40" i="213"/>
  <c r="AE49" i="213"/>
  <c r="BB32" i="213"/>
  <c r="D13" i="214"/>
  <c r="BF22" i="213"/>
  <c r="R26" i="213"/>
  <c r="F34" i="213"/>
  <c r="AM17" i="213"/>
  <c r="F20" i="213"/>
  <c r="AK38" i="213"/>
  <c r="P20" i="213"/>
  <c r="K37" i="213"/>
  <c r="AI40" i="213"/>
  <c r="Y47" i="213"/>
  <c r="AF14" i="214"/>
  <c r="AN23" i="213"/>
  <c r="O22" i="213"/>
  <c r="AH39" i="213"/>
  <c r="BL52" i="213"/>
  <c r="I37" i="213"/>
  <c r="AZ28" i="213"/>
  <c r="AL24" i="213"/>
  <c r="AF22" i="214"/>
  <c r="U25" i="214"/>
  <c r="AV21" i="213"/>
  <c r="AV42" i="213"/>
  <c r="J35" i="213"/>
  <c r="BG38" i="213"/>
  <c r="BB51" i="213"/>
  <c r="V19" i="213"/>
  <c r="AR21" i="213"/>
  <c r="AS25" i="213"/>
  <c r="BA22" i="213"/>
  <c r="BI27" i="213"/>
  <c r="A24" i="213"/>
  <c r="BJ50" i="213"/>
  <c r="W41" i="213"/>
  <c r="AH49" i="213"/>
  <c r="B28" i="214"/>
  <c r="BO28" i="213"/>
  <c r="AQ35" i="213"/>
  <c r="AA24" i="213"/>
  <c r="AV52" i="213"/>
  <c r="R18" i="213"/>
  <c r="AN37" i="213"/>
  <c r="BQ26" i="213"/>
  <c r="AF36" i="213"/>
  <c r="AO37" i="213"/>
  <c r="I11" i="214"/>
  <c r="BP23" i="213"/>
  <c r="AJ23" i="213"/>
  <c r="AC26" i="213"/>
  <c r="BB41" i="213"/>
  <c r="I20" i="214"/>
  <c r="BN45" i="213"/>
  <c r="P29" i="214"/>
  <c r="BE32" i="213"/>
  <c r="W51" i="213"/>
  <c r="AX33" i="213"/>
  <c r="H26" i="213"/>
  <c r="Y14" i="214"/>
  <c r="T34" i="213"/>
  <c r="AB18" i="213"/>
  <c r="D31" i="213"/>
  <c r="BO29" i="213"/>
  <c r="AW29" i="213"/>
  <c r="F48" i="213"/>
  <c r="A31" i="213"/>
  <c r="Z20" i="214"/>
  <c r="K52" i="213"/>
  <c r="AC36" i="213"/>
  <c r="AO41" i="213"/>
  <c r="D46" i="213"/>
  <c r="X46" i="213"/>
  <c r="BG18" i="213"/>
  <c r="BK49" i="213"/>
  <c r="V36" i="213"/>
  <c r="BP41" i="213"/>
  <c r="BC24" i="213"/>
  <c r="BQ50" i="213"/>
  <c r="BA49" i="213"/>
  <c r="Z23" i="214"/>
  <c r="S35" i="213"/>
  <c r="H38" i="213"/>
  <c r="I17" i="214"/>
  <c r="AK25" i="213"/>
  <c r="AM29" i="213"/>
  <c r="BC33" i="213"/>
  <c r="AE52" i="213"/>
  <c r="AZ47" i="213"/>
  <c r="AA22" i="213"/>
  <c r="AG23" i="213"/>
  <c r="M42" i="213"/>
  <c r="G13" i="214"/>
  <c r="E39" i="213"/>
  <c r="AB47" i="213"/>
  <c r="P21" i="214"/>
  <c r="T20" i="213"/>
  <c r="L22" i="213"/>
  <c r="AF18" i="214"/>
  <c r="T31" i="213"/>
  <c r="AH29" i="213"/>
  <c r="L31" i="213"/>
  <c r="E20" i="213"/>
  <c r="AL29" i="213"/>
  <c r="E34" i="213"/>
  <c r="G33" i="213"/>
  <c r="N18" i="213"/>
  <c r="K41" i="213"/>
  <c r="M15" i="213"/>
  <c r="AI51" i="213"/>
  <c r="AD34" i="213"/>
  <c r="BK46" i="213"/>
  <c r="AR23" i="213"/>
  <c r="G26" i="213"/>
  <c r="S45" i="213"/>
  <c r="Y11" i="214"/>
  <c r="E20" i="214"/>
  <c r="AR20" i="213"/>
  <c r="BN49" i="213"/>
  <c r="O21" i="214"/>
  <c r="AG45" i="213"/>
  <c r="AE50" i="213"/>
  <c r="AN31" i="213"/>
  <c r="V41" i="213"/>
  <c r="V30" i="213"/>
  <c r="AD29" i="213"/>
  <c r="BH27" i="213"/>
  <c r="AU23" i="213"/>
  <c r="AX19" i="213"/>
  <c r="E19" i="213"/>
  <c r="A34" i="213"/>
  <c r="C39" i="213"/>
  <c r="R32" i="213"/>
  <c r="P16" i="213"/>
  <c r="M33" i="213"/>
  <c r="BE53" i="213"/>
  <c r="K34" i="213"/>
  <c r="BP22" i="213"/>
  <c r="AS33" i="213"/>
  <c r="U17" i="213"/>
  <c r="D53" i="213"/>
  <c r="BG26" i="213"/>
  <c r="BN17" i="213"/>
  <c r="N37" i="213"/>
  <c r="V39" i="213"/>
  <c r="BK35" i="213"/>
  <c r="P48" i="213"/>
  <c r="AV32" i="213"/>
  <c r="AJ19" i="214"/>
  <c r="AF17" i="214"/>
  <c r="E41" i="213"/>
  <c r="AJ42" i="213"/>
  <c r="D17" i="214"/>
  <c r="BL45" i="213"/>
  <c r="AC49" i="213"/>
  <c r="H29" i="213"/>
  <c r="A41" i="213"/>
  <c r="BM30" i="213"/>
  <c r="BQ29" i="213"/>
  <c r="BJ34" i="213"/>
  <c r="S49" i="213"/>
  <c r="B29" i="214"/>
  <c r="A40" i="213"/>
  <c r="M34" i="213"/>
  <c r="BO47" i="213"/>
  <c r="X11" i="214"/>
  <c r="F44" i="213"/>
  <c r="AS36" i="213"/>
  <c r="Y38" i="213"/>
  <c r="AD49" i="213"/>
  <c r="I52" i="213"/>
  <c r="AL28" i="213"/>
  <c r="V40" i="213"/>
  <c r="BI35" i="213"/>
  <c r="BJ18" i="213"/>
  <c r="AA45" i="213"/>
  <c r="AZ34" i="213"/>
  <c r="G28" i="213"/>
  <c r="AY34" i="213"/>
  <c r="BJ37" i="213"/>
  <c r="U16" i="214"/>
  <c r="M38" i="213"/>
  <c r="AN30" i="213"/>
  <c r="E29" i="214"/>
  <c r="BL44" i="213"/>
  <c r="BQ22" i="213"/>
  <c r="Q23" i="213"/>
  <c r="BI25" i="213"/>
  <c r="G45" i="213"/>
  <c r="AW27" i="213"/>
  <c r="L19" i="214"/>
  <c r="T40" i="213"/>
  <c r="L24" i="213"/>
  <c r="D42" i="213"/>
  <c r="B25" i="214"/>
  <c r="AM32" i="213"/>
  <c r="AV17" i="213"/>
  <c r="BE47" i="213"/>
  <c r="G18" i="213"/>
  <c r="AE38" i="213"/>
  <c r="BE51" i="213"/>
  <c r="AZ29" i="213"/>
  <c r="AP18" i="213"/>
  <c r="BO30" i="213"/>
  <c r="AH37" i="213"/>
  <c r="AY16" i="213"/>
  <c r="AP29" i="213"/>
  <c r="A26" i="213"/>
  <c r="X22" i="214"/>
  <c r="N19" i="213"/>
  <c r="O24" i="214"/>
  <c r="AA36" i="213"/>
  <c r="R31" i="213"/>
  <c r="F15" i="214"/>
  <c r="P13" i="214"/>
  <c r="BQ51" i="213"/>
  <c r="S25" i="213"/>
  <c r="AB38" i="213"/>
  <c r="BD16" i="213"/>
  <c r="AM42" i="213"/>
  <c r="BL22" i="213"/>
  <c r="X25" i="213"/>
  <c r="I34" i="213"/>
  <c r="BQ53" i="213"/>
  <c r="I41" i="213"/>
  <c r="AN44" i="213"/>
  <c r="AI45" i="213"/>
  <c r="AO40" i="213"/>
  <c r="BB53" i="213"/>
  <c r="BI20" i="213"/>
  <c r="J51" i="213"/>
  <c r="O32" i="213"/>
  <c r="AS45" i="213"/>
  <c r="BL17" i="213"/>
  <c r="BD23" i="213"/>
  <c r="BI49" i="213"/>
  <c r="BJ25" i="213"/>
  <c r="F21" i="214"/>
  <c r="L39" i="213"/>
  <c r="H32" i="213"/>
  <c r="AC17" i="213"/>
  <c r="Y28" i="213"/>
  <c r="E16" i="214"/>
  <c r="BP31" i="213"/>
  <c r="X13" i="214"/>
  <c r="S18" i="213"/>
  <c r="AU51" i="213"/>
  <c r="O18" i="213"/>
  <c r="AT36" i="213"/>
  <c r="U41" i="213"/>
  <c r="Y15" i="213"/>
  <c r="AH48" i="213"/>
  <c r="AX15" i="213"/>
  <c r="K45" i="213"/>
  <c r="BJ19" i="213"/>
  <c r="J16" i="213"/>
  <c r="BO26" i="213"/>
  <c r="BB39" i="213"/>
  <c r="A17" i="213"/>
  <c r="BA38" i="213"/>
  <c r="BP47" i="213"/>
  <c r="BB29" i="213"/>
  <c r="BQ37" i="213"/>
  <c r="BM44" i="213"/>
  <c r="R37" i="213"/>
  <c r="J29" i="213"/>
  <c r="AG48" i="213"/>
  <c r="N26" i="214"/>
  <c r="AU22" i="213"/>
  <c r="AR51" i="213"/>
  <c r="AP51" i="213"/>
  <c r="AR35" i="213"/>
  <c r="BO37" i="213"/>
  <c r="AR46" i="213"/>
  <c r="L45" i="213"/>
  <c r="L52" i="213"/>
  <c r="U23" i="213"/>
  <c r="D37" i="213"/>
  <c r="L28" i="214"/>
  <c r="S52" i="213"/>
  <c r="AT21" i="213"/>
  <c r="E40" i="213"/>
  <c r="AG34" i="213"/>
  <c r="BL25" i="213"/>
  <c r="AQ51" i="213"/>
  <c r="BA15" i="213"/>
  <c r="AX28" i="213"/>
  <c r="BD27" i="213"/>
  <c r="BA46" i="213"/>
  <c r="AU37" i="213"/>
  <c r="V26" i="213"/>
  <c r="F22" i="213"/>
  <c r="X23" i="214"/>
  <c r="Q16" i="213"/>
  <c r="AX23" i="213"/>
  <c r="AA33" i="213"/>
  <c r="AY37" i="213"/>
  <c r="F17" i="213"/>
  <c r="Q34" i="213"/>
  <c r="AR39" i="213"/>
  <c r="BG52" i="213"/>
  <c r="W48" i="213"/>
  <c r="P30" i="213"/>
  <c r="C15" i="214"/>
  <c r="D29" i="213"/>
  <c r="BN28" i="213"/>
  <c r="AX53" i="213"/>
  <c r="BH20" i="213"/>
  <c r="AK41" i="213"/>
  <c r="AH40" i="213"/>
  <c r="BM52" i="213"/>
  <c r="BL26" i="213"/>
  <c r="D26" i="214"/>
  <c r="O45" i="213"/>
  <c r="AC33" i="213"/>
  <c r="N10" i="214"/>
  <c r="V15" i="214"/>
  <c r="S38" i="213"/>
  <c r="AW40" i="213"/>
  <c r="BF27" i="213"/>
  <c r="O15" i="214"/>
  <c r="BF48" i="213"/>
  <c r="N31" i="213"/>
  <c r="AP47" i="213"/>
  <c r="U16" i="213"/>
  <c r="AA38" i="213"/>
  <c r="G25" i="213"/>
  <c r="H31" i="213"/>
  <c r="Z20" i="213"/>
  <c r="AY17" i="213"/>
  <c r="D16" i="213"/>
  <c r="AF50" i="213"/>
  <c r="X28" i="213"/>
  <c r="P10" i="214"/>
  <c r="BJ51" i="213"/>
  <c r="BH36" i="213"/>
  <c r="AY47" i="213"/>
  <c r="AJ13" i="214"/>
  <c r="AO15" i="213"/>
  <c r="E36" i="213"/>
  <c r="AQ45" i="213"/>
  <c r="BO16" i="213"/>
  <c r="L41" i="213"/>
  <c r="I44" i="213"/>
  <c r="I19" i="213"/>
  <c r="BP33" i="213"/>
  <c r="BD30" i="213"/>
  <c r="BQ18" i="213"/>
  <c r="I21" i="214"/>
  <c r="L30" i="213"/>
  <c r="J33" i="213"/>
  <c r="AA15" i="213"/>
  <c r="AZ30" i="213"/>
  <c r="AJ15" i="213"/>
  <c r="T32" i="213"/>
  <c r="A53" i="213"/>
  <c r="BM28" i="213"/>
  <c r="AJ48" i="213"/>
  <c r="L23" i="213"/>
  <c r="BE50" i="213"/>
  <c r="L10" i="214"/>
  <c r="AO51" i="213"/>
  <c r="AY19" i="213"/>
  <c r="AH34" i="213"/>
  <c r="Z27" i="214"/>
  <c r="BP24" i="213"/>
  <c r="AX39" i="213"/>
  <c r="BA48" i="213"/>
  <c r="AE24" i="213"/>
  <c r="D30" i="213"/>
  <c r="BF47" i="213"/>
  <c r="A22" i="213"/>
  <c r="V42" i="213"/>
  <c r="J34" i="213"/>
  <c r="W46" i="213"/>
  <c r="BB17" i="213"/>
  <c r="AT28" i="213"/>
  <c r="R15" i="213"/>
  <c r="BC44" i="213"/>
  <c r="AC45" i="213"/>
  <c r="J26" i="213"/>
  <c r="I51" i="213"/>
  <c r="BE28" i="213"/>
  <c r="BG33" i="213"/>
  <c r="AP31" i="213"/>
  <c r="P21" i="213"/>
  <c r="Z31" i="213"/>
  <c r="AN16" i="213"/>
  <c r="U20" i="214"/>
  <c r="T38" i="213"/>
  <c r="C35" i="213"/>
  <c r="N22" i="213"/>
  <c r="E48" i="213"/>
  <c r="V28" i="213"/>
  <c r="BI30" i="213"/>
  <c r="BA35" i="213"/>
  <c r="AT33" i="213"/>
  <c r="T21" i="213"/>
  <c r="AU33" i="213"/>
  <c r="S48" i="213"/>
  <c r="X29" i="213"/>
  <c r="I24" i="213"/>
  <c r="Q17" i="213"/>
  <c r="BK18" i="213"/>
  <c r="AW45" i="213"/>
  <c r="X26" i="213"/>
  <c r="AW15" i="213"/>
  <c r="W20" i="213"/>
  <c r="Q15" i="213"/>
  <c r="AQ41" i="213"/>
  <c r="D28" i="214"/>
  <c r="AB21" i="213"/>
  <c r="BG30" i="213"/>
  <c r="AI53" i="213"/>
  <c r="BA32" i="213"/>
  <c r="AC42" i="213"/>
  <c r="AB33" i="213"/>
  <c r="AL36" i="213"/>
  <c r="AJ28" i="213"/>
  <c r="BI45" i="213"/>
  <c r="F45" i="213"/>
  <c r="AA27" i="213"/>
  <c r="BN47" i="213"/>
  <c r="X16" i="214"/>
  <c r="C18" i="214"/>
  <c r="BL20" i="213"/>
  <c r="N14" i="214"/>
  <c r="BF16" i="213"/>
  <c r="J18" i="213"/>
  <c r="P45" i="213"/>
  <c r="AR53" i="213"/>
  <c r="D27" i="214"/>
  <c r="BB22" i="213"/>
  <c r="AH22" i="213"/>
  <c r="AF24" i="213"/>
  <c r="BH26" i="213"/>
  <c r="BN30" i="213"/>
  <c r="C28" i="213"/>
  <c r="Y26" i="213"/>
  <c r="W30" i="213"/>
  <c r="AG53" i="213"/>
  <c r="A45" i="213"/>
  <c r="C29" i="213"/>
  <c r="BM46" i="213"/>
  <c r="E23" i="214"/>
  <c r="AZ46" i="213"/>
  <c r="AI28" i="213"/>
  <c r="AT24" i="213"/>
  <c r="BI50" i="213"/>
  <c r="AQ21" i="213"/>
  <c r="P26" i="213"/>
  <c r="G20" i="213"/>
  <c r="BD53" i="213"/>
  <c r="AO29" i="213"/>
  <c r="X53" i="213"/>
  <c r="BB37" i="213"/>
  <c r="AL35" i="213"/>
  <c r="AA32" i="213"/>
  <c r="BQ27" i="213"/>
  <c r="AM16" i="213"/>
  <c r="G25" i="214"/>
  <c r="AO16" i="213"/>
  <c r="X10" i="214"/>
  <c r="Y49" i="213"/>
  <c r="AW17" i="213"/>
  <c r="R38" i="213"/>
  <c r="AM35" i="213"/>
  <c r="J42" i="213"/>
  <c r="BM22" i="213"/>
  <c r="AN48" i="213"/>
  <c r="U24" i="213"/>
  <c r="K18" i="213"/>
  <c r="BA44" i="213"/>
  <c r="AX52" i="213"/>
  <c r="BK36" i="213"/>
  <c r="AY33" i="213"/>
  <c r="R28" i="213"/>
  <c r="AO24" i="213"/>
  <c r="AG40" i="213"/>
  <c r="AM18" i="213"/>
  <c r="AJ46" i="213"/>
  <c r="AJ30" i="213"/>
  <c r="AT26" i="213"/>
  <c r="Q27" i="213"/>
  <c r="D21" i="213"/>
  <c r="P33" i="213"/>
  <c r="BL31" i="213"/>
  <c r="AQ33" i="213"/>
  <c r="AQ22" i="213"/>
  <c r="AA30" i="213"/>
  <c r="E33" i="213"/>
  <c r="BA24" i="213"/>
  <c r="AQ20" i="213"/>
  <c r="V15" i="213"/>
  <c r="J44" i="213"/>
  <c r="BC17" i="213"/>
  <c r="AV30" i="213"/>
  <c r="AF25" i="214"/>
  <c r="T33" i="213"/>
  <c r="I23" i="213"/>
  <c r="AH18" i="213"/>
  <c r="AO18" i="213"/>
  <c r="W35" i="213"/>
  <c r="AZ23" i="213"/>
  <c r="AG26" i="214"/>
  <c r="Q41" i="213"/>
  <c r="D51" i="213"/>
  <c r="Y28" i="214"/>
  <c r="AM27" i="213"/>
  <c r="AU20" i="213"/>
  <c r="AQ27" i="213"/>
  <c r="BG53" i="213"/>
  <c r="BE42" i="213"/>
  <c r="AK31" i="213"/>
  <c r="X15" i="213"/>
  <c r="L12" i="214"/>
  <c r="AJ19" i="213"/>
  <c r="BN21" i="213"/>
  <c r="K46" i="213"/>
  <c r="A28" i="213"/>
  <c r="AU44" i="213"/>
  <c r="BD44" i="213"/>
  <c r="AU35" i="213"/>
  <c r="E19" i="214"/>
  <c r="AU17" i="213"/>
  <c r="L18" i="213"/>
  <c r="BO32" i="213"/>
  <c r="BG29" i="213"/>
  <c r="AK22" i="213"/>
  <c r="BM18" i="213"/>
  <c r="U33" i="213"/>
  <c r="E21" i="213"/>
  <c r="W37" i="213"/>
  <c r="S17" i="213"/>
  <c r="BA42" i="213"/>
  <c r="AY53" i="213"/>
  <c r="AF26" i="213"/>
  <c r="AN27" i="213"/>
  <c r="BK42" i="213"/>
  <c r="BJ40" i="213"/>
  <c r="F20" i="214"/>
  <c r="N46" i="213"/>
  <c r="D16" i="214"/>
  <c r="V18" i="213"/>
  <c r="BM29" i="213"/>
  <c r="S44" i="213"/>
  <c r="P19" i="214"/>
  <c r="BJ35" i="213"/>
  <c r="BK15" i="213"/>
  <c r="BN41" i="213"/>
  <c r="AR31" i="213"/>
  <c r="BP34" i="213"/>
  <c r="AO45" i="213"/>
  <c r="AM47" i="213"/>
  <c r="AB46" i="213"/>
  <c r="AL19" i="213"/>
  <c r="AF23" i="214"/>
  <c r="A48" i="213"/>
  <c r="D52" i="213"/>
  <c r="BC51" i="213"/>
  <c r="AJ22" i="213"/>
  <c r="BE30" i="213"/>
  <c r="BI31" i="213"/>
  <c r="BJ47" i="213"/>
  <c r="AD35" i="213"/>
  <c r="R16" i="213"/>
  <c r="BL19" i="213"/>
  <c r="BI16" i="213"/>
  <c r="AF38" i="213"/>
  <c r="AA25" i="213"/>
  <c r="AI31" i="213"/>
  <c r="J15" i="213"/>
  <c r="AE20" i="213"/>
  <c r="BL18" i="213"/>
  <c r="H15" i="213"/>
  <c r="BA51" i="213"/>
  <c r="N51" i="213"/>
  <c r="BO36" i="213"/>
  <c r="AJ21" i="213"/>
  <c r="P50" i="213"/>
  <c r="K36" i="213"/>
  <c r="BB23" i="213"/>
  <c r="V24" i="214"/>
  <c r="BK20" i="213"/>
  <c r="AY52" i="213"/>
  <c r="F31" i="213"/>
  <c r="AM26" i="213"/>
  <c r="C26" i="214"/>
  <c r="N13" i="214"/>
  <c r="Y29" i="213"/>
  <c r="G18" i="214"/>
  <c r="Q38" i="213"/>
  <c r="T23" i="213"/>
  <c r="T17" i="213"/>
  <c r="AT38" i="213"/>
  <c r="AU30" i="213"/>
  <c r="R17" i="213"/>
  <c r="T19" i="213"/>
  <c r="BM53" i="213"/>
  <c r="AL26" i="213"/>
  <c r="J27" i="213"/>
  <c r="E52" i="213"/>
  <c r="AK33" i="213"/>
  <c r="BQ16" i="213"/>
  <c r="AM19" i="213"/>
  <c r="X18" i="214"/>
  <c r="E44" i="213"/>
  <c r="BP38" i="213"/>
  <c r="AL44" i="213"/>
  <c r="E28" i="213"/>
  <c r="AP46" i="213"/>
  <c r="O33" i="213"/>
  <c r="BG36" i="213"/>
  <c r="AS32" i="213"/>
  <c r="N40" i="213"/>
  <c r="AN39" i="213"/>
  <c r="BF21" i="213"/>
  <c r="BQ25" i="213"/>
  <c r="AA21" i="213"/>
  <c r="R29" i="213"/>
  <c r="AD25" i="213"/>
  <c r="BH24" i="213"/>
  <c r="AF49" i="213"/>
  <c r="AV16" i="213"/>
  <c r="BH46" i="213"/>
  <c r="U15" i="214"/>
  <c r="G34" i="213"/>
  <c r="AR49" i="213"/>
  <c r="BI37" i="213"/>
  <c r="E38" i="213"/>
  <c r="BN38" i="213"/>
  <c r="I28" i="213"/>
  <c r="BH40" i="213"/>
  <c r="AT31" i="213"/>
  <c r="G29" i="213"/>
  <c r="AH31" i="213"/>
  <c r="Z26" i="214"/>
  <c r="AE31" i="213"/>
  <c r="F23" i="213"/>
  <c r="D34" i="213"/>
  <c r="N38" i="213"/>
  <c r="AM51" i="213"/>
  <c r="U44" i="213"/>
  <c r="A39" i="213"/>
  <c r="A27" i="213"/>
  <c r="BC48" i="213"/>
  <c r="AU46" i="213"/>
  <c r="AA34" i="213"/>
  <c r="BM23" i="213"/>
  <c r="M20" i="213"/>
  <c r="A35" i="213"/>
  <c r="AU24" i="213"/>
  <c r="AK26" i="213"/>
  <c r="BL37" i="213"/>
  <c r="E27" i="214"/>
  <c r="AM23" i="213"/>
  <c r="AI15" i="213"/>
  <c r="T48" i="213"/>
  <c r="F19" i="214"/>
  <c r="B24" i="214"/>
  <c r="BL51" i="213"/>
  <c r="BC15" i="213"/>
  <c r="W49" i="213"/>
  <c r="S22" i="213"/>
  <c r="Y35" i="213"/>
  <c r="AO27" i="213"/>
  <c r="BD29" i="213"/>
  <c r="AQ34" i="213"/>
  <c r="AV50" i="213"/>
  <c r="AJ25" i="213"/>
  <c r="M21" i="213"/>
  <c r="AE19" i="213"/>
  <c r="BM40" i="213"/>
  <c r="AF52" i="213"/>
  <c r="P28" i="214"/>
  <c r="P11" i="214"/>
  <c r="U48" i="213"/>
  <c r="S16" i="213"/>
  <c r="BH47" i="213"/>
  <c r="U11" i="214"/>
  <c r="BK38" i="213"/>
  <c r="BF52" i="213"/>
  <c r="N36" i="213"/>
  <c r="A49" i="213"/>
  <c r="AG28" i="214"/>
  <c r="AA51" i="213"/>
  <c r="Q44" i="213"/>
  <c r="AO25" i="213"/>
  <c r="X49" i="213"/>
  <c r="AX32" i="213"/>
  <c r="AK47" i="213"/>
  <c r="AH30" i="213"/>
  <c r="U25" i="213"/>
  <c r="AO39" i="213"/>
  <c r="BH41" i="213"/>
  <c r="Y25" i="213"/>
  <c r="M27" i="213"/>
  <c r="X20" i="213"/>
  <c r="S30" i="213"/>
  <c r="BG40" i="213"/>
  <c r="BH52" i="213"/>
  <c r="AE29" i="213"/>
  <c r="AC44" i="213"/>
  <c r="I19" i="214"/>
  <c r="AF18" i="213"/>
  <c r="BF49" i="213"/>
  <c r="E21" i="214"/>
  <c r="R23" i="213"/>
  <c r="BE45" i="213"/>
  <c r="C46" i="213"/>
  <c r="V25" i="213"/>
  <c r="BO27" i="213"/>
  <c r="AO31" i="213"/>
  <c r="W24" i="213"/>
  <c r="S28" i="213"/>
  <c r="G40" i="213"/>
  <c r="BO53" i="213"/>
  <c r="N28" i="213"/>
  <c r="AG44" i="213"/>
  <c r="AH51" i="213"/>
  <c r="AB45" i="213"/>
  <c r="BL27" i="213"/>
  <c r="AG22" i="214"/>
  <c r="AG17" i="214"/>
  <c r="I20" i="213"/>
  <c r="AS42" i="213"/>
  <c r="X27" i="213"/>
  <c r="BM42" i="213"/>
  <c r="L36" i="213"/>
  <c r="AQ49" i="213"/>
  <c r="L38" i="213"/>
  <c r="AQ16" i="213"/>
  <c r="BP17" i="213"/>
  <c r="AC34" i="213"/>
  <c r="AP28" i="213"/>
  <c r="A42" i="213"/>
  <c r="BQ19" i="213"/>
  <c r="BG22" i="213"/>
  <c r="Q35" i="213"/>
  <c r="AM49" i="213"/>
  <c r="T24" i="213"/>
  <c r="P17" i="213"/>
  <c r="BB27" i="213"/>
  <c r="BO24" i="213"/>
  <c r="AF27" i="213"/>
  <c r="AK17" i="213"/>
  <c r="AE34" i="213"/>
  <c r="BO51" i="213"/>
  <c r="AR34" i="213"/>
  <c r="AP25" i="213"/>
  <c r="P22" i="214"/>
  <c r="N50" i="213"/>
  <c r="Z42" i="213"/>
  <c r="BN35" i="213"/>
  <c r="AN26" i="213"/>
  <c r="BO35" i="213"/>
  <c r="N20" i="213"/>
  <c r="E11" i="214"/>
  <c r="AQ46" i="213"/>
  <c r="AH44" i="213"/>
  <c r="U46" i="213"/>
  <c r="E51" i="213"/>
  <c r="AD37" i="213"/>
  <c r="AZ42" i="213"/>
  <c r="V45" i="213"/>
  <c r="P29" i="213"/>
  <c r="BH45" i="213"/>
  <c r="AB39" i="213"/>
  <c r="N23" i="214"/>
  <c r="BH33" i="213"/>
  <c r="BJ39" i="213"/>
  <c r="E27" i="213"/>
  <c r="AH35" i="213"/>
  <c r="O25" i="213"/>
  <c r="R53" i="213"/>
  <c r="V44" i="213"/>
  <c r="Q33" i="213"/>
  <c r="AN33" i="213"/>
  <c r="AJ52" i="213"/>
  <c r="AN24" i="213"/>
  <c r="AV53" i="213"/>
  <c r="K39" i="213"/>
  <c r="F10" i="214"/>
  <c r="I24" i="214"/>
  <c r="AG35" i="213"/>
  <c r="AQ28" i="213"/>
  <c r="AW52" i="213"/>
  <c r="BF26" i="213"/>
  <c r="AZ16" i="213"/>
  <c r="X52" i="213"/>
  <c r="AY51" i="213"/>
  <c r="I33" i="213"/>
  <c r="BO41" i="213"/>
  <c r="Z14" i="214"/>
  <c r="AX16" i="213"/>
  <c r="X24" i="214"/>
  <c r="C53" i="213"/>
  <c r="Y29" i="214"/>
  <c r="K22" i="213"/>
  <c r="E14" i="214"/>
  <c r="BP50" i="213"/>
  <c r="AK51" i="213"/>
  <c r="AD28" i="213"/>
  <c r="AR52" i="213"/>
  <c r="AY25" i="213"/>
  <c r="M28" i="213"/>
  <c r="AH25" i="213"/>
  <c r="U13" i="214"/>
  <c r="AA16" i="213"/>
  <c r="AI29" i="213"/>
  <c r="AG20" i="214"/>
  <c r="AF10" i="214"/>
  <c r="AW32" i="213"/>
  <c r="BQ45" i="213"/>
  <c r="R33" i="213"/>
  <c r="Z15" i="213"/>
  <c r="BE40" i="213"/>
  <c r="BB24" i="213"/>
  <c r="P51" i="213"/>
  <c r="AA37" i="213"/>
  <c r="AV46" i="213"/>
  <c r="B21" i="214"/>
  <c r="K15" i="213"/>
  <c r="AU27" i="213"/>
  <c r="BN36" i="213"/>
  <c r="D18" i="213"/>
  <c r="L51" i="213"/>
  <c r="O26" i="214"/>
  <c r="AF20" i="214"/>
  <c r="AX26" i="213"/>
  <c r="O51" i="213"/>
  <c r="AZ27" i="213"/>
  <c r="G12" i="214"/>
  <c r="AO48" i="213"/>
  <c r="AS26" i="213"/>
  <c r="BO25" i="213"/>
  <c r="BN34" i="213"/>
  <c r="BK32" i="213"/>
  <c r="AC38" i="213"/>
  <c r="P22" i="213"/>
  <c r="C31" i="213"/>
  <c r="AU49" i="213"/>
  <c r="Z48" i="213"/>
  <c r="L33" i="213"/>
  <c r="AM20" i="213"/>
  <c r="H52" i="213"/>
  <c r="D28" i="213"/>
  <c r="N42" i="213"/>
  <c r="AI35" i="213"/>
  <c r="AG29" i="214"/>
  <c r="AO32" i="213"/>
  <c r="AX25" i="213"/>
  <c r="AC21" i="213"/>
  <c r="AZ49" i="213"/>
  <c r="B18" i="214"/>
  <c r="Y50" i="213"/>
  <c r="AN52" i="213"/>
  <c r="AY29" i="213"/>
  <c r="N48" i="213"/>
  <c r="BD26" i="213"/>
  <c r="W33" i="213"/>
  <c r="S24" i="213"/>
  <c r="N21" i="214"/>
  <c r="AH20" i="213"/>
  <c r="A20" i="213"/>
  <c r="AS52" i="213"/>
  <c r="D39" i="213"/>
  <c r="R39" i="213"/>
  <c r="G17" i="214"/>
  <c r="AR50" i="213"/>
  <c r="O44" i="213"/>
  <c r="I26" i="214"/>
  <c r="O19" i="214"/>
  <c r="D23" i="214"/>
  <c r="H17" i="213"/>
  <c r="X31" i="213"/>
  <c r="AG22" i="213"/>
  <c r="AG12" i="214"/>
  <c r="AW34" i="213"/>
  <c r="V47" i="213"/>
  <c r="AG38" i="213"/>
  <c r="K48" i="213"/>
  <c r="R19" i="213"/>
  <c r="AO52" i="213"/>
  <c r="V27" i="214"/>
  <c r="BC41" i="213"/>
  <c r="BN39" i="213"/>
  <c r="AQ24" i="213"/>
  <c r="C33" i="213"/>
  <c r="L22" i="214"/>
  <c r="AV29" i="213"/>
  <c r="H46" i="213"/>
  <c r="AU15" i="213"/>
  <c r="AQ53" i="213"/>
  <c r="U39" i="213"/>
  <c r="AP32" i="213"/>
  <c r="G22" i="214"/>
  <c r="AK27" i="213"/>
  <c r="K47" i="213"/>
  <c r="BC29" i="213"/>
  <c r="BK45" i="213"/>
  <c r="O23" i="213"/>
  <c r="AX45" i="213"/>
  <c r="AC47" i="213"/>
  <c r="AE51" i="213"/>
  <c r="D41" i="213"/>
  <c r="G30" i="213"/>
  <c r="BP48" i="213"/>
  <c r="AF31" i="213"/>
  <c r="AD27" i="213"/>
  <c r="AP16" i="213"/>
  <c r="F29" i="213"/>
  <c r="H51" i="213"/>
  <c r="AD40" i="213"/>
  <c r="AK29" i="213"/>
  <c r="S36" i="213"/>
  <c r="A50" i="213"/>
  <c r="O38" i="213"/>
  <c r="BF44" i="213"/>
  <c r="BI36" i="213"/>
  <c r="BG27" i="213"/>
  <c r="U21" i="214"/>
  <c r="AF37" i="213"/>
  <c r="AD50" i="213"/>
  <c r="S34" i="213"/>
  <c r="T51" i="213"/>
  <c r="R51" i="213"/>
  <c r="L15" i="214"/>
  <c r="M53" i="213"/>
  <c r="K32" i="213"/>
  <c r="BB33" i="213"/>
  <c r="E25" i="214"/>
  <c r="BQ23" i="213"/>
  <c r="C16" i="213"/>
  <c r="BN15" i="213"/>
  <c r="AI46" i="213"/>
  <c r="AL21" i="213"/>
  <c r="BC34" i="213"/>
  <c r="C51" i="213"/>
  <c r="BP28" i="213"/>
  <c r="AD51" i="213"/>
  <c r="AL51" i="213"/>
  <c r="AZ15" i="213"/>
  <c r="BP49" i="213"/>
  <c r="BG41" i="213"/>
  <c r="BJ53" i="213"/>
  <c r="AI24" i="213"/>
  <c r="N12" i="214"/>
  <c r="AK21" i="213"/>
  <c r="AX24" i="213"/>
  <c r="AD23" i="213"/>
  <c r="D15" i="214"/>
  <c r="K21" i="213"/>
  <c r="AW23" i="213"/>
  <c r="O30" i="213"/>
  <c r="BB52" i="213"/>
  <c r="N45" i="213"/>
  <c r="AG25" i="213"/>
  <c r="AR27" i="213"/>
  <c r="Q49" i="213"/>
  <c r="AA17" i="213"/>
  <c r="V38" i="213"/>
  <c r="U18" i="213"/>
  <c r="S26" i="213"/>
  <c r="BN18" i="213"/>
  <c r="L26" i="214"/>
  <c r="AR25" i="213"/>
  <c r="I10" i="214"/>
  <c r="X23" i="213"/>
  <c r="B11" i="214"/>
  <c r="P53" i="213"/>
  <c r="AJ26" i="213"/>
  <c r="BF31" i="213"/>
  <c r="A46" i="213"/>
  <c r="AJ37" i="213"/>
  <c r="BO20" i="213"/>
  <c r="AI16" i="213"/>
  <c r="AG52" i="213"/>
  <c r="B20" i="214"/>
  <c r="BL21" i="213"/>
  <c r="BE36" i="213"/>
  <c r="AY40" i="213"/>
  <c r="AJ22" i="214"/>
  <c r="AE35" i="213"/>
  <c r="BO22" i="213"/>
  <c r="AE16" i="213"/>
  <c r="BD52" i="213"/>
  <c r="BQ47" i="213"/>
  <c r="X26" i="214"/>
  <c r="AF16" i="213"/>
  <c r="G10" i="214"/>
  <c r="AF20" i="213"/>
  <c r="AG49" i="213"/>
  <c r="BN26" i="213"/>
  <c r="Z21" i="214"/>
  <c r="H49" i="213"/>
  <c r="C15" i="213"/>
  <c r="BH48" i="213"/>
  <c r="AN34" i="213"/>
  <c r="Q21" i="213"/>
  <c r="AC53" i="213"/>
  <c r="G24" i="213"/>
  <c r="O31" i="213"/>
  <c r="Z19" i="213"/>
  <c r="BN50" i="213"/>
  <c r="AI49" i="213"/>
  <c r="AR36" i="213"/>
  <c r="AI18" i="213"/>
  <c r="AO22" i="213"/>
  <c r="BM17" i="213"/>
  <c r="Z35" i="213"/>
  <c r="BI22" i="213"/>
  <c r="AE27" i="213"/>
  <c r="O12" i="214"/>
  <c r="AG39" i="213"/>
  <c r="F26" i="214"/>
  <c r="BD36" i="213"/>
  <c r="W52" i="213"/>
  <c r="K26" i="213"/>
  <c r="AQ39" i="213"/>
  <c r="Q24" i="213"/>
  <c r="W38" i="213"/>
  <c r="BD48" i="213"/>
  <c r="I53" i="213"/>
  <c r="AE21" i="213"/>
  <c r="BH16" i="213"/>
  <c r="D20" i="214"/>
  <c r="M35" i="213"/>
  <c r="AJ11" i="214"/>
  <c r="AG23" i="214"/>
  <c r="BN23" i="213"/>
  <c r="AV24" i="213"/>
  <c r="BB46" i="213"/>
  <c r="BQ21" i="213"/>
  <c r="AU45" i="213"/>
  <c r="AZ21" i="213"/>
  <c r="AF51" i="213"/>
  <c r="M47" i="213"/>
  <c r="AB19" i="213"/>
  <c r="AZ33" i="213"/>
  <c r="AY24" i="213"/>
  <c r="O29" i="213"/>
  <c r="AR28" i="213"/>
  <c r="C13" i="214"/>
  <c r="BM41" i="213"/>
  <c r="BF19" i="213"/>
  <c r="Z34" i="213"/>
  <c r="AK45" i="213"/>
  <c r="AF32" i="213"/>
  <c r="AJ36" i="213"/>
  <c r="AL46" i="213"/>
  <c r="X14" i="214"/>
  <c r="BE33" i="213"/>
  <c r="BI26" i="213"/>
  <c r="AG19" i="214"/>
  <c r="AG30" i="213"/>
  <c r="BA16" i="213"/>
  <c r="P18" i="214"/>
  <c r="Z15" i="214"/>
  <c r="O10" i="214"/>
  <c r="U42" i="213"/>
  <c r="R46" i="213"/>
  <c r="B13" i="214"/>
  <c r="Z22" i="213"/>
  <c r="AD20" i="213"/>
  <c r="Y36" i="213"/>
  <c r="N32" i="213"/>
  <c r="W44" i="213"/>
  <c r="AS44" i="213"/>
  <c r="AI25" i="213"/>
  <c r="BH30" i="213"/>
  <c r="AX35" i="213"/>
  <c r="AZ38" i="213"/>
  <c r="AI37" i="213"/>
  <c r="L13" i="214"/>
  <c r="AH53" i="213"/>
  <c r="X22" i="213"/>
  <c r="AT15" i="213"/>
  <c r="AU28" i="213"/>
  <c r="J19" i="213"/>
  <c r="P49" i="213"/>
  <c r="F27" i="213"/>
  <c r="AG47" i="213"/>
  <c r="V29" i="214"/>
  <c r="AO23" i="213"/>
  <c r="AW24" i="213"/>
  <c r="AX31" i="213"/>
  <c r="BO50" i="213"/>
  <c r="AN36" i="213"/>
  <c r="AW37" i="213"/>
  <c r="R21" i="213"/>
  <c r="AI27" i="213"/>
  <c r="BD45" i="213"/>
  <c r="V35" i="213"/>
  <c r="AO38" i="213"/>
  <c r="AM45" i="213"/>
  <c r="BO45" i="213"/>
  <c r="D47" i="213"/>
  <c r="F23" i="214"/>
  <c r="BQ32" i="213"/>
  <c r="AB34" i="213"/>
  <c r="AH17" i="213"/>
  <c r="W17" i="213"/>
  <c r="V34" i="213"/>
  <c r="R27" i="213"/>
  <c r="BI47" i="213"/>
  <c r="AX17" i="213"/>
  <c r="AM22" i="213"/>
  <c r="AO17" i="213"/>
  <c r="BA39" i="213"/>
  <c r="AX29" i="213"/>
  <c r="AU18" i="213"/>
  <c r="AL39" i="213"/>
  <c r="D36" i="213"/>
  <c r="BA23" i="213"/>
  <c r="AZ25" i="213"/>
  <c r="AB31" i="213"/>
  <c r="AA49" i="213"/>
  <c r="AN46" i="213"/>
  <c r="AH26" i="213"/>
  <c r="AW18" i="213"/>
  <c r="AW25" i="213"/>
  <c r="Z32" i="213"/>
  <c r="D27" i="213"/>
  <c r="X30" i="213"/>
  <c r="W50" i="213"/>
  <c r="AC20" i="213"/>
  <c r="AM21" i="213"/>
  <c r="Q36" i="213"/>
  <c r="P17" i="214"/>
  <c r="S27" i="213"/>
  <c r="N44" i="213"/>
  <c r="F26" i="213"/>
  <c r="H27" i="213"/>
  <c r="BA17" i="213"/>
  <c r="AC15" i="213"/>
  <c r="AO46" i="213"/>
  <c r="Y40" i="213"/>
  <c r="BC20" i="213"/>
  <c r="O49" i="213"/>
  <c r="B19" i="214"/>
  <c r="AO30" i="213"/>
  <c r="AE41" i="213"/>
  <c r="AN50" i="213"/>
  <c r="AZ48" i="213"/>
  <c r="BG50" i="213"/>
  <c r="AM39" i="213"/>
  <c r="AD45" i="213"/>
  <c r="L26" i="213"/>
  <c r="Y20" i="214"/>
  <c r="H24" i="213"/>
  <c r="AH38" i="213"/>
  <c r="BC50" i="213"/>
  <c r="BF23" i="213"/>
  <c r="P18" i="213"/>
  <c r="I16" i="213"/>
  <c r="Z24" i="213"/>
  <c r="BC38" i="213"/>
  <c r="D44" i="213"/>
  <c r="BP46" i="213"/>
  <c r="F16" i="213"/>
  <c r="AY50" i="213"/>
  <c r="I50" i="213"/>
  <c r="F53" i="213"/>
  <c r="BG15" i="213"/>
  <c r="D24" i="213"/>
  <c r="AB53" i="213"/>
  <c r="AQ32" i="213"/>
  <c r="O17" i="213"/>
  <c r="V20" i="214"/>
  <c r="AV20" i="213"/>
  <c r="AF30" i="213"/>
  <c r="T27" i="213"/>
  <c r="BN16" i="213"/>
  <c r="BC27" i="213"/>
  <c r="AQ30" i="213"/>
  <c r="C23" i="214"/>
  <c r="AC28" i="213"/>
  <c r="T30" i="213"/>
  <c r="AB16" i="213"/>
  <c r="E18" i="214"/>
  <c r="BN32" i="213"/>
  <c r="AI47" i="213"/>
  <c r="BA20" i="213"/>
  <c r="BI33" i="213"/>
  <c r="BH39" i="213"/>
  <c r="BO46" i="213"/>
  <c r="AZ36" i="213"/>
  <c r="AV28" i="213"/>
  <c r="J17" i="213"/>
  <c r="BF15" i="213"/>
  <c r="AS51" i="213"/>
  <c r="K53" i="213"/>
  <c r="BN25" i="213"/>
  <c r="BB25" i="213"/>
  <c r="W15" i="213"/>
  <c r="BI15" i="213"/>
  <c r="I29" i="214"/>
  <c r="U15" i="213"/>
  <c r="BO18" i="213"/>
  <c r="BC46" i="213"/>
  <c r="AJ12" i="214"/>
  <c r="V26" i="214"/>
  <c r="C44" i="213"/>
  <c r="G28" i="214"/>
  <c r="BJ46" i="213"/>
  <c r="F36" i="213"/>
  <c r="BA33" i="213"/>
  <c r="Z19" i="214"/>
  <c r="BN46" i="213"/>
  <c r="I25" i="214"/>
  <c r="AA46" i="213"/>
  <c r="U10" i="214"/>
  <c r="AH27" i="213"/>
  <c r="BP15" i="213"/>
  <c r="BC23" i="213"/>
  <c r="Z39" i="213"/>
  <c r="G42" i="213"/>
  <c r="AR19" i="213"/>
  <c r="AM40" i="213"/>
  <c r="BB40" i="213"/>
  <c r="AK28" i="213"/>
  <c r="BL53" i="213"/>
  <c r="U23" i="214"/>
  <c r="M51" i="213"/>
  <c r="AO34" i="213"/>
  <c r="N28" i="214"/>
  <c r="AQ36" i="213"/>
  <c r="V51" i="213"/>
  <c r="AC27" i="213"/>
  <c r="AI32" i="213"/>
  <c r="AG27" i="214"/>
  <c r="T18" i="213"/>
  <c r="P27" i="213"/>
  <c r="U21" i="213"/>
  <c r="AQ52" i="213"/>
  <c r="BJ21" i="213"/>
  <c r="X33" i="213"/>
  <c r="F38" i="213"/>
  <c r="AI36" i="213"/>
  <c r="I47" i="213"/>
  <c r="N22" i="214"/>
  <c r="BH37" i="213"/>
  <c r="BJ24" i="213"/>
  <c r="AJ47" i="213"/>
  <c r="F22" i="214"/>
  <c r="AX48" i="213"/>
  <c r="J37" i="213"/>
  <c r="Z12" i="214"/>
  <c r="BI53" i="213"/>
  <c r="BG34" i="213"/>
  <c r="J36" i="213"/>
  <c r="BK29" i="213"/>
  <c r="AD36" i="213"/>
  <c r="AH21" i="213"/>
  <c r="BG49" i="213"/>
  <c r="O28" i="213"/>
  <c r="Z50" i="213"/>
  <c r="AI41" i="213"/>
  <c r="AU25" i="213"/>
  <c r="N41" i="213"/>
  <c r="A51" i="213"/>
  <c r="AR47" i="213"/>
  <c r="N15" i="213"/>
  <c r="AV51" i="213"/>
  <c r="E24" i="214"/>
  <c r="AY18" i="213"/>
  <c r="BF25" i="213"/>
  <c r="AR48" i="213"/>
  <c r="AU32" i="213"/>
  <c r="AT29" i="213"/>
  <c r="AO36" i="213"/>
  <c r="AN22" i="213"/>
  <c r="D26" i="213"/>
  <c r="R30" i="213"/>
  <c r="N29" i="214"/>
  <c r="BB35" i="213"/>
  <c r="AS29" i="213"/>
  <c r="W34" i="213"/>
  <c r="M39" i="213"/>
  <c r="T35" i="213"/>
  <c r="C50" i="213"/>
  <c r="AS39" i="213"/>
  <c r="M18" i="213"/>
  <c r="Z29" i="214"/>
  <c r="AV39" i="213"/>
  <c r="AG18" i="214"/>
  <c r="E25" i="213"/>
  <c r="A23" i="213"/>
  <c r="BA50" i="213"/>
  <c r="K20" i="213"/>
  <c r="M22" i="213"/>
  <c r="BG39" i="213"/>
  <c r="AN20" i="213"/>
  <c r="I30" i="213"/>
  <c r="BH15" i="213"/>
  <c r="T46" i="213"/>
  <c r="BN52" i="213"/>
  <c r="U47" i="213"/>
  <c r="M46" i="213"/>
  <c r="AF42" i="213"/>
  <c r="BH35" i="213"/>
  <c r="AD46" i="213"/>
  <c r="X36" i="213"/>
  <c r="S23" i="213"/>
  <c r="AJ16" i="214"/>
  <c r="AA47" i="213"/>
  <c r="C32" i="213"/>
  <c r="A52" i="213"/>
  <c r="BH44" i="213"/>
  <c r="O35" i="213"/>
  <c r="O34" i="213"/>
  <c r="BO31" i="213"/>
  <c r="O46" i="213"/>
  <c r="BJ49" i="213"/>
  <c r="AS30" i="213"/>
  <c r="AM28" i="213"/>
  <c r="BK17" i="213"/>
  <c r="C28" i="214"/>
  <c r="X29" i="214"/>
  <c r="Z30" i="213"/>
  <c r="AW48" i="213"/>
  <c r="M44" i="213"/>
  <c r="J38" i="213"/>
  <c r="M49" i="213"/>
  <c r="B15" i="214"/>
  <c r="C25" i="214"/>
  <c r="F35" i="213"/>
  <c r="O16" i="213"/>
  <c r="AD33" i="213"/>
  <c r="M16" i="213"/>
  <c r="L40" i="213"/>
  <c r="AZ52" i="213"/>
  <c r="S39" i="213"/>
  <c r="BI17" i="213"/>
  <c r="F52" i="213"/>
  <c r="BK47" i="213"/>
  <c r="BP53" i="213"/>
  <c r="AN51" i="213"/>
  <c r="BF24" i="213"/>
  <c r="BQ24" i="213"/>
  <c r="BC25" i="213"/>
  <c r="BF36" i="213"/>
  <c r="AJ27" i="213"/>
  <c r="Y17" i="213"/>
  <c r="AJ23" i="214"/>
  <c r="X21" i="214"/>
  <c r="AG27" i="213"/>
  <c r="AG13" i="214"/>
  <c r="D49" i="213"/>
  <c r="AA40" i="213"/>
  <c r="X28" i="214"/>
  <c r="P27" i="214"/>
  <c r="AE48" i="213"/>
  <c r="F49" i="213"/>
  <c r="AX37" i="213"/>
  <c r="L34" i="213"/>
  <c r="A36" i="213"/>
  <c r="AM30" i="213"/>
  <c r="BQ35" i="213"/>
  <c r="AT32" i="213"/>
  <c r="AP35" i="213"/>
  <c r="AX51" i="213"/>
  <c r="AY41" i="213"/>
  <c r="AR33" i="213"/>
  <c r="AM38" i="213"/>
  <c r="U28" i="214"/>
  <c r="Z26" i="213"/>
  <c r="X51" i="213"/>
  <c r="AM37" i="213"/>
  <c r="T28" i="213"/>
  <c r="AZ35" i="213"/>
  <c r="AL25" i="213"/>
  <c r="AO44" i="213"/>
  <c r="AE53" i="213"/>
  <c r="S42" i="213"/>
  <c r="O27" i="213"/>
  <c r="BQ46" i="213"/>
  <c r="L18" i="214"/>
  <c r="G31" i="213"/>
  <c r="AL47" i="213"/>
  <c r="AE45" i="213"/>
  <c r="AG31" i="213"/>
  <c r="AG21" i="213"/>
  <c r="BC18" i="213"/>
  <c r="BB45" i="213"/>
  <c r="AY23" i="213"/>
  <c r="J39" i="213"/>
  <c r="AU36" i="213"/>
  <c r="AL27" i="213"/>
  <c r="BG25" i="213"/>
  <c r="AV22" i="213"/>
  <c r="B27" i="214"/>
  <c r="BF35" i="213"/>
  <c r="BJ44" i="213"/>
  <c r="BA19" i="213"/>
  <c r="AJ49" i="213"/>
  <c r="H30" i="213"/>
  <c r="D35" i="213"/>
  <c r="F28" i="213"/>
  <c r="R52" i="213"/>
  <c r="AT41" i="213"/>
  <c r="P28" i="213"/>
  <c r="C48" i="213"/>
  <c r="B23" i="214"/>
  <c r="AO47" i="213"/>
  <c r="I15" i="214"/>
  <c r="AD16" i="213"/>
  <c r="X21" i="213"/>
  <c r="C21" i="213"/>
  <c r="BB36" i="213"/>
  <c r="AK16" i="213"/>
  <c r="X40" i="213"/>
  <c r="F39" i="213"/>
  <c r="AJ28" i="214"/>
  <c r="AA44" i="213"/>
  <c r="BK27" i="213"/>
  <c r="J49" i="213"/>
  <c r="AB32" i="213"/>
  <c r="BO19" i="213"/>
  <c r="L24" i="214"/>
  <c r="BB31" i="213"/>
  <c r="Y20" i="213"/>
  <c r="BE39" i="213"/>
  <c r="G37" i="213"/>
  <c r="AF11" i="214"/>
  <c r="BK53" i="213"/>
  <c r="AF21" i="213"/>
  <c r="AQ25" i="213"/>
  <c r="AJ39" i="213"/>
  <c r="W22" i="213"/>
  <c r="O42" i="213"/>
  <c r="N49" i="213"/>
  <c r="AQ50" i="213"/>
  <c r="BL30" i="213"/>
  <c r="AT19" i="213"/>
  <c r="BI24" i="213"/>
  <c r="E42" i="213"/>
  <c r="O11" i="214"/>
  <c r="U22" i="214"/>
  <c r="BD20" i="213"/>
  <c r="AF27" i="214"/>
  <c r="AM41" i="213"/>
  <c r="AZ37" i="213"/>
  <c r="Z46" i="213"/>
  <c r="AJ10" i="214"/>
  <c r="AQ48" i="213"/>
  <c r="Y24" i="214"/>
  <c r="F18" i="213"/>
  <c r="AW26" i="213"/>
  <c r="E32" i="213"/>
  <c r="AI42" i="213"/>
  <c r="AC41" i="213"/>
  <c r="BI44" i="213"/>
  <c r="AS22" i="213"/>
  <c r="W53" i="213"/>
  <c r="AH23" i="213"/>
  <c r="BG19" i="213"/>
  <c r="AG29" i="213"/>
  <c r="BH53" i="213"/>
  <c r="AS17" i="213"/>
  <c r="BF40" i="213"/>
  <c r="I36" i="213"/>
  <c r="B16" i="214"/>
  <c r="U19" i="213"/>
  <c r="BA18" i="213"/>
  <c r="BH22" i="213"/>
  <c r="BO39" i="213"/>
  <c r="AR26" i="213"/>
  <c r="E35" i="213"/>
  <c r="Q52" i="213"/>
  <c r="G21" i="213"/>
  <c r="AP27" i="213"/>
  <c r="H50" i="213"/>
  <c r="AS24" i="213"/>
  <c r="BE18" i="213"/>
  <c r="K49" i="213"/>
  <c r="L42" i="213"/>
  <c r="M25" i="213"/>
  <c r="BE29" i="213"/>
  <c r="J41" i="213"/>
  <c r="N35" i="213"/>
  <c r="J50" i="213"/>
  <c r="AN53" i="213"/>
  <c r="Z37" i="213"/>
  <c r="E29" i="213"/>
  <c r="AE44" i="213"/>
  <c r="BB50" i="213"/>
  <c r="AB23" i="213"/>
  <c r="AQ15" i="213"/>
  <c r="BD38" i="213"/>
  <c r="F46" i="213"/>
  <c r="AX18" i="213"/>
  <c r="D17" i="213"/>
  <c r="AP36" i="213"/>
  <c r="AH24" i="213"/>
  <c r="R50" i="213"/>
  <c r="V31" i="213"/>
  <c r="AJ35" i="213"/>
  <c r="AK19" i="213"/>
  <c r="AZ50" i="213"/>
  <c r="AW42" i="213"/>
  <c r="AV36" i="213"/>
  <c r="AN28" i="213"/>
  <c r="AA53" i="213"/>
  <c r="S37" i="213"/>
  <c r="BB38" i="213"/>
  <c r="N47" i="213"/>
  <c r="D40" i="213"/>
  <c r="AB30" i="213"/>
  <c r="T36" i="213"/>
  <c r="AQ31" i="213"/>
  <c r="Y42" i="213"/>
  <c r="AG19" i="213"/>
  <c r="U29" i="213"/>
  <c r="L16" i="214"/>
  <c r="AH28" i="213"/>
  <c r="BA52" i="213"/>
  <c r="BF41" i="213"/>
  <c r="H40" i="213"/>
  <c r="F24" i="213"/>
  <c r="U51" i="213"/>
  <c r="C21" i="214"/>
  <c r="AG24" i="213"/>
  <c r="AF34" i="213"/>
  <c r="W31" i="213"/>
  <c r="AD24" i="213"/>
  <c r="BB15" i="213"/>
  <c r="AW39" i="213"/>
  <c r="BA25" i="213"/>
  <c r="O14" i="214"/>
  <c r="BC47" i="213"/>
  <c r="G35" i="213"/>
  <c r="BM51" i="213"/>
  <c r="F37" i="213"/>
  <c r="O52" i="213"/>
  <c r="AZ40" i="213"/>
  <c r="BG24" i="213"/>
  <c r="BH42" i="213"/>
  <c r="E49" i="213"/>
  <c r="T50" i="213"/>
  <c r="BF51" i="213"/>
  <c r="AF23" i="213"/>
  <c r="AD53" i="213"/>
  <c r="AO53" i="213"/>
  <c r="D20" i="213"/>
  <c r="AN15" i="213"/>
  <c r="BA27" i="213"/>
  <c r="AU39" i="213"/>
  <c r="AB26" i="213"/>
  <c r="D48" i="213"/>
  <c r="BF50" i="213"/>
  <c r="AC16" i="213"/>
  <c r="BM15" i="213"/>
  <c r="AG20" i="213"/>
  <c r="X27" i="214"/>
  <c r="AT42" i="213"/>
  <c r="Q19" i="213"/>
  <c r="V17" i="214"/>
  <c r="AY20" i="213"/>
  <c r="O19" i="213"/>
  <c r="AY15" i="213"/>
  <c r="AX47" i="213"/>
  <c r="BC35" i="213"/>
  <c r="X17" i="214"/>
  <c r="AI19" i="213"/>
  <c r="Z23" i="213"/>
  <c r="BN19" i="213"/>
  <c r="BK39" i="213"/>
  <c r="AG46" i="213"/>
  <c r="AW41" i="213"/>
  <c r="BE23" i="213"/>
  <c r="AX44" i="213"/>
  <c r="G48" i="213"/>
  <c r="AD31" i="213"/>
  <c r="BD25" i="213"/>
  <c r="AY32" i="213"/>
  <c r="K27" i="213"/>
  <c r="BB30" i="213"/>
  <c r="AU19" i="213"/>
  <c r="AK36" i="213"/>
  <c r="AB29" i="213"/>
  <c r="J30" i="213"/>
  <c r="AG14" i="214"/>
  <c r="X39" i="213"/>
  <c r="BJ23" i="213"/>
  <c r="BC49" i="213"/>
  <c r="J24" i="213"/>
  <c r="E28" i="214"/>
  <c r="P24" i="213"/>
  <c r="L44" i="213"/>
  <c r="BL40" i="213"/>
  <c r="AY38" i="213"/>
  <c r="BP26" i="213"/>
  <c r="R24" i="213"/>
  <c r="V23" i="213"/>
  <c r="AH15" i="213"/>
  <c r="BE26" i="213"/>
  <c r="D19" i="213"/>
  <c r="P39" i="213"/>
  <c r="AA48" i="213"/>
  <c r="W47" i="213"/>
  <c r="C22" i="214"/>
  <c r="AA20" i="213"/>
  <c r="AJ17" i="214"/>
  <c r="BP45" i="213"/>
  <c r="BN53" i="213"/>
  <c r="D18" i="214"/>
  <c r="AN18" i="213"/>
  <c r="Z44" i="213"/>
  <c r="BL35" i="213"/>
  <c r="AO42" i="213"/>
  <c r="L15" i="213"/>
  <c r="U31" i="213"/>
  <c r="AN49" i="213"/>
  <c r="BE19" i="213"/>
  <c r="AS20" i="213"/>
  <c r="V22" i="213"/>
  <c r="P15" i="214"/>
  <c r="BH38" i="213"/>
  <c r="E46" i="213"/>
  <c r="BD24" i="213"/>
  <c r="AM50" i="213"/>
  <c r="P24" i="214"/>
  <c r="P16" i="214"/>
  <c r="T49" i="213"/>
  <c r="BI48" i="213"/>
  <c r="C26" i="213"/>
  <c r="I15" i="213"/>
  <c r="Q22" i="213"/>
  <c r="AZ41" i="213"/>
  <c r="AJ38" i="213"/>
  <c r="BD46" i="213"/>
  <c r="AU16" i="213"/>
  <c r="AF17" i="213"/>
  <c r="AE28" i="213"/>
  <c r="AT16" i="213"/>
  <c r="AK49" i="213"/>
  <c r="W27" i="213"/>
  <c r="BG35" i="213"/>
  <c r="AF53" i="213"/>
  <c r="AW50" i="213"/>
  <c r="Z45" i="213"/>
  <c r="AO19" i="213"/>
  <c r="BI19" i="213"/>
  <c r="T16" i="213"/>
  <c r="AA50" i="213"/>
  <c r="A15" i="213"/>
  <c r="BG21" i="213"/>
  <c r="AK30" i="213"/>
  <c r="F25" i="214"/>
  <c r="C19" i="213"/>
  <c r="AQ44" i="213"/>
  <c r="U40" i="213"/>
  <c r="K50" i="213"/>
  <c r="P44" i="213"/>
  <c r="BM37" i="213"/>
  <c r="BN27" i="213"/>
  <c r="G41" i="213"/>
  <c r="AE22" i="213"/>
  <c r="AO28" i="213"/>
  <c r="X19" i="213"/>
  <c r="BN48" i="213"/>
  <c r="BH28" i="213"/>
  <c r="BC26" i="213"/>
  <c r="AJ24" i="213"/>
  <c r="AZ20" i="213"/>
  <c r="Z18" i="213"/>
  <c r="H48" i="213"/>
  <c r="BF28" i="213"/>
  <c r="BH21" i="213"/>
  <c r="AL34" i="213"/>
  <c r="E30" i="213"/>
  <c r="BD47" i="213"/>
  <c r="L46" i="213"/>
  <c r="C19" i="214"/>
  <c r="R45" i="213"/>
  <c r="H47" i="213"/>
  <c r="BL47" i="213"/>
  <c r="X32" i="213"/>
  <c r="BP19" i="213"/>
  <c r="BK16" i="213"/>
  <c r="AI21" i="213"/>
  <c r="O25" i="214"/>
  <c r="AR42" i="213"/>
  <c r="AE42" i="213"/>
  <c r="C30" i="213"/>
  <c r="R36" i="213"/>
  <c r="AH42" i="213"/>
  <c r="BA21" i="213"/>
  <c r="H44" i="213"/>
  <c r="BP44" i="213"/>
  <c r="V12" i="214"/>
  <c r="AW20" i="213"/>
  <c r="AE39" i="213"/>
  <c r="AV48" i="213"/>
  <c r="Z29" i="213"/>
  <c r="AU52" i="213"/>
  <c r="U50" i="213"/>
  <c r="BM45" i="213"/>
  <c r="BO40" i="213"/>
  <c r="AL15" i="213"/>
  <c r="AP45" i="213"/>
  <c r="B12" i="214"/>
  <c r="BO49" i="213"/>
  <c r="AE46" i="213"/>
  <c r="BL24" i="213"/>
  <c r="BB19" i="213"/>
  <c r="AB24" i="213"/>
  <c r="AC39" i="213"/>
  <c r="Z33" i="213"/>
  <c r="N15" i="214"/>
  <c r="H20" i="213"/>
  <c r="Y34" i="213"/>
  <c r="AH52" i="213"/>
  <c r="BE49" i="213"/>
  <c r="BA37" i="213"/>
  <c r="AO50" i="213"/>
  <c r="A33" i="213"/>
  <c r="BL38" i="213"/>
  <c r="AQ17" i="213"/>
  <c r="T15" i="213"/>
  <c r="AD15" i="213"/>
  <c r="BO52" i="213"/>
  <c r="AM46" i="213"/>
  <c r="BH31" i="213"/>
  <c r="AM48" i="213"/>
  <c r="V11" i="214"/>
  <c r="R48" i="213"/>
  <c r="AJ14" i="214"/>
  <c r="N17" i="214"/>
  <c r="AE17" i="213"/>
  <c r="AA42" i="213"/>
  <c r="AJ26" i="214"/>
  <c r="BM39" i="213"/>
  <c r="C42" i="213"/>
  <c r="BE22" i="213"/>
  <c r="H35" i="213"/>
  <c r="AF13" i="214"/>
  <c r="S47" i="213"/>
  <c r="AJ20" i="213"/>
  <c r="N25" i="213"/>
  <c r="AM31" i="213"/>
  <c r="BQ49" i="213"/>
  <c r="W36" i="213"/>
  <c r="BN51" i="213"/>
  <c r="AS49" i="213"/>
  <c r="AV41" i="213"/>
  <c r="D32" i="213"/>
  <c r="BD32" i="213"/>
  <c r="BG31" i="213"/>
  <c r="AW16" i="213"/>
  <c r="X50" i="213"/>
  <c r="BM34" i="213"/>
  <c r="AP52" i="213"/>
  <c r="Z17" i="214"/>
  <c r="BG44" i="213"/>
  <c r="F30" i="213"/>
  <c r="AU53" i="213"/>
  <c r="E15" i="213"/>
  <c r="BH32" i="213"/>
  <c r="BM21" i="213"/>
  <c r="AJ53" i="213"/>
  <c r="BL46" i="213"/>
  <c r="AG11" i="214"/>
  <c r="B26" i="214"/>
  <c r="AB25" i="213"/>
  <c r="BC42" i="213"/>
  <c r="AP48" i="213"/>
  <c r="M48" i="213"/>
  <c r="AF33" i="213"/>
  <c r="Y46" i="213"/>
  <c r="AB51" i="213"/>
  <c r="AP30" i="213"/>
  <c r="P34" i="213"/>
  <c r="W32" i="213"/>
  <c r="AL53" i="213"/>
  <c r="AX22" i="213"/>
  <c r="M29" i="213"/>
  <c r="U19" i="214"/>
  <c r="F25" i="213"/>
  <c r="AV18" i="213"/>
  <c r="Q48" i="213"/>
  <c r="AG15" i="213"/>
  <c r="Q51" i="213"/>
  <c r="H21" i="213"/>
  <c r="Q18" i="213"/>
  <c r="E18" i="213"/>
  <c r="AU47" i="213"/>
  <c r="BL41" i="213"/>
  <c r="AU21" i="213"/>
  <c r="BL23" i="213"/>
  <c r="AT34" i="213"/>
  <c r="Y33" i="213"/>
  <c r="BI41" i="213"/>
  <c r="AA35" i="213"/>
  <c r="BK41" i="213"/>
  <c r="E37" i="213"/>
  <c r="AX27" i="213"/>
  <c r="AJ15" i="214"/>
  <c r="M52" i="213"/>
  <c r="W42" i="213"/>
  <c r="AS23" i="213"/>
  <c r="BJ30" i="213"/>
  <c r="AX21" i="213"/>
  <c r="BE25" i="213"/>
  <c r="AB52" i="213"/>
  <c r="Y37" i="213"/>
  <c r="H34" i="213"/>
  <c r="AB22" i="213"/>
  <c r="Q53" i="213"/>
  <c r="BQ15" i="213"/>
  <c r="K17" i="213"/>
  <c r="BE35" i="213"/>
  <c r="N19" i="214"/>
  <c r="O18" i="214"/>
  <c r="V52" i="213"/>
  <c r="BH50" i="213"/>
  <c r="M19" i="213"/>
  <c r="I13" i="214"/>
  <c r="V53" i="213"/>
  <c r="F21" i="213"/>
  <c r="Y48" i="213"/>
  <c r="BQ36" i="213"/>
  <c r="AF19" i="213"/>
  <c r="AT17" i="213"/>
  <c r="T26" i="213"/>
  <c r="AV27" i="213"/>
  <c r="G47" i="213"/>
  <c r="U45" i="213"/>
  <c r="O53" i="213"/>
  <c r="BF17" i="213"/>
  <c r="AD18" i="213"/>
  <c r="AN29" i="213"/>
  <c r="C52" i="213"/>
  <c r="N29" i="213"/>
  <c r="AL18" i="213"/>
  <c r="X16" i="213"/>
  <c r="AU42" i="213"/>
  <c r="AS28" i="213"/>
  <c r="N25" i="214"/>
  <c r="G46" i="213"/>
  <c r="AU50" i="213"/>
  <c r="BA41" i="213"/>
  <c r="BP52" i="213"/>
  <c r="BQ38" i="213"/>
  <c r="BD31" i="213"/>
  <c r="L50" i="213"/>
  <c r="BB21" i="213"/>
  <c r="L49" i="213"/>
  <c r="AF44" i="213"/>
  <c r="BM35" i="213"/>
  <c r="BI46" i="213"/>
  <c r="AC51" i="213"/>
  <c r="BP36" i="213"/>
  <c r="S50" i="213"/>
  <c r="U52" i="213"/>
  <c r="AK46" i="213"/>
  <c r="I31" i="213"/>
  <c r="AL42" i="213"/>
  <c r="Y17" i="214"/>
  <c r="H28" i="213"/>
  <c r="U24" i="214"/>
  <c r="AG26" i="213"/>
  <c r="U29" i="214"/>
  <c r="E47" i="213"/>
  <c r="AY27" i="213"/>
  <c r="AF28" i="214"/>
  <c r="S33" i="213"/>
  <c r="J20" i="213"/>
  <c r="A19" i="213"/>
  <c r="G27" i="213"/>
  <c r="C20" i="214"/>
  <c r="D15" i="213"/>
  <c r="D21" i="214"/>
  <c r="U27" i="213"/>
  <c r="O20" i="214"/>
  <c r="BL48" i="213"/>
  <c r="BG28" i="213"/>
  <c r="V37" i="213"/>
  <c r="X34" i="213"/>
  <c r="Z25" i="214"/>
  <c r="BP35" i="213"/>
  <c r="AW46" i="213"/>
  <c r="AA39" i="213"/>
  <c r="AP19" i="213"/>
  <c r="BA29" i="213"/>
  <c r="BJ28" i="213"/>
  <c r="BN44" i="213"/>
  <c r="Z53" i="213"/>
  <c r="Y52" i="213"/>
  <c r="AG10" i="214"/>
  <c r="BL49" i="213"/>
  <c r="BD15" i="213"/>
  <c r="I12" i="214"/>
  <c r="BD35" i="213"/>
  <c r="K40" i="213"/>
  <c r="A16" i="213"/>
  <c r="BQ52" i="213"/>
  <c r="AA31" i="213"/>
  <c r="AV38" i="213"/>
  <c r="AB28" i="213"/>
  <c r="W39" i="213"/>
  <c r="AX41" i="213"/>
  <c r="BK44" i="213"/>
  <c r="J32" i="213"/>
  <c r="F14" i="214"/>
  <c r="AK18" i="213"/>
  <c r="AW22" i="213"/>
  <c r="AV45" i="213"/>
  <c r="O37" i="213"/>
  <c r="AJ24" i="214"/>
  <c r="M36" i="213"/>
  <c r="AQ19" i="213"/>
  <c r="Z49" i="213"/>
  <c r="N52" i="213"/>
  <c r="AI39" i="213"/>
  <c r="X24" i="213"/>
  <c r="AN47" i="213"/>
  <c r="G50" i="213"/>
  <c r="AU41" i="213"/>
  <c r="AI48" i="213"/>
  <c r="AG18" i="213"/>
  <c r="AS16" i="213"/>
  <c r="AH46" i="213"/>
  <c r="AF12" i="214"/>
  <c r="O15" i="213"/>
  <c r="AV47" i="213"/>
  <c r="BB28" i="213"/>
  <c r="X18" i="213"/>
  <c r="AY49" i="213"/>
  <c r="AU26" i="213"/>
  <c r="BJ26" i="213"/>
  <c r="AI30" i="213"/>
  <c r="U34" i="213"/>
  <c r="S19" i="213"/>
  <c r="BL39" i="213"/>
  <c r="BF42" i="213"/>
  <c r="D22" i="213"/>
  <c r="AB49" i="213"/>
  <c r="C47" i="213"/>
  <c r="K28" i="213"/>
  <c r="AK39" i="213"/>
  <c r="AL41" i="213"/>
  <c r="BM16" i="213"/>
  <c r="Z52" i="213"/>
  <c r="M24" i="213"/>
  <c r="BC31" i="213"/>
  <c r="AR44" i="213"/>
  <c r="AG42" i="213"/>
  <c r="AW19" i="213"/>
  <c r="BF37" i="213"/>
  <c r="Z28" i="214"/>
  <c r="BK26" i="213"/>
  <c r="BF53" i="213"/>
  <c r="K31" i="213"/>
  <c r="T47" i="213"/>
  <c r="AB50" i="213"/>
  <c r="BQ17" i="213"/>
  <c r="AL16" i="213"/>
  <c r="X44" i="213"/>
  <c r="AK34" i="213"/>
  <c r="BA45" i="213"/>
  <c r="Z28" i="213"/>
  <c r="M37" i="213"/>
  <c r="J23" i="213"/>
  <c r="AH32" i="213"/>
  <c r="BE24" i="213"/>
  <c r="H39" i="213"/>
  <c r="AW51" i="213"/>
  <c r="BK51" i="213"/>
  <c r="AK48" i="213"/>
  <c r="AZ39" i="213"/>
  <c r="AR15" i="213"/>
  <c r="P20" i="214"/>
  <c r="I14" i="214"/>
  <c r="P32" i="213"/>
  <c r="BH51" i="213"/>
  <c r="AD42" i="213"/>
  <c r="AH47" i="213"/>
  <c r="L47" i="213"/>
  <c r="U37" i="213"/>
  <c r="AW28" i="213"/>
  <c r="W23" i="213"/>
  <c r="BH18" i="213"/>
  <c r="D45" i="213"/>
  <c r="AI44" i="213"/>
  <c r="W25" i="213"/>
  <c r="G44" i="213"/>
  <c r="BJ27" i="213"/>
  <c r="BF34" i="213"/>
  <c r="I45" i="213"/>
  <c r="AR45" i="213"/>
  <c r="Y23" i="214"/>
  <c r="AF22" i="213"/>
  <c r="AN35" i="213"/>
  <c r="U20" i="213"/>
  <c r="AJ17" i="213"/>
  <c r="K51" i="213"/>
  <c r="AS53" i="213"/>
  <c r="AF29" i="214"/>
  <c r="AC40" i="213"/>
  <c r="M50" i="213"/>
  <c r="BD41" i="213"/>
  <c r="BF39" i="213"/>
  <c r="AB27" i="213"/>
  <c r="AZ19" i="213"/>
  <c r="AF29" i="213"/>
  <c r="AZ51" i="213"/>
  <c r="AZ26" i="213"/>
  <c r="I40" i="213"/>
  <c r="AO49" i="213"/>
  <c r="N16" i="213"/>
  <c r="BG48" i="213"/>
  <c r="BM48" i="213"/>
  <c r="H22" i="213"/>
  <c r="J46" i="213"/>
  <c r="AK15" i="213"/>
  <c r="AR22" i="213"/>
  <c r="I23" i="214"/>
  <c r="AO21" i="213"/>
  <c r="Y44" i="213"/>
  <c r="AX49" i="213"/>
  <c r="AT37" i="213"/>
  <c r="BB18" i="213"/>
  <c r="I39" i="213"/>
  <c r="AB48" i="213"/>
  <c r="AV26" i="213"/>
  <c r="BD49" i="213"/>
  <c r="X25" i="214"/>
  <c r="AW53" i="213"/>
  <c r="H25" i="213"/>
  <c r="BG16" i="213"/>
  <c r="AN38" i="213"/>
  <c r="AW30" i="213"/>
  <c r="AL50" i="213"/>
  <c r="AF39" i="213"/>
  <c r="AU48" i="213"/>
  <c r="P47" i="213"/>
  <c r="AH45" i="213"/>
  <c r="AT30" i="213"/>
  <c r="AN45" i="213"/>
  <c r="N30" i="213"/>
  <c r="AJ16" i="213"/>
  <c r="AX50" i="213"/>
  <c r="AG41" i="213"/>
  <c r="AF28" i="213"/>
  <c r="AE30" i="213"/>
  <c r="BP29" i="213"/>
  <c r="L37" i="213"/>
  <c r="G29" i="214"/>
  <c r="AC18" i="213"/>
  <c r="D24" i="214"/>
  <c r="BQ28" i="213"/>
  <c r="S32" i="213"/>
  <c r="BL50" i="213"/>
  <c r="O21" i="213"/>
  <c r="E17" i="213"/>
  <c r="V49" i="213"/>
  <c r="I42" i="213"/>
  <c r="U26" i="213"/>
  <c r="Q26" i="213"/>
  <c r="BJ41" i="213"/>
  <c r="BQ42" i="213"/>
  <c r="I18" i="213"/>
  <c r="Y15" i="214"/>
  <c r="AG16" i="214"/>
  <c r="G19" i="214"/>
  <c r="BP16" i="213"/>
  <c r="BQ41" i="213"/>
  <c r="S29" i="213"/>
  <c r="V48" i="213"/>
  <c r="O22" i="214"/>
  <c r="AR30" i="213"/>
  <c r="U36" i="213"/>
  <c r="AD30" i="213"/>
  <c r="AK44" i="213"/>
  <c r="AY31" i="213"/>
  <c r="BH34" i="213"/>
  <c r="AA41" i="213"/>
  <c r="AA18" i="213"/>
  <c r="BD18" i="213"/>
  <c r="Z40" i="213"/>
  <c r="BM25" i="213"/>
  <c r="BI52" i="213"/>
  <c r="AS41" i="213"/>
  <c r="V13" i="214"/>
  <c r="AE47" i="213"/>
  <c r="J28" i="213"/>
  <c r="AW49" i="213"/>
  <c r="E24" i="213"/>
  <c r="Q39" i="213"/>
  <c r="AY26" i="213"/>
  <c r="T25" i="213"/>
  <c r="D25" i="214"/>
  <c r="BC22" i="213"/>
  <c r="BH17" i="213"/>
  <c r="Z11" i="214"/>
  <c r="BB48" i="213"/>
  <c r="L17" i="213"/>
  <c r="AL37" i="213"/>
  <c r="BD28" i="213"/>
  <c r="BO15" i="213"/>
  <c r="P15" i="213"/>
  <c r="BF32" i="213"/>
  <c r="BI32" i="213"/>
  <c r="AS46" i="213"/>
  <c r="AV35" i="213"/>
  <c r="AK53" i="213"/>
  <c r="O40" i="213"/>
  <c r="BJ31" i="213"/>
  <c r="BJ48" i="213"/>
  <c r="BQ30" i="213"/>
  <c r="BB44" i="213"/>
  <c r="BE48" i="213"/>
  <c r="A21" i="213"/>
  <c r="AN40" i="213"/>
  <c r="AK23" i="213"/>
  <c r="Z24" i="214"/>
  <c r="AG16" i="213"/>
  <c r="P38" i="213"/>
  <c r="V46" i="213"/>
  <c r="AV15" i="213"/>
  <c r="AK37" i="213"/>
  <c r="R41" i="213"/>
  <c r="AZ45" i="213"/>
  <c r="AV23" i="213"/>
  <c r="BQ44" i="213"/>
  <c r="AM15" i="213"/>
  <c r="BG51" i="213"/>
  <c r="X19" i="214"/>
  <c r="BJ17" i="213"/>
  <c r="J21" i="213"/>
  <c r="R49" i="213"/>
  <c r="AR32" i="213"/>
  <c r="BO34" i="213"/>
  <c r="AE26" i="213"/>
  <c r="BC21" i="213"/>
  <c r="BQ48" i="213"/>
  <c r="I18" i="214"/>
  <c r="AN41" i="213"/>
  <c r="C22" i="213"/>
  <c r="P42" i="213"/>
  <c r="K25" i="213"/>
  <c r="V27" i="213"/>
  <c r="F19" i="213"/>
  <c r="AS21" i="213"/>
  <c r="N33" i="213"/>
  <c r="F41" i="213"/>
  <c r="H53" i="213"/>
  <c r="AD19" i="213"/>
  <c r="BL36" i="213"/>
  <c r="E45" i="213"/>
  <c r="Z41" i="213"/>
  <c r="V21" i="213"/>
  <c r="BI29" i="213"/>
  <c r="AC35" i="213"/>
  <c r="BN40" i="213"/>
  <c r="AL32" i="213"/>
  <c r="AI26" i="213"/>
  <c r="F51" i="213"/>
  <c r="P46" i="213"/>
  <c r="BE37" i="213"/>
  <c r="BP27" i="213"/>
  <c r="AQ42" i="213"/>
  <c r="AB36" i="213"/>
  <c r="G23" i="214"/>
  <c r="BK37" i="213"/>
  <c r="H41" i="213"/>
  <c r="X38" i="213"/>
  <c r="AY39" i="213"/>
  <c r="Y21" i="214"/>
  <c r="AO33" i="213"/>
  <c r="AY44" i="213"/>
  <c r="AO35" i="213"/>
  <c r="E22" i="214"/>
  <c r="AG33" i="213"/>
  <c r="O50" i="213"/>
  <c r="BO33" i="213"/>
  <c r="BD21" i="213"/>
  <c r="BN29" i="213"/>
  <c r="AR38" i="213"/>
  <c r="L27" i="213"/>
  <c r="BA28" i="213"/>
  <c r="V32" i="213"/>
  <c r="AE40" i="213"/>
  <c r="AX38" i="213"/>
  <c r="AT23" i="213"/>
  <c r="AN17" i="213"/>
  <c r="Y27" i="213"/>
  <c r="Y22" i="214"/>
  <c r="T37" i="213"/>
  <c r="J25" i="213"/>
  <c r="M41" i="213"/>
  <c r="BL33" i="213"/>
  <c r="M31" i="213"/>
  <c r="W29" i="213"/>
  <c r="AS47" i="213"/>
  <c r="AS50" i="213"/>
  <c r="AU34" i="213"/>
  <c r="Z13" i="214"/>
  <c r="AI50" i="213"/>
  <c r="E13" i="214"/>
  <c r="Y32" i="213"/>
  <c r="AD26" i="213"/>
  <c r="AN42" i="213"/>
  <c r="AA26" i="213"/>
  <c r="L23" i="214"/>
  <c r="AT18" i="213"/>
  <c r="R47" i="213"/>
  <c r="U14" i="214"/>
  <c r="M30" i="213"/>
  <c r="BM47" i="213"/>
  <c r="W45" i="213"/>
  <c r="BA26" i="213"/>
  <c r="AJ44" i="213"/>
  <c r="BJ45" i="213"/>
  <c r="BD37" i="213"/>
  <c r="AN25" i="213"/>
  <c r="AY30" i="213"/>
  <c r="AY35" i="213"/>
  <c r="E23" i="213"/>
  <c r="AP49" i="213"/>
  <c r="AT40" i="213"/>
  <c r="AV37" i="213"/>
  <c r="AZ31" i="213"/>
  <c r="Y18" i="214"/>
  <c r="AB18" i="214" l="1"/>
  <c r="AC18" i="214"/>
  <c r="R18" i="214"/>
  <c r="T18" i="214"/>
  <c r="AD18" i="214"/>
  <c r="S18" i="214"/>
  <c r="S23" i="214"/>
  <c r="R23" i="214"/>
  <c r="AB23" i="214"/>
  <c r="AC23" i="214"/>
  <c r="AD23" i="214"/>
  <c r="T23" i="214"/>
  <c r="T14" i="214"/>
  <c r="AC14" i="214"/>
  <c r="AD14" i="214"/>
  <c r="R14" i="214"/>
  <c r="AB14" i="214"/>
  <c r="S14" i="214"/>
  <c r="AB12" i="214"/>
  <c r="AC12" i="214"/>
  <c r="T12" i="214"/>
  <c r="R12" i="214"/>
  <c r="S12" i="214"/>
  <c r="AD12" i="214"/>
  <c r="AG50" i="214"/>
  <c r="AG52" i="214"/>
  <c r="AG47" i="214"/>
  <c r="AG49" i="214"/>
  <c r="AG51" i="214"/>
  <c r="AG48" i="214"/>
  <c r="AC13" i="214"/>
  <c r="AD13" i="214"/>
  <c r="S13" i="214"/>
  <c r="R13" i="214"/>
  <c r="T13" i="214"/>
  <c r="AB13" i="214"/>
  <c r="T15" i="214"/>
  <c r="AD15" i="214"/>
  <c r="AC15" i="214"/>
  <c r="R15" i="214"/>
  <c r="AB15" i="214"/>
  <c r="S15" i="214"/>
  <c r="U52" i="214"/>
  <c r="U49" i="214"/>
  <c r="U48" i="214"/>
  <c r="U47" i="214"/>
  <c r="U50" i="214"/>
  <c r="U51" i="214"/>
  <c r="R25" i="214"/>
  <c r="AD25" i="214"/>
  <c r="T25" i="214"/>
  <c r="AB25" i="214"/>
  <c r="S25" i="214"/>
  <c r="AC25" i="214"/>
  <c r="T29" i="214"/>
  <c r="S29" i="214"/>
  <c r="AC29" i="214"/>
  <c r="AB29" i="214"/>
  <c r="AD29" i="214"/>
  <c r="R29" i="214"/>
  <c r="O50" i="214"/>
  <c r="O49" i="214"/>
  <c r="O52" i="214"/>
  <c r="AP5" i="57"/>
  <c r="AR5" i="57" s="1"/>
  <c r="N6" i="4" s="1"/>
  <c r="O47" i="214"/>
  <c r="O48" i="214"/>
  <c r="O51" i="214"/>
  <c r="I47" i="214"/>
  <c r="I49" i="214"/>
  <c r="I52" i="214"/>
  <c r="I48" i="214"/>
  <c r="AP3" i="57"/>
  <c r="AR3" i="57" s="1"/>
  <c r="N4" i="4" s="1"/>
  <c r="R10" i="214"/>
  <c r="S10" i="214"/>
  <c r="AB10" i="214"/>
  <c r="I50" i="214"/>
  <c r="AD10" i="214"/>
  <c r="I51" i="214"/>
  <c r="AC10" i="214"/>
  <c r="T10" i="214"/>
  <c r="AD26" i="214"/>
  <c r="R26" i="214"/>
  <c r="T26" i="214"/>
  <c r="AB26" i="214"/>
  <c r="AC26" i="214"/>
  <c r="S26" i="214"/>
  <c r="AF48" i="214"/>
  <c r="AF52" i="214"/>
  <c r="AF51" i="214"/>
  <c r="AF49" i="214"/>
  <c r="AF47" i="214"/>
  <c r="AF50" i="214"/>
  <c r="T24" i="214"/>
  <c r="AC24" i="214"/>
  <c r="R24" i="214"/>
  <c r="S24" i="214"/>
  <c r="AD24" i="214"/>
  <c r="AB24" i="214"/>
  <c r="T19" i="214"/>
  <c r="AB19" i="214"/>
  <c r="S19" i="214"/>
  <c r="AC19" i="214"/>
  <c r="AD19" i="214"/>
  <c r="R19" i="214"/>
  <c r="X49" i="214"/>
  <c r="X48" i="214"/>
  <c r="X50" i="214"/>
  <c r="X47" i="214"/>
  <c r="X52" i="214"/>
  <c r="X51" i="214"/>
  <c r="R21" i="214"/>
  <c r="T21" i="214"/>
  <c r="AC21" i="214"/>
  <c r="S21" i="214"/>
  <c r="AB21" i="214"/>
  <c r="AD21" i="214"/>
  <c r="P47" i="214"/>
  <c r="P50" i="214"/>
  <c r="P51" i="214"/>
  <c r="P49" i="214"/>
  <c r="P52" i="214"/>
  <c r="P48" i="214"/>
  <c r="N52" i="214"/>
  <c r="N47" i="214"/>
  <c r="AP4" i="57"/>
  <c r="AR4" i="57" s="1"/>
  <c r="N5" i="4" s="1"/>
  <c r="N50" i="214"/>
  <c r="N49" i="214"/>
  <c r="N48" i="214"/>
  <c r="N51" i="214"/>
  <c r="T17" i="214"/>
  <c r="R17" i="214"/>
  <c r="S17" i="214"/>
  <c r="AD17" i="214"/>
  <c r="AB17" i="214"/>
  <c r="AC17" i="214"/>
  <c r="AC20" i="214"/>
  <c r="AD20" i="214"/>
  <c r="AB20" i="214"/>
  <c r="S20" i="214"/>
  <c r="T20" i="214"/>
  <c r="R20" i="214"/>
  <c r="S11" i="214"/>
  <c r="R11" i="214"/>
  <c r="T11" i="214"/>
  <c r="AC11" i="214"/>
  <c r="AB11" i="214"/>
  <c r="AD11" i="214"/>
  <c r="T28" i="214"/>
  <c r="R28" i="214"/>
  <c r="AB28" i="214"/>
  <c r="AD28" i="214"/>
  <c r="AC28" i="214"/>
  <c r="S28" i="214"/>
  <c r="Z52" i="214"/>
  <c r="Z49" i="214"/>
  <c r="Z47" i="214"/>
  <c r="Z50" i="214"/>
  <c r="Z51" i="214"/>
  <c r="Z48" i="214"/>
  <c r="AB16" i="214"/>
  <c r="S16" i="214"/>
  <c r="AD16" i="214"/>
  <c r="R16" i="214"/>
  <c r="T16" i="214"/>
  <c r="AC16" i="214"/>
  <c r="V49" i="214"/>
  <c r="V50" i="214"/>
  <c r="V47" i="214"/>
  <c r="V48" i="214"/>
  <c r="V52" i="214"/>
  <c r="V51" i="214"/>
  <c r="T22" i="214"/>
  <c r="AC22" i="214"/>
  <c r="AB22" i="214"/>
  <c r="R22" i="214"/>
  <c r="AD22" i="214"/>
  <c r="S22" i="214"/>
  <c r="R27" i="214"/>
  <c r="AD27" i="214"/>
  <c r="S27" i="214"/>
  <c r="AC27" i="214"/>
  <c r="T27" i="214"/>
  <c r="AB27" i="214"/>
  <c r="Y48" i="214"/>
  <c r="Y49" i="214"/>
  <c r="Y52" i="214"/>
  <c r="Y47" i="214"/>
  <c r="Y51" i="214"/>
  <c r="Y50" i="214"/>
  <c r="D32" i="280"/>
  <c r="D80" i="280"/>
  <c r="E24" i="280"/>
  <c r="E27" i="280" s="1"/>
  <c r="X24" i="244"/>
  <c r="T24" i="244"/>
  <c r="S11" i="244"/>
  <c r="Q42" i="244"/>
  <c r="Q38" i="244"/>
  <c r="Q40" i="244"/>
  <c r="Q39" i="244"/>
  <c r="Q37" i="244"/>
  <c r="Q41" i="244"/>
  <c r="S34" i="244"/>
  <c r="T34" i="244" s="1"/>
  <c r="V34" i="244" s="1"/>
  <c r="Y34" i="244"/>
  <c r="T21" i="244"/>
  <c r="X21" i="244"/>
  <c r="Y20" i="244"/>
  <c r="S20" i="244"/>
  <c r="T20" i="244" s="1"/>
  <c r="S35" i="244"/>
  <c r="T35" i="244" s="1"/>
  <c r="V35" i="244" s="1"/>
  <c r="Y35" i="244"/>
  <c r="S17" i="244"/>
  <c r="T17" i="244" s="1"/>
  <c r="U17" i="244" s="1"/>
  <c r="W17" i="244" s="1"/>
  <c r="Y17" i="244"/>
  <c r="Y14" i="244"/>
  <c r="S14" i="244"/>
  <c r="T14" i="244" s="1"/>
  <c r="Q33" i="281"/>
  <c r="S33" i="281" s="1"/>
  <c r="Q23" i="281"/>
  <c r="Q17" i="281"/>
  <c r="Q16" i="281"/>
  <c r="S16" i="281" s="1"/>
  <c r="Q28" i="281"/>
  <c r="Q32" i="281"/>
  <c r="Q21" i="281"/>
  <c r="Q34" i="281"/>
  <c r="Q15" i="281"/>
  <c r="Q24" i="281"/>
  <c r="S24" i="281" s="1"/>
  <c r="Q11" i="281"/>
  <c r="Q20" i="281"/>
  <c r="Q12" i="281"/>
  <c r="S12" i="281" s="1"/>
  <c r="Q35" i="281"/>
  <c r="Q18" i="281"/>
  <c r="S18" i="281" s="1"/>
  <c r="Q27" i="281"/>
  <c r="S27" i="281" s="1"/>
  <c r="Q13" i="281"/>
  <c r="S13" i="281" s="1"/>
  <c r="Q29" i="281"/>
  <c r="S29" i="281" s="1"/>
  <c r="Q25" i="281"/>
  <c r="S25" i="281" s="1"/>
  <c r="Q19" i="281"/>
  <c r="Q26" i="281"/>
  <c r="Q22" i="281"/>
  <c r="Q14" i="281"/>
  <c r="S28" i="244"/>
  <c r="T28" i="244" s="1"/>
  <c r="V28" i="244" s="1"/>
  <c r="Y28" i="244"/>
  <c r="Y23" i="244"/>
  <c r="S23" i="244"/>
  <c r="T23" i="244" s="1"/>
  <c r="U23" i="244" s="1"/>
  <c r="W23" i="244" s="1"/>
  <c r="Y32" i="244"/>
  <c r="S32" i="244"/>
  <c r="T32" i="244" s="1"/>
  <c r="U32" i="244" s="1"/>
  <c r="W32" i="244" s="1"/>
  <c r="E72" i="280"/>
  <c r="E75" i="280" s="1"/>
  <c r="N40" i="281"/>
  <c r="N42" i="281"/>
  <c r="N37" i="281"/>
  <c r="N38" i="281"/>
  <c r="N41" i="281"/>
  <c r="N39" i="281"/>
  <c r="S22" i="244"/>
  <c r="T22" i="244" s="1"/>
  <c r="U22" i="244" s="1"/>
  <c r="W22" i="244" s="1"/>
  <c r="Y22" i="244"/>
  <c r="Y19" i="244"/>
  <c r="S19" i="244"/>
  <c r="T19" i="244" s="1"/>
  <c r="V19" i="244" s="1"/>
  <c r="U34" i="244"/>
  <c r="W34" i="244" s="1"/>
  <c r="J45" i="6"/>
  <c r="J47" i="6" s="1"/>
  <c r="J49" i="6" s="1"/>
  <c r="J55" i="6" s="1"/>
  <c r="J59" i="6" s="1"/>
  <c r="J64" i="6" s="1"/>
  <c r="K36" i="6"/>
  <c r="K40" i="6"/>
  <c r="K41" i="6" s="1"/>
  <c r="K45" i="6" s="1"/>
  <c r="K47" i="6" s="1"/>
  <c r="K49" i="6" s="1"/>
  <c r="K55" i="6" s="1"/>
  <c r="K59" i="6" s="1"/>
  <c r="K64" i="6" s="1"/>
  <c r="M97" i="6"/>
  <c r="L107" i="6"/>
  <c r="L52" i="6" s="1"/>
  <c r="L33" i="6" s="1"/>
  <c r="L35" i="6" s="1"/>
  <c r="B29" i="133"/>
  <c r="G29" i="133" s="1"/>
  <c r="B3" i="62" s="1"/>
  <c r="BR51" i="213"/>
  <c r="BR52" i="213"/>
  <c r="BR49" i="213"/>
  <c r="BR35" i="213"/>
  <c r="BR38" i="213"/>
  <c r="BR23" i="213"/>
  <c r="BR42" i="213"/>
  <c r="BR20" i="213"/>
  <c r="BR48" i="213"/>
  <c r="BR36" i="213"/>
  <c r="BR24" i="213"/>
  <c r="BR41" i="213"/>
  <c r="BR15" i="213"/>
  <c r="BR31" i="213"/>
  <c r="BR25" i="213"/>
  <c r="BR37" i="213"/>
  <c r="BR39" i="213"/>
  <c r="BR53" i="213"/>
  <c r="BR22" i="213"/>
  <c r="BR21" i="213"/>
  <c r="BR27" i="213"/>
  <c r="BR17" i="213"/>
  <c r="BR34" i="213"/>
  <c r="BR40" i="213"/>
  <c r="BR50" i="213"/>
  <c r="BR32" i="213"/>
  <c r="BR29" i="213"/>
  <c r="BR45" i="213"/>
  <c r="BR26" i="213"/>
  <c r="BR18" i="213"/>
  <c r="BR19" i="213"/>
  <c r="BR33" i="213"/>
  <c r="BR44" i="213"/>
  <c r="BR16" i="213"/>
  <c r="BR30" i="213"/>
  <c r="BR46" i="213"/>
  <c r="BR28" i="213"/>
  <c r="BR47" i="213"/>
  <c r="S52" i="214" l="1"/>
  <c r="AB47" i="214"/>
  <c r="R47" i="214"/>
  <c r="T52" i="214"/>
  <c r="O3" i="4"/>
  <c r="D30" i="248" s="1"/>
  <c r="AD52" i="214"/>
  <c r="R50" i="214"/>
  <c r="S51" i="214"/>
  <c r="AC48" i="214"/>
  <c r="AD47" i="214"/>
  <c r="T47" i="214"/>
  <c r="AD51" i="214"/>
  <c r="AB50" i="214"/>
  <c r="S47" i="214"/>
  <c r="AD50" i="214"/>
  <c r="S48" i="214"/>
  <c r="AC49" i="214"/>
  <c r="AB49" i="214"/>
  <c r="R49" i="214"/>
  <c r="AB48" i="214"/>
  <c r="AC50" i="214"/>
  <c r="AC51" i="214"/>
  <c r="S50" i="214"/>
  <c r="AC52" i="214"/>
  <c r="T48" i="214"/>
  <c r="T51" i="214"/>
  <c r="T50" i="214"/>
  <c r="AC47" i="214"/>
  <c r="S49" i="214"/>
  <c r="R48" i="214"/>
  <c r="T49" i="214"/>
  <c r="R51" i="214"/>
  <c r="R52" i="214"/>
  <c r="AD48" i="214"/>
  <c r="AD49" i="214"/>
  <c r="AB51" i="214"/>
  <c r="AB52" i="214"/>
  <c r="V17" i="244"/>
  <c r="O6" i="12"/>
  <c r="D12" i="52"/>
  <c r="D12" i="279"/>
  <c r="O6" i="257"/>
  <c r="V22" i="244"/>
  <c r="V32" i="244"/>
  <c r="U35" i="244"/>
  <c r="W35" i="244" s="1"/>
  <c r="V23" i="244"/>
  <c r="U28" i="244"/>
  <c r="W28" i="244" s="1"/>
  <c r="U19" i="244"/>
  <c r="W19" i="244" s="1"/>
  <c r="Y19" i="281"/>
  <c r="S19" i="281"/>
  <c r="T19" i="281" s="1"/>
  <c r="V19" i="281" s="1"/>
  <c r="S20" i="281"/>
  <c r="T20" i="281" s="1"/>
  <c r="U20" i="281" s="1"/>
  <c r="W20" i="281" s="1"/>
  <c r="Y20" i="281"/>
  <c r="S34" i="281"/>
  <c r="T34" i="281" s="1"/>
  <c r="V34" i="281" s="1"/>
  <c r="Y34" i="281"/>
  <c r="U14" i="244"/>
  <c r="W14" i="244" s="1"/>
  <c r="V14" i="244"/>
  <c r="S14" i="281"/>
  <c r="T14" i="281" s="1"/>
  <c r="V14" i="281" s="1"/>
  <c r="Y14" i="281"/>
  <c r="Q41" i="281"/>
  <c r="Q42" i="281"/>
  <c r="Q38" i="281"/>
  <c r="S11" i="281"/>
  <c r="Q39" i="281"/>
  <c r="Q37" i="281"/>
  <c r="Q40" i="281"/>
  <c r="S21" i="281"/>
  <c r="Y21" i="281"/>
  <c r="Y17" i="281"/>
  <c r="S17" i="281"/>
  <c r="T17" i="281" s="1"/>
  <c r="V17" i="281" s="1"/>
  <c r="V21" i="244"/>
  <c r="Y21" i="244" s="1"/>
  <c r="U21" i="244"/>
  <c r="W21" i="244" s="1"/>
  <c r="D12" i="241"/>
  <c r="O6" i="244"/>
  <c r="S22" i="281"/>
  <c r="T22" i="281" s="1"/>
  <c r="U22" i="281" s="1"/>
  <c r="W22" i="281" s="1"/>
  <c r="Y22" i="281"/>
  <c r="S35" i="281"/>
  <c r="T35" i="281" s="1"/>
  <c r="U35" i="281" s="1"/>
  <c r="W35" i="281" s="1"/>
  <c r="Y35" i="281"/>
  <c r="T24" i="281"/>
  <c r="X24" i="281"/>
  <c r="S32" i="281"/>
  <c r="T32" i="281" s="1"/>
  <c r="V32" i="281" s="1"/>
  <c r="Y32" i="281"/>
  <c r="Y23" i="281"/>
  <c r="S23" i="281"/>
  <c r="T23" i="281" s="1"/>
  <c r="V23" i="281" s="1"/>
  <c r="U20" i="244"/>
  <c r="W20" i="244" s="1"/>
  <c r="V20" i="244"/>
  <c r="S40" i="244"/>
  <c r="S41" i="244"/>
  <c r="S38" i="244"/>
  <c r="S39" i="244"/>
  <c r="S37" i="244"/>
  <c r="S42" i="244"/>
  <c r="D79" i="280"/>
  <c r="E79" i="280" s="1"/>
  <c r="D78" i="280"/>
  <c r="E78" i="280" s="1"/>
  <c r="D81" i="280"/>
  <c r="E81" i="280" s="1"/>
  <c r="Y26" i="281"/>
  <c r="S26" i="281"/>
  <c r="T26" i="281" s="1"/>
  <c r="V26" i="281" s="1"/>
  <c r="Y15" i="281"/>
  <c r="S15" i="281"/>
  <c r="T15" i="281" s="1"/>
  <c r="Y28" i="281"/>
  <c r="S28" i="281"/>
  <c r="T28" i="281" s="1"/>
  <c r="V28" i="281" s="1"/>
  <c r="U24" i="244"/>
  <c r="W24" i="244" s="1"/>
  <c r="V24" i="244"/>
  <c r="Y24" i="244" s="1"/>
  <c r="D31" i="280"/>
  <c r="E31" i="280" s="1"/>
  <c r="D33" i="280"/>
  <c r="E33" i="280" s="1"/>
  <c r="D30" i="280"/>
  <c r="E30" i="280" s="1"/>
  <c r="V20" i="281"/>
  <c r="K43" i="6"/>
  <c r="L39" i="6" s="1"/>
  <c r="L40" i="6"/>
  <c r="L36" i="6"/>
  <c r="M107" i="6"/>
  <c r="M52" i="6" s="1"/>
  <c r="M33" i="6" s="1"/>
  <c r="M35" i="6" s="1"/>
  <c r="N97" i="6"/>
  <c r="B30" i="133"/>
  <c r="G30" i="133" s="1"/>
  <c r="B3" i="57" s="1"/>
  <c r="B45" i="189" s="1"/>
  <c r="U32" i="281" l="1"/>
  <c r="W32" i="281" s="1"/>
  <c r="U14" i="281"/>
  <c r="W14" i="281" s="1"/>
  <c r="U34" i="281"/>
  <c r="W34" i="281" s="1"/>
  <c r="V35" i="281"/>
  <c r="U28" i="281"/>
  <c r="W28" i="281" s="1"/>
  <c r="U17" i="281"/>
  <c r="W17" i="281" s="1"/>
  <c r="O18" i="257"/>
  <c r="X18" i="257" s="1"/>
  <c r="O19" i="257"/>
  <c r="X19" i="257" s="1"/>
  <c r="O21" i="257"/>
  <c r="X21" i="257" s="1"/>
  <c r="O20" i="257"/>
  <c r="O31" i="257"/>
  <c r="X31" i="257" s="1"/>
  <c r="O22" i="257"/>
  <c r="X22" i="257" s="1"/>
  <c r="O25" i="257"/>
  <c r="X25" i="257" s="1"/>
  <c r="O23" i="257"/>
  <c r="O28" i="257"/>
  <c r="T28" i="257" s="1"/>
  <c r="O34" i="257"/>
  <c r="X34" i="257" s="1"/>
  <c r="O17" i="257"/>
  <c r="T17" i="257" s="1"/>
  <c r="O15" i="257"/>
  <c r="T15" i="257" s="1"/>
  <c r="O13" i="257"/>
  <c r="X13" i="257" s="1"/>
  <c r="O11" i="257"/>
  <c r="T11" i="257" s="1"/>
  <c r="O24" i="257"/>
  <c r="T24" i="257" s="1"/>
  <c r="O27" i="257"/>
  <c r="X27" i="257" s="1"/>
  <c r="O26" i="257"/>
  <c r="T26" i="257" s="1"/>
  <c r="O32" i="257"/>
  <c r="T32" i="257" s="1"/>
  <c r="O16" i="257"/>
  <c r="X16" i="257" s="1"/>
  <c r="O14" i="257"/>
  <c r="X14" i="257" s="1"/>
  <c r="O12" i="257"/>
  <c r="T12" i="257" s="1"/>
  <c r="O33" i="257"/>
  <c r="X33" i="257" s="1"/>
  <c r="O10" i="257"/>
  <c r="O43" i="257"/>
  <c r="O45" i="257"/>
  <c r="O34" i="12"/>
  <c r="X34" i="12" s="1"/>
  <c r="O15" i="12"/>
  <c r="T15" i="12" s="1"/>
  <c r="O32" i="12"/>
  <c r="T32" i="12" s="1"/>
  <c r="O13" i="12"/>
  <c r="X13" i="12" s="1"/>
  <c r="O27" i="12"/>
  <c r="T27" i="12" s="1"/>
  <c r="O45" i="12"/>
  <c r="O16" i="12"/>
  <c r="X16" i="12" s="1"/>
  <c r="O26" i="12"/>
  <c r="T26" i="12" s="1"/>
  <c r="O22" i="12"/>
  <c r="X22" i="12" s="1"/>
  <c r="O12" i="12"/>
  <c r="T12" i="12" s="1"/>
  <c r="O19" i="12"/>
  <c r="X19" i="12" s="1"/>
  <c r="O20" i="12"/>
  <c r="O24" i="12"/>
  <c r="T24" i="12" s="1"/>
  <c r="O10" i="12"/>
  <c r="O14" i="12"/>
  <c r="T14" i="12" s="1"/>
  <c r="O23" i="12"/>
  <c r="O25" i="12"/>
  <c r="T25" i="12" s="1"/>
  <c r="O21" i="12"/>
  <c r="X21" i="12" s="1"/>
  <c r="O43" i="12"/>
  <c r="O31" i="12"/>
  <c r="T31" i="12" s="1"/>
  <c r="O11" i="12"/>
  <c r="T11" i="12" s="1"/>
  <c r="O18" i="12"/>
  <c r="X18" i="12" s="1"/>
  <c r="O28" i="12"/>
  <c r="T28" i="12" s="1"/>
  <c r="O17" i="12"/>
  <c r="T17" i="12" s="1"/>
  <c r="O33" i="12"/>
  <c r="T33" i="12" s="1"/>
  <c r="U26" i="281"/>
  <c r="W26" i="281" s="1"/>
  <c r="V22" i="281"/>
  <c r="U19" i="281"/>
  <c r="W19" i="281" s="1"/>
  <c r="U23" i="281"/>
  <c r="W23" i="281" s="1"/>
  <c r="E32" i="280"/>
  <c r="E35" i="280" s="1"/>
  <c r="V15" i="281"/>
  <c r="U15" i="281"/>
  <c r="W15" i="281" s="1"/>
  <c r="U24" i="281"/>
  <c r="W24" i="281" s="1"/>
  <c r="V24" i="281"/>
  <c r="Y24" i="281" s="1"/>
  <c r="X21" i="281"/>
  <c r="T21" i="281"/>
  <c r="S39" i="281"/>
  <c r="S40" i="281"/>
  <c r="S37" i="281"/>
  <c r="S38" i="281"/>
  <c r="S42" i="281"/>
  <c r="S41" i="281"/>
  <c r="E80" i="280"/>
  <c r="E83" i="280" s="1"/>
  <c r="O18" i="244"/>
  <c r="T18" i="244" s="1"/>
  <c r="O33" i="244"/>
  <c r="T33" i="244" s="1"/>
  <c r="O29" i="244"/>
  <c r="T29" i="244" s="1"/>
  <c r="O26" i="244"/>
  <c r="T26" i="244" s="1"/>
  <c r="O20" i="244"/>
  <c r="X20" i="244" s="1"/>
  <c r="O19" i="244"/>
  <c r="X19" i="244" s="1"/>
  <c r="O23" i="244"/>
  <c r="X23" i="244" s="1"/>
  <c r="O15" i="244"/>
  <c r="T15" i="244" s="1"/>
  <c r="O12" i="244"/>
  <c r="T12" i="244" s="1"/>
  <c r="O22" i="244"/>
  <c r="X22" i="244" s="1"/>
  <c r="O32" i="244"/>
  <c r="X32" i="244" s="1"/>
  <c r="O16" i="244"/>
  <c r="T16" i="244" s="1"/>
  <c r="O25" i="244"/>
  <c r="T25" i="244" s="1"/>
  <c r="O11" i="244"/>
  <c r="O27" i="244"/>
  <c r="T27" i="244" s="1"/>
  <c r="O13" i="244"/>
  <c r="T13" i="244" s="1"/>
  <c r="O34" i="244"/>
  <c r="X34" i="244" s="1"/>
  <c r="O21" i="244"/>
  <c r="O28" i="244"/>
  <c r="X28" i="244" s="1"/>
  <c r="O14" i="244"/>
  <c r="X14" i="244" s="1"/>
  <c r="O24" i="244"/>
  <c r="O35" i="244"/>
  <c r="X35" i="244" s="1"/>
  <c r="O46" i="244"/>
  <c r="O44" i="244"/>
  <c r="O17" i="244"/>
  <c r="X17" i="244" s="1"/>
  <c r="L41" i="6"/>
  <c r="L45" i="6" s="1"/>
  <c r="L47" i="6" s="1"/>
  <c r="L49" i="6" s="1"/>
  <c r="L55" i="6" s="1"/>
  <c r="L59" i="6" s="1"/>
  <c r="L64" i="6" s="1"/>
  <c r="O97" i="6"/>
  <c r="O107" i="6" s="1"/>
  <c r="O52" i="6" s="1"/>
  <c r="O33" i="6" s="1"/>
  <c r="O35" i="6" s="1"/>
  <c r="N107" i="6"/>
  <c r="N52" i="6" s="1"/>
  <c r="N33" i="6" s="1"/>
  <c r="N35" i="6" s="1"/>
  <c r="M40" i="6"/>
  <c r="M36" i="6"/>
  <c r="B3" i="59"/>
  <c r="U28" i="12" l="1"/>
  <c r="W28" i="12" s="1"/>
  <c r="V28" i="12"/>
  <c r="V32" i="12"/>
  <c r="U32" i="12"/>
  <c r="W32" i="12" s="1"/>
  <c r="O40" i="12"/>
  <c r="O39" i="12"/>
  <c r="O36" i="12"/>
  <c r="O37" i="12"/>
  <c r="O38" i="12"/>
  <c r="O41" i="12"/>
  <c r="T10" i="12"/>
  <c r="V12" i="12"/>
  <c r="U12" i="12"/>
  <c r="W12" i="12" s="1"/>
  <c r="U15" i="12"/>
  <c r="W15" i="12" s="1"/>
  <c r="V15" i="12"/>
  <c r="T10" i="257"/>
  <c r="O38" i="257"/>
  <c r="O39" i="257"/>
  <c r="O36" i="257"/>
  <c r="O40" i="257"/>
  <c r="O37" i="257"/>
  <c r="O41" i="257"/>
  <c r="V24" i="257"/>
  <c r="U24" i="257"/>
  <c r="W24" i="257" s="1"/>
  <c r="U17" i="257"/>
  <c r="W17" i="257" s="1"/>
  <c r="V17" i="257"/>
  <c r="U14" i="12"/>
  <c r="W14" i="12" s="1"/>
  <c r="V14" i="12"/>
  <c r="V15" i="257"/>
  <c r="U15" i="257"/>
  <c r="W15" i="257" s="1"/>
  <c r="U33" i="12"/>
  <c r="W33" i="12" s="1"/>
  <c r="V33" i="12"/>
  <c r="V11" i="12"/>
  <c r="U11" i="12"/>
  <c r="W11" i="12" s="1"/>
  <c r="V25" i="12"/>
  <c r="U25" i="12"/>
  <c r="W25" i="12" s="1"/>
  <c r="Y25" i="12" s="1"/>
  <c r="U24" i="12"/>
  <c r="W24" i="12" s="1"/>
  <c r="V24" i="12"/>
  <c r="U27" i="12"/>
  <c r="W27" i="12" s="1"/>
  <c r="V27" i="12"/>
  <c r="U32" i="257"/>
  <c r="W32" i="257" s="1"/>
  <c r="V32" i="257"/>
  <c r="V11" i="257"/>
  <c r="U11" i="257"/>
  <c r="W11" i="257" s="1"/>
  <c r="U17" i="12"/>
  <c r="W17" i="12" s="1"/>
  <c r="V17" i="12"/>
  <c r="U31" i="12"/>
  <c r="W31" i="12" s="1"/>
  <c r="V31" i="12"/>
  <c r="V26" i="12"/>
  <c r="U26" i="12"/>
  <c r="W26" i="12" s="1"/>
  <c r="U12" i="257"/>
  <c r="W12" i="257" s="1"/>
  <c r="V12" i="257"/>
  <c r="V26" i="257"/>
  <c r="U26" i="257"/>
  <c r="W26" i="257" s="1"/>
  <c r="U28" i="257"/>
  <c r="W28" i="257" s="1"/>
  <c r="V28" i="257"/>
  <c r="O38" i="244"/>
  <c r="D14" i="243"/>
  <c r="D30" i="243" s="1"/>
  <c r="O6" i="281"/>
  <c r="U27" i="244"/>
  <c r="W27" i="244" s="1"/>
  <c r="V27" i="244"/>
  <c r="V29" i="244"/>
  <c r="U29" i="244"/>
  <c r="W29" i="244" s="1"/>
  <c r="O41" i="244"/>
  <c r="T11" i="244"/>
  <c r="O40" i="244"/>
  <c r="O37" i="244"/>
  <c r="O39" i="244"/>
  <c r="O42" i="244"/>
  <c r="U33" i="244"/>
  <c r="W33" i="244" s="1"/>
  <c r="V33" i="244"/>
  <c r="U25" i="244"/>
  <c r="W25" i="244" s="1"/>
  <c r="V25" i="244"/>
  <c r="U12" i="244"/>
  <c r="W12" i="244" s="1"/>
  <c r="V12" i="244"/>
  <c r="V18" i="244"/>
  <c r="U18" i="244"/>
  <c r="W18" i="244" s="1"/>
  <c r="U13" i="244"/>
  <c r="W13" i="244" s="1"/>
  <c r="V13" i="244"/>
  <c r="V16" i="244"/>
  <c r="U16" i="244"/>
  <c r="W16" i="244" s="1"/>
  <c r="U15" i="244"/>
  <c r="W15" i="244" s="1"/>
  <c r="V15" i="244"/>
  <c r="U26" i="244"/>
  <c r="W26" i="244" s="1"/>
  <c r="V26" i="244"/>
  <c r="V21" i="281"/>
  <c r="U21" i="281"/>
  <c r="W21" i="281" s="1"/>
  <c r="L43" i="6"/>
  <c r="M39" i="6" s="1"/>
  <c r="M41" i="6" s="1"/>
  <c r="M45" i="6" s="1"/>
  <c r="M47" i="6" s="1"/>
  <c r="M49" i="6" s="1"/>
  <c r="M55" i="6" s="1"/>
  <c r="M59" i="6" s="1"/>
  <c r="M64" i="6" s="1"/>
  <c r="N40" i="6"/>
  <c r="N36" i="6"/>
  <c r="O36" i="6"/>
  <c r="O40" i="6"/>
  <c r="B33" i="133"/>
  <c r="G33" i="133" s="1"/>
  <c r="B3" i="63" s="1"/>
  <c r="X28" i="257" l="1"/>
  <c r="Y28" i="257" s="1"/>
  <c r="X12" i="257"/>
  <c r="Y12" i="257" s="1"/>
  <c r="X31" i="12"/>
  <c r="Y31" i="12" s="1"/>
  <c r="X27" i="12"/>
  <c r="X33" i="12"/>
  <c r="Y33" i="12" s="1"/>
  <c r="X14" i="12"/>
  <c r="X17" i="257"/>
  <c r="Y17" i="257" s="1"/>
  <c r="X28" i="12"/>
  <c r="Y28" i="12" s="1"/>
  <c r="X32" i="12"/>
  <c r="Y32" i="12" s="1"/>
  <c r="X11" i="12"/>
  <c r="Y11" i="12" s="1"/>
  <c r="X17" i="12"/>
  <c r="Y17" i="12" s="1"/>
  <c r="X32" i="257"/>
  <c r="Y32" i="257" s="1"/>
  <c r="X24" i="12"/>
  <c r="Y24" i="12" s="1"/>
  <c r="U10" i="257"/>
  <c r="T41" i="257"/>
  <c r="T40" i="257"/>
  <c r="T38" i="257"/>
  <c r="T39" i="257"/>
  <c r="T37" i="257"/>
  <c r="T36" i="257"/>
  <c r="V10" i="257"/>
  <c r="X11" i="257"/>
  <c r="Y11" i="257" s="1"/>
  <c r="X25" i="12"/>
  <c r="X24" i="257"/>
  <c r="Y24" i="257" s="1"/>
  <c r="X15" i="12"/>
  <c r="Y15" i="12" s="1"/>
  <c r="T37" i="12"/>
  <c r="U10" i="12"/>
  <c r="V10" i="12"/>
  <c r="T38" i="12"/>
  <c r="T41" i="12"/>
  <c r="T39" i="12"/>
  <c r="T36" i="12"/>
  <c r="T40" i="12"/>
  <c r="X26" i="257"/>
  <c r="Y26" i="257" s="1"/>
  <c r="X26" i="12"/>
  <c r="Y26" i="12" s="1"/>
  <c r="X15" i="257"/>
  <c r="Y15" i="257" s="1"/>
  <c r="X12" i="12"/>
  <c r="Y12" i="12" s="1"/>
  <c r="X12" i="244"/>
  <c r="Y12" i="244" s="1"/>
  <c r="X29" i="244"/>
  <c r="Y29" i="244" s="1"/>
  <c r="X26" i="244"/>
  <c r="Y26" i="244" s="1"/>
  <c r="O19" i="281"/>
  <c r="X19" i="281" s="1"/>
  <c r="O15" i="281"/>
  <c r="X15" i="281" s="1"/>
  <c r="O21" i="281"/>
  <c r="O12" i="281"/>
  <c r="T12" i="281" s="1"/>
  <c r="O27" i="281"/>
  <c r="T27" i="281" s="1"/>
  <c r="O18" i="281"/>
  <c r="T18" i="281" s="1"/>
  <c r="O13" i="281"/>
  <c r="T13" i="281" s="1"/>
  <c r="O17" i="281"/>
  <c r="X17" i="281" s="1"/>
  <c r="O44" i="281"/>
  <c r="O25" i="281"/>
  <c r="T25" i="281" s="1"/>
  <c r="O29" i="281"/>
  <c r="T29" i="281" s="1"/>
  <c r="O16" i="281"/>
  <c r="T16" i="281" s="1"/>
  <c r="O34" i="281"/>
  <c r="X34" i="281" s="1"/>
  <c r="O26" i="281"/>
  <c r="X26" i="281" s="1"/>
  <c r="O28" i="281"/>
  <c r="X28" i="281" s="1"/>
  <c r="O20" i="281"/>
  <c r="X20" i="281" s="1"/>
  <c r="O46" i="281"/>
  <c r="O33" i="281"/>
  <c r="T33" i="281" s="1"/>
  <c r="O24" i="281"/>
  <c r="O23" i="281"/>
  <c r="X23" i="281" s="1"/>
  <c r="O32" i="281"/>
  <c r="X32" i="281" s="1"/>
  <c r="O22" i="281"/>
  <c r="X22" i="281" s="1"/>
  <c r="O11" i="281"/>
  <c r="O14" i="281"/>
  <c r="X14" i="281" s="1"/>
  <c r="O35" i="281"/>
  <c r="X35" i="281" s="1"/>
  <c r="X15" i="244"/>
  <c r="Y15" i="244" s="1"/>
  <c r="X13" i="244"/>
  <c r="Y13" i="244" s="1"/>
  <c r="X25" i="244"/>
  <c r="Y25" i="244" s="1"/>
  <c r="X18" i="244"/>
  <c r="Y18" i="244" s="1"/>
  <c r="T40" i="244"/>
  <c r="T39" i="244"/>
  <c r="T37" i="244"/>
  <c r="T38" i="244"/>
  <c r="V11" i="244"/>
  <c r="T41" i="244"/>
  <c r="U11" i="244"/>
  <c r="T42" i="244"/>
  <c r="X27" i="244"/>
  <c r="Y27" i="244" s="1"/>
  <c r="X16" i="244"/>
  <c r="Y16" i="244" s="1"/>
  <c r="X33" i="244"/>
  <c r="Y33" i="244" s="1"/>
  <c r="M43" i="6"/>
  <c r="N39" i="6" s="1"/>
  <c r="N41" i="6" s="1"/>
  <c r="C21" i="236"/>
  <c r="L15" i="40"/>
  <c r="B34" i="133"/>
  <c r="G34" i="133" s="1"/>
  <c r="B3" i="64" s="1"/>
  <c r="J37" i="133"/>
  <c r="V40" i="12" l="1"/>
  <c r="V39" i="12"/>
  <c r="V36" i="12"/>
  <c r="V38" i="12"/>
  <c r="V37" i="12"/>
  <c r="V41" i="12"/>
  <c r="V36" i="257"/>
  <c r="V41" i="257"/>
  <c r="V37" i="257"/>
  <c r="V39" i="257"/>
  <c r="V40" i="257"/>
  <c r="V38" i="257"/>
  <c r="U36" i="12"/>
  <c r="U39" i="12"/>
  <c r="U41" i="12"/>
  <c r="U38" i="12"/>
  <c r="U40" i="12"/>
  <c r="W10" i="12"/>
  <c r="U37" i="12"/>
  <c r="W10" i="257"/>
  <c r="U40" i="257"/>
  <c r="U39" i="257"/>
  <c r="U41" i="257"/>
  <c r="U36" i="257"/>
  <c r="U37" i="257"/>
  <c r="U38" i="257"/>
  <c r="U16" i="281"/>
  <c r="W16" i="281" s="1"/>
  <c r="V16" i="281"/>
  <c r="V12" i="281"/>
  <c r="U12" i="281"/>
  <c r="W12" i="281" s="1"/>
  <c r="T11" i="281"/>
  <c r="O38" i="281"/>
  <c r="O37" i="281"/>
  <c r="O42" i="281"/>
  <c r="O41" i="281"/>
  <c r="O39" i="281"/>
  <c r="O40" i="281"/>
  <c r="U29" i="281"/>
  <c r="W29" i="281" s="1"/>
  <c r="V29" i="281"/>
  <c r="U13" i="281"/>
  <c r="W13" i="281" s="1"/>
  <c r="V13" i="281"/>
  <c r="U33" i="281"/>
  <c r="W33" i="281" s="1"/>
  <c r="V33" i="281"/>
  <c r="U25" i="281"/>
  <c r="W25" i="281" s="1"/>
  <c r="V25" i="281"/>
  <c r="U18" i="281"/>
  <c r="W18" i="281" s="1"/>
  <c r="V18" i="281"/>
  <c r="V27" i="281"/>
  <c r="U27" i="281"/>
  <c r="W27" i="281" s="1"/>
  <c r="U41" i="244"/>
  <c r="U39" i="244"/>
  <c r="U38" i="244"/>
  <c r="U40" i="244"/>
  <c r="W11" i="244"/>
  <c r="X11" i="244" s="1"/>
  <c r="U37" i="244"/>
  <c r="U42" i="244"/>
  <c r="V40" i="244"/>
  <c r="V39" i="244"/>
  <c r="V38" i="244"/>
  <c r="V41" i="244"/>
  <c r="V37" i="244"/>
  <c r="V42" i="244"/>
  <c r="N45" i="6"/>
  <c r="N47" i="6" s="1"/>
  <c r="N49" i="6" s="1"/>
  <c r="N55" i="6" s="1"/>
  <c r="N59" i="6" s="1"/>
  <c r="N64" i="6" s="1"/>
  <c r="N43" i="6"/>
  <c r="O39" i="6" s="1"/>
  <c r="O41" i="6" s="1"/>
  <c r="O45" i="6" s="1"/>
  <c r="O47" i="6" s="1"/>
  <c r="O49" i="6" s="1"/>
  <c r="O55" i="6" s="1"/>
  <c r="O59" i="6" s="1"/>
  <c r="F67" i="6" s="1"/>
  <c r="F71" i="6" s="1"/>
  <c r="F73" i="6" s="1"/>
  <c r="F77" i="6" s="1"/>
  <c r="K37" i="133"/>
  <c r="B37" i="133" s="1"/>
  <c r="G37" i="133" s="1"/>
  <c r="B3" i="11" s="1"/>
  <c r="B181" i="73" s="1"/>
  <c r="J38" i="133"/>
  <c r="X16" i="281" l="1"/>
  <c r="Y16" i="281" s="1"/>
  <c r="W38" i="12"/>
  <c r="W40" i="12"/>
  <c r="W41" i="12"/>
  <c r="W37" i="12"/>
  <c r="W39" i="12"/>
  <c r="W36" i="12"/>
  <c r="X10" i="12"/>
  <c r="W39" i="257"/>
  <c r="W38" i="257"/>
  <c r="W36" i="257"/>
  <c r="W40" i="257"/>
  <c r="W37" i="257"/>
  <c r="W41" i="257"/>
  <c r="X10" i="257"/>
  <c r="X25" i="281"/>
  <c r="Y25" i="281" s="1"/>
  <c r="X13" i="281"/>
  <c r="Y13" i="281" s="1"/>
  <c r="X12" i="281"/>
  <c r="Y12" i="281" s="1"/>
  <c r="X27" i="281"/>
  <c r="Y27" i="281" s="1"/>
  <c r="X18" i="281"/>
  <c r="Y18" i="281" s="1"/>
  <c r="X33" i="281"/>
  <c r="Y33" i="281" s="1"/>
  <c r="X29" i="281"/>
  <c r="Y29" i="281" s="1"/>
  <c r="V11" i="281"/>
  <c r="T39" i="281"/>
  <c r="U11" i="281"/>
  <c r="T40" i="281"/>
  <c r="T42" i="281"/>
  <c r="T41" i="281"/>
  <c r="T37" i="281"/>
  <c r="T38" i="281"/>
  <c r="X39" i="244"/>
  <c r="X38" i="244"/>
  <c r="X41" i="244"/>
  <c r="X42" i="244"/>
  <c r="X40" i="244"/>
  <c r="Y11" i="244"/>
  <c r="X37" i="244"/>
  <c r="W40" i="244"/>
  <c r="W37" i="244"/>
  <c r="W38" i="244"/>
  <c r="W39" i="244"/>
  <c r="W41" i="244"/>
  <c r="W42" i="244"/>
  <c r="B19" i="66"/>
  <c r="F8" i="243"/>
  <c r="D31" i="243"/>
  <c r="D33" i="243" s="1"/>
  <c r="D34" i="243" s="1"/>
  <c r="D36" i="243" s="1"/>
  <c r="D44" i="243"/>
  <c r="D46" i="243" s="1"/>
  <c r="D47" i="243" s="1"/>
  <c r="D49" i="243" s="1"/>
  <c r="D18" i="243"/>
  <c r="D19" i="243" s="1"/>
  <c r="O64" i="6"/>
  <c r="F76" i="6" s="1"/>
  <c r="F79" i="6" s="1"/>
  <c r="J67" i="6" s="1"/>
  <c r="O43" i="6"/>
  <c r="J39" i="133"/>
  <c r="K38" i="133"/>
  <c r="B38" i="133" s="1"/>
  <c r="G38" i="133" s="1"/>
  <c r="B3" i="12" s="1"/>
  <c r="E11" i="279" s="1"/>
  <c r="X36" i="12" l="1"/>
  <c r="X38" i="12"/>
  <c r="X40" i="12"/>
  <c r="X37" i="12"/>
  <c r="X39" i="12"/>
  <c r="X41" i="12"/>
  <c r="Y10" i="12"/>
  <c r="Y10" i="257"/>
  <c r="X41" i="257"/>
  <c r="X40" i="257"/>
  <c r="X36" i="257"/>
  <c r="X39" i="257"/>
  <c r="X38" i="257"/>
  <c r="X37" i="257"/>
  <c r="V39" i="281"/>
  <c r="V42" i="281"/>
  <c r="V37" i="281"/>
  <c r="V40" i="281"/>
  <c r="V41" i="281"/>
  <c r="W11" i="281"/>
  <c r="U39" i="281"/>
  <c r="U42" i="281"/>
  <c r="U40" i="281"/>
  <c r="U41" i="281"/>
  <c r="U38" i="281"/>
  <c r="U37" i="281"/>
  <c r="V38" i="281"/>
  <c r="Y40" i="244"/>
  <c r="AB39" i="244" s="1"/>
  <c r="Y39" i="244"/>
  <c r="Y41" i="244"/>
  <c r="Y37" i="244"/>
  <c r="Y38" i="244"/>
  <c r="Y42" i="244"/>
  <c r="D20" i="243"/>
  <c r="D21" i="243"/>
  <c r="J40" i="133"/>
  <c r="K39" i="133"/>
  <c r="B39" i="133" s="1"/>
  <c r="G39" i="133" s="1"/>
  <c r="B3" i="257" s="1"/>
  <c r="Q77" i="6"/>
  <c r="E11" i="52"/>
  <c r="Q76" i="6"/>
  <c r="Y37" i="257" l="1"/>
  <c r="Y38" i="257"/>
  <c r="Y39" i="257"/>
  <c r="AB38" i="257" s="1"/>
  <c r="Y41" i="257"/>
  <c r="Y36" i="257"/>
  <c r="Y40" i="257"/>
  <c r="Y40" i="12"/>
  <c r="Y37" i="12"/>
  <c r="Y39" i="12"/>
  <c r="AB38" i="12" s="1"/>
  <c r="Y41" i="12"/>
  <c r="Y36" i="12"/>
  <c r="Y38" i="12"/>
  <c r="X11" i="281"/>
  <c r="W40" i="281"/>
  <c r="W37" i="281"/>
  <c r="W41" i="281"/>
  <c r="W39" i="281"/>
  <c r="W38" i="281"/>
  <c r="W42" i="281"/>
  <c r="D23" i="243"/>
  <c r="Q79" i="6"/>
  <c r="J41" i="133"/>
  <c r="J42" i="133" s="1"/>
  <c r="K40" i="133"/>
  <c r="B40" i="133" s="1"/>
  <c r="G40" i="133" s="1"/>
  <c r="B3" i="256" s="1"/>
  <c r="X39" i="281" l="1"/>
  <c r="Y11" i="281"/>
  <c r="X38" i="281"/>
  <c r="X40" i="281"/>
  <c r="X41" i="281"/>
  <c r="X37" i="281"/>
  <c r="X42" i="281"/>
  <c r="D51" i="243"/>
  <c r="C71" i="156" s="1"/>
  <c r="F71" i="156" s="1"/>
  <c r="K42" i="133"/>
  <c r="B42" i="133" s="1"/>
  <c r="G42" i="133" s="1"/>
  <c r="B3" i="278" s="1"/>
  <c r="J43" i="133"/>
  <c r="K41" i="133"/>
  <c r="B41" i="133" s="1"/>
  <c r="G41" i="133" s="1"/>
  <c r="B3" i="249" s="1"/>
  <c r="D13" i="236" l="1"/>
  <c r="Y42" i="281"/>
  <c r="Y39" i="281"/>
  <c r="Y40" i="281"/>
  <c r="AB39" i="281" s="1"/>
  <c r="Y38" i="281"/>
  <c r="Y41" i="281"/>
  <c r="Y37" i="281"/>
  <c r="J44" i="133"/>
  <c r="K43" i="133"/>
  <c r="B43" i="133" s="1"/>
  <c r="G43" i="133" s="1"/>
  <c r="B3" i="250"/>
  <c r="B69" i="11" s="1"/>
  <c r="J45" i="133" l="1"/>
  <c r="K44" i="133"/>
  <c r="B44" i="133" s="1"/>
  <c r="G44" i="133" s="1"/>
  <c r="B3" i="282" s="1"/>
  <c r="B182" i="73" s="1"/>
  <c r="B3" i="13"/>
  <c r="J46" i="133" l="1"/>
  <c r="K46" i="133" s="1"/>
  <c r="B46" i="133" s="1"/>
  <c r="G46" i="133" s="1"/>
  <c r="K45" i="133"/>
  <c r="B45" i="133" s="1"/>
  <c r="G45" i="133" s="1"/>
  <c r="B3" i="14"/>
  <c r="E12" i="279" s="1"/>
  <c r="B3" i="217" l="1"/>
  <c r="F30" i="243"/>
  <c r="I15" i="11"/>
  <c r="J30" i="39"/>
  <c r="B3" i="235" l="1"/>
  <c r="B3" i="189"/>
  <c r="B56" i="62" s="1"/>
  <c r="I31" i="11"/>
  <c r="I55" i="11"/>
  <c r="B3" i="233"/>
  <c r="B3" i="234" l="1"/>
  <c r="O53" i="52"/>
  <c r="M53" i="52"/>
  <c r="H53" i="52"/>
  <c r="I53" i="52"/>
  <c r="J53" i="52"/>
  <c r="N53" i="52"/>
  <c r="E53" i="52"/>
  <c r="H47" i="52"/>
  <c r="H51" i="52" s="1"/>
  <c r="G53" i="52"/>
  <c r="D53" i="52"/>
  <c r="L53" i="52"/>
  <c r="K53" i="52"/>
  <c r="E47" i="52"/>
  <c r="E51" i="52" s="1"/>
  <c r="L47" i="52"/>
  <c r="L51" i="52" s="1"/>
  <c r="F53" i="52"/>
  <c r="G47" i="52"/>
  <c r="G51" i="52" s="1"/>
  <c r="J47" i="52"/>
  <c r="J51" i="52" s="1"/>
  <c r="M47" i="52"/>
  <c r="M51" i="52" s="1"/>
  <c r="M55" i="52" s="1"/>
  <c r="N47" i="52"/>
  <c r="N51" i="52" s="1"/>
  <c r="F47" i="52"/>
  <c r="F51" i="52" s="1"/>
  <c r="I47" i="52"/>
  <c r="I51" i="52" s="1"/>
  <c r="K47" i="52"/>
  <c r="K51" i="52" s="1"/>
  <c r="O47" i="52"/>
  <c r="O51" i="52" s="1"/>
  <c r="D47" i="52"/>
  <c r="D51" i="52" s="1"/>
  <c r="J55" i="52" l="1"/>
  <c r="O55" i="52"/>
  <c r="K55" i="52"/>
  <c r="I55" i="52"/>
  <c r="E55" i="52"/>
  <c r="L55" i="52"/>
  <c r="F55" i="52"/>
  <c r="G55" i="52"/>
  <c r="H55" i="52"/>
  <c r="D55" i="52"/>
  <c r="D126" i="52" s="1"/>
  <c r="D131" i="52" s="1"/>
  <c r="N55" i="52"/>
  <c r="N126" i="52" l="1"/>
  <c r="N134" i="52" s="1"/>
  <c r="I126" i="52"/>
  <c r="I135" i="52" s="1"/>
  <c r="J126" i="52"/>
  <c r="J140" i="52" s="1"/>
  <c r="H126" i="52"/>
  <c r="H135" i="52" s="1"/>
  <c r="G100" i="73"/>
  <c r="E100" i="73"/>
  <c r="E126" i="52"/>
  <c r="E131" i="52" s="1"/>
  <c r="E145" i="52" s="1"/>
  <c r="F100" i="73"/>
  <c r="D140" i="52"/>
  <c r="D154" i="52" s="1"/>
  <c r="D161" i="52" s="1"/>
  <c r="D136" i="52"/>
  <c r="D150" i="52" s="1"/>
  <c r="D137" i="52"/>
  <c r="M126" i="52"/>
  <c r="M133" i="52" s="1"/>
  <c r="K126" i="52"/>
  <c r="K132" i="52" s="1"/>
  <c r="L126" i="52"/>
  <c r="L131" i="52" s="1"/>
  <c r="D139" i="52"/>
  <c r="D153" i="52" s="1"/>
  <c r="G126" i="52"/>
  <c r="G140" i="52" s="1"/>
  <c r="F126" i="52"/>
  <c r="F130" i="52" s="1"/>
  <c r="D138" i="52"/>
  <c r="D152" i="52" s="1"/>
  <c r="D132" i="52"/>
  <c r="D146" i="52" s="1"/>
  <c r="D134" i="52"/>
  <c r="D130" i="52"/>
  <c r="D144" i="52" s="1"/>
  <c r="D61" i="52"/>
  <c r="E61" i="52" s="1"/>
  <c r="D135" i="52"/>
  <c r="D149" i="52" s="1"/>
  <c r="D133" i="52"/>
  <c r="D147" i="52" s="1"/>
  <c r="N139" i="52"/>
  <c r="D145" i="52"/>
  <c r="J130" i="52"/>
  <c r="I130" i="52"/>
  <c r="H136" i="52" l="1"/>
  <c r="J138" i="52"/>
  <c r="J131" i="52"/>
  <c r="N136" i="52"/>
  <c r="J139" i="52"/>
  <c r="N137" i="52"/>
  <c r="J133" i="52"/>
  <c r="J134" i="52"/>
  <c r="N140" i="52"/>
  <c r="N133" i="52"/>
  <c r="N138" i="52"/>
  <c r="N130" i="52"/>
  <c r="N132" i="52"/>
  <c r="N131" i="52"/>
  <c r="N135" i="52"/>
  <c r="H134" i="52"/>
  <c r="G136" i="52"/>
  <c r="J136" i="52"/>
  <c r="J137" i="52"/>
  <c r="J135" i="52"/>
  <c r="J132" i="52"/>
  <c r="E134" i="52"/>
  <c r="E148" i="52" s="1"/>
  <c r="I134" i="52"/>
  <c r="I136" i="52"/>
  <c r="I131" i="52"/>
  <c r="L137" i="52"/>
  <c r="H137" i="52"/>
  <c r="I138" i="52"/>
  <c r="I132" i="52"/>
  <c r="H139" i="52"/>
  <c r="H131" i="52"/>
  <c r="H132" i="52"/>
  <c r="H133" i="52"/>
  <c r="H130" i="52"/>
  <c r="H138" i="52"/>
  <c r="I137" i="52"/>
  <c r="I139" i="52"/>
  <c r="I133" i="52"/>
  <c r="H140" i="52"/>
  <c r="I140" i="52"/>
  <c r="F135" i="52"/>
  <c r="F134" i="52"/>
  <c r="F148" i="52" s="1"/>
  <c r="M132" i="52"/>
  <c r="L130" i="52"/>
  <c r="G139" i="52"/>
  <c r="L138" i="52"/>
  <c r="G132" i="52"/>
  <c r="G133" i="52"/>
  <c r="G135" i="52"/>
  <c r="G137" i="52"/>
  <c r="M139" i="52"/>
  <c r="M134" i="52"/>
  <c r="L133" i="52"/>
  <c r="L134" i="52"/>
  <c r="E132" i="52"/>
  <c r="E139" i="52"/>
  <c r="E153" i="52" s="1"/>
  <c r="E140" i="52"/>
  <c r="E154" i="52" s="1"/>
  <c r="E161" i="52" s="1"/>
  <c r="G138" i="52"/>
  <c r="G134" i="52"/>
  <c r="M140" i="52"/>
  <c r="E133" i="52"/>
  <c r="G130" i="52"/>
  <c r="G131" i="52"/>
  <c r="M130" i="52"/>
  <c r="L139" i="52"/>
  <c r="E135" i="52"/>
  <c r="E149" i="52" s="1"/>
  <c r="M138" i="52"/>
  <c r="M131" i="52"/>
  <c r="M136" i="52"/>
  <c r="E137" i="52"/>
  <c r="E151" i="52" s="1"/>
  <c r="E136" i="52"/>
  <c r="E150" i="52" s="1"/>
  <c r="E130" i="52"/>
  <c r="M135" i="52"/>
  <c r="M137" i="52"/>
  <c r="E138" i="52"/>
  <c r="E60" i="52"/>
  <c r="F138" i="52"/>
  <c r="K139" i="52"/>
  <c r="K140" i="52"/>
  <c r="K134" i="52"/>
  <c r="K130" i="52"/>
  <c r="F133" i="52"/>
  <c r="F140" i="52"/>
  <c r="F137" i="52"/>
  <c r="F139" i="52"/>
  <c r="F132" i="52"/>
  <c r="K137" i="52"/>
  <c r="K136" i="52"/>
  <c r="K135" i="52"/>
  <c r="K133" i="52"/>
  <c r="K131" i="52"/>
  <c r="F136" i="52"/>
  <c r="F131" i="52"/>
  <c r="K138" i="52"/>
  <c r="D151" i="52"/>
  <c r="L136" i="52"/>
  <c r="L135" i="52"/>
  <c r="L140" i="52"/>
  <c r="L132" i="52"/>
  <c r="F60" i="52"/>
  <c r="F61" i="52"/>
  <c r="D148" i="52"/>
  <c r="J148" i="52" l="1"/>
  <c r="G148" i="52"/>
  <c r="D60" i="73"/>
  <c r="D62" i="73" s="1"/>
  <c r="H148" i="52"/>
  <c r="M148" i="52"/>
  <c r="F146" i="52"/>
  <c r="H144" i="52"/>
  <c r="G154" i="52"/>
  <c r="G161" i="52" s="1"/>
  <c r="I148" i="52"/>
  <c r="G145" i="52"/>
  <c r="H152" i="52"/>
  <c r="J153" i="52"/>
  <c r="F145" i="52"/>
  <c r="M147" i="52"/>
  <c r="L145" i="52"/>
  <c r="H147" i="52"/>
  <c r="H154" i="52"/>
  <c r="H161" i="52" s="1"/>
  <c r="K149" i="52"/>
  <c r="K153" i="52"/>
  <c r="F151" i="52"/>
  <c r="M149" i="52"/>
  <c r="J151" i="52"/>
  <c r="N151" i="52"/>
  <c r="H149" i="52"/>
  <c r="K154" i="52"/>
  <c r="K161" i="52" s="1"/>
  <c r="I149" i="52"/>
  <c r="F149" i="52"/>
  <c r="N146" i="52"/>
  <c r="L151" i="52"/>
  <c r="I154" i="52"/>
  <c r="I161" i="52" s="1"/>
  <c r="K152" i="52"/>
  <c r="G144" i="52"/>
  <c r="G147" i="52"/>
  <c r="K144" i="52"/>
  <c r="F147" i="52"/>
  <c r="K145" i="52"/>
  <c r="N144" i="52"/>
  <c r="I152" i="52"/>
  <c r="M150" i="52"/>
  <c r="E152" i="52"/>
  <c r="J144" i="52"/>
  <c r="K148" i="52"/>
  <c r="G146" i="52"/>
  <c r="N148" i="52"/>
  <c r="J146" i="52"/>
  <c r="M152" i="52"/>
  <c r="J150" i="52"/>
  <c r="K146" i="52"/>
  <c r="H146" i="52"/>
  <c r="J154" i="52"/>
  <c r="J161" i="52" s="1"/>
  <c r="E147" i="52"/>
  <c r="J152" i="52"/>
  <c r="L154" i="52"/>
  <c r="L161" i="52" s="1"/>
  <c r="F154" i="52"/>
  <c r="F161" i="52" s="1"/>
  <c r="F150" i="52"/>
  <c r="L148" i="52"/>
  <c r="L144" i="52"/>
  <c r="E146" i="52"/>
  <c r="J149" i="52"/>
  <c r="H145" i="52"/>
  <c r="M154" i="52"/>
  <c r="M161" i="52" s="1"/>
  <c r="L147" i="52"/>
  <c r="G149" i="52"/>
  <c r="I146" i="52"/>
  <c r="J147" i="52"/>
  <c r="G153" i="52"/>
  <c r="F152" i="52"/>
  <c r="M145" i="52"/>
  <c r="H153" i="52"/>
  <c r="I145" i="52"/>
  <c r="F153" i="52"/>
  <c r="N145" i="52"/>
  <c r="I153" i="52"/>
  <c r="N150" i="52"/>
  <c r="L153" i="52"/>
  <c r="N149" i="52"/>
  <c r="G152" i="52"/>
  <c r="M144" i="52"/>
  <c r="J145" i="52"/>
  <c r="N152" i="52"/>
  <c r="L152" i="52"/>
  <c r="N153" i="52"/>
  <c r="E144" i="52"/>
  <c r="M153" i="52"/>
  <c r="K151" i="52"/>
  <c r="I150" i="52"/>
  <c r="F144" i="52"/>
  <c r="I147" i="52"/>
  <c r="N147" i="52"/>
  <c r="N154" i="52"/>
  <c r="N161" i="52" s="1"/>
  <c r="I144" i="52"/>
  <c r="G151" i="52"/>
  <c r="H150" i="52"/>
  <c r="K147" i="52"/>
  <c r="L150" i="52"/>
  <c r="M146" i="52"/>
  <c r="M151" i="52"/>
  <c r="L149" i="52"/>
  <c r="H151" i="52"/>
  <c r="I151" i="52"/>
  <c r="K150" i="52"/>
  <c r="L146" i="52"/>
  <c r="G150" i="52"/>
  <c r="E60" i="73"/>
  <c r="E62" i="73" s="1"/>
  <c r="G60" i="73"/>
  <c r="G62" i="73" s="1"/>
  <c r="F60" i="73"/>
  <c r="F62" i="73" s="1"/>
  <c r="G77" i="73"/>
  <c r="F77" i="73"/>
  <c r="G61" i="52"/>
  <c r="G60" i="52"/>
  <c r="D74" i="73" l="1"/>
  <c r="D72" i="73"/>
  <c r="D73" i="73"/>
  <c r="D70" i="73"/>
  <c r="D71" i="73"/>
  <c r="D69" i="73"/>
  <c r="E72" i="73"/>
  <c r="E70" i="73"/>
  <c r="E71" i="73"/>
  <c r="E69" i="73"/>
  <c r="E74" i="73"/>
  <c r="E73" i="73"/>
  <c r="G88" i="73"/>
  <c r="G207" i="73" s="1"/>
  <c r="G232" i="73" s="1"/>
  <c r="F86" i="73"/>
  <c r="F205" i="73" s="1"/>
  <c r="F230" i="73" s="1"/>
  <c r="G87" i="73"/>
  <c r="G93" i="73"/>
  <c r="G99" i="73" s="1"/>
  <c r="G102" i="73" s="1"/>
  <c r="G90" i="73"/>
  <c r="G209" i="73" s="1"/>
  <c r="G234" i="73" s="1"/>
  <c r="G91" i="73"/>
  <c r="G210" i="73" s="1"/>
  <c r="G235" i="73" s="1"/>
  <c r="G85" i="73"/>
  <c r="G202" i="73" s="1"/>
  <c r="G86" i="73"/>
  <c r="G205" i="73" s="1"/>
  <c r="G83" i="73"/>
  <c r="G196" i="73" s="1"/>
  <c r="G84" i="73"/>
  <c r="G199" i="73" s="1"/>
  <c r="G89" i="73"/>
  <c r="G208" i="73" s="1"/>
  <c r="G233" i="73" s="1"/>
  <c r="G92" i="73"/>
  <c r="G211" i="73" s="1"/>
  <c r="G236" i="73" s="1"/>
  <c r="F91" i="73"/>
  <c r="F210" i="73" s="1"/>
  <c r="F235" i="73" s="1"/>
  <c r="F85" i="73"/>
  <c r="F202" i="73" s="1"/>
  <c r="F89" i="73"/>
  <c r="F208" i="73" s="1"/>
  <c r="F233" i="73" s="1"/>
  <c r="F87" i="73"/>
  <c r="F84" i="73"/>
  <c r="F199" i="73" s="1"/>
  <c r="F92" i="73"/>
  <c r="F211" i="73" s="1"/>
  <c r="F236" i="73" s="1"/>
  <c r="F90" i="73"/>
  <c r="F209" i="73" s="1"/>
  <c r="F234" i="73" s="1"/>
  <c r="F83" i="73"/>
  <c r="F196" i="73" s="1"/>
  <c r="F93" i="73"/>
  <c r="F88" i="73"/>
  <c r="F207" i="73" s="1"/>
  <c r="F232" i="73" s="1"/>
  <c r="H60" i="52"/>
  <c r="H61" i="52"/>
  <c r="D79" i="73" l="1"/>
  <c r="D77" i="73"/>
  <c r="E79" i="73"/>
  <c r="E77" i="73"/>
  <c r="F188" i="73"/>
  <c r="G206" i="73"/>
  <c r="G231" i="73" s="1"/>
  <c r="G188" i="73"/>
  <c r="G107" i="73"/>
  <c r="G111" i="73" s="1"/>
  <c r="F204" i="73"/>
  <c r="F229" i="73" s="1"/>
  <c r="F145" i="73"/>
  <c r="F149" i="73" s="1"/>
  <c r="F151" i="73" s="1"/>
  <c r="G212" i="73"/>
  <c r="G237" i="73" s="1"/>
  <c r="G145" i="73"/>
  <c r="G149" i="73" s="1"/>
  <c r="G151" i="73" s="1"/>
  <c r="G195" i="73"/>
  <c r="G220" i="73" s="1"/>
  <c r="G221" i="73"/>
  <c r="G230" i="73"/>
  <c r="G204" i="73"/>
  <c r="G229" i="73" s="1"/>
  <c r="G227" i="73"/>
  <c r="G201" i="73"/>
  <c r="G226" i="73" s="1"/>
  <c r="G224" i="73"/>
  <c r="G198" i="73"/>
  <c r="G223" i="73" s="1"/>
  <c r="G95" i="73"/>
  <c r="G96" i="73" s="1"/>
  <c r="G122" i="73"/>
  <c r="F227" i="73"/>
  <c r="F201" i="73"/>
  <c r="F226" i="73" s="1"/>
  <c r="F99" i="73"/>
  <c r="F102" i="73" s="1"/>
  <c r="F212" i="73"/>
  <c r="F237" i="73" s="1"/>
  <c r="F198" i="73"/>
  <c r="F223" i="73" s="1"/>
  <c r="F224" i="73"/>
  <c r="F95" i="73"/>
  <c r="F96" i="73" s="1"/>
  <c r="F221" i="73"/>
  <c r="F195" i="73"/>
  <c r="F220" i="73" s="1"/>
  <c r="F122" i="73"/>
  <c r="F206" i="73"/>
  <c r="F231" i="73" s="1"/>
  <c r="I60" i="52"/>
  <c r="I61" i="52"/>
  <c r="E83" i="73" l="1"/>
  <c r="E84" i="73"/>
  <c r="E89" i="73"/>
  <c r="E208" i="73" s="1"/>
  <c r="E233" i="73" s="1"/>
  <c r="E91" i="73"/>
  <c r="E210" i="73" s="1"/>
  <c r="E235" i="73" s="1"/>
  <c r="E90" i="73"/>
  <c r="E209" i="73" s="1"/>
  <c r="E234" i="73" s="1"/>
  <c r="E88" i="73"/>
  <c r="E207" i="73" s="1"/>
  <c r="E232" i="73" s="1"/>
  <c r="E93" i="73"/>
  <c r="E92" i="73"/>
  <c r="E211" i="73" s="1"/>
  <c r="E236" i="73" s="1"/>
  <c r="E85" i="73"/>
  <c r="E86" i="73"/>
  <c r="E87" i="73"/>
  <c r="F107" i="73"/>
  <c r="F111" i="73" s="1"/>
  <c r="F156" i="73"/>
  <c r="F160" i="73" s="1"/>
  <c r="F162" i="73" s="1"/>
  <c r="G156" i="73"/>
  <c r="G160" i="73" s="1"/>
  <c r="G162" i="73" s="1"/>
  <c r="G126" i="73"/>
  <c r="G133" i="73"/>
  <c r="G137" i="73" s="1"/>
  <c r="G139" i="73" s="1"/>
  <c r="F126" i="73"/>
  <c r="F133" i="73"/>
  <c r="F137" i="73" s="1"/>
  <c r="F139" i="73" s="1"/>
  <c r="J60" i="52"/>
  <c r="J61" i="52"/>
  <c r="E206" i="73" l="1"/>
  <c r="E231" i="73" s="1"/>
  <c r="E188" i="73"/>
  <c r="E99" i="73"/>
  <c r="E102" i="73" s="1"/>
  <c r="E212" i="73"/>
  <c r="E237" i="73" s="1"/>
  <c r="E205" i="73"/>
  <c r="E230" i="73" s="1"/>
  <c r="E145" i="73"/>
  <c r="E204" i="73"/>
  <c r="E229" i="73" s="1"/>
  <c r="E199" i="73"/>
  <c r="E224" i="73" s="1"/>
  <c r="E198" i="73"/>
  <c r="E223" i="73" s="1"/>
  <c r="E202" i="73"/>
  <c r="E227" i="73" s="1"/>
  <c r="E201" i="73"/>
  <c r="E226" i="73" s="1"/>
  <c r="E196" i="73"/>
  <c r="E221" i="73" s="1"/>
  <c r="E95" i="73"/>
  <c r="E96" i="73" s="1"/>
  <c r="E195" i="73"/>
  <c r="E220" i="73" s="1"/>
  <c r="E122" i="73"/>
  <c r="F128" i="73"/>
  <c r="G128" i="73"/>
  <c r="K60" i="52"/>
  <c r="K61" i="52"/>
  <c r="E133" i="73" l="1"/>
  <c r="E137" i="73" s="1"/>
  <c r="E139" i="73" s="1"/>
  <c r="E126" i="73"/>
  <c r="E128" i="73" s="1"/>
  <c r="F11" i="236"/>
  <c r="F15" i="236" s="1"/>
  <c r="E107" i="73"/>
  <c r="E111" i="73" s="1"/>
  <c r="E149" i="73"/>
  <c r="E156" i="73"/>
  <c r="E160" i="73" s="1"/>
  <c r="L60" i="52"/>
  <c r="L61" i="52"/>
  <c r="E162" i="73" l="1"/>
  <c r="F19" i="236"/>
  <c r="E151" i="73"/>
  <c r="F18" i="236"/>
  <c r="M60" i="52"/>
  <c r="M61" i="52"/>
  <c r="F20" i="236" l="1"/>
  <c r="F23" i="236" s="1"/>
  <c r="N60" i="52"/>
  <c r="N61" i="52"/>
  <c r="O60" i="52" l="1"/>
  <c r="H23" i="73" l="1"/>
  <c r="H45" i="73" l="1"/>
  <c r="H46" i="73" s="1"/>
  <c r="F45" i="126"/>
  <c r="C38" i="156" s="1"/>
  <c r="F38" i="156" s="1"/>
  <c r="H48" i="73" l="1"/>
  <c r="D25" i="236" l="1"/>
  <c r="C33" i="236" s="1"/>
  <c r="D15" i="4" s="1"/>
  <c r="E58" i="241"/>
  <c r="E59" i="241" s="1"/>
  <c r="E62" i="241" s="1"/>
  <c r="G55" i="241"/>
  <c r="I55" i="241"/>
  <c r="K58" i="241"/>
  <c r="K59" i="241" s="1"/>
  <c r="K62" i="241" s="1"/>
  <c r="M55" i="241"/>
  <c r="O55" i="241"/>
  <c r="O56" i="241" s="1"/>
  <c r="O61" i="241" s="1"/>
  <c r="O64" i="241" s="1"/>
  <c r="E55" i="241"/>
  <c r="G58" i="241"/>
  <c r="G59" i="241" s="1"/>
  <c r="G62" i="241" s="1"/>
  <c r="I58" i="241"/>
  <c r="I59" i="241" s="1"/>
  <c r="I62" i="241" s="1"/>
  <c r="K55" i="241"/>
  <c r="M58" i="241"/>
  <c r="M59" i="241" s="1"/>
  <c r="M62" i="241" s="1"/>
  <c r="D58" i="241"/>
  <c r="D59" i="241" s="1"/>
  <c r="D62" i="241" s="1"/>
  <c r="F55" i="241"/>
  <c r="H55" i="241"/>
  <c r="J55" i="241"/>
  <c r="L55" i="241"/>
  <c r="N58" i="241"/>
  <c r="N59" i="241" s="1"/>
  <c r="N62" i="241" s="1"/>
  <c r="D55" i="241"/>
  <c r="F58" i="241"/>
  <c r="F59" i="241" s="1"/>
  <c r="F62" i="241" s="1"/>
  <c r="H58" i="241"/>
  <c r="H59" i="241" s="1"/>
  <c r="H62" i="241" s="1"/>
  <c r="J58" i="241"/>
  <c r="J59" i="241" s="1"/>
  <c r="J62" i="241" s="1"/>
  <c r="L58" i="241"/>
  <c r="L59" i="241" s="1"/>
  <c r="L62" i="241" s="1"/>
  <c r="N55" i="241"/>
  <c r="H52" i="73"/>
  <c r="H69" i="73" l="1"/>
  <c r="H170" i="73"/>
  <c r="H174" i="73" s="1"/>
  <c r="H176" i="73" s="1"/>
  <c r="B177" i="73" s="1"/>
  <c r="D9" i="4" s="1"/>
  <c r="N150" i="241"/>
  <c r="N56" i="241"/>
  <c r="N152" i="241" s="1"/>
  <c r="J56" i="241"/>
  <c r="J152" i="241" s="1"/>
  <c r="J150" i="241"/>
  <c r="E150" i="241"/>
  <c r="E56" i="241"/>
  <c r="I56" i="241"/>
  <c r="I150" i="241"/>
  <c r="D56" i="241"/>
  <c r="D150" i="241"/>
  <c r="H150" i="241"/>
  <c r="H56" i="241"/>
  <c r="K150" i="241"/>
  <c r="K56" i="241"/>
  <c r="O107" i="241"/>
  <c r="O104" i="241"/>
  <c r="O112" i="241"/>
  <c r="O108" i="241"/>
  <c r="O102" i="241"/>
  <c r="O111" i="241"/>
  <c r="O110" i="241"/>
  <c r="O109" i="241"/>
  <c r="O103" i="241"/>
  <c r="O106" i="241"/>
  <c r="O105" i="241"/>
  <c r="G150" i="241"/>
  <c r="G56" i="241"/>
  <c r="F56" i="241"/>
  <c r="F150" i="241"/>
  <c r="M56" i="241"/>
  <c r="M150" i="241"/>
  <c r="L150" i="241"/>
  <c r="L56" i="241"/>
  <c r="J33" i="236"/>
  <c r="C63" i="156"/>
  <c r="F63" i="156" s="1"/>
  <c r="D44" i="244"/>
  <c r="D46" i="244" s="1"/>
  <c r="D44" i="281"/>
  <c r="H74" i="73"/>
  <c r="H92" i="73" s="1"/>
  <c r="H211" i="73" s="1"/>
  <c r="H236" i="73" s="1"/>
  <c r="H70" i="73"/>
  <c r="H88" i="73" s="1"/>
  <c r="H207" i="73" s="1"/>
  <c r="H232" i="73" s="1"/>
  <c r="H66" i="73"/>
  <c r="H75" i="73"/>
  <c r="H100" i="73" s="1"/>
  <c r="H71" i="73"/>
  <c r="H89" i="73" s="1"/>
  <c r="H208" i="73" s="1"/>
  <c r="H233" i="73" s="1"/>
  <c r="H67" i="73"/>
  <c r="H56" i="73"/>
  <c r="H73" i="73"/>
  <c r="H91" i="73" s="1"/>
  <c r="H210" i="73" s="1"/>
  <c r="H235" i="73" s="1"/>
  <c r="H72" i="73"/>
  <c r="H90" i="73" s="1"/>
  <c r="H209" i="73" s="1"/>
  <c r="H234" i="73" s="1"/>
  <c r="H68" i="73"/>
  <c r="H57" i="73"/>
  <c r="H55" i="73"/>
  <c r="H65" i="73"/>
  <c r="H58" i="73"/>
  <c r="N215" i="73" l="1"/>
  <c r="D44" i="249"/>
  <c r="I44" i="249" s="1"/>
  <c r="D44" i="250"/>
  <c r="I44" i="250" s="1"/>
  <c r="D44" i="256"/>
  <c r="I44" i="256" s="1"/>
  <c r="D44" i="278"/>
  <c r="I44" i="278" s="1"/>
  <c r="C11" i="156"/>
  <c r="D21" i="4"/>
  <c r="J61" i="241"/>
  <c r="J64" i="241" s="1"/>
  <c r="J108" i="241" s="1"/>
  <c r="N61" i="241"/>
  <c r="N64" i="241" s="1"/>
  <c r="N109" i="241" s="1"/>
  <c r="M152" i="241"/>
  <c r="M61" i="241"/>
  <c r="M64" i="241" s="1"/>
  <c r="G152" i="241"/>
  <c r="G61" i="241"/>
  <c r="G64" i="241" s="1"/>
  <c r="O114" i="241"/>
  <c r="I44" i="281"/>
  <c r="K44" i="281"/>
  <c r="L152" i="241"/>
  <c r="L61" i="241"/>
  <c r="L64" i="241" s="1"/>
  <c r="K152" i="241"/>
  <c r="K61" i="241"/>
  <c r="K64" i="241" s="1"/>
  <c r="I152" i="241"/>
  <c r="I61" i="241"/>
  <c r="I64" i="241" s="1"/>
  <c r="D152" i="241"/>
  <c r="D61" i="241"/>
  <c r="D64" i="241" s="1"/>
  <c r="E152" i="241"/>
  <c r="E61" i="241"/>
  <c r="E64" i="241" s="1"/>
  <c r="K44" i="244"/>
  <c r="I44" i="244"/>
  <c r="F152" i="241"/>
  <c r="F61" i="241"/>
  <c r="F64" i="241" s="1"/>
  <c r="H152" i="241"/>
  <c r="H61" i="241"/>
  <c r="H64" i="241" s="1"/>
  <c r="H79" i="73"/>
  <c r="H85" i="73"/>
  <c r="H202" i="73" s="1"/>
  <c r="H227" i="73" s="1"/>
  <c r="H93" i="73"/>
  <c r="H99" i="73" s="1"/>
  <c r="H102" i="73" s="1"/>
  <c r="H60" i="73"/>
  <c r="H62" i="73" s="1"/>
  <c r="H77" i="73"/>
  <c r="H84" i="73"/>
  <c r="H199" i="73" s="1"/>
  <c r="H224" i="73" s="1"/>
  <c r="H83" i="73"/>
  <c r="H196" i="73" s="1"/>
  <c r="H221" i="73" s="1"/>
  <c r="F11" i="156"/>
  <c r="D43" i="12"/>
  <c r="I43" i="12" s="1"/>
  <c r="D9" i="279"/>
  <c r="D43" i="257" s="1"/>
  <c r="K43" i="12"/>
  <c r="K44" i="249"/>
  <c r="D9" i="52"/>
  <c r="K44" i="250"/>
  <c r="K44" i="278"/>
  <c r="K44" i="256"/>
  <c r="H86" i="73" l="1"/>
  <c r="H204" i="73" s="1"/>
  <c r="H229" i="73" s="1"/>
  <c r="J111" i="241"/>
  <c r="D45" i="257"/>
  <c r="I43" i="257"/>
  <c r="K43" i="257" s="1"/>
  <c r="J107" i="241"/>
  <c r="J105" i="241"/>
  <c r="J103" i="241"/>
  <c r="J109" i="241"/>
  <c r="J112" i="241"/>
  <c r="J110" i="241"/>
  <c r="J102" i="241"/>
  <c r="J104" i="241"/>
  <c r="J106" i="241"/>
  <c r="N110" i="241"/>
  <c r="N111" i="241"/>
  <c r="H87" i="73"/>
  <c r="N104" i="241"/>
  <c r="N112" i="241"/>
  <c r="N103" i="241"/>
  <c r="N107" i="241"/>
  <c r="N105" i="241"/>
  <c r="N106" i="241"/>
  <c r="N102" i="241"/>
  <c r="N108" i="241"/>
  <c r="K110" i="241"/>
  <c r="K109" i="241"/>
  <c r="K107" i="241"/>
  <c r="K106" i="241"/>
  <c r="K105" i="241"/>
  <c r="K111" i="241"/>
  <c r="K108" i="241"/>
  <c r="K102" i="241"/>
  <c r="K112" i="241"/>
  <c r="K104" i="241"/>
  <c r="K103" i="241"/>
  <c r="L103" i="241"/>
  <c r="L108" i="241"/>
  <c r="L112" i="241"/>
  <c r="L110" i="241"/>
  <c r="L107" i="241"/>
  <c r="L105" i="241"/>
  <c r="L104" i="241"/>
  <c r="L106" i="241"/>
  <c r="L109" i="241"/>
  <c r="L111" i="241"/>
  <c r="L102" i="241"/>
  <c r="G103" i="241"/>
  <c r="G112" i="241"/>
  <c r="G106" i="241"/>
  <c r="G108" i="241"/>
  <c r="G109" i="241"/>
  <c r="G105" i="241"/>
  <c r="G111" i="241"/>
  <c r="G104" i="241"/>
  <c r="G107" i="241"/>
  <c r="G110" i="241"/>
  <c r="G102" i="241"/>
  <c r="F105" i="241"/>
  <c r="F110" i="241"/>
  <c r="F109" i="241"/>
  <c r="F106" i="241"/>
  <c r="F108" i="241"/>
  <c r="F103" i="241"/>
  <c r="F104" i="241"/>
  <c r="F112" i="241"/>
  <c r="F102" i="241"/>
  <c r="F107" i="241"/>
  <c r="F111" i="241"/>
  <c r="K46" i="244"/>
  <c r="T44" i="244"/>
  <c r="D153" i="241"/>
  <c r="K46" i="281"/>
  <c r="I46" i="281" s="1"/>
  <c r="T44" i="281"/>
  <c r="M102" i="241"/>
  <c r="M110" i="241"/>
  <c r="M103" i="241"/>
  <c r="M104" i="241"/>
  <c r="M106" i="241"/>
  <c r="M107" i="241"/>
  <c r="M109" i="241"/>
  <c r="M108" i="241"/>
  <c r="M112" i="241"/>
  <c r="M105" i="241"/>
  <c r="M111" i="241"/>
  <c r="I104" i="241"/>
  <c r="I103" i="241"/>
  <c r="I105" i="241"/>
  <c r="I102" i="241"/>
  <c r="I108" i="241"/>
  <c r="I109" i="241"/>
  <c r="I111" i="241"/>
  <c r="I107" i="241"/>
  <c r="I110" i="241"/>
  <c r="I112" i="241"/>
  <c r="I106" i="241"/>
  <c r="D105" i="241"/>
  <c r="D104" i="241"/>
  <c r="D102" i="241"/>
  <c r="D109" i="241"/>
  <c r="D106" i="241"/>
  <c r="D108" i="241"/>
  <c r="D103" i="241"/>
  <c r="D111" i="241"/>
  <c r="D112" i="241"/>
  <c r="D110" i="241"/>
  <c r="D107" i="241"/>
  <c r="H112" i="241"/>
  <c r="H111" i="241"/>
  <c r="H102" i="241"/>
  <c r="H103" i="241"/>
  <c r="H110" i="241"/>
  <c r="H108" i="241"/>
  <c r="H107" i="241"/>
  <c r="H105" i="241"/>
  <c r="H106" i="241"/>
  <c r="H104" i="241"/>
  <c r="H109" i="241"/>
  <c r="E105" i="241"/>
  <c r="E111" i="241"/>
  <c r="E109" i="241"/>
  <c r="E104" i="241"/>
  <c r="E107" i="241"/>
  <c r="E102" i="241"/>
  <c r="E108" i="241"/>
  <c r="E106" i="241"/>
  <c r="E112" i="241"/>
  <c r="E103" i="241"/>
  <c r="E110" i="241"/>
  <c r="H212" i="73"/>
  <c r="H237" i="73" s="1"/>
  <c r="H107" i="73"/>
  <c r="H111" i="73" s="1"/>
  <c r="H201" i="73"/>
  <c r="H226" i="73" s="1"/>
  <c r="H195" i="73"/>
  <c r="H220" i="73" s="1"/>
  <c r="H122" i="73"/>
  <c r="H126" i="73" s="1"/>
  <c r="H128" i="73" s="1"/>
  <c r="H198" i="73"/>
  <c r="H223" i="73" s="1"/>
  <c r="H145" i="73"/>
  <c r="H149" i="73" s="1"/>
  <c r="H151" i="73" s="1"/>
  <c r="K45" i="12"/>
  <c r="T43" i="12"/>
  <c r="D63" i="279"/>
  <c r="D66" i="279"/>
  <c r="D67" i="279" s="1"/>
  <c r="E63" i="279"/>
  <c r="E66" i="279"/>
  <c r="E67" i="279" s="1"/>
  <c r="E70" i="279" s="1"/>
  <c r="F63" i="279"/>
  <c r="F66" i="279"/>
  <c r="F67" i="279" s="1"/>
  <c r="F70" i="279" s="1"/>
  <c r="G66" i="279"/>
  <c r="G67" i="279" s="1"/>
  <c r="G70" i="279" s="1"/>
  <c r="G63" i="279"/>
  <c r="H66" i="279"/>
  <c r="H67" i="279" s="1"/>
  <c r="H70" i="279" s="1"/>
  <c r="H63" i="279"/>
  <c r="I66" i="279"/>
  <c r="I63" i="279"/>
  <c r="J63" i="279"/>
  <c r="J66" i="279"/>
  <c r="J67" i="279" s="1"/>
  <c r="J70" i="279" s="1"/>
  <c r="K66" i="279"/>
  <c r="K67" i="279" s="1"/>
  <c r="K70" i="279" s="1"/>
  <c r="K63" i="279"/>
  <c r="L63" i="279"/>
  <c r="L66" i="279"/>
  <c r="L67" i="279" s="1"/>
  <c r="L70" i="279" s="1"/>
  <c r="M66" i="279"/>
  <c r="M67" i="279" s="1"/>
  <c r="M63" i="279"/>
  <c r="N63" i="279"/>
  <c r="N66" i="279"/>
  <c r="O63" i="279"/>
  <c r="O64" i="279" s="1"/>
  <c r="O69" i="279" s="1"/>
  <c r="O72" i="279" s="1"/>
  <c r="T44" i="278"/>
  <c r="K46" i="278"/>
  <c r="AB42" i="278" s="1"/>
  <c r="T44" i="256"/>
  <c r="K46" i="256"/>
  <c r="AB42" i="256" s="1"/>
  <c r="E63" i="52"/>
  <c r="F63" i="52"/>
  <c r="L63" i="52"/>
  <c r="D63" i="52"/>
  <c r="L66" i="52"/>
  <c r="L67" i="52" s="1"/>
  <c r="K63" i="52"/>
  <c r="J63" i="52"/>
  <c r="G66" i="52"/>
  <c r="G67" i="52" s="1"/>
  <c r="I63" i="52"/>
  <c r="H63" i="52"/>
  <c r="F66" i="52"/>
  <c r="F67" i="52" s="1"/>
  <c r="G63" i="52"/>
  <c r="M66" i="52"/>
  <c r="M67" i="52" s="1"/>
  <c r="E66" i="52"/>
  <c r="E67" i="52" s="1"/>
  <c r="D66" i="52"/>
  <c r="D67" i="52" s="1"/>
  <c r="I66" i="52"/>
  <c r="I67" i="52" s="1"/>
  <c r="K66" i="52"/>
  <c r="K67" i="52" s="1"/>
  <c r="J66" i="52"/>
  <c r="J67" i="52" s="1"/>
  <c r="H66" i="52"/>
  <c r="H67" i="52" s="1"/>
  <c r="M63" i="52"/>
  <c r="N66" i="52"/>
  <c r="N67" i="52" s="1"/>
  <c r="O63" i="52"/>
  <c r="O64" i="52" s="1"/>
  <c r="N63" i="52"/>
  <c r="T44" i="249"/>
  <c r="K46" i="249"/>
  <c r="AB42" i="249" s="1"/>
  <c r="T44" i="250"/>
  <c r="K46" i="250"/>
  <c r="H205" i="73" l="1"/>
  <c r="H230" i="73" s="1"/>
  <c r="AB41" i="12"/>
  <c r="I45" i="12"/>
  <c r="T43" i="257"/>
  <c r="K45" i="257"/>
  <c r="J114" i="241"/>
  <c r="N114" i="241"/>
  <c r="H206" i="73"/>
  <c r="H231" i="73" s="1"/>
  <c r="H188" i="73"/>
  <c r="H95" i="73"/>
  <c r="H96" i="73" s="1"/>
  <c r="J96" i="73" s="1"/>
  <c r="D8" i="248" s="1"/>
  <c r="F114" i="241"/>
  <c r="L114" i="241"/>
  <c r="K114" i="241"/>
  <c r="Q103" i="241"/>
  <c r="D16" i="245" s="1"/>
  <c r="D114" i="241"/>
  <c r="H46" i="281" s="1"/>
  <c r="Q102" i="241"/>
  <c r="Q110" i="241"/>
  <c r="D23" i="245" s="1"/>
  <c r="Q108" i="241"/>
  <c r="D21" i="245" s="1"/>
  <c r="Q104" i="241"/>
  <c r="I46" i="244"/>
  <c r="P24" i="4" s="1"/>
  <c r="T46" i="244"/>
  <c r="G114" i="241"/>
  <c r="Q107" i="241"/>
  <c r="D20" i="245" s="1"/>
  <c r="H114" i="241"/>
  <c r="Q112" i="241"/>
  <c r="Q106" i="241"/>
  <c r="Q105" i="241"/>
  <c r="I114" i="241"/>
  <c r="U44" i="281"/>
  <c r="W44" i="281" s="1"/>
  <c r="V44" i="281"/>
  <c r="M114" i="241"/>
  <c r="V44" i="244"/>
  <c r="U44" i="244"/>
  <c r="W44" i="244" s="1"/>
  <c r="E114" i="241"/>
  <c r="Q111" i="241"/>
  <c r="D24" i="245" s="1"/>
  <c r="Q109" i="241"/>
  <c r="D22" i="245" s="1"/>
  <c r="H156" i="73"/>
  <c r="H160" i="73" s="1"/>
  <c r="H162" i="73" s="1"/>
  <c r="H133" i="73"/>
  <c r="H137" i="73" s="1"/>
  <c r="H139" i="73" s="1"/>
  <c r="D70" i="279"/>
  <c r="N64" i="279"/>
  <c r="N69" i="279" s="1"/>
  <c r="N156" i="279"/>
  <c r="H64" i="279"/>
  <c r="H69" i="279" s="1"/>
  <c r="H72" i="279" s="1"/>
  <c r="H156" i="279"/>
  <c r="D64" i="279"/>
  <c r="D69" i="279" s="1"/>
  <c r="D156" i="279"/>
  <c r="M64" i="279"/>
  <c r="M156" i="279"/>
  <c r="L156" i="279"/>
  <c r="L64" i="279"/>
  <c r="L69" i="279" s="1"/>
  <c r="L72" i="279" s="1"/>
  <c r="J156" i="279"/>
  <c r="J64" i="279"/>
  <c r="J69" i="279" s="1"/>
  <c r="J72" i="279" s="1"/>
  <c r="F156" i="279"/>
  <c r="F64" i="279"/>
  <c r="F69" i="279" s="1"/>
  <c r="F72" i="279" s="1"/>
  <c r="M69" i="279"/>
  <c r="U43" i="12"/>
  <c r="W43" i="12" s="1"/>
  <c r="V43" i="12"/>
  <c r="O120" i="279"/>
  <c r="O112" i="279"/>
  <c r="O119" i="279"/>
  <c r="O118" i="279"/>
  <c r="O110" i="279"/>
  <c r="O111" i="279"/>
  <c r="O114" i="279"/>
  <c r="O116" i="279"/>
  <c r="O115" i="279"/>
  <c r="O117" i="279"/>
  <c r="O113" i="279"/>
  <c r="M70" i="279"/>
  <c r="K64" i="279"/>
  <c r="K69" i="279" s="1"/>
  <c r="K72" i="279" s="1"/>
  <c r="K156" i="279"/>
  <c r="I64" i="279"/>
  <c r="I69" i="279" s="1"/>
  <c r="I156" i="279"/>
  <c r="G156" i="279"/>
  <c r="G64" i="279"/>
  <c r="G69" i="279" s="1"/>
  <c r="G72" i="279" s="1"/>
  <c r="N67" i="279"/>
  <c r="N70" i="279" s="1"/>
  <c r="I67" i="279"/>
  <c r="I70" i="279" s="1"/>
  <c r="E156" i="279"/>
  <c r="E64" i="279"/>
  <c r="E69" i="279" s="1"/>
  <c r="E72" i="279" s="1"/>
  <c r="N70" i="52"/>
  <c r="M70" i="52"/>
  <c r="L70" i="52"/>
  <c r="I70" i="52"/>
  <c r="G156" i="52"/>
  <c r="G64" i="52"/>
  <c r="G69" i="52" s="1"/>
  <c r="F70" i="52"/>
  <c r="G70" i="52"/>
  <c r="F156" i="52"/>
  <c r="F64" i="52"/>
  <c r="F69" i="52" s="1"/>
  <c r="K70" i="52"/>
  <c r="O69" i="52"/>
  <c r="O72" i="52" s="1"/>
  <c r="M156" i="52"/>
  <c r="M64" i="52"/>
  <c r="M69" i="52" s="1"/>
  <c r="E70" i="52"/>
  <c r="J64" i="52"/>
  <c r="J69" i="52" s="1"/>
  <c r="J156" i="52"/>
  <c r="E64" i="52"/>
  <c r="E69" i="52" s="1"/>
  <c r="E156" i="52"/>
  <c r="H156" i="52"/>
  <c r="H64" i="52"/>
  <c r="H69" i="52" s="1"/>
  <c r="K64" i="52"/>
  <c r="K69" i="52" s="1"/>
  <c r="K156" i="52"/>
  <c r="D64" i="52"/>
  <c r="D69" i="52" s="1"/>
  <c r="D156" i="52"/>
  <c r="I46" i="256"/>
  <c r="V44" i="250"/>
  <c r="U44" i="250"/>
  <c r="W44" i="250" s="1"/>
  <c r="I46" i="249"/>
  <c r="N156" i="52"/>
  <c r="R10" i="245" s="1"/>
  <c r="N64" i="52"/>
  <c r="N69" i="52" s="1"/>
  <c r="I46" i="250"/>
  <c r="AB42" i="250"/>
  <c r="U44" i="249"/>
  <c r="W44" i="249" s="1"/>
  <c r="V44" i="249"/>
  <c r="I64" i="52"/>
  <c r="I69" i="52" s="1"/>
  <c r="I156" i="52"/>
  <c r="M10" i="245" s="1"/>
  <c r="J70" i="52"/>
  <c r="H70" i="52"/>
  <c r="L64" i="52"/>
  <c r="L69" i="52" s="1"/>
  <c r="L156" i="52"/>
  <c r="P10" i="245" s="1"/>
  <c r="D70" i="52"/>
  <c r="V44" i="256"/>
  <c r="U44" i="256"/>
  <c r="W44" i="256" s="1"/>
  <c r="I46" i="278"/>
  <c r="V44" i="278"/>
  <c r="U44" i="278"/>
  <c r="W44" i="278" s="1"/>
  <c r="J10" i="245" l="1"/>
  <c r="I10" i="245"/>
  <c r="I22" i="245" s="1"/>
  <c r="O10" i="245"/>
  <c r="O22" i="245" s="1"/>
  <c r="R18" i="245"/>
  <c r="R19" i="245"/>
  <c r="R23" i="245"/>
  <c r="R16" i="245"/>
  <c r="R24" i="245"/>
  <c r="R20" i="245"/>
  <c r="R22" i="245"/>
  <c r="R15" i="245"/>
  <c r="R25" i="245"/>
  <c r="R17" i="245"/>
  <c r="R21" i="245"/>
  <c r="U43" i="257"/>
  <c r="W43" i="257" s="1"/>
  <c r="V43" i="257"/>
  <c r="I45" i="257"/>
  <c r="P18" i="4" s="1"/>
  <c r="T45" i="257"/>
  <c r="P16" i="245"/>
  <c r="P20" i="245"/>
  <c r="P17" i="245"/>
  <c r="P19" i="245"/>
  <c r="P24" i="245"/>
  <c r="P15" i="245"/>
  <c r="P23" i="245"/>
  <c r="P25" i="245"/>
  <c r="P21" i="245"/>
  <c r="P22" i="245"/>
  <c r="P18" i="245"/>
  <c r="M15" i="245"/>
  <c r="M23" i="245"/>
  <c r="M17" i="245"/>
  <c r="M22" i="245"/>
  <c r="M25" i="245"/>
  <c r="M16" i="245"/>
  <c r="M20" i="245"/>
  <c r="M21" i="245"/>
  <c r="M24" i="245"/>
  <c r="M18" i="245"/>
  <c r="M19" i="245"/>
  <c r="H10" i="245"/>
  <c r="N10" i="245"/>
  <c r="Q10" i="245"/>
  <c r="J15" i="245"/>
  <c r="J16" i="245"/>
  <c r="J18" i="245"/>
  <c r="J22" i="245"/>
  <c r="J17" i="245"/>
  <c r="J21" i="245"/>
  <c r="J24" i="245"/>
  <c r="J20" i="245"/>
  <c r="J23" i="245"/>
  <c r="J19" i="245"/>
  <c r="J25" i="245"/>
  <c r="K10" i="245"/>
  <c r="O15" i="245"/>
  <c r="L10" i="245"/>
  <c r="AB41" i="257"/>
  <c r="D10" i="242"/>
  <c r="H10" i="242" s="1"/>
  <c r="X44" i="281"/>
  <c r="Y44" i="281" s="1"/>
  <c r="AB37" i="281" s="1"/>
  <c r="AB40" i="281" s="1"/>
  <c r="D19" i="245"/>
  <c r="D13" i="242"/>
  <c r="H13" i="242" s="1"/>
  <c r="U46" i="244"/>
  <c r="W46" i="244" s="1"/>
  <c r="V46" i="244"/>
  <c r="D25" i="245"/>
  <c r="D14" i="242"/>
  <c r="H14" i="242" s="1"/>
  <c r="D11" i="236" s="1"/>
  <c r="D15" i="236" s="1"/>
  <c r="D9" i="242"/>
  <c r="Q114" i="241"/>
  <c r="S114" i="241" s="1"/>
  <c r="D15" i="245"/>
  <c r="D18" i="245"/>
  <c r="D12" i="242"/>
  <c r="H12" i="242" s="1"/>
  <c r="D23" i="236" s="1"/>
  <c r="X44" i="244"/>
  <c r="Y44" i="244" s="1"/>
  <c r="D11" i="242"/>
  <c r="H11" i="242" s="1"/>
  <c r="D17" i="245"/>
  <c r="M72" i="52"/>
  <c r="M114" i="52" s="1"/>
  <c r="X43" i="12"/>
  <c r="Y43" i="12" s="1"/>
  <c r="AB36" i="12" s="1"/>
  <c r="AB39" i="12" s="1"/>
  <c r="L72" i="52"/>
  <c r="L117" i="52" s="1"/>
  <c r="D72" i="279"/>
  <c r="D112" i="279" s="1"/>
  <c r="D157" i="279"/>
  <c r="N72" i="52"/>
  <c r="N119" i="52" s="1"/>
  <c r="F114" i="279"/>
  <c r="F115" i="279"/>
  <c r="F116" i="279"/>
  <c r="F120" i="279"/>
  <c r="F110" i="279"/>
  <c r="F111" i="279"/>
  <c r="F119" i="279"/>
  <c r="F118" i="279"/>
  <c r="F113" i="279"/>
  <c r="F112" i="279"/>
  <c r="F117" i="279"/>
  <c r="E119" i="279"/>
  <c r="E111" i="279"/>
  <c r="E112" i="279"/>
  <c r="E117" i="279"/>
  <c r="E118" i="279"/>
  <c r="E114" i="279"/>
  <c r="E115" i="279"/>
  <c r="E116" i="279"/>
  <c r="E120" i="279"/>
  <c r="E113" i="279"/>
  <c r="E110" i="279"/>
  <c r="G120" i="279"/>
  <c r="G112" i="279"/>
  <c r="G115" i="279"/>
  <c r="G118" i="279"/>
  <c r="G110" i="279"/>
  <c r="G111" i="279"/>
  <c r="G117" i="279"/>
  <c r="G116" i="279"/>
  <c r="G119" i="279"/>
  <c r="G113" i="279"/>
  <c r="G114" i="279"/>
  <c r="J115" i="279"/>
  <c r="J120" i="279"/>
  <c r="J119" i="279"/>
  <c r="J116" i="279"/>
  <c r="J117" i="279"/>
  <c r="J112" i="279"/>
  <c r="J114" i="279"/>
  <c r="J110" i="279"/>
  <c r="J113" i="279"/>
  <c r="J111" i="279"/>
  <c r="J118" i="279"/>
  <c r="N72" i="279"/>
  <c r="K120" i="279"/>
  <c r="K112" i="279"/>
  <c r="K111" i="279"/>
  <c r="K119" i="279"/>
  <c r="K118" i="279"/>
  <c r="K110" i="279"/>
  <c r="K117" i="279"/>
  <c r="K116" i="279"/>
  <c r="K113" i="279"/>
  <c r="K115" i="279"/>
  <c r="K114" i="279"/>
  <c r="O122" i="279"/>
  <c r="M72" i="279"/>
  <c r="I72" i="279"/>
  <c r="L117" i="279"/>
  <c r="L110" i="279"/>
  <c r="L118" i="279"/>
  <c r="L114" i="279"/>
  <c r="L113" i="279"/>
  <c r="L119" i="279"/>
  <c r="L115" i="279"/>
  <c r="L116" i="279"/>
  <c r="L112" i="279"/>
  <c r="L120" i="279"/>
  <c r="L111" i="279"/>
  <c r="H114" i="279"/>
  <c r="H118" i="279"/>
  <c r="H119" i="279"/>
  <c r="H120" i="279"/>
  <c r="H113" i="279"/>
  <c r="H116" i="279"/>
  <c r="H115" i="279"/>
  <c r="H111" i="279"/>
  <c r="H110" i="279"/>
  <c r="H117" i="279"/>
  <c r="H112" i="279"/>
  <c r="K72" i="52"/>
  <c r="K111" i="52" s="1"/>
  <c r="X44" i="250"/>
  <c r="Y44" i="250" s="1"/>
  <c r="AB37" i="250" s="1"/>
  <c r="AB40" i="250" s="1"/>
  <c r="E72" i="52"/>
  <c r="E113" i="52" s="1"/>
  <c r="F72" i="52"/>
  <c r="F120" i="52" s="1"/>
  <c r="J72" i="52"/>
  <c r="O113" i="52"/>
  <c r="O114" i="52"/>
  <c r="O116" i="52"/>
  <c r="O117" i="52"/>
  <c r="O118" i="52"/>
  <c r="O112" i="52"/>
  <c r="O111" i="52"/>
  <c r="O120" i="52"/>
  <c r="O115" i="52"/>
  <c r="O119" i="52"/>
  <c r="O110" i="52"/>
  <c r="X44" i="249"/>
  <c r="Y44" i="249" s="1"/>
  <c r="AB37" i="249" s="1"/>
  <c r="AB40" i="249" s="1"/>
  <c r="D72" i="52"/>
  <c r="I72" i="52"/>
  <c r="G72" i="52"/>
  <c r="X44" i="278"/>
  <c r="Y44" i="278" s="1"/>
  <c r="AB37" i="278" s="1"/>
  <c r="AB40" i="278" s="1"/>
  <c r="X44" i="256"/>
  <c r="Y44" i="256" s="1"/>
  <c r="AB37" i="256" s="1"/>
  <c r="AB40" i="256" s="1"/>
  <c r="D157" i="52"/>
  <c r="H72" i="52"/>
  <c r="O24" i="245" l="1"/>
  <c r="O18" i="245"/>
  <c r="O23" i="245"/>
  <c r="I24" i="245"/>
  <c r="O16" i="245"/>
  <c r="I19" i="245"/>
  <c r="I18" i="245"/>
  <c r="I23" i="245"/>
  <c r="I16" i="245"/>
  <c r="I25" i="245"/>
  <c r="I17" i="245"/>
  <c r="I15" i="245"/>
  <c r="O20" i="245"/>
  <c r="O17" i="245"/>
  <c r="I20" i="245"/>
  <c r="I21" i="245"/>
  <c r="O19" i="245"/>
  <c r="O21" i="245"/>
  <c r="O25" i="245"/>
  <c r="X43" i="257"/>
  <c r="Y43" i="257" s="1"/>
  <c r="AB36" i="257" s="1"/>
  <c r="AB39" i="257" s="1"/>
  <c r="L18" i="245"/>
  <c r="L23" i="245"/>
  <c r="L21" i="245"/>
  <c r="L16" i="245"/>
  <c r="L15" i="245"/>
  <c r="L25" i="245"/>
  <c r="L22" i="245"/>
  <c r="L20" i="245"/>
  <c r="L17" i="245"/>
  <c r="L19" i="245"/>
  <c r="L24" i="245"/>
  <c r="K16" i="245"/>
  <c r="K17" i="245"/>
  <c r="K25" i="245"/>
  <c r="K24" i="245"/>
  <c r="K20" i="245"/>
  <c r="K18" i="245"/>
  <c r="K21" i="245"/>
  <c r="K23" i="245"/>
  <c r="K15" i="245"/>
  <c r="K19" i="245"/>
  <c r="K22" i="245"/>
  <c r="Q17" i="245"/>
  <c r="Q22" i="245"/>
  <c r="Q15" i="245"/>
  <c r="Q25" i="245"/>
  <c r="Q19" i="245"/>
  <c r="Q21" i="245"/>
  <c r="Q23" i="245"/>
  <c r="Q20" i="245"/>
  <c r="Q24" i="245"/>
  <c r="Q16" i="245"/>
  <c r="Q18" i="245"/>
  <c r="N18" i="245"/>
  <c r="N25" i="245"/>
  <c r="N19" i="245"/>
  <c r="N22" i="245"/>
  <c r="N15" i="245"/>
  <c r="N23" i="245"/>
  <c r="N24" i="245"/>
  <c r="N17" i="245"/>
  <c r="N20" i="245"/>
  <c r="N16" i="245"/>
  <c r="N21" i="245"/>
  <c r="V45" i="257"/>
  <c r="U45" i="257"/>
  <c r="W45" i="257" s="1"/>
  <c r="H15" i="245"/>
  <c r="H21" i="245"/>
  <c r="H19" i="245"/>
  <c r="H25" i="245"/>
  <c r="H20" i="245"/>
  <c r="H16" i="245"/>
  <c r="H23" i="245"/>
  <c r="H17" i="245"/>
  <c r="H24" i="245"/>
  <c r="H22" i="245"/>
  <c r="H18" i="245"/>
  <c r="Y10" i="245"/>
  <c r="D26" i="245"/>
  <c r="D16" i="242"/>
  <c r="D22" i="242" s="1"/>
  <c r="H9" i="242"/>
  <c r="C67" i="156"/>
  <c r="F67" i="156" s="1"/>
  <c r="AB37" i="244"/>
  <c r="AB40" i="244" s="1"/>
  <c r="X46" i="244"/>
  <c r="Y46" i="244" s="1"/>
  <c r="AB38" i="244" s="1"/>
  <c r="AB41" i="244" s="1"/>
  <c r="M110" i="52"/>
  <c r="M117" i="52"/>
  <c r="M116" i="52"/>
  <c r="M120" i="52"/>
  <c r="M115" i="52"/>
  <c r="M118" i="52"/>
  <c r="M119" i="52"/>
  <c r="M113" i="52"/>
  <c r="M112" i="52"/>
  <c r="M111" i="52"/>
  <c r="L115" i="52"/>
  <c r="L113" i="52"/>
  <c r="L119" i="52"/>
  <c r="L116" i="52"/>
  <c r="L114" i="52"/>
  <c r="L120" i="52"/>
  <c r="E114" i="52"/>
  <c r="L112" i="52"/>
  <c r="L118" i="52"/>
  <c r="L110" i="52"/>
  <c r="L111" i="52"/>
  <c r="D120" i="279"/>
  <c r="D115" i="279"/>
  <c r="D111" i="279"/>
  <c r="D119" i="279"/>
  <c r="D118" i="279"/>
  <c r="N116" i="52"/>
  <c r="E120" i="52"/>
  <c r="D110" i="279"/>
  <c r="D116" i="279"/>
  <c r="D114" i="279"/>
  <c r="D113" i="279"/>
  <c r="D117" i="279"/>
  <c r="N114" i="52"/>
  <c r="N112" i="52"/>
  <c r="F118" i="52"/>
  <c r="K116" i="52"/>
  <c r="E112" i="52"/>
  <c r="N118" i="52"/>
  <c r="N117" i="52"/>
  <c r="N111" i="52"/>
  <c r="F115" i="52"/>
  <c r="F112" i="52"/>
  <c r="K119" i="52"/>
  <c r="K112" i="52"/>
  <c r="F114" i="52"/>
  <c r="K120" i="52"/>
  <c r="N120" i="52"/>
  <c r="N115" i="52"/>
  <c r="N110" i="52"/>
  <c r="N113" i="52"/>
  <c r="F111" i="52"/>
  <c r="K117" i="52"/>
  <c r="H122" i="279"/>
  <c r="I113" i="279"/>
  <c r="I118" i="279"/>
  <c r="I119" i="279"/>
  <c r="I111" i="279"/>
  <c r="I115" i="279"/>
  <c r="I116" i="279"/>
  <c r="I110" i="279"/>
  <c r="I117" i="279"/>
  <c r="I120" i="279"/>
  <c r="I114" i="279"/>
  <c r="I112" i="279"/>
  <c r="K122" i="279"/>
  <c r="N118" i="279"/>
  <c r="N113" i="279"/>
  <c r="N120" i="279"/>
  <c r="N115" i="279"/>
  <c r="N119" i="279"/>
  <c r="N110" i="279"/>
  <c r="N112" i="279"/>
  <c r="N111" i="279"/>
  <c r="N117" i="279"/>
  <c r="N114" i="279"/>
  <c r="N116" i="279"/>
  <c r="J122" i="279"/>
  <c r="M117" i="279"/>
  <c r="M114" i="279"/>
  <c r="M118" i="279"/>
  <c r="M115" i="279"/>
  <c r="M120" i="279"/>
  <c r="M113" i="279"/>
  <c r="M119" i="279"/>
  <c r="M110" i="279"/>
  <c r="M111" i="279"/>
  <c r="M112" i="279"/>
  <c r="M116" i="279"/>
  <c r="G122" i="279"/>
  <c r="E122" i="279"/>
  <c r="L122" i="279"/>
  <c r="F122" i="279"/>
  <c r="F110" i="52"/>
  <c r="F116" i="52"/>
  <c r="F117" i="52"/>
  <c r="K113" i="52"/>
  <c r="K118" i="52"/>
  <c r="K115" i="52"/>
  <c r="F113" i="52"/>
  <c r="F119" i="52"/>
  <c r="K110" i="52"/>
  <c r="K114" i="52"/>
  <c r="O122" i="52"/>
  <c r="E117" i="52"/>
  <c r="E115" i="52"/>
  <c r="E111" i="52"/>
  <c r="E118" i="52"/>
  <c r="E119" i="52"/>
  <c r="E110" i="52"/>
  <c r="E116" i="52"/>
  <c r="I118" i="52"/>
  <c r="I120" i="52"/>
  <c r="I114" i="52"/>
  <c r="I112" i="52"/>
  <c r="I113" i="52"/>
  <c r="I115" i="52"/>
  <c r="I111" i="52"/>
  <c r="I119" i="52"/>
  <c r="I117" i="52"/>
  <c r="I116" i="52"/>
  <c r="I110" i="52"/>
  <c r="D112" i="52"/>
  <c r="D117" i="52"/>
  <c r="D120" i="52"/>
  <c r="D111" i="52"/>
  <c r="D110" i="52"/>
  <c r="D114" i="52"/>
  <c r="D119" i="52"/>
  <c r="D115" i="52"/>
  <c r="D113" i="52"/>
  <c r="D116" i="52"/>
  <c r="D118" i="52"/>
  <c r="H112" i="52"/>
  <c r="H111" i="52"/>
  <c r="H118" i="52"/>
  <c r="H120" i="52"/>
  <c r="H119" i="52"/>
  <c r="H114" i="52"/>
  <c r="H117" i="52"/>
  <c r="H116" i="52"/>
  <c r="H113" i="52"/>
  <c r="H115" i="52"/>
  <c r="H110" i="52"/>
  <c r="G118" i="52"/>
  <c r="G114" i="52"/>
  <c r="G113" i="52"/>
  <c r="G120" i="52"/>
  <c r="G116" i="52"/>
  <c r="G115" i="52"/>
  <c r="G111" i="52"/>
  <c r="G112" i="52"/>
  <c r="G117" i="52"/>
  <c r="G119" i="52"/>
  <c r="G110" i="52"/>
  <c r="J119" i="52"/>
  <c r="J117" i="52"/>
  <c r="J115" i="52"/>
  <c r="J116" i="52"/>
  <c r="J113" i="52"/>
  <c r="J118" i="52"/>
  <c r="J120" i="52"/>
  <c r="J114" i="52"/>
  <c r="J112" i="52"/>
  <c r="J111" i="52"/>
  <c r="J110" i="52"/>
  <c r="X45" i="257" l="1"/>
  <c r="Y45" i="257" s="1"/>
  <c r="AB37" i="257" s="1"/>
  <c r="AB40" i="257" s="1"/>
  <c r="AB42" i="257" s="1"/>
  <c r="D40" i="248" s="1"/>
  <c r="E17" i="245"/>
  <c r="F17" i="245" s="1"/>
  <c r="G17" i="245" s="1"/>
  <c r="E25" i="245"/>
  <c r="F25" i="245" s="1"/>
  <c r="G25" i="245" s="1"/>
  <c r="E18" i="245"/>
  <c r="F18" i="245" s="1"/>
  <c r="G18" i="245" s="1"/>
  <c r="E22" i="245"/>
  <c r="F22" i="245" s="1"/>
  <c r="G22" i="245" s="1"/>
  <c r="E21" i="245"/>
  <c r="F21" i="245" s="1"/>
  <c r="G21" i="245" s="1"/>
  <c r="E16" i="245"/>
  <c r="F16" i="245" s="1"/>
  <c r="G16" i="245" s="1"/>
  <c r="E23" i="245"/>
  <c r="F23" i="245" s="1"/>
  <c r="G23" i="245" s="1"/>
  <c r="E24" i="245"/>
  <c r="F24" i="245" s="1"/>
  <c r="G24" i="245" s="1"/>
  <c r="E20" i="245"/>
  <c r="F20" i="245" s="1"/>
  <c r="G20" i="245" s="1"/>
  <c r="E15" i="245"/>
  <c r="H29" i="245"/>
  <c r="E19" i="245"/>
  <c r="F19" i="245" s="1"/>
  <c r="G19" i="245" s="1"/>
  <c r="AB43" i="244"/>
  <c r="D42" i="248" s="1"/>
  <c r="M122" i="52"/>
  <c r="L122" i="52"/>
  <c r="D122" i="279"/>
  <c r="Q111" i="279"/>
  <c r="N122" i="52"/>
  <c r="Q117" i="279"/>
  <c r="Q115" i="279"/>
  <c r="Q113" i="279"/>
  <c r="Q118" i="279"/>
  <c r="Q114" i="279"/>
  <c r="Q112" i="279"/>
  <c r="Q120" i="279"/>
  <c r="I122" i="279"/>
  <c r="Q119" i="279"/>
  <c r="M122" i="279"/>
  <c r="Q116" i="279"/>
  <c r="Q110" i="279"/>
  <c r="N122" i="279"/>
  <c r="F122" i="52"/>
  <c r="E122" i="52"/>
  <c r="K122" i="52"/>
  <c r="Q113" i="52"/>
  <c r="D12" i="66" s="1"/>
  <c r="H12" i="66" s="1"/>
  <c r="P5" i="66" s="1"/>
  <c r="P6" i="66" s="1"/>
  <c r="Q6" i="66" s="1"/>
  <c r="D37" i="248" s="1"/>
  <c r="Q112" i="52"/>
  <c r="D11" i="66" s="1"/>
  <c r="H11" i="66" s="1"/>
  <c r="Q115" i="52"/>
  <c r="Q111" i="52"/>
  <c r="D10" i="66" s="1"/>
  <c r="H10" i="66" s="1"/>
  <c r="I122" i="52"/>
  <c r="Q118" i="52"/>
  <c r="Q119" i="52"/>
  <c r="Q120" i="52"/>
  <c r="D14" i="66" s="1"/>
  <c r="H14" i="66" s="1"/>
  <c r="L14" i="66" s="1"/>
  <c r="J122" i="52"/>
  <c r="G122" i="52"/>
  <c r="H122" i="52"/>
  <c r="Q116" i="52"/>
  <c r="Q114" i="52"/>
  <c r="Q117" i="52"/>
  <c r="Q110" i="52"/>
  <c r="D122" i="52"/>
  <c r="E26" i="245" l="1"/>
  <c r="F26" i="245" s="1"/>
  <c r="F15" i="245"/>
  <c r="G15" i="245" s="1"/>
  <c r="G26" i="245" s="1"/>
  <c r="Q122" i="279"/>
  <c r="S122" i="279" s="1"/>
  <c r="D13" i="66"/>
  <c r="H13" i="66" s="1"/>
  <c r="D9" i="66"/>
  <c r="Q122" i="52"/>
  <c r="S122" i="52" s="1"/>
  <c r="D10" i="248" s="1"/>
  <c r="G29" i="245" l="1"/>
  <c r="Y4" i="245" s="1"/>
  <c r="D28" i="248" s="1"/>
  <c r="D16" i="66"/>
  <c r="D22" i="66" s="1"/>
  <c r="D35" i="248" s="1"/>
  <c r="H9" i="66"/>
  <c r="T46" i="281" l="1"/>
  <c r="U46" i="281" s="1"/>
  <c r="W46" i="281" s="1"/>
  <c r="E46" i="281"/>
  <c r="D46" i="281" s="1"/>
  <c r="V46" i="281" l="1"/>
  <c r="X46" i="281" s="1"/>
  <c r="Y46" i="281" s="1"/>
  <c r="AB38" i="281" s="1"/>
  <c r="AB41" i="281" s="1"/>
  <c r="AB43" i="281" s="1"/>
  <c r="C72" i="156" l="1"/>
  <c r="F72" i="156" s="1"/>
  <c r="D87" i="73"/>
  <c r="D89" i="73"/>
  <c r="D208" i="73" s="1"/>
  <c r="D233" i="73" s="1"/>
  <c r="L208" i="73" s="1"/>
  <c r="N208" i="73" s="1"/>
  <c r="D88" i="73"/>
  <c r="D207" i="73" s="1"/>
  <c r="D232" i="73" s="1"/>
  <c r="L207" i="73" s="1"/>
  <c r="N207" i="73" s="1"/>
  <c r="D93" i="73"/>
  <c r="D99" i="73" s="1"/>
  <c r="D102" i="73" s="1"/>
  <c r="E11" i="236" s="1"/>
  <c r="E15" i="236" s="1"/>
  <c r="C29" i="236" s="1"/>
  <c r="F15" i="4" s="1"/>
  <c r="D90" i="73"/>
  <c r="D209" i="73" s="1"/>
  <c r="D234" i="73" s="1"/>
  <c r="L209" i="73" s="1"/>
  <c r="N209" i="73" s="1"/>
  <c r="D84" i="73"/>
  <c r="D199" i="73" s="1"/>
  <c r="D224" i="73" s="1"/>
  <c r="L199" i="73" s="1"/>
  <c r="N199" i="73" s="1"/>
  <c r="D91" i="73"/>
  <c r="D210" i="73" s="1"/>
  <c r="D235" i="73" s="1"/>
  <c r="L210" i="73" s="1"/>
  <c r="N210" i="73" s="1"/>
  <c r="D92" i="73"/>
  <c r="D211" i="73" s="1"/>
  <c r="D236" i="73" s="1"/>
  <c r="L211" i="73" s="1"/>
  <c r="N211" i="73" s="1"/>
  <c r="D83" i="73"/>
  <c r="D196" i="73" s="1"/>
  <c r="D221" i="73" s="1"/>
  <c r="L196" i="73" s="1"/>
  <c r="N196" i="73" s="1"/>
  <c r="D85" i="73"/>
  <c r="D201" i="73" s="1"/>
  <c r="D226" i="73" s="1"/>
  <c r="L201" i="73" s="1"/>
  <c r="N201" i="73" s="1"/>
  <c r="D86" i="73"/>
  <c r="D204" i="73" s="1"/>
  <c r="D229" i="73" s="1"/>
  <c r="L204" i="73" s="1"/>
  <c r="N204" i="73" s="1"/>
  <c r="C61" i="156" l="1"/>
  <c r="F61" i="156" s="1"/>
  <c r="J29" i="236"/>
  <c r="D206" i="73"/>
  <c r="D231" i="73" s="1"/>
  <c r="L206" i="73" s="1"/>
  <c r="N206" i="73" s="1"/>
  <c r="D188" i="73"/>
  <c r="D189" i="73" s="1"/>
  <c r="D107" i="73"/>
  <c r="D111" i="73" s="1"/>
  <c r="B117" i="73" s="1"/>
  <c r="D212" i="73"/>
  <c r="D237" i="73" s="1"/>
  <c r="L212" i="73" s="1"/>
  <c r="N212" i="73" s="1"/>
  <c r="D202" i="73"/>
  <c r="D227" i="73" s="1"/>
  <c r="L202" i="73" s="1"/>
  <c r="N202" i="73" s="1"/>
  <c r="D145" i="73"/>
  <c r="D149" i="73" s="1"/>
  <c r="D195" i="73"/>
  <c r="D220" i="73" s="1"/>
  <c r="L195" i="73" s="1"/>
  <c r="N195" i="73" s="1"/>
  <c r="D198" i="73"/>
  <c r="D223" i="73" s="1"/>
  <c r="L198" i="73" s="1"/>
  <c r="N198" i="73" s="1"/>
  <c r="D205" i="73"/>
  <c r="D230" i="73" s="1"/>
  <c r="L205" i="73" s="1"/>
  <c r="N205" i="73" s="1"/>
  <c r="D95" i="73"/>
  <c r="D96" i="73" s="1"/>
  <c r="D122" i="73"/>
  <c r="D126" i="73" s="1"/>
  <c r="D128" i="73" s="1"/>
  <c r="B129" i="73" s="1"/>
  <c r="E46" i="250" l="1"/>
  <c r="H46" i="250" s="1"/>
  <c r="E45" i="12"/>
  <c r="H45" i="12" s="1"/>
  <c r="T45" i="12" s="1"/>
  <c r="D46" i="250"/>
  <c r="D46" i="278"/>
  <c r="D46" i="249"/>
  <c r="D45" i="12"/>
  <c r="D46" i="256"/>
  <c r="N214" i="73"/>
  <c r="N216" i="73" s="1"/>
  <c r="D151" i="73"/>
  <c r="B152" i="73" s="1"/>
  <c r="E18" i="236"/>
  <c r="T46" i="250"/>
  <c r="E46" i="249"/>
  <c r="H46" i="249" s="1"/>
  <c r="E46" i="278"/>
  <c r="H46" i="278" s="1"/>
  <c r="T46" i="278" s="1"/>
  <c r="E46" i="256"/>
  <c r="H46" i="256" s="1"/>
  <c r="D190" i="73"/>
  <c r="D17" i="40" s="1"/>
  <c r="H17" i="40" s="1"/>
  <c r="K21" i="73"/>
  <c r="F9" i="4"/>
  <c r="F21" i="4" s="1"/>
  <c r="H11" i="40"/>
  <c r="D156" i="73"/>
  <c r="D160" i="73" s="1"/>
  <c r="D133" i="73"/>
  <c r="D137" i="73" s="1"/>
  <c r="D139" i="73" s="1"/>
  <c r="B140" i="73" s="1"/>
  <c r="H13" i="40" s="1"/>
  <c r="P21" i="4" l="1"/>
  <c r="N217" i="73"/>
  <c r="P5" i="4" s="1"/>
  <c r="P6" i="4" s="1"/>
  <c r="V45" i="12"/>
  <c r="U45" i="12"/>
  <c r="W45" i="12" s="1"/>
  <c r="P17" i="4"/>
  <c r="D162" i="73"/>
  <c r="B163" i="73" s="1"/>
  <c r="D166" i="73" s="1"/>
  <c r="F166" i="73" s="1"/>
  <c r="E19" i="236"/>
  <c r="E20" i="236" s="1"/>
  <c r="E23" i="236" s="1"/>
  <c r="C31" i="236" s="1"/>
  <c r="V46" i="250"/>
  <c r="U46" i="250"/>
  <c r="W46" i="250" s="1"/>
  <c r="T46" i="256"/>
  <c r="P19" i="4"/>
  <c r="V46" i="278"/>
  <c r="U46" i="278"/>
  <c r="W46" i="278" s="1"/>
  <c r="T46" i="249"/>
  <c r="P20" i="4"/>
  <c r="F11" i="4"/>
  <c r="F14" i="4" s="1"/>
  <c r="J21" i="40"/>
  <c r="H19" i="40"/>
  <c r="J19" i="40" s="1"/>
  <c r="X45" i="12" l="1"/>
  <c r="Y45" i="12" s="1"/>
  <c r="AB37" i="12" s="1"/>
  <c r="AB40" i="12" s="1"/>
  <c r="AB42" i="12" s="1"/>
  <c r="D16" i="248" s="1"/>
  <c r="K20" i="73"/>
  <c r="I26" i="236"/>
  <c r="J26" i="236" s="1"/>
  <c r="J31" i="236"/>
  <c r="L15" i="4"/>
  <c r="L9" i="4"/>
  <c r="D44" i="248"/>
  <c r="C62" i="156"/>
  <c r="F62" i="156" s="1"/>
  <c r="X46" i="250"/>
  <c r="Y46" i="250" s="1"/>
  <c r="AB38" i="250" s="1"/>
  <c r="AB41" i="250" s="1"/>
  <c r="AB43" i="250" s="1"/>
  <c r="D24" i="248" s="1"/>
  <c r="X46" i="278"/>
  <c r="Y46" i="278" s="1"/>
  <c r="AB38" i="278" s="1"/>
  <c r="AB41" i="278" s="1"/>
  <c r="AB43" i="278" s="1"/>
  <c r="D22" i="248" s="1"/>
  <c r="V46" i="249"/>
  <c r="U46" i="249"/>
  <c r="W46" i="249" s="1"/>
  <c r="U46" i="256"/>
  <c r="W46" i="256" s="1"/>
  <c r="V46" i="256"/>
  <c r="M12" i="4"/>
  <c r="D26" i="248" s="1"/>
  <c r="C15" i="156"/>
  <c r="C16" i="156" s="1"/>
  <c r="F16" i="156" s="1"/>
  <c r="C17" i="156" l="1"/>
  <c r="F17" i="156" s="1"/>
  <c r="L21" i="4"/>
  <c r="X46" i="249"/>
  <c r="Y46" i="249" s="1"/>
  <c r="AB38" i="249" s="1"/>
  <c r="AB41" i="249" s="1"/>
  <c r="AB43" i="249" s="1"/>
  <c r="D20" i="248" s="1"/>
  <c r="X46" i="256"/>
  <c r="Y46" i="256" s="1"/>
  <c r="AB38" i="256" s="1"/>
  <c r="AB41" i="256" s="1"/>
  <c r="AB43" i="256" s="1"/>
  <c r="D18" i="248" s="1"/>
  <c r="F15" i="156"/>
  <c r="I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C8" authorId="0" shapeId="0" xr:uid="{00000000-0006-0000-0100-00000100000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Ruchit Shah</author>
  </authors>
  <commentList>
    <comment ref="J20" authorId="0" shapeId="0" xr:uid="{00000000-0006-0000-0600-000001000000}">
      <text>
        <r>
          <rPr>
            <b/>
            <sz val="9"/>
            <color indexed="81"/>
            <rFont val="Tahoma"/>
            <family val="2"/>
          </rPr>
          <t>Ruchit Shah:</t>
        </r>
        <r>
          <rPr>
            <sz val="9"/>
            <color indexed="81"/>
            <rFont val="Tahoma"/>
            <family val="2"/>
          </rPr>
          <t xml:space="preserve">
Linked to Workpapers 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Nishma Shah</author>
  </authors>
  <commentList>
    <comment ref="B47" authorId="0" shapeId="0" xr:uid="{00000000-0006-0000-0700-00000100000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RNA</author>
  </authors>
  <commentList>
    <comment ref="J40" authorId="0" shapeId="0" xr:uid="{00000000-0006-0000-0E00-000001000000}">
      <text>
        <r>
          <rPr>
            <b/>
            <sz val="9"/>
            <color indexed="81"/>
            <rFont val="Tahoma"/>
            <family val="2"/>
          </rPr>
          <t>RNA:</t>
        </r>
        <r>
          <rPr>
            <sz val="9"/>
            <color indexed="81"/>
            <rFont val="Tahoma"/>
            <family val="2"/>
          </rPr>
          <t xml:space="preserve">
Assumption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B9" authorId="0" shapeId="0" xr:uid="{00000000-0006-0000-1200-000001000000}">
      <text>
        <r>
          <rPr>
            <b/>
            <sz val="9"/>
            <color indexed="81"/>
            <rFont val="Tahoma"/>
            <family val="2"/>
          </rPr>
          <t>Knowcraft Common:</t>
        </r>
        <r>
          <rPr>
            <sz val="9"/>
            <color indexed="81"/>
            <rFont val="Tahoma"/>
            <family val="2"/>
          </rPr>
          <t xml:space="preserve">
Group debt and update footnote numbering if applicable.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2400-000001000000}">
      <text>
        <r>
          <rPr>
            <b/>
            <sz val="9"/>
            <color indexed="81"/>
            <rFont val="Tahoma"/>
            <family val="2"/>
          </rPr>
          <t>Windows User:</t>
        </r>
        <r>
          <rPr>
            <sz val="9"/>
            <color indexed="81"/>
            <rFont val="Tahoma"/>
            <family val="2"/>
          </rPr>
          <t xml:space="preserve">
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B198" authorId="0" shapeId="0" xr:uid="{00000000-0006-0000-2800-000001000000}">
      <text>
        <r>
          <rPr>
            <b/>
            <sz val="9"/>
            <color indexed="81"/>
            <rFont val="Tahoma"/>
            <family val="2"/>
          </rPr>
          <t>KC:</t>
        </r>
        <r>
          <rPr>
            <sz val="9"/>
            <color indexed="81"/>
            <rFont val="Tahoma"/>
            <family val="2"/>
          </rPr>
          <t xml:space="preserve">
Company has become Private as of 02/28/17 (Closed Date)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Q39" authorId="0" shapeId="0" xr:uid="{00000000-0006-0000-2C00-000001000000}">
      <text>
        <r>
          <rPr>
            <sz val="9"/>
            <color indexed="81"/>
            <rFont val="Tahoma"/>
            <family val="2"/>
          </rPr>
          <t>Check formulae</t>
        </r>
      </text>
    </comment>
    <comment ref="D153" authorId="1" shapeId="0" xr:uid="{00000000-0006-0000-2C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I9" authorId="0" shapeId="0" xr:uid="{00000000-0006-0000-3100-000001000000}">
      <text>
        <r>
          <rPr>
            <b/>
            <sz val="9"/>
            <color indexed="81"/>
            <rFont val="Tahoma"/>
            <family val="2"/>
          </rPr>
          <t>Windows User:</t>
        </r>
        <r>
          <rPr>
            <sz val="9"/>
            <color indexed="81"/>
            <rFont val="Tahoma"/>
            <family val="2"/>
          </rPr>
          <t xml:space="preserve">
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RNA</author>
  </authors>
  <commentList>
    <comment ref="D25" authorId="0" shapeId="0" xr:uid="{00000000-0006-0000-3300-000001000000}">
      <text>
        <r>
          <rPr>
            <b/>
            <sz val="9"/>
            <color indexed="81"/>
            <rFont val="Tahoma"/>
            <family val="2"/>
          </rPr>
          <t>RNA:</t>
        </r>
        <r>
          <rPr>
            <sz val="9"/>
            <color indexed="81"/>
            <rFont val="Tahoma"/>
            <family val="2"/>
          </rPr>
          <t xml:space="preserve">
IPO - IND</t>
        </r>
      </text>
    </comment>
    <comment ref="D48" authorId="0" shapeId="0" xr:uid="{00000000-0006-0000-3300-000002000000}">
      <text>
        <r>
          <rPr>
            <b/>
            <sz val="9"/>
            <color indexed="81"/>
            <rFont val="Tahoma"/>
            <family val="2"/>
          </rPr>
          <t>RNA:</t>
        </r>
        <r>
          <rPr>
            <sz val="9"/>
            <color indexed="81"/>
            <rFont val="Tahoma"/>
            <family val="2"/>
          </rPr>
          <t xml:space="preserve">
IND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Beth-ThinkCentre</author>
  </authors>
  <commentList>
    <comment ref="J5" authorId="0" shapeId="0" xr:uid="{00000000-0006-0000-3600-000001000000}">
      <text>
        <r>
          <rPr>
            <b/>
            <sz val="9"/>
            <color indexed="81"/>
            <rFont val="Tahoma"/>
            <family val="2"/>
          </rPr>
          <t>Beth-ThinkCentre:</t>
        </r>
        <r>
          <rPr>
            <sz val="9"/>
            <color indexed="81"/>
            <rFont val="Tahoma"/>
            <family val="2"/>
          </rPr>
          <t xml:space="preserve">
Includes Year 4 Remaining Amount to be billed $175k and Year 5 Jun, Jul, Aug to be billed $65k
All Costs are in Jan-Aug actuals</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F7" authorId="0" shapeId="0" xr:uid="{00000000-0006-0000-4300-000001000000}">
      <text>
        <r>
          <rPr>
            <b/>
            <sz val="9"/>
            <color indexed="81"/>
            <rFont val="Tahoma"/>
            <family val="2"/>
          </rPr>
          <t>KC:</t>
        </r>
        <r>
          <rPr>
            <sz val="9"/>
            <color indexed="81"/>
            <rFont val="Tahoma"/>
            <family val="2"/>
          </rPr>
          <t xml:space="preserve">
Add Phase of lead drug</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Harpreet Singh</author>
  </authors>
  <commentList>
    <comment ref="T13" authorId="0" shapeId="0" xr:uid="{00000000-0006-0000-4400-000001000000}">
      <text>
        <r>
          <rPr>
            <b/>
            <sz val="9"/>
            <color indexed="81"/>
            <rFont val="Tahoma"/>
            <family val="2"/>
          </rPr>
          <t xml:space="preserve">Estimates
</t>
        </r>
      </text>
    </comment>
    <comment ref="U13" authorId="0" shapeId="0" xr:uid="{00000000-0006-0000-4400-000002000000}">
      <text>
        <r>
          <rPr>
            <b/>
            <sz val="9"/>
            <color indexed="81"/>
            <rFont val="Tahoma"/>
            <family val="2"/>
          </rPr>
          <t xml:space="preserve">Estimates
</t>
        </r>
      </text>
    </comment>
    <comment ref="AC13" authorId="0" shapeId="0" xr:uid="{00000000-0006-0000-4400-000003000000}">
      <text>
        <r>
          <rPr>
            <b/>
            <sz val="9"/>
            <color indexed="81"/>
            <rFont val="Tahoma"/>
            <family val="2"/>
          </rPr>
          <t xml:space="preserve">Estimates
</t>
        </r>
      </text>
    </comment>
    <comment ref="AD13" authorId="0" shapeId="0" xr:uid="{00000000-0006-0000-4400-000004000000}">
      <text>
        <r>
          <rPr>
            <b/>
            <sz val="9"/>
            <color indexed="81"/>
            <rFont val="Tahoma"/>
            <family val="2"/>
          </rPr>
          <t xml:space="preserve">Estimates
</t>
        </r>
      </text>
    </comment>
    <comment ref="AE13" authorId="0" shapeId="0" xr:uid="{00000000-0006-0000-4400-000005000000}">
      <text>
        <r>
          <rPr>
            <b/>
            <sz val="9"/>
            <color indexed="81"/>
            <rFont val="Tahoma"/>
            <family val="2"/>
          </rPr>
          <t xml:space="preserve">Estimates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Q47" authorId="0" shapeId="0" xr:uid="{00000000-0006-0000-4700-000001000000}">
      <text>
        <r>
          <rPr>
            <sz val="9"/>
            <color indexed="81"/>
            <rFont val="Tahoma"/>
            <family val="2"/>
          </rPr>
          <t>Check formulae</t>
        </r>
      </text>
    </comment>
    <comment ref="D157" authorId="1" shapeId="0" xr:uid="{00000000-0006-0000-47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Dhara Shah</author>
    <author>Valuation Common</author>
    <author>Windows User</author>
  </authors>
  <commentList>
    <comment ref="AA8" authorId="0" shapeId="0" xr:uid="{00000000-0006-0000-4900-00000100000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1" authorId="1" shapeId="0" xr:uid="{00000000-0006-0000-4900-000002000000}">
      <text>
        <r>
          <rPr>
            <b/>
            <sz val="9"/>
            <color indexed="81"/>
            <rFont val="Tahoma"/>
            <family val="2"/>
          </rPr>
          <t>Valuation Common:</t>
        </r>
        <r>
          <rPr>
            <sz val="9"/>
            <color indexed="81"/>
            <rFont val="Tahoma"/>
            <family val="2"/>
          </rPr>
          <t xml:space="preserve">
Update if selected levered beta is not available or applicable</t>
        </r>
      </text>
    </comment>
    <comment ref="E59" authorId="2" shapeId="0" xr:uid="{00000000-0006-0000-4900-000003000000}">
      <text>
        <r>
          <rPr>
            <b/>
            <sz val="9"/>
            <color indexed="81"/>
            <rFont val="Tahoma"/>
            <family val="2"/>
          </rPr>
          <t>Windows User:</t>
        </r>
        <r>
          <rPr>
            <sz val="9"/>
            <color indexed="81"/>
            <rFont val="Tahoma"/>
            <family val="2"/>
          </rPr>
          <t xml:space="preserve">
MSCI emerging markets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Priyadarshini Pant</author>
  </authors>
  <commentList>
    <comment ref="B42" authorId="0" shapeId="0" xr:uid="{00000000-0006-0000-4A00-000001000000}">
      <text>
        <r>
          <rPr>
            <b/>
            <sz val="9"/>
            <color indexed="81"/>
            <rFont val="Tahoma"/>
            <family val="2"/>
          </rPr>
          <t>Priyadarshini Pant:</t>
        </r>
        <r>
          <rPr>
            <sz val="9"/>
            <color indexed="81"/>
            <rFont val="Tahoma"/>
            <family val="2"/>
          </rPr>
          <t xml:space="preserve">
Make sure to update this whenever WACC CAPM is used.</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Harpreet Singh</author>
    <author>Knowcraft Common</author>
  </authors>
  <commentList>
    <comment ref="Q47" authorId="0" shapeId="0" xr:uid="{00000000-0006-0000-4B00-000001000000}">
      <text>
        <r>
          <rPr>
            <sz val="9"/>
            <color indexed="81"/>
            <rFont val="Tahoma"/>
            <family val="2"/>
          </rPr>
          <t>Check formulae</t>
        </r>
      </text>
    </comment>
    <comment ref="D157" authorId="1" shapeId="0" xr:uid="{00000000-0006-0000-4B00-00000200000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AI9" authorId="0" shapeId="0" xr:uid="{00000000-0006-0000-4E00-000001000000}">
      <text>
        <r>
          <rPr>
            <b/>
            <sz val="9"/>
            <color indexed="81"/>
            <rFont val="Tahoma"/>
            <family val="2"/>
          </rPr>
          <t>=CIQ($C13, "IQ_TOTAL_REV", IQ_LTM, $E$13, $AH$2, $AH$1, $AH$3, $AH$4)*1000</t>
        </r>
      </text>
    </comment>
    <comment ref="AJ9" authorId="0" shapeId="0" xr:uid="{00000000-0006-0000-4E00-000002000000}">
      <text>
        <r>
          <rPr>
            <b/>
            <sz val="9"/>
            <color indexed="81"/>
            <rFont val="Tahoma"/>
            <family val="2"/>
          </rPr>
          <t>=CIQ($C13, "IQ_EBITDA", IQ_LTM, $E$13, $AH$2, $AH$1, $AH$3, $AH$4)*1000</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KC</author>
  </authors>
  <commentList>
    <comment ref="X8" authorId="0" shapeId="0" xr:uid="{00000000-0006-0000-4F00-000001000000}">
      <text>
        <r>
          <rPr>
            <b/>
            <sz val="9"/>
            <color indexed="81"/>
            <rFont val="Tahoma"/>
            <family val="2"/>
          </rPr>
          <t>=CIQ(C11, "IQ_CASH_EQUIV", , F11, , , "USD")*1000</t>
        </r>
      </text>
    </comment>
    <comment ref="AA8" authorId="0" shapeId="0" xr:uid="{00000000-0006-0000-4F00-000002000000}">
      <text>
        <r>
          <rPr>
            <b/>
            <sz val="9"/>
            <color indexed="81"/>
            <rFont val="Tahoma"/>
            <family val="2"/>
          </rPr>
          <t>=CIQ($C11, "IQ_TOTAL_REV", IQ_LTM, $F11, $X$2, $X$1, $X$3, $X$4)*1000</t>
        </r>
      </text>
    </comment>
    <comment ref="AB8" authorId="0" shapeId="0" xr:uid="{00000000-0006-0000-4F00-000003000000}">
      <text>
        <r>
          <rPr>
            <b/>
            <sz val="9"/>
            <color indexed="81"/>
            <rFont val="Tahoma"/>
            <family val="2"/>
          </rPr>
          <t>=CIQ($C12, "IQ_EBITDA", IQ_LTM, $F12, $X$2, $X$1, $X$3, $X$4)*1000</t>
        </r>
      </text>
    </comment>
    <comment ref="Y9" authorId="0" shapeId="0" xr:uid="{00000000-0006-0000-4F00-000004000000}">
      <text>
        <r>
          <rPr>
            <b/>
            <sz val="9"/>
            <color indexed="81"/>
            <rFont val="Tahoma"/>
            <family val="2"/>
          </rPr>
          <t>=CIQ(C11, "IQ_TOTAL_DEBT", , F11, , , "USD")*1000</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Knowcraft Common</author>
  </authors>
  <commentList>
    <comment ref="J27" authorId="0" shapeId="0" xr:uid="{00000000-0006-0000-5400-000001000000}">
      <text>
        <r>
          <rPr>
            <b/>
            <sz val="9"/>
            <color indexed="81"/>
            <rFont val="Tahoma"/>
            <family val="2"/>
          </rPr>
          <t>Knowcraft Common:</t>
        </r>
        <r>
          <rPr>
            <sz val="9"/>
            <color indexed="81"/>
            <rFont val="Tahoma"/>
            <family val="2"/>
          </rPr>
          <t xml:space="preserve">
Add footnote for discounting convention if applicable.</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Windows User</author>
    <author>Nishma Shah</author>
  </authors>
  <commentList>
    <comment ref="H66" authorId="0" shapeId="0" xr:uid="{00000000-0006-0000-5A00-000001000000}">
      <text>
        <r>
          <rPr>
            <b/>
            <sz val="9"/>
            <color indexed="81"/>
            <rFont val="Tahoma"/>
            <family val="2"/>
          </rPr>
          <t>Windows User:</t>
        </r>
        <r>
          <rPr>
            <sz val="9"/>
            <color indexed="81"/>
            <rFont val="Tahoma"/>
            <family val="2"/>
          </rPr>
          <t xml:space="preserve">
</t>
        </r>
      </text>
    </comment>
    <comment ref="H67" authorId="0" shapeId="0" xr:uid="{00000000-0006-0000-5A00-000002000000}">
      <text>
        <r>
          <rPr>
            <b/>
            <sz val="9"/>
            <color indexed="81"/>
            <rFont val="Tahoma"/>
            <family val="2"/>
          </rPr>
          <t>Windows User:</t>
        </r>
        <r>
          <rPr>
            <sz val="9"/>
            <color indexed="81"/>
            <rFont val="Tahoma"/>
            <family val="2"/>
          </rPr>
          <t xml:space="preserve">
</t>
        </r>
      </text>
    </comment>
    <comment ref="J67" authorId="0" shapeId="0" xr:uid="{00000000-0006-0000-5A00-000003000000}">
      <text>
        <r>
          <rPr>
            <b/>
            <sz val="9"/>
            <color indexed="81"/>
            <rFont val="Tahoma"/>
            <family val="2"/>
          </rPr>
          <t>Windows User:</t>
        </r>
        <r>
          <rPr>
            <sz val="9"/>
            <color indexed="81"/>
            <rFont val="Tahoma"/>
            <family val="2"/>
          </rPr>
          <t xml:space="preserve">
</t>
        </r>
      </text>
    </comment>
    <comment ref="Q67" authorId="1" shapeId="0" xr:uid="{00000000-0006-0000-5A00-000004000000}">
      <text>
        <r>
          <rPr>
            <b/>
            <sz val="9"/>
            <color indexed="81"/>
            <rFont val="Tahoma"/>
            <family val="2"/>
          </rPr>
          <t>Nishma Shah:</t>
        </r>
        <r>
          <rPr>
            <sz val="9"/>
            <color indexed="81"/>
            <rFont val="Tahoma"/>
            <family val="2"/>
          </rPr>
          <t xml:space="preserve">
check</t>
        </r>
      </text>
    </comment>
    <comment ref="G68" authorId="0" shapeId="0" xr:uid="{00000000-0006-0000-5A00-000005000000}">
      <text>
        <r>
          <rPr>
            <b/>
            <sz val="9"/>
            <color indexed="81"/>
            <rFont val="Tahoma"/>
            <family val="2"/>
          </rPr>
          <t>Windows User:</t>
        </r>
        <r>
          <rPr>
            <sz val="9"/>
            <color indexed="81"/>
            <rFont val="Tahoma"/>
            <family val="2"/>
          </rPr>
          <t xml:space="preserve">
check</t>
        </r>
      </text>
    </comment>
    <comment ref="G69" authorId="0" shapeId="0" xr:uid="{00000000-0006-0000-5A00-000006000000}">
      <text>
        <r>
          <rPr>
            <b/>
            <sz val="9"/>
            <color indexed="81"/>
            <rFont val="Tahoma"/>
            <family val="2"/>
          </rPr>
          <t>Windows User:</t>
        </r>
        <r>
          <rPr>
            <sz val="9"/>
            <color indexed="81"/>
            <rFont val="Tahoma"/>
            <family val="2"/>
          </rPr>
          <t xml:space="preserve">
check</t>
        </r>
      </text>
    </comment>
  </commentList>
</comments>
</file>

<file path=xl/sharedStrings.xml><?xml version="1.0" encoding="utf-8"?>
<sst xmlns="http://schemas.openxmlformats.org/spreadsheetml/2006/main" count="17050" uniqueCount="4269">
  <si>
    <t>(in thousands of USD)</t>
  </si>
  <si>
    <t>Discount for Lack of Voting Rights</t>
  </si>
  <si>
    <t>Studies</t>
  </si>
  <si>
    <t>Pub. Date</t>
  </si>
  <si>
    <t>Time Period</t>
  </si>
  <si>
    <t>Companies</t>
  </si>
  <si>
    <t>Indicated Discount*</t>
  </si>
  <si>
    <t>Masulis, Wang, Xie</t>
  </si>
  <si>
    <t>1995-2003</t>
  </si>
  <si>
    <t>Houlihan, Lokey, Howard &amp; Zukin</t>
  </si>
  <si>
    <t>Cox &amp; Roden</t>
  </si>
  <si>
    <t>1984-1999</t>
  </si>
  <si>
    <t>Ettelson Study</t>
  </si>
  <si>
    <t>n/a</t>
  </si>
  <si>
    <t>1993-1998</t>
  </si>
  <si>
    <t>Smith/Amoako-Adu Study</t>
  </si>
  <si>
    <t>1988-1992</t>
  </si>
  <si>
    <t>Zingales</t>
  </si>
  <si>
    <t>1984-1990</t>
  </si>
  <si>
    <t>O'Shea &amp; Siwicki</t>
  </si>
  <si>
    <t>1988-1990</t>
  </si>
  <si>
    <t>SEC Study</t>
  </si>
  <si>
    <t>2.0%-8.0%</t>
  </si>
  <si>
    <t>Lease, McConnell &amp; Mickkelson</t>
  </si>
  <si>
    <t>1940-1978</t>
  </si>
  <si>
    <t>Mean (Excl. SEC Study)</t>
  </si>
  <si>
    <t>Median (Excl. SEC Study)</t>
  </si>
  <si>
    <t>Mean (Excl. SEC Study + Cox &amp; Roden)</t>
  </si>
  <si>
    <t>Median (Excl. SEC Study + Cox &amp; Roden)</t>
  </si>
  <si>
    <t>Court Cases</t>
  </si>
  <si>
    <t>Discount Allowed*</t>
  </si>
  <si>
    <t>Estate of Simplot v. Commissioner</t>
  </si>
  <si>
    <t>Barnes v. Commissioner</t>
  </si>
  <si>
    <t>Kosman v. Commissioner</t>
  </si>
  <si>
    <t>Estate of Newhouse v. Commissioner</t>
  </si>
  <si>
    <t>Estate of Joyce C. Hall v. Commissioner</t>
  </si>
  <si>
    <t>Estate of Clara S. Roeder Winkler v. Commissioner</t>
  </si>
  <si>
    <t>The Northern Trust Company v. Commissioner</t>
  </si>
  <si>
    <t>Ahmanson Foundation v. United States</t>
  </si>
  <si>
    <t>Wallace v. United States</t>
  </si>
  <si>
    <t>Estate of Alvin Thalheimer v. Commissioner (1977)</t>
  </si>
  <si>
    <t>Estate of Alvin Thalheimer v. Commissioner (1974)</t>
  </si>
  <si>
    <t>Jacod S. Kamborian v. Commissioner</t>
  </si>
  <si>
    <t>Mean</t>
  </si>
  <si>
    <t>Median</t>
  </si>
  <si>
    <t>Source: Stout Risius Ross: Price Differentials Between Voting and Nonvoting Stock</t>
  </si>
  <si>
    <t xml:space="preserve">*To the extent the outcome of the study was an indicated premium, the premium was converted to </t>
  </si>
  <si>
    <t>an implied discount (premium / (1+premium)).</t>
  </si>
  <si>
    <t>Price Differentials Between Voting &amp; Nonvoting Stock</t>
  </si>
  <si>
    <t>Study</t>
  </si>
  <si>
    <t>Discount</t>
  </si>
  <si>
    <t>Pre-1990</t>
  </si>
  <si>
    <t>Post-1990</t>
  </si>
  <si>
    <t>SEC overall average</t>
  </si>
  <si>
    <t>FMV Opinions, Inc.</t>
  </si>
  <si>
    <t>Gelman</t>
  </si>
  <si>
    <t>Management Planning, Inc.</t>
  </si>
  <si>
    <t>Trout</t>
  </si>
  <si>
    <t>Bajaj, et al.</t>
  </si>
  <si>
    <t>Moroney</t>
  </si>
  <si>
    <t>Johnson</t>
  </si>
  <si>
    <t>Maher</t>
  </si>
  <si>
    <t>Columbia Financial Advisors</t>
  </si>
  <si>
    <t>Standard Research Consultants</t>
  </si>
  <si>
    <t>Silber</t>
  </si>
  <si>
    <t>Willamette Management Associates</t>
  </si>
  <si>
    <t>Pre-1990 mean discount</t>
  </si>
  <si>
    <t>Post-1990 mean discount</t>
  </si>
  <si>
    <t>Summary Of Restricted Stock Studies</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</si>
  <si>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</si>
  <si>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</si>
  <si>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</si>
  <si>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</si>
  <si>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</si>
  <si>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</si>
  <si>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</si>
  <si>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</si>
  <si>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</si>
  <si>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</si>
  <si>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</si>
  <si>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</si>
  <si>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</si>
  <si>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</si>
  <si>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</si>
  <si>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</si>
  <si>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</si>
  <si>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</si>
  <si>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</si>
  <si>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</si>
  <si>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</si>
  <si>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</si>
  <si>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</si>
  <si>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</si>
  <si>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</si>
  <si>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</si>
  <si>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</si>
  <si>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</si>
  <si>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</si>
  <si>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</si>
  <si>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</si>
  <si>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</si>
  <si>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</si>
  <si>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</si>
  <si>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</si>
  <si>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</si>
  <si>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</si>
  <si>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</si>
  <si>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</si>
  <si>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</si>
  <si>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</si>
  <si>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</si>
  <si>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</si>
  <si>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</si>
  <si>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</si>
  <si>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</si>
  <si>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</si>
  <si>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</si>
  <si>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</si>
  <si>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</si>
  <si>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CIQ Formula</t>
  </si>
  <si>
    <t>IQ_PRICE_VOL_HIST_3MTH</t>
  </si>
  <si>
    <t>IQ_PRICE_VOL_HIST_6MTH</t>
  </si>
  <si>
    <t>IQ_PRICE_VOL_HIST_YR</t>
  </si>
  <si>
    <t>IQ_PRICE_VOL_HIST_2YR</t>
  </si>
  <si>
    <t>IQ_PRICE_VOL_HIST_5YR</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</si>
  <si>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</si>
  <si>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</si>
  <si>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</si>
  <si>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</si>
  <si>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</si>
  <si>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</si>
  <si>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</si>
  <si>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</si>
  <si>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</si>
  <si>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</si>
  <si>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</si>
  <si>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</si>
  <si>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</si>
  <si>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</si>
  <si>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</si>
  <si>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</si>
  <si>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</si>
  <si>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</si>
  <si>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</si>
  <si>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</si>
  <si>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Discounted Cash Flow</t>
  </si>
  <si>
    <t>Enterprise Value</t>
  </si>
  <si>
    <t>Less: Total Debt</t>
  </si>
  <si>
    <t>Equity Value</t>
  </si>
  <si>
    <t>Allocation of Value</t>
  </si>
  <si>
    <t>Common Stock</t>
  </si>
  <si>
    <t>Approach</t>
  </si>
  <si>
    <t>PWERM</t>
  </si>
  <si>
    <t>Primary</t>
  </si>
  <si>
    <t xml:space="preserve">Concluded Price Per Share (Non-Marketable, Minority) </t>
  </si>
  <si>
    <t>Allocation Methodology</t>
  </si>
  <si>
    <t>Historical Income Statement</t>
  </si>
  <si>
    <t>Historical Balance Sheet</t>
  </si>
  <si>
    <t>12 Months Ending December 31,</t>
  </si>
  <si>
    <t>Projected</t>
  </si>
  <si>
    <t>Revenue</t>
  </si>
  <si>
    <t>Total</t>
  </si>
  <si>
    <t>% Change</t>
  </si>
  <si>
    <t>Less: COGS</t>
  </si>
  <si>
    <t>Gross Profit</t>
  </si>
  <si>
    <t>% Margin</t>
  </si>
  <si>
    <t>Operating Expenses</t>
  </si>
  <si>
    <t>General &amp; Administrative</t>
  </si>
  <si>
    <t>Sales &amp; Marketing</t>
  </si>
  <si>
    <t>Research &amp; Development</t>
  </si>
  <si>
    <t>Depreciation &amp; Amortization</t>
  </si>
  <si>
    <t>Other Expenses</t>
  </si>
  <si>
    <t>Less: Depreciation &amp; Amortization</t>
  </si>
  <si>
    <t>EBITDA</t>
  </si>
  <si>
    <t>EBIT</t>
  </si>
  <si>
    <t>Net Operating Losses</t>
  </si>
  <si>
    <t>Beginning Balance</t>
  </si>
  <si>
    <t>Add: NOLs</t>
  </si>
  <si>
    <t>Less: NOL Usage</t>
  </si>
  <si>
    <t>Ending Balance</t>
  </si>
  <si>
    <t>Taxable Cash Flow</t>
  </si>
  <si>
    <t>Calculated Taxes</t>
  </si>
  <si>
    <t>Debt-Free After-Tax Cash Flow</t>
  </si>
  <si>
    <t>Less: Capital Expenditures</t>
  </si>
  <si>
    <t>Add: Depreciation &amp; Amortization</t>
  </si>
  <si>
    <t>Net Debt-Free Cash Flow</t>
  </si>
  <si>
    <t>Discount Period</t>
  </si>
  <si>
    <t>Discount Factor</t>
  </si>
  <si>
    <t>Partial Period</t>
  </si>
  <si>
    <t>Adjusted Net Debt-Free Cash Flow</t>
  </si>
  <si>
    <t>Present Value</t>
  </si>
  <si>
    <t>Discount Rate</t>
  </si>
  <si>
    <t>Terminal Value Calculation</t>
  </si>
  <si>
    <t>Terminal Growth Rate</t>
  </si>
  <si>
    <t>Terminal Net Debt-Free Cash Flow</t>
  </si>
  <si>
    <t>Implied Terminal Multiple</t>
  </si>
  <si>
    <t>Terminal Value</t>
  </si>
  <si>
    <t>Terminal Discount Rate</t>
  </si>
  <si>
    <t>Present Value Factor</t>
  </si>
  <si>
    <t>Present Value of Terminal Value</t>
  </si>
  <si>
    <t>Discrete Period Value</t>
  </si>
  <si>
    <t>Summary of Present Values</t>
  </si>
  <si>
    <t>Less: Change in Working Capital</t>
  </si>
  <si>
    <t>Range of Valuation Indications</t>
  </si>
  <si>
    <t>Sensitivity Analysis:</t>
  </si>
  <si>
    <t>Time in Period</t>
  </si>
  <si>
    <t>1 Year</t>
  </si>
  <si>
    <t>Operating Income</t>
  </si>
  <si>
    <t>Interest Income/Expense, Net</t>
  </si>
  <si>
    <t>Other Income/Expense, Net</t>
  </si>
  <si>
    <t>Pre-Tax Income (Loss)</t>
  </si>
  <si>
    <t>Income Taxes</t>
  </si>
  <si>
    <t>Net Income (Loss)</t>
  </si>
  <si>
    <t>Other Items:</t>
  </si>
  <si>
    <t>Capital Expenditures</t>
  </si>
  <si>
    <t>Assets</t>
  </si>
  <si>
    <t>Current Assets</t>
  </si>
  <si>
    <t>Cash &amp; Equivalents</t>
  </si>
  <si>
    <t>Accounts Receivable</t>
  </si>
  <si>
    <t>Prepaid Expenses</t>
  </si>
  <si>
    <t>Other Current Assets</t>
  </si>
  <si>
    <t>Net Fixed Assets</t>
  </si>
  <si>
    <t>Intangible Assets</t>
  </si>
  <si>
    <t>Other Assets</t>
  </si>
  <si>
    <t>Total Current Assets</t>
  </si>
  <si>
    <t>Total Assets</t>
  </si>
  <si>
    <t>Liabilities &amp; Shareholders' Equity</t>
  </si>
  <si>
    <t>Current Liabilities</t>
  </si>
  <si>
    <t>Accounts Payable</t>
  </si>
  <si>
    <t>Current Maturities</t>
  </si>
  <si>
    <t>Accrued Expenses</t>
  </si>
  <si>
    <t>Other Current Liabilities</t>
  </si>
  <si>
    <t>Total Current Liabilities</t>
  </si>
  <si>
    <t>Other Long-Term Liabilities</t>
  </si>
  <si>
    <t>Total Liabilities</t>
  </si>
  <si>
    <t>Long-Term Investments</t>
  </si>
  <si>
    <t>Common</t>
  </si>
  <si>
    <t xml:space="preserve">Preferred </t>
  </si>
  <si>
    <t>Additional Paid In Capital</t>
  </si>
  <si>
    <t>Retained Earnings</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</si>
  <si>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</si>
  <si>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</si>
  <si>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</si>
  <si>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</si>
  <si>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</si>
  <si>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</si>
  <si>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</si>
  <si>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</si>
  <si>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</si>
  <si>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</si>
  <si>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</si>
  <si>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</si>
  <si>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</si>
  <si>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</si>
  <si>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</si>
  <si>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</si>
  <si>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</si>
  <si>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</si>
  <si>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</si>
  <si>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</si>
  <si>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</si>
  <si>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Start Up (5)</t>
  </si>
  <si>
    <t>Early Development (6)</t>
  </si>
  <si>
    <t>Expansion (7)</t>
  </si>
  <si>
    <t>Bridge/IPO (8)</t>
  </si>
  <si>
    <t>Equity</t>
  </si>
  <si>
    <t>Cost of Capital</t>
  </si>
  <si>
    <t>Weighting</t>
  </si>
  <si>
    <t>Weighted Cost</t>
  </si>
  <si>
    <t>Cost of Debt</t>
  </si>
  <si>
    <t>Capital Structure Components</t>
  </si>
  <si>
    <t>Tax Rate</t>
  </si>
  <si>
    <t>Post-Tax Cost Of Debt</t>
  </si>
  <si>
    <t>Cost of Equity</t>
  </si>
  <si>
    <t>Unlevered Beta</t>
  </si>
  <si>
    <t>Re-Levered Beta</t>
  </si>
  <si>
    <t>Market Risk Premium</t>
  </si>
  <si>
    <t>&lt;A&gt;</t>
  </si>
  <si>
    <t>&lt;B&gt;</t>
  </si>
  <si>
    <t>&lt;A&gt;*&lt;B&gt;</t>
  </si>
  <si>
    <t>Equity Risk Premium</t>
  </si>
  <si>
    <t>Size Premium</t>
  </si>
  <si>
    <t>Unsystematic Risk Premium</t>
  </si>
  <si>
    <t>Calculated Cost of Equity</t>
  </si>
  <si>
    <t>Calculated</t>
  </si>
  <si>
    <t>Applied</t>
  </si>
  <si>
    <t>Moody's BAA Rate</t>
  </si>
  <si>
    <t>LINK UP</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</si>
  <si>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</si>
  <si>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</si>
  <si>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</si>
  <si>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</si>
  <si>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</si>
  <si>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</si>
  <si>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</si>
  <si>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</si>
  <si>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</si>
  <si>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</si>
  <si>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</si>
  <si>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</si>
  <si>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</si>
  <si>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</si>
  <si>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</si>
  <si>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</si>
  <si>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</si>
  <si>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</si>
  <si>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</si>
  <si>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</si>
  <si>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</si>
  <si>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</si>
  <si>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</si>
  <si>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</si>
  <si>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</si>
  <si>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</si>
  <si>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Weighted Average Cost of Capital - CAPM-Based</t>
  </si>
  <si>
    <t>(6)</t>
  </si>
  <si>
    <t>(7)</t>
  </si>
  <si>
    <t>(8)</t>
  </si>
  <si>
    <t>link to cap table</t>
  </si>
  <si>
    <t>link PWERM</t>
  </si>
  <si>
    <t>Concl.</t>
  </si>
  <si>
    <t>LTM-1</t>
  </si>
  <si>
    <t>LTM</t>
  </si>
  <si>
    <t>Calendar Year</t>
  </si>
  <si>
    <t>Multiples</t>
  </si>
  <si>
    <t>NCY</t>
  </si>
  <si>
    <t>NCY+1</t>
  </si>
  <si>
    <t>NCY+2</t>
  </si>
  <si>
    <t>Resulting Indication</t>
  </si>
  <si>
    <t>Performance Metric</t>
  </si>
  <si>
    <t>Selected Enterprise Value Range, on a Minority Interest Basis</t>
  </si>
  <si>
    <t>Implied Equity Value</t>
  </si>
  <si>
    <t>Add: Total Debt</t>
  </si>
  <si>
    <t>Calculated Enterprise Value</t>
  </si>
  <si>
    <t>Less: Future Financing</t>
  </si>
  <si>
    <t>Concluded Enterprise Value (Rounded)</t>
  </si>
  <si>
    <t>Market Approach - GCM Summary</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</si>
  <si>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</si>
  <si>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</si>
  <si>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</si>
  <si>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</si>
  <si>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</si>
  <si>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</si>
  <si>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</si>
  <si>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</si>
  <si>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</si>
  <si>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</si>
  <si>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</si>
  <si>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</si>
  <si>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</si>
  <si>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</si>
  <si>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</si>
  <si>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</si>
  <si>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</si>
  <si>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</si>
  <si>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</si>
  <si>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</si>
  <si>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</si>
  <si>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</si>
  <si>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Market Approach - GTM Summary</t>
  </si>
  <si>
    <t>Selected Enterprise Value Range, on a Controlling Interest Basis</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</si>
  <si>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</si>
  <si>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</si>
  <si>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</si>
  <si>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</si>
  <si>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</si>
  <si>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</si>
  <si>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</si>
  <si>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</si>
  <si>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</si>
  <si>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</si>
  <si>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</si>
  <si>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</si>
  <si>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</si>
  <si>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DLOM</t>
  </si>
  <si>
    <t>Allocable Value</t>
  </si>
  <si>
    <t>Time to Liquidity (Years)</t>
  </si>
  <si>
    <t>Option Pricing Model Assumptions</t>
  </si>
  <si>
    <t>Breakpoint Calculations</t>
  </si>
  <si>
    <t>Liquidation Preference Seniority</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</si>
  <si>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</si>
  <si>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</si>
  <si>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</si>
  <si>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</si>
  <si>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</si>
  <si>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</si>
  <si>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</si>
  <si>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</si>
  <si>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</si>
  <si>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</si>
  <si>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</si>
  <si>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</si>
  <si>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</si>
  <si>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</si>
  <si>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</si>
  <si>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</si>
  <si>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</si>
  <si>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</si>
  <si>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</si>
  <si>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</si>
  <si>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</si>
  <si>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</si>
  <si>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</si>
  <si>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</si>
  <si>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</si>
  <si>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</si>
  <si>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</si>
  <si>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</si>
  <si>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</si>
  <si>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</si>
  <si>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Amount Raised</t>
  </si>
  <si>
    <t>Expected Date of Raise</t>
  </si>
  <si>
    <t>Required Rate of Return</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</si>
  <si>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</si>
  <si>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</si>
  <si>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</si>
  <si>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</si>
  <si>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</si>
  <si>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</si>
  <si>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</si>
  <si>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</si>
  <si>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</si>
  <si>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Adjusted Present Value Per Share</t>
  </si>
  <si>
    <t>Present Value Determination - Preferred</t>
  </si>
  <si>
    <t>Remaining Allocable Value</t>
  </si>
  <si>
    <t>Exercise Proceeds</t>
  </si>
  <si>
    <t>Total Debt-Like Component</t>
  </si>
  <si>
    <t>Future Allocable Value</t>
  </si>
  <si>
    <t>Probability Weighted</t>
  </si>
  <si>
    <t>Total Equity-Like Component</t>
  </si>
  <si>
    <t>Debt-Like Component</t>
  </si>
  <si>
    <t>Equity-Like Component</t>
  </si>
  <si>
    <t>Implied Latest Preferred Round</t>
  </si>
  <si>
    <t>$/Share</t>
  </si>
  <si>
    <t>Latest Round of Preferred</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</si>
  <si>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</si>
  <si>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</si>
  <si>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</si>
  <si>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</si>
  <si>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</si>
  <si>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</si>
  <si>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</si>
  <si>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</si>
  <si>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</si>
  <si>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</si>
  <si>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</si>
  <si>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</si>
  <si>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</si>
  <si>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</si>
  <si>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</si>
  <si>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</si>
  <si>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</si>
  <si>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</si>
  <si>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</si>
  <si>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</si>
  <si>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</si>
  <si>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</si>
  <si>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</si>
  <si>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</si>
  <si>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</si>
  <si>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</si>
  <si>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</si>
  <si>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</si>
  <si>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</si>
  <si>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</si>
  <si>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</si>
  <si>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</si>
  <si>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</si>
  <si>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</si>
  <si>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</si>
  <si>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</si>
  <si>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</si>
  <si>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</si>
  <si>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</si>
  <si>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Summary of Restricted Stock Studies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</si>
  <si>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</si>
  <si>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</si>
  <si>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</si>
  <si>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</si>
  <si>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</si>
  <si>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</si>
  <si>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</si>
  <si>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</si>
  <si>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</si>
  <si>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</si>
  <si>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</si>
  <si>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</si>
  <si>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</si>
  <si>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</si>
  <si>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</si>
  <si>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</si>
  <si>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B-1</t>
  </si>
  <si>
    <t>Series B-2</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</si>
  <si>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</si>
  <si>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</si>
  <si>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</si>
  <si>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</si>
  <si>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</si>
  <si>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</si>
  <si>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</si>
  <si>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</si>
  <si>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</si>
  <si>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</si>
  <si>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</si>
  <si>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</si>
  <si>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</si>
  <si>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</si>
  <si>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</si>
  <si>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</si>
  <si>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</si>
  <si>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</si>
  <si>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</si>
  <si>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</si>
  <si>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</si>
  <si>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</si>
  <si>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</si>
  <si>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</si>
  <si>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</si>
  <si>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Type</t>
  </si>
  <si>
    <t>Select Type</t>
  </si>
  <si>
    <t>Expected Options Grant</t>
  </si>
  <si>
    <t>Yes</t>
  </si>
  <si>
    <t>Dividend Inclusion</t>
  </si>
  <si>
    <t>Dividend Declaration</t>
  </si>
  <si>
    <t>Cumulative</t>
  </si>
  <si>
    <t>Non-Cumulative</t>
  </si>
  <si>
    <t>Not Declared</t>
  </si>
  <si>
    <t>Simple</t>
  </si>
  <si>
    <t>Compounding</t>
  </si>
  <si>
    <t>Total Investment</t>
  </si>
  <si>
    <t>Total Liquidation Preference</t>
  </si>
  <si>
    <t>Liquidation Preference Per Share</t>
  </si>
  <si>
    <t>Options/Warrants</t>
  </si>
  <si>
    <t>Shares Outstanding / Converted to Common Stock</t>
  </si>
  <si>
    <t>Last Financial Year Ending</t>
  </si>
  <si>
    <t>Historical Income Statement - Common Size</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</si>
  <si>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</si>
  <si>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</si>
  <si>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</si>
  <si>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</si>
  <si>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</si>
  <si>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</si>
  <si>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</si>
  <si>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</si>
  <si>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</si>
  <si>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</si>
  <si>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</si>
  <si>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</si>
  <si>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</si>
  <si>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</si>
  <si>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</si>
  <si>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</si>
  <si>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</si>
  <si>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</si>
  <si>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</si>
  <si>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</si>
  <si>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</si>
  <si>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</si>
  <si>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</si>
  <si>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</si>
  <si>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</si>
  <si>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</si>
  <si>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</si>
  <si>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</si>
  <si>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Management's Estimate for Exit</t>
  </si>
  <si>
    <t>Date of Completion</t>
  </si>
  <si>
    <t>Total Check</t>
  </si>
  <si>
    <t>Phase wise exit %</t>
  </si>
  <si>
    <t>Phase Ib</t>
  </si>
  <si>
    <t>Phase II</t>
  </si>
  <si>
    <t>Scenarios</t>
  </si>
  <si>
    <t>Standalone Probability</t>
  </si>
  <si>
    <t>Cumulative Probability</t>
  </si>
  <si>
    <t>Probability to Exit</t>
  </si>
  <si>
    <t>Wtd. Avg. Probability</t>
  </si>
  <si>
    <t>Probability of Next Trial</t>
  </si>
  <si>
    <t>Success</t>
  </si>
  <si>
    <t>Failure</t>
  </si>
  <si>
    <t>Summary of Probability at Each Development Phase</t>
  </si>
  <si>
    <t>Exit Scenario</t>
  </si>
  <si>
    <t>Phase</t>
  </si>
  <si>
    <t>Date</t>
  </si>
  <si>
    <t>Probability</t>
  </si>
  <si>
    <t>Phase I</t>
  </si>
  <si>
    <t>Phase III</t>
  </si>
  <si>
    <t>NDA/BLA Phase</t>
  </si>
  <si>
    <t>Total P1-Market</t>
  </si>
  <si>
    <t>P1-Market</t>
  </si>
  <si>
    <t>Tufts' 10 Lead Indications</t>
  </si>
  <si>
    <t>BMT All Indications</t>
  </si>
  <si>
    <t>Total PI-Market</t>
  </si>
  <si>
    <t>Done</t>
  </si>
  <si>
    <t>Capped Value</t>
  </si>
  <si>
    <t>INPUT -&gt;&gt;</t>
  </si>
  <si>
    <t>Total Value Allocable By Class</t>
  </si>
  <si>
    <t>Per Share Value Allocable By Class</t>
  </si>
  <si>
    <t>Price / Net Book Value Analysis</t>
  </si>
  <si>
    <t>Earnings</t>
  </si>
  <si>
    <t>Total Equity</t>
  </si>
  <si>
    <t>Type of Multiples</t>
  </si>
  <si>
    <t>Period</t>
  </si>
  <si>
    <t>added more functionality such that n/a appears after last breakpoint. Need to test on live project</t>
  </si>
  <si>
    <t>Statistical Metrics</t>
  </si>
  <si>
    <t>Plus: Cash &amp; Equivalents</t>
  </si>
  <si>
    <t>Implied Equity Value, on a Controlling Interest Basis</t>
  </si>
  <si>
    <t>Selected Control Premium</t>
  </si>
  <si>
    <t>Discount for Lack of Control</t>
  </si>
  <si>
    <t>Implied Equity Value, on a Minority Basis</t>
  </si>
  <si>
    <t>Control Premium Summary</t>
  </si>
  <si>
    <t>Mergerstat data</t>
  </si>
  <si>
    <t>Please confirm if this needs to be added</t>
  </si>
  <si>
    <t>Outline</t>
  </si>
  <si>
    <t>Exhibit Number</t>
  </si>
  <si>
    <t>PWERM Analysis</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</si>
  <si>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</si>
  <si>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</si>
  <si>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</si>
  <si>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</si>
  <si>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</si>
  <si>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</si>
  <si>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</si>
  <si>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</si>
  <si>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</si>
  <si>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</si>
  <si>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</si>
  <si>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</si>
  <si>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</si>
  <si>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</si>
  <si>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</si>
  <si>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Asset Volatility</t>
  </si>
  <si>
    <t>Equity Volatility Selection Type</t>
  </si>
  <si>
    <t>PWERM Values</t>
  </si>
  <si>
    <t>PWERM Weighting</t>
  </si>
  <si>
    <t>Total Invested Capital</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</si>
  <si>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</si>
  <si>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</si>
  <si>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</si>
  <si>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</si>
  <si>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</si>
  <si>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</si>
  <si>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</si>
  <si>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</si>
  <si>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</si>
  <si>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</si>
  <si>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Series Seed</t>
  </si>
  <si>
    <t>Company ABC, Inc.</t>
  </si>
  <si>
    <t>Exit Type</t>
  </si>
  <si>
    <t>DO NOT DELETE</t>
  </si>
  <si>
    <t>Non-Structured</t>
  </si>
  <si>
    <t>Estimated Financing</t>
  </si>
  <si>
    <t>Event Date</t>
  </si>
  <si>
    <t>Amount</t>
  </si>
  <si>
    <t>Return</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</si>
  <si>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</si>
  <si>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</si>
  <si>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</si>
  <si>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</si>
  <si>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</si>
  <si>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</si>
  <si>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</si>
  <si>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</si>
  <si>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</si>
  <si>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</si>
  <si>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</si>
  <si>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</si>
  <si>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</si>
  <si>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</si>
  <si>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</si>
  <si>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</si>
  <si>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</si>
  <si>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</si>
  <si>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</si>
  <si>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</si>
  <si>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 xml:space="preserve">Rate of Return By Stage of Development </t>
  </si>
  <si>
    <t xml:space="preserve">Capitalization Table </t>
  </si>
  <si>
    <t xml:space="preserve">Economic Rights Summary </t>
  </si>
  <si>
    <t>Comparative Sheet</t>
  </si>
  <si>
    <t>Capex</t>
  </si>
  <si>
    <t>Net Working Capital</t>
  </si>
  <si>
    <t>Stock Price</t>
  </si>
  <si>
    <t>Stock price</t>
  </si>
  <si>
    <t>Prior valuation date</t>
  </si>
  <si>
    <t>Descending EV order for comps</t>
  </si>
  <si>
    <t>Update</t>
  </si>
  <si>
    <t>Check the stub-period change in NWC calc</t>
  </si>
  <si>
    <t>For the Period Ending December 31,</t>
  </si>
  <si>
    <t>As of December 31,</t>
  </si>
  <si>
    <t>Multiples' Summary</t>
  </si>
  <si>
    <t>Probability-Weighted Expected Return Method</t>
  </si>
  <si>
    <t>Financial Performance (Actual &amp; Estimates)</t>
  </si>
  <si>
    <t>Actual</t>
  </si>
  <si>
    <t>Financial Performance (Actual)</t>
  </si>
  <si>
    <t>Control Premium</t>
  </si>
  <si>
    <t>Overall</t>
  </si>
  <si>
    <t>Average</t>
  </si>
  <si>
    <t>Business Services</t>
  </si>
  <si>
    <t>Third Quarter 2015</t>
  </si>
  <si>
    <t>Factors Affecting Minority Discounts/Control Premiums</t>
  </si>
  <si>
    <t>Moderate</t>
  </si>
  <si>
    <t>Neutral</t>
  </si>
  <si>
    <t>Higher</t>
  </si>
  <si>
    <t>Scarcity</t>
  </si>
  <si>
    <t>Small</t>
  </si>
  <si>
    <t>Lower</t>
  </si>
  <si>
    <t>Selected Control Premium (Preferred)</t>
  </si>
  <si>
    <t>Selected Control Premium (Common)</t>
  </si>
  <si>
    <t>Implied discount for lack of control ("DLOC") - Preferred</t>
  </si>
  <si>
    <t>(1) Source: Control Premium Study, third quarter, 2015, Mergerstat.</t>
  </si>
  <si>
    <t>Update based on subject industry</t>
  </si>
  <si>
    <t>Latest Twelve Months</t>
  </si>
  <si>
    <t>Market Trends since Previous Valuation</t>
  </si>
  <si>
    <t>Guideline Public Companies</t>
  </si>
  <si>
    <t>Previous Valuation</t>
  </si>
  <si>
    <t>Current Valuation</t>
  </si>
  <si>
    <t xml:space="preserve">Applied Multiples </t>
  </si>
  <si>
    <t>Type of LTM Multiples</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</si>
  <si>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</si>
  <si>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</si>
  <si>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</si>
  <si>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</si>
  <si>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</si>
  <si>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</si>
  <si>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</si>
  <si>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</si>
  <si>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t>Total Revenue</t>
  </si>
  <si>
    <t>Total Enterprise Value</t>
  </si>
  <si>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</si>
  <si>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</si>
  <si>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</si>
  <si>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</si>
  <si>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</si>
  <si>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</si>
  <si>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</si>
  <si>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</si>
  <si>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</si>
  <si>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</si>
  <si>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</si>
  <si>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</si>
  <si>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</si>
  <si>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</si>
  <si>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</si>
  <si>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</si>
  <si>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</si>
  <si>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</si>
  <si>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</si>
  <si>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</si>
  <si>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</si>
  <si>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</si>
  <si>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</si>
  <si>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</si>
  <si>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</si>
  <si>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</si>
  <si>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</si>
  <si>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</si>
  <si>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</si>
  <si>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</si>
  <si>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CY2017</t>
  </si>
  <si>
    <t>CY2018</t>
  </si>
  <si>
    <t>Comparable Public Companies (Primary)</t>
  </si>
  <si>
    <t>Year 1</t>
  </si>
  <si>
    <t>Year 2</t>
  </si>
  <si>
    <t>Year 3</t>
  </si>
  <si>
    <t>Year 4</t>
  </si>
  <si>
    <t>Year 5</t>
  </si>
  <si>
    <t>NasdaqGM</t>
  </si>
  <si>
    <t>NM</t>
  </si>
  <si>
    <t>NasdaqGS</t>
  </si>
  <si>
    <t>(Invalid Identifier)</t>
  </si>
  <si>
    <t>Comparable Public Companies (Secondary)</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</si>
  <si>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</si>
  <si>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</si>
  <si>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</si>
  <si>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</si>
  <si>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</si>
  <si>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</si>
  <si>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</si>
  <si>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</si>
  <si>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</si>
  <si>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</si>
  <si>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</si>
  <si>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</si>
  <si>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</si>
  <si>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</si>
  <si>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</si>
  <si>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</si>
  <si>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</si>
  <si>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</si>
  <si>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</si>
  <si>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</si>
  <si>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</si>
  <si>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</si>
  <si>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</si>
  <si>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</si>
  <si>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</si>
  <si>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NasdaqCM</t>
  </si>
  <si>
    <t>Biotechnology</t>
  </si>
  <si>
    <t>Start date</t>
  </si>
  <si>
    <t>bluebird bio, Inc.</t>
  </si>
  <si>
    <t>Voyager Therapeutics, Inc.</t>
  </si>
  <si>
    <t>PlasmaTech Biopharmaceuticals, Inc. (nka:Abeona Therapeutics Inc.)</t>
  </si>
  <si>
    <t>Abeona Therapeutics LLC</t>
  </si>
  <si>
    <t>IQTR296628817</t>
  </si>
  <si>
    <t>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t>
  </si>
  <si>
    <t>Precision Genome Engineering, Inc.</t>
  </si>
  <si>
    <t>IQTR267072117</t>
  </si>
  <si>
    <t>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t>
  </si>
  <si>
    <t>Ceregene, Inc.</t>
  </si>
  <si>
    <t>IQTR245160973</t>
  </si>
  <si>
    <t>Change in Working Capital</t>
  </si>
  <si>
    <t>Cash</t>
  </si>
  <si>
    <t>Non Cash Working Capital</t>
  </si>
  <si>
    <t>Change</t>
  </si>
  <si>
    <t>1-Largest</t>
  </si>
  <si>
    <t>premium</t>
  </si>
  <si>
    <t>Mid-cap, 3-5</t>
  </si>
  <si>
    <t>Low-cap, 6-8</t>
  </si>
  <si>
    <t>Micro-cap, 9-10</t>
  </si>
  <si>
    <t>Breakdown of Deciles 1-10</t>
  </si>
  <si>
    <t>10-Smallest</t>
  </si>
  <si>
    <t>Breakdown of the 10th Decile</t>
  </si>
  <si>
    <t>10a</t>
  </si>
  <si>
    <t>10b-Smallest</t>
  </si>
  <si>
    <t>Long-horizon expected equity risk premium (supply-side) : historical equity risk premium
minus price-to-earnings ratio calculated using three-year average earnings</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</si>
  <si>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</si>
  <si>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</si>
  <si>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</si>
  <si>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</si>
  <si>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</si>
  <si>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</si>
  <si>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</si>
  <si>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</si>
  <si>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</si>
  <si>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</si>
  <si>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REV_CY2017</t>
  </si>
  <si>
    <t>REV_CY2018</t>
  </si>
  <si>
    <t>REV_CY2019</t>
  </si>
  <si>
    <t xml:space="preserve"> NWC as % of Revenue</t>
  </si>
  <si>
    <t>Stockprice_EQ_PVD</t>
  </si>
  <si>
    <t>Marketcap_EQ_PVD</t>
  </si>
  <si>
    <t>Debt_EQ_PVD</t>
  </si>
  <si>
    <t>PFD_EQ_PVD</t>
  </si>
  <si>
    <t>MIN_INT_PVD</t>
  </si>
  <si>
    <t>Cash_EQ_PVD</t>
  </si>
  <si>
    <t>Probability of IPO Upon Exit</t>
  </si>
  <si>
    <t>DLOM (1)</t>
  </si>
  <si>
    <t>Guideline Public Companies.</t>
  </si>
  <si>
    <t>Acquirer</t>
  </si>
  <si>
    <t xml:space="preserve"> Year - 2016</t>
  </si>
  <si>
    <t>EBITDA Margin</t>
  </si>
  <si>
    <t>EBIT Margin</t>
  </si>
  <si>
    <t>Net Income Margin</t>
  </si>
  <si>
    <t>Business Description</t>
  </si>
  <si>
    <t>Beta Look back year</t>
  </si>
  <si>
    <t>Moody's Bond Yield Avg - BAA Rated Corporates</t>
  </si>
  <si>
    <t>CIQ numbers</t>
  </si>
  <si>
    <t>Unlinked numbers</t>
  </si>
  <si>
    <t>CIQ Check</t>
  </si>
  <si>
    <t>M&amp;A</t>
  </si>
  <si>
    <t>Rate reflects a back solve in order to achieve approximately 15%-20% venture capital portfolio returns (across the total preferred investment). Such expected VC Portfolio Returns are generally consistent with observations of historical venture capital returns.</t>
  </si>
  <si>
    <t>Options (Treasury Method)</t>
  </si>
  <si>
    <t>Value to Options</t>
  </si>
  <si>
    <t>Prob. Wtd. Present Value</t>
  </si>
  <si>
    <t>Applied Probability Weightings</t>
  </si>
  <si>
    <t>Treasury Method - Options</t>
  </si>
  <si>
    <t>Line Items</t>
  </si>
  <si>
    <t>Count</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</si>
  <si>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</si>
  <si>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t>(3) Based on the data from the above two sources, we concluded on a control premium towards the low end of the range exhibited by the comparable transactions and the industry to account for the small size of the subject company. Further, RNA selected 25.0% control premium for common and 18.0% for preferred since the lower proportion of common equity in relation to preferred stock decreases the control of common stockholders, common stock warrants higher discount compared to preferred.</t>
  </si>
  <si>
    <t>Source: "Valuation in Life Sciences", Bogdan and Villiger.</t>
  </si>
  <si>
    <t>BMT Lead Indications</t>
  </si>
  <si>
    <t>Lead Optimization</t>
  </si>
  <si>
    <t>Preclinical</t>
  </si>
  <si>
    <t>Source: Biotechnology Industry Organization - February 15, 2011.</t>
  </si>
  <si>
    <t>Source: "Cancer Drug Approval Timelines", Epiphany Partners, Inc., based on a study by Johnson JCO, May 10, 2010, Page 3.</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</si>
  <si>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</si>
  <si>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</si>
  <si>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</si>
  <si>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</si>
  <si>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</si>
  <si>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</si>
  <si>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</si>
  <si>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</si>
  <si>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</si>
  <si>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</si>
  <si>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</si>
  <si>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</si>
  <si>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</si>
  <si>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</si>
  <si>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</si>
  <si>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</si>
  <si>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</si>
  <si>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</si>
  <si>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</si>
  <si>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</si>
  <si>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</si>
  <si>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</si>
  <si>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</si>
  <si>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</si>
  <si>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</si>
  <si>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</si>
  <si>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</si>
  <si>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</si>
  <si>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</si>
  <si>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</si>
  <si>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</si>
  <si>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</si>
  <si>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</si>
  <si>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</si>
  <si>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</si>
  <si>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</si>
  <si>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NasdaqCM:ABEO</t>
  </si>
  <si>
    <t>IQ360935</t>
  </si>
  <si>
    <t>Abeona Therapeutics Inc.</t>
  </si>
  <si>
    <t>NasdaqGS:SGMO</t>
  </si>
  <si>
    <t>IQ412674</t>
  </si>
  <si>
    <t>NasdaqGM:IMDZ</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</si>
  <si>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</si>
  <si>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</si>
  <si>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</si>
  <si>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</si>
  <si>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Marina Biotech, Inc.</t>
  </si>
  <si>
    <t>NasdaqGS:ABUS</t>
  </si>
  <si>
    <t>IQ34160168</t>
  </si>
  <si>
    <t>Arbutus Biopharma Corporation</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</si>
  <si>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</si>
  <si>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</si>
  <si>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</si>
  <si>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</si>
  <si>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</si>
  <si>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</si>
  <si>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</si>
  <si>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</si>
  <si>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RNA selected a 2016 forward revenue multiple close to the median of the range exhibited by the Guideline Public Companies since</t>
  </si>
  <si>
    <t xml:space="preserve">RNA assigned equal weights to the LTM and 2016 forward revenue multiples because </t>
  </si>
  <si>
    <t>Outliers above</t>
  </si>
  <si>
    <t>Outliers below</t>
  </si>
  <si>
    <t>RNA selected 2016 forward revenue multiple close to the median of the range exhibited by the Guideline Transactions because</t>
  </si>
  <si>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</si>
  <si>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</si>
  <si>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</si>
  <si>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Includes consideration of net operating losses in determining taxable income based on information provided by Management.</t>
  </si>
  <si>
    <t>Intends to reflect an all-in corporate tax rate based on guidance provided by Management.</t>
  </si>
  <si>
    <t>Capital expenditures through the discrete period calculated based on the median of the range of Guideline Public Companies.</t>
  </si>
  <si>
    <t xml:space="preserve">Change in non-cash working capital ("NCWC") from 2016 through 2018 provided by Management, thereafter extended the change in NCWC estimates in line with the median of the </t>
  </si>
  <si>
    <t xml:space="preserve">The terminal value was calculated using a Gordon Growth Multiple: (1+g)/(k-g), where g = growth and k = discount rate. </t>
  </si>
  <si>
    <t>Capital structure weighting based on observations of the Guideline Public Companies, as well as company-specific considerations.</t>
  </si>
  <si>
    <t>Based on consideration of the average bond yield for the Moody's Baa Rated Index as of the Valuation Date, and company-specific considerations.</t>
  </si>
  <si>
    <t>Re-levered based on the capital structure weighting portrayed herein.</t>
  </si>
  <si>
    <t xml:space="preserve">Based on the </t>
  </si>
  <si>
    <t>Based on information provided by Management.</t>
  </si>
  <si>
    <t>Assumes that all remaining options expected to be granted prior to exits contemplated under the PWERM.</t>
  </si>
  <si>
    <t>Completed Date</t>
  </si>
  <si>
    <t>Deal Type</t>
  </si>
  <si>
    <t>Licensee</t>
  </si>
  <si>
    <t>Licensor</t>
  </si>
  <si>
    <t>Stage of Development</t>
  </si>
  <si>
    <t>Deal Value</t>
  </si>
  <si>
    <t>Upfront Payment</t>
  </si>
  <si>
    <t>Upfront as a % of Deal Value</t>
  </si>
  <si>
    <t>Discovery &amp; Preclinical</t>
  </si>
  <si>
    <t>TRACON Pharmaceuticals, Inc.</t>
  </si>
  <si>
    <t>Johnson &amp; Johnson</t>
  </si>
  <si>
    <t>Celgene Corporation</t>
  </si>
  <si>
    <t>Sanofi S.A.</t>
  </si>
  <si>
    <t>Regeneron Pharmaceuticals, Inc.</t>
  </si>
  <si>
    <t>Discovery</t>
  </si>
  <si>
    <t>Novartis AG</t>
  </si>
  <si>
    <t>Tobira Therapeutics, Inc.</t>
  </si>
  <si>
    <t>Corvus Pharmaceuticals, Inc.</t>
  </si>
  <si>
    <t>Kyowa Hakko Kirin Co., Ltd.</t>
  </si>
  <si>
    <t>Syndax Pharmaceuticals, Inc.</t>
  </si>
  <si>
    <t>Baxter International Inc.</t>
  </si>
  <si>
    <t>Marketed</t>
  </si>
  <si>
    <t>NDA</t>
  </si>
  <si>
    <t>Blueprint Medicines Corporation</t>
  </si>
  <si>
    <t>Initial Public Offerings Data</t>
  </si>
  <si>
    <t>IPO - METRICS (BIOPHARMA)</t>
  </si>
  <si>
    <t>Development</t>
  </si>
  <si>
    <t>IPO</t>
  </si>
  <si>
    <t>Offering Price at IPO</t>
  </si>
  <si>
    <t>Price Range</t>
  </si>
  <si>
    <t>Trading Price after 1 month of listing</t>
  </si>
  <si>
    <t>Shares Offered</t>
  </si>
  <si>
    <t>Shares After IPO</t>
  </si>
  <si>
    <t>Pre-IPO 
Equity Value</t>
  </si>
  <si>
    <t>Market Cap after 1 month of listing - Pre IPO shares</t>
  </si>
  <si>
    <t>First Sale Date</t>
  </si>
  <si>
    <t>30 days from first listing date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</si>
  <si>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</si>
  <si>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</si>
  <si>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</si>
  <si>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</si>
  <si>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</si>
  <si>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</si>
  <si>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</si>
  <si>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</si>
  <si>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</si>
  <si>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</si>
  <si>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</si>
  <si>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</si>
  <si>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</si>
  <si>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</si>
  <si>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</si>
  <si>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</si>
  <si>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</si>
  <si>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</si>
  <si>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</si>
  <si>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</si>
  <si>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</si>
  <si>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</si>
  <si>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</si>
  <si>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</si>
  <si>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</si>
  <si>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</si>
  <si>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</si>
  <si>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</si>
  <si>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</si>
  <si>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</si>
  <si>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</si>
  <si>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</si>
  <si>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</si>
  <si>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</si>
  <si>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</si>
  <si>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</si>
  <si>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</si>
  <si>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</si>
  <si>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</si>
  <si>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</si>
  <si>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</si>
  <si>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</si>
  <si>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</si>
  <si>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</si>
  <si>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</si>
  <si>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</si>
  <si>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</si>
  <si>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</si>
  <si>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</si>
  <si>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</si>
  <si>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</si>
  <si>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</si>
  <si>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</si>
  <si>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</si>
  <si>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</si>
  <si>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</si>
  <si>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</si>
  <si>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</si>
  <si>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</si>
  <si>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</si>
  <si>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</si>
  <si>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</si>
  <si>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</si>
  <si>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</si>
  <si>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</si>
  <si>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</si>
  <si>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</si>
  <si>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</si>
  <si>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</si>
  <si>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</si>
  <si>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</si>
  <si>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</si>
  <si>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</si>
  <si>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</si>
  <si>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</si>
  <si>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</si>
  <si>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</si>
  <si>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</si>
  <si>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</si>
  <si>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</si>
  <si>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</si>
  <si>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</si>
  <si>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</si>
  <si>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</si>
  <si>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</si>
  <si>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</si>
  <si>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</si>
  <si>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</si>
  <si>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</si>
  <si>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</si>
  <si>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</si>
  <si>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</si>
  <si>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</si>
  <si>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</si>
  <si>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</si>
  <si>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NasdaqCM:AXSM</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</si>
  <si>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</si>
  <si>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</si>
  <si>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</si>
  <si>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</si>
  <si>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</si>
  <si>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</si>
  <si>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</si>
  <si>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</si>
  <si>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</si>
  <si>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</si>
  <si>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</si>
  <si>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</si>
  <si>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</si>
  <si>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</si>
  <si>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</si>
  <si>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</si>
  <si>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</si>
  <si>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</si>
  <si>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</si>
  <si>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</si>
  <si>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</si>
  <si>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</si>
  <si>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</si>
  <si>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</si>
  <si>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</si>
  <si>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</si>
  <si>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</si>
  <si>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</si>
  <si>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</si>
  <si>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</si>
  <si>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</si>
  <si>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</si>
  <si>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</si>
  <si>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</si>
  <si>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</si>
  <si>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</si>
  <si>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</si>
  <si>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</si>
  <si>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</si>
  <si>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</si>
  <si>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</si>
  <si>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</si>
  <si>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</si>
  <si>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</si>
  <si>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</si>
  <si>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</si>
  <si>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</si>
  <si>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</si>
  <si>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</si>
  <si>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</si>
  <si>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</si>
  <si>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</si>
  <si>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</si>
  <si>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</si>
  <si>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</si>
  <si>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</si>
  <si>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</si>
  <si>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</si>
  <si>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</si>
  <si>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</si>
  <si>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</si>
  <si>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</si>
  <si>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</si>
  <si>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</si>
  <si>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</si>
  <si>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</si>
  <si>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</si>
  <si>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</si>
  <si>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</si>
  <si>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</si>
  <si>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</si>
  <si>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</si>
  <si>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</si>
  <si>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</si>
  <si>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</si>
  <si>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</si>
  <si>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</si>
  <si>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</si>
  <si>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</si>
  <si>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</si>
  <si>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</si>
  <si>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</si>
  <si>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</si>
  <si>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</si>
  <si>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</si>
  <si>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</si>
  <si>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</si>
  <si>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</si>
  <si>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</si>
  <si>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</si>
  <si>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</si>
  <si>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</si>
  <si>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</si>
  <si>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</si>
  <si>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</si>
  <si>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</si>
  <si>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</si>
  <si>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</si>
  <si>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</si>
  <si>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</si>
  <si>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</si>
  <si>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</si>
  <si>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</si>
  <si>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</si>
  <si>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</si>
  <si>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</si>
  <si>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</si>
  <si>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</si>
  <si>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</si>
  <si>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</si>
  <si>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</si>
  <si>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</si>
  <si>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</si>
  <si>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</si>
  <si>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</si>
  <si>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</si>
  <si>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</si>
  <si>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</si>
  <si>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</si>
  <si>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</si>
  <si>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</si>
  <si>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</si>
  <si>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</si>
  <si>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</si>
  <si>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</si>
  <si>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</si>
  <si>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</si>
  <si>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</si>
  <si>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</si>
  <si>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</si>
  <si>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</si>
  <si>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</si>
  <si>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</si>
  <si>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</si>
  <si>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</si>
  <si>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</si>
  <si>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</si>
  <si>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</si>
  <si>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</si>
  <si>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</si>
  <si>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</si>
  <si>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</si>
  <si>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</si>
  <si>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</si>
  <si>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</si>
  <si>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</si>
  <si>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</si>
  <si>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</si>
  <si>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</si>
  <si>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</si>
  <si>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</si>
  <si>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</si>
  <si>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</si>
  <si>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</si>
  <si>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</si>
  <si>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</si>
  <si>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</si>
  <si>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</si>
  <si>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</si>
  <si>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</si>
  <si>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</si>
  <si>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</si>
  <si>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</si>
  <si>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</si>
  <si>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</si>
  <si>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Bellicum Pharmaceuticals, Inc.</t>
  </si>
  <si>
    <t>NasdaqGM:BLCM</t>
  </si>
  <si>
    <t>IQTR277811569</t>
  </si>
  <si>
    <t>IQ29554867</t>
  </si>
  <si>
    <t>Bellicum Pharmaceuticals, Inc., a clinical stage biopharmaceutical company, focuses on discovering and developing novel cellular immunotherapies for the treatment of hematological cancers, solid tumors, and orphan inherited blood disorders in the United States and internationally. Its clinical product candidate is BPX-501, an adjunct T-cell therapy in multiple Phase I/II clinical trials, administered after allogeneic hematopoietic stem cell transplantation. The company’s preclinical product candidates include BPX-601, a chimeric antigen receptor (CAR-T) product candidate for treating solid tumors expressing the prostate stem cell antigen; BPX-701, a TCR product candidate for the treatment of solid tumors expressing the preferentially-expressed antigen in melanoma; and BPX-401, a CAR-T product candidate for the treatment of hematological cancers that express the CD19 antigen. The company has a research collaboration agreement with Holland's Leiden University Medical Center to discover and validate natural high-affinity T cell receptor product candidates targeting various cancers. Bellicum Pharmaceuticals, Inc. was founded in 2004 and is headquartered in Houston, Texas.</t>
  </si>
  <si>
    <t>Juno Therapeutics Inc.</t>
  </si>
  <si>
    <t>NasdaqGS:JUNO</t>
  </si>
  <si>
    <t>IQTR277411036</t>
  </si>
  <si>
    <t>IQ252447310</t>
  </si>
  <si>
    <t>Juno Therapeutics, Inc., a biopharmaceutical company, engages in developing cell-based cancer immunotherapies. The company develops cell-based cancer immunotherapies based on its chimeric antigen receptor and T cell receptor technologies to genetically engineer T cells to recognize and kill cancer cells. Its clinical stage CD19 product candidates include JCAR015 that is in Phase II clinical trials for adult patients with relapsed/refractory B cell acute lymphoblastic leukemia (r/r ALL); JCAR017, which is in Phase I/II trials for pediatric patients with r/r ALL; and JCAR014 that is in Phase I/II trials to treat various B cell malignancies in patients relapsed or refractory to standard therapies. The company’s additional product candidates comprise CD22, a cell surface protein expressed on B lymphocytes; CD171, a cell-surface adhesion molecule to treat neuroblastoma; MUC-16, a protein for treating ovarian cancers; IL-12, a cytokine to overcome the inhibitory effects; ROR-1, a protein for the treatment of non-small cell lung, triple negative breast, pancreatic, and prostate cancers; and WT-1, an intracellular protein that is in Phase I/II clinical trials to treat adult myeloid leukemia and non-small cell lung, breast, pancreatic, ovarian, and colorectal cancers. Juno Therapeutics, Inc. has collaboration agreements with Celgene Corporation, Editas Medicine, Inc., Fate Therapeutics, Inc., MedImmune Limited, and Memorial Sloan Kettering Cancer Center. The company was formerly known as FC Therapeutics, Inc. and changed its name to Juno Therapeutics, Inc. in October 2013. Juno Therapeutics, Inc. was founded in 2013 and is headquartered in Seattle, Washington.</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</si>
  <si>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</si>
  <si>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</si>
  <si>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</si>
  <si>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</si>
  <si>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</si>
  <si>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</si>
  <si>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</si>
  <si>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</si>
  <si>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</si>
  <si>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</si>
  <si>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</si>
  <si>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</si>
  <si>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</si>
  <si>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</si>
  <si>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</si>
  <si>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</si>
  <si>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</si>
  <si>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</si>
  <si>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</si>
  <si>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Intersect ENT, Inc.</t>
  </si>
  <si>
    <t>NasdaqGM:XENT</t>
  </si>
  <si>
    <t>IQTR266643354</t>
  </si>
  <si>
    <t>IQ37464681</t>
  </si>
  <si>
    <t>NasdaqGM:SAGE</t>
  </si>
  <si>
    <t>Roka Bioscience, Inc.</t>
  </si>
  <si>
    <t>NasdaqGM:ROKA</t>
  </si>
  <si>
    <t>IQTR264238438</t>
  </si>
  <si>
    <t>IQ65148484</t>
  </si>
  <si>
    <t>CareDx, Inc</t>
  </si>
  <si>
    <t>NasdaqGM:CDNA</t>
  </si>
  <si>
    <t>IQTR265379464</t>
  </si>
  <si>
    <t>IQ9985914</t>
  </si>
  <si>
    <t>CareDx, Inc., a molecular diagnostics company, focuses on the discovery, development, and commercialization of diagnostic surveillance solutions for transplant patients in the United States and internationally. The company’s commercialized testing solution includes the AlloMap heart transplant molecular test (AlloMap), a gene expression test that helps clinicians monitor and identify heart transplant recipients with stable graft function who have a low probability of moderate/severe acute cellular rejection. It is also developing AlloSure, a next-generation sequencing-based test to detect donor-derived cell-free DNA after transplantation. The company markets its AlloMap solution to healthcare providers through its direct sales force that targets transplant centers and their physicians, coordinators, and nurse practitioners. The company was formerly known as XDx, Inc. and changed its name to CareDx, Inc. in March 2014. CareDx, Inc. was incorporated in 1998 and is headquartered in Brisbane, California.</t>
  </si>
  <si>
    <t>NasdaqCM:GBIM</t>
  </si>
  <si>
    <t>NasdaqGM:NERV</t>
  </si>
  <si>
    <t>NasdaqGS:AMPH</t>
  </si>
  <si>
    <t>Kite Pharma, Inc.</t>
  </si>
  <si>
    <t>NasdaqGS:KITE</t>
  </si>
  <si>
    <t>IQTR264099256</t>
  </si>
  <si>
    <t>IQ128240703</t>
  </si>
  <si>
    <t>Kite Pharma, Inc., a clinical-stage biopharmaceutical company, focuses on the development and commercialization of novel cancer immunotherapy products. The company is developing a pipeline of engineered autologous cell therapy-based product candidates for the treatment of solid and hematological malignancies. Its lead product candidate is KTE-C19, a chimeric antigen receptors (CAR)-based therapy that is in Phase 2 clinical trials for the treatment of patients with refractory diffuse large B cell lymphoma, including primary mediastinal B cell lymphoma and transformed follicular lymphoma. The company is also conducting a Phase 2 clinical trial of KTE-C19 on patients with relapsed/refractory mantle cell lymphoma; a Phase 1-2 clinical trial of KTE-C19 on adult patients with relapsed/refractory acute lymphoblastic leukemia; and a Phase 1-2 clinical trial of KTE-C19 in pediatric patients with relapsed/refractory. In addition, it engages in developing T cell receptors-based therapies, which targets self-antigens, viral antigens, and neo-antigens. The company has a research collaboration and license agreement with Amgen Inc. to develop and commercialize various CAR-based product candidates; collaboration agreements with the Surgery Branch of the National Cancer Institute and bluebird bio, Inc.; cooperative research and development agreements with the U.S. Department of Health and Human Services; a license agreement with Cabaret Biotech Ltd.; a license and research agreement with Alpine Immune Sciences, Inc.; and a clinical trial collaboration agreement with Genentech to evaluate the safety and efficacy of KTE-C19, in combination with atezolizumab in patients with non-Hodgkin lymphoma. Kite Pharma, Inc. was founded in 2009 and is headquartered in Santa Monica, California.</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</si>
  <si>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</si>
  <si>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</si>
  <si>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</si>
  <si>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</si>
  <si>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</si>
  <si>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</si>
  <si>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</si>
  <si>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</si>
  <si>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</si>
  <si>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</si>
  <si>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</si>
  <si>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</si>
  <si>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</si>
  <si>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</si>
  <si>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</si>
  <si>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</si>
  <si>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</si>
  <si>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</si>
  <si>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</si>
  <si>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</si>
  <si>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</si>
  <si>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</si>
  <si>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</si>
  <si>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</si>
  <si>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</si>
  <si>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</si>
  <si>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</si>
  <si>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Per Share Value Summary</t>
  </si>
  <si>
    <t>Concluded Common Stock Price</t>
  </si>
  <si>
    <t>Methodology Summary</t>
  </si>
  <si>
    <t>Primary Methodology</t>
  </si>
  <si>
    <t>Confirming Methodology</t>
  </si>
  <si>
    <t xml:space="preserve">Preferred (Debt-Like Component) </t>
  </si>
  <si>
    <t xml:space="preserve">Preferred (Equity-Like Component) </t>
  </si>
  <si>
    <t xml:space="preserve">Equity (Common + Granted Options/Warrants) </t>
  </si>
  <si>
    <t>Cost of Capital (Enterprise Level - Portfolio)</t>
  </si>
  <si>
    <t>Most Recent Round</t>
  </si>
  <si>
    <t>Round Date</t>
  </si>
  <si>
    <t>Most Recent Round Price</t>
  </si>
  <si>
    <t>Most Recent Raise</t>
  </si>
  <si>
    <t>Total Shares Outstanding</t>
  </si>
  <si>
    <t>Last Options Granted Strike Price</t>
  </si>
  <si>
    <t>Common as a % of Latest Preferred Round</t>
  </si>
  <si>
    <t>OPM Term to Exit (Years)</t>
  </si>
  <si>
    <t>OPM Term to Exit (Date)</t>
  </si>
  <si>
    <t>Updated upto:</t>
  </si>
  <si>
    <t>Performance of Entity</t>
  </si>
  <si>
    <t>Assets Best Use</t>
  </si>
  <si>
    <t>Number of Potential Buyers</t>
  </si>
  <si>
    <t>Access to Capital</t>
  </si>
  <si>
    <t>Size of Business</t>
  </si>
  <si>
    <t>Glamour of Entity</t>
  </si>
  <si>
    <t>Implied Discount for Lack of Control ("DLOC") - Common</t>
  </si>
  <si>
    <t>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t>
  </si>
  <si>
    <t>Less: Debt as of Exit Date</t>
  </si>
  <si>
    <t>Based on the 25th segment ranked by sales for the Duff &amp; Phelps, LLC Risk Premium Report 2016.</t>
  </si>
  <si>
    <t>Pre-Tax Cost of Debt</t>
  </si>
  <si>
    <t>#</t>
  </si>
  <si>
    <t>Exit Scenario wise exit %</t>
  </si>
  <si>
    <t>Do Not Delete</t>
  </si>
  <si>
    <t>Applied Probabilities</t>
  </si>
  <si>
    <t>IND</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</si>
  <si>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</si>
  <si>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</si>
  <si>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</si>
  <si>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</si>
  <si>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</si>
  <si>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</si>
  <si>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</si>
  <si>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</si>
  <si>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</si>
  <si>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</si>
  <si>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</si>
  <si>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</si>
  <si>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</si>
  <si>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</si>
  <si>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</si>
  <si>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</si>
  <si>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</si>
  <si>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</si>
  <si>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</si>
  <si>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</si>
  <si>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</si>
  <si>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</si>
  <si>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</si>
  <si>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</si>
  <si>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</si>
  <si>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</si>
  <si>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</si>
  <si>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</si>
  <si>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</si>
  <si>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</si>
  <si>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</si>
  <si>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</si>
  <si>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</si>
  <si>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</si>
  <si>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</si>
  <si>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</si>
  <si>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</si>
  <si>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</si>
  <si>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</si>
  <si>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</si>
  <si>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</si>
  <si>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</si>
  <si>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</si>
  <si>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</si>
  <si>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</si>
  <si>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</si>
  <si>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</si>
  <si>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</si>
  <si>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smallest (in millions)</t>
  </si>
  <si>
    <t>largest (in millions)</t>
  </si>
  <si>
    <t xml:space="preserve"> Year - 2017</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</si>
  <si>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</si>
  <si>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</si>
  <si>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</si>
  <si>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</si>
  <si>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</si>
  <si>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</si>
  <si>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</si>
  <si>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</si>
  <si>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</si>
  <si>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</si>
  <si>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</si>
  <si>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</si>
  <si>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</si>
  <si>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</si>
  <si>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</si>
  <si>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</si>
  <si>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Milestone Payment (if applicable)</t>
  </si>
  <si>
    <t>Probability of Dissolution (captured in OPM)</t>
  </si>
  <si>
    <t>First BKP</t>
  </si>
  <si>
    <t>Depreciation % Inputs</t>
  </si>
  <si>
    <t>Convention</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</si>
  <si>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</si>
  <si>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</si>
  <si>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</si>
  <si>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</si>
  <si>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</si>
  <si>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</si>
  <si>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</si>
  <si>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</si>
  <si>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</si>
  <si>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</si>
  <si>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</si>
  <si>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</si>
  <si>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</si>
  <si>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</si>
  <si>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</si>
  <si>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</si>
  <si>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</si>
  <si>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</si>
  <si>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</si>
  <si>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</si>
  <si>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</si>
  <si>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</si>
  <si>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</si>
  <si>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</si>
  <si>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</si>
  <si>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</si>
  <si>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</si>
  <si>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</si>
  <si>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</si>
  <si>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</si>
  <si>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</si>
  <si>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</si>
  <si>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</si>
  <si>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</si>
  <si>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</si>
  <si>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20 Year MACRS</t>
  </si>
  <si>
    <t>Half yearly</t>
  </si>
  <si>
    <t>39 Year MACRS</t>
  </si>
  <si>
    <t>Yearly</t>
  </si>
  <si>
    <t>15 Year MACRS</t>
  </si>
  <si>
    <t>10 Year MACRS</t>
  </si>
  <si>
    <t>7 Year MACRS</t>
  </si>
  <si>
    <t>5 Year MACRS</t>
  </si>
  <si>
    <t>3 Year MACRS</t>
  </si>
  <si>
    <t>Existing Fixed Assets</t>
  </si>
  <si>
    <t>Blended Rate</t>
  </si>
  <si>
    <t>Life Completed (years)</t>
  </si>
  <si>
    <t>Existing Fixed Assets (1)</t>
  </si>
  <si>
    <t xml:space="preserve">Allocation </t>
  </si>
  <si>
    <t>Capital Expenditures Year:</t>
  </si>
  <si>
    <t>Depreciation - New Capex</t>
  </si>
  <si>
    <t>Total Depreciation</t>
  </si>
  <si>
    <t>Capital expenditure class allocation schedule has been provided by Management. The depreciation % considered is half yearly convention as per modified accelerated cost recovery system (MACRS). Source: http://www.smbiz.com/sbrl012.html#hy</t>
  </si>
  <si>
    <t>(1) Includes consideration of net operating losses in determining taxable income based on information provided by Management.</t>
  </si>
  <si>
    <t>5 year Straight Line</t>
  </si>
  <si>
    <t>7 year Straight Line</t>
  </si>
  <si>
    <t>10 year Straight Line</t>
  </si>
  <si>
    <t>15 Year Straight Line</t>
  </si>
  <si>
    <t>20 Year Straight Line</t>
  </si>
  <si>
    <t>Depreciation - MACRS</t>
  </si>
  <si>
    <t>Outline - Workpapers</t>
  </si>
  <si>
    <t>Workpaper Number</t>
  </si>
  <si>
    <t>Workpaper Labeling</t>
  </si>
  <si>
    <t xml:space="preserve">Common </t>
  </si>
  <si>
    <t>RNA applied a discount to the enterprise value computing using forward revenue and LTM revenue multiples.</t>
  </si>
  <si>
    <t>Discount Factor (3)</t>
  </si>
  <si>
    <t>Discount Factor (2)</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</si>
  <si>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</si>
  <si>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</si>
  <si>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</si>
  <si>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</si>
  <si>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</si>
  <si>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</si>
  <si>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</si>
  <si>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</si>
  <si>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</si>
  <si>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</si>
  <si>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</si>
  <si>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</si>
  <si>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</si>
  <si>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</si>
  <si>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</si>
  <si>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</si>
  <si>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</si>
  <si>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</si>
  <si>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</si>
  <si>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</si>
  <si>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</si>
  <si>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</si>
  <si>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</si>
  <si>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</si>
  <si>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</si>
  <si>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</si>
  <si>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</si>
  <si>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</si>
  <si>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</si>
  <si>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</si>
  <si>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</si>
  <si>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</si>
  <si>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</si>
  <si>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</si>
  <si>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</si>
  <si>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</si>
  <si>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</si>
  <si>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</si>
  <si>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</si>
  <si>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</si>
  <si>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</si>
  <si>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</si>
  <si>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</si>
  <si>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</si>
  <si>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</si>
  <si>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NasdaqGS:BLUE</t>
  </si>
  <si>
    <t>IQTR240095442</t>
  </si>
  <si>
    <t>IQ28921</t>
  </si>
  <si>
    <t>bluebird bio, Inc., a clinical-stage biotechnology company, focuses on developing transformative gene therapies for severe genetic and rare diseases. Its product candidates include Lenti-D, which is in phase II/III clinical studies for the treatment of cerebral adrenoleukodystrophy, a rare, hereditary neurological disorder; and LentiGlobin that is in phase I/II clinical studies for the treatment of beta-thalassemia major and severe sickle cell disease (SCD) in France, as well as a phase I study in the United States for the treatment of severe SCD. The company’s lead chimeric antigen receptor T cell-based product candidate is bb2121, which is in phase I clinical trials for the treatment of relapsed and refractory multiple myeloma. bluebird bio, Inc. has a strategic collaboration with Celgene Corporation to discover, develop, and commercialize disease-altering gene therapies in oncology; and Kite Pharma, Inc. to develop and commercialize second generation T cell receptor product candidates against the human papillomavirus type 16 E6 oncoprotein. The company was formerly known as Genetix Pharmaceuticals, Inc., and changed its name to bluebird bio, Inc. in September 2010. bluebird bio, Inc. was founded in 1992 and is headquartered in Cambridge, Massachusetts.</t>
  </si>
  <si>
    <t>Phase III and NDA Filed</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</si>
  <si>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</si>
  <si>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</si>
  <si>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</si>
  <si>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</si>
  <si>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</si>
  <si>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</si>
  <si>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</si>
  <si>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</si>
  <si>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</si>
  <si>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</si>
  <si>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</si>
  <si>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</si>
  <si>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IPO - METRICS</t>
  </si>
  <si>
    <t>Offer Date</t>
  </si>
  <si>
    <t>Post IPO</t>
  </si>
  <si>
    <t>Post IPO + 30 Days</t>
  </si>
  <si>
    <t>Enterprise</t>
  </si>
  <si>
    <t>Multiple</t>
  </si>
  <si>
    <t xml:space="preserve">Multiple </t>
  </si>
  <si>
    <t xml:space="preserve"> Value</t>
  </si>
  <si>
    <t>iRhythm Technologies, Inc.</t>
  </si>
  <si>
    <t>NasdaqGM:IRTC</t>
  </si>
  <si>
    <t>IQTR402652323</t>
  </si>
  <si>
    <t>IQ34159879</t>
  </si>
  <si>
    <t>Obalon Therapeutics, Inc.</t>
  </si>
  <si>
    <t>NasdaqGM:OBLN</t>
  </si>
  <si>
    <t>IQTR383379322</t>
  </si>
  <si>
    <t>IQ41660644</t>
  </si>
  <si>
    <t>Tactile Systems Technology, Inc.</t>
  </si>
  <si>
    <t>NasdaqGM:TCMD</t>
  </si>
  <si>
    <t>IQTR323391525</t>
  </si>
  <si>
    <t>IQ6233509</t>
  </si>
  <si>
    <t>Pulse Biosciences, Inc.</t>
  </si>
  <si>
    <t>NasdaqCM:PLSE</t>
  </si>
  <si>
    <t>IQTR340039751</t>
  </si>
  <si>
    <t>IQ276735354</t>
  </si>
  <si>
    <t>PAVmed Inc.</t>
  </si>
  <si>
    <t>NasdaqCM:PAVM</t>
  </si>
  <si>
    <t>IQTR324054248</t>
  </si>
  <si>
    <t>IQ277974005</t>
  </si>
  <si>
    <t>Penumbra, Inc.</t>
  </si>
  <si>
    <t>NYSE:PEN</t>
  </si>
  <si>
    <t>IQTR309360508</t>
  </si>
  <si>
    <t>IQ28688621</t>
  </si>
  <si>
    <t>ConforMIS, Inc.</t>
  </si>
  <si>
    <t>NasdaqGS:CFMS</t>
  </si>
  <si>
    <t>IQTR301965169</t>
  </si>
  <si>
    <t>IQ22001832</t>
  </si>
  <si>
    <t>Glaukos Corporation</t>
  </si>
  <si>
    <t>NYSE:GKOS</t>
  </si>
  <si>
    <t>IQTR301015306</t>
  </si>
  <si>
    <t>IQ3131592</t>
  </si>
  <si>
    <t>AirXpanders, Inc.</t>
  </si>
  <si>
    <t>ASX:AXP</t>
  </si>
  <si>
    <t>IQTR300922266</t>
  </si>
  <si>
    <t>IQ30348884</t>
  </si>
  <si>
    <t>Invuity, Inc.</t>
  </si>
  <si>
    <t>NasdaqGM:IVTY</t>
  </si>
  <si>
    <t>IQTR291764631</t>
  </si>
  <si>
    <t>IQ52419231</t>
  </si>
  <si>
    <t>EndoChoice Holdings, Inc.</t>
  </si>
  <si>
    <t>IQ276305745</t>
  </si>
  <si>
    <t>IQTR296178104</t>
  </si>
  <si>
    <t>Avinger, Inc.</t>
  </si>
  <si>
    <t>NasdaqGM:AVGR</t>
  </si>
  <si>
    <t>IQTR280838605</t>
  </si>
  <si>
    <t>IQ98560456</t>
  </si>
  <si>
    <t>Entellus Medical, Inc.</t>
  </si>
  <si>
    <t>NasdaqGM:ENTL</t>
  </si>
  <si>
    <t>IQTR280524672</t>
  </si>
  <si>
    <t>IQ35555971</t>
  </si>
  <si>
    <t>Second Sight Medical Products, Inc.</t>
  </si>
  <si>
    <t>NasdaqCM:EYES</t>
  </si>
  <si>
    <t>IQTR276205620</t>
  </si>
  <si>
    <t>IQ7715922</t>
  </si>
  <si>
    <t>Nevro Corp.</t>
  </si>
  <si>
    <t>NYSE:NVRO</t>
  </si>
  <si>
    <t>IQTR273843042</t>
  </si>
  <si>
    <t>IQ30485592</t>
  </si>
  <si>
    <t>Great Basin Scientific, Inc.</t>
  </si>
  <si>
    <t>IQ49442390</t>
  </si>
  <si>
    <t>IQTR269958834</t>
  </si>
  <si>
    <t>IRadimed Corporation</t>
  </si>
  <si>
    <t>NasdaqCM:IRMD</t>
  </si>
  <si>
    <t>IQTR268366521</t>
  </si>
  <si>
    <t>IQ22110569</t>
  </si>
  <si>
    <t>K2M Group Holdings, Inc.</t>
  </si>
  <si>
    <t>NasdaqGS:KTWO</t>
  </si>
  <si>
    <t>IQTR260414996</t>
  </si>
  <si>
    <t>IQ260414991</t>
  </si>
  <si>
    <t>Lombard Medical, Inc.</t>
  </si>
  <si>
    <t>NasdaqGM:EVAR</t>
  </si>
  <si>
    <t>IQTR260150572</t>
  </si>
  <si>
    <t>IQ20947639</t>
  </si>
  <si>
    <t>TriVascular Technologies, Inc.</t>
  </si>
  <si>
    <t>IQ42894289</t>
  </si>
  <si>
    <t>IQTR260150583</t>
  </si>
  <si>
    <t>Semler Scientific, Inc.</t>
  </si>
  <si>
    <t>IQ248606993</t>
  </si>
  <si>
    <t>IQTR251548850</t>
  </si>
  <si>
    <t>Inogen, Inc.</t>
  </si>
  <si>
    <t>NasdaqGS:INGN</t>
  </si>
  <si>
    <t>IQTR252184099</t>
  </si>
  <si>
    <t>IQ7701753</t>
  </si>
  <si>
    <t>Amedica Corporation</t>
  </si>
  <si>
    <t>NasdaqCM:AMDA</t>
  </si>
  <si>
    <t>IQTR250068893</t>
  </si>
  <si>
    <t>IQ7282516</t>
  </si>
  <si>
    <t>Tandem Diabetes Care, Inc.</t>
  </si>
  <si>
    <t>NasdaqGM:TNDM</t>
  </si>
  <si>
    <t>IQTR247854082</t>
  </si>
  <si>
    <t>IQ46368713</t>
  </si>
  <si>
    <t>Veracyte, Inc.</t>
  </si>
  <si>
    <t>NasdaqGM:VCYT</t>
  </si>
  <si>
    <t>IQTR247100680</t>
  </si>
  <si>
    <t>IQ42154124</t>
  </si>
  <si>
    <t>Updated As on</t>
  </si>
  <si>
    <t>( Source:Neotract VD 3/31/17)</t>
  </si>
  <si>
    <t>IPO - METRICS (DIAGNOSTICS)</t>
  </si>
  <si>
    <t>Fulgent Genetics, Inc.</t>
  </si>
  <si>
    <t>NasdaqGM:FLGT</t>
  </si>
  <si>
    <t>IQTR382674010</t>
  </si>
  <si>
    <t>IQ315621345</t>
  </si>
  <si>
    <t>Fulgent Genetics, Inc., a technology company, focuses on providing genetic testing services to physicians with clinically actionable diagnostic information. The company’s technology platform integrates data comparison and suppression algorithms, learning software, and genetic diagnostics tools and integrated laboratory processes. It primarily serves hospitals and medical institutions. The company was formerly known as Fulgent Diagnostics, Inc. and changed its name to Fulgent Genetics, Inc. in August 2016. Fulgent Genetics, Inc. was founded in 2011 and is headquartered in Temple City, California.</t>
  </si>
  <si>
    <t>NantHealth, Inc.</t>
  </si>
  <si>
    <t>NasdaqGS:NH</t>
  </si>
  <si>
    <t>IQTR334962584</t>
  </si>
  <si>
    <t>IQ222554189</t>
  </si>
  <si>
    <t>NantHealth, Inc. operates as an evidence-based personalized healthcare company. The company engages in converging science and technology through an integrated clinical platform to provide health information at the point of care for critical illnesses. It develops NantHealth solutions, an adaptive learning system, including molecular profiling solution, software, middleware, and hardware systems infrastructure that collects, indexes, analyzes, and interprets various molecular, clinical, operational, and financial data points derived from novel and traditional sources to enhance decision-making. The company’s products include Genomic Proteomic Spectrometry (GPS) Cancer molecular profile that integrates whole genome and transcriptome sequencing, and quantitative proteomics; GPS Cancer Report, a clinical cancer platform; and eviti, a decision support oncology solution. It also develops GPS in rare diseases and chronic illnesses. In addition, the company offers Nant Operating System (NantOS) and NantOS apps that include proprietary methods and algorithms, including patient portal and health heritage NantOS apps, care coordination and real-time connectivity NantOS apps, Provider Portal NantOS App, Care Coordination NantOS App Suite, Referral Management NantOS App, and Secure Messaging NantOS App, as well as cancer genome browser for healthcare providers and payors, self-insured employers, and biopharmaceutical companies. Further, it provides real-time clinical learning NantOS, NantOS Apps, and engagement services comprising outcomes analytics, value monitor NantOS App, population health assessment NantOS App suite, Mission Control patient engagement services, and home health services; and NaviNet Open, a multi-tenant payor portal. The company was formerly known as Nant Health, LLC and changed its name to NantHealth, Inc. in June 2016. The company was founded in 2010 and is headquartered in Culver City, California. NantHealth, Inc. is a subsidiary of NantWorks, LLC.</t>
  </si>
  <si>
    <t>HTG Molecular Diagnostics, Inc.</t>
  </si>
  <si>
    <t>NasdaqCM:HTGM</t>
  </si>
  <si>
    <t>IQTR280838156</t>
  </si>
  <si>
    <t>IQ1519732</t>
  </si>
  <si>
    <t>HTG Molecular Diagnostics, Inc. develops and markets technology platforms that facilitate the routine use of complex molecular profiling. The company’s HTG Edge and HTG EdgeSeq platforms consist of instrumentation, consumables, and software analytics that are used in molecular profiling applications, including tumor profiling, biomarker development and prospectively, and molecular diagnostic testing. The company’s platforms automate the molecular profiling of genes and gene activity using its nuclease protection chemistry on various biological samples. It provides molecular profiling panels targeting late stage drug development programs with potential breakthrough therapies, such as immuno-oncology. HTG Molecular Diagnostics, Inc. distributes its instruments and consumables directly in the United States and Europe; and through distributors or sales agents in parts of Europe and internationally. The company was formerly known as HTG, Inc. and changed its name to HTG Molecular Diagnostics, Inc. in March 2011. HTG Molecular Diagnostics, Inc. was incorporated in 1997 and is based in Tucson, Arizona.</t>
  </si>
  <si>
    <t>Capnia, Inc.</t>
  </si>
  <si>
    <t>NasdaqCM:CAPN</t>
  </si>
  <si>
    <t>IQTR276752870</t>
  </si>
  <si>
    <t>IQ2520553</t>
  </si>
  <si>
    <t>Capnia, Inc. develops and commercializes neonatology devices, diagnostics, and therapeutics platform based on its proprietary technology for precision metering of gas flow primarily in the United States. The company offers CoSense, an end-tidal carbon monoxide monitor, for the diagnosis of excessive hemolysis, a condition in which red blood cells degrade rapidly. It also develops Serenz, a handheld device that delivers non-inhaled carbon dioxide topically to the nasal mucosa for the treatment of symptoms of allergic rhinitis. In addition, the company provides NeoPip T-piece resuscitator and related consumables, which delivers consistent pre-set inspiratory pressure and positive end-expiratory pressures; temperature probes; scales; surgical tables; and patient surfaces for inpatient and ambulatory neonatal markets. Capnia, Inc. was founded in 1999 and is headquartered in Redwood City, California.</t>
  </si>
  <si>
    <t>T2 Biosystems, Inc.</t>
  </si>
  <si>
    <t>NasdaqGM:TTOO</t>
  </si>
  <si>
    <t>IQTR267235469</t>
  </si>
  <si>
    <t>IQ30844795</t>
  </si>
  <si>
    <t>T2 Biosystems, Inc., an in vitro diagnostics company, develops diagnostic products and product candidates in the United States. It provides T2 Magnetic Resonance platform that enables detection of pathogens, biomarkers, and other abnormalities in various unpurified patient sample types, including whole blood, plasma, serum, saliva, sputum, and urine. The company also offers T2Dx, a bench-top instrument for sepsis, Lyme disease, and other applications, as well as T2Candida panel for the detection of candida species in human whole blood specimens. In addition, it is developing T2Bacteria, a multiplex diagnostic panel that detects various bacterial pathogens associated with sepsis; T2Lyme for the detection of various strains of Lyme disease-causing bacteria; and T2Plex, an integrated instrument for hemostasis applications, as well as T2HemoStat panel, a panel of diagnostic tests that can provide data across the hemostasis spectrum, including measurements of fibrinogen, platelet activity, and clot lysis. The company has collaboration agreement with Canon U.S. Life Sciences, Inc. to develop a novel diagnostic test panel to detect Lyme disease, a tick-borne illness; and Allergan Sales, LLC for the direct detection diagnostic test panel that adds additional bacteria species to the existing T2Bacteria product candidate and testing drug resistance directly in whole blood. T2 Biosystems, Inc. was founded in 2006 and is headquartered in Lexington, Massachusetts.</t>
  </si>
  <si>
    <t>Veracyte, Inc. operates as a molecular diagnostics company in the United States. The company uses genomic technology to resolve diagnostic ambiguity. It offers Afirma Thyroid FNA Analysis solution for use in thyroid cancer diagnosis; cytopathology testing services; and the Afirma Malignancy Classifiers to manage thyroid nodule patients. The company’s products also include Percepta Bronchial Genomic Classifier solution for use in lung cancer screening and diagnosis; and Envisia Genomic Classifier solution for idiopathic pulmonary fibrosis. It sells its products through its product specialists, institutional channel managers, account managers, and clinical science specialists. The company was formerly known as Calderome, Inc. and changed its name to Veracyte, Inc. in March 2008. Veracyte, Inc. was incorporated in 2006 and is headquartered in South San Francisco, California.</t>
  </si>
  <si>
    <t>Foundation Medicine, Inc.</t>
  </si>
  <si>
    <t>NasdaqGS:FMI</t>
  </si>
  <si>
    <t>IQTR243766734</t>
  </si>
  <si>
    <t>IQ100846258</t>
  </si>
  <si>
    <t>Foundation Medicine, Inc. provides various molecular information products in the United States. The company’s molecular information platform includes proprietary methods and algorithms to analyze specimens across various types of cancer, as well as for incorporating that information into clinical care; and offers genomic information about each patient’s individual cancer, enabling physicians to optimize treatments in clinical practice and biopharmaceutical companies to develop targeted oncology therapies. It provides clinical products, such as FoundationOne for solid tumors; FoundationOne Heme for blood-based cancers, or hematologic malignancies, including leukemia, lymphoma, and myeloma, as well as sarcomas and pediatric cancers; Foundation Assay for Circulating Tumor; FoundationFocus CDxBRCA, a diagnostic assay to aid in identifying women with ovarian cancer. The company also offers FoundationCORE, a knowledgebase to publish scientific and medical advances, and foster relationships throughout the oncology community. In addition, it has strategic collaboration agreements with WuXi PharmaTech Inc.; F. Hoffmann-La Roche Ltd.; and Genentech, Inc. The company was founded in 2009 and is headquartered in Cambridge, Massachusetts. Foundation Medicine, Inc. is a subsidiary of Roche Holdings, Inc.</t>
  </si>
  <si>
    <t>Intrexon Corporation</t>
  </si>
  <si>
    <t>NYSE:XON</t>
  </si>
  <si>
    <t>IQTR242653724</t>
  </si>
  <si>
    <t>IQ22365961</t>
  </si>
  <si>
    <t>Intrexon Corporation operates in the synthetic biology field in the United States. The company, through a suite of proprietary and complementary technologies, designs, builds, and regulates gene programs, which are DNA sequences that consist of key genetic components. Its technologies include UltraVector gene design and fabrication platform, and its associated library of modular DNA components; Cell Systems Informatics; RheoSwitch inducible gene switch; AttSite Recombinases; Protein Engineering; Laser-Enabled Analysis and Processing; and ActoBiotics platform. It also provides reproductive technologies and other genetic processes to cattle breeders and producers; genetic preservation and cloning technologies; genetically engineered swine for medical and genetic research; biological insect control solutions; technologies for non-browning apple without the use of any flavor-altering chemical or antioxidant additives; commercial aquaculture products; and artwork, children's toys, and novelty goods that are derived from living organisms or enabled by synthetic biology. The company serves health, food, energy, environment, and consumer sectors. Intrexon Corporation has collaboration and license agreements with Ares Trading S.A.; ZIOPHARM Oncology, Inc.; Oragenics, Inc.; Fibrocell Science, Inc.; Genopaver, LLC; S &amp; I Ophthalmic, LLC; OvaXon, LLC; Intrexon Energy Partners, LLC; Persea Bio, LLC; Thrive Agrobiotics, Inc.; Intrexon Energy Partners II, LLC; and others. The company was formerly known as Genomatix Ltd. and changed its name to Intrexon Corporation in 2005. Intrexon Corporation was founded in 1998 and is based in Germantown, Maryland.</t>
  </si>
  <si>
    <t>(Source: Biodesix VS 4/12/17)</t>
  </si>
  <si>
    <t>First Pricing Date</t>
  </si>
  <si>
    <t>Hybrid OPM</t>
  </si>
  <si>
    <t>Hybrid Scenario</t>
  </si>
  <si>
    <t>Probability Weightings (3)</t>
  </si>
  <si>
    <t>Present Value Per Common Stock Share</t>
  </si>
  <si>
    <t>Series B - Value Per Share Calculation</t>
  </si>
  <si>
    <t>Total Value</t>
  </si>
  <si>
    <t>No. of Series B Shares</t>
  </si>
  <si>
    <t>Previous VD</t>
  </si>
  <si>
    <t>Present Value Per Series B Share</t>
  </si>
  <si>
    <t>Present Value of Equity Value</t>
  </si>
  <si>
    <t>Probability Adjusted Present Value</t>
  </si>
  <si>
    <t>Series B OIP</t>
  </si>
  <si>
    <t>Probability weightings for the IPO scenarios are based on the PWERM analysis. Refer to Exhibit B.1 for details. Residual probability has been assigned to the OPM value conclusion.</t>
  </si>
  <si>
    <t>Option Pricing Method - Breakpoints &amp; Allocation (Hybrid OPM)</t>
  </si>
  <si>
    <t>Option Pricing Method - Implied Value Per Share (Hybrid OPM)</t>
  </si>
  <si>
    <t>Discount for Lack of Marketability - Option Models (Hybrid OPM)</t>
  </si>
  <si>
    <t>Asset Volatility (Hybrid OPM)</t>
  </si>
  <si>
    <t>Interpolation - Hybrid OPM</t>
  </si>
  <si>
    <t>Hybrid DLOM</t>
  </si>
  <si>
    <t>Interpolation - Hybrid DLOM</t>
  </si>
  <si>
    <t>Volatility (Hybrid OPM)</t>
  </si>
  <si>
    <t>Call Options</t>
  </si>
  <si>
    <t>1 to 2</t>
  </si>
  <si>
    <t>2 to 3</t>
  </si>
  <si>
    <t>3 to 4</t>
  </si>
  <si>
    <t>4 to 5</t>
  </si>
  <si>
    <t>5 to 6</t>
  </si>
  <si>
    <t>6 to 7</t>
  </si>
  <si>
    <t>7 to 8</t>
  </si>
  <si>
    <t>8 to 9</t>
  </si>
  <si>
    <t>9 to 10</t>
  </si>
  <si>
    <t>10 to 11</t>
  </si>
  <si>
    <t>11 to 12</t>
  </si>
  <si>
    <t>Incremental N(d1)</t>
  </si>
  <si>
    <t>Security Volatility</t>
  </si>
  <si>
    <t>Security</t>
  </si>
  <si>
    <t>Wtd. Avg</t>
  </si>
  <si>
    <t>N(d1)</t>
  </si>
  <si>
    <t>12 to 13</t>
  </si>
  <si>
    <t>13 to 14</t>
  </si>
  <si>
    <t>14 to 15</t>
  </si>
  <si>
    <t>15 to 16</t>
  </si>
  <si>
    <t>After 16</t>
  </si>
  <si>
    <t>Sangamo Therapeutics, Inc.</t>
  </si>
  <si>
    <t>Class Volatility (Hybrid OPM)</t>
  </si>
  <si>
    <t>Update Logo as per Main Title Sheet</t>
  </si>
  <si>
    <t>Reasons (if any)</t>
  </si>
  <si>
    <t>List of Checks</t>
  </si>
  <si>
    <t>Check for difference in remaining allocable value and total value allocable by class</t>
  </si>
  <si>
    <t>Value Check</t>
  </si>
  <si>
    <t>Hist BS</t>
  </si>
  <si>
    <t>Life &gt; &gt;</t>
  </si>
  <si>
    <t>Existing Asset</t>
  </si>
  <si>
    <t>DO NOT DELETE -&gt;&gt;</t>
  </si>
  <si>
    <t>Check for Balance sheet total match</t>
  </si>
  <si>
    <t>Beta Cal</t>
  </si>
  <si>
    <t>Update this if not taking median</t>
  </si>
  <si>
    <t>OPM Asset Vol Check</t>
  </si>
  <si>
    <t>Asset Vol - Hybrid OPM</t>
  </si>
  <si>
    <t>Hybrid OPM Asset Vol Check</t>
  </si>
  <si>
    <t>All CIQ Checks</t>
  </si>
  <si>
    <t>Difference in CIQ and Manually calculated Ent. Value</t>
  </si>
  <si>
    <t>Time to Exit</t>
  </si>
  <si>
    <t>Additional Time to Cash Flow</t>
  </si>
  <si>
    <t>Duration</t>
  </si>
  <si>
    <t>Less: DLOM</t>
  </si>
  <si>
    <t>Asset Volatility - OPM</t>
  </si>
  <si>
    <t>Asset Volatility - OPM DLOM</t>
  </si>
  <si>
    <t>Discount for Lack of Marketability</t>
  </si>
  <si>
    <t>Check for difference in tranche value in OPM1 and value assigned in OPM2</t>
  </si>
  <si>
    <t>Non-Marketable Price Per Share</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</si>
  <si>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</si>
  <si>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</si>
  <si>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</si>
  <si>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</si>
  <si>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</si>
  <si>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</si>
  <si>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</si>
  <si>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</si>
  <si>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</si>
  <si>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</si>
  <si>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</si>
  <si>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</si>
  <si>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</si>
  <si>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</si>
  <si>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</si>
  <si>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OPM 1</t>
  </si>
  <si>
    <t>Check for difference between allocable value and total value after tranche allocation</t>
  </si>
  <si>
    <t>Asset Vol - DLOM</t>
  </si>
  <si>
    <t>DLOM Asset Vol Check</t>
  </si>
  <si>
    <t>IPO Early Asset Vol Check</t>
  </si>
  <si>
    <t>IPO Late Asset Vol Check</t>
  </si>
  <si>
    <t>M&amp;A Early Asset Vol Check</t>
  </si>
  <si>
    <t>M&amp;A Late Asset Vol Check</t>
  </si>
  <si>
    <t>Shares Pre-IPO</t>
  </si>
  <si>
    <t>Gross Proceeds</t>
  </si>
  <si>
    <t>Development Phase</t>
  </si>
  <si>
    <t>Post-IPO Value</t>
  </si>
  <si>
    <t>Kindly update the Revenue, Ebitda, EV details outside print area from CapIQ</t>
  </si>
  <si>
    <t>NasdaqGM:AXSM</t>
  </si>
  <si>
    <t>LTM Revenue</t>
  </si>
  <si>
    <t>LTM EBITDA</t>
  </si>
  <si>
    <t>EV/LTM Revenue</t>
  </si>
  <si>
    <t>EV/LTM EBITDA</t>
  </si>
  <si>
    <t>Straight Line Method</t>
  </si>
  <si>
    <t>MACRS</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</si>
  <si>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</si>
  <si>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</si>
  <si>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</si>
  <si>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</si>
  <si>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</si>
  <si>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</si>
  <si>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</si>
  <si>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</si>
  <si>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</si>
  <si>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</si>
  <si>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</si>
  <si>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</si>
  <si>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</si>
  <si>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</si>
  <si>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</si>
  <si>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</si>
  <si>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</si>
  <si>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</si>
  <si>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</si>
  <si>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</si>
  <si>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</si>
  <si>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</si>
  <si>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</si>
  <si>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</si>
  <si>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</si>
  <si>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</si>
  <si>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</si>
  <si>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</si>
  <si>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</si>
  <si>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</si>
  <si>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</si>
  <si>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</si>
  <si>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</si>
  <si>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</si>
  <si>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</si>
  <si>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</si>
  <si>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</si>
  <si>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</si>
  <si>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</si>
  <si>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</si>
  <si>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</si>
  <si>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</si>
  <si>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</si>
  <si>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</si>
  <si>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</si>
  <si>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</si>
  <si>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</si>
  <si>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</si>
  <si>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</si>
  <si>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</si>
  <si>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</si>
  <si>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</si>
  <si>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</si>
  <si>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</si>
  <si>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</si>
  <si>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</si>
  <si>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</si>
  <si>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</si>
  <si>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</si>
  <si>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</si>
  <si>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</si>
  <si>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</si>
  <si>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</si>
  <si>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</si>
  <si>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</si>
  <si>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</si>
  <si>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</si>
  <si>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</si>
  <si>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</si>
  <si>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</si>
  <si>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</si>
  <si>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</si>
  <si>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</si>
  <si>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</si>
  <si>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</si>
  <si>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</si>
  <si>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</si>
  <si>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</si>
  <si>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</si>
  <si>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</si>
  <si>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</si>
  <si>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</si>
  <si>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</si>
  <si>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</si>
  <si>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</si>
  <si>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</si>
  <si>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</si>
  <si>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</si>
  <si>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</si>
  <si>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Data Source fromTranslateBio VD 12/13/17</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</si>
  <si>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</si>
  <si>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</si>
  <si>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</si>
  <si>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</si>
  <si>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</si>
  <si>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</si>
  <si>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</si>
  <si>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</si>
  <si>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</si>
  <si>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</si>
  <si>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</si>
  <si>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</si>
  <si>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</si>
  <si>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</si>
  <si>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</si>
  <si>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</si>
  <si>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</si>
  <si>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</si>
  <si>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</si>
  <si>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</si>
  <si>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</si>
  <si>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</si>
  <si>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</si>
  <si>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</si>
  <si>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</si>
  <si>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</si>
  <si>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</si>
  <si>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</si>
  <si>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</si>
  <si>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</si>
  <si>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</si>
  <si>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</si>
  <si>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</si>
  <si>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</si>
  <si>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</si>
  <si>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</si>
  <si>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</si>
  <si>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</si>
  <si>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</si>
  <si>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</si>
  <si>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</si>
  <si>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</si>
  <si>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</si>
  <si>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</si>
  <si>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Acceleron Pharma Inc.</t>
  </si>
  <si>
    <t>NasdaqGM:XLRN</t>
  </si>
  <si>
    <t>IQTR244238745</t>
  </si>
  <si>
    <t>IQ9004482</t>
  </si>
  <si>
    <t>Acceleron Pharma Inc., a clinical stage biopharmaceutical company, focuses on the discovery, development, and commercialization of therapeutics for serious and rare diseases. Its therapeutic candidates include luspatercept to treat anemia and associated complications in patients with myelodysplastic syndromes and beta-thalassemia; and sotatercept for chronic kidney diseases. The company’s therapeutic candidates also include dalantercept, a tyrosine kinase inhibitor, which is in phase II clinical trials for renal cell carcinoma; and ACE-083 that is in phase II clinical trials for facioscapulohumeral dystrophy. It has collaboration, license, and option agreement with Celgene Corporation. The company was formerly known as Phoenix Pharma, Inc. Acceleron Pharma Inc. was founded in 2003 and is headquartered in Cambridge, Massachusetts.</t>
  </si>
  <si>
    <t>Phase III, NDA Filed and Marketed</t>
  </si>
  <si>
    <t>scPharmaceuticals Inc.</t>
  </si>
  <si>
    <t>NasdaqGS:SCPH</t>
  </si>
  <si>
    <t>IQTR541328196</t>
  </si>
  <si>
    <t>IQ247375245</t>
  </si>
  <si>
    <t>scPharmaceuticals Inc., biopharmaceutical company, engages in the development and commercialization of transformative pharmaceutical products. The company’s under development products are for heart failure and infectious diseases that include Furoscix that is for treatment of worsening or decompensated heart failure outside of the inpatient setting. scPharmaceuticals Inc. formerly known as scPharmaceuticals LLC. and changed its name to scPharmaceuticals Inc. in March 2014. The company was founded 2013 and is based in Burlington, Massachusetts.</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</si>
  <si>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</si>
  <si>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</si>
  <si>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</si>
  <si>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</si>
  <si>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</si>
  <si>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</si>
  <si>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</si>
  <si>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</si>
  <si>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</si>
  <si>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</si>
  <si>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</si>
  <si>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</si>
  <si>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</si>
  <si>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</si>
  <si>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</si>
  <si>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</si>
  <si>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</si>
  <si>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Sum of N(d1) should be 1</t>
  </si>
  <si>
    <t>&lt;- Check</t>
  </si>
  <si>
    <t>Backsolve</t>
  </si>
  <si>
    <t>Hybrid OPM Backsolve</t>
  </si>
  <si>
    <t xml:space="preserve">Comparable Indication/Technology </t>
  </si>
  <si>
    <t>Phase of the Comparable Product</t>
  </si>
  <si>
    <t>Comp.1 and Trans. 1</t>
  </si>
  <si>
    <t>Added columns for comparable technology and Phases</t>
  </si>
  <si>
    <t>Checks &gt;&gt;</t>
  </si>
  <si>
    <t>Added Class Volatility checks</t>
  </si>
  <si>
    <t>Added check for Hybrid OPM backsolve</t>
  </si>
  <si>
    <t>WACC</t>
  </si>
  <si>
    <t>Updated D&amp;P studies for 2018</t>
  </si>
  <si>
    <t xml:space="preserve"> Year - 2018</t>
  </si>
  <si>
    <t>Based on the Duff &amp; Phelps 2018 Valuation Handbook.</t>
  </si>
  <si>
    <t>Based on the Duff &amp; Phelps 2018 Valuation Handbook - 10th decile companies.</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</si>
  <si>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</si>
  <si>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</si>
  <si>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</si>
  <si>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</si>
  <si>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</si>
  <si>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</si>
  <si>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</si>
  <si>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</si>
  <si>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</si>
  <si>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</si>
  <si>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</si>
  <si>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</si>
  <si>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</si>
  <si>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</si>
  <si>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</si>
  <si>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</si>
  <si>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</si>
  <si>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</si>
  <si>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</si>
  <si>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</si>
  <si>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</si>
  <si>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</si>
  <si>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Hybrid Method</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</si>
  <si>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</si>
  <si>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</si>
  <si>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</si>
  <si>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</si>
  <si>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</si>
  <si>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</si>
  <si>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</si>
  <si>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</si>
  <si>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</si>
  <si>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</si>
  <si>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</si>
  <si>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</si>
  <si>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</si>
  <si>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</si>
  <si>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</si>
  <si>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</si>
  <si>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</si>
  <si>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</si>
  <si>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</si>
  <si>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</si>
  <si>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</si>
  <si>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</si>
  <si>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</si>
  <si>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Price Per Share at Each Breakpoint</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</si>
  <si>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</si>
  <si>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</si>
  <si>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</si>
  <si>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</si>
  <si>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</si>
  <si>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</si>
  <si>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</si>
  <si>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</si>
  <si>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</si>
  <si>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</si>
  <si>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</si>
  <si>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Structured</t>
  </si>
  <si>
    <t>Added the Exit Type list in the off-print section for the drill down below the PWERM scenarios.</t>
  </si>
  <si>
    <t>AwABTANVU0QBSP////8BRpkOAAA8Q0lRLk5BU0RBUUdTOkFOQUIuSVFfRUJJVERBX0VTVC5DWTIwMjAuNy8xNi8yMDE4LkNPTi5GLlVTRC5IAQAAACFMsgEDAAAAAADE/xsRNQnWCMKbYhI1CdYIIENJUS5JUTYwNTA0Mjg0LklRX0NPTVBBTllfVElDS0VSAQAAANw4mwMDAAAADU5hc2RhcUdTOkNUTVgADG0QDjUJ1gihKZEONQnWCClDSVEuSVFUUjQyMjg4NzcwMS5JUV9UUl9JTVBMSUVEX0VRX05JX0xUTQEAAAAVwTQZAwAAAAJOTQAMbRAONQnWCMDbgg41CdYIJ0NJUS5OQVNEQVFDTTpTUk5FLklRX1BFUklPRERBVEVfSVMuMTAwMAEAAABJQ5QDBQAAAAoxMi8zMS8yMDE3ANaMETgICdYIcySdbzQJ1ggsQ0lRLklRVFI1MzU3MTk5OTguSVFfVFJfVE9UQUxfR1JPU1NfVFYuVVNELkgFAAAAAAAAAAgAAAAaKEludmFsaWQgQ3VycmVuY3kgUmVxdWVzdClJU0dvNAnWCIH9lW80CdYIMENJUS5JUVRSNTM1NzE5OTk4LklRX1RSX1RBUkdFVF9FQklUREFfRVNULi5VU0QuSAEAAAA+cO4fAgAAAAQtNDAyALKzSW80CdYIgf2VbzQJ1gglQ0lRLklRVFIzMTIxMjI1MDQuSVFfUFJJTUFSWV9JTkRVU1RSWQEAAAC0iTgMAwAAAA1CaW90ZWNobm9sb2d5AAxtEA41CdYIwNuCDjUJ1gg9Q0lRLk5BU0RBUUdTOkFUTlguSVFfUkVWRU5VRV9FU1QuQ1kyMDE4LjcvMzEvMjAxOC5DT04uRi5VU0QuSAEAAADcmWsBAgAAAAkx</t>
  </si>
  <si>
    <t>MTIuMDg3NzcBDgAAAAUAAAACMTEBAAAAATACAAAACjEwMDM3NzgzNjQDAAAABjEwMDE4MAQAAAABMgYAAAABMAcAAAADMTYwCAAAAAEwCQAAAAExCgAAAAEwCwAAAAsxMTAwMTk1NDUxMgwAAAABNw0AAAAIOC8xLzIwMTgQAAAACTcvMzEvMjAxONaMETgICdYIJMKabzQJ1ggtQ0lRLk5BU0RBUUdTOlRTUk8uSVFfTUFSS0VUQ0FQLjUvNS8yMDE3LlVTRC5IAQAAAGjWWAYCAAAACzc4MDguMjQ4MjY4AQYAAAAFAAAAATEBAAAACjE4Mjk5ODg1NDEDAAAAAzE2MAIAAAAGMTAwMDU0BAAAAAEwBwAAAAg1LzUvMjAxN5wL1TgICdYIJMKabzQJ1ghGQ0lRLk5BU0RBUUdNOkFSUUwuSVFfVE9UQUxfUkVWXzNZUl9BTk5fQ0FHUi4yMDAwLjcvMzEvMjAxOC5MRlIuRi5VU0QuSAEAAAD2YQAAAgAAAAgtMjguNTg4OQEIAAAABQAAAAExAQAAAAoxODg4Nzg4NzcwAwAAAAMxNjACAAAABDQyMjAEAAAAATAHAAAACTcvMzEvMjAxOAgAAAAJMy8zMS8yMDE4CQAAAAEw1owROAgJ1gjDhp9vNAnWCD9DSVEuTkFTREFRR006QVJSWS5JUV9ORVRfV09SS0lOR19DQVAuMTk5Mi43LzMxLzIwMTguTEZSLkYuVVNELkgBAAAA+GEAAAIAAAAGMTAuMTg5AQgAAAAFAAAAATEBAAAACjE4NDEwOTUwMjYDAAAAAzE2MAIAAAAEMTMxMQQAAAABMAcAAAAJNy8zMS8yMDE4CAAAAAkzLzMxLzIwMTYJAAAAATCcC9U4CAnWCNRfmG80CdYINkNJ</t>
  </si>
  <si>
    <t>US5OQVNEQVFHUzpHVEhYLklRX0VCSVREQS4xOTkyLjcvMzEvMjAxOC5MRlIuRi5VU0QuSAEAAABlNGkIAwAAAAAAnAvVOAgJ1ggkwppvNAnWCC9DSVEuSVFUUjU0MjgwNjY4Ni5JUV9UUl9UQVJHRVRfVE9UQUxfUkVWLi5VU0QuSAEAAACeklogAgAAAAAAsrNJbzQJ1giB/ZVvNAnWCCFDSVEuTkFTREFRR006QVJRTC5JUV9DT01QQU5ZX05BTUUBAAAA9mEAAAMAAAAMQXJRdWxlLCBJbmMuANaMETgICdYIcySdbzQJ1gg8Q0lRLk5BU0RBUUNNOlNSTkUuSVFfR1JPU1NfTUFSR0lOLjIwMDAuNy8zMS8yMDE4LkxGUi5GLlVTRC5IAQAAAElDlAMCAAAABzYzLjI5OTEBCAAAAAUAAAABMQEAAAAKMTg4Nzk4OTgzMQMAAAADMTYwAgAAAAQ0MDc0BAAAAAEwBwAAAAk3LzMxLzIwMTgIAAAACTMvMzEvMjAxOAkAAAABMNaMETgICdYIcySdbzQJ1ghDQ0lRLk5BU0RBUUdTOkFEWFMuSVFfTUlOT1JJVFlfSU5URVJFU1RfVE9UQUwuLjcvMTYvMjAxOC5MRlIuRi5VU0QuSAEAAACe7HgAAwAAAAAAKRyUEDUJ1gjkdFsSNQnWCDVDSVEuTkFTREFRR1M6R1RIWC5JUV9EQV9DRi4yMDAwLjcvMzEvMjAxOC5MRlIuRi5VU0QuSAEAAABlNGkIAgAAAAUwLjEwOQEIAAAABQAAAAExAQAAAAoxODg2MzY3NjY3AwAAAAMxNjACAAAABDIxNjAEAAAAATAHAAAACTcvMzEvMjAxOAgAAAAJMy8zMS8yMDE4CQAAAAEw1owROAgJ1ggkwppv</t>
  </si>
  <si>
    <t>NAnWCCBDSVEuSVEzOTI2ODcxMi5JUV9DT01QQU5ZX1RJQ0tFUgEAAABoMVcCAwAAAA1OYXNkYXFHTTpGQVRFALKzSW80CdYIzFjngTQJ1ghDQ0lRLk5BU0RBUUdTOlNHRU4uSVFfTUlOT1JJVFlfSU5URVJFU1RfVE9UQUwuLjcvMTYvMjAxOC5MRlIuRi5VU0QuSAEAAABhhQAAAwAAAAAAxP8bETUJ1ghoYGcSNQnWCCtDSVEuSVFUUjI1Mzk1NDQ3My5JUV9UUl9JTVBMSUVEX0VWX0VCSVRfRldEAQAAAKkJIw8CAAAAAACys0lvNAnWCDWbk280CdYIOENJUS5OQVNEQVFHTTpYTkNSLklRX0VCSVREQS5DWTIwMTcuNy8xNi8yMDE4LkxGUi5GLlVTRC5IAQAAAKZaCwACAAAABy01MS4xMzYBCAAAAAUAAAABMQEAAAAKMTg3Njk4NDU1MgMAAAADMTYwAgAAAAQ0MDUxBAAAAAEwBwAAAAk3LzE2LzIwMTgIAAAACjEyLzMxLzIwMTcJAAAAATDE/xsRNQnWCBL+ZBI1CdYILUNJUS5OQVNEQVFDTTpNVEVNLklRX01BUktFVENBUC41LzUvMjAxNy5VU0QuSAEAAACZm6kBAwAAAAAAyDCyNwgJ1ggZ6aFvNAnWCCtDSVEuSVFUUjU2MzkxOTA0OS5JUV9UUl9JTVBMSUVEX0VWX0VCSVRfRldEAQAAAMm4nCEDAAAAAk5NAAxtEA41CdYIwNuCDjUJ1ghDQ0lRLk5BU0RBUUdTOktVUkEuSVFfRUJJVERBXzJZUl9BTk5fQ0FHUi4yMDAwLjcvMzEvMjAxOC5MRlIuRi5VU0QuSAEAAAC4y9oQAwAAAAJOTQEIAAAABQAAAAExAQAAAAox</t>
  </si>
  <si>
    <t>ODg3MzgyOTM3AwAAAAMxNjACAAAABDQyMDkEAAAAATAHAAAACTcvMzEvMjAxOAgAAAAJMy8zMS8yMDE4CQAAAAEw1owROAgJ1ghzJJ1vNAnWCENDSVEuTkFTREFRR1M6Q1RNWC5JUV9NSU5PUklUWV9JTlRFUkVTVF9UT1RBTC4uNy8xNi8yMDE4LkxGUi5GLlVTRC5IAQAAANw4mwMDAAAAAADE/xsRNQnWCMKbYhI1CdYIL0NJUS5JUVRSNDI0MzQyMDQ2LklRX1RSX1RBUkdFVF9UT1RBTF9SRVYuLlVTRC5IAQAAAB7yShkCAAAAAAAMbRAONQnWCMDbgg41CdYIKkNJUS5JUVRSMzcxNzE1MTE5LklRX1RSX1RBUkdFVF9FQklULi5VU0QuSAEAAAAv7CcWAgAAAAAAWM8SDjUJ1gjA24IONQnWCCNDSVEuSVFUUjMwMjg2NjYyNy5JUV9UUl9UT1RBTF9TVE9DSwEAAADDYA0SAgAAAAkyMy4zMTE3MjkBBgAAAAUAAAACNTQBAAAABjEwMTA1NwIAAAAJMzAyODY2NjI3AwAAAAkzMDI4NjcxNTEEAAAAAzE2MAYAAAAFRmFsc2VYzxIONQnWCAw+hQ41CdYIP0NJUS5OQVNEQVFDTTpDS1BULklRX0VCSVREQV8yWVJfQU5OX0NBR1IuLjcvMTYvMjAxOC5MRlIuRi5VU0QuSAEAAAC4URYRAwAAAAAAKRyUEDUJ1gjkdFsSNQnWCB1DSVEuMC5JUV9UUl9JTVBMSUVEX0VRX05JX0xUTQUAAAAAAAAACAAAABgoSW52YWxpZCBUcmFuc2FjdGlvbiBJZClJU0dvNAnWCAfi8IE0CdYILENJUS5JUVRSNTUwMjU5Mzk3LklRX1RSX1RBUkdF</t>
  </si>
  <si>
    <t>VF9FQklUREEuLlVTRC5IAQAAAMVKzCACAAAACC00MjcuMzk4AQYAAAAFAAAAAjM3AQAAAAoxODc2NTY1NTI4AgAAAAUyMTY3NwMAAAADMTYwBAAAAAEwBwAAAAgxLzEvMTkwMAxtEA41CdYId3mADjUJ1ghCQ0lRLk5BU0RBUUdTOk1HTlguSVFfVE9UQUxfUkVWXzJZUl9BTk5fQ0FHUi4uNy8xNi8yMDE4LkxGUi5GLlVTRC5IAQAAAE8rCQACAAAACDEyMi40MTUzAQgAAAAFAAAAATEBAAAACjE4ODcxMTQ5NDUDAAAAAzE2MAIAAAAENDIwNwQAAAABMAcAAAAJNy8xNi8yMDE4CAAAAAkzLzMxLzIwMTgJAAAAATDE/xsRNQnWCMKbYhI1CdYIKkNJUS5JUVRSMjczNTA3MTg1LklRX1RSX1RBUkdFVF9FQklULi5VU0QuSAEAAABxY00QAgAAAAYtMjguMTIBBgAAAAUAAAACMzcBAAAACjE2OTE3NjgyNjQCAAAABTIxNjc1AwAAAAMxNjAEAAAAATAHAAAACDEvMS8xOTAwsrNJbzQJ1giB/ZVvNAnWCDpDSVEuTkFTREFRR1M6RlBSWC5JUV9UT1RBTF9ERUJULjIwMDAuNy8zMS8yMDE4LkxGUi5GLlVTRC5IAQAAADddMwACAAAAATABCAAAAAUAAAABMQEAAAAKMTg4NzQwMjIyNwMAAAADMTYwAgAAAAQ0MTczBAAAAAEwBwAAAAk3LzMxLzIwMTgIAAAACTMvMzEvMjAxOAkAAAABMNaMETgICdYIGemhbzQJ1ggsQ0lRLklRVFI1NjE2MDYzNjUuSVFfVFJfVEFSR0VUX0VCSVREQS4uVVNELkgBAAAA3W55IQIAAAAAALKzSW80</t>
  </si>
  <si>
    <t>CdYINZuTbzQJ1ggrQ0lRLk5BU0RBUUdTOk5LLklRX01BUktFVENBUC41LzUvMjAxNy5VU0QuSAEAAAANfaEPAgAAAAoyNDAuNzE2Njc2AQYAAAAFAAAAATEBAAAACjE4MzE5ODc4ODQDAAAAAzE2MAIAAAAGMTAwMDU0BAAAAAEwBwAAAAg1LzUvMjAxN9aMETgICdYIGemhbzQJ1ggqQ0lRLklRVFI0MTE4NzEwODIuSVFfVFJfVEFSR0VUX0VCSVQuLlVTRC5IAQAAAGqnjBgCAAAAAACys0lvNAnWCDWbk280CdYIIENJUS5JUTYwMDQ4MjAxLklRX0NPTVBBTllfVElDS0VSAQAAAElDlAMDAAAADU5hc2RhcUNNOlNSTkUAsrNJbzQJ1ghzJJ1vNAnWCCdDSVEuTkFTREFRR006WE5DUi5JUV9CRVRBXzFZUi43LzE2LzIwMTgBAAAAploLAAIAAAAQMS4zNjI5MjY1Nzc1NjUyNgDE/xsRNQnWCBL+ZBI1CdYIH0NJUS5JUTMzNjYxOTkuSVFfQ09NUEFOWV9USUNLRVIBAAAAN10zAAMAAAANTmFzZGFxR1M6RlBSWAAMbRAONQnWCOOLkw41CdYIMENJUS5JUVRSNTMzMzg1NzQ0LklRX1RSX1RBUkdFVF9FQklUREFfRVNULi5VU0QuSAEAAAAQ0sofAgAAAAAADG0QDjUJ1gjA24IONQnWCC5DSVEuTkFTREFRR006TkxOSy5JUV9NQVJLRVRDQVAuNy8xNi8yMDE4LlVTRC5IAQAAAJV7jAACAAAACjE3My45MzI2NTkBBgAAAAUAAAABMQEAAAAKMTg4ODM1MjQ2MwMAAAADMTYwAgAAAAYxMDAwNTQEAAAAATAHAAAACTcvMTYvMjAx</t>
  </si>
  <si>
    <t>OCkclBA1CdYI5HRbEjUJ1ggiQ0lRLklRVFI0MTE4NzEwODIuSVFfVFJfVE9UQUxfQ0FTSAEAAABqp4wYAgAAAAUxOTYuMwEGAAAABQAAAAI1NAEAAAAGMTAxMDU2AgAAAAk0MTE4NzEwODIDAAAACTQxMTg3MTI5MQQAAAADMTYwBgAAAAVGYWxzZbKzSW80CdYINZuTbzQJ1ggwQ0lRLk5BU0RBUUdTOkJHTkUuSVFfVE9UQUxfUkVWLjE5OTYuLkxGUi5GLlVTRC5IAQAAAODk3QYCAAAAATABCAAAAAUAAAABMQEAAAAKMTg5OTkwMDYxOAMAAAADMTYwAgAAAAIyOAQAAAABMAcAAAAJOC8yMy8yMDE4CAAAAAk2LzMwLzIwMTcJAAAAATCcC9U4CAnWCJwL1TgICdYIP0NJUS5OQVNEQVFHUzpDQUxBLklRX0VCSVREQV81WVJfQU5OX0NBR1IuLjcvMTYvMjAxOC5MRlIuRi5VU0QuSAEAAAClJ4EGAwAAAAAAKRyUEDUJ1gjkdFsSNQnWCDZDSVEuTkFTREFRR1M6QVROWC5JUV9FQklUREEuMjAwMC43LzMxLzIwMTguTEZSLkYuVVNELkgBAAAA3JlrAQIAAAAHLTc5LjY5MQEIAAAABQAAAAExAQAAAAoxODg4NzAyOTgyAwAAAAMxNjACAAAABDQwNTEEAAAAATAHAAAACTcvMzEvMjAxOAgAAAAJMy8zMS8yMDE4CQAAAAEw1owROAgJ1ggkwppvNAnWCCdDSVEuTkFTREFRR006WE5DUi5JUV9CRVRBXzJZUi43LzE2LzIwMTgBAAAAploLAAIAAAAQMS43OTIyODQwNDE5NDI5OADE/xsRNQnWCBL+ZBI1CdYIRkNJUS5OQVNEQVFH</t>
  </si>
  <si>
    <t>UzpBVE5YLklRX01JTk9SSVRZX0lOVEVSRVNUX1RPVEFMLjIwMDAuNS81LzIwMTcuTEZSLkYuVVNELkgBAAAA3JlrAQIAAAAFMC44NjIBCAAAAAUAAAABMQEAAAAKMTg0MjQ5MDI4MQMAAAADMTYwAgAAAAQxMzEyBAAAAAEwBwAAAAg1LzUvMjAxNwgAAAAKMTIvMzEvMjAxNgkAAAABMNaMETgICdYIJMKabzQJ1gg8Q0lRLk5BU0RBUUdNOkFSUUwuSVFfRUJJVERBX0VTVC5DWTIwMTkuNy8zMS8yMDE4LkNPTi5GLlVTRC5IAQAAAPZhAAADAAAAAADWjBE4CAnWCHMknW80CdYII0NJUS5JUVRSMzA3ODYzOTg0LklRX1RSX1RPVEFMX1NUT0NLAQAAALChWRICAAAAAABYzxIONQnWCMDbgg41CdYIN0NJUS5OQVNEQVFHUzpNR05YLklRX0VCSVRfTUFSR0lOLi43LzE2LzIwMTguTEZSLkYuVVNELkgBAAAATysJAAIAAAAILTIxLjI4OTcBCAAAAAUAAAABMQEAAAAKMTg4NzExNDk0NQMAAAADMTYwAgAAAAQ0MDUzBAAAAAEwBwAAAAk3LzE2LzIwMTgIAAAACTMvMzEvMjAxOAkAAAABMMT/GxE1CdYIwptiEjUJ1gg9Q0lRLk5BU0RBUUNNOlpJT1AuSVFfRUJJVERBX01BUkdJTi4yMDAwLjcvMzEvMjAxOC5MRlIuRi5VU0QuSAEAAACzUbIAAwAAAAJOTQEIAAAABQAAAAExAQAAAAoxODg3OTcyMzU5AwAAAAMxNjACAAAABDQwNDcEAAAAATAHAAAACTcvMzEvMjAxOAgAAAAJMy8zMS8yMDE4CQAAAAEw1owROAgJ1gjDhp9v</t>
  </si>
  <si>
    <t>NAnWCC5DSVEuTkFTREFRQ006WklPUC5JUV9NQVJLRVRDQVAuNy8zMS8yMDE4LlVTRC5IAQAAALNRsgACAAAACjM2NC44NDQ4NDQBBgAAAAUAAAABMQEAAAAKMTg4Nzk3MjIwMQMAAAADMTYwAgAAAAYxMDAwNTQEAAAAATAHAAAACTcvMzEvMjAxONaMETgICdYIw4afbzQJ1gg+Q0lRLihJTlZBTElEIElERU5USUZJRVIpLklRX1BSRUZfRVFVSVRZLi45LzE1LzIwMTcuTEZSLkYuVVNELkgFAAAAAAAAAAgAAAAUKEludmFsaWQgSWRlbnRpZmllcinep34QNQnWCJgSWRI1CdYIO0NJUS5OQVNEQVFHUzpCR05FLklRX05FVF9XT1JLSU5HX0NBUC4uNy8xNi8yMDE4LkxGUi5GLlVTRC5IAQAAAODk3QYCAAAABy0xMC42NDQBCAAAAAUAAAABMQEAAAAKMTg4NzY4ODU4OAMAAAADMTYwAgAAAAQxMzExBAAAAAEwBwAAAAk3LzE2LzIwMTgIAAAACTMvMzEvMjAxOAkAAAABMMT/GxE1CdYIaGBnEjUJ1ggpQ0lRLklRVFI0MDg0MDc4MjIuSVFfVFJfSU1QTElFRF9FUV9OSV9MVE0BAAAADs9XGAMAAAACTk0AsrNJbzQJ1giB/ZVvNAnWCDhDSVEuTkFTREFRR1M6TUdOWC5JUV9UT1RBTF9FUVVJVFkuLjcvMTYvMjAxOC5MRlIuRi5VU0QuSAEAAABPKwkAAgAAAAcyNDcuMjc2AQgAAAAFAAAAATEBAAAACjE4ODcxMTQ5NDUDAAAAAzE2MAIAAAAEMTI3NQQAAAABMAcAAAAJNy8xNi8yMDE4CAAAAAkzLzMxLzIwMTgJAAAAATDE</t>
  </si>
  <si>
    <t>/xsRNQnWCMKbYhI1CdYIRENJUS4oSU5WQUxJRCBJREVOVElGSUVSKS5JUV9SRVZFTlVFX0VTVC5DWTIwMjAuNy8xNi8yMDE4LkNPTi5GLlVTRC5IBQAAAAAAAAAIAAAAFChJbnZhbGlkIElkZW50aWZpZXIpIAqBEDUJ1giYElkSNQnWCEZDSVEuTkFTREFRR006RkFURS5JUV9UT1RBTF9SRVZfMllSX0FOTl9DQUdSLjIwMDAuNy8zMS8yMDE4LkxGUi5GLlVTRC5IAQAAAGgxVwICAAAABjQuNTg0NQEIAAAABQAAAAExAQAAAAoxODg4NTAwNTI3AwAAAAMxNjACAAAABDQyMDcEAAAAATAHAAAACTcvMzEvMjAxOAgAAAAJMy8zMS8yMDE4CQAAAAEw1owROAgJ1gjDhp9vNAnWCDNDSVEuTkFTREFRR1M6U0dFTi5JUV9FQklUREFfRVNULkNZMjAxOC4uQ09OLkYuVVNELkgBAAAAYYUAAAIAAAAILTIwNS4yODQBDgAAAAUAAAACMTEBAAAAATACAAAACjEwMDAxMjQ3MjYDAAAABjEwMDE4NwQAAAABMgYAAAABMAcAAAADMTYwCAAAAAEwCQAAAAExCgAAAAEwCwAAAAsxMTAwMjQ3NzM1OQwAAAABNw0AAAAJOC8yNC8yMDE4EAAAAAk4LzIzLzIwMTjE/xsRNQnWCMT/GxE1CdYIIUNJUS5JUVRSMjczNTA3MTg1LklRX1RSX0JVWUVSTkFNRQEAAABxY00QAwAAAB9EYWlpY2hpIFNhbmt5byBDb21wYW55LCBMaW1pdGVkALKzSW80CdYIgf2VbzQJ1ggtQ0lRLk5BU0RBUUdTOlBCWUkuSVFfRElWSURFTkRfWUlFTEQuNy8xNi8y</t>
  </si>
  <si>
    <t>MDE4AQAAAAJqrAcDAAAAAABGnRkRNQnWCBL+ZBI1CdYIM0NJUS4oSU5WQUxJRCBJREVOVElGSUVSKS5JUV9HUC4yMDAwLjcvMzEvMjAxOC4uLlVTRAUAAAAAAAAACAAAABQoSW52YWxpZCBJZGVudGlmaWVyKbKzSW80CdYI7TawbzQJ1ggsQ0lRLklRVFI0MzE4NDE1ODEuSVFfVFJfVE9UQUxfR1JPU1NfVFYuVVNELkgFAAAAAAAAAAgAAAAaKEludmFsaWQgQ3VycmVuY3kgUmVxdWVzdCkMbRAONQnWCAw+hQ41CdYIRENJUS5OQVNEQVFHUzpOSy5JUV9UT1RBTF9SRVZfNVlSX0FOTl9DQUdSLjIwMDAuNy8zMS8yMDE4LkxGUi5GLlVTRC5IAQAAAA19oQ8DAAAAAADWjBE4CAnWCBnpoW80CdYIMkNJUS5OQVNEQVFHTTpJTU1VLklRX0VCSVREQS4uNy8xNi8yMDE4LkxGUi5GLlVTRC5IAQAAACBDBAACAAAACy0xMDcuMjQ0OTE3AQgAAAAFAAAAATEBAAAACjE4ODg1MjMzODQDAAAAAzE2MAIAAAAENDA1MQQAAAABMAcAAAAJNy8xNi8yMDE4CAAAAAkzLzMxLzIwMTgJAAAAATDE/xsRNQnWCBL+ZBI1CdYIO0NJUS5OQVNEQVFHUzpGUFJYLklRX1RPVEFMX1JFVi5DWTIwMTcuNy8xNi8yMDE4LkxGUi5GLlVTRC5IAQAAADddMwACAAAABjM5LjUwOAEIAAAABQAAAAExAQAAAAoxODc2MTM1OTkxAwAAAAMxNjACAAAAAjI4BAAAAAEwBwAAAAk3LzE2LzIwMTgIAAAACjEyLzMxLzIwMTcJAAAAATApHJQQNQnWCHM5YBI1</t>
  </si>
  <si>
    <t>CdYILkNJUS5JUVRSNDEzOTUzNjYxLklRX1RSX1RBUkdFVF9TVE9DS1BSRU1JVU1fMVcBAAAAfW6sGAIAAAAAALKzSW80CdYIgf2VbzQJ1gg3Q0lRLk5BU0RBUUdTOktVUkEuSVFfUEVSSU9EREFURV9JUy4yMDAwLjcvMzEvMjAxOC5MRlIuRgEAAAC4y9oQBQAAAAkzLzMxLzIwMTgA1owROAgJ1ghzJJ1vNAnWCDxDSVEuT1RDUEs6TUJWWC5JUV9FQklUREFfMllSX0FOTl9DQUdSLi43LzE2LzIwMTguTEZSLkYuVVNELkgBAAAA2ESLAgMAAAACTk0BCAAAAAUAAAABMQEAAAAKMTg4MTIxMzI0NQMAAAADMTYwAgAAAAQ0MjA5BAAAAAEwBwAAAAk3LzE2LzIwMTgIAAAACjEyLzMxLzIwMTcJAAAAATDep34QNQnWCJgSWRI1CdYII0NJUS5JUVRSNTQ4MzM4MDIwLklRX1RSX0NMT1NFRF9EQVRFAQAAAGT5riAFAAAACDEvMy8yMDE4AAxtEA41CdYIwNuCDjUJ1gg8Q0lRLk5BU0RBUUdNOkNSVlMuSVFfVE9UQUxfRVFVSVRZLjE5OTIuNy8zMS8yMDE4LkxGUi5GLlVTRC5IAQAAAPSwphACAAAABjE1Mi41NQEIAAAABQAAAAExAQAAAAoxODQwMTE2MTU0AwAAAAMxNjACAAAABDEyNzUEAAAAATAHAAAACTcvMzEvMjAxOAgAAAAJMy8zMS8yMDE2CQAAAAEw1owROAgJ1ggZ6aFvNAnWCDxDSVEuTkFTREFRR006RkFURS5JUV9UT1RBTF9FUVVJVFkuMTk5Ni43LzMxLzIwMTguTEZSLkYuVVNELkgBAAAAaDFXAgIAAAAGNjMu</t>
  </si>
  <si>
    <t>ODU4AQgAAAAFAAAAATEBAAAACjE4ODg1MDAzMzMDAAAAAzE2MAIAAAAEMTI3NQQAAAABMAcAAAAJNy8zMS8yMDE4CAAAAAkzLzMxLzIwMTcJAAAAATDWjBE4CAnWCMOGn280CdYIOkNJUS4oSU5WQUxJRCBJREVOVElGSUVSKS5JUV9QRVJJT0REQVRFX0lTLi43LzE2LzIwMTguTEZSLkYFAAAAAAAAAAgAAAAUKEludmFsaWQgSWRlbnRpZmllcinep34QNQnWCJgSWRI1CdYIMUNJUS5BU1g6SU1VLklRX1BSRUZfRVFVSVRZLi43LzE2LzIwMTguTEZSLkYuVVNELkgBAAAAmJOpAAMAAAAAACkclBA1CdYIMNddEjUJ1ghEQ0lRLihJTlZBTElEIElERU5USUZJRVIpLklRX1JFVkVOVUVfRVNULkNZMjAyMC43LzMxLzIwMTguQ09OLkYuVVNELkgFAAAAAAAAAAgAAAAUKEludmFsaWQgSWRlbnRpZmllcinIMLI3CAnWCO02sG80CdYILENJUS5JUVRSNTQ4MzM4MDIwLklRX1RSX1RPVEFMX0dST1NTX1RWLlVTRC5IBQAAAAAAAAAIAAAAGihJbnZhbGlkIEN1cnJlbmN5IFJlcXVlc3QpDG0QDjUJ1gjA24IONQnWCD9DSVEuTkFTREFRR006SU1NVS5JUV9ORVRfV09SS0lOR19DQVAuMjAwMC43LzMxLzIwMTguTEZSLkYuVVNELkgBAAAAIEMEAAIAAAAKLTgzLjI1NTU4MQEIAAAABQAAAAExAQAAAAoxODg4NTIzMzg0AwAAAAMxNjACAAAABDEzMTEEAAAAATAHAAAACTcvMzEvMjAxOAgAAAAJMy8zMS8yMDE4CQAAAAEwnAvV</t>
  </si>
  <si>
    <t>OAgJ1gjUX5hvNAnWCD9DSVEuTkFTREFRR1M6VFNSTy5JUV9ORVRfV09SS0lOR19DQVAuMTk5Mi43LzMxLzIwMTguTEZSLkYuVVNELkgBAAAAaNZYBgIAAAAHLTQ3LjYxNgEIAAAABQAAAAExAQAAAAoxODQwOTM0NjYzAwAAAAMxNjACAAAABDEzMTEEAAAAATAHAAAACTcvMzEvMjAxOAgAAAAJMy8zMS8yMDE2CQAAAAEwnAvVOAgJ1ggkwppvNAnWCDlDSVEuTkFTREFRR1M6QVROWC5JUV9OSV9NQVJHSU4uMjAwMC43LzMxLzIwMTguTEZSLkYuVVNELkgBAAAA3JlrAQIAAAAJLTEzNi43MjE5AQgAAAAFAAAAATEBAAAACjE4ODg3MDI5ODIDAAAAAzE2MAIAAAAENDA5NAQAAAABMAcAAAAJNy8zMS8yMDE4CAAAAAkzLzMxLzIwMTgJAAAAATDWjBE4CAnWCCTCmm80CdYIIENJUS5JUTM2MTgzODIyLklRX0xBU1RTQUxFUFJJQ0UuAQAAAA4fKAICAAAABDIuNDMAnAvVOAgJ1gh3eYAONQnWCDNDSVEuTkFTREFRR1M6U0dFTi5JUV9FQklUREFfRVNULkNZMjAyMC4uQ09OLkYuVVNELkgBAAAAYYUAAAIAAAAHLTEyLjkyMwEOAAAABQAAAAIxMQEAAAABMAIAAAAKMTAwMDEyNDcyOAMAAAAGMTAwMTg3BAAAAAEyBgAAAAEwBwAAAAMxNjAIAAAAATAJAAAAATEKAAAAATALAAAACzEwOTk3ODk1OTQ4DAAAAAE3DQAAAAk4LzI0LzIwMTgQAAAACTgvMjMvMjAxOMT/GxE1CdYIxP8bETUJ1gg9Q0lRLk5BU0RBUUdNOkFGTUQu</t>
  </si>
  <si>
    <t>SVFfUkVWRU5VRV9FU1QuQ1kyMDIwLjcvMTYvMjAxOC5DT04uRi5VU0QuSAEAAADb9wwAAgAAABA5LjYwNjk4OTgxNjg2NDM3AQ4AAAAFAAAAAjExAQAAAAEwAgAAAAoxMDAyODg0MDE1AwAAAAYxMDAxODAEAAAAATMGAAAAATAHAAAAAzE2MAgAAAABMAkAAAABMQoAAAABMAsAAAALMTA4ODcxNzYwMzIMAAAAATcNAAAACTcvMTcvMjAxOBAAAAAJNy8xNi8yMDE4KRyUEDUJ1ggw110SNQnWCDNDSVEuTkFTREFRR1M6UEJZSS5JUV9QRVJJT0REQVRFX0lTLi43LzE2LzIwMTguTEZSLkYBAAAAAmqsBwUAAAAJMy8zMS8yMDE4AMT/GxE1CdYIEv5kEjUJ1gg6Q0lRLkVOWFRQQTpJUEguSVFfUkVWRU5VRV9FU1QuQ1kyMDE4LjcvMTYvMjAxOC5DT04uRi5VU0QuSAEAAACZgAYAAgAAABA2OS4wMjU1ODI1MDYyMjI3AQ4AAAAFAAAAAjExAQAAAAEwAgAAAAoxMDAxNjQzMzkxAwAAAAYxMDAxODAEAAAAATMGAAAAATAHAAAAAzE2MAgAAAABMAkAAAABMQoAAAABMAsAAAALMTA5NTM4NDI0NzkMAAAAATcNAAAACTcvMTcvMjAxOBAAAAAJNy8xNi8yMDE4KRyUEDUJ1ghzOWASNQnWCCJDSVEuSVFUUjUzMzM4NTc0NC5JUV9UUl9QQ1RfU09VR0hUAQAAABDSyh8CAAAAAzEwMAEGAAAABQAAAAI1NAEAAAAGMTAxMDI0AgAAAAk1MzMzODU3NDQDAAAACTUzMzM4NTgyNAQAAAADMTYwBgAAAARUcnVlDG0QDjUJ1gh3eYAONQnW</t>
  </si>
  <si>
    <t>CDVDSVEuTkFTREFRR1M6VFNSTy5JUV9OSV9NQVJHSU4uLjcvMTYvMjAxOC5MRlIuRi5VU0QuSAEAAABo1lgGAgAAAAktMTkzLjQxNzIBCAAAAAUAAAABMQEAAAAKMTg4NjMzNzQ2NgMAAAADMTYwAgAAAAQ0MDk0BAAAAAEwBwAAAAk3LzE2LzIwMTgIAAAACTMvMzEvMjAxOAkAAAABMMT/GxE1CdYIEv5kEjUJ1gg3Q0lRLk5BU0RBUUdTOk5LLklRX05JX01BUkdJTi4yMDAwLjcvMzEvMjAxOC5MRlIuRi5VU0QuSAEAAAANfaEPAwAAAAJOTQEIAAAABQAAAAExAQAAAAoxODg3MTE4NzkxAwAAAAMxNjACAAAABDQwOTQEAAAAATAHAAAACTcvMzEvMjAxOAgAAAAJMy8zMS8yMDE4CQAAAAEw1owROAgJ1gjDhp9vNAnWCCRDSVEuTkFTREFRR1M6QkdORS5JUV9FRkZFQ1RfVEFYX1JBVEUBAAAA4OTdBgMAAAACTk0BCAAAAAUAAAABMQEAAAAKMTg5OTkwMDYzMQMAAAADMTYwAgAAAAQ0Mzc2BAAAAAEwBwAAAAk4LzIzLzIwMTgIAAAACTYvMzAvMjAxOAkAAAABMJwL1TgICdYIqAKKDjUJ1gg7Q0lRLk5BU0RBUUdTOkZQUlguSVFfVE9UQUxfUkVWLkNZMjAxNi43LzE2LzIwMTguTEZSLkYuVVNELkgBAAAAN10zAAIAAAAGMzAuNjkxAQgAAAAFAAAAATEBAAAACjE4NzYxMzU5ODgDAAAAAzE2MAIAAAACMjgEAAAAATAHAAAACTcvMTYvMjAxOAgAAAAKMTIvMzEvMjAxNgkAAAABMCkclBA1CdYIczlgEjUJ1gglQ0lRLklR</t>
  </si>
  <si>
    <t>VFIzMTQ4MjkyMzYuSVFfVFJfSU1QTElFRF9FUV9CVgEAAAC06cMSAgAAAAAAWM8SDjUJ1gjA24IONQnWCDFDSVEuWFRSQTpNT1IuSVFfRUJJVERBLjE5OTIuNy8zMS8yMDE4LkxGUi5GLlVTRC5IAQAAAN8RAgACAAAACS00OS40NjE3OAEIAAAABQAAAAExAQAAAAoxODM5OTQwNjkwAwAAAAMxNjACAAAABDQwNTEEAAAAATAHAAAACTcvMzEvMjAxOAgAAAAJMy8zMS8yMDE2CQAAAAEwnAvVOAgJ1gjUX5hvNAnWCDhDSVEuTkFTREFRR006TFBUWC5JUV9UT1RBTF9FUVVJVFkuLjcvMTYvMjAxOC5MRlIuRi5VU0QuSAEAAAAMNgkHAgAAAAYxNi4xMjgBCAAAAAUAAAABMQEAAAAKMTg5MDE2MzkzNgMAAAADMTYwAgAAAAQxMjc1BAAAAAEwBwAAAAk3LzE2LzIwMTgIAAAACTMvMzEvMjAxOAkAAAABMCkclBA1CdYIMNddEjUJ1gg8Q0lRLk5BU0RBUUdTOkdUSFguSVFfRUFSTklOR19DTy5DWTIwMTYuNy8zMS8yMDE4LkxGUi5GLlVTRC5IAQAAAGU0aQgCAAAABy0zMC4yOTEBCAAAAAUAAAABMQEAAAAKMTg3NTMyNzMwMQMAAAADMTYwAgAAAAE3BAAAAAEwBwAAAAk3LzMxLzIwMTgIAAAACjEyLzMxLzIwMTYJAAAAATDWjBE4CAnWCCTCmm80CdYIKUNJUS5JUVRSNTMzNjM5NTAxLklRX1RSX0lNUExJRURfRVFfTklfTFRNAQAAAE2xzh8CAAAAAAAMbRAONQnWCMDbgg41CdYIPUNJUS5OQVNEQVFHUzpKTkNFLklRX1JF</t>
  </si>
  <si>
    <t>VkVOVUVfRVNULkNZMjAxOC43LzE2LzIwMTguQ09OLkYuVVNELkgBAAAA4nmeDQIAAAAGNTEuMzI1AQ4AAAAFAAAAAjExAQAAAAEwAgAAAAoxMDAzNjI5MDk3AwAAAAYxMDAxODAEAAAAATIGAAAAATAHAAAAAzE2MAgAAAABMAkAAAABMQoAAAABMAsAAAALMTA5NDU1NzA4MDQMAAAAATcNAAAACTcvMTcvMjAxOBAAAAAJNy8xNi8yMDE4KRyUEDUJ1gjkdFsSNQnWCB5DSVEuLklRX1RSX0lNUExJRURfRVZfRUJJVF9GV0QFAAAAAAAAAAgAAAAUKEludmFsaWQgSWRlbnRpZmllcimcC9U4CAnWCHd5gA41CdYIJUNJUS5JUVRSNTQyODA2Njg2LklRX1RSX0lNUExJRURfRVFfQlYBAAAAnpJaIAIAAAAAALKzSW80CdYIgf2VbzQJ1gg9Q0lRLk5BU0RBUUNNOkFWRU8uSVFfUkVWRU5VRV9FU1QuQ1kyMDIwLjcvMTYvMjAxOC5DT04uRi5VU0QuSAEAAAD0Fh0AAgAAAAQ3MS41AQ4AAAAFAAAAAjExAQAAAAEwAgAAAAoxMDAwNzQ4MDgzAwAAAAYxMDAxODAEAAAAATIGAAAAATAHAAAAAzE2MAgAAAABMAkAAAABMQoAAAABMAsAAAALMTA4NzEyNjExNTcMAAAAATcNAAAACTcvMTcvMjAxOBAAAAAJNy8xNi8yMDE4xP8bETUJ1gjCm2ISNQnWCCVDSVEuSVFUUjI1Mzk1NDQ3My5JUV9UUl9NQUpfTUlOX1NUQUtFAQAAAKkJIw8DAAAACE1ham9yaXR5ALKzSW80CdYINZuTbzQJ1gg6Q0lRLk5BU0RBUUNNOkFWRU8uSVFfQ0FT</t>
  </si>
  <si>
    <t>SF9TVF9JTlZFU1QuLjcvMTYvMjAxOC5MRlIuRi5VU0QuSAEAAAD0Fh0AAgAAAAYyNi45OTUBCAAAAAUAAAABMQEAAAAKMTg4NzIzNDI5NQMAAAADMTYwAgAAAAQxMDAyBAAAAAEwBwAAAAk3LzE2LzIwMTgIAAAACTMvMzEvMjAxOAkAAAABMMT/GxE1CdYIwptiEjUJ1gg9Q0lRLk5BU0RBUUdNOkNSVlMuSVFfRUJJVERBX01BUkdJTi4yMDAwLjcvMzEvMjAxOC5MRlIuRi5VU0QuSAEAAAD0sKYQAwAAAAAA1owROAgJ1ggZ6aFvNAnWCDVDSVEuTkFTREFRR1M6TUdOWC5JUV9OSV9NQVJHSU4uLjcvMTYvMjAxOC5MRlIuRi5VU0QuSAEAAABPKwkAAgAAAAgtMTkuNjQ0OQEIAAAABQAAAAExAQAAAAoxODg3MTE0OTQ1AwAAAAMxNjACAAAABDQwOTQEAAAAATAHAAAACTcvMTYvMjAxOAgAAAAJMy8zMS8yMDE4CQAAAAEwxP8bETUJ1gjCm2ISNQnWCD1DSVEuTkFTREFRR1M6RlBSWC5JUV9SRVZFTlVFX0VTVC5DWTIwMTkuNy8zMS8yMDE4LkNPTi5GLlVTRC5IAQAAADddMwACAAAACDYwLjUwMTc4AQ4AAAAFAAAAAjExAQAAAAEwAgAAAAoxMDAxOTU2MzQ5AwAAAAYxMDAxODAEAAAAATIGAAAAATAHAAAAAzE2MAgAAAABMAkAAAABMQoAAAABMAsAAAALMTA5NDU1NzUwNTQMAAAAATcNAAAACDgvMS8yMDE4EAAAAAk3LzMxLzIwMTjWjBE4CAnWCBnpoW80CdYIQkNJUS5OQVNEQVFHUzpDVE1YLklRX1RPVEFMX1JFVl8y</t>
  </si>
  <si>
    <t>WVJfQU5OX0NBR1IuLjcvMTYvMjAxOC5MRlIuRi5VU0QuSAEAAADcOJsDAgAAAAgyMDAuODQ3MQEIAAAABQAAAAExAQAAAAoxODg3Njc1MzE2AwAAAAMxNjACAAAABDQyMDcEAAAAATAHAAAACTcvMTYvMjAxOAgAAAAJMy8zMS8yMDE4CQAAAAEwxP8bETUJ1gjCm2ISNQnWCCVDSVEuTkFTREFRR1M6U0dFTi5JUV9GSVJTVFBSSUNJTkdEQVRFAQAAAGGFAAAFAAAACDMvNy8yMDAxAEadGRE1CdYIaGBnEjUJ1gg7Q0lRLk5BU0RBUUdTOkFEWFMuSVFfVE9UQUxfUkVWLkNZMjAxNy43LzE2LzIwMTguTEZSLkYuVVNELkgBAAAAnux4AAIAAAAJMTAuMjk1ODM1AQgAAAAFAAAAATEBAAAACjE4NzgwMTI0NzMDAAAAAzE2MAIAAAACMjgEAAAAATAHAAAACTcvMTYvMjAxOAgAAAAJMS8zMS8yMDE4CQAAAAEwKRyUEDUJ1gjkdFsSNQnWCDxDSVEuTkFTREFRR1M6TVJTTi5JUV9FQklUREFfRVNULkNZMjAyMC43LzMxLzIwMTguQ09OLkYuVVNELkgBAAAA5sUYAAIAAAAHLTUyLjYwNQEOAAAABQAAAAIxMQEAAAABMAIAAAAKMTAwMzgwMzI4NQMAAAAGMTAwMTg3BAAAAAEyBgAAAAEwBwAAAAMxNjAIAAAAATAJAAAAATEKAAAAATALAAAACzEwOTgxNDE1MzY2DAAAAAE3DQAAAAg4LzEvMjAxOBAAAAAJNy8zMS8yMDE41owROAgJ1gjDhp9vNAnWCCJDSVEuSVFUUjUzNTcxOTk5OC5JUV9UUl9UT1RBTF9DQVNIAQAAAD5w7h8C</t>
  </si>
  <si>
    <t>AAAACzEwNDAxLjAzODgyAQYAAAAFAAAAAjU0AQAAAAYxMDEwNTYCAAAACTUzNTcxOTk5OAMAAAAJNTM1NzI0ODEzBAAAAAMxNjAGAAAABUZhbHNlsrNJbzQJ1giB/ZVvNAnWCClDSVEuSVEzNjE4Mzg0MC5JUV9MQVNUU0FMRVBSSUNFLjcvMzEvMjAxOAEAAAAgHygCAgAAAAQzLjAzAElTR280CdYIgf2VbzQJ1ggtQ0lRLk5BU0RBUUdTOk1SU04uSVFfRElWSURFTkRfWUlFTEQuNy8xNi8yMDE4AQAAAObFGAADAAAAAAApHJQQNQnWCHM5YBI1CdYIPENJUS5OQVNEQVFHTTpDUklTLklRX1RPVEFMX0VRVUlUWS4xOTk2LjcvMzEvMjAxOC5MRlIuRi5VU0QuSAEAAAAXagAAAgAAAAYyMS40NzcBCAAAAAUAAAABMQEAAAAKMTg4NjI0NzM5NQMAAAADMTYwAgAAAAQxMjc1BAAAAAEwBwAAAAk3LzMxLzIwMTgIAAAACTMvMzEvMjAxNwkAAAABMMgwsjcICdYI3UukbzQJ1gg6Q0lRLk5BU0RBUUdTOkVQWk0uSVFfVE9UQUxfREVCVC4yMDAwLjcvMzEvMjAxOC5MRlIuRi5VU0QuSAEAAAADJj0DAgAAAAEwAQgAAAAFAAAAATEBAAAACjE4ODcyNDYwNzcDAAAAAzE2MAIAAAAENDE3MwQAAAABMAcAAAAJNy8zMS8yMDE4CAAAAAkzLzMxLzIwMTgJAAAAATDWjBE4CAnWCCTCmm80CdYILUNJUS5OQVNEQVFHUzpCR05FLklRX01BUktFVENBUC41LzUvMjAxNy5VU0QuSAEAAADg5N0GAgAAAAsxNTY0LjUyNDk4MwEGAAAABQAA</t>
  </si>
  <si>
    <t>AAExAQAAAAoxODMyOTUwNTIxAwAAAAMxNjACAAAABjEwMDA1NAQAAAABMAcAAAAINS81LzIwMTecC9U4CAnWCIH9lW80CdYILUNJUS4uSVFfRUFSTklOR19DTy4xOTk2LjcvMzEvMjAxOC5MRlIuRi5VU0QuSAUAAAABAAAACAAAABQoSW52YWxpZCBJZGVudGlmaWVyKfWEMkc0CdYI9YQyRzQJ1gguQ0lRLklRVFI1NDI4MDY2ODYuSVFfVFJfVEFSR0VUX1NUT0NLUFJFTUlVTV8xVwEAAACeklogAgAAAAAAsrNJbzQJ1giB/ZVvNAnWCDlDSVEuTkFTREFRQ006U1JORS5JUV9UT1RBTF9SRVYuMjAwMC43LzMxLzIwMTguTEZSLkYuVVNELkgBAAAASUOUAwIAAAAHMTUzLjIyOAEIAAAABQAAAAExAQAAAAoxODg3OTg5ODMxAwAAAAMxNjACAAAAAjI4BAAAAAEwBwAAAAk3LzMxLzIwMTgIAAAACTMvMzEvMjAxOAkAAAABMNaMETgICdYIcySdbzQJ1gg7Q0lRLk5BU0RBUUdTOkNUTVguSVFfVE9UQUxfUkVWLkNZMjAxNi43LzE2LzIwMTguTEZSLkYuVVNELkgBAAAA3DibAwIAAAAGMTUuMDQzAQgAAAAFAAAAATEBAAAACjE4NzczMTY3MzQDAAAAAzE2MAIAAAACMjgEAAAAATAHAAAACTcvMTYvMjAxOAgAAAAKMTIvMzEvMjAxNgkAAAABMMT/GxE1CdYIwptiEjUJ1ggnQ0lRLk5BU0RBUUdTOkpOQ0UuSVFfQkVUQV8xWVIuNy8xNi8yMDE4AQAAAOJ5ng0CAAAAEDEuMzcyOTU2MTIxNzkyMjYAKRyUEDUJ1giYElkSNQnW</t>
  </si>
  <si>
    <t>CCVDSVEuSVFUUjQxMTg3MTA4Mi5JUV9UUl9NQUpfTUlOX1NUQUtFAQAAAGqnjBgDAAAACE1ham9yaXR5ALKzSW80CdYINZuTbzQJ1gg1Q0lRLk5BU0RBUUdTOkdUSFguSVFfQ0FQRVguMTk5Ni43LzMxLzIwMTguTEZSLkYuVVNELkgBAAAAZTRpCAIAAAAJLTAuMjA2NzM3AQgAAAAFAAAAATEBAAAACjE4ODYzNjc2NDgDAAAAAzE2MAIAAAAEMjAyMQQAAAABMAcAAAAJNy8zMS8yMDE4CAAAAAkzLzMxLzIwMTcJAAAAATCcC9U4CAnWCCTCmm80CdYIM0NJUS5OQVNEQVFHUzpCR05FLklRX1RPVEFMX0VRVUlUWS4yMDAwLi5MRlIuRi5VU0QuSAEAAADg5N0GAgAAAAgxMjI2LjY2OAEIAAAABQAAAAExAQAAAAoxODk5OTAwNjMxAwAAAAMxNjACAAAABDEyNzUEAAAAATAHAAAACTgvMjMvMjAxOAgAAAAJNi8zMC8yMDE4CQAAAAEwnAvVOAgJ1gicC9U4CAnWCD9DSVEuTkFTREFRR006TkxOSy5JUV9FQklUREFfM1lSX0FOTl9DQUdSLi43LzE2LzIwMTguTEZSLkYuVVNELkgBAAAAlXuMAAMAAAACTk0BCAAAAAUAAAABMQEAAAAKMTg4ODM1NDIwNwMAAAADMTYwAgAAAAQ0MjIyBAAAAAEwBwAAAAk3LzE2LzIwMTgIAAAACTMvMzEvMjAxOAkAAAABMCkclBA1CdYI5HRbEjUJ1gg5Q0lRLk5BU0RBUUdNOkFGTUQuSVFfRUJJVERBX01BUkdJTi4uNy8xNi8yMDE4LkxGUi5GLlVTRC5IAQAAANv3DAADAAAAAk5NAQgAAAAF</t>
  </si>
  <si>
    <t>AAAAATEBAAAACjE4ODk4NjYwNDkDAAAAAjUwAgAAAAQ0MDQ3BAAAAAEwBwAAAAk3LzE2LzIwMTgIAAAACTMvMzEvMjAxOAkAAAABMCkclBA1CdYIMNddEjUJ1ggkQ0lRLk5BU0RBUUdNOk5MTksuSVFfRUZGRUNUX1RBWF9SQVRFAQAAAJV7jAADAAAAAk5NAQgAAAAFAAAAATEBAAAACjE4OTkwODA1MjcDAAAAAzE2MAIAAAAENDM3NgQAAAABMAcAAAAJOC8yMy8yMDE4CAAAAAk2LzMwLzIwMTgJAAAAATApHJQQNQnWCOR0WxI1CdYIL0NJUS5JUVRSMjQ1ODMxMDA3LklRX1RSX1RBUkdFVF9UT1RBTF9SRVYuLlVTRC5IAQAAAF8Vpw4CAAAABTc5Ljk2AQYAAAAFAAAAAjM3AQAAAAoxNjMwMjk2OTcyAgAAAAIyOAMAAAADMTYwBAAAAAEwBwAAAAgxLzEvMTkwMLKzSW80CdYIgf2VbzQJ1ggpQ0lRLk5BU0RBUUdTOkJHTkUuSVFfQlVTSU5FU1NfREVTQ1JJUFRJT04BAAAA4OTdBgMAAAD9DkJlaUdlbmUsIEx0ZC4sIGEgY2xpbmljYWwtc3RhZ2UgYmlvcGhhcm1hY2V1dGljYWwgY29tcGFueSwgZGV2ZWxvcHMgYW5kIGNvbW1lcmNpYWxpemVzIG1vbGVjdWxhcmx5LXRhcmdldGVkIGFuZCBpbW11bm8tb25jb2xvZ3kgZHJ1Z3MgZm9yIHRoZSB0cmVhdG1lbnQgb2YgY2FuY2VyLiBJdHMgY29tbWVyY2lhbCBwcm9kdWN0cyBpbmNsdWRlIEFCUkFYQU5FLCBhIHNvbHZlbnQtZnJlZSBjaGVtb3RoZXJhcHkgcHJvZHVj</t>
  </si>
  <si>
    <t>dCBmb3IgdGhlIHRyZWF0bWVudCBvZiBicmVhc3QsIG5vbi1zbWFsbCBjZWxsIGx1bmcsIHBhbmNyZWF0aWMsIGFuZCBnYXN0cmljIGNhbmNlcjsgUkVWTElNSUQsIGFuIG9yYWwgaW1tdW5vbW9kdWxhdG9yeSBkcnVnIGZvciB0aGUgdHJlYXRtZW50IG9mIG11bHRpcGxlIG15ZWxvbWEgaW4gY29tYmluYXRpb24gd2l0aCBkZXhhbWV0aGFzb25lOyBhbmQgVklEQVpBLCBhIHB5cmltaWRpbmUgbnVjbGVvc2lkZSBhbmFsb2cgZm9yIHRoZSB0cmVhdG1lbnQgb2YgaW50ZXJtZWRpYXRlLTIgYW5kIGhpZ2gtcmlzayBteWVsb2R5c3BsYXN0aWMgc3luZHJvbWVzLCBjaHJvbmljIG15ZWxvbW9ub2N5dGUgbGV1a2VtaWEsIGFuZCBhY3V0ZSBteWVsb2lkIGxldWtlbWlhIHdpdGggMjAlIHRvIDMwJSBibGFzdHMgYW5kIG11bHRpLWxpbmVhZ2UgZHlzcGxhc2lhLiBUaGUgY29tcGFueeKAmXMgY2xpbmljYWwgc3RhZ2UgZHJ1ZyBjYW5kaWRhdGVzIGluY2x1ZGUgQkdCLTMxMTEsIGEgc21hbGwgbW9sZWN1bGUgQnJ1dG9u4oCZcyB0eXJvc2luZSBraW5hc2UgKEJUSykgaW5oaWJpdG9yIGZvciB0aGUgdHJlYXRtZW50IG9mIHZhcmlvdXMgbHltcGhvbWFzOyBCR0ItQTMxNywgYSBodW1hbml6ZWQgbW9ub2Nsb25hbCBhbnRpYm9keSBmb3Igc29saWQgYW5kIGhlbWF0b2xvZ2ljYWwgY2FuY2VyczsgQkdCLTI5MCwg</t>
  </si>
  <si>
    <t>YSBzbWFsbCBtb2xlY3VsZSBpbmhpYml0b3Igb2YgUEFSUDEgYW5kIFBBUlAyIGZvciB0aGUgdHJlYXRtZW50IG9mIGhvbW9sb2dvdXMgcmVjb21iaW5hdGlvbiBkZWZpY2llbnQgY2FuY2VyczsgQkdCLTI4MywgYSBzbWFsbCBtb2xlY3VsZSBSQUYgZGltZXIgaW5oaWJpdG9yIHRvIHRyZWF0IGNhbmNlcnMgd2l0aCBhYmVycmF0aW9ucyBpbiB0aGUgbWl0b2dlbi1hY3RpdmF0ZWQgcHJvdGVpbiBraW5hc2UgcGF0aHdheSwgaW5jbHVkaW5nIEJSQUYgbXV0YXRpb25zIGFuZCBLUkFTL05SQVMgZ2VuZSBtdXRhdGlvbnM7IEJHQi1BMzMzLCBhbiBodW1hbml6ZWQgbW9ub2Nsb25hbCBhbnRpYm9keSBmb3IgdGhlIGltbXVuZSBjaGVja3BvaW50IHJlY2VwdG9yIGxpZ2FuZCBQRC1MMTsgYW5kIE1HQ0QtMDUxNiwgYSBtdWx0aS1raW5hc2UgaW5oaWJpdG9yLiBJdHMgcHJlY2xpbmljYWwgcHJvZ3JhbXMgY29uc2lzdHMgb2YgdGFyZ2V0ZWQgdGhlcmFwaWVzIGFuZCBpbW11bm8tb25jb2xvZ3kgYWdlbnRzLCBpbmNsdWRpbmcgYW4gYWRkaXRpb25hbCBSQUYgZGltZXIgaW5oaWJpdG9yLCBhIFRJTS0zIGNlbGwgc3VyZmFjZSBwcm90ZWluIG1vbm9jbG9uYWwgYW50aWJvZHksIGFuZCBhIEJUSyBpbmhpYml0b3IgZm9yIG5vbi1vbmNvbG9neSBpbmRpY2F0aW9ucy4gVGhlIGNvbXBhbnkgaGFzIGEgc3RyYXRl</t>
  </si>
  <si>
    <t>Z2ljIGNvbGxhYm9yYXRpb24gd2l0aCBDZWxnZW5lIENvcnBvcmF0aW9uIHRvIHJlc2VhcmNoIGFuZCBkZXZlbG9wIEJlaUdlbmUsIEx0ZC7igJlzIGludmVzdGlnYXRpb25hbCBhbnRpLXByb2dyYW1tZWQgY2VsbCBkZWF0aCBwcm90ZWluIDEgKFBELTEpIGluaGliaXRvciwgQkdCLUEzMTc7IGFuZCB3aXRoIE1lcmNrIEtHYUEgdG8gcmVzZWFyY2ggYW5kIGRldmVsb3Agb24gQkdCLTI5MCBhbmQgQkdCLTI4My4gQmVpR2VuZSwgTHRkLiB3YXMgZm91bmRlZCBpbiAyMDEwIGFuZCBpcyBiYXNlZCBpbiBHZW9yZ2UgVG93biwgdGhlIENheW1hbiBJc2xhbmRzLgCcC9U4CAnWCKgCig41CdYINUNJUS5OQVNEQVFDTTpTUk5FLklRX0NBUEVYLjIwMDAuNy8zMS8yMDE4LkxGUi5GLlVTRC5IAQAAAElDlAMCAAAABi03LjI1OQEIAAAABQAAAAExAQAAAAoxODg3OTg5ODMxAwAAAAMxNjACAAAABDIwMjEEAAAAATAHAAAACTcvMzEvMjAxOAgAAAAJMy8zMS8yMDE4CQAAAAEw1owROAgJ1ghzJJ1vNAnWCCBDSVEuSVEzNjE4Mzg0My5JUV9MQVNUU0FMRVBSSUNFLgEAAAAjHygCAgAAAAQyLjk5AJwL1TgICdYId3mADjUJ1ggxQ0lRLk5BU0RBUUdTOlNHRU4uSVFfQ0FQRVguLjcvMTYvMjAxOC5MRlIuRi5VU0QuSAEAAABhhQAAAgAAAActMTguODEyAQgAAAAFAAAAATEBAAAACjE4ODQ4OTI4NTIDAAAAAzE2MAIAAAAE</t>
  </si>
  <si>
    <t>MjAyMQQAAAABMAcAAAAJNy8xNi8yMDE4CAAAAAkzLzMxLzIwMTgJAAAAATDE/xsRNQnWCGhgZxI1CdYIP0NJUS4oSU5WQUxJRCBJREVOVElGSUVSKS5JUV9HUk9TU19NQVJHSU4uLjcvMTYvMjAxOC5MRlIuRi5VU0QuSAUAAAAAAAAACAAAABQoSW52YWxpZCBJZGVudGlmaWVyKd6nfhA1CdYImBJZEjUJ1gglQ0lRLk5BU0RBUUdNOkNSVlMuSVFfRklSU1RQUklDSU5HREFURQEAAAD0sKYQBQAAAAkzLzIzLzIwMTYA1owROAgJ1ggZ6aFvNAnWCEFDSVEuKElOVkFMSUQgSURFTlRJRklFUikuSVFfQ0FTSF9TVF9JTlZFU1QuLjkvMTUvMjAxNy5MRlIuRi5VU0QuSAUAAAAAAAAACAAAABQoSW52YWxpZCBJZGVudGlmaWVyKd6nfhA1CdYImBJZEjUJ1ggiQ0lRLkFTWDpJTVUuSVFfVEVWLjcvMTYvMjAxOC5VU0QuSAEAAACYk6kAAgAAAAk1OS43OTg0OTcBBgAAAAUAAAABMQEAAAAKMTg3NzMwMDk2MgMAAAADMTYwAgAAAAYxMDAwNjAEAAAAATAHAAAACTcvMTYvMjAxOCkclBA1CdYIMNddEjUJ1gg/Q0lRLk5BU0RBUUdNOkFGTUQuSVFfRUJJVERBXzJZUl9BTk5fQ0FHUi4uNy8xNi8yMDE4LkxGUi5GLlVTRC5IAQAAANv3DAADAAAAAk5NAQgAAAAFAAAAATEBAAAACjE4ODk4NjYwNDkDAAAAAjUwAgAAAAQ0MjA5BAAAAAEwBwAAAAk3LzE2LzIwMTgIAAAACTMvMzEvMjAxOAkAAAABMCkclBA1CdYIMNddEjUJ1ggq</t>
  </si>
  <si>
    <t>Q0lRLihJTlZBTElEIElERU5USUZJRVIpLklRX0NPTVBBTllfVElDS0VSBQAAAAAAAAAIAAAAFChJbnZhbGlkIElkZW50aWZpZXIpDG0QDjUJ1ghCxa0ONQnWCCBDSVEuSVEzNjE4MzgyNS5JUV9MQVNUU0FMRVBSSUNFLgEAAAARHygCAgAAAAMyLjYAnAvVOAgJ1gh3eYAONQnWCDBDSVEuTkFTREFRR1M6RVBaTS5JUV9MQVNUU0FMRVBSSUNFLjcvMzEvMjAxOC5VU0QBAAAAAyY9AwIAAAAEMTIuOQDWjBE4CAnWCCTCmm80CdYIOkNJUS5OQVNEQVFHTTpGQVRFLklRX0VBUk5JTkdfQ08uMjAwMC43LzMxLzIwMTguTEZSLkYuVVNELkgBAAAAaDFXAgIAAAAHLTQ2Ljk2MQEIAAAABQAAAAExAQAAAAoxODg4NTAwNTI3AwAAAAMxNjACAAAAATcEAAAAATAHAAAACTcvMzEvMjAxOAgAAAAJMy8zMS8yMDE4CQAAAAEw1owROAgJ1gjDhp9vNAnWCDlDSVEuTkFTREFRR006RkFURS5JUV9UT1RBTF9SRVYuMTk5Mi43LzMxLzIwMTguTEZSLkYuVVNELkgBAAAAaDFXAgIAAAAFMy43NTMBCAAAAAUAAAABMQEAAAAKMTg0MzU0NDMyMQMAAAADMTYwAgAAAAIyOAQAAAABMAcAAAAJNy8zMS8yMDE4CAAAAAkzLzMxLzIwMTYJAAAAATDWjBE4CAnWCMOGn280CdYIQENJUS4oSU5WQUxJRCBJREVOVElGSUVSKS5JUV9UT1RBTF9SRVYuMTk5Mi43LzMxLzIwMTguTEZSLkYuVVNELkgFAAAAAAAAAAgAAAAUKEludmFsaWQgSWRlbnRp</t>
  </si>
  <si>
    <t>ZmllcinIMLI3CAnWCO02sG80CdYILUNJUS5OQVNEQVFHTTpGQVRFLklRX0RJVklERU5EX1lJRUxELjcvMzEvMjAxOAEAAABoMVcCAwAAAAAA1owROAgJ1gjDhp9vNAnWCCpDSVEuSVFUUjQwNzc2MDY5Mi5JUV9UUl9UQVJHRVRfRUJJVC4uVVNELkgBAAAANO9NGAIAAAAAAAxtEA41CdYIDD6FDjUJ1ggdQ0lRLk5BU0RBUUdNOk5MTksuSVFfRVhDSEFOR0UBAAAAlXuMAAMAAAAITmFzZGFxR00AKRyUEDUJ1gjkdFsSNQnWCDBDSVEuTkFTREFRR1M6QkdORS5JUV9MQVNUU0FMRVBSSUNFLjcvMTYvMjAxOC5VU0QBAAAA4OTdBgIAAAAGMTYzLjE5AEadGRE1CdYIaGBnEjUJ1ggdQ0lRLk5BU0RBUUdNOkxQVFguSVFfRVhDSEFOR0UBAAAADDYJBwMAAAAITmFzZGFxR00AKRyUEDUJ1ggw110SNQnWCDxDSVEuTkFTREFRR1M6R1RIWC5JUV9FQklUREFfRVNULkNZMjAxOS43LzMxLzIwMTguQ09OLkYuVVNELkgBAAAAZTRpCAIAAAAKLTExNC43NDkxNgEOAAAABQAAAAIxMQEAAAABMAIAAAAKMTAwMzc1MTU4NwMAAAAGMTAwMTg3BAAAAAEyBgAAAAEwBwAAAAMxNjAIAAAAATAJAAAAATEKAAAAATALAAAACzEwOTA5NTQzMDQ5DAAAAAE3DQAAAAg4LzEvMjAxOBAAAAAJNy8zMS8yMDE4nAvVOAgJ1ggkwppvNAnWCC5DSVEuSVFUUjMwMjg2NjYyNy5JUV9UUl9UQVJHRVRfU1RPQ0tQUkVNSVVNXzFNAQAAAMNgDRICAAAA</t>
  </si>
  <si>
    <t>AABYzxIONQnWCAw+hQ41CdYIPkNJUS5OQVNEQVFHUzpLVVJBLklRX0NBU0hfU1RfSU5WRVNULjIwMDAuNy8zMS8yMDE4LkxGUi5GLlVTRC5IAQAAALjL2hACAAAABTEzOC4yAQgAAAAFAAAAATEBAAAACjE4ODczODI5MzcDAAAAAzE2MAIAAAAEMTAwMgQAAAABMAcAAAAJNy8zMS8yMDE4CAAAAAkzLzMxLzIwMTgJAAAAATDWjBE4CAnWCHMknW80CdYIMENJUS5YVFJBOk1PUi5JUV9EQV9DRi4yMDAwLjcvMzEvMjAxOC5MRlIuRi5VU0QuSAEAAADfEQIAAgAAAAg0LjA5ODY1NwEIAAAABQAAAAExAQAAAAoxODg2MTUxNjQ4AwAAAAMxNjACAAAABDIxNjAEAAAAATAHAAAACTcvMzEvMjAxOAgAAAAJMy8zMS8yMDE4CQAAAAEwnAvVOAgJ1gjUX5hvNAnWCDVDSVEuTkFTREFRR1M6TVJTTi5JUV9DQVBFWC4xOTkyLjcvMzEvMjAxOC5MRlIuRi5VU0QuSAEAAADmxRgAAwAAAAAA1owROAgJ1gjDhp9vNAnWCEZDSVEuTkFTREFRR006Q1JWUy5JUV9UT1RBTF9SRVZfM1lSX0FOTl9DQUdSLjIwMDAuNy8zMS8yMDE4LkxGUi5GLlVTRC5IAQAAAPSwphADAAAAAADWjBE4CAnWCBnpoW80CdYIP0NJUS5OQVNEQVFDTTpNVEVNLklRX05FVF9XT1JLSU5HX0NBUC4xOTkyLjcvMzEvMjAxOC5MRlIuRi5VU0QuSAEAAACZm6kBAwAAAAAAyDCyNwgJ1ggZ6aFvNAnWCCBDSVEuSVFUUjU2MzkxOTA0OS5JUV9UUl9FQVJOT1VUUwEA</t>
  </si>
  <si>
    <t>AADJuJwhAgAAAAAADG0QDjUJ1gjA24IONQnWCCVDSVEuSVFUUjM3MTcxNTExOS5JUV9QUklNQVJZX0lORFVTVFJZAQAAAL/6awwDAAAADUJpb3RlY2hub2xvZ3kADG0QDjUJ1gjA24IONQnWCCpDSVEuSVFUUjQzMTg0MTU4MS5JUV9UUl9UQVJHRVRfRUJJVC4uVVNELkgBAAAALWG9GQIAAAAAAAxtEA41CdYIDD6FDjUJ1ggiQ0lRLklRVFIzMTIxMjI1MDQuSVFfVFJfVEFSR0VUTkFNRQEAAACInJoSAwAAAClCaW9Ob3Zpb24gQi5WLiAobmthOkFkdXJvIEJpb3RlY2ggRXVyb3BlKQBYzxIONQnWCMDbgg41CdYIIUNJUS5JUVRSNTUwMjU5Mzk3LklRX1RSX0JVWUVSTkFNRQEAAADFSswgAwAAABNDZWxnZW5lIENvcnBvcmF0aW9uAAxtEA41CdYId3mADjUJ1ggqQ0lRLklRVFIzMTIxMjI1MDQuSVFfVFJfVEFSR0VUX0VCSVQuLlVTRC5IAQAAAIicmhICAAAAAABYzxIONQnWCMDbgg41CdYIMUNJUS5OQVNEQVFHUzpGUFJYLklRX0NBUEVYLi43LzE2LzIwMTguTEZSLkYuVVNELkgBAAAAN10zAAIAAAAGLTMuOTU3AQgAAAAFAAAAATEBAAAACjE4ODc0MDIyMjcDAAAAAzE2MAIAAAAEMjAyMQQAAAABMAcAAAAJNy8xNi8yMDE4CAAAAAkzLzMxLzIwMTgJAAAAATApHJQQNQnWCHM5YBI1CdYITkNJUS4oSU5WQUxJRCBJREVOVElGSUVSKS5JUV9NSU5PUklUWV9JTlRFUkVTVF9UT1RBTC4yMDAwLjcvMzEvMjAxOC5M</t>
  </si>
  <si>
    <t>RlIuRi5VU0QuSAUAAAAAAAAACAAAABQoSW52YWxpZCBJZGVudGlmaWVyKcgwsjcICdYI7TawbzQJ1ggnQ0lRLk5BU0RBUUdNOkZBVEUuSVFfUEVSSU9EREFURV9JUy4xMDAwAQAAAGgxVwIFAAAACjEyLzMxLzIwMTcA1owROAgJ1gjLtrWLNAnWCDVDSVEuTkFTREFRR1M6QkdORS5JUV9OSV9NQVJHSU4uLjcvMTYvMjAxOC5MRlIuRi5VU0QuSAEAAADg5N0GAgAAAAgtNTQuMjg2MQEIAAAABQAAAAExAQAAAAoxODg3Njg4NTg4AwAAAAMxNjACAAAABDQwOTQEAAAAATAHAAAACTcvMTYvMjAxOAgAAAAJMy8zMS8yMDE4CQAAAAEwxP8bETUJ1ghoYGcSNQnWCD1DSVEuTkFTREFRR1M6Q0FMQS5JUV9SRVZFTlVFX0VTVC5DWTIwMTguNy8xNi8yMDE4LkNPTi5GLlVTRC5IAQAAAKUngQYCAAAACDIzLjYxOTc1AQ4AAAAFAAAAAjExAQAAAAEwAgAAAAoxMDAyODk2NDE4AwAAAAYxMDAxODAEAAAAATIGAAAAATAHAAAAAzE2MAgAAAABMAkAAAABMQoAAAABMAsAAAALMTA5MTMyNzg0ODUMAAAAATcNAAAACTcvMTcvMjAxOBAAAAAJNy8xNi8yMDE4KRyUEDUJ1gjkdFsSNQnWCCxDSVEuKElOVkFMSUQgSURFTlRJRklFUikuSVFfRklSU1RQUklDSU5HREFURQUAAAAAAAAACAAAABQoSW52YWxpZCBJZGVudGlmaWVyKQxtEA41CdYIQsWtDjUJ1ggxQ0lRLklRVFIzMTQ4MjkyMzYuSVFfVFJfVEFSR0VUX1JFVkVOVUVfRVNU</t>
  </si>
  <si>
    <t>Li5VU0QuSAEAAAC06cMSAgAAAAAAWM8SDjUJ1gjA24IONQnWCDxDSVEuTkFTREFRR006SU1NVS5JUV9FQklUREFfRVNULkNZMjAyMC43LzE2LzIwMTguQ09OLkYuVVNELkgBAAAAIEMEAAMAAAAAAMT/GxE1CdYIEv5kEjUJ1ggmQ0lRLiVVU1BNUlQuSVFfTEFTVFNBTEVQUklDRS43LzE2LzIwMTgBAAAAWe1aAAIAAAABNQAMbRAONQnWCAw+hQ41CdYIPENJUS5OQVNEQVFHUzpLVVJBLklRX0VBUk5JTkdfQ08uQ1kyMDE3LjcvMzEvMjAxOC5MRlIuRi5VU0QuSAEAAAC4y9oQAgAAAActMzUuNDM0AQgAAAAFAAAAATEBAAAACjE4NzgwMTI0NzgDAAAAAzE2MAIAAAABNwQAAAABMAcAAAAJNy8zMS8yMDE4CAAAAAoxMi8zMS8yMDE3CQAAAAEw1owROAgJ1ghzJJ1vNAnWCDFDSVEuSVFUUjU1MTE2NjI5Mi5JUV9UUl9UQVJHRVRfUkVWRU5VRV9FU1QuLlVTRC5IAQAAAFQh2iACAAAAAAAMbRAONQnWCMDbgg41CdYINUNJUS5OQVNEQVFHUzpFUFpNLklRX0NBUEVYLjIwMDAuNy8zMS8yMDE4LkxGUi5GLlVTRC5IAQAAAAMmPQMCAAAABi0wLjk3NAEIAAAABQAAAAExAQAAAAoxODg3MjQ2MDc3AwAAAAMxNjACAAAABDIwMjEEAAAAATAHAAAACTcvMzEvMjAxOAgAAAAJMy8zMS8yMDE4CQAAAAEw1owROAgJ1ghzJJ1vNAnWCD9DSVEuTkFTREFRR1M6QURYUy5JUV9FQklUREFfNVlSX0FOTl9DQUdSLi43LzE2LzIwMTgu</t>
  </si>
  <si>
    <t>TEZSLkYuVVNELkgBAAAAnux4AAMAAAACTk0BCAAAAAUAAAABMQEAAAAKMTg5Mjc4ODU0OAMAAAADMTYwAgAAAAQ0MjM1BAAAAAEwBwAAAAk3LzE2LzIwMTgIAAAACTQvMzAvMjAxOAkAAAABMCkclBA1CdYI5HRbEjUJ1gguQ0lRLklRVFI0MzE4NDE1ODEuSVFfVFJfVEFSR0VUX1NUT0NLUFJFTUlVTV8xVwEAAAAtYb0ZAgAAAAAADG0QDjUJ1ggMPoUONQnWCDZDSVEuTkFTREFRR1M6TVJTTi5JUV9FQklUREEuMTk5Ni43LzMxLzIwMTguTEZSLkYuVVNELkgBAAAA5sUYAAIAAAAHLTE1LjgyNAEIAAAABQAAAAExAQAAAAoxODg5MDk2NTk3AwAAAAMxNjACAAAABDQwNTEEAAAAATAHAAAACTcvMzEvMjAxOAgAAAAJMy8zMS8yMDE3CQAAAAEw1owROAgJ1gjDhp9vNAnWCD1DSVEuTkFTREFRR1M6UEJZSS5JUV9SRVZFTlVFX0VTVC5DWTIwMTkuNy8xNi8yMDE4LkNPTi5GLlVTRC5IAQAAAAJqrAcCAAAACTQwNC4xMTIyOAEOAAAABQAAAAIxMQEAAAABMAIAAAAKMTAwMTUxMzA3OQMAAAAGMTAwMTgwBAAAAAEyBgAAAAEwBwAAAAMxNjAIAAAAATAJAAAAATEKAAAAATALAAAACzEwOTUxMjQwNjk2DAAAAAE3DQAAAAk3LzE3LzIwMTgQAAAACTcvMTYvMjAxOMT/GxE1CdYIEv5kEjUJ1ghDQ0lRLk5BU0RBUUdTOk1HTlguSVFfTUlOT1JJVFlfSU5URVJFU1RfVE9UQUwuLjkvMTUvMjAxNy5MRlIuRi5VU0QuSAEAAABP</t>
  </si>
  <si>
    <t>KwkAAwAAAAAAxP8bETUJ1gjCm2ISNQnWCCdDSVEuTkFTREFRR1M6QVROWC5JUV9CRVRBXzJZUi43LzMxLzIwMTgBAAAA3JlrAQIAAAARMC44NTExNjQ0MTQ3MTk4MDUA1owROAgJ1ggkwppvNAnWCDpDSVEuTkFTREFRR1M6TVJTTi5JUV9QUkVGX0VRVUlUWS4yMDAwLjUvNS8yMDE3LkxGUi5GLlVTRC5IAQAAAObFGAADAAAAAADWjBE4CAnWCMOGn280CdYIPkNJUS5OQVNEQVFHTTpBUlJZLklRX1RPVEFMX0VRVUlUWS5DWTIwMTYuNy8zMS8yMDE4LkxGUi5GLlVTRC5IAQAAAPhhAAACAAAABjUyLjA1MgEIAAAABQAAAAExAQAAAAoxODczMjAzNzk1AwAAAAMxNjACAAAABDEyNzUEAAAAATAHAAAACTcvMzEvMjAxOAgAAAAKMTIvMzEvMjAxNgkAAAABMJwL1TgICdYIJMKabzQJ1gg+Q0lRLihJTlZBTElEIElERU5USUZJRVIpLklRX1BSRUZfRVFVSVRZLi43LzE2LzIwMTguTEZSLkYuVVNELkgFAAAAAAAAAAgAAAAUKEludmFsaWQgSWRlbnRpZmllcinep34QNQnWCJgSWRI1CdYIIkNJUS5JUVRSNTYxNjA2MzY1LklRX1RSX1RBUkdFVE5BTUUBAAAA3W55IQMAAAAWQmVuZXZpciBCaW9waGFybSwgSW5jLgCys0lvNAnWCDWbk280CdYIKkNJUS5JUVRSNDA4MjkxMzk1LklRX1RSX1RBUkdFVF9FQklULi5VU0QuSAEAAABDCFYYAgAAAActMzAuMTg1AQYAAAAFAAAAAjM3AQAAAAoxODI2NzUyMzU5AgAAAAUyMTY3</t>
  </si>
  <si>
    <t>NQMAAAADMTYwBAAAAAEwBwAAAAgxLzEvMTkwMFjPEg41CdYIwNuCDjUJ1gglQ0lRLk5BU0RBUUdTOk1SU04uSVFfRklSU1RQUklDSU5HREFURQEAAADmxRgABQAAAAk2LzI4LzIwMTcA1owROAgJ1gjji5MONQnWCCdDSVEuTkFTREFRR1M6TVJTTi5JUV9CRVRBXzJZUi43LzMxLzIwMTgBAAAA5sUYAAIAAAARMC42NzE1NjE3MTkyODA4MjMA1owROAgJ1gjDhp9vNAnWCCtDSVEuSVFUUjU1MTE2NjI5Mi5JUV9UUl9UT1RBTF9HUk9TU19UVi4uVVNEAQAAAFQh2iACAAAACjYyMy4wODg1NzEBBgAAAAUAAAACNTQBAAAABjEwMjA4OAIAAAAJNTUxMTY2MjkyAwAAAAk1NTExNzMzNzUEAAAAAzE2MAYAAAAFRmFsc2UMbRAONQnWCMDbgg41CdYIN0NJUS5OQVNEQVFHUzpDVE1YLklRX1BSRUZfRVFVSVRZLi45LzE1LzIwMTcuTEZSLkYuVVNELkgBAAAA3DibAwMAAAAAAMT/GxE1CdYIwptiEjUJ1gg7Q0lRLk5BU0RBUUdTOk5LLklRX1JFVkVOVUVfRVNULkNZMjAxOC43LzMxLzIwMTguQ09OLkYuVVNELkgBAAAADX2hDwIAAAAEMC4wMgEOAAAABQAAAAIxMQEAAAABMAIAAAAKMTAwMzE2NDgwMQMAAAAGMTAwMTgwBAAAAAEyBgAAAAEwBwAAAAMxNjAIAAAAATAJAAAAATEKAAAAATALAAAACzEwODkxMzUyOTEwDAAAAAE3DQAAAAg4LzEvMjAxOBAAAAAJNy8zMS8yMDE41owROAgJ1gjDhp9vNAnWCCJDSVEuSVFUUjI3</t>
  </si>
  <si>
    <t>MzUwNzE4NS5JUV9UUl9UT1RBTF9DQVNIAQAAAHFjTRACAAAACTI3OS4wMTk2MgEGAAAABQAAAAI1NAEAAAAGMTAxMDU2AgAAAAkyNzM1MDcxODUDAAAACTI3MzUwNzc4NwQAAAADMTYwBgAAAAVGYWxzZbKzSW80CdYIgf2VbzQJ1gg1Q0lRLk5BU0RBUUdTOk1SU04uSVFfTklfTUFSR0lOLi43LzE2LzIwMTguTEZSLkYuVVNELkgBAAAA5sUYAAIAAAAJLTI2My43OTY4AQgAAAAFAAAAATEBAAAACjE4ODkwOTY2NTMDAAAAAzE2MAIAAAAENDA5NAQAAAABMAcAAAAJNy8xNi8yMDE4CAAAAAkzLzMxLzIwMTgJAAAAATDE/xsRNQnWCHM5YBI1CdYIQkNJUS5OQVNEQVFHUzpGUFJYLklRX1RPVEFMX1JFVl8yWVJfQU5OX0NBR1IuLjcvMTYvMjAxOC5MRlIuRi5VU0QuSAEAAAA3XTMAAgAAAAgtNTkuNzYwNwEIAAAABQAAAAExAQAAAAoxODg3NDAyMjI3AwAAAAMxNjACAAAABDQyMDcEAAAAATAHAAAACTcvMTYvMjAxOAgAAAAJMy8zMS8yMDE4CQAAAAEwKRyUEDUJ1ghzOWASNQnWCC5DSVEuSVFUUjQyNDM0MjA0Ni5JUV9UUl9UQVJHRVRfU1RPQ0tQUkVNSVVNXzFXAQAAAB7yShkCAAAAAAAMbRAONQnWCMDbgg41CdYIPUNJUS5OQVNEQVFDTTpNVEVNLklRX0VCSVREQV9NQVJHSU4uMjAwMC43LzMxLzIwMTguTEZSLkYuVVNELkgBAAAAmZupAQMAAAACTk0BCAAAAAUAAAABMQEAAAAKMTg4ODczMzAwNAMAAAADMTYw</t>
  </si>
  <si>
    <t>AgAAAAQ0MDQ3BAAAAAEwBwAAAAk3LzMxLzIwMTgIAAAACTMvMzEvMjAxOAkAAAABMMgwsjcICdYIGemhbzQJ1gg3Q0lRLk5BU0RBUUdTOk1SU04uSVFfUEVSSU9EREFURV9JUy4yMDAwLjcvMzEvMjAxOC5MRlIuRgEAAADmxRgABQAAAAkzLzMxLzIwMTgA1owROAgJ1gjDhp9vNAnWCCtDSVEuSVFUUjMxNDgyOTIzNi5JUV9UUl9UT1RBTF9HUk9TU19UVi4uVVNEAQAAALTpwxICAAAAAzI1OABYzxIONQnWCMDbgg41CdYIJUNJUS5JUVRSNTQyODA2Njg2LklRX1RSX01BSl9NSU5fU1RBS0UBAAAAnpJaIAMAAAAITWFqb3JpdHkAsrNJbzQJ1giB/ZVvNAnWCDpDSVEuTkFTREFRR1M6S1VSQS5JUV9FQVJOSU5HX0NPLjIwMDAuNy8zMS8yMDE4LkxGUi5GLlVTRC5IAQAAALjL2hACAAAABy00Mi41MDUBCAAAAAUAAAABMQEAAAAKMTg4NzM4MjkzNwMAAAADMTYwAgAAAAE3BAAAAAEwBwAAAAk3LzMxLzIwMTgIAAAACTMvMzEvMjAxOAkAAAABMNaMETgICdYIcySdbzQJ1gg0Q0lRLkVOWFRQQTpJUEguSVFfRUJJVF9NQVJHSU4uLjcvMTYvMjAxOC5MRlIuRi5VU0QuSAEAAACZgAYAAgAAAAUtOTAuOAEIAAAABQAAAAExAQAAAAoxODg5NTUyMTY0AwAAAAI1MAIAAAAENDA1MwQAAAABMAcAAAAJNy8xNi8yMDE4CAAAAAoxMi8zMS8yMDE3CQAAAAEwKRyUEDUJ1ghzOWASNQnWCD1DSVEuTkFTREFRR1M6QVROWC5JUV9D</t>
  </si>
  <si>
    <t>QVNIX1NUX0lOVkVTVC4yMDAwLjUvNS8yMDE3LkxGUi5GLlVTRC5IAQAAANyZawECAAAABjQxLjc1MwEIAAAABQAAAAExAQAAAAoxODQyNDkwMjgxAwAAAAMxNjACAAAABDEwMDIEAAAAATAHAAAACDUvNS8yMDE3CAAAAAoxMi8zMS8yMDE2CQAAAAEw1owROAgJ1ggkwppvNAnWCD1DSVEuTkFTREFRR006Q1JJUy5JUV9SRVZFTlVFX0VTVC5DWTIwMTkuNy8zMS8yMDE4LkNPTi5GLlVTRC5IAQAAABdqAAACAAAACDEwLjM5MjQyAQ4AAAAFAAAAAjExAQAAAAEwAgAAAAoxMDAxMzg3NzQ4AwAAAAYxMDAxODAEAAAAATIGAAAAATAHAAAAAzE2MAgAAAABMAkAAAABMQoAAAABMAsAAAALMTA5NTEyNDI2MzQMAAAAATcNAAAACDgvMS8yMDE4EAAAAAk3LzMxLzIwMTjIMLI3CAnWCN1LpG80CdYILkNJUS4oSU5WQUxJRCBJREVOVElGSUVSKS5JUV9CRVRBXzJZUi43LzMxLzIwMTgFAAAAAAAAAAgAAAAUKEludmFsaWQgSWRlbnRpZmllcinIMLI3CAnWCO02sG80CdYIIkNJUS5JUVRSMzAyODY2NjI3LklRX1RSX1RBUkdFVE5BTUUBAAAAw2ANEgMAAAAMWC1CT0RZLCBJbmMuAFjPEg41CdYIDD6FDjUJ1ggyQ0lRLk5BU0RBUUdTOlNHRU4uSVFfRUJJVERBLi43LzE2LzIwMTguTEZSLkYuVVNELkgBAAAAYYUAAAIAAAAILTE5NS4zMTcBCAAAAAUAAAABMQEAAAAKMTg4NDg5Mjg1MgMAAAADMTYwAgAAAAQ0MDUxBAAAAAEw</t>
  </si>
  <si>
    <t>BwAAAAk3LzE2LzIwMTgIAAAACTMvMzEvMjAxOAkAAAABMMT/GxE1CdYIaGBnEjUJ1ggsQ0lRLklRVFI0MjQzNDIwNDYuSVFfVFJfVE9UQUxfR1JPU1NfVFYuVVNELkgFAAAAAAAAAAgAAAAaKEludmFsaWQgQ3VycmVuY3kgUmVxdWVzdCkMbRAONQnWCMDbgg41CdYIRkNJUS5OQVNEQVFDTTpTUk5FLklRX1RPVEFMX1JFVl8yWVJfQU5OX0NBR1IuMjAwMC43LzMxLzIwMTguTEZSLkYuVVNELkgBAAAASUOUAwIAAAAINDc3LjA4OTIBCAAAAAUAAAABMQEAAAAKMTg4Nzk4OTgzMQMAAAADMTYwAgAAAAQ0MjA3BAAAAAEwBwAAAAk3LzMxLzIwMTgIAAAACTMvMzEvMjAxOAkAAAABMNaMETgICdYIcySdbzQJ1ghDQ0lRLk5BU0RBUUdTOkVQWk0uSVFfRUJJVERBXzVZUl9BTk5fQ0FHUi4yMDAwLjcvMzEvMjAxOC5MRlIuRi5VU0QuSAEAAAADJj0DAwAAAAJOTQEIAAAABQAAAAExAQAAAAoxODg3MjQ2MDc3AwAAAAMxNjACAAAABDQyMzUEAAAAATAHAAAACTcvMzEvMjAxOAgAAAAJMy8zMS8yMDE4CQAAAAEw1owROAgJ1ghzJJ1vNAnWCDxDSVEuTkFTREFRR1M6VFNSTy5JUV9FQVJOSU5HX0NPLkNZMjAxNy43LzE2LzIwMTguTEZSLkYuVVNELkgBAAAAaNZYBgIAAAAILTQ5Ni4xMjYBCAAAAAUAAAABMQEAAAAKMTg3NzIyNjMwMQMAAAADMTYwAgAAAAE3BAAAAAEwBwAAAAk3LzE2LzIwMTgIAAAACjEyLzMxLzIwMTcJ</t>
  </si>
  <si>
    <t>AAAAATDE/xsRNQnWCBL+ZBI1CdYIJENJUS5OQVNEQVFHUzpQQllJLklRX0VGRkVDVF9UQVhfUkFURQEAAAACaqwHAwAAAAAAxP8bETUJ1ggS/mQSNQnWCDVDSVEuTkFTREFRR1M6Q0FMQS5JUV9DQVBFWC4xOTk2LjcvMzEvMjAxOC5MRlIuRi5VU0QuSAEAAAClJ4EGAgAAAAYtMC4yODYBCAAAAAUAAAABMQEAAAAKMTg4Nzk4MDI3NwMAAAADMTYwAgAAAAQyMDIxBAAAAAEwBwAAAAk3LzMxLzIwMTgIAAAACTMvMzEvMjAxNwkAAAABMMgwsjcICdYI3UukbzQJ1gg/Q0lRLk5BU0RBUUdTOk1SU04uSVFfRUJJVERBXzVZUl9BTk5fQ0FHUi4uNy8xNi8yMDE4LkxGUi5GLlVTRC5IAQAAAObFGAADAAAAAAApHJQQNQnWCHM5YBI1CdYIK0NJUS5JUVRSNDI0MzQyMDQ2LklRX1RSX1RPVEFMX0dST1NTX1RWLi5VU0QBAAAAHvJKGQIAAAABNgEGAAAABQAAAAI1NAEAAAAGMTAyMDg4AgAAAAk0MjQzNDIwNDYDAAAACTQyNDM0MjY1OAQAAAADMTYwBgAAAAVGYWxzZQxtEA41CdYIwNuCDjUJ1ggjQ0lRLklRVFI1NDI4MDY2ODYuSVFfVFJfVE9UQUxfU1RPQ0sBAAAAnpJaIAIAAAAAALKzSW80CdYIgf2VbzQJ1ghCQ0lRLk5BU0RBUUdNOkxQVFguSVFfVE9UQUxfUkVWXzVZUl9BTk5fQ0FHUi4uNy8xNi8yMDE4LkxGUi5GLlVTRC5IAQAAAAw2CQcDAAAAAAApHJQQNQnWCDDXXRI1CdYILkNJUS5OQVNEQVFDTTpDS1BULklR</t>
  </si>
  <si>
    <t>X01BUktFVENBUC45LzE1LzIwMTcuVVNELkgBAAAAuFEWEQIAAAAKMjI0LjUxMTg4OQEGAAAABQAAAAExAQAAAAoxODUyNzUxNjkwAwAAAAMxNjACAAAABjEwMDA1NAQAAAABMAcAAAAJOS8xNS8yMDE3KRyUEDUJ1gjkdFsSNQnWCDVDSVEuT1RDUEs6TUJWWC5JUV9UT1RBTF9FUVVJVFkuLjcvMTYvMjAxOC5MRlIuRi5VU0QuSAEAAADYRIsCAgAAAAcxLjEzMDQ0AQgAAAAFAAAAATEBAAAACjE4ODEyMTMyNDUDAAAAAzE2MAIAAAAEMTI3NQQAAAABMAcAAAAJNy8xNi8yMDE4CAAAAAoxMi8zMS8yMDE3CQAAAAEw3qd+EDUJ1giYElkSNQnWCEZDSVEuTkFTREFRR006QVJRTC5JUV9NSU5PUklUWV9JTlRFUkVTVF9UT1RBTC4yMDAwLjUvNS8yMDE3LkxGUi5GLlVTRC5IAQAAAPZhAAADAAAAAADWjBE4CAnWCHMknW80CdYIIUNJUS5OQVNEQVFHTTpBRk1ELklRX0NPTVBBTllfTkFNRQEAAADb9wwAAwAAAAxBZmZpbWVkIE4uVi4AKRyUEDUJ1ggw110SNQnWCChDSVEuTkFTREFRR006QVJSWS5JUV9URVYuNy8zMS8yMDE4LlVTRC5IAQAAAPhhAAACAAAACzI5MTAuNjQ5ODc2AQYAAAAFAAAAATEBAAAACjE4ODg0NzAxNzcDAAAAAzE2MAIAAAAGMTAwMDYwBAAAAAEwBwAAAAk3LzMxLzIwMTicC9U4CAnWCNRfmG80CdYIOkNJUS5OQVNEQVFHUzpDVE1YLklRX0NBU0hfU1RfSU5WRVNULi43LzE2LzIwMTguTEZSLkYu</t>
  </si>
  <si>
    <t>VVNELkgBAAAA3DibAwIAAAAHMzYxLjQ3NgEIAAAABQAAAAExAQAAAAoxODg3Njc1MzE2AwAAAAMxNjACAAAABDEwMDIEAAAAATAHAAAACTcvMTYvMjAxOAgAAAAJMy8zMS8yMDE4CQAAAAEwxP8bETUJ1gjCm2ISNQnWCDVDSVEuTkFTREFRR1M6QkdORS5JUV9DQVBFWC4xOTkyLjcvMzEvMjAxOC5MRlIuRi5VU0QuSAEAAADg5N0GAgAAAAYtNS4zODUBCAAAAAUAAAABMQEAAAAKMTg0MTE4MDE2OAMAAAADMTYwAgAAAAQyMDIxBAAAAAEwBwAAAAk3LzMxLzIwMTgIAAAACTMvMzEvMjAxNgkAAAABMJwL1TgICdYIgf2VbzQJ1gg/Q0lRLk5BU0RBUUNNOkFWRU8uSVFfRUJJVERBXzNZUl9BTk5fQ0FHUi4uNy8xNi8yMDE4LkxGUi5GLlVTRC5IAQAAAPQWHQADAAAAAADE/xsRNQnWCHM5YBI1CdYIO0NJUS5OQVNEQVFHUzpNR05YLklRX1RPVEFMX1JFVi5DWTIwMTcuNy8xNi8yMDE4LkxGUi5GLlVTRC5IAQAAAE8rCQACAAAABzE1Ny43NDIBCAAAAAUAAAABMQEAAAAKMTg3NjEzNTE3MgMAAAADMTYwAgAAAAIyOAQAAAABMAcAAAAJNy8xNi8yMDE4CAAAAAoxMi8zMS8yMDE3CQAAAAEwxP8bETUJ1gjCm2ISNQnWCC5DSVEuTkFTREFRR006QVJSWS5JUV9NQVJLRVRDQVAuNy8zMS8yMDE4LlVTRC5IAQAAAPhhAAACAAAACzMyNDEuNzA0ODc3AQYAAAAFAAAAATEBAAAACjE4ODg0NzAxNzcDAAAAAzE2MAIAAAAGMTAw</t>
  </si>
  <si>
    <t>MDU0BAAAAAEwBwAAAAk3LzMxLzIwMTicC9U4CAnWCNRfmG80CdYILkNJUS5OQVNEQVFHUzpDVE1YLklRX01BUktFVENBUC43LzE2LzIwMTguVVNELkgBAAAA3DibAwIAAAALMTAyNC4zODQ1MzgBBgAAAAUAAAABMQEAAAAKMTg4NzY3NDgyOQMAAAADMTYwAgAAAAYxMDAwNTQEAAAAATAHAAAACTcvMTYvMjAxOEadGRE1CdYIwptiEjUJ1gg6Q0lRLk5BU0RBUUdTOkNBTEEuSVFfRUFSTklOR19DTy4xOTk2LjcvMzEvMjAxOC5MRlIuRi5VU0QuSAEAAAClJ4EGAgAAAActMzQuMDA5AQgAAAAFAAAAATEBAAAACjE4ODc5ODAyNzcDAAAAAzE2MAIAAAABNwQAAAABMAcAAAAJNy8zMS8yMDE4CAAAAAkzLzMxLzIwMTcJAAAAATDIMLI3CAnWCN1LpG80CdYIOUNJUS5OQVNEQVFHTTpDUlZTLklRX1RPVEFMX1JFVi4xOTkyLjcvMzEvMjAxOC5MRlIuRi5VU0QuSAEAAAD0sKYQAwAAAAAA1owROAgJ1ggZ6aFvNAnWCCVDSVEuSVFUUjU0ODMzODAyMC5JUV9UUl9NQUpfTUlOX1NUQUtFAQAAAGT5riADAAAACE1ham9yaXR5AAxtEA41CdYIwNuCDjUJ1gg8Q0lRLk5BU0RBUUdNOkNSVlMuSVFfVE9UQUxfRVFVSVRZLjIwMDAuNy8zMS8yMDE4LkxGUi5GLlVTRC5IAQAAAPSwphACAAAABzEzNy4yMjgBCAAAAAUAAAABMQEAAAAKMTg4NjM2NzU5MQMAAAADMTYwAgAAAAQxMjc1BAAAAAEwBwAAAAk3LzMxLzIwMTgIAAAACTMv</t>
  </si>
  <si>
    <t>MzEvMjAxOAkAAAABMNaMETgICdYIGemhbzQJ1gg7Q0lRLk5BU0RBUUdNOkNSVlMuSVFfUFJFRl9FUVVJVFkuMjAwMC43LzMxLzIwMTguTEZSLkYuVVNELkgBAAAA9LCmEAMAAAAAANaMETgICdYIGemhbzQJ1gguQ0lRLklRVFI1NDc0MjM2ODAuSVFfVFJfVEFSR0VUX1NUT0NLUFJFTUlVTV8xVwEAAADABaEgAgAAAAc3Ny4wNDkyAQYAAAAFAAAAAjU0AQAAAAYxMDEwNTQCAAAACTU0NzQyMzY4MAMAAAAJNTQ3NDMzMDY1BAAAAAMxNjAGAAAABUZhbHNlDG0QDjUJ1ggMPoUONQnWCDBDSVEuTkFTREFRR006QUZNRC5JUV9MQVNUU0FMRVBSSUNFLjcvMTYvMjAxOC5VU0QBAAAA2/cMAAIAAAAEMS43NQApHJQQNQnWCDDXXRI1CdYIJENJUS5OQVNEQVFHUzpGUFJYLklRX0VGRkVDVF9UQVhfUkFURQEAAAA3XTMAAwAAAAJOTQEIAAAABQAAAAExAQAAAAoxODk5Mjg0MDY0AwAAAAMxNjACAAAABDQzNzYEAAAAATAHAAAACTgvMjMvMjAxOAgAAAAJNi8zMC8yMDE4CQAAAAEwyDCyNwgJ1gg27pUONQnWCENDSVEuTkFTREFRR006Q1JJUy5JUV9FQklUREFfNVlSX0FOTl9DQUdSLjIwMDAuNy8zMS8yMDE4LkxGUi5GLlVTRC5IAQAAABdqAAADAAAAAk5NAQgAAAAFAAAAATEBAAAACjE4ODYyNDc0MjADAAAAAzE2MAIAAAAENDIzNQQAAAABMAcAAAAJNy8zMS8yMDE4CAAAAAkzLzMxLzIwMTgJAAAAATDIMLI3CAnWCN1L</t>
  </si>
  <si>
    <t>pG80CdYIOUNJUS5OQVNEQVFHUzpDQUxBLklRX1RPVEFMX0RFQlQuMjAwMC41LzUvMjAxNy5MRlIuRi5VU0QuSAEAAAClJ4EGAgAAAAEwAQgAAAAFAAAAATEBAAAACjE4MzIxNzc2NjYDAAAAAzE2MAIAAAAENDE3MwQAAAABMAcAAAAINS81LzIwMTcIAAAACjEyLzMxLzIwMTYJAAAAATDIMLI3CAnWCN1LpG80CdYII0NJUS5OQVNEQVFHUzpUU1JPLklRX1BFUklPRERBVEVfSVMuAQAAAGjWWAYFAAAACTYvMzAvMjAxOADE/xsRNQnWCBL+ZBI1CdYINkNJUS5OQVNEQVFHUzpNR05YLklRX0VBUk5JTkdfQ08uLjcvMTYvMjAxOC5MRlIuRi5VU0QuSAEAAABPKwkAAgAAAActMzEuNTA3AQgAAAAFAAAAATEBAAAACjE4ODcxMTQ5NDUDAAAAAzE2MAIAAAABNwQAAAABMAcAAAAJNy8xNi8yMDE4CAAAAAkzLzMxLzIwMTgJAAAAATDE/xsRNQnWCMKbYhI1CdYIO0NJUS5PVENQSzpNQlZYLklRX1RPVEFMX0VRVUlUWS5DWTIwMTYuNy8xNi8yMDE4LkxGUi5GLlVTRC5IAQAAANhEiwICAAAACDMuMzQyNTIyAQgAAAAFAAAAATEBAAAACjE4ODEyMTMyMjADAAAAAzE2MAIAAAAEMTI3NQQAAAABMAcAAAAJNy8xNi8yMDE4CAAAAAoxMi8zMS8yMDE2CQAAAAEw3qd+EDUJ1giYElkSNQnWCCdDSVEuTkFTREFRR006TkxOSy5JUV9CRVRBXzJZUi43LzE2LzIwMTgBAAAAlXuMAAIAAAAPMi4wOTg3MTM5NTI1MjE1ACkclBA1CdYI</t>
  </si>
  <si>
    <t>5HRbEjUJ1gg8Q0lRLk5BU0RBUUdTOkNBTEEuSVFfRUJJVERBX0VTVC5DWTIwMTguNy8xNi8yMDE4LkNPTi5GLlVTRC5IAQAAAKUngQYDAAAAAAApHJQQNQnWCOR0WxI1CdYIOUNJUS5OQVNEQVFHUzpFUFpNLklRX1RPVEFMX1JFVi4xOTkyLjcvMzEvMjAxOC5MRlIuRi5VU0QuSAEAAAADJj0DAgAAAAUyLjEyMQEIAAAABQAAAAExAQAAAAoxODQwNjMwMzk0AwAAAAMxNjACAAAAAjI4BAAAAAEwBwAAAAk3LzMxLzIwMTgIAAAACTMvMzEvMjAxNgkAAAABMNaMETgICdYIJMKabzQJ1ghGQ0lRLk5BU0RBUUdTOkJHTkUuSVFfVE9UQUxfUkVWXzVZUl9BTk5fQ0FHUi4yMDAwLjcvMzEvMjAxOC5MRlIuRi5VU0QuSAEAAADg5N0GAwAAAAAAnAvVOAgJ1gjUX5hvNAnWCD9DSVEuTkFTREFRR006WE5DUi5JUV9FQklUREFfMllSX0FOTl9DQUdSLi43LzE2LzIwMTguTEZSLkYuVVNELkgBAAAAploLAAMAAAACTk0BCAAAAAUAAAABMQEAAAAKMTg4NzEyNTg1NQMAAAADMTYwAgAAAAQ0MjA5BAAAAAEwBwAAAAk3LzE2LzIwMTgIAAAACTMvMzEvMjAxOAkAAAABMMT/GxE1CdYIEv5kEjUJ1ggxQ0lRLk5BU0RBUUdTOkJHTkUuSVFfVE9UQUxfREVCVC4yMDAwLi5MRlIuRi5VU0QuSAEAAADg5N0GAgAAAAcyMDkuNzUxAQgAAAAFAAAAATEBAAAACjE4OTk5MDA2MzEDAAAAAzE2MAIAAAAENDE3MwQAAAABMAcAAAAJOC8yMy8y</t>
  </si>
  <si>
    <t>MDE4CAAAAAk2LzMwLzIwMTgJAAAAATCcC9U4CAnWCJwL1TgICdYIPENJUS5OQVNEQVFHTTpYTkNSLklRX0VCSVREQV9FU1QuQ1kyMDE4LjcvMTYvMjAxOC5DT04uRi5VU0QuSAEAAACmWgsAAgAAAAMtOTgBDgAAAAUAAAACMTEBAAAAATACAAAACjEwMDIwMjUyNDcDAAAABjEwMDE4NwQAAAABMgYAAAABMAcAAAADMTYwCAAAAAEwCQAAAAExCgAAAAEwCwAAAAsxMDkxNTgzNDM1NgwAAAABNw0AAAAJNy8xNy8yMDE4EAAAAAk3LzE2LzIwMTjE/xsRNQnWCBL+ZBI1CdYIKkNJUS5JUVRSNTQ4MzM4MDIwLklRX1RSX1RBUkdFVF9FQklULi5VU0QuSAEAAABk+a4gAgAAAAAADG0QDjUJ1gjA24IONQnWCCVDSVEuTkFTREFRR1M6TksuSVFfUEVSSU9EREFURV9JUy4xMDAwAQAAAA19oQ8FAAAACjEyLzMxLzIwMTcA1owROAgJ1ggDQL+LNAnWCBZDSVEuMC5JUV9UUl9UQVJHRVROQU1FBQAAAAAAAAAIAAAAGChJbnZhbGlkIFRyYW5zYWN0aW9uIElkKUlTR280CdYIB+LwgTQJ1gg1Q0lRLk5BU0RBUUdTOkZQUlguSVFfTklfTUFSR0lOLi43LzE2LzIwMTguTEZSLkYuVVNELkgBAAAAN10zAAIAAAAJLTIyMS43NDQ2AQgAAAAFAAAAATEBAAAACjE4ODc0MDIyMjcDAAAAAzE2MAIAAAAENDA5NAQAAAABMAcAAAAJNy8xNi8yMDE4CAAAAAkzLzMxLzIwMTgJAAAAATApHJQQNQnWCHM5YBI1CdYIM0NJUS5OQVNEQVFHUzpO</t>
  </si>
  <si>
    <t>Sy5JUV9EQV9DRi4yMDAwLjcvMzEvMjAxOC5MRlIuRi5VU0QuSAEAAAANfaEPAgAAAAU2LjAyNwEIAAAABQAAAAExAQAAAAoxODg3MTE4NzkxAwAAAAMxNjACAAAABDIxNjAEAAAAATAHAAAACTcvMzEvMjAxOAgAAAAJMy8zMS8yMDE4CQAAAAEw1owROAgJ1ggZ6aFvNAnWCCJDSVEuSVFUUjU1MTE2NjI5Mi5JUV9UUl9UQVJHRVROQU1FAQAAAFQh2iADAAAAHENhc2NhZGlhbiBUaGVyYXBldXRpY3MsIEluYy4ADG0QDjUJ1gjA24IONQnWCDFDSVEuTkFTREFRR1M6Sk5DRS5JUV9EQV9DRi4uNy8xNi8yMDE4LkxGUi5GLlVTRC5IAQAAAOJ5ng0CAAAABTQuNDAzAQgAAAAFAAAAATEBAAAACjE4ODgxODYzNzQDAAAAAzE2MAIAAAAEMjE2MAQAAAABMAcAAAAJNy8xNi8yMDE4CAAAAAkzLzMxLzIwMTgJAAAAATDep34QNQnWCOR0WxI1CdYIMkNJUS5BU1g6SU1VLklRX1RPVEFMX0VRVUlUWS4uNy8xNi8yMDE4LkxGUi5GLlVTRC5IAQAAAJiTqQACAAAACTEzLjkzNTA2OAEIAAAABQAAAAExAQAAAAoxODc3MzA1MzIwAwAAAAMxNjACAAAABDEyNzUEAAAAATAHAAAACTcvMTYvMjAxOAgAAAAKMTIvMzEvMjAxNwkAAAABMCkclBA1CdYIMNddEjUJ1gg/Q0lRLk5BU0RBUUdTOlNHRU4uSVFfRUJJVERBXzNZUl9BTk5fQ0FHUi4uNy8xNi8yMDE4LkxGUi5GLlVTRC5IAQAAAGGFAAADAAAAAk5NAQgAAAAFAAAAATEBAAAA</t>
  </si>
  <si>
    <t>CjE4ODQ4OTI4NTIDAAAAAzE2MAIAAAAENDIyMgQAAAABMAcAAAAJNy8xNi8yMDE4CAAAAAkzLzMxLzIwMTgJAAAAATDE/xsRNQnWCGhgZxI1CdYIPkNJUS5OQVNEQVFHUzpUU1JPLklRX1RPVEFMX0VRVUlUWS5DWTIwMTcuNy8zMS8yMDE4LkxGUi5GLlVTRC5IAQAAAGjWWAYCAAAABzI0OS4wODYBCAAAAAUAAAABMQEAAAAKMTg3NzIyNjMwMQMAAAADMTYwAgAAAAQxMjc1BAAAAAEwBwAAAAk3LzMxLzIwMTgIAAAACjEyLzMxLzIwMTcJAAAAATCcC9U4CAnWCCTCmm80CdYIIUNJUS5JUVRSNDA4MjkxMzk1LklRX1RSX0JVWUVSTkFNRQEAAABDCFYYAwAAABpDZWxsZGV4IFRoZXJhcGV1dGljcywgSW5jLgBYzxIONQnWCMDbgg41CdYIPENJUS5OQVNEQVFHTTpDUklTLklRX0dST1NTX01BUkdJTi4yMDAwLjcvMzEvMjAxOC5MRlIuRi5VU0QuSAEAAAAXagAAAgAAAAktMjk0LjA4ODkBCAAAAAUAAAABMQEAAAAKMTg4NjI0NzQyMAMAAAADMTYwAgAAAAQ0MDc0BAAAAAEwBwAAAAk3LzMxLzIwMTgIAAAACTMvMzEvMjAxOAkAAAABMMgwsjcICdYI3UukbzQJ1ggnQ0lRLk5BU0RBUUdNOkFSUlkuSVFfQkVUQV8yWVIuNy8zMS8yMDE4AQAAAPhhAAACAAAAETAuNDc4NDIwMTM4MzMwMDc1AJwL1TgICdYIJMKabzQJ1ggtQ0lRLi5JUV9QUkVGX0VRVUlUWS4yMDAwLjUvNS8yMDE3LkxGUi5GLlVTRC5IBQAAAAEAAAAI</t>
  </si>
  <si>
    <t>AAAAFChJbnZhbGlkIElkZW50aWZpZXIp9YQyRzQJ1gj1hDJHNAnWCDFDSVEuTkFTREFRR1M6QU5BQi5JUV9DQVBFWC4uNy8xNi8yMDE4LkxGUi5GLlVTRC5IAQAAACFMsgECAAAABi0wLjQzNwEIAAAABQAAAAExAQAAAAoxODg3NDAwMDQzAwAAAAMxNjACAAAABDIwMjEEAAAAATAHAAAACTcvMTYvMjAxOAgAAAAJMy8zMS8yMDE4CQAAAAEwxP8bETUJ1gjCm2ISNQnWCDxDSVEuTkFTREFRQ006U1JORS5JUV9FQVJOSU5HX0NPLkNZMjAxNy43LzMxLzIwMTguTEZSLkYuVVNELkgBAAAASUOUAwIAAAAGMTEuMTA5AQgAAAAFAAAAATEBAAAACjE4Nzg2Nzc0NTYDAAAAAzE2MAIAAAABNwQAAAABMAcAAAAJNy8zMS8yMDE4CAAAAAoxMi8zMS8yMDE3CQAAAAEw1owROAgJ1ghzJJ1vNAnWCEJDSVEuTkFTREFRR006WE5DUi5JUV9UT1RBTF9SRVZfNVlSX0FOTl9DQUdSLi43LzE2LzIwMTguTEZSLkYuVVNELkgBAAAAploLAAIAAAAHMzEuNzcyMQEIAAAABQAAAAExAQAAAAoxODg3MTI1ODU1AwAAAAMxNjACAAAABDQyMzMEAAAAATAHAAAACTcvMTYvMjAxOAgAAAAJMy8zMS8yMDE4CQAAAAEwxP8bETUJ1ggS/mQSNQnWCDxDSVEuTkFTREFRQ006TVRFTS5JUV9UT1RBTF9FUVVJVFkuMjAwMC43LzMxLzIwMTguTEZSLkYuVVNELkgBAAAAmZupAQIAAAAGNzAuOTQxAQgAAAAFAAAAATEBAAAACjE4ODg3MzMwMDQDAAAA</t>
  </si>
  <si>
    <t>AzE2MAIAAAAEMTI3NQQAAAABMAcAAAAJNy8zMS8yMDE4CAAAAAkzLzMxLzIwMTgJAAAAATDIMLI3CAnWCBnpoW80CdYINUNJUS5OQVNEQVFDTTpaSU9QLklRX0RBX0NGLjIwMDAuNy8zMS8yMDE4LkxGUi5GLlVTRC5IAQAAALNRsgACAAAABTAuNDA3AQgAAAAFAAAAATEBAAAACjE4ODc5NzIzNTkDAAAAAzE2MAIAAAAEMjE2MAQAAAABMAcAAAAJNy8zMS8yMDE4CAAAAAkzLzMxLzIwMTgJAAAAATDWjBE4CAnWCMOGn280CdYIIkNJUS5JUVRSNDA4NDA3ODIyLklRX1RSX1RBUkdFVE5BTUUBAAAADs9XGAMAAABAVGV0cmFsb2dpYyBQaGFybWFjZXV0aWNhbHMgQ29ycG9yYXRpb24sIFN1YnN0YW50aWFsbHkgQWxsIEFzc2V0cwCys0lvNAnWCIH9lW80CdYIMENJUS5FTlhUUEE6SVBILklRX1BFUklPRERBVEVfSVMuLjcvMTYvMjAxOC5MRlIuRgEAAACZgAYABQAAAAoxMi8zMS8yMDE3ACkclBA1CdYIczlgEjUJ1gg7Q0lRLk5BU0RBUUNNOkFWRU8uSVFfTkVUX1dPUktJTkdfQ0FQLi43LzE2LzIwMTguTEZSLkYuVVNELkgBAAAA9BYdAAIAAAAHLTE1LjIzNQEIAAAABQAAAAExAQAAAAoxODg3MjM0Mjk1AwAAAAMxNjACAAAABDEzMTEEAAAAATAHAAAACTcvMTYvMjAxOAgAAAAJMy8zMS8yMDE4CQAAAAEwxP8bETUJ1gjCm2ISNQnWCENDSVEuTkFTREFRR1M6QU5BQi5JUV9NSU5PUklUWV9JTlRFUkVTVF9UT1RB</t>
  </si>
  <si>
    <t>TC4uOS8xNS8yMDE3LkxGUi5GLlVTRC5IAQAAACFMsgEDAAAAAADE/xsRNQnWCMKbYhI1CdYIOkNJUS5OQVNEQVFHUzpUU1JPLklRX1RPVEFMX0RFQlQuMjAwMC43LzMxLzIwMTguTEZSLkYuVVNELkgBAAAAaNZYBgIAAAAHNDQwLjQxNwEIAAAABQAAAAExAQAAAAoxODg2MzM3NDY2AwAAAAMxNjACAAAABDQxNzMEAAAAATAHAAAACTcvMzEvMjAxOAgAAAAJMy8zMS8yMDE4CQAAAAEwnAvVOAgJ1ggkwppvNAnWCB9DSVEuMC5JUV9UUl9JTVBMSUVEX0VWX0VCSVRfRldEBQAAAAAAAAAIAAAAGChJbnZhbGlkIFRyYW5zYWN0aW9uIElkKUlTR280CdYIB+LwgTQJ1ggwQ0lRLk5BU0RBUUdTOlRTUk8uSVFfTEFTVFNBTEVQUklDRS43LzMxLzIwMTguVVNEAQAAAGjWWAYCAAAABTM0LjgzAJwL1TgICdYIJMKabzQJ1ggpQ0lRLklRMzYxODM4MTMuSVFfTEFTVFNBTEVQUklDRS43LzE2LzIwMTgBAAAABR8oAgIAAAADMS45AAxtEA41CdYIDD6FDjUJ1ggnQ0lRLk5BU0RBUUdTOkNBTEEuSVFfQkVUQV8xWVIuNy8xNi8yMDE4AQAAAKUngQYCAAAAETAuOTEzNjYyNDM0NjA1ODQzACkclBA1CdYI5HRbEjUJ1gg+Q0lRLk5BU0RBUUdNOkZBVEUuSVFfVE9UQUxfRVFVSVRZLkNZMjAxNi43LzMxLzIwMTguTEZSLkYuVVNELkgBAAAAaDFXAgIAAAAGNzMuMTU0AQgAAAAFAAAAATEBAAAACjE4NzcwNjkwNjcDAAAAAzE2MAIA</t>
  </si>
  <si>
    <t>AAAEMTI3NQQAAAABMAcAAAAJNy8zMS8yMDE4CAAAAAoxMi8zMS8yMDE2CQAAAAEw1owROAgJ1gjDhp9vNAnWCEVDSVEuKElOVkFMSUQgSURFTlRJRklFUikuSVFfVE9UQUxfRVFVSVRZLkNZMjAxNy43LzE2LzIwMTguTEZSLkYuVVNELkgFAAAAAAAAAAgAAAAUKEludmFsaWQgSWRlbnRpZmllcinep34QNQnWCJgSWRI1CdYIGkNJUS4uSVFfQkVUQV8yWVIuNy8zMS8yMDE4BQAAAAEAAAAIAAAAFChJbnZhbGlkIElkZW50aWZpZXIp9YQyRzQJ1gj1hDJHNAnWCDdDSVEuKElOVkFMSUQgSURFTlRJRklFUikuSVFfTEFTVFNBTEVQUklDRS43LzE2LzIwMTguVVNEBQAAAAAAAAAIAAAAFChJbnZhbGlkIElkZW50aWZpZXIp3qd+EDUJ1giYElkSNQnWCD1DSVEuTkFTREFRR1M6S1VSQS5JUV9SRVZFTlVFX0VTVC5DWTIwMjEuNy8zMS8yMDE4LkNPTi5GLlVTRC5IAQAAALjL2hACAAAABTg4Ni40AQ4AAAAFAAAAAjExAQAAAAEwAgAAAAoxMDAzMTg0OTkyAwAAAAYxMDAxODAEAAAAATIGAAAAATAHAAAAAzE2MAgAAAABMAkAAAABMQoAAAABMAsAAAALMTEwMzMzNzg0MjgMAAAAATcNAAAACDgvMS8yMDE4EAAAAAk3LzMxLzIwMTjWjBE4CAnWCHMknW80CdYIIENJUS5JUVRSMjUzOTU0NDczLklRX1RSX0VBUk5PVVRTAQAAAKkJIw8CAAAAAACys0lvNAnWCDWbk280CdYIN0NJUS5OQVNEQVFHUzpDVE1YLklRX1BSRUZf</t>
  </si>
  <si>
    <t>RVFVSVRZLi43LzE2LzIwMTguTEZSLkYuVVNELkgBAAAA3DibAwMAAAAAAMT/GxE1CdYIwptiEjUJ1ggwQ0lRLklRVFIzMDc4NjM5ODQuSVFfVFJfVEFSR0VUX0VCSVREQV9FU1QuLlVTRC5IAQAAALChWRICAAAAAABYzxIONQnWCMDbgg41CdYILUNJUS5OQVNEQVFDTTpDS1BULklRX0RJVklERU5EX1lJRUxELjcvMTYvMjAxOAEAAAC4URYRAwAAAAAAKRyUEDUJ1gjkdFsSNQnWCDxDSVEuTkFTREFRQ006TVRFTS5JUV9HUk9TU19NQVJHSU4uMjAwMC43LzMxLzIwMTguTEZSLkYuVVNELkgBAAAAmZupAQMAAAACTk0BCAAAAAUAAAABMQEAAAAKMTg4ODczMzAwNAMAAAADMTYwAgAAAAQ0MDc0BAAAAAEwBwAAAAk3LzMxLzIwMTgIAAAACTMvMzEvMjAxOAkAAAABMMgwsjcICdYIGemhbzQJ1gg2Q0lRLk5BU0RBUUdTOlRTUk8uSVFfRUJJVERBLjE5OTIuNy8zMS8yMDE4LkxGUi5GLlVTRC5IAQAAAGjWWAYCAAAACC0yNzAuNjg1AQgAAAAFAAAAATEBAAAACjE4NDA5MzQ2NjMDAAAAAzE2MAIAAAAENDA1MQQAAAABMAcAAAAJNy8zMS8yMDE4CAAAAAkzLzMxLzIwMTYJAAAAATCcC9U4CAnWCCTCmm80CdYIPUNJUS4oSU5WQUxJRCBJREVOVElGSUVSKS5JUV9UT1RBTF9ERUJULi43LzE2LzIwMTguTEZSLkYuVVNELkgFAAAAAAAAAAgAAAAUKEludmFsaWQgSWRlbnRpZmllcinep34QNQnWCJgSWRI1CdYII0NJUS5J</t>
  </si>
  <si>
    <t>UVRSMjYzNzE4NjQ3LklRX1RSX0NMT1NFRF9EQVRFAQAAAPcGuA8FAAAACDcvOC8yMDE0ALKzSW80CdYINZuTbzQJ1ggjQ0lRLk5BU0RBUUdTOlNHRU4uSVFfUEVSSU9EREFURV9JUy4BAAAAYYUAAAUAAAAJNi8zMC8yMDE4AEadGRE1CdYIaGBnEjUJ1ggzQ0lRLk5BU0RBUUdTOkJHTkUuSVFfRUFSTklOR19DTy5DWTIwMTcuLkxGUi5GLlVTRC5IAQAAAODk3QYCAAAABy05NS44NjcBCAAAAAUAAAABMQEAAAAKMTg5OTg4MTE5NAMAAAADMTYwAgAAAAE3BAAAAAEwBwAAAAk4LzIzLzIwMTgIAAAACjEyLzMxLzIwMTcJAAAAATCcC9U4CAnWCJwL1TgICdYINUNJUS5BU1g6SU1VLklRX05FVF9XT1JLSU5HX0NBUC4uNy8xNi8yMDE4LkxGUi5GLlVTRC5IAQAAAJiTqQACAAAACDAuMjE1NTU0AQgAAAAFAAAAATEBAAAACjE4NzczMDUzMjADAAAAAzE2MAIAAAAEMTMxMQQAAAABMAcAAAAJNy8xNi8yMDE4CAAAAAoxMi8zMS8yMDE3CQAAAAEwKRyUEDUJ1ggw110SNQnWCDVDSVEuTkFTREFRR006Q1JJUy5JUV9DQVBFWC4yMDAwLjcvMzEvMjAxOC5MRlIuRi5VU0QuSAEAAAAXagAAAgAAAAYtMC4yMTMBCAAAAAUAAAABMQEAAAAKMTg4NjI0NzQyMAMAAAADMTYwAgAAAAQyMDIxBAAAAAEwBwAAAAk3LzMxLzIwMTgIAAAACTMvMzEvMjAxOAkAAAABMMgwsjcICdYI3UukbzQJ1gg8Q0lRLk5BU0RBUUdTOkZQUlguSVFf</t>
  </si>
  <si>
    <t>RUFSTklOR19DTy5DWTIwMTcuNy8xNi8yMDE4LkxGUi5GLlVTRC5IAQAAADddMwACAAAACC0xNTAuMjIyAQgAAAAFAAAAATEBAAAACjE4NzYxMzU5OTEDAAAAAzE2MAIAAAABNwQAAAABMAcAAAAJNy8xNi8yMDE4CAAAAAoxMi8zMS8yMDE3CQAAAAEwKRyUEDUJ1ghzOWASNQnWCCxDSVEuSVFUUjMwMjg2NjYyNy5JUV9UUl9UT1RBTF9HUk9TU19UVi5VU0QuSAUAAAAAAAAACAAAABooSW52YWxpZCBDdXJyZW5jeSBSZXF1ZXN0KQxtEA41CdYIDD6FDjUJ1gg1Q0lRLk5BU0RBUUdTOkJHTkUuSVFfQ0FTSF9TVF9JTlZFU1QuMjAwMC4uTEZSLkYuVVNELkgBAAAA4OTdBgIAAAAIMTM2OS42MjgBCAAAAAUAAAABMQEAAAAKMTg5OTkwMDYzMQMAAAADMTYwAgAAAAQxMDAyBAAAAAEwBwAAAAk4LzIzLzIwMTgIAAAACTYvMzAvMjAxOAkAAAABMJwL1TgICdYInAvVOAgJ1ggrQ0lRLk5BU0RBUUdTOk5LLklRX0RJVklERU5EX1lJRUxELjcvMzEvMjAxOAEAAAANfaEPAwAAAAAA1owROAgJ1ggZ6aFvNAnWCC5DSVEuSVFUUjU0MjgwNjY4Ni5JUV9UUl9UQVJHRVRfU1RPQ0tQUkVNSVVNXzFNAQAAAJ6SWiACAAAAAACys0lvNAnWCIH9lW80CdYILENJUS5JUVRSNDAzNzkxNzY3LklRX1RSX1RBUkdFVF9FQklUREEuLlVTRC5IAQAAAJdfERgCAAAAAABYzxIONQnWCMDbgg41CdYINkNJUS5OQVNEQVFHUzpDVE1YLklRX0VB</t>
  </si>
  <si>
    <t>Uk5JTkdfQ08uLjcvMTYvMjAxOC5MRlIuRi5VU0QuSAEAAADcOJsDAgAAAActNTAuMzM1AQgAAAAFAAAAATEBAAAACjE4ODc2NzUzMTYDAAAAAzE2MAIAAAABNwQAAAABMAcAAAAJNy8xNi8yMDE4CAAAAAkzLzMxLzIwMTgJAAAAATDE/xsRNQnWCMKbYhI1CdYIJUNJUS5JUVRSNTMzNjM5NTAxLklRX1BSSU1BUllfSU5EVVNUUlkBAAAAW47aAQMAAAANQmlvdGVjaG5vbG9neQAMbRAONQnWCMDbgg41CdYIQ0NJUS5OQVNEQVFHUzpGUFJYLklRX01JTk9SSVRZX0lOVEVSRVNUX1RPVEFMLi43LzE2LzIwMTguTEZSLkYuVVNELkgBAAAAN10zAAMAAAAAACkclBA1CdYIczlgEjUJ1ghCQ0lRLihJTlZBTElEIElERU5USUZJRVIpLklRX1BSRUZfRVFVSVRZLjIwMDAuNy8zMS8yMDE4LkxGUi5GLlVTRC5IBQAAAAAAAAAIAAAAFChJbnZhbGlkIElkZW50aWZpZXIpyDCyNwgJ1gjtNrBvNAnWCDZDSVEuTkFTREFRR1M6QVROWC5JUV9FQklUREEuMTk5Mi43LzMxLzIwMTguTEZSLkYuVVNELkgBAAAA3JlrAQIAAAAHLTE3LjUwNwEIAAAABQAAAAExAQAAAAoxODQyNDkwMjczAwAAAAMxNjACAAAABDQwNTEEAAAAATAHAAAACTcvMzEvMjAxOAgAAAAKMTIvMzEvMjAxNAkAAAABMNaMETgICdYIJMKabzQJ1gguQ0lRLk5BU0RBUUdTOlBCWUkuSVFfTUFSS0VUQ0FQLjcvMTYvMjAxOC5VU0QuSAEAAAACaqwHAgAAAAsxOTg3</t>
  </si>
  <si>
    <t>LjAwMDE1OAEGAAAABQAAAAExAQAAAAoxODg4NjY3MTE1AwAAAAMxNjACAAAABjEwMDA1NAQAAAABMAcAAAAJNy8xNi8yMDE4Rp0ZETUJ1ggS/mQSNQnWCDZDSVEuTkFTREFRR1M6TVJTTi5JUV9FQVJOSU5HX0NPLi43LzE2LzIwMTguTEZSLkYuVVNELkgBAAAA5sUYAAIAAAAHLTQzLjA0OQEIAAAABQAAAAExAQAAAAoxODg5MDk2NjUzAwAAAAMxNjACAAAAATcEAAAAATAHAAAACTcvMTYvMjAxOAgAAAAJMy8zMS8yMDE4CQAAAAEwKRyUEDUJ1ghzOWASNQnWCDxDSVEuTkFTREFRR1M6QVROWC5JUV9UT1RBTF9FUVVJVFkuMjAwMC43LzMxLzIwMTguTEZSLkYuVVNELkgBAAAA3JlrAQIAAAAHMTU2LjA4NQEIAAAABQAAAAExAQAAAAoxODg4NzAyOTgyAwAAAAMxNjACAAAABDEyNzUEAAAAATAHAAAACTcvMzEvMjAxOAgAAAAJMy8zMS8yMDE4CQAAAAEw1owROAgJ1ggkwppvNAnWCDVDSVEuTkFTREFRR006TFBUWC5JUV9OSV9NQVJHSU4uLjcvMTYvMjAxOC5MRlIuRi5VU0QuSAEAAAAMNgkHAwAAAAAAKRyUEDUJ1ggw110SNQnWCCxDSVEuSVFUUjQwODI5MTM5NS5JUV9UUl9UT1RBTF9HUk9TU19UVi5VU0QuSAUAAAAAAAAACAAAABooSW52YWxpZCBDdXJyZW5jeSBSZXF1ZXN0KQxtEA41CdYIwNuCDjUJ1ggnQ0lRLk5BU0RBUUdTOlRTUk8uSVFfQkVUQV8yWVIuNy8xNi8yMDE4AQAAAGjWWAYCAAAAEDEuMDMy</t>
  </si>
  <si>
    <t>MjQwNDAyMTg4NjYAxP8bETUJ1ggS/mQSNQnWCD5DSVEuTkFTREFRR1M6QkdORS5JUV9DQVNIX1NUX0lOVkVTVC4yMDAwLjcvMzEvMjAxOC5MRlIuRi5VU0QuSAEAAADg5N0GAgAAAAgxNDY0LjAxNQEIAAAABQAAAAExAQAAAAoxODg3Njg4NTg4AwAAAAMxNjACAAAABDEwMDIEAAAAATAHAAAACTcvMzEvMjAxOAgAAAAJMy8zMS8yMDE4CQAAAAEwnAvVOAgJ1giB/ZVvNAnWCCxDSVEuSVFUUjU0NzQyMzY4MC5JUV9UUl9UT1RBTF9HUk9TU19UVi5VU0QuSAUAAAAAAAAACAAAABooSW52YWxpZCBDdXJyZW5jeSBSZXF1ZXN0KQxtEA41CdYIwNuCDjUJ1gglQ0lRLklRVFI0MzE4NDE1ODEuSVFfVFJfTUFKX01JTl9TVEFLRQEAAAAtYb0ZAwAAAAhNYWpvcml0eQAMbRAONQnWCAw+hQ41CdYIKUNJUS5JUVRSNTUxMTY2MjkyLklRX0JVU0lORVNTX0RFU0NSSVBUSU9OAQAAAAtkAAADAAAAgQpDYXNjYWRpYW4gVGhlcmFwZXV0aWNzLCBJbmMuLCBhIGNsaW5pY2FsLXN0YWdlIGJpb3BoYXJtYWNldXRpY2FsIGNvbXBhbnksIGZvY3VzZXMgb24gdGhlIGRldmVsb3BtZW50IG9mIHRoZXJhcGV1dGljIHByb2R1Y3RzIGZvciB0aGUgdHJlYXRtZW50IG9mIGNhbmNlci4gSXRzIGxlYWQgY2xpbmljYWwtc3RhZ2UgcHJvZHVjdCBjYW5kaWRhdGUgaXMgdHVjYXRpbmliLCBhbiBvcmFsLCBIRVIyLXNlbGVjdGl2ZSBzbWFs</t>
  </si>
  <si>
    <t>bCBtb2xlY3VsZSB0eXJvc2luZSBraW5hc2UgaW5oaWJpdG9yLCB3aGljaCBpcyBpbiB0d28gUGhhc2UgSWIgY2xpbmljYWwgdHJpYWxzLCBvbmUgaW4gY29tYmluYXRpb24gd2l0aCBULURNMSBhbmQgYW5vdGhlciBpbiBjb21iaW5hdGlvbiB3aXRoIGNhcGVjaXRhYmluZSBhbmQvb3IgdHJhc3R1enVtYWIgZm9yIHRoZSB0cmVhdG1lbnQgb2YgbWV0YXN0YXRpYyBicmVhc3QgY2FuY2VyLiBUaGUgY29tcGFueeKAmXMgcHJvZHVjdCBwaXBlbGluZSBhbHNvIGluY2x1ZGVzIHR3byBwcmVjbGluaWNhbC1zdGFnZSBwcm9kdWN0IGNhbmRpZGF0ZXMsIHdoaWNoIGluY2x1ZGUgQ0FTQy01NzgsIGEgQ2hrMSBjZWxsIGN5Y2xlIGluaGliaXRvcjsgYW5kIENBU0MtNjc0LCBhbiBhbnRpYm9keSBhZ2FpbnN0IGFuIGltbXVuby1vbmNvbG9neSB0YXJnZXQuIEl0IGhhcyBhIGxpY2Vuc2UgYWdyZWVtZW50IHdpdGggQXJyYXkgQmlvUGhhcm1hIEluYy4gdG8gZGV2ZWxvcCwgbWFudWZhY3R1cmUsIGFuZCBjb21tZXJjaWFsaXplIHR1Y2F0aW5pYjsgcmVzZWFyY2ggY29sbGFib3JhdGlvbiBhZ3JlZW1lbnQgd2l0aCBTZW50aW5lbCBPbmNvbG9neSBMdGQuIGZvciB0aGUgZGlzY292ZXJ5IG9mIG5vdmVsIENoazEgaW5oaWJpdG9yczsgYW5kIGNvbGxhYm9yYXRpb24gYWdyZWVtZW50IHdpdGggQWRpbWFiIExMQyBm</t>
  </si>
  <si>
    <t>b3IgdGhlIGRpc2NvdmVyeSBvZiBub3ZlbCBhbnRpYm9kaWVzIGFnYWluc3QgaW1tdW5vdGhlcmFweSB0YXJnZXRzIGluIG9uY29sb2d5LiBUaGUgY29tcGFueSB3YXMgZm9ybWVybHkga25vd24gYXMgT25jb3RoeXJlb24gSW5jLiBhbmQgY2hhbmdlZCBpdHMgbmFtZSB0byBDYXNjYWRpYW4gVGhlcmFwZXV0aWNzLCBJbmMuIGluIEp1bmUgMjAxNi4gQ2FzY2FkaWFuIFRoZXJhcGV1dGljcywgSW5jLiB3YXMgZm91bmRlZCBpbiAxOTg1IGFuZCBpcyBoZWFkcXVhcnRlcmVkIGluIFNlYXR0bGUsIFdhc2hpbmd0b24uIENhc2NhZGlhbiBUaGVyYXBldXRpY3MsIEluYy4gaXMgYSBzdWJzaWRpYXJ5IG9mIFNlYXR0bGUgR2VuZXRpY3MsIEluYy4ADG0QDjUJ1gjA24IONQnWCC9DSVEuSVFUUjQzMTg0MTU4MS5JUV9UUl9UQVJHRVRfVE9UQUxfUkVWLi5VU0QuSAEAAAAtYb0ZAgAAAAAADG0QDjUJ1ggMPoUONQnWCDVDSVEuTkFTREFRR006WE5DUi5JUV9OSV9NQVJHSU4uLjcvMTYvMjAxOC5MRlIuRi5VU0QuSAEAAACmWgsAAgAAAAktMTk1LjQwODQBCAAAAAUAAAABMQEAAAAKMTg4NzEyNTg1NQMAAAADMTYwAgAAAAQ0MDk0BAAAAAEwBwAAAAk3LzE2LzIwMTgIAAAACTMvMzEvMjAxOAkAAAABMMT/GxE1CdYIEv5kEjUJ1ggmQ0lRLkVOWFRQQTpJUEguSVFfQlVTSU5FU1NfREVTQ1JJUFRJT04BAAAAmYAGAAMA</t>
  </si>
  <si>
    <t>AADKCUlubmF0ZSBQaGFybWEgUy5BLiwgYSBjbGluaWNhbC1zdGFnZSBiaW90ZWNobm9sb2d5IGNvbXBhbnksIGRpc2NvdmVycyBhbmQgZGV2ZWxvcHMgdGhlcmFwZXV0aWMgYW50aWJvZGllcyBmb3IgdGhlIHRyZWF0bWVudCBvZiBjYW5jZXIgaW4gRnJhbmNlIGFuZCBpbnRlcm5hdGlvbmFsbHkuIEl0IG9mZmVycyBJUEg0MTAyLCBhbiBhbnRpLUtJUjNETDIgaHVtYW5pemVkIGN5dG90b3hpY2l0eS1pbmR1Y2luZyBhbnRpYm9keSwgd2hpY2ggaXMgaW4gUGhhc2UgSSBjbGluaWNhbCB0cmlhbCBmb3IgY3V0YW5lb3VzIFQtY2VsbCBseW1waG9tYXM7IE1vbmFsaXp1bWFiLCBhIGNoZWNrcG9pbnQgaW5oaWJpdG9yIHRoYXQgaXMgaW4gUGhhc2UgSUkgY2xpbmljYWwgdHJpYWwgdG8gdHJlYXQgdmFyaW91cyBjYW5jZXIgaW5kaWNhdGlvbnMsIGFzIHdlbGwgYXMgaW4gUGhhc2UgSS9JSSBjbGluaWNhbCB0cmlhbCBmb3IgdGhlIHRyZWF0bWVudCBvZiBzb2xpZCB0dW1vcnM7IGFuZCBJUEg1NDAxLCBhIHRoZXJhcGV1dGljIGFudGlib2R5IHRoYXQgYmluZHMgYW5kIGJsb2NrcyBDNWEgcmVjZXB0b3JzIGV4cHJlc3NlZCBvbiBzdWJzZXRzIG9mIG15ZWxvaWQtZGVyaXZlZCBzdXBwcmVzc29yIGNlbGxzIGFuZCBuZXV0cm9waGlscy4gVGhlIGNvbXBhbnkgYWxzbyBwcm92aWRlcyBMaXJpbHVtYWIgKElQ</t>
  </si>
  <si>
    <t>SDIxMDIvQk1TLTk4NjAxNSksIGEgaHVtYW4gbW9ub2Nsb25hbCBhbnRpYm9keSB0aGF0IGJsb2NrcyB0aGUgaW50ZXJhY3Rpb24gYmV0d2VlbiBLSVIyREwtMSwtMiwtMyBpbmhpYml0b3J5IHJlY2VwdG9ycyBhbmQgdGhlaXIgbGlnYW5kczsgSVBINTIsIGFuIGFudGktQ0QzOSBhbnRpYm9keSBmb3IgaW1tdW5vLW9uY29sb2d5OyBJUEg1MywgYW4gYW50aS1DRDczIGFudGlib2R5IGZvciBpbW11bm8tb25jb2xvZ3k7IGFuZCBJUEg0MzAxLCBhbiBhbnRpLU1JQ0EvQiB0aGVyYXBldXRpYyBhbnRpYm9keSB0byB0cmVhdCBvbmNvbG9neS4gVGhlIGNvbXBhbnkgaGFzIGxpY2Vuc2luZyBhZ3JlZW1lbnRzIHdpdGggQXN0cmFaZW5lY2EsIEJyaXN0b2wtTXllcnMgU3F1aWJiLCBOb3ZvIE5vcmRpc2sgQS9TLCBhbmQgU2Fub2ZpLiBJbm5hdGUgUGhhcm1hIFMuQS4gaGFzIGEgY2xpbmljYWwgdHJpYWwgY29sbGFib3JhdGlvbiB3aXRoIE1lZEltbXVuZS4gVGhlIGNvbXBhbnkgd2FzIGZvdW5kZWQgaW4gMTk5OSBhbmQgaXMgYmFzZWQgaW4gTWFyc2VpbGxlLCBGcmFuY2UuACkclBA1CdYIczlgEjUJ1gg8Q0lRLk5BU0RBUUdNOklNTVUuSVFfRUJJVERBX0VTVC5DWTIwMTkuNy8xNi8yMDE4LkNPTi5GLlVTRC5IAQAAACBDBAADAAAAAADE/xsRNQnWCBL+ZBI1CdYILENJUS5OQVNEQVFHUzpCR05FLklRX0NB</t>
  </si>
  <si>
    <t>UEVYLjIwMDAuLkxGUi5GLlVTRC5IAQAAAODk3QYCAAAABy01Ny44MDIBCAAAAAUAAAABMQEAAAAKMTg5OTkwMDYzMQMAAAADMTYwAgAAAAQyMDIxBAAAAAEwBwAAAAk4LzIzLzIwMTgIAAAACTYvMzAvMjAxOAkAAAABMJwL1TgICdYInAvVOAgJ1ggtQ0lRLk5BU0RBUUdTOkJHTkUuSVFfRUJJVERBLjE5OTYuLkxGUi5GLlVTRC5IAQAAAODk3QYCAAAABy0xNzkuMjgBCAAAAAUAAAABMQEAAAAKMTg5OTkwMDYxOAMAAAADMTYwAgAAAAQ0MDUxBAAAAAEwBwAAAAk4LzIzLzIwMTgIAAAACTYvMzAvMjAxNwkAAAABMJwL1TgICdYInAvVOAgJ1gg6Q0lRLk5BU0RBUUdTOkJHTkUuSVFfRUFSTklOR19DTy4xOTkyLjcvMzEvMjAxOC5MRlIuRi5VU0QuSAEAAADg5N0GAgAAAActNjguODkxAQgAAAAFAAAAATEBAAAACjE4NDExODAxNjgDAAAAAzE2MAIAAAABNwQAAAABMAcAAAAJNy8zMS8yMDE4CAAAAAkzLzMxLzIwMTYJAAAAATCcC9U4CAnWCIH9lW80CdYIPENJUS5OQVNEQVFHUzpDVE1YLklRX0VBUk5JTkdfQ08uQ1kyMDE2LjcvMTYvMjAxOC5MRlIuRi5VU0QuSAEAAADcOJsDAgAAAAUtNTguOQEIAAAABQAAAAExAQAAAAoxODc3MzE2NzM0AwAAAAMxNjACAAAAATcEAAAAATAHAAAACTcvMTYvMjAxOAgAAAAKMTIvMzEvMjAxNgkAAAABMMT/GxE1CdYIwptiEjUJ1ggaQ0lRLi5JUV9QRVJJT0REQVRFX0lTLjEw</t>
  </si>
  <si>
    <t>MDAFAAAAAAAAAAgAAAAUKEludmFsaWQgSWRlbnRpZmllcin1hDJHNAnWCHsd7IE0CdYIOkNJUS5OQVNEQVFHUzpGUFJYLklRX0VBUk5JTkdfQ08uMTk5Ni43LzMxLzIwMTguTEZSLkYuVVNELkgBAAAAN10zAAIAAAAFLTg2LjEBCAAAAAUAAAABMQEAAAAKMTg4NzQwMjIyNAMAAAADMTYwAgAAAAE3BAAAAAEwBwAAAAk3LzMxLzIwMTgIAAAACTMvMzEvMjAxNwkAAAABMMgwsjcICdYIGemhbzQJ1gg1Q0lRLk5BU0RBUUdNOkFSUlkuSVFfQ0FQRVguMTk5Mi43LzMxLzIwMTguTEZSLkYuVVNELkgBAAAA+GEAAAIAAAAGLTMuMTU5AQgAAAAFAAAAATEBAAAACjE4NDEwOTUwMjYDAAAAAzE2MAIAAAAEMjAyMQQAAAABMAcAAAAJNy8zMS8yMDE4CAAAAAkzLzMxLzIwMTYJAAAAATCcC9U4CAnWCNRfmG80CdYIPUNJUS5OQVNEQVFHTTpMUFRYLklRX1JFVkVOVUVfRVNULkNZMjAxOC43LzE2LzIwMTguQ09OLkYuVVNELkgBAAAADDYJBwIAAAABMAEOAAAABQAAAAIxMQEAAAABMAIAAAAKMTAwMzYzOTU0NwMAAAAGMTAwMTgwBAAAAAEyBgAAAAEwBwAAAAMxNjAIAAAAATAJAAAAATEKAAAAATALAAAACzEwOTM1NDM5MjkwDAAAAAE3DQAAAAk3LzE3LzIwMTgQAAAACTcvMTYvMjAxOCkclBA1CdYIMNddEjUJ1gg9Q0lRLk5BU0RBUUdTOlBCWUkuSVFfUkVWRU5VRV9FU1QuQ1kyMDE4LjcvMTYvMjAxOC5DT04uRi5VU0Qu</t>
  </si>
  <si>
    <t>SAEAAAACaqwHAgAAAAgyMTcuNzgxMQEOAAAABQAAAAIxMQEAAAABMAIAAAAKMTAwMTUxMzA3NAMAAAAGMTAwMTgwBAAAAAEyBgAAAAEwBwAAAAMxNjAIAAAAATAJAAAAATEKAAAAATALAAAACzEwOTUxMjQwODk0DAAAAAE3DQAAAAk3LzE3LzIwMTgQAAAACTcvMTYvMjAxOMT/GxE1CdYIEv5kEjUJ1gg9Q0lRLk5BU0RBUUdTOlNHRU4uSVFfUkVWRU5VRV9FU1QuQ1kyMDE5LjcvMTYvMjAxOC5DT04uRi5VU0QuSAEAAABhhQAAAgAAAAk3NzIuMTM4OTIBDgAAAAUAAAACMTEBAAAAATACAAAACjEwMDAxMjQ3MjcDAAAABjEwMDE4MAQAAAABMgYAAAABMAcAAAADMTYwCAAAAAEwCQAAAAExCgAAAAEwCwAAAAsxMDk2NzY0MTU4OQwAAAABNw0AAAAJNy8xNy8yMDE4EAAAAAk3LzE2LzIwMTjE/xsRNQnWCGhgZxI1CdYIN0NJUS5OQVNEQVFHUzpCR05FLklRX1BSRUZfRVFVSVRZLi43LzE2LzIwMTguTEZSLkYuVVNELkgBAAAA4OTdBgMAAAAAAMT/GxE1CdYIaGBnEjUJ1gg9Q0lRLk5BU0RBUUdNOkNSSVMuSVFfUkVWRU5VRV9FU1QuQ1kyMDIwLjcvMzEvMjAxOC5DT04uRi5VU0QuSAEAAAAXagAAAgAAAAcyMC4yOTg1AQ4AAAAFAAAAAjExAQAAAAEwAgAAAAoxMDAxMzg3NzUzAwAAAAYxMDAxODAEAAAAATIGAAAAATAHAAAAAzE2MAgAAAABMAkAAAABMQoAAAABMAsAAAALMTA5NTEyNDI1MjAMAAAAATcNAAAACDgv</t>
  </si>
  <si>
    <t>MS8yMDE4EAAAAAk3LzMxLzIwMTjIMLI3CAnWCN1LpG80CdYIIENJUS5JUVRSMzEyMTIyNTA0LklRX1RSX0VBUk5PVVRTAQAAAIicmhICAAAABjI4Ljk3NgBYzxIONQnWCMDbgg41CdYINENJUS5BU1g6SU1VLklRX0NBU0hfU1RfSU5WRVNULi43LzE2LzIwMTguTEZSLkYuVVNELkgBAAAAmJOpAAIAAAAIOS4zMTM5MjQBCAAAAAUAAAABMQEAAAAKMTg3NzMwNTMyMAMAAAADMTYwAgAAAAQxMDAyBAAAAAEwBwAAAAk3LzE2LzIwMTgIAAAACjEyLzMxLzIwMTcJAAAAATApHJQQNQnWCDDXXRI1CdYINUNJUS5OQVNEQVFHUzpBVE5YLklRX0RBX0NGLjIwMDAuNy8zMS8yMDE4LkxGUi5GLlVTRC5IAQAAANyZawECAAAABTMuNzI1AQgAAAAFAAAAATEBAAAACjE4ODg3MDI5ODIDAAAAAzE2MAIAAAAEMjE2MAQAAAABMAcAAAAJNy8zMS8yMDE4CAAAAAkzLzMxLzIwMTgJAAAAATDWjBE4CAnWCCTCmm80CdYIO0NJUS5OQVNEQVFHUzpDVE1YLklRX05FVF9XT1JLSU5HX0NBUC4uNy8xNi8yMDE4LkxGUi5GLlVTRC5IAQAAANw4mwMCAAAABy02NC4xNTIBCAAAAAUAAAABMQEAAAAKMTg4NzY3NTMxNgMAAAADMTYwAgAAAAQxMzExBAAAAAEwBwAAAAk3LzE2LzIwMTgIAAAACTMvMzEvMjAxOAkAAAABMMT/GxE1CdYIwptiEjUJ1ghCQ0lRLk5BU0RBUUNNOkNLUFQuSVFfVE9UQUxfUkVWXzVZUl9BTk5fQ0FHUi4uNy8xNi8y</t>
  </si>
  <si>
    <t>MDE4LkxGUi5GLlVTRC5IAQAAALhRFhEDAAAAAAApHJQQNQnWCOR0WxI1CdYIPUNJUS5OQVNEQVFHTTpYTkNSLklRX1JFVkVOVUVfRVNULkNZMjAxOC43LzE2LzIwMTguQ09OLkYuVVNELkgBAAAAploLAAIAAAAIMTUuMjQyNTcBDgAAAAUAAAACMTEBAAAAATACAAAACjEwMDIwMjUyNDcDAAAABjEwMDE4MAQAAAABMgYAAAABMAcAAAADMTYwCAAAAAEwCQAAAAExCgAAAAEwCwAAAAsxMDkxNTgzNDM2OAwAAAABNw0AAAAJNy8xNy8yMDE4EAAAAAk3LzE2LzIwMTjE/xsRNQnWCBL+ZBI1CdYINUNJUS5OQVNEQVFDTTpaSU9QLklRX0NBUEVYLjIwMDAuNy8zMS8yMDE4LkxGUi5GLlVTRC5IAQAAALNRsgACAAAABi0wLjUyOQEIAAAABQAAAAExAQAAAAoxODg3OTcyMzU5AwAAAAMxNjACAAAABDIwMjEEAAAAATAHAAAACTcvMzEvMjAxOAgAAAAJMy8zMS8yMDE4CQAAAAEw1owROAgJ1gjDhp9vNAnWCDxDSVEuTkFTREFRR1M6Q0FMQS5JUV9FQVJOSU5HX0NPLkNZMjAxNy43LzMxLzIwMTguTEZSLkYuVVNELkgBAAAApSeBBgIAAAAHLTI3LjgyNgEIAAAABQAAAAExAQAAAAoxODc3OTU1NzA3AwAAAAMxNjACAAAAATcEAAAAATAHAAAACTcvMzEvMjAxOAgAAAAKMTIvMzEvMjAxNwkAAAABMMgwsjcICdYI3UukbzQJ1ggrQ0lRLk5BU0RBUUNNOlpJT1AuSVFfTEFTVFNBTEVQUklDRS41LzUvMjAxNwEAAACzUbIAAgAA</t>
  </si>
  <si>
    <t>AAQ3LjEyANaMETgICdYIw4afbzQJ1ggiQ0lRLklRVFI1MzM2Mzk1MDEuSVFfVFJfUENUX1NPVUdIVAEAAABNsc4fAgAAAAMxMDAADG0QDjUJ1gjA24IONQnWCDVDSVEuTkFTREFRR006RkFURS5JUV9DQVBFWC4xOTkyLjcvMzEvMjAxOC5MRlIuRi5VU0QuSAEAAABoMVcCAgAAAAYtMS4yMjQBCAAAAAUAAAABMQEAAAAKMTg0MzU0NDMyMQMAAAADMTYwAgAAAAQyMDIxBAAAAAEwBwAAAAk3LzMxLzIwMTgIAAAACTMvMzEvMjAxNgkAAAABMNaMETgICdYIw4afbzQJ1ggoQ0lRLk5BU0RBUUdTOkVQWk0uSVFfVEVWLjcvMzEvMjAxOC5VU0QuSAEAAAADJj0DAgAAAAo2NDguNDY5NzIzAQYAAAAFAAAAATEBAAAACjE4ODcyNDU0NDgDAAAAAzE2MAIAAAAGMTAwMDYwBAAAAAEwBwAAAAk3LzMxLzIwMTjWjBE4CAnWCCTCmm80CdYIIENJUS4uSVFfTUFSS0VUQ0FQLjUvNS8yMDE3LlVTRC5IBQAAAAEAAAAIAAAAFChJbnZhbGlkIElkZW50aWZpZXIp9YQyRzQJ1gj1hDJHNAnWCDxDSVEuTkFTREFRR1M6Q0FMQS5JUV9FQklUREFfRVNULkNZMjAyMC43LzE2LzIwMTguQ09OLkYuVVNELkgBAAAApSeBBgMAAAAAACkclBA1CdYI5HRbEjUJ1ggrQ0lRLklRVFI0MTM5NTM2NjEuSVFfVFJfVE9UQUxfR1JPU1NfVFYuLlVTRAEAAAB9bqwYAgAAAAM3ODABBgAAAAUAAAACNTQBAAAABjEwMjA4OAIAAAAJNDEzOTUzNjYxAwAA</t>
  </si>
  <si>
    <t>AAk0MTM5NTc2NDAEAAAAAzE2MAYAAAAFRmFsc2Wys0lvNAnWCIH9lW80CdYIPENJUS5OQVNEQVFDTTpDS1BULklRX0VBUk5JTkdfQ08uQ1kyMDE2LjcvMTYvMjAxOC5MRlIuRi5VU0QuSAEAAAC4URYRAgAAAActMjIuNDYxAQgAAAAFAAAAATEBAAAACjE4Nzg3ODQ1NzUDAAAAAzE2MAIAAAABNwQAAAABMAcAAAAJNy8xNi8yMDE4CAAAAAoxMi8zMS8yMDE2CQAAAAEwKRyUEDUJ1gjkdFsSNQnWCClDSVEuSVFUUjU2MTYwNjM2NS5JUV9CVVNJTkVTU19ERVNDUklQVElPTgEAAAA4Od4KAwAAAJoFQmVuZXZpciBCaW9waGFybSwgSW5jLiBkZXZlbG9wcyBvbmNvbHl0aWMgaW1tdW5vdGhlcmFwaWVzIGZvciBhZHZhbmNlZCBzb2xpZCB0dW1vcnMuIFRoZSBjb21wYW55IG9mZmVycyBvbmNvbHl0aWMgdmlydXMsIHdoaWNoIGlzIGEgdmlydXMgZGVzaWduZWQgdG8gc3BlY2lmaWNhbGx5IGluZmVjdCBhbmQgZGVzdHJveSBjYW5jZXIgY2VsbHM7IGFuZCBtaXRpZ2F0ZSBhbnRhZ29uaXNtIGJldHdlZW4gb25jb2x5dGljIHZpcnVzZXMgYW5kIGltbXVuZSBjaGVja3BvaW50IGluaGliaXRvcnMuIEl0cyBvbmNvbHl0aWMgdmlydXMgcGxhdGZvcm0gaXMgYmFzZWQgb24gVC1TdGVhbHRoIHRlY2hub2xvZ3kgdGhhdCBvdmVyY29tZXMgdGhlIGJhcnJpZXIgb2YgYm9keeKAmXMgaW1tdW5lIHN5c3RlbSwgd2hpY2gg</t>
  </si>
  <si>
    <t>aXMgZWZmZWN0aXZlIGF0IGtpbGxpbmcgaGFybWZ1bCB2aXJ1c2VzLCBzdWNoIGFzIGZsdSwgYXMgd2VsbCBhcyBiZW5lZmljaWFsIHZpcnVzZXMsIHN1Y2ggYXMgb25jb2x5dGljIHZpcnVzZXMuIEJlbmV2aXIgQmlvcGhhcm0sIEluYy4gaXMgYmFzZWQgaW4gR2FpdGhlcnNidXJnLCBNYXJ5bGFuZC4gQXMgb2YgSnVuZSAxMSwgMjAxOCwgQmVuZXZpciBCaW9waGFybSwgSW5jLiBvcGVyYXRlcyBhcyBhIHN1YnNpZGlhcnkgb2YgSmFuc3NlbiBCaW90ZWNoLCBJbmMuALKzSW80CdYINZuTbzQJ1gg1Q0lRLk5BU0RBUUdTOkJHTkUuSVFfVE9UQUxfRVFVSVRZLkNZMjAxNi4uTEZSLkYuVVNELkgBAAAA4OTdBgIAAAAHMzUyLjkwNwEIAAAABQAAAAExAQAAAAoxODk5ODgxMjA0AwAAAAMxNjACAAAABDEyNzUEAAAAATAHAAAACTgvMjMvMjAxOAgAAAAKMTIvMzEvMjAxNgkAAAABMJwL1TgICdYInAvVOAgJ1gg2Q0lRLk5BU0RBUUdTOkVQWk0uSVFfRUJJVERBLjE5OTIuNy8zMS8yMDE4LkxGUi5GLlVTRC5IAQAAAAMmPQMCAAAABy05Mi43MzgBCAAAAAUAAAABMQEAAAAKMTg0MDYzMDM5NAMAAAADMTYwAgAAAAQ0MDUxBAAAAAEwBwAAAAk3LzMxLzIwMTgIAAAACTMvMzEvMjAxNgkAAAABMNaMETgICdYIcySdbzQJ1ggzQ0lRLk5BU0RBUUdTOkJHTkUuSVFfRUJJVERBX0VTVC5DWTIwMjAuLkNPTi5GLlVTRC5I</t>
  </si>
  <si>
    <t>AQAAAODk3QYCAAAACS00MDYuOTY0NwEOAAAABQAAAAIxMQEAAAABMAIAAAAKMTAwMzMyNjI3NwMAAAAGMTAwMTg3BAAAAAEyBgAAAAEwBwAAAAMxNjAIAAAAATAJAAAAATEKAAAAATALAAAACzExMDMyMzY3ODM0DAAAAAE3DQAAAAk4LzI0LzIwMTgQAAAACTgvMjMvMjAxOJwL1TgICdYInAvVOAgJ1gg8Q0lRLk5BU0RBUUdNOklNTVUuSVFfVE9UQUxfRVFVSVRZLjE5OTIuNy8zMS8yMDE4LkxGUi5GLlVTRC5IAQAAACBDBAACAAAACi00NS4wMDY0ODUBCAAAAAUAAAABMQEAAAAKMTg0MTE3MTIyNAMAAAADMTYwAgAAAAQxMjc1BAAAAAEwBwAAAAk3LzMxLzIwMTgIAAAACTMvMzEvMjAxNgkAAAABMJwL1TgICdYI1F+YbzQJ1ggbQ0lRLi5JUV9URVYuNy8zMS8yMDE4LlVTRC5IBQAAAAEAAAAIAAAAFChJbnZhbGlkIElkZW50aWZpZXIp9YQyRzQJ1gj1hDJHNAnWCD5DSVEuTkFTREFRR1M6QkdORS5JUV9UT1RBTF9FUVVJVFkuQ1kyMDE3LjcvMTYvMjAxOC5MRlIuRi5VU0QuSAEAAADg5N0GAgAAAAc2ODQuMjMxAQgAAAAFAAAAATEBAAAACjE4NzYzNTc0NDkDAAAAAzE2MAIAAAAEMTI3NQQAAAABMAcAAAAJNy8xNi8yMDE4CAAAAAoxMi8zMS8yMDE3CQAAAAEwxP8bETUJ1ghoYGcSNQnWCDNDSVEuTkFTREFRR006WE5DUi5JUV9QRVJJT0REQVRFX0lTLi43LzE2LzIwMTguTEZSLkYBAAAAploLAAUAAAAJMy8z</t>
  </si>
  <si>
    <t>MS8yMDE4AMT/GxE1CdYIEv5kEjUJ1ghEQ0lRLihJTlZBTElEIElERU5USUZJRVIpLklRX0VCSVREQV9NQVJHSU4uMjAwMC43LzMxLzIwMTguTEZSLkYuVVNELkgFAAAAAAAAAAgAAAAUKEludmFsaWQgSWRlbnRpZmllcinIMLI3CAnWCO02sG80CdYILkNJUS5JUVRSMzEyMTIyNTA0LklRX1RSX1RBUkdFVF9TVE9DS1BSRU1JVU1fMVcBAAAAiJyaEgIAAAAAAFjPEg41CdYIwNuCDjUJ1ggyQ0lRLk5BU0RBUUdTOlRTUk8uSVFfRUJJVERBLi43LzE2LzIwMTguTEZSLkYuVVNELkgBAAAAaNZYBgIAAAAILTQ3Ny4yOTcBCAAAAAUAAAABMQEAAAAKMTg4NjMzNzQ2NgMAAAADMTYwAgAAAAQ0MDUxBAAAAAEwBwAAAAk3LzE2LzIwMTgIAAAACTMvMzEvMjAxOAkAAAABMMT/GxE1CdYIEv5kEjUJ1ggtQ0lRLkVOWFRQQTpJUEguSVFfTEFTVFNBTEVQUklDRS43LzE2LzIwMTguVVNEAQAAAJmABgACAAAACDUuMzc4NzYxACkclBA1CdYIczlgEjUJ1gggQ0lRLklRMzYxODM4MzcuSVFfTEFTVFNBTEVQUklDRS4BAAAAHR8oAgIAAAAEMi44MgCcC9U4CAnWCHd5gA41CdYIJUNJUS5OQVNEQVFHUzpBVE5YLklRX0ZJUlNUUFJJQ0lOR0RBVEUBAAAA3JlrAQUAAAAJNi8xNC8yMDE3ANaMETgICdYIJMKabzQJ1gg7Q0lRLk5BU0RBUUdTOkdUSFguSVFfVE9UQUxfUkVWLkNZMjAxNi43LzMxLzIwMTguTEZSLkYuVVNELkgBAAAA</t>
  </si>
  <si>
    <t>ZTRpCAMAAAAAAJwL1TgICdYIJMKabzQJ1ggvQ0lRLk5BU0RBUUdTOkJHTkUuSVFfRUJJVERBLkNZMjAxNi4uTEZSLkYuVVNELkgBAAAA4OTdBgIAAAAILTExNS4xNTEBCAAAAAUAAAABMQEAAAAKMTg5OTg4MTIwNAMAAAADMTYwAgAAAAQ0MDUxBAAAAAEwBwAAAAk4LzIzLzIwMTgIAAAACjEyLzMxLzIwMTYJAAAAATCcC9U4CAnWCJwL1TgICdYILkNJUS5JUVRSNDA3NzYwNjkyLklRX1RSX1RBUkdFVF9TVE9DS1BSRU1JVU1fMU0BAAAANO9NGAIAAAAAAFjPEg41CdYIDD6FDjUJ1ggwQ0lRLklRVFI0MzE4NDE1ODEuSVFfVFJfVEFSR0VUX0VCSVREQV9FU1QuLlVTRC5IAQAAAC1hvRkCAAAAAAAMbRAONQnWCAw+hQ41CdYIOkNJUS5OQVNEQVFHTTpGQVRFLklRX0VBUk5JTkdfQ08uMTk5Mi43LzMxLzIwMTguTEZSLkYuVVNELkgBAAAAaDFXAgIAAAAHLTMwLjQ4OAEIAAAABQAAAAExAQAAAAoxODQzNTQ0MzIxAwAAAAMxNjACAAAAATcEAAAAATAHAAAACTcvMzEvMjAxOAgAAAAJMy8zMS8yMDE2CQAAAAEw1owROAgJ1gjDhp9vNAnWCDpDSVEuTkFTREFRR1M6Q0FMQS5JUV9DQVNIX1NUX0lOVkVTVC4uNy8xNi8yMDE4LkxGUi5GLlVTRC5IAQAAAKUngQYCAAAABzE1MC45NjQBCAAAAAUAAAABMQEAAAAKMTg4Nzk4MDMwNQMAAAADMTYwAgAAAAQxMDAyBAAAAAEwBwAAAAk3LzE2LzIwMTgIAAAACTMvMzEvMjAx</t>
  </si>
  <si>
    <t>OAkAAAABMCkclBA1CdYI5HRbEjUJ1ggrQ0lRLklRVFI1NDgzMzgwMjAuSVFfVFJfSU1QTElFRF9FVl9FQklUX0ZXRAEAAABk+a4gAgAAAAAADG0QDjUJ1gjA24IONQnWCClDSVEuSVEzNjE4MzgxOS5JUV9MQVNUU0FMRVBSSUNFLjcvMTYvMjAxOAEAAAALHygCAgAAAAQyLjE5AAxtEA41CdYIDD6FDjUJ1ghCQ0lRLihJTlZBTElEIElERU5USUZJRVIpLklRX05FVF9XT1JLSU5HX0NBUC4uNy8xNi8yMDE4LkxGUi5GLlVTRC5IBQAAAAAAAAAIAAAAFChJbnZhbGlkIElkZW50aWZpZXIp3qd+EDUJ1giYElkSNQnWCChDSVEuTkFTREFRR006SU1NVS5JUV9URVYuNy8xNi8yMDE4LlVTRC5IAQAAACBDBAACAAAACjQ0MzguMzAzMTkBBgAAAAUAAAABMQEAAAAKMTg4ODUyMjQ0MwMAAAADMTYwAgAAAAYxMDAwNjAEAAAAATAHAAAACTcvMTYvMjAxOEadGRE1CdYIaGBnEjUJ1gg8Q0lRLk5BU0RBUUdTOkFEWFMuSVFfRUJJVERBX0VTVC5DWTIwMTkuNy8xNi8yMDE4LkNPTi5GLlVTRC5IAQAAAJ7seAADAAAAAAApHJQQNQnWCOR0WxI1CdYINUNJUS5OQVNEQVFHTTpJTU1VLklRX05JX01BUkdJTi4uNy8xNi8yMDE4LkxGUi5GLlVTRC5IAQAAACBDBAADAAAAAk5NAQgAAAAFAAAAATEBAAAACjE4ODg1MjMzODQDAAAAAzE2MAIAAAAENDA5NAQAAAABMAcAAAAJNy8xNi8yMDE4CAAAAAkzLzMxLzIwMTgJAAAAATDE/xsR</t>
  </si>
  <si>
    <t>NQnWCBL+ZBI1CdYIK0NJUS5FTlhUUEE6SVBILklRX01BUktFVENBUC45LzE1LzIwMTcuVVNELkgBAAAAmYAGAAIAAAAKNzYxLjM5NDA5NgEGAAAABQAAAAExAQAAAAoxODM3OTYyMjM3AwAAAAMxNjACAAAABjEwMDA1NAQAAAABMAcAAAAJOS8xNS8yMDE3KRyUEDUJ1ghzOWASNQnWCD1DSVEuTkFTREFRR1M6Q0FMQS5JUV9SRVZFTlVFX0VTVC5DWTIwMTguNy8zMS8yMDE4LkNPTi5GLlVTRC5IAQAAAKUngQYCAAAACDIzLjYxOTc1AQ4AAAAFAAAAAjExAQAAAAEwAgAAAAoxMDAyODk2NDE4AwAAAAYxMDAxODAEAAAAATIGAAAAATAHAAAAAzE2MAgAAAABMAkAAAABMQoAAAABMAsAAAALMTA5MTMyNzg0ODUMAAAAATcNAAAACDgvMS8yMDE4EAAAAAk3LzMxLzIwMTjIMLI3CAnWCN1LpG80CdYIJENJUS5OQVNEQVFDTTpTUk5FLklRX0VGRkVDVF9UQVhfUkFURQEAAABJQ5QDAwAAAAJOTQEIAAAABQAAAAExAQAAAAoxODk5NTMxMDUwAwAAAAMxNjACAAAABDQzNzYEAAAAATAHAAAACTgvMjMvMjAxOAgAAAAJNi8zMC8yMDE4CQAAAAEw1owROAgJ1ghzJJ1vNAnWCENDSVEuTkFTREFRR1M6QkdORS5JUV9FQklUREFfNVlSX0FOTl9DQUdSLjIwMDAuNy8zMS8yMDE4LkxGUi5GLlVTRC5IAQAAAODk3QYDAAAAAACcC9U4CAnWCNRfmG80CdYIP0NJUS5OQVNEQVFHUzpNUlNOLklRX05FVF9XT1JLSU5HX0NBUC4xOTky</t>
  </si>
  <si>
    <t>LjcvMzEvMjAxOC5MRlIuRi5VU0QuSAEAAADmxRgAAwAAAAAA1owROAgJ1gjDhp9vNAnWCClDSVEuTkFTREFRQ006U1JORS5JUV9CVVNJTkVTU19ERVNDUklQVElPTgEAAABJQ5QDAwAAAKMMU29ycmVudG8gVGhlcmFwZXV0aWNzLCBJbmMuLCBhIGNsaW5pY2FsIHN0YWdlIGJpb3RlY2hub2xvZ3kgY29tcGFueSwgcHJpbWFyaWx5IGVuZ2FnZXMgaW4gdGhlIGRpc2NvdmVyeSBhbmQgZGV2ZWxvcG1lbnQgb2YgdGhlcmFwaWVzIGZvY3VzZWQgb24gb25jb2xvZ3kgYW5kIHRoZSB0cmVhdG1lbnQgb2YgY2hyb25pYyBjYW5jZXIgcGFpbiB3b3JsZHdpZGUuIFRoZSBjb21wYW55IGlzIGZvY3VzaW5nIG9uIHRoZSBkZXZlbG9wbWVudCBvZiBjaGltZXJpYyBhbnRpZ2VuIHJlY2VwdG9yIChDQVIpLWJhc2VkIGltbXVub3RoZXJhcGllcyB1c2luZyBhdXRvbG9nb3VzIFQtY2VsbHMuIEl0IGlzIGRldmVsb3BpbmcgQ0QzOCBEaXJlY3RlZCBDQVItVCwgYSBjZWxsdWxhciB0aGVyYXB5IHVzZWQgZm9yIHRoZSB0cmVhdG1lbnQgb2YgbXVsdGlwbGUgbXllbG9tYSwgYXMgd2VsbCBhcyBmb3IgYW15bG9pZG9zaXMgYW5kIGdyYWZ0LXZlcnN1cy1ob3N0IGRpc2Vhc2VzOyBDRDEyMyBEaXJlY3RlZCBDQVItVCBmb3IgdGhlIHRyZWF0bWVudCBvZiBhY3V0ZSBteWVsb2dlbm91cyBsZXVrZW1pYTsgYW5kIGh1bWFuIGFu</t>
  </si>
  <si>
    <t>dGlib2RpZXMsIGluY2x1ZGluZyBQRC0xLCBQRC1MMSwgQ0QzOCwgQ0QxMjMsIENENDcsIGMtTUVULCBWRUdGUjIsIENDUjIsIE9YNDAsIFRJR0lULCBhbmQgQ0QxMzcuIFRoZSBjb21wYW55IGlzIGFsc28gZGV2ZWxvcGluZyBpbnRyYWNlbGx1bGFyIHRhcmdldGluZyBhbnRpYm9kaWVzIGNvbXByaXNpbmcgU1RBVDMsIE11dGFudCBLUkFTLCBNWUMsIHA1MywgYW5kIFRBVSB0byBtb2R1bGF0ZSB0aGUgZXZvbHV0aW9uIG9mIGNhbmNlciwgaW5mbGFtbWF0aW9uLCBhdXRvaW1tdW5lIGRpc2Vhc2VzLCBkaWFiZXRlcywgY2VudHJhbCBuZXJ2b3VzIHN5c3RlbSBkaXNlYXNlcywgY2FyZGlvdmFzY3VsYXIgZGlzZWFzZXMsIGFuZCB2aXJhbCBpbmZlY3Rpb25zOyBhbmQgb25jb2x5dGljIHZpcnVzZXMgdGhhdCBpbmZlY3QgYW5kIHNlbGVjdGl2ZWx5IG11bHRpcGx5IGluIGFuZCBkZXN0cm95IHR1bW9yIGNlbGxzIHdpdGhvdXQgZGFtYWdpbmcgaGVhbHRoeSB0aXNzdWUuIEluIGFkZGl0aW9uLCBpdCBvZmZlcnMgcmVzaW5pZmVyYXRveGluLCBhIG5vbi1vcGlvaWQtYmFzZWQgVFJQVjEgYWdvbmlzdCBuZXVyb3RveGluIGZvciB0aGUgdHJlYXRtZW50IG9mIGludHJhY3RhYmxlIHBhaW4gdHJlYXRtZW50OyBhbmQgWlRsaWRvLCBhIGxpZG9jYWluZSBkZWxpdmVyeSBzeXN0ZW0gZm9yIHRoZSB0cmVhdG1l</t>
  </si>
  <si>
    <t>bnQgb2YgcG9zdGhlcnBldGljIG5ldXJhbGdpYS4gVGhlIGNvbXBhbnkgaGFzIGEgbGljZW5zaW5nIGFncmVlbWVudCB3aXRoIE1hYnRlY2ggTGltaXRlZCB0byBkZXZlbG9wIGFuZCBjb21tZXJjaWFsaXplIG11bHRpcGxlIHByZXNwZWNpZmllZCBiaW9zaW1pbGFyIGFuZCBiaW9iZXR0ZXIgYW50aWJvZGllcyBmcm9tIGJhc2VkIG9uIEVyYml0dXgsIFJlbWljYWRlLCBYb2xhaXIsIGFuZCBTaW11bGVjdC4gU29ycmVudG8gVGhlcmFwZXV0aWNzLCBJbmMuIHdhcyBmb3VuZGVkIGluIDIwMDYgYW5kIGlzIGJhc2VkIGluIFNhbiBEaWVnbywgQ2FsaWZvcm5pYS4A1owROAgJ1ghzJJ1vNAnWCDpDSVEuTkFTREFRR006SU1NVS5JUV9UT1RBTF9ERUJULjIwMDAuNy8zMS8yMDE4LkxGUi5GLlVTRC5IAQAAACBDBAACAAAACjIwMS45NDIzMTcBCAAAAAUAAAABMQEAAAAKMTg4ODUyMzM4NAMAAAADMTYwAgAAAAQ0MTczBAAAAAEwBwAAAAk3LzMxLzIwMTgIAAAACTMvMzEvMjAxOAkAAAABMJwL1TgICdYI1F+YbzQJ1ggwQ0lRLklRVFI1NTAyNTkzOTcuSVFfVFJfVEFSR0VUX0VCSVREQV9FU1QuLlVTRC5IAQAAAMVKzCACAAAACS00MjQuNjEyMQAMbRAONQnWCHd5gA41CdYIQ0NJUS5OQVNEQVFHUzpHVEhYLklRX0VCSVREQV81WVJfQU5OX0NBR1IuMjAwMC43LzMxLzIwMTguTEZSLkYuVVNELkgBAAAAZTRpCAMA</t>
  </si>
  <si>
    <t>AAAAANaMETgICdYIJMKabzQJ1gguQ0lRLk5BU0RBUUdTOkFUTlguSVFfTUFSS0VUQ0FQLjcvMzEvMjAxOC5VU0QuSAEAAADcmWsBAgAAAAsxMjI0LjQ4NDM4MgEGAAAABQAAAAExAQAAAAoxODg4NzAyNzAyAwAAAAMxNjACAAAABjEwMDA1NAQAAAABMAcAAAAJNy8zMS8yMDE41owROAgJ1ggkwppvNAnWCDBDSVEuTkFTREFRR1M6TUdOWC5JUV9MQVNUU0FMRVBSSUNFLjcvMTYvMjAxOC5VU0QBAAAATysJAAIAAAAEMjEuNgBGnRkRNQnWCMKbYhI1CdYIHUNJUS5OQVNEQVFDTTpTUk5FLklRX0VYQ0hBTkdFAQAAAElDlAMDAAAACE5hc2RhcUNNANaMETgICdYIcySdbzQJ1ggsQ0lRLk5BU0RBUUdTOkNUTVguSVFfTEFTVFNBTEVQUklDRS45LzE1LzIwMTcBAAAA3DibAwIAAAAFMTcuMzEARp0ZETUJ1gjCm2ISNQnWCDxDSVEuTkFTREFRR1M6TVJTTi5JUV9FQVJOSU5HX0NPLkNZMjAxNy43LzE2LzIwMTguTEZSLkYuVVNELkgBAAAA5sUYAAIAAAAHLTM4LjcwNwEIAAAABQAAAAExAQAAAAoxODgwNTQ3Mzk1AwAAAAMxNjACAAAAATcEAAAAATAHAAAACTcvMTYvMjAxOAgAAAAKMTIvMzEvMjAxNwkAAAABMCkclBA1CdYIczlgEjUJ1ggwQ0lRLk5BU0RBUUdNOklNTVUuSVFfTEFTVFNBTEVQUklDRS43LzE2LzIwMTguVVNEAQAAACBDBAACAAAABTI1LjQ3AEadGRE1CdYIaGBnEjUJ1ghCQ0lRLk5BU0RBUUdNOklN</t>
  </si>
  <si>
    <t>TVUuSVFfVE9UQUxfUkVWXzJZUl9BTk5fQ0FHUi4uNy8xNi8yMDE4LkxGUi5GLlVTRC5IAQAAACBDBAACAAAACC0yOC4zMzk3AQgAAAAFAAAAATEBAAAACjE4ODg1MjMzODQDAAAAAzE2MAIAAAAENDIwNwQAAAABMAcAAAAJNy8xNi8yMDE4CAAAAAkzLzMxLzIwMTgJAAAAATDE/xsRNQnWCBL+ZBI1CdYILUNJUS5OQVNEQVFHUzpCR05FLklRX0RJVklERU5EX1lJRUxELjcvMTYvMjAxOAEAAADg5N0GAwAAAAAARp0ZETUJ1ghoYGcSNQnWCB1DSVEuTkFTREFRR1M6UEJZSS5JUV9FWENIQU5HRQEAAAACaqwHAwAAAAhOYXNkYXFHUwBGnRkRNQnWCBL+ZBI1CdYIOENJUS5YVFJBOk1PUi5JUV9SRVZFTlVFX0VTVC5DWTIwMTguNy8zMS8yMDE4LkNPTi5GLlVTRC5IAQAAAN8RAgACAAAAEDgxLjg0OTc3MTgyMjM1OTUBDgAAAAUAAAACMTEBAAAAATACAAAACjEwMDA4MDIwMTADAAAABjEwMDE4MAQAAAABMwYAAAABMAcAAAADMTYwCAAAAAEwCQAAAAExCgAAAAEwCwAAAAsxMTA1MjI5NTAzMQwAAAABNw0AAAAIOC8xLzIwMTgQAAAACTcvMzEvMjAxOJwL1TgICdYI1F+YbzQJ1ggsQ0lRLk5BU0RBUUdTOk5LLklRX01BUktFVENBUC43LzMxLzIwMTguVVNELkgBAAAADX2hDwIAAAAKMjczLjMwOTY2NgEGAAAABQAAAAExAQAAAAoxODg3MTE2OTI5AwAAAAMxNjACAAAABjEwMDA1NAQAAAABMAcAAAAJNy8zMS8yMDE4</t>
  </si>
  <si>
    <t>1owROAgJ1gjDhp9vNAnWCC1DSVEuTkFTREFRR1M6QVROWC5JUV9ESVZJREVORF9ZSUVMRC43LzMxLzIwMTgBAAAA3JlrAQMAAAAAANaMETgICdYIJMKabzQJ1ggwQ0lRLk5BU0RBUUdTOktVUkEuSVFfTEFTVFNBTEVQUklDRS43LzMxLzIwMTguVVNEAQAAALjL2hACAAAABDIwLjMA1owROAgJ1ghzJJ1vNAnWCChDSVEuTkFTREFRR1M6U0dFTi5JUV9URVYuNy8xNi8yMDE4LlVTRC5IAQAAAGGFAAACAAAADDEwNTE1Ljk4NzI4NwEGAAAABQAAAAExAQAAAAoxODg0ODkxMTU3AwAAAAMxNjACAAAABjEwMDA2MAQAAAABMAcAAAAJNy8xNi8yMDE4Rp0ZETUJ1ghoYGcSNQnWCD1DSVEuTkFTREFRQ006TVRFTS5JUV9SRVZFTlVFX0VTVC5DWTIwMTguNy8zMS8yMDE4LkNPTi5GLlVTRC5IAQAAAJmbqQECAAAAAzAuNQEOAAAABQAAAAIxMQEAAAABMAIAAAAKMTAwMzgxNjQ1OAMAAAAGMTAwMTgwBAAAAAEyBgAAAAEwBwAAAAMxNjAIAAAAATAJAAAAATEKAAAAATALAAAACzEwODg3MzM2NDE5DAAAAAE3DQAAAAg4LzEvMjAxOBAAAAAJNy8zMS8yMDE4yDCyNwgJ1ggZ6aFvNAnWCDVDSVEuTkFTREFRR1M6TUdOWC5JUV9UT1RBTF9SRVYuLjcvMTYvMjAxOC5MRlIuRi5VU0QuSAEAAABPKwkAAgAAAAcxNjAuMzgyAQgAAAAFAAAAATEBAAAACjE4ODcxMTQ5NDUDAAAAAzE2MAIAAAACMjgEAAAAATAHAAAACTcvMTYvMjAx</t>
  </si>
  <si>
    <t>OAgAAAAJMy8zMS8yMDE4CQAAAAEwxP8bETUJ1gjCm2ISNQnWCElDSVEuKElOVkFMSUQgSURFTlRJRklFUikuSVFfVE9UQUxfUkVWXzVZUl9BTk5fQ0FHUi4uNy8xNi8yMDE4LkxGUi5GLlVTRC5IBQAAAAAAAAAIAAAAFChJbnZhbGlkIElkZW50aWZpZXIp3qd+EDUJ1giYElkSNQnWCCpDSVEuT1RDUEs6TldCTy5JUV9ESVZJREVORF9ZSUVMRC43LzE2LzIwMTgBAAAAo3oUAAMAAAAAACkclBA1CdYIMNddEjUJ1ggUQ0lRLi5JUV9DT01QQU5ZX05BTUUFAAAAAAAAAAgAAAAUKEludmFsaWQgSWRlbnRpZmllcin1hDJHNAnWCC9IDvc0CdYIN0NJUS5OQVNEQVFHTTpMUFRYLklRX1BSRUZfRVFVSVRZLi43LzE2LzIwMTguTEZSLkYuVVNELkgBAAAADDYJBwMAAAAAACkclBA1CdYIMNddEjUJ1gg8Q0lRLk5BU0RBUUdTOlNHRU4uSVFfRUJJVERBX0VTVC5DWTIwMTguNy8xNi8yMDE4LkNPTi5GLlVTRC5IAQAAAGGFAAACAAAACC0yMjguMDc5AQ4AAAAFAAAAAjExAQAAAAEwAgAAAAoxMDAwMTI0NzI2AwAAAAYxMDAxODcEAAAAATIGAAAAATAHAAAAAzE2MAgAAAABMAkAAAABMQoAAAABMAsAAAALMTA4NTc4NzMxMTcMAAAAATcNAAAACTcvMTcvMjAxOBAAAAAJNy8xNi8yMDE4xP8bETUJ1ghoYGcSNQnWCCJDSVEuSVFUUjU0MjgwNjY4Ni5JUV9UUl9UT1RBTF9DQVNIAQAAAJ6SWiACAAAAAACys0lvNAnWCIH9lW80</t>
  </si>
  <si>
    <t>CdYIOUNJUS5OQVNEQVFHUzpUU1JPLklRX0VCSVREQV9NQVJHSU4uLjcvMTYvMjAxOC5MRlIuRi5VU0QuSAEAAABo1lgGAgAAAAktMTc2Ljc3OTkBCAAAAAUAAAABMQEAAAAKMTg4NjMzNzQ2NgMAAAADMTYwAgAAAAQ0MDQ3BAAAAAEwBwAAAAk3LzE2LzIwMTgIAAAACTMvMzEvMjAxOAkAAAABMMT/GxE1CdYIEv5kEjUJ1ggvQ0lRLi5JUV9UT1RBTF9FUVVJVFkuMTk5Mi43LzMxLzIwMTguTEZSLkYuVVNELkgFAAAAAQAAAAgAAAAUKEludmFsaWQgSWRlbnRpZmllcin1hDJHNAnWCPWEMkc0CdYIO0NJUS5OQVNEQVFHUzpBRFhTLklRX05FVF9XT1JLSU5HX0NBUC4uNy8xNi8yMDE4LkxGUi5GLlVTRC5IAQAAAJ7seAACAAAACi0xMS4yNDYwNjQBCAAAAAUAAAABMQEAAAAKMTg5Mjc4ODU0OAMAAAADMTYwAgAAAAQxMzExBAAAAAEwBwAAAAk3LzE2LzIwMTgIAAAACTQvMzAvMjAxOAkAAAABMCkclBA1CdYI5HRbEjUJ1ggzQ0lRLk5BU0RBUUdNOkxQVFguSVFfUEVSSU9EREFURV9JUy4uNy8xNi8yMDE4LkxGUi5GAQAAAAw2CQcFAAAACTMvMzEvMjAxOAApHJQQNQnWCDDXXRI1CdYIMENJUS5JUVRSNDA4MjkxMzk1LklRX1RSX1RBUkdFVF9FQklUREFfRVNULi5VU0QuSAEAAABDCFYYAgAAAAAAWM8SDjUJ1gjA24IONQnWCC5DSVEuTkFTREFRR1M6Sk5DRS5JUV9NQVJLRVRDQVAuOS8xNS8yMDE3LlVTRC5IAQAA</t>
  </si>
  <si>
    <t>AOJ5ng0CAAAACjQ5Mi4yNDk1MTcBBgAAAAUAAAABMQEAAAAKMTg1Mjc5MDYzMQMAAAADMTYwAgAAAAYxMDAwNTQEAAAAATAHAAAACTkvMTUvMjAxN96nfhA1CdYImBJZEjUJ1ggnQ0lRLk5BU0RBUUdNOkNSSVMuSVFfUEVSSU9EREFURV9JUy4xMDAwAQAAABdqAAAFAAAACjEyLzMxLzIwMTcAyDCyNwgJ1gjdS6RvNAnWCDtDSVEuTkFTREFRR1M6VFNSTy5JUV9FQklUX01BUkdJTi4yMDAwLjcvMzEvMjAxOC5MRlIuRi5VU0QuSAEAAABo1lgGAgAAAAktMTgwLjg2NTUBCAAAAAUAAAABMQEAAAAKMTg4NjMzNzQ2NgMAAAADMTYwAgAAAAQ0MDUzBAAAAAEwBwAAAAk3LzMxLzIwMTgIAAAACTMvMzEvMjAxOAkAAAABMJwL1TgICdYIJMKabzQJ1ghHQ0lRLk5BU0RBUUdTOktVUkEuSVFfTUlOT1JJVFlfSU5URVJFU1RfVE9UQUwuMjAwMC43LzMxLzIwMTguTEZSLkYuVVNELkgBAAAAuMvaEAMAAAAAANaMETgICdYIcySdbzQJ1ghCQ0lRLk5BU0RBUUNNOkFWRU8uSVFfVE9UQUxfUkVWXzNZUl9BTk5fQ0FHUi4uNy8xNi8yMDE4LkxGUi5GLlVTRC5IAQAAAPQWHQACAAAABjI2Ljk1NAEIAAAABQAAAAExAQAAAAoxODg3MjM0Mjk1AwAAAAMxNjACAAAABDQyMjAEAAAAATAHAAAACTcvMTYvMjAxOAgAAAAJMy8zMS8yMDE4CQAAAAEwxP8bETUJ1ghzOWASNQnWCCVDSVEuSVFUUjU2MTYwNjM2NS5JUV9UUl9JTVBMSUVE</t>
  </si>
  <si>
    <t>X0VRX0JWAQAAAN1ueSECAAAAAACys0lvNAnWCDWbk280CdYINENJUS5OQVNEQVFHUzpCR05FLklRX1JFVkVOVUVfRVNULkNZMjAxOS4uQ09OLkYuVVNELkgBAAAA4OTdBgIAAAAJMjIwLjc4NTU3AQ4AAAAFAAAAAjExAQAAAAEwAgAAAAoxMDAzMzI2MjcyAwAAAAYxMDAxODAEAAAAATIGAAAAATAHAAAAAzE2MAgAAAABMAkAAAABMQoAAAABMAsAAAALMTEwNTExMjAzMDAMAAAAATcNAAAACTgvMjQvMjAxOBAAAAAJOC8yMy8yMDE4nAvVOAgJ1gicC9U4CAnWCB1DSVEuSVEyNTA4MC5JUV9DT01QQU5ZX1RJQ0tFUgEAAAD4YQAAAwAAAA1OYXNkYXFHTTpBUlJZALKzSW80CdYI1F+YbzQJ1ggoQ0lRLk5BU0RBUUNNOlNSTkUuSVFfVEVWLjcvMzEvMjAxOC5VU0QuSAEAAABJQ5QDAgAAAAo1OTcuMDM0NTczAQYAAAAFAAAAATEBAAAACjE4ODc5ODk3NjYDAAAAAzE2MAIAAAAGMTAwMDYwBAAAAAEwBwAAAAk3LzMxLzIwMTjWjBE4CAnWCHMknW80CdYIJENJUS5OQVNEQVFHUzpBVE5YLklRX0VGRkVDVF9UQVhfUkFURQEAAADcmWsBAwAAAAJOTQEIAAAABQAAAAExAQAAAAoxOTAwNTM2NjAyAwAAAAMxNjACAAAABDQzNzYEAAAAATAHAAAACTgvMjMvMjAxOAgAAAAJNi8zMC8yMDE4CQAAAAEw1owROAgJ1ggkwppvNAnWCDJDSVEuRU5YVFBBOklQSC5JUV9UT1RBTF9SRVYuLjcvMTYvMjAxOC5MRlIuRi5VU0QuSAEA</t>
  </si>
  <si>
    <t>AACZgAYAAgAAAAk1Mi44NzM0MzkBCAAAAAUAAAABMQEAAAAKMTg4OTU1MjE2NAMAAAADMTYwAgAAAAIyOAQAAAABMAcAAAAJNy8xNi8yMDE4CAAAAAoxMi8zMS8yMDE3CQAAAAEwKRyUEDUJ1ghzOWASNQnWCD1DSVEuTkFTREFRR1M6RlBSWC5JUV9DQVNIX1NUX0lOVkVTVC4yMDAwLjUvNS8yMDE3LkxGUi5GLlVTRC5IAQAAADddMwACAAAABzM4MC4zMTcBCAAAAAUAAAABMQEAAAAKMTg0MDU2NTgzNgMAAAADMTYwAgAAAAQxMDAyBAAAAAEwBwAAAAg1LzUvMjAxNwgAAAAJMy8zMS8yMDE3CQAAAAEwyDCyNwgJ1ggZ6aFvNAnWCDxDSVEuTkFTREFRR1M6S1VSQS5JUV9UT1RBTF9FUVVJVFkuMTk5Ni43LzMxLzIwMTguTEZSLkYuVVNELkgBAAAAuMvaEAIAAAAGNTAuMjQxAQgAAAAFAAAAATEBAAAACjE4ODczODI5MjIDAAAAAzE2MAIAAAAEMTI3NQQAAAABMAcAAAAJNy8zMS8yMDE4CAAAAAkzLzMxLzIwMTcJAAAAATDWjBE4CAnWCHMknW80CdYIMkNJUS5OQVNEQVFHUzpCR05FLklRX0VCSVRfTUFSR0lOLjIwMDAuLkxGUi5GLlVTRC5IAQAAAODk3QYCAAAACC03Mi40NzQ4AQgAAAAFAAAAATEBAAAACjE4OTk5MDA2MzEDAAAAAzE2MAIAAAAENDA1MwQAAAABMAcAAAAJOC8yMy8yMDE4CAAAAAk2LzMwLzIwMTgJAAAAATCcC9U4CAnWCJwL1TgICdYIOkNJUS5YVFJBOk1PUi5JUV9ORVRfV09SS0lOR19DQVAu</t>
  </si>
  <si>
    <t>MTk5Mi43LzMxLzIwMTguTEZSLkYuVVNELkgBAAAA3xECAAIAAAAKLTEyLjE2MzQxMwEIAAAABQAAAAExAQAAAAoxODM5OTQwNjkwAwAAAAMxNjACAAAABDEzMTEEAAAAATAHAAAACTcvMzEvMjAxOAgAAAAJMy8zMS8yMDE2CQAAAAEwnAvVOAgJ1gjUX5hvNAnWCC9DSVEuSVFUUjI3MzUwNzE4NS5JUV9UUl9JTVBMSUVEX0VWX0ZJTkFMLi5VU0QuSAEAAABxY00QAgAAAAozMzMuMzAxODcxAQYAAAAFAAAAAjU0AQAAAAYxMDIwNDUCAAAACTI3MzUwNzE4NQMAAAAJMjczNTA3Nzg3BAAAAAMxNjAGAAAABUZhbHNlsrNJbzQJ1giB/ZVvNAnWCCdDSVEuTkFTREFRR1M6TVJTTi5JUV9CRVRBXzFZUi43LzMxLzIwMTgBAAAA5sUYAAIAAAARMC42NDEzODg1MDc4MDQ3MjQA1owROAgJ1gjDhp9vNAnWCDhDSVEuTkFTREFRQ006QVZFTy5JUV9HUk9TU19NQVJHSU4uLjcvMTYvMjAxOC5MRlIuRi5VU0QuSAEAAAD0Fh0AAgAAAAktMjcyLjU4MzUBCAAAAAUAAAABMQEAAAAKMTg4NzIzNDI5NQMAAAADMTYwAgAAAAQ0MDc0BAAAAAEwBwAAAAk3LzE2LzIwMTgIAAAACTMvMzEvMjAxOAkAAAABMMT/GxE1CdYIwptiEjUJ1ggpQ0lRLklRVFI1NDc0MjM2ODAuSVFfQlVTSU5FU1NfREVTQ1JJUFRJT04BAAAAAhhzCAMAAACcCElnbnl0YSwgSW5jLiwgYSBwcmVjaXNpb24gb25jb2xvZ3kgYmlvdGVjaG5vbG9neSBjb21wYW55</t>
  </si>
  <si>
    <t>LCBlbmdhZ2VzIGluIGRpc2NvdmVyaW5nLCBpbi1saWNlbnNpbmcgb3IgYWNxdWlyaW5nLCBkZXZlbG9waW5nLCBhbmQgY29tbWVyY2lhbGl6aW5nIG1vbGVjdWxhcmx5IHRhcmdldGVkIHRoZXJhcGllcyBmb3IgZXJhZGljYXRpbmcgcmVzaWR1YWwgZGlzZWFzZXMuIEl0cyBwcm9kdWN0cyBwaXBlbGluZSBpbmNsdWRlcyBlbnRyZWN0aW5pYiwgYSB0eXJvc2luZSBraW5hc2UgaW5oaWJpdG9yIGRpcmVjdGVkIHRvIHRoZSB0cm9wb215b3NpbiByZWNlcHRvciBraW5hc2UgZmFtaWx5IHR5cm9zaW5lIGtpbmFzZSByZWNlcHRvcnMsIFJPUzEsIGFuZCBhbmFwbGFzdGljIGx5bXBob21hIGtpbmFzZSBwcm90ZWlucywgd2hpY2ggaXMgaW4gUGhhc2UgSUkgYW5kIHR3byBQaGFzZSBJIGNsaW5pY2FsIHN0dWRpZXMgaW4gbW9sZWN1bGFybHkgZGVmaW5lZCBhZHVsdCBwYXRpZW50IHBvcHVsYXRpb25zIGZvciB0aGUgdHJlYXRtZW50IG9mIHNvbGlkIHR1bW9ycywgYXMgd2VsbCBhcyBpbiBQaGFzZSBJL0liIGNsaW5pY2FsIHN0dWR5IGluIHBlZGlhdHJpYyBwYXRpZW50cyB3aXRoIGFkdmFuY2VkIHNvbGlkIHR1bW9yIG1hbGlnbmFuY2llczsgUlhEWC0xMDUsIGFuIG9yYWxseSBiaW9hdmFpbGFibGUgYW5kIHZhc2N1bGFyIGVuZG90aGVsaWFsIGdyb3d0aCBmYWN0b3IgcmVjZXB0b3IsIGFuZCBzbWFsbCBt</t>
  </si>
  <si>
    <t>b2xlY3VsZSB0eXJvc2luZSBraW5hc2UgaW5oaWJpdG9yIG9mIFJFVC1kcml2ZW4gc29saWQgdHVtb3JzOyBhbmQgUlhEWC0xMDYsIGEgcHNldWRvLWlycmV2ZXJzaWJsZSBpbmhpYml0b3IsIHdoaWNoIGlzIGluIGxhdGUgcHJlY2xpbmljYWwgZGV2ZWxvcG1lbnQuIFRoZSBjb21wYW55IHdhcyBmb3VuZGVkIGluIDIwMTEgYW5kIGlzIGhlYWRxdWFydGVyZWQgaW4gU2FuIERpZWdvLCBDYWxpZm9ybmlhLiBBcyBvZiBGZWJydWFyeSA3LCAyMDE4LCBJZ255dGEsIEluYy4gb3BlcmF0ZXMgYXMgYSBzdWJzaWRpYXJ5IG9mIFJvY2hlIEhvbGRpbmdzLCBJbmMuAAxtEA41CdYIDD6FDjUJ1ggxQ0lRLklRVFI1NjE2MDYzNjUuSVFfVFJfVEFSR0VUX1JFVkVOVUVfRVNULi5VU0QuSAEAAADdbnkhAgAAAAAAsrNJbzQJ1gg1m5NvNAnWCD1DSVEuTkFTREFRR1M6VFNSTy5JUV9SRVZFTlVFX0VTVC5DWTIwMjEuNy8zMS8yMDE4LkNPTi5GLlVTRC5IAQAAAGjWWAYCAAAACTkyMC4yOTg2NAEOAAAABQAAAAIxMQEAAAABMAIAAAAKMTAwMTU4MDM1NQMAAAAGMTAwMTgwBAAAAAEyBgAAAAEwBwAAAAMxNjAIAAAAATAJAAAAATEKAAAAATALAAAACzEwOTY3MjE1NjM0DAAAAAE3DQAAAAg4LzEvMjAxOBAAAAAJNy8zMS8yMDE4nAvVOAgJ1ggkwppvNAnWCDlDSVEuT1RDUEs6TldCTy5JUV9FQklUREFfRVNULkNZMjAxOS43</t>
  </si>
  <si>
    <t>LzE2LzIwMTguQ09OLkYuVVNELkgBAAAAo3oUAAMAAAAAACkclBA1CdYIczlgEjUJ1gg9Q0lRLk5BU0RBUUdNOkNSVlMuSVFfUkVWRU5VRV9FU1QuQ1kyMDE4LjcvMzEvMjAxOC5DT04uRi5VU0QuSAEAAAD0sKYQAgAAAAEwAQ4AAAAFAAAAAjExAQAAAAEwAgAAAAoxMDAzMzcwMzU0AwAAAAYxMDAxODAEAAAAATIGAAAAATAHAAAAAzE2MAgAAAABMAkAAAABMQoAAAABMAsAAAALMTA5NTU0NjE4ODkMAAAAATcNAAAACDgvMS8yMDE4EAAAAAk3LzMxLzIwMTjWjBE4CAnWCBnpoW80CdYILkNJUS5OQVNEQVFHTTpJTU1VLklRX01BUktFVENBUC43LzMxLzIwMTguVVNELkgBAAAAIEMEAAIAAAALNDMxOC4wNzY2MzMBBgAAAAUAAAABMQEAAAAKMTg4ODUyMjQ0MwMAAAADMTYwAgAAAAYxMDAwNTQEAAAAATAHAAAACTcvMzEvMjAxOJwL1TgICdYI1F+YbzQJ1ggsQ0lRLklRVFI0MDc3NjA2OTIuSVFfVFJfVE9UQUxfR1JPU1NfVFYuVVNELkgFAAAAAAAAAAgAAAAaKEludmFsaWQgQ3VycmVuY3kgUmVxdWVzdCkMbRAONQnWCAw+hQ41CdYIL0NJUS4uSVFfRUFSTklOR19DTy5DWTIwMTcuNy8zMS8yMDE4LkxGUi5GLlVTRC5IBQAAAAEAAAAIAAAAFChJbnZhbGlkIElkZW50aWZpZXIp9YQyRzQJ1gj1hDJHNAnWCDtDSVEuTkFTREFRR1M6R1RIWC5JUV9QUkVGX0VRVUlUWS4yMDAwLjcvMzEvMjAxOC5MRlIuRi5VU0Qu</t>
  </si>
  <si>
    <t>SAEAAABlNGkIAwAAAAAAnAvVOAgJ1ggkwppvNAnWCCxDSVEuTkFTREFRR1M6Sk5DRS5JUV9MQVNUU0FMRVBSSUNFLjkvMTUvMjAxNwEAAADieZ4NAgAAAAUxNS4yOQDep34QNQnWCJgSWRI1CdYIPENJUS5OQVNEQVFHTTpOTE5LLklRX0VCSVREQV9FU1QuQ1kyMDE4LjcvMTYvMjAxOC5DT04uRi5VU0QuSAEAAACVe4wAAgAAAAktNjkuNzkyMTEBDgAAAAUAAAACMTEBAAAAATACAAAACjEwMDE0MjUwODcDAAAABjEwMDE4NwQAAAABMgYAAAABMAcAAAADMTYwCAAAAAEwCQAAAAExCgAAAAEwCwAAAAsxMDg2NDI5OTg1MgwAAAABNw0AAAAJNy8xNy8yMDE4EAAAAAk3LzE2LzIwMTgpHJQQNQnWCOR0WxI1CdYIQ0NJUS4oSU5WQUxJRCBJREVOVElGSUVSKS5JUV9FQklUREFfRVNULkNZMjAxOC43LzMxLzIwMTguQ09OLkYuVVNELkgFAAAAAAAAAAgAAAAUKEludmFsaWQgSWRlbnRpZmllcinIMLI3CAnWCO02sG80CdYILENJUS5JUVRSNTQyODA2Njg2LklRX1RSX1RBUkdFVF9FQklUREEuLlVTRC5IAQAAAJ6SWiACAAAAAACys0lvNAnWCIH9lW80CdYIKkNJUS5JUVRSNDI0MzQyMDQ2LklRX1RSX1RBUkdFVF9FQklULi5VU0QuSAEAAAAe8koZAgAAAAAADG0QDjUJ1gjA24IONQnWCC5DSVEuTkFTREFRR1M6QU5BQi5JUV9NQVJLRVRDQVAuOS8xNS8yMDE3LlVTRC5IAQAAACFMsgECAAAACjY1Mi4zODM0NjIBBgAA</t>
  </si>
  <si>
    <t>AAUAAAABMQEAAAAKMTg1MzAxODkxOAMAAAADMTYwAgAAAAYxMDAwNTQEAAAAATAHAAAACTkvMTUvMjAxN0adGRE1CdYIwptiEjUJ1ghGQ0lRLk5BU0RBUUdNOklNTVUuSVFfVE9UQUxfUkVWXzJZUl9BTk5fQ0FHUi4yMDAwLjcvMzEvMjAxOC5MRlIuRi5VU0QuSAEAAAAgQwQAAgAAAAgtMjguMzM5NwEIAAAABQAAAAExAQAAAAoxODg4NTIzMzg0AwAAAAMxNjACAAAABDQyMDcEAAAAATAHAAAACTcvMzEvMjAxOAgAAAAJMy8zMS8yMDE4CQAAAAEwnAvVOAgJ1gjUX5hvNAnWCDxDSVEuTkFTREFRR1M6R1RIWC5JUV9HUk9TU19NQVJHSU4uMjAwMC43LzMxLzIwMTguTEZSLkYuVVNELkgBAAAAZTRpCAMAAAAAAJwL1TgICdYIJMKabzQJ1ghAQ0lRLk9UQ1BLOk5XQk8uSVFfTUlOT1JJVFlfSU5URVJFU1RfVE9UQUwuLjcvMTYvMjAxOC5MRlIuRi5VU0QuSAEAAACjehQAAwAAAAAAKRyUEDUJ1ghzOWASNQnWCEZDSVEuTkFTREFRQ006WklPUC5JUV9UT1RBTF9SRVZfNVlSX0FOTl9DQUdSLjIwMDAuNy8zMS8yMDE4LkxGUi5GLlVTRC5IAQAAALNRsgACAAAABzQzLjkxMDQBCAAAAAUAAAABMQEAAAAKMTg4Nzk3MjM1OQMAAAADMTYwAgAAAAQ0MjMzBAAAAAEwBwAAAAk3LzMxLzIwMTgIAAAACTMvMzEvMjAxOAkAAAABMNaMETgICdYIw4afbzQJ1gg6Q0lRLk5BU0RBUUNNOk1URU0uSVFfUFJFRl9FUVVJVFkuMjAw</t>
  </si>
  <si>
    <t>MC41LzUvMjAxNy5MRlIuRi5VU0QuSAEAAACZm6kBAwAAAAAAyDCyNwgJ1ggZ6aFvNAnWCCNDSVEuSVFUUjU0MjgwNjY4Ni5JUV9UUl9DTE9TRURfREFURQEAAACeklogBQAAAAkxMS8zLzIwMTcAsrNJbzQJ1giB/ZVvNAnWCD5DSVEuTkFTREFRR1M6RlBSWC5JUV9DQVNIX1NUX0lOVkVTVC4yMDAwLjcvMzEvMjAxOC5MRlIuRi5VU0QuSAEAAAA3XTMAAgAAAAczODkuNDI2AQgAAAAFAAAAATEBAAAACjE4ODc0MDIyMjcDAAAAAzE2MAIAAAAEMTAwMgQAAAABMAcAAAAJNy8zMS8yMDE4CAAAAAkzLzMxLzIwMTgJAAAAATDWjBE4CAnWCBnpoW80CdYILENJUS5JUVRSNDA4NDA3ODIyLklRX1RSX1RPVEFMX0dST1NTX1RWLlVTRC5IBQAAAAAAAAAIAAAAGihJbnZhbGlkIEN1cnJlbmN5IFJlcXVlc3QpSVNHbzQJ1giB/ZVvNAnWCCZDSVEuJVVTUE1SVC5JUV9MQVNUU0FMRVBSSUNFLjcvMzEvMjAxOAEAAABZ7VoAAgAAAAE1AElTR280CdYIgf2VbzQJ1gg9Q0lRLk5BU0RBUUdTOkpOQ0UuSVFfUkVWRU5VRV9FU1QuQ1kyMDIwLjcvMTYvMjAxOC5DT04uRi5VU0QuSAEAAADieZ4NAgAAAAcxMDYuMzExAQ4AAAAFAAAAAjExAQAAAAEwAgAAAAoxMDAzNjI5MjYwAwAAAAYxMDAxODAEAAAAATIGAAAAATAHAAAAAzE2MAgAAAABMAkAAAABMQoAAAABMAsAAAALMTA5NDU1NzAyOTIMAAAAATcNAAAACTcvMTcvMjAxOBAA</t>
  </si>
  <si>
    <t>AAAJNy8xNi8yMDE4KRyUEDUJ1giYElkSNQnWCCxDSVEuSVFUUjMwMjg2NjYyNy5JUV9UUl9UQVJHRVRfRUJJVERBLi5VU0QuSAEAAADDYA0SAgAAAAAAWM8SDjUJ1ggMPoUONQnWCDxDSVEuTkFTREFRR1M6QVROWC5JUV9UT1RBTF9FUVVJVFkuMTk5Mi43LzMxLzIwMTguTEZSLkYuVVNELkgBAAAA3JlrAQIAAAAGMjcuODM1AQgAAAAFAAAAATEBAAAACjE4NDI0OTAyNzMDAAAAAzE2MAIAAAAEMTI3NQQAAAABMAcAAAAJNy8zMS8yMDE4CAAAAAoxMi8zMS8yMDE0CQAAAAEw1owROAgJ1ggkwppvNAnWCB1DSVEuTkFTREFRR1M6QkdORS5JUV9FWENIQU5HRQEAAADg5N0GAwAAAAhOYXNkYXFHUwCcC9U4CAnWCKgCig41CdYINkNJUS5OQVNEQVFHTTpDUklTLklRX0VCSVREQS4xOTk2LjcvMzEvMjAxOC5MRlIuRi5VU0QuSAEAAAAXagAAAgAAAActNDYuMDgyAQgAAAAFAAAAATEBAAAACjE4ODYyNDczOTUDAAAAAzE2MAIAAAAENDA1MQQAAAABMAcAAAAJNy8zMS8yMDE4CAAAAAkzLzMxLzIwMTcJAAAAATDIMLI3CAnWCN1LpG80CdYINUNJUS5OQVNEQVFHUzpDQUxBLklRX0NBUEVYLjIwMDAuNy8zMS8yMDE4LkxGUi5GLlVTRC5IAQAAAKUngQYCAAAABi0xLjIwNQEIAAAABQAAAAExAQAAAAoxODg3OTgwMzA1AwAAAAMxNjACAAAABDIwMjEEAAAAATAHAAAACTcvMzEvMjAxOAgAAAAJMy8zMS8yMDE4CQAAAAEw</t>
  </si>
  <si>
    <t>yDCyNwgJ1gjdS6RvNAnWCD1DSVEuTkFTREFRR1M6RVBaTS5JUV9DQVNIX1NUX0lOVkVTVC4yMDAwLjUvNS8yMDE3LkxGUi5GLlVTRC5IAQAAAAMmPQMCAAAABzI0Mi4xOTIBCAAAAAUAAAABMQEAAAAKMTgzMTcyODc2MAMAAAADMTYwAgAAAAQxMDAyBAAAAAEwBwAAAAg1LzUvMjAxNwgAAAAKMTIvMzEvMjAxNgkAAAABMNaMETgICdYIcySdbzQJ1ggwQ0lRLk5BU0RBUUdNOkFSUlkuSVFfTEFTVFNBTEVQUklDRS43LzMxLzIwMTguVVNEAQAAAPhhAAACAAAABTE1LjM5AJwL1TgICdYI1F+YbzQJ1gg+Q0lRLk5BU0RBUUdTOlBCWUkuSVFfVE9UQUxfRVFVSVRZLkNZMjAxNi43LzE2LzIwMTguTEZSLkYuVVNELkgBAAAAAmqsBwIAAAAHMjA5LjgyNAEIAAAABQAAAAExAQAAAAoxODc4MDYzMzMwAwAAAAMxNjACAAAABDEyNzUEAAAAATAHAAAACTcvMTYvMjAxOAgAAAAKMTIvMzEvMjAxNgkAAAABMMT/GxE1CdYIEv5kEjUJ1gg9Q0lRLk5BU0RBUUdNOkFGTUQuSVFfUkVWRU5VRV9FU1QuQ1kyMDE5LjcvMTYvMjAxOC5DT04uRi5VU0QuSAEAAADb9wwAAgAAABAyLjQ1NDAyMTc3ODA4MjIyAQ4AAAAFAAAAAjExAQAAAAEwAgAAAAoxMDAyODg0MDEwAwAAAAYxMDAxODAEAAAAATMGAAAAATAHAAAAAzE2MAgAAAABMAkAAAABMQoAAAABMAsAAAALMTEwMjYyODMzMDMMAAAAATcNAAAACTcvMTcvMjAxOBAAAAAJNy8x</t>
  </si>
  <si>
    <t>Ni8yMDE4KRyUEDUJ1ggw110SNQnWCEFDSVEuTkFTREFRR1M6TksuSVFfRUJJVERBXzVZUl9BTk5fQ0FHUi4yMDAwLjcvMzEvMjAxOC5MRlIuRi5VU0QuSAEAAAANfaEPAwAAAAAA1owROAgJ1ggZ6aFvNAnWCChDSVEuLklRX0NBUEVYLjE5OTYuNy8zMS8yMDE4LkxGUi5GLlVTRC5IBQAAAAEAAAAIAAAAFChJbnZhbGlkIElkZW50aWZpZXIp9YQyRzQJ1gj1hDJHNAnWCB5DSVEuSVEzNjE4Mzg0MC5JUV9DT01QQU5ZX05BTUUBAAAAIB8oAgMAAAAyVW5pdGVkIFN0YXRlcyBUcmVhc3VyeSBDb25zdGFudCBNYXR1cml0eSAtIDIwIFllYXIADG0QDjUJ1gh3eYAONQnWCClDSVEuSVEzNjE4MzgzMS5JUV9MQVNUU0FMRVBSSUNFLjcvMzEvMjAxOAEAAAAXHygCAgAAAAQyLjg1AElTR280CdYIgf2VbzQJ1ggsQ0lRLklRVFIzMjE4NjUyOTcuSVFfVFJfVEFSR0VUX0VCSVREQS4uVVNELkgBAAAAUUYvEwIAAAAAAFjPEg41CdYIDD6FDjUJ1ghDQ0lRLk5BU0RBUUdTOkZQUlguSVFfRUJJVERBXzVZUl9BTk5fQ0FHUi4yMDAwLjcvMzEvMjAxOC5MRlIuRi5VU0QuSAEAAAA3XTMAAwAAAAJOTQEIAAAABQAAAAExAQAAAAoxODg3NDAyMjI3AwAAAAMxNjACAAAABDQyMzUEAAAAATAHAAAACTcvMzEvMjAxOAgAAAAJMy8zMS8yMDE4CQAAAAEwyDCyNwgJ1ggZ6aFvNAnWCCFDSVEuSVFUUjQwODQwNzgyMi5JUV9UUl9CVVlF</t>
  </si>
  <si>
    <t>Uk5BTUUBAAAADs9XGAMAAAARTWVkaXZpciBBQiAocHVibCkAsrNJbzQJ1giB/ZVvNAnWCD1DSVEuTkFTREFRQ006WklPUC5JUV9SRVZFTlVFX0VTVC5DWTIwMTkuNy8zMS8yMDE4LkNPTi5GLlVTRC5IAQAAALNRsgACAAAABDYuMjYBDgAAAAUAAAACMTEBAAAAATACAAAACjEwMDA4OTgwNzUDAAAABjEwMDE4MAQAAAABMgYAAAABMAcAAAADMTYwCAAAAAEwCQAAAAExCgAAAAEwCwAAAAsxMDkzMTUzMzY2NQwAAAABNw0AAAAIOC8xLzIwMTgQAAAACTcvMzEvMjAxONaMETgICdYIw4afbzQJ1gglQ0lRLjAuSVFfVFJfVEFSR0VUX1JFVkVOVUVfRVNULi5VU0QuSAUAAAAAAAAACAAAABgoSW52YWxpZCBUcmFuc2FjdGlvbiBJZClJU0dvNAnWCAfi8IE0CdYIJUNJUS5JUVRSNDI0MzQyMDQ2LklRX1BSSU1BUllfSU5EVVNUUlkBAAAAAbgGDwMAAAAPUGhhcm1hY2V1dGljYWxzAAxtEA41CdYIwNuCDjUJ1ggvQ0lRLklRVFI1NjE2MDYzNjUuSVFfVFJfVEFSR0VUX1RPVEFMX1JFVi4uVVNELkgBAAAA3W55IQIAAAAAALKzSW80CdYINZuTbzQJ1gg/Q0lRLk5BU0RBUUdTOktVUkEuSVFfTkVUX1dPUktJTkdfQ0FQLjIwMDAuNy8zMS8yMDE4LkxGUi5GLlVTRC5IAQAAALjL2hACAAAABi02Ljg5NgEIAAAABQAAAAExAQAAAAoxODg3MzgyOTM3AwAAAAMxNjACAAAABDEzMTEEAAAAATAHAAAACTcvMzEvMjAxOAgAAAAJ</t>
  </si>
  <si>
    <t>My8zMS8yMDE4CQAAAAEw1owROAgJ1ghzJJ1vNAnWCD1DSVEuTkFTREFRR1M6UEJZSS5JUV9SRVZFTlVFX0VTVC5DWTIwMjAuNy8xNi8yMDE4LkNPTi5GLlVTRC5IAQAAAAJqrAcCAAAABTgzNy43AQ4AAAAFAAAAAjExAQAAAAEwAgAAAAoxMDAxNTEzMDg0AwAAAAYxMDAxODAEAAAAATIGAAAAATAHAAAAAzE2MAgAAAABMAkAAAABMQoAAAABMAsAAAALMTA5NTEyNDA1MTYMAAAAATcNAAAACTcvMTcvMjAxOBAAAAAJNy8xNi8yMDE4xP8bETUJ1ggS/mQSNQnWCEJDSVEuTkFTREFRR1M6VFNSTy5JUV9UT1RBTF9SRVZfM1lSX0FOTl9DQUdSLi43LzE2LzIwMTguTEZSLkYuVVNELkgBAAAAaNZYBgMAAAAAAMT/GxE1CdYIEv5kEjUJ1gg9Q0lRLk5BU0RBUUdTOlBCWUkuSVFfUkVWRU5VRV9FU1QuQ1kyMDIxLjcvMTYvMjAxOC5DT04uRi5VU0QuSAEAAAACaqwHAgAAAAcxMjA2LjY1AQ4AAAAFAAAAAjExAQAAAAEwAgAAAAoxMDAxNTE1MzczAwAAAAYxMDAxODAEAAAAATIGAAAAATAHAAAAAzE2MAgAAAABMAkAAAABMQoAAAABMAsAAAALMTA5NTEyNDAzNTQMAAAAATcNAAAACTcvMTcvMjAxOBAAAAAJNy8xNi8yMDE4xP8bETUJ1ggS/mQSNQnWCDlDSVEuTkFTREFRR1M6RlBSWC5JUV9UT1RBTF9SRVYuMTk5Mi43LzMxLzIwMTguTEZSLkYuVVNELkgBAAAAN10zAAIAAAAHMzgyLjAzNAEIAAAABQAAAAExAQAAAAox</t>
  </si>
  <si>
    <t>ODQwNTY1Nzk0AwAAAAMxNjACAAAAAjI4BAAAAAEwBwAAAAk3LzMxLzIwMTgIAAAACTMvMzEvMjAxNgkAAAABMNaMETgICdYIGemhbzQJ1ggtQ0lRLk5BU0RBUUdTOkdUSFguSVFfRElWSURFTkRfWUlFTEQuNy8zMS8yMDE4AQAAAGU0aQgDAAAAAACcC9U4CAnWCCTCmm80CdYILUNJUS5OQVNEQVFHTTpJTU1VLklRX0RJVklERU5EX1lJRUxELjcvMzEvMjAxOAEAAAAgQwQAAwAAAAAAnAvVOAgJ1gjUX5hvNAnWCDhDSVEuTkFTREFRR1M6R1RIWC5JUV9FQklUREEuQ1kyMDE3LjcvMzEvMjAxOC5MRlIuRi5VU0QuSAEAAABlNGkIAgAAAActNjAuODc5AQgAAAAFAAAAATEBAAAACjE4NzUzMjczMDYDAAAAAzE2MAIAAAAENDA1MQQAAAABMAcAAAAJNy8zMS8yMDE4CAAAAAoxMi8zMS8yMDE3CQAAAAEwnAvVOAgJ1ggkwppvNAnWCC9DSVEuSVFUUjMwNzg2Mzk4NC5JUV9UUl9UQVJHRVRfVE9UQUxfUkVWLi5VU0QuSAEAAACwoVkSAgAAAAAAWM8SDjUJ1gjA24IONQnWCDxDSVEuT1RDUEs6TUJWWC5JUV9FQklUREFfM1lSX0FOTl9DQUdSLi43LzE2LzIwMTguTEZSLkYuVVNELkgBAAAA2ESLAgMAAAACTk0BCAAAAAUAAAABMQEAAAAKMTg4MTIxMzI0NQMAAAADMTYwAgAAAAQ0MjIyBAAAAAEwBwAAAAk3LzE2LzIwMTgIAAAACjEyLzMxLzIwMTcJAAAAATDep34QNQnWCJgSWRI1CdYIQkNJUS5OQVNEQVFHTTpOTE5L</t>
  </si>
  <si>
    <t>LklRX1RPVEFMX1JFVl8zWVJfQU5OX0NBR1IuLjcvMTYvMjAxOC5MRlIuRi5VU0QuSAEAAACVe4wAAgAAAAgtNDQuNjUzMwEIAAAABQAAAAExAQAAAAoxODg4MzU0MjA3AwAAAAMxNjACAAAABDQyMjAEAAAAATAHAAAACTcvMTYvMjAxOAgAAAAJMy8zMS8yMDE4CQAAAAEwKRyUEDUJ1gjkdFsSNQnWCDZDSVEuWFRSQTpNT1IuSVFfRUJJVF9NQVJHSU4uMjAwMC43LzMxLzIwMTguTEZSLkYuVVNELkgBAAAA3xECAAIAAAAJLTEwNi4wMzkyAQgAAAAFAAAAATEBAAAACjE4ODYxNTE2NDgDAAAAAjUwAgAAAAQ0MDUzBAAAAAEwBwAAAAk3LzMxLzIwMTgIAAAACTMvMzEvMjAxOAkAAAABMJwL1TgICdYI1F+YbzQJ1ggjQ0lRLklRVFI1NjE2MDYzNjUuSVFfVFJfVE9UQUxfU1RPQ0sBAAAA3W55IQIAAAAAALKzSW80CdYINZuTbzQJ1ggvQ0lRLklRVFIyNDU4MzEwMDcuSVFfVFJfSU1QTElFRF9FVl9GSU5BTC4uVVNELkgBAAAAXxWnDgIAAAAKNzQ4LjE4MTYxNwCys0lvNAnWCIH9lW80CdYILENJUS5JUVRSNTYzOTE5MDQ5LklRX1RSX1RBUkdFVF9FQklUREEuLlVTRC5IAQAAAMm4nCECAAAABy01NS4xNzIBBgAAAAUAAAACMzcBAAAACjE4ODg5NzkwOTUCAAAABTIxNjc3AwAAAAMxNjAEAAAAATAHAAAACDEvMS8xOTAwDG0QDjUJ1gjA24IONQnWCDlDSVEuTkFTREFRR006Q1JWUy5JUV9UT1RBTF9SRVYuMjAwMC43</t>
  </si>
  <si>
    <t>LzMxLzIwMTguTEZSLkYuVVNELkgBAAAA9LCmEAMAAAAAANaMETgICdYIGemhbzQJ1gg5Q0lRLk5BU0RBUUdTOkpOQ0UuSVFfRUJJVERBX01BUkdJTi4uNy8xNi8yMDE4LkxGUi5GLlVTRC5IAQAAAOJ5ng0CAAAACC00NS4yOTgxAQgAAAAFAAAAATEBAAAACjE4ODgxODYzNzQDAAAAAzE2MAIAAAAENDA0NwQAAAABMAcAAAAJNy8xNi8yMDE4CAAAAAkzLzMxLzIwMTgJAAAAATApHJQQNQnWCJgSWRI1CdYINkNJUS5OQVNEQVFHUzpDVE1YLklRX1RPVEFMX0RFQlQuLjcvMTYvMjAxOC5MRlIuRi5VU0QuSAEAAADcOJsDAgAAAAEwAQgAAAAFAAAAATEBAAAACjE4ODc2NzUzMTYDAAAAAzE2MAIAAAAENDE3MwQAAAABMAcAAAAJNy8xNi8yMDE4CAAAAAkzLzMxLzIwMTgJAAAAATDE/xsRNQnWCMKbYhI1CdYIQkNJUS5OQVNEQVFHTTpYTkNSLklRX1RPVEFMX1JFVl8zWVJfQU5OX0NBR1IuLjcvMTYvMjAxOC5MRlIuRi5VU0QuSAEAAACmWgsAAgAAAAc1My45NTYxAQgAAAAFAAAAATEBAAAACjE4ODcxMjU4NTUDAAAAAzE2MAIAAAAENDIyMAQAAAABMAcAAAAJNy8xNi8yMDE4CAAAAAkzLzMxLzIwMTgJAAAAATDE/xsRNQnWCBL+ZBI1CdYIPUNJUS5BU1g6SU1VLklRX01JTk9SSVRZX0lOVEVSRVNUX1RPVEFMLi45LzE1LzIwMTcuTEZSLkYuVVNELkgBAAAAmJOpAAMAAAAAACkclBA1CdYIMNddEjUJ1ggsQ0lRLk5B</t>
  </si>
  <si>
    <t>U0RBUUdTOkFEWFMuSVFfTEFTVFNBTEVQUklDRS45LzE1LzIwMTcBAAAAnux4AAIAAAAENC44MQApHJQQNQnWCOR0WxI1CdYIOUNJUS5OQVNEQVFHTTpYTkNSLklRX0VCSVREQV9NQVJHSU4uLjcvMTYvMjAxOC5MRlIuRi5VU0QuSAEAAACmWgsAAgAAAAktMjAyLjEyMzQBCAAAAAUAAAABMQEAAAAKMTg4NzEyNTg1NQMAAAADMTYwAgAAAAQ0MDQ3BAAAAAEwBwAAAAk3LzE2LzIwMTgIAAAACTMvMzEvMjAxOAkAAAABMMT/GxE1CdYIEv5kEjUJ1gg2Q0lRLk5BU0RBUUdTOkJHTkUuSVFfVE9UQUxfREVCVC4uNy8xNi8yMDE4LkxGUi5GLlVTRC5IAQAAAODk3QYCAAAABzE3My42ODEBCAAAAAUAAAABMQEAAAAKMTg4NzY4ODU4OAMAAAADMTYwAgAAAAQ0MTczBAAAAAEwBwAAAAk3LzE2LzIwMTgIAAAACTMvMzEvMjAxOAkAAAABMMT/GxE1CdYIaGBnEjUJ1ggxQ0lRLk5BU0RBUUdTOk1SU04uSVFfREFfQ0YuLjcvMTYvMjAxOC5MRlIuRi5VU0QuSAEAAADmxRgAAgAAAAUwLjk3NwEIAAAABQAAAAExAQAAAAoxODg5MDk2NjUzAwAAAAMxNjACAAAABDIxNjAEAAAAATAHAAAACTcvMTYvMjAxOAgAAAAJMy8zMS8yMDE4CQAAAAEwKRyUEDUJ1ghzOWASNQnWCDBDSVEuSVFUUjQyMjg4NzcwMS5JUV9UUl9UQVJHRVRfRUJJVERBX0VTVC4uVVNELkgBAAAAFcE0GQIAAAAAAAxtEA41CdYIwNuCDjUJ1ggsQ0lRLklRVFI1</t>
  </si>
  <si>
    <t>MzM2Mzk1MDEuSVFfVFJfVE9UQUxfR1JPU1NfVFYuVVNELkgFAAAAAAAAAAgAAAAaKEludmFsaWQgQ3VycmVuY3kgUmVxdWVzdCkMbRAONQnWCMDbgg41CdYIOkNJUS5OQVNEQVFHUzpHVEhYLklRX0VBUk5JTkdfQ08uMTk5Mi43LzMxLzIwMTguTEZSLkYuVVNELkgBAAAAZTRpCAMAAAAAANaMETgICdYIJMKabzQJ1gg8Q0lRLk5BU0RBUUdTOkVQWk0uSVFfVE9UQUxfRVFVSVRZLjE5OTYuNy8zMS8yMDE4LkxGUi5GLlVTRC5IAQAAAAMmPQMCAAAABzE3NC41MjEBCAAAAAUAAAABMQEAAAAKMTg4NzI0NjA0OQMAAAADMTYwAgAAAAQxMjc1BAAAAAEwBwAAAAk3LzMxLzIwMTgIAAAACTMvMzEvMjAxNwkAAAABMNaMETgICdYIcySdbzQJ1ghHQ0lRLk5BU0RBUUdNOkNSVlMuSVFfTUlOT1JJVFlfSU5URVJFU1RfVE9UQUwuMjAwMC43LzMxLzIwMTguTEZSLkYuVVNELkgBAAAA9LCmEAMAAAAAANaMETgICdYIGemhbzQJ1gg6Q0lRLk5BU0RBUUdTOkFUTlguSVFfVE9UQUxfREVCVC4yMDAwLjcvMzEvMjAxOC5MRlIuRi5VU0QuSAEAAADcmWsBAgAAAAUxLjY2MwEIAAAABQAAAAExAQAAAAoxODg4NzAyOTgyAwAAAAMxNjACAAAABDQxNzMEAAAAATAHAAAACTcvMzEvMjAxOAgAAAAJMy8zMS8yMDE4CQAAAAEw1owROAgJ1ggkwppvNAnWCDtDSVEuTkFTREFRR1M6TksuSVFfQ0FTSF9TVF9JTlZFU1QuMjAwMC41LzUv</t>
  </si>
  <si>
    <t>MjAxNy5MRlIuRi5VU0QuSAEAAAANfaEPAgAAAAcxOTguOTIxAQgAAAAFAAAAATEBAAAACjE4MzE5ODc5MzcDAAAAAzE2MAIAAAAEMTAwMgQAAAABMAcAAAAINS81LzIwMTcIAAAACjEyLzMxLzIwMTYJAAAAATDWjBE4CAnWCBnpoW80CdYIMkNJUS5PVENQSzpOV0JPLklRX1RPVEFMX1JFVi4uNy8xNi8yMDE4LkxGUi5GLlVTRC5IAQAAAKN6FAACAAAAAzAuNAEIAAAABQAAAAExAQAAAAoxODg5MzAyODI0AwAAAAMxNjACAAAAAjI4BAAAAAEwBwAAAAk3LzE2LzIwMTgIAAAACTMvMzEvMjAxOAkAAAABMCkclBA1CdYIczlgEjUJ1ghGQ0lRLk5BU0RBUUNNOlpJT1AuSVFfVE9UQUxfUkVWXzJZUl9BTk5fQ0FHUi4yMDAwLjcvMzEvMjAxOC5MRlIuRi5VU0QuSAEAAACzUbIAAgAAAActOS40OTkxAQgAAAAFAAAAATEBAAAACjE4ODc5NzIzNTkDAAAAAzE2MAIAAAAENDIwNwQAAAABMAcAAAAJNy8zMS8yMDE4CAAAAAkzLzMxLzIwMTgJAAAAATDWjBE4CAnWCMOGn280CdYIP0NJUS5OQVNEQVFHUzpDVE1YLklRX0VCSVREQV8yWVJfQU5OX0NBR1IuLjcvMTYvMjAxOC5MRlIuRi5VU0QuSAEAAADcOJsDAwAAAAJOTQEIAAAABQAAAAExAQAAAAoxODg3Njc1MzE2AwAAAAMxNjACAAAABDQyMDkEAAAAATAHAAAACTcvMTYvMjAxOAgAAAAJMy8zMS8yMDE4CQAAAAEwxP8bETUJ1gjCm2ISNQnWCClDSVEuTkFTREFRR1M6</t>
  </si>
  <si>
    <t>TksuSVFfTEFTVFNBTEVQUklDRS41LzUvMjAxNwEAAAANfaEPAgAAAAQyLjkzANaMETgICdYIGemhbzQJ1gg2Q0lRLk5BU0RBUUNNOk1URU0uSVFfRUJJVERBLjE5OTYuNy8zMS8yMDE4LkxGUi5GLlVTRC5IAQAAAJmbqQECAAAACS05LjI1NzEyMgEIAAAABQAAAAExAQAAAAoxODg4NzMzMDAyAwAAAAMxNjACAAAABDQwNTEEAAAAATAHAAAACTcvMzEvMjAxOAgAAAAJMy8zMS8yMDE3CQAAAAEwyDCyNwgJ1ggZ6aFvNAnWCDJDSVEuTkFTREFRR1M6T1ZJRC5JUV9UT1RBTF9SRVYuMjAwMC4xMC8xOC8yMDE2Li4uLgEAAAAg0DcRAwAAAAAAsrNJbzQJ1gg1m5NvNAnWCDxDSVEuTkFTREFRR1M6RVBaTS5JUV9UT1RBTF9FUVVJVFkuMjAwMC43LzMxLzIwMTguTEZSLkYuVVNELkgBAAAAAyY9AwIAAAAHMjMxLjEzMgEIAAAABQAAAAExAQAAAAoxODg3MjQ2MDc3AwAAAAMxNjACAAAABDEyNzUEAAAAATAHAAAACTcvMzEvMjAxOAgAAAAJMy8zMS8yMDE4CQAAAAEw1owROAgJ1ghzJJ1vNAnWCDZDSVEuTkFTREFRR006SU1NVS5JUV9FQklUREEuMjAwMC43LzMxLzIwMTguTEZSLkYuVVNELkgBAAAAIEMEAAIAAAALLTEwNy4yNDQ5MTcBCAAAAAUAAAABMQEAAAAKMTg4ODUyMzM4NAMAAAADMTYwAgAAAAQ0MDUxBAAAAAEwBwAAAAk3LzMxLzIwMTgIAAAACTMvMzEvMjAxOAkAAAABMJwL1TgICdYI1F+YbzQJ1gg7Q0lR</t>
  </si>
  <si>
    <t>Lk5BU0RBUUdTOk1HTlguSVFfTkVUX1dPUktJTkdfQ0FQLi43LzE2LzIwMTguTEZSLkYuVVNELkgBAAAATysJAAIAAAAHLTM4Ljk5OAEIAAAABQAAAAExAQAAAAoxODg3MTE0OTQ1AwAAAAMxNjACAAAABDEzMTEEAAAAATAHAAAACTcvMTYvMjAxOAgAAAAJMy8zMS8yMDE4CQAAAAEwxP8bETUJ1gjCm2ISNQnWCCxDSVEuLklRX05JX01BUkdJTi4yMDAwLjcvMzEvMjAxOC5MRlIuRi5VU0QuSAUAAAABAAAACAAAABQoSW52YWxpZCBJZGVudGlmaWVyKZYkMEc0CdYIliQwRzQJ1gg3Q0lRLk5BU0RBUUdTOkZQUlguSVFfRUJJVF9NQVJHSU4uLjcvMTYvMjAxOC5MRlIuRi5VU0QuSAEAAAA3XTMAAgAAAAktMjI0LjQzNzgBCAAAAAUAAAABMQEAAAAKMTg4NzQwMjIyNwMAAAADMTYwAgAAAAQ0MDUzBAAAAAEwBwAAAAk3LzE2LzIwMTgIAAAACTMvMzEvMjAxOAkAAAABMCkclBA1CdYIczlgEjUJ1gglQ0lRLk5BU0RBUUdNOkNSSVMuSVFfRklSU1RQUklDSU5HREFURQEAAAAXagAABQAAAAg4LzEvMjAwMADIMLI3CAnWCN1LpG80CdYIK0NJUS5JUVRSNDEzOTUzNjYxLklRX1RSX0lNUExJRURfRVZfRUJJVF9GV0QBAAAAfW6sGAIAAAAAALKzSW80CdYIgf2VbzQJ1gghQ0lRLklRVFIyNDU4MzEwMDcuSVFfVFJfQlVZRVJOQU1FAQAAAF8Vpw4DAAAAFE90c3VrYSBBbWVyaWNhLCBJbmMuALKzSW80CdYIgf2VbzQJ1ggg</t>
  </si>
  <si>
    <t>Q0lRLklRVFI0MTE4NzEwODIuSVFfVFJfRUFSTk9VVFMBAAAAaqeMGAIAAAAEMTUwMAEGAAAABQAAAAI1NAEAAAAGMTAxNDAzAgAAAAk0MTE4NzEwODIDAAAACTQxMTg3MTI5MQQAAAADMTYwBgAAAAVGYWxzZbKzSW80CdYINZuTbzQJ1gg4Q0lRLk5BU0RBUUdNOk5MTksuSVFfVE9UQUxfRVFVSVRZLi43LzE2LzIwMTguTEZSLkYuVVNELkgBAAAAlXuMAAIAAAAHMTM3Ljk1NAEIAAAABQAAAAExAQAAAAoxODg4MzU0MjA3AwAAAAMxNjACAAAABDEyNzUEAAAAATAHAAAACTcvMTYvMjAxOAgAAAAJMy8zMS8yMDE4CQAAAAEwKRyUEDUJ1gjkdFsSNQnWCEJDSVEuTkFTREFRR1M6U0dFTi5JUV9UT1RBTF9SRVZfMllSX0FOTl9DQUdSLi43LzE2LzIwMTguTEZSLkYuVVNELkgBAAAAYYUAAAIAAAAGMTguNTA1AQgAAAAFAAAAATEBAAAACjE4ODQ4OTI4NTIDAAAAAzE2MAIAAAAENDIwNwQAAAABMAcAAAAJNy8xNi8yMDE4CAAAAAkzLzMxLzIwMTgJAAAAATDE/xsRNQnWCGhgZxI1CdYIIkNJUS5JUVRSMjUzOTU0NDczLklRX1RSX1RPVEFMX0NBU0gBAAAAqQkjDwIAAAAAALKzSW80CdYINZuTbzQJ1ggyQ0lRLk5BU0RBUUdNOlhOQ1IuSVFfRUJJVERBLi43LzE2LzIwMTguTEZSLkYuVVNELkgBAAAAploLAAIAAAAHLTY1LjEwNgEIAAAABQAAAAExAQAAAAoxODg3MTI1ODU1AwAAAAMxNjACAAAABDQwNTEEAAAAATAH</t>
  </si>
  <si>
    <t>AAAACTcvMTYvMjAxOAgAAAAJMy8zMS8yMDE4CQAAAAEwxP8bETUJ1ggS/mQSNQnWCDZDSVEuLklRX0VCSVREQV81WVJfQU5OX0NBR1IuMjAwMC43LzMxLzIwMTguTEZSLkYuVVNELkgFAAAAAQAAAAgAAAAUKEludmFsaWQgSWRlbnRpZmllcin1hDJHNAnWCPWEMkc0CdYIOUNJUS5OQVNEQVFHUzpFUFpNLklRX05JX01BUkdJTi4yMDAwLjcvMzEvMjAxOC5MRlIuRi5VU0QuSAEAAAADJj0DAwAAAAJOTQEIAAAABQAAAAExAQAAAAoxODg3MjQ2MDc3AwAAAAMxNjACAAAABDQwOTQEAAAAATAHAAAACTcvMzEvMjAxOAgAAAAJMy8zMS8yMDE4CQAAAAEw1owROAgJ1ghzJJ1vNAnWCDVDSVEuTkFTREFRR006SU1NVS5JUV9DQVBFWC4xOTkyLjcvMzEvMjAxOC5MRlIuRi5VU0QuSAEAAAAgQwQAAgAAAAgtMS43NzM2NgEIAAAABQAAAAExAQAAAAoxODQxMTcxMjI0AwAAAAMxNjACAAAABDIwMjEEAAAAATAHAAAACTcvMzEvMjAxOAgAAAAJMy8zMS8yMDE2CQAAAAEwnAvVOAgJ1gjUX5hvNAnWCDZDSVEuTkFTREFRR1M6QkdORS5JUV9UT1RBTF9ERUJULi45LzE1LzIwMTcuTEZSLkYuVVNELkgBAAAA4OTdBgIAAAAHMTUyLjcyOAEIAAAABQAAAAExAQAAAAoxODUyNzAwNTY0AwAAAAMxNjACAAAABDQxNzMEAAAAATAHAAAACTkvMTUvMjAxNwgAAAAJNi8zMC8yMDE3CQAAAAEwxP8bETUJ1ghoYGcSNQnWCCRDSVEuT1RD</t>
  </si>
  <si>
    <t>UEs6TldCTy5JUV9CRVRBXzVZUi43LzE2LzIwMTgBAAAAo3oUAAIAAAAQMS45ODc1Mjc3NDg4NjEzNAApHJQQNQnWCDDXXRI1CdYIO0NJUS5OQVNEQVFHUzpFUFpNLklRX0VCSVRfTUFSR0lOLjIwMDAuNy8zMS8yMDE4LkxGUi5GLlVTRC5IAQAAAAMmPQMDAAAAAk5NAQgAAAAFAAAAATEBAAAACjE4ODcyNDYwNzcDAAAAAzE2MAIAAAAENDA1MwQAAAABMAcAAAAJNy8zMS8yMDE4CAAAAAkzLzMxLzIwMTgJAAAAATDWjBE4CAnWCHMknW80CdYIPUNJUS5OQVNEQVFHTTpJTU1VLklRX1JFVkVOVUVfRVNULkNZMjAyMS43LzMxLzIwMTguQ09OLkYuVVNELkgBAAAAIEMEAAIAAAAINTIxLjcxNjcBDgAAAAUAAAACMTEBAAAAATACAAAACTcyODM3NTU5NQMAAAAGMTAwMTgwBAAAAAEyBgAAAAEwBwAAAAMxNjAIAAAAATAJAAAAATEKAAAAATALAAAACzEwOTgwMjY0NDAyDAAAAAE3DQAAAAg4LzEvMjAxOBAAAAAJNy8zMS8yMDE4nAvVOAgJ1gjUX5hvNAnWCCdDSVEuTkFTREFRR1M6RlBSWC5JUV9CRVRBXzFZUi43LzMxLzIwMTgBAAAAN10zAAIAAAARMC43MDU4MTc2MjAyODMyNzIA1owROAgJ1ggZ6aFvNAnWCDZDSVEuLklRX0VCSVREQV8yWVJfQU5OX0NBR1IuMjAwMC43LzMxLzIwMTguTEZSLkYuVVNELkgFAAAAAQAAAAgAAAAUKEludmFsaWQgSWRlbnRpZmllcin1hDJHNAnWCPWEMkc0CdYIN0NJUS5OQVNEQVFH</t>
  </si>
  <si>
    <t>TTpYTkNSLklRX1BSRUZfRVFVSVRZLi43LzE2LzIwMTguTEZSLkYuVVNELkgBAAAAploLAAMAAAAAAMT/GxE1CdYIEv5kEjUJ1gguQ0lRLk5BU0RBUUdTOktVUkEuSVFfTUFSS0VUQ0FQLjcvMzEvMjAxOC5VU0QuSAEAAAC4y9oQAgAAAAo3NTQuMzY0NDIzAQYAAAAFAAAAATEBAAAACjE4ODczODIyODEDAAAAAzE2MAIAAAAGMTAwMDU0BAAAAAEwBwAAAAk3LzMxLzIwMTjWjBE4CAnWCHMknW80CdYIPkNJUS5OQVNEQVFHTTpMUFRYLklRX1RPVEFMX0VRVUlUWS5DWTIwMTcuNy8xNi8yMDE4LkxGUi5GLlVTRC5IAQAAAAw2CQcCAAAABjExLjExNwEIAAAABQAAAAExAQAAAAoxODc1NTU5OTYzAwAAAAMxNjACAAAABDEyNzUEAAAAATAHAAAACTcvMTYvMjAxOAgAAAAKMTIvMzEvMjAxNwkAAAABMCkclBA1CdYIMNddEjUJ1ggeQ0lRLklRMzYxODM4MTkuSVFfQ09NUEFOWV9OQU1FAQAAAAsfKAIDAAAAMlVuaXRlZCBTdGF0ZXMgVHJlYXN1cnkgQ29uc3RhbnQgTWF0dXJpdHkgLSA2IE1vbnRoAAxtEA41CdYId3mADjUJ1gguQ0lRLklRVFI0MDc3NjA2OTIuSVFfVFJfVEFSR0VUX1NUT0NLUFJFTUlVTV8xVwEAAAA0700YAgAAAAAAWM8SDjUJ1ggMPoUONQnWCDxDSVEuTkFTREFRR006QVJRTC5JUV9FQVJOSU5HX0NPLkNZMjAxNi43LzMxLzIwMTguTEZSLkYuVVNELkgBAAAA9mEAAAIAAAAHLTIyLjcxOAEIAAAA</t>
  </si>
  <si>
    <t>BQAAAAExAQAAAAoxODc4NTA4Njk1AwAAAAMxNjACAAAAATcEAAAAATAHAAAACTcvMzEvMjAxOAgAAAAKMTIvMzEvMjAxNgkAAAABMNaMETgICdYIcySdbzQJ1gg2Q0lRLk5BU0RBUUdNOklNTVUuSVFfVE9UQUxfREVCVC4uOS8xNS8yMDE3LkxGUi5GLlVTRC5IAQAAACBDBAACAAAACTk4LjA4NDIxOQEIAAAABQAAAAExAQAAAAoxODU0MzgyMzE0AwAAAAMxNjACAAAABDQxNzMEAAAAATAHAAAACTkvMTUvMjAxNwgAAAAJNi8zMC8yMDE3CQAAAAEwxP8bETUJ1ggS/mQSNQnWCC5DSVEuKElOVkFMSUQgSURFTlRJRklFUikuSVFfQkVUQV81WVIuNy8xNi8yMDE4BQAAAAAAAAAIAAAAFChJbnZhbGlkIElkZW50aWZpZXIpIAqBEDUJ1giYElkSNQnWCEZDSVEuTkFTREFRR1M6VFNSTy5JUV9UT1RBTF9SRVZfM1lSX0FOTl9DQUdSLjIwMDAuNy8zMS8yMDE4LkxGUi5GLlVTRC5IAQAAAGjWWAYDAAAAAACcC9U4CAnWCCTCmm80CdYII0NJUS5JUVRSNDMxODQxNTgxLklRX1RSX1RPVEFMX1NUT0NLAQAAAC1hvRkCAAAAAAAMbRAONQnWCAw+hQ41CdYILkNJUS5OWVNFOkJIVk4uSVFfVE9UQUxfUkVWLjIwMDAuMTAvMTgvMjAxNi4uLi4BAAAA3GcgDwMAAAAAALKzSW80CdYINZuTbzQJ1gg/Q0lRLk5BU0RBUUdTOkJHTkUuSVFfTkVUX1dPUktJTkdfQ0FQLjE5OTYuNy8zMS8yMDE4LkxGUi5GLlVTRC5IAQAAAODk3QYC</t>
  </si>
  <si>
    <t>AAAABy0zOC44MTMBCAAAAAUAAAABMQEAAAAKMTg4NzY4ODU4MwMAAAADMTYwAgAAAAQxMzExBAAAAAEwBwAAAAk3LzMxLzIwMTgIAAAACTMvMzEvMjAxNwkAAAABMJwL1TgICdYIgf2VbzQJ1ggwQ0lRLklRVFI0MDk5NTE4ODYuSVFfVFJfVEFSR0VUX0VCSVREQV9FU1QuLlVTRC5IAQAAAI5ebxgCAAAAAAAMbRAONQnWCMDbgg41CdYISkNJUS4oSU5WQUxJRCBJREVOVElGSUVSKS5JUV9FQklUREFfNVlSX0FOTl9DQUdSLjIwMDAuNy8zMS8yMDE4LkxGUi5GLlVTRC5IBQAAAAAAAAAIAAAAFChJbnZhbGlkIElkZW50aWZpZXIpyDCyNwgJ1gg8mbJvNAnWCCpDSVEuSVFUUjQxMzk1MzY2MS5JUV9UUl9UQVJHRVRfRUJJVC4uVVNELkgBAAAAfW6sGAIAAAAGLTkuNzQyALKzSW80CdYIgf2VbzQJ1gglQ0lRLklRVFIzMjE4NjUyOTcuSVFfVFJfSU1QTElFRF9FUV9CVgEAAABRRi8TAgAAAAAAWM8SDjUJ1ggMPoUONQnWCDZDSVEuTkFTREFRR1M6VFNSTy5JUV9FQklUREEuMjAwMC43LzMxLzIwMTguTEZSLkYuVVNELkgBAAAAaNZYBgIAAAAILTQ3Ny4yOTcBCAAAAAUAAAABMQEAAAAKMTg4NjMzNzQ2NgMAAAADMTYwAgAAAAQ0MDUxBAAAAAEwBwAAAAk3LzMxLzIwMTgIAAAACTMvMzEvMjAxOAkAAAABMJwL1TgICdYIJMKabzQJ1ggpQ0lRLklRMzYxODM4MzQuSVFfTEFTVFNBTEVQUklDRS43LzE2LzIwMTgBAAAA</t>
  </si>
  <si>
    <t>Gh8oAgIAAAAEMi44MgAMbRAONQnWCAw+hQ41CdYIPENJUS5OQVNEQVFHUzpBVE5YLklRX0VBUk5JTkdfQ08uQ1kyMDE2LjcvMzEvMjAxOC5MRlIuRi5VU0QuSAEAAADcmWsBAgAAAActODcuOTA2AQgAAAAFAAAAATEBAAAACjE4Nzk5MDc2MTkDAAAAAzE2MAIAAAABNwQAAAABMAcAAAAJNy8zMS8yMDE4CAAAAAoxMi8zMS8yMDE2CQAAAAEw1owROAgJ1ggkwppvNAnWCB5DSVEuSVEzNjE4MzgzNy5JUV9DT01QQU5ZX05BTUUBAAAAHR8oAgMAAAAyVW5pdGVkIFN0YXRlcyBUcmVhc3VyeSBDb25zdGFudCBNYXR1cml0eSAtIDEwIFllYXIADG0QDjUJ1gh3eYAONQnWCCpDSVEuSVFUUjMyMTg2NTI5Ny5JUV9UUl9UQVJHRVRfRUJJVC4uVVNELkgBAAAAUUYvEwIAAAAAAFjPEg41CdYIDD6FDjUJ1ghGQ0lRLk5BU0RBUUdTOk1SU04uSVFfVE9UQUxfUkVWXzJZUl9BTk5fQ0FHUi4yMDAwLjcvMzEvMjAxOC5MRlIuRi5VU0QuSAEAAADmxRgAAwAAAAAA1owROAgJ1gjDhp9vNAnWCENDSVEuTkFTREFRR006QVJSWS5JUV9FQklUREFfNVlSX0FOTl9DQUdSLjIwMDAuNy8zMS8yMDE4LkxGUi5GLlVTRC5IAQAAAPhhAAADAAAAAk5NAQgAAAAFAAAAATEBAAAACjE4ODg0NzA2NzYDAAAAAzE2MAIAAAAENDIzNQQAAAABMAcAAAAJNy8zMS8yMDE4CAAAAAkzLzMxLzIwMTgJAAAAATCcC9U4CAnWCCTCmm80CdYIPENJUS5O</t>
  </si>
  <si>
    <t>QVNEQVFHUzpTR0VOLklRX0VCSVREQV9FU1QuQ1kyMDE5LjcvMTYvMjAxOC5DT04uRi5VU0QuSAEAAABhhQAAAgAAAAgtMTIxLjYyNwEOAAAABQAAAAIxMQEAAAABMAIAAAAKMTAwMDEyNDcyNwMAAAAGMTAwMTg3BAAAAAEyBgAAAAEwBwAAAAMxNjAIAAAAATAJAAAAATEKAAAAATALAAAACzEwODU3ODc0OTcyDAAAAAE3DQAAAAk3LzE3LzIwMTgQAAAACTcvMTYvMjAxOMT/GxE1CdYIaGBnEjUJ1ggmQ0lRLkFTWDpJTVUuSVFfTEFTVFNBTEVQUklDRS45LzE1LzIwMTcBAAAAmJOpAAIAAAAIMC4wMTI3OTkAKRyUEDUJ1ggw110SNQnWCCdDSVEuTkFTREFRR1M6Q0FMQS5JUV9QRVJJT0REQVRFX0lTLjEwMDABAAAApSeBBgUAAAAKMTIvMzEvMjAxNwDIMLI3CAnWCN1LpG80CdYIKUNJUS5JUVRSMzcxNzE1MTE5LklRX1RSX0lNUExJRURfRVFfTklfTFRNAQAAAC/sJxYCAAAAAABYzxIONQnWCMDbgg41CdYIRkNJUS5OQVNEQVFHTTpJTU1VLklRX1RPVEFMX1JFVl8zWVJfQU5OX0NBR1IuMjAwMC43LzMxLzIwMTguTEZSLkYuVVNELkgBAAAAIEMEAAIAAAAILTE4LjQzNDEBCAAAAAUAAAABMQEAAAAKMTg4ODUyMzM4NAMAAAADMTYwAgAAAAQ0MjIwBAAAAAEwBwAAAAk3LzMxLzIwMTgIAAAACTMvMzEvMjAxOAkAAAABMJwL1TgICdYI1F+YbzQJ1gg6Q0lRLk5BU0RBUUNNOlpJT1AuSVFfRUFSTklOR19DTy4xOTky</t>
  </si>
  <si>
    <t>LjcvMzEvMjAxOC5MRlIuRi5VU0QuSAEAAACzUbIAAgAAAActNTMuODc2AQgAAAAFAAAAATEBAAAACjE4MzkzNDEwNjcDAAAAAzE2MAIAAAABNwQAAAABMAcAAAAJNy8zMS8yMDE4CAAAAAkzLzMxLzIwMTYJAAAAATDWjBE4CAnWCMOGn280CdYIPENJUS5OQVNEQVFHTTpMUFRYLklRX0VBUk5JTkdfQ08uQ1kyMDE3LjcvMTYvMjAxOC5MRlIuRi5VU0QuSAEAAAAMNgkHAgAAAActMjkuNzI3AQgAAAAFAAAAATEBAAAACjE4NzU1NTk5NjMDAAAAAzE2MAIAAAABNwQAAAABMAcAAAAJNy8xNi8yMDE4CAAAAAoxMi8zMS8yMDE3CQAAAAEwKRyUEDUJ1ggw110SNQnWCENDSVEuTkFTREFRR1M6QVROWC5JUV9FQklUREFfNVlSX0FOTl9DQUdSLjIwMDAuNy8zMS8yMDE4LkxGUi5GLlVTRC5IAQAAANyZawEDAAAAAADWjBE4CAnWCCTCmm80CdYIKUNJUS4uSVFfRUJJVERBLjIwMDAuNy8zMS8yMDE4LkxGUi5GLlVTRC5IBQAAAAEAAAAIAAAAFChJbnZhbGlkIElkZW50aWZpZXIp9YQyRzQJ1gj1hDJHNAnWCDdDSVEuTkFTREFRR1M6VFNSTy5JUV9FQklUX01BUkdJTi4uNy8xNi8yMDE4LkxGUi5GLlVTRC5IAQAAAGjWWAYCAAAACS0xODAuODY1NQEIAAAABQAAAAExAQAAAAoxODg2MzM3NDY2AwAAAAMxNjACAAAABDQwNTMEAAAAATAHAAAACTcvMTYvMjAxOAgAAAAJMy8zMS8yMDE4CQAAAAEwxP8bETUJ1ggS/mQSNQnW</t>
  </si>
  <si>
    <t>CCxDSVEuTkFTREFRQ006QVZFTy5JUV9MQVNUU0FMRVBSSUNFLjkvMTUvMjAxNwEAAAD0Fh0AAgAAAAQzLjU1AEadGRE1CdYIczlgEjUJ1gg4Q0lRLk9UQ1BLOk1CVlguSVFfVE9UQUxfUkVWLkNZMjAxNy43LzE2LzIwMTguTEZSLkYuVVNELkgBAAAA2ESLAgMAAAAAAN6nfhA1CdYIaGBnEjUJ1gg/Q0lRLk5BU0RBUUNNOkFWRU8uSVFfRUJJVERBXzJZUl9BTk5fQ0FHUi4uNy8xNi8yMDE4LkxGUi5GLlVTRC5IAQAAAPQWHQADAAAAAADE/xsRNQnWCHM5YBI1CdYIN0NJUS5OQVNEQVFHTTpJTU1VLklRX1BFUklPRERBVEVfSVMuMjAwMC43LzMxLzIwMTguTEZSLkYBAAAAIEMEAAUAAAAJMy8zMS8yMDE4AJwL1TgICdYI1F+YbzQJ1ggvQ0lRLi5JUV9FQklUREFfRVNULkNZMjAxOC43LzMxLzIwMTguQ09OLkYuVVNELkgFAAAAAQAAAAgAAAAUKEludmFsaWQgSWRlbnRpZmllcin1hDJHNAnWCPWEMkc0CdYIPkNJUS4oSU5WQUxJRCBJREVOVElGSUVSKS5JUV9QRVJJT0REQVRFX0lTLjIwMDAuNy8zMS8yMDE4LkxGUi5GBQAAAAAAAAAIAAAAFChJbnZhbGlkIElkZW50aWZpZXIpyDCyNwgJ1gjtNrBvNAnWCCxDSVEuSVFUUjU1MTE2NjI5Mi5JUV9UUl9UQVJHRVRfRUJJVERBLi5VU0QuSAEAAABUIdogAgAAAActNTcuMTMzAQYAAAAFAAAAAjM3AQAAAAoxODc3NDc4MTk3AgAAAAUyMTY3NwMAAAADMTYwBAAAAAEw</t>
  </si>
  <si>
    <t>BwAAAAgxLzEvMTkwMAxtEA41CdYIwNuCDjUJ1ghDQ0lRLihJTlZBTElEIElERU5USUZJRVIpLklRX1RPVEFMX0VRVUlUWS4xOTkyLjcvMzEvMjAxOC5MRlIuRi5VU0QuSAUAAAAAAAAACAAAABQoSW52YWxpZCBJZGVudGlmaWVyKcgwsjcICdYI7TawbzQJ1gg4Q0lRLk5BU0RBUUNNOk1URU0uSVFfRUJJVERBLkNZMjAxNi43LzMxLzIwMTguTEZSLkYuVVNELkgBAAAAmZupAQIAAAAHLTEwLjU1NAEIAAAABQAAAAExAQAAAAoxODgxMTE4NzQ0AwAAAAMxNjACAAAABDQwNTEEAAAAATAHAAAACTcvMzEvMjAxOAgAAAAKMTIvMzEvMjAxNgkAAAABMMgwsjcICdYIGemhbzQJ1gg7Q0lRLk5BU0RBUUdTOlBCWUkuSVFfVE9UQUxfUkVWLkNZMjAxNi43LzE2LzIwMTguTEZSLkYuVVNELkgBAAAAAmqsBwMAAAAAAMT/GxE1CdYIEv5kEjUJ1gg4Q0lRLk5BU0RBUUdNOklNTVUuSVFfRUJJVERBLkNZMjAxNy43LzMxLzIwMTguTEZSLkYuVVNELkgBAAAAIEMEAAIAAAAKLTkxLjg3NjU5NAEIAAAABQAAAAExAQAAAAoxODczNDkzNTI4AwAAAAMxNjACAAAABDQwNTEEAAAAATAHAAAACTcvMzEvMjAxOAgAAAAKMTIvMzEvMjAxNwkAAAABMJwL1TgICdYI1F+YbzQJ1gg7Q0lRLk5BU0RBUUdTOkNBTEEuSVFfUFJFRl9FUVVJVFkuMjAwMC43LzMxLzIwMTguTEZSLkYuVVNELkgBAAAApSeBBgMAAAAAAMgwsjcICdYI3UukbzQJ</t>
  </si>
  <si>
    <t>1ggtQ0lRLk5BU0RBUUdTOkZQUlguSVFfRElWSURFTkRfWUlFTEQuNy8xNi8yMDE4AQAAADddMwADAAAAAAApHJQQNQnWCHM5YBI1CdYILENJUS5JUVRSMjUzOTU0NDczLklRX1RSX1RPVEFMX0dST1NTX1RWLlVTRC5IBQAAAAAAAAAIAAAAGihJbnZhbGlkIEN1cnJlbmN5IFJlcXVlc3QpSVNHbzQJ1gg1m5NvNAnWCEdDSVEuTkFTREFRR1M6QVROWC5JUV9NSU5PUklUWV9JTlRFUkVTVF9UT1RBTC4yMDAwLjcvMzEvMjAxOC5MRlIuRi5VU0QuSAEAAADcmWsBAgAAAAUwLjY0NAEIAAAABQAAAAExAQAAAAoxODg4NzAyOTgyAwAAAAMxNjACAAAABDEzMTIEAAAAATAHAAAACTcvMzEvMjAxOAgAAAAJMy8zMS8yMDE4CQAAAAEw1owROAgJ1ggkwppvNAnWCDVDSVEuTkFTREFRR1M6VFNSTy5JUV9EQV9DRi4yMDAwLjcvMzEvMjAxOC5MRlIuRi5VU0QuSAEAAABo1lgGAgAAAAYxMS4wMzEBCAAAAAUAAAABMQEAAAAKMTg4NjMzNzQ2NgMAAAADMTYwAgAAAAQyMTYwBAAAAAEwBwAAAAk3LzMxLzIwMTgIAAAACTMvMzEvMjAxOAkAAAABMJwL1TgICdYIJMKabzQJ1gg4Q0lRLk5BU0RBUUNNOlNSTkUuSVFfRUJJVERBLkNZMjAxNy43LzMxLzIwMTguTEZSLkYuVVNELkgBAAAASUOUAwIAAAAGNTkuMjUzAQgAAAAFAAAAATEBAAAACjE4Nzg2Nzc0NTYDAAAAAzE2MAIAAAAENDA1MQQAAAABMAcAAAAJNy8zMS8yMDE4CAAA</t>
  </si>
  <si>
    <t>AAoxMi8zMS8yMDE3CQAAAAEw1owROAgJ1ghzJJ1vNAnWCCRDSVEuRU5YVFBBOklQSC5JUV9CRVRBXzJZUi43LzE2LzIwMTgBAAAAmYAGAAIAAAAQMS4wOTU0OTQ2NjQ4ODI1MgApHJQQNQnWCHM5YBI1CdYIIUNJUS5JUVRSMjUzOTU0NDczLklRX1RSX0JVWUVSTkFNRQEAAACpCSMPAwAAAB1TdW5lc2lzIFBoYXJtYWNldXRpY2FscywgSW5jLgCys0lvNAnWCDWbk280CdYIO0NJUS5OQVNEQVFHUzpBTkFCLklRX1RPVEFMX1JFVi5DWTIwMTcuNy8xNi8yMDE4LkxGUi5GLlVTRC5IAQAAACFMsgECAAAAAjEwAQgAAAAFAAAAATEBAAAACjE4NzcwNjUyMzEDAAAAAzE2MAIAAAACMjgEAAAAATAHAAAACTcvMTYvMjAxOAgAAAAKMTIvMzEvMjAxNwkAAAABMMT/GxE1CdYIwptiEjUJ1ggnQ0lRLk5BU0RBUUdTOkVQWk0uSVFfQkVUQV8xWVIuNy8zMS8yMDE4AQAAAAMmPQMCAAAAEDEuMjE2MTc5MjQzNTk0ODIA1owROAgJ1ghzJJ1vNAnWCC5DSVEuTkFTREFRR006SU1NVS5JUV9NQVJLRVRDQVAuNy8xNi8yMDE4LlVTRC5IAQAAACBDBAACAAAACzQ1OTUuOTYzNzIxAQYAAAAFAAAAATEBAAAACjE4ODg1MjI0NDMDAAAAAzE2MAIAAAAGMTAwMDU0BAAAAAEwBwAAAAk3LzE2LzIwMThGnRkRNQnWCGhgZxI1CdYIOkNJUS5PVENQSzpNQlZYLklRX1JFVkVOVUVfRVNULkNZMjAyMS43LzE2LzIwMTguQ09OLkYuVVNELkgB</t>
  </si>
  <si>
    <t>AAAA2ESLAgMAAAAAAN6nfhA1CdYImBJZEjUJ1ghDQ0lRLk5BU0RBUUdNOklNTVUuSVFfRUJJVERBXzNZUl9BTk5fQ0FHUi4yMDAwLjcvMzEvMjAxOC5MRlIuRi5VU0QuSAEAAAAgQwQAAwAAAAJOTQEIAAAABQAAAAExAQAAAAoxODg4NTIzMzg0AwAAAAMxNjACAAAABDQyMjIEAAAAATAHAAAACTcvMzEvMjAxOAgAAAAJMy8zMS8yMDE4CQAAAAEwnAvVOAgJ1gjUX5hvNAnWCDZDSVEuTkFTREFRR1M6TksuSVFfRUJJVERBLkNZMjAxNy43LzMxLzIwMTguTEZSLkYuVVNELkgBAAAADX2hDwIAAAAHLTkzLjU1NAEIAAAABQAAAAExAQAAAAoxODc4MDEyNTk3AwAAAAMxNjACAAAABDQwNTEEAAAAATAHAAAACTcvMzEvMjAxOAgAAAAKMTIvMzEvMjAxNwkAAAABMNaMETgICdYIw4afbzQJ1gg/Q0lRLk5BU0RBUUdTOktVUkEuSVFfTkVUX1dPUktJTkdfQ0FQLjE5OTYuNy8zMS8yMDE4LkxGUi5GLlVTRC5IAQAAALjL2hACAAAABi0yLjY0MQEIAAAABQAAAAExAQAAAAoxODg3MzgyOTIyAwAAAAMxNjACAAAABDEzMTEEAAAAATAHAAAACTcvMzEvMjAxOAgAAAAJMy8zMS8yMDE3CQAAAAEw1owROAgJ1ghzJJ1vNAnWCDlDSVEuTkFTREFRQ006TVRFTS5JUV9UT1RBTF9SRVYuMjAwMC43LzMxLzIwMTguTEZSLkYuVVNELkgBAAAAmZupAQIAAAAFMS45OTIBCAAAAAUAAAABMQEAAAAKMTg4ODczMzAwNAMAAAADMTYwAgAA</t>
  </si>
  <si>
    <t>AAIyOAQAAAABMAcAAAAJNy8zMS8yMDE4CAAAAAkzLzMxLzIwMTgJAAAAATDIMLI3CAnWCBnpoW80CdYIPENJUS5OQVNEQVFHUzpKTkNFLklRX0VCSVREQV9FU1QuQ1kyMDIwLjcvMTYvMjAxOC5DT04uRi5VU0QuSAEAAADieZ4NAgAAAActMzguNDQ3AQ4AAAAFAAAAAjExAQAAAAEwAgAAAAoxMDAzNjI5MjYwAwAAAAYxMDAxODcEAAAAATIGAAAAATAHAAAAAzE2MAgAAAABMAkAAAABMQoAAAABMAsAAAALMTA4ODc0MTc0MjIMAAAAATcNAAAACTcvMTcvMjAxOBAAAAAJNy8xNi8yMDE4KRyUEDUJ1giYElkSNQnWCDtDSVEuTkFTREFRR1M6RlBSWC5JUV9QUkVGX0VRVUlUWS4yMDAwLjcvMzEvMjAxOC5MRlIuRi5VU0QuSAEAAAA3XTMAAwAAAAAA1owROAgJ1ggZ6aFvNAnWCC1DSVEuTkFTREFRQ006WklPUC5JUV9ESVZJREVORF9ZSUVMRC43LzMxLzIwMTgBAAAAs1GyAAMAAAAAANaMETgICdYIw4afbzQJ1gg4Q0lRLk5BU0RBUUNNOkNLUFQuSVFfR1JPU1NfTUFSR0lOLi43LzE2LzIwMTguTEZSLkYuVVNELkgBAAAAuFEWEQMAAAACTk0BCAAAAAUAAAABMQEAAAAKMTg4ODAwNzIyMwMAAAADMTYwAgAAAAQ0MDc0BAAAAAEwBwAAAAk3LzE2LzIwMTgIAAAACTMvMzEvMjAxOAkAAAABMCkclBA1CdYI5HRbEjUJ1ggnQ0lRLk5BU0RBUUNNOlNSTkUuSVFfQkVUQV81WVIuNy8zMS8yMDE4AQAAAElDlAMCAAAAEDIu</t>
  </si>
  <si>
    <t>MjM4NDQ2MDQ5MjkyODMA1owROAgJ1ghzJJ1vNAnWCD1DSVEuTkFTREFRR1M6TVJTTi5JUV9SRVZFTlVFX0VTVC5DWTIwMTguNy8zMS8yMDE4LkNPTi5GLlVTRC5IAQAAAObFGAACAAAABjE1LjM2OAEOAAAABQAAAAIxMQEAAAABMAIAAAAKMTAwMzgwMzI3NQMAAAAGMTAwMTgwBAAAAAEyBgAAAAEwBwAAAAMxNjAIAAAAATAJAAAAATEKAAAAATALAAAACzExMDQxNzkzMzY0DAAAAAE3DQAAAAg4LzEvMjAxOBAAAAAJNy8zMS8yMDE41owROAgJ1gjDhp9vNAnWCDhDSVEuTkFTREFRR1M6Q0FMQS5JUV9FQklUREEuQ1kyMDE2LjcvMzEvMjAxOC5MRlIuRi5VU0QuSAEAAAClJ4EGAgAAAActMzcuNzM3AQgAAAAFAAAAATEBAAAACjE4Nzc5NTU2MDEDAAAAAzE2MAIAAAAENDA1MQQAAAABMAcAAAAJNy8zMS8yMDE4CAAAAAoxMi8zMS8yMDE2CQAAAAEwyDCyNwgJ1gjdS6RvNAnWCDZDSVEuTkFTREFRR006WE5DUi5JUV9UT1RBTF9ERUJULi45LzE1LzIwMTcuTEZSLkYuVVNELkgBAAAAploLAAIAAAABMAEIAAAABQAAAAExAQAAAAoxODUyMjQyMzkwAwAAAAMxNjACAAAABDQxNzMEAAAAATAHAAAACTkvMTUvMjAxNwgAAAAJNi8zMC8yMDE3CQAAAAEwxP8bETUJ1ggS/mQSNQnWCD5DSVEuTkFTREFRR006QVJRTC5JUV9UT1RBTF9FUVVJVFkuQ1kyMDE3LjcvMzEvMjAxOC5MRlIuRi5VU0QuSAEAAAD2YQAAAgAAAAYy</t>
  </si>
  <si>
    <t>NC41MzYBCAAAAAUAAAABMQEAAAAKMTg3ODUwODY5OAMAAAADMTYwAgAAAAQxMjc1BAAAAAEwBwAAAAk3LzMxLzIwMTgIAAAACjEyLzMxLzIwMTcJAAAAATDWjBE4CAnWCHMknW80CdYIPUNJUS5OQVNEQVFHUzpTR0VOLklRX1JFVkVOVUVfRVNULkNZMjAxOC43LzE2LzIwMTguQ09OLkYuVVNELkgBAAAAYYUAAAIAAAAJNTk2Ljc4ODg4AQ4AAAAFAAAAAjExAQAAAAEwAgAAAAoxMDAwMTI0NzI2AwAAAAYxMDAxODAEAAAAATIGAAAAATAHAAAAAzE2MAgAAAABMAkAAAABMQoAAAABMAsAAAALMTA5Njc2NDE1NzAMAAAAATcNAAAACTcvMTcvMjAxOBAAAAAJNy8xNi8yMDE4xP8bETUJ1ghoYGcSNQnWCEdDSVEuTkFTREFRR1M6R1RIWC5JUV9NSU5PUklUWV9JTlRFUkVTVF9UT1RBTC4yMDAwLjcvMzEvMjAxOC5MRlIuRi5VU0QuSAEAAABlNGkIAwAAAAAAnAvVOAgJ1ggkwppvNAnWCDZDSVEuTkFTREFRR1M6Sk5DRS5JUV9UT1RBTF9ERUJULi43LzE2LzIwMTguTEZSLkYuVVNELkgBAAAA4nmeDQIAAAABMAEIAAAABQAAAAExAQAAAAoxODg4MTg2Mzc0AwAAAAMxNjACAAAABDQxNzMEAAAAATAHAAAACTcvMTYvMjAxOAgAAAAJMy8zMS8yMDE4CQAAAAEwKRyUEDUJ1gjkdFsSNQnWCCdDSVEuTkFTREFRR1M6TksuSVFfQlVTSU5FU1NfREVTQ1JJUFRJT04BAAAADX2hDwMAAADiCE5hbnRLd2VzdCwgSW5jLiwgYSBj</t>
  </si>
  <si>
    <t>bGluaWNhbC1zdGFnZSBpbW11bm90aGVyYXB5IGJpb3RlY2hub2xvZ3kgY29tcGFueSwgZGV2ZWxvcHMgaW1tdW5vdGhlcmFwZXV0aWMgdHJlYXRtZW50cyBmb3IgY2FuY2VyLCBpbmZlY3Rpb3VzIGRpc2Vhc2VzLCBhbmQgaW5mbGFtbWF0b3J5IGRpc2Vhc2VzIGluIHRoZSBVbml0ZWQgU3RhdGVzLiBUaGUgY29tcGFueSBkZXZlbG9wcyBhY3RpdmF0ZWQgbmF0dXJhbCBraWxsZXIgY2VsbCwgYSBuYXR1cmFsIGtpbGxlciBjZWxsLWxpbmUgYW5kIGdlbmV0aWNhbGx5IG1vZGlmaWVkIGRlcml2YXRpdmUgY2FwYWJsZSBvZiBraWxsaW5nIGNhbmNlciBhbmQgdmlyYWxseSBpbmZlY3RlZCBjZWxsczsgYW5kIE5BTlQgY2FuY2VyIHZhY2NpbmUsIGEgcGVyc29uYWxpemVkIHRoZXJhcHkgdGhhdCB1dGlsaXplcyBpdHMgb2ZmLXRoZS1zaGVsZiBuYXR1cmFsIGtpbGxlciBjZWxscy4gSXQgaXMgYWxzbyBkZXZlbG9waW5nIGhpZ2gtYWZmaW5pdHkgbmF0dXJhbCBraWxsZXIgcHJvZHVjdCBjYW5kaWRhdGVzIHByaW1hcmlseSBmb3IgdGhlIHRyZWF0bWVudCBvZiB2YXJpb3VzIGNhbmNlcnM7IGFuZCB0YXJnZXQgYWN0aXZhdGVkIG5hdHVyYWwga2lsbGVyIHByb2R1Y3QgY2FuZGlkYXRlcyB0byB0cmVhdCBoZW1hdG9sb2dpY2FsIG1hbGlnbmFuY2llcyBhbmQgc29saWQgdHVtb3JzLiBOYW50S3dlc3QsIElu</t>
  </si>
  <si>
    <t>Yy4gaGFzIGEgY28tZGV2ZWxvcG1lbnQgYWdyZWVtZW50IHdpdGggQWx0b3IgQmlvIFNjaWVuY2UgQ29ycG9yYXRpb24gdG8gY29sbGFib3JhdGUgb24gdGhlIGRldmVsb3BtZW50IG9mIHRoZXJhcGV1dGljIGFwcGxpY2F0aW9ucyBjb21iaW5pbmcgdGhlIGNvbXBhbnnigJlzIHByb3ByaWV0YXJ5IG5hdHVyYWwga2lsbGVyIGNlbGxzIHdpdGggQWx0b3IncyBBTFQtODAxIGFuZC9vciBBTFQtODAzIHByb2R1Y3RzLiBUaGUgY29tcGFueSB3YXMgZm9ybWVybHkga25vd24gYXMgQ29ua3dlc3QsIEluYy4gYW5kIGNoYW5nZWQgaXRzIG5hbWUgdG8gTmFudEt3ZXN0LCBJbmMuIGluIEp1bHkgMjAxNS4gTmFudEt3ZXN0LCBJbmMuIHdhcyBmb3VuZGVkIGluIDIwMDIgYW5kIGlzIGhlYWRxdWFydGVyZWQgaW4gU2FuIERpZWdvLCBDYWxpZm9ybmlhLgDWjBE4CAnWCEVr+oE0CdYIOENJUS5OQVNEQVFHUzpDVE1YLklRX1RPVEFMX0VRVUlUWS4uNy8xNi8yMDE4LkxGUi5GLlVTRC5IAQAAANw4mwMCAAAABjQ5LjY0NwEIAAAABQAAAAExAQAAAAoxODg3Njc1MzE2AwAAAAMxNjACAAAABDEyNzUEAAAAATAHAAAACTcvMTYvMjAxOAgAAAAJMy8zMS8yMDE4CQAAAAEwxP8bETUJ1gjCm2ISNQnWCDhDSVEuTkFTREFRR1M6QkdORS5JUV9UT1RBTF9FUVVJVFkuLjcvMTYvMjAxOC5MRlIuRi5VU0QuSAEAAADg5N0GAgAA</t>
  </si>
  <si>
    <t>AAgxMzU4LjcyMgEIAAAABQAAAAExAQAAAAoxODg3Njg4NTg4AwAAAAMxNjACAAAABDEyNzUEAAAAATAHAAAACTcvMTYvMjAxOAgAAAAJMy8zMS8yMDE4CQAAAAEwxP8bETUJ1ghoYGcSNQnWCDFDSVEuTkFTREFRQ006Q0tQVC5JUV9EQV9DRi4uNy8xNi8yMDE4LkxGUi5GLlVTRC5IAQAAALhRFhEDAAAAAAApHJQQNQnWCDDXXRI1CdYIO0NJUS5OQVNEQVFHUzpOSy5JUV9SRVZFTlVFX0VTVC5DWTIwMTkuNy8zMS8yMDE4LkNPTi5GLlVTRC5IAQAAAA19oQ8CAAAABDAuMDYBDgAAAAUAAAACMTEBAAAAATACAAAACjEwMDMxNjQ4MDYDAAAABjEwMDE4MAQAAAABMgYAAAABMAcAAAADMTYwCAAAAAEwCQAAAAExCgAAAAEwCwAAAAsxMDg5MTM1MjgwOAwAAAABNw0AAAAIOC8xLzIwMTgQAAAACTcvMzEvMjAxONaMETgICdYIw4afbzQJ1ghGQ0lRLk5BU0RBUUdTOlRTUk8uSVFfVE9UQUxfUkVWXzJZUl9BTk5fQ0FHUi4yMDAwLjcvMzEvMjAxOC5MRlIuRi5VU0QuSAEAAABo1lgGAgAAAAkxOTkxLjg3MjgBCAAAAAUAAAABMQEAAAAKMTg4NjMzNzQ2NgMAAAADMTYwAgAAAAQ0MjA3BAAAAAEwBwAAAAk3LzMxLzIwMTgIAAAACTMvMzEvMjAxOAkAAAABMJwL1TgICdYIJMKabzQJ1ggxQ0lRLklRVFIzMjE4NjUyOTcuSVFfVFJfVEFSR0VUX1JFVkVOVUVfRVNULi5VU0QuSAEAAABRRi8TAgAAAAAAWM8SDjUJ1ggMPoUO</t>
  </si>
  <si>
    <t>NQnWCDJDSVEuTkFTREFRR1M6U0dFTi5JUV9UT1RBTF9SRVYuQ1kyMDE2Li5MRlIuRi5VU0QuSAEAAABhhQAAAgAAAAc0MTguMTQ3AQgAAAAFAAAAATEBAAAACjE4NzQ2OTYxOTYDAAAAAzE2MAIAAAACMjgEAAAAATAHAAAACTgvMjMvMjAxOAgAAAAKMTIvMzEvMjAxNgkAAAABMEadGRE1CdYIRp0ZETUJ1gg0Q0lRLk5BU0RBUUdTOlNHRU4uSVFfUkVWRU5VRV9FU1QuQ1kyMDE4Li5DT04uRi5VU0QuSAEAAABhhQAAAgAAAAk2NTIuNzE1NTIBDgAAAAUAAAACMTEBAAAAATACAAAACjEwMDAxMjQ3MjYDAAAABjEwMDE4MAQAAAABMgYAAAABMAcAAAADMTYwCAAAAAEwCQAAAAExCgAAAAEwCwAAAAsxMTA1MjE1MDY1OQwAAAABNw0AAAAJOC8yNC8yMDE4EAAAAAk4LzIzLzIwMTjE/xsRNQnWCMT/GxE1CdYINENJUS5PVENQSzpOV0JPLklRX0VCSVRfTUFSR0lOLi43LzE2LzIwMTguTEZSLkYuVVNELkgBAAAAo3oUAAMAAAACTk0BCAAAAAUAAAABMQEAAAAKMTg4OTMwMjgyNAMAAAADMTYwAgAAAAQ0MDUzBAAAAAEwBwAAAAk3LzE2LzIwMTgIAAAACTMvMzEvMjAxOAkAAAABMCkclBA1CdYIczlgEjUJ1ggnQ0lRLk5BU0RBUUdNOkNSSVMuSVFfQkVUQV81WVIuNy8zMS8yMDE4AQAAABdqAAACAAAAETAuOTc5NjYwNDYwMzg4NDI4AMgwsjcICdYI3UukbzQJ1gglQ0lRLklRVFI0MjQzNDIwNDYuSVFfVFJfTUFKX01J</t>
  </si>
  <si>
    <t>Tl9TVEFLRQEAAAAe8koZAwAAAAhNYWpvcml0eQAMbRAONQnWCMDbgg41CdYIL0NJUS5JUVRSMzEyMTIyNTA0LklRX1RSX0lNUExJRURfRVZfRklOQUwuLlVTRC5IAQAAAIicmhICAAAACTYwLjA5OTg4NgBYzxIONQnWCMDbgg41CdYIJ0NJUS5OQVNEQVFHUzpDQUxBLklRX0JFVEFfMllSLjcvMTYvMjAxOAEAAAClJ4EGAgAAABAxLjc3MTk2NjE3MDE4MDU3ACkclBA1CdYI5HRbEjUJ1gghQ0lRLk5BU0RBUUdTOkNBTEEuSVFfQ09NUEFOWV9OQU1FAQAAAKUngQYDAAAAG0NhbGl0aGVyYSBCaW9zY2llbmNlcywgSW5jLgDIMLI3CAnWCB8VnQ41CdYINkNJUS5OQVNEQVFHUzpCR05FLklRX05FVF9XT1JLSU5HX0NBUC4xOTk2Li5MRlIuRi5VU0QuSAEAAADg5N0GAgAAAActMzguNjkxAQgAAAAFAAAAATEBAAAACjE4OTk5MDA2MTgDAAAAAzE2MAIAAAAEMTMxMQQAAAABMAcAAAAJOC8yMy8yMDE4CAAAAAk2LzMwLzIwMTcJAAAAATCcC9U4CAnWCJwL1TgICdYIOkNJUS5OQVNEQVFHTTpDUklTLklRX0VBUk5JTkdfQ08uMjAwMC43LzMxLzIwMTguTEZSLkYuVVNELkgBAAAAF2oAAAIAAAAHLTQ4LjMyMgEIAAAABQAAAAExAQAAAAoxODg2MjQ3NDIwAwAAAAMxNjACAAAAATcEAAAAATAHAAAACTcvMzEvMjAxOAgAAAAJMy8zMS8yMDE4CQAAAAEwyDCyNwgJ1gjdS6RvNAnWCB1DSVEuQVNYOklNVS5JUV9QRVJJT0RE</t>
  </si>
  <si>
    <t>QVRFX0lTLgEAAACYk6kABQAAAAoxMi8zMS8yMDE3ACkclBA1CdYIMNddEjUJ1gg/Q0lRLk5BU0RBUUdNOkFSUUwuSVFfTkVUX1dPUktJTkdfQ0FQLjIwMDAuNy8zMS8yMDE4LkxGUi5GLlVTRC5IAQAAAPZhAAACAAAABi02LjM1NgEIAAAABQAAAAExAQAAAAoxODg4Nzg4NzcwAwAAAAMxNjACAAAABDEzMTEEAAAAATAHAAAACTcvMzEvMjAxOAgAAAAJMy8zMS8yMDE4CQAAAAEw1owROAgJ1ghzJJ1vNAnWCCRDSVEuT1RDUEs6TUJWWC5JUV9CRVRBXzFZUi43LzE2LzIwMTgBAAAA2ESLAgIAAAARMC45MDQ0NTczNjMzMzc0MTcAIAqBEDUJ1giYElkSNQnWCENDSVEuTkFTREFRR1M6Q1RNWC5JUV9NSU5PUklUWV9JTlRFUkVTVF9UT1RBTC4uOS8xNS8yMDE3LkxGUi5GLlVTRC5IAQAAANw4mwMDAAAAAADE/xsRNQnWCMKbYhI1CdYIPENJUS5BU1g6SU1VLklRX1RPVEFMX1JFVl8yWVJfQU5OX0NBR1IuLjcvMTYvMjAxOC5MRlIuRi5VU0QuSAEAAACYk6kAAgAAAAcxOS4zMDMyAQgAAAAFAAAAATEBAAAACjE4NzczMDUzMjADAAAAATkCAAAABDQyMDcEAAAAATAHAAAACTcvMTYvMjAxOAgAAAAKMTIvMzEvMjAxNwkAAAABMCkclBA1CdYIMNddEjUJ1gg1Q0lRLk5BU0RBUUNNOlpJT1AuSVFfQ0FQRVguMTk5Mi43LzMxLzIwMTguTEZSLkYuVVNELkgBAAAAs1GyAAIAAAAGLTAuNTUyAQgAAAAFAAAAATEBAAAACjE4</t>
  </si>
  <si>
    <t>MzkzNDEwNjcDAAAAAzE2MAIAAAAEMjAyMQQAAAABMAcAAAAJNy8zMS8yMDE4CAAAAAkzLzMxLzIwMTYJAAAAATDWjBE4CAnWCMOGn280CdYIP0NJUS5OQVNEQVFHUzpNUlNOLklRX0VCSVREQV8zWVJfQU5OX0NBR1IuLjcvMTYvMjAxOC5MRlIuRi5VU0QuSAEAAADmxRgAAwAAAAAAKRyUEDUJ1ghzOWASNQnWCCtDSVEuT1RDUEs6TUJWWC5JUV9NQVJLRVRDQVAuOS8xNS8yMDE3LlVTRC5IAQAAANhEiwICAAAACDcuODAxODA4AQYAAAAFAAAAATEBAAAACjE4NTQyNjU1NjcDAAAAAzE2MAIAAAAGMTAwMDU0BAAAAAEwBwAAAAk5LzE1LzIwMTfep34QNQnWCJgSWRI1CdYIM0NJUS5OQVNEQVFHUzpGUFJYLklRX1BFUklPRERBVEVfSVMuLjcvMTYvMjAxOC5MRlIuRgEAAAA3XTMABQAAAAkzLzMxLzIwMTgAKRyUEDUJ1ghzOWASNQnWCCFDSVEuSVFUUjMyMTg2NTI5Ny5JUV9UUl9CVVlFUk5BTUUBAAAAUUYvEwMAAAARTWVyY2sgJiBDby4sIEluYy4AWM8SDjUJ1ggMPoUONQnWCCNDSVEuSVFUUjQwMzc5MTc2Ny5JUV9UUl9DTE9TRURfREFURQEAAACXXxEYBQAAAAk5LzI3LzIwMTYAWM8SDjUJ1gjA24IONQnWCDBDSVEuSVFUUjI1Mzk1NDQ3My5JUV9UUl9UQVJHRVRfRUJJVERBX0VTVC4uVVNELkgBAAAAqQkjDwIAAAAAALKzSW80CdYINZuTbzQJ1gg4Q0lRLk5BU0RBUUdTOkZQUlguSVFfRUJJVERBLkNZMjAx</t>
  </si>
  <si>
    <t>Ni43LzE2LzIwMTguTEZSLkYuVVNELkgBAAAAN10zAAIAAAAGLTk3LjQ3AQgAAAAFAAAAATEBAAAACjE4NzYxMzU5ODgDAAAAAzE2MAIAAAAENDA1MQQAAAABMAcAAAAJNy8xNi8yMDE4CAAAAAoxMi8zMS8yMDE2CQAAAAEwKRyUEDUJ1ghzOWASNQnWCDJDSVEuTkFTREFRR006QUZNRC5JUV9FQklUREEuLjcvMTYvMjAxOC5MRlIuRi5VU0QuSAEAAADb9wwAAgAAAAotMzMuODkzMDY0AQgAAAAFAAAAATEBAAAACjE4ODk4NjYwNDkDAAAAAzE2MAIAAAAENDA1MQQAAAABMAcAAAAJNy8xNi8yMDE4CAAAAAkzLzMxLzIwMTgJAAAAATApHJQQNQnWCDDXXRI1CdYIKkNJUS5JUVRSNTMzNjM5NTAxLklRX1RSX1RBUkdFVF9FQklULi5VU0QuSAEAAABNsc4fAgAAAActMjMuNjA2AQYAAAAFAAAAAjM3AQAAAAoxODUzOTQ3OTE2AgAAAAUyMTY3NQMAAAADMTYwBAAAAAEwBwAAAAgxLzEvMTkwMAxtEA41CdYIwNuCDjUJ1gg1Q0lRLk9UQ1BLOk5XQk8uSVFfR1JPU1NfTUFSR0lOLi43LzE2LzIwMTguTEZSLkYuVVNELkgBAAAAo3oUAAMAAAACTk0BCAAAAAUAAAABMQEAAAAKMTg4OTMwMjgyNAMAAAADMTYwAgAAAAQ0MDc0BAAAAAEwBwAAAAk3LzE2LzIwMTgIAAAACTMvMzEvMjAxOAkAAAABMCkclBA1CdYIczlgEjUJ1gggQ0lRLklRNDI2ODE1NjAuSVFfQ09NUEFOWV9USUNLRVIBAAAA2ESLAgMAAAAKT1RDUEs6TUJW</t>
  </si>
  <si>
    <t>WAAMbRAONQnWCB8VnQ41CdYIPUNJUS5OQVNEQVFDTTpaSU9QLklRX1JFVkVOVUVfRVNULkNZMjAxOC43LzMxLzIwMTguQ09OLkYuVVNELkgBAAAAs1GyAAIAAAAFNC45NTkBDgAAAAUAAAACMTEBAAAAATACAAAACjEwMDA3Njg4MjQDAAAABjEwMDE4MAQAAAABMgYAAAABMAcAAAADMTYwCAAAAAEwCQAAAAExCgAAAAEwCwAAAAsxMDkzMTUzMzk0NAwAAAABNw0AAAAIOC8xLzIwMTgQAAAACTcvMzEvMjAxONaMETgICdYIw4afbzQJ1gg1Q0lRLk5BU0RBUUdTOkVQWk0uSVFfQ0FQRVguMTk5Ni43LzMxLzIwMTguTEZSLkYuVVNELkgBAAAAAyY9AwIAAAAGLTAuNjcyAQgAAAAFAAAAATEBAAAACjE4ODcyNDYwNDkDAAAAAzE2MAIAAAAEMjAyMQQAAAABMAcAAAAJNy8zMS8yMDE4CAAAAAkzLzMxLzIwMTcJAAAAATDWjBE4CAnWCHMknW80CdYIPkNJUS5OQVNEQVFHUzpKTkNFLklRX1RPVEFMX0VRVUlUWS5DWTIwMTcuNy8xNi8yMDE4LkxGUi5GLlVTRC5IAQAAAOJ5ng0CAAAABzE2Ny4xMDkBCAAAAAUAAAABMQEAAAAKMTg3NzcxNjYxMwMAAAADMTYwAgAAAAQxMjc1BAAAAAEwBwAAAAk3LzE2LzIwMTgIAAAACjEyLzMxLzIwMTcJAAAAATDep34QNQnWCJgSWRI1CdYILkNJUS5JUVRSNDIyODg3NzAxLklRX1RSX1RBUkdFVF9TVE9DS1BSRU1JVU1fMVcBAAAAFcE0GQIAAAAAAAxtEA41CdYIwNuCDjUJ1gg6Q0lR</t>
  </si>
  <si>
    <t>Lk5BU0RBUUdNOkNSSVMuSVFfVE9UQUxfREVCVC4yMDAwLjcvMzEvMjAxOC5MRlIuRi5VU0QuSAEAAAAXagAAAgAAAAYzOS43NDkBCAAAAAUAAAABMQEAAAAKMTg4NjI0NzQyMAMAAAADMTYwAgAAAAQ0MTczBAAAAAEwBwAAAAk3LzMxLzIwMTgIAAAACTMvMzEvMjAxOAkAAAABMMgwsjcICdYI3UukbzQJ1ggrQ0lRLk5BU0RBUUdTOkJHTkUuSVFfTEFTVFNBTEVQUklDRS41LzUvMjAxNwEAAADg5N0GAgAAAAQzOS4zAJwL1TgICdYIgf2VbzQJ1ggjQ0lRLkFTWDpJTVUuSVFfQlVTSU5FU1NfREVTQ1JJUFRJT04BAAAAmJOpAAMAAACEB0ltdWdlbmUgTGltaXRlZCwgYW4gaW1tdW5vLW9uY29sb2d5IGJpb3BoYXJtYWNldXRpY2FsIGNvbXBhbnksIGVuZ2FnZXMgaW4gZGV2ZWxvcGluZyBIRVIyICt2ZSBnYXN0cmljIGFuZCBicmVhc3QgY2FuY2VyIGltbXVub3RoZXJhcGllcyBpbiBBdXN0cmFsaWEuIEl0cyBsZWFkIHByb2R1Y3QgaXMgSEVSLVZheHgsIGEgcHJvcHJpZXRhcnkgSEVSMiArdmUgY2FuY2VyIHZhY2NpbmUgdGhhdCBzdGltdWxhdGVzIGEgcG9seWNsb25hbCBhbnRpYm9keSByZXNwb25zZSB0byBIRVIyL25ldS4gVGhlIGNvbXBhbnnigJlzIEhFUi1WYXh4IGlzIGEgY2FuY2VyIGltbXVub3RoZXJhcHkgZGVzaWduZWQgdG8gdHJlYXQgdHVtb3JzIHRoYXQgb3Zlci1leHByZXNzIHRoZSBIRVIt</t>
  </si>
  <si>
    <t>Mi9uZXUgcmVjZXB0b3IsIHN1Y2ggYXMgZ2FzdHJpYywgYnJlYXN0LCBvdmFyaWFuLCBsdW5nLCBhbmQgcGFuY3JlYXRpYyBjYW5jZXJzLiBJdHMgSEVSLVZheHggaGFzIGNvbXBsZXRlZCBhIFBoYXNlIEkgc3R1ZHkgdG8gdHJlYXQgYnJlYXN0IGNhbmNlciwgYXMgd2VsbCBhcyBpbiBQaGFzZSBJYi9JSSBzdHVkeSBmb3IgZ2FzdHJpYyBjYW5jZXIuIFRoZSBjb21wYW55IGlzIGFsc28gZGV2ZWxvcGluZyBtaW1vdG9wZS1iYXNlZCBpbW11bm90aGVyYXBpZXMgYWdhaW5zdCB2YWxpZGF0ZWQgYW5kIG90aGVyIG9uY29sb2d5IHRhcmdldHMuIEl0IGhhcyBhbiBhZ3JlZW1lbnQgd2l0aCB0aGUgQmFrZXIgSURJIEhlYXJ0ICYgRGlhYmV0ZXMgSW5zdGl0dXRlIHRvIHJlc2VhcmNoLCBkZXZlbG9wLCBhbmQgY29tbWVyY2lhbGl6ZSBhIHBvcnRmb2xpbyBvZiBzbWFsbCBtb2xlY3VsZSBhcmdpbmluZSBtb2R1bGF0b3JzIGZvciBvbmNvbG9neS4gVGhlIGNvbXBhbnkgaXMgYmFzZWQgaW4gQ2FybHRvbiwgQXVzdHJhbGlhLgApHJQQNQnWCDDXXRI1CdYIPENJUS5OQVNEQVFHTTpMUFRYLklRX0VCSVREQV9FU1QuQ1kyMDE4LjcvMTYvMjAxOC5DT04uRi5VU0QuSAEAAAAMNgkHAwAAAAAAKRyUEDUJ1ggw110SNQnWCC5DSVEuTkFTREFRR1M6VFNSTy5JUV9NQVJLRVRDQVAuNy8zMS8yMDE4LlVTRC5IAQAAAGjW</t>
  </si>
  <si>
    <t>WAYCAAAACzE5MDkuNTA0Njk5AQYAAAAFAAAAATEBAAAACjE4ODYzMzY1NzkDAAAAAzE2MAIAAAAGMTAwMDU0BAAAAAEwBwAAAAk3LzMxLzIwMTicC9U4CAnWCCTCmm80CdYIPkNJUS5OQVNEQVFHUzpGUFJYLklRX1RPVEFMX0VRVUlUWS5DWTIwMTYuNy8xNi8yMDE4LkxGUi5GLlVTRC5IAQAAADddMwACAAAABzM5MS41NzUBCAAAAAUAAAABMQEAAAAKMTg3NjEzNTk4OAMAAAADMTYwAgAAAAQxMjc1BAAAAAEwBwAAAAk3LzE2LzIwMTgIAAAACjEyLzMxLzIwMTYJAAAAATApHJQQNQnWCHM5YBI1CdYIL0NJUS5JUVRSMzIxODY1Mjk3LklRX1RSX1RBUkdFVF9UT1RBTF9SRVYuLlVTRC5IAQAAAFFGLxMCAAAAAABYzxIONQnWCAw+hQ41CdYILUNJUS5OQVNEQVFHTTpGQVRFLklRX01BUktFVENBUC41LzUvMjAxNy5VU0QuSAEAAABoMVcCAgAAAAoxNzkuNjE3NDM2AQYAAAAFAAAAATEBAAAACjE4MzIxNjc4OTQDAAAAAzE2MAIAAAAGMTAwMDU0BAAAAAEwBwAAAAg1LzUvMjAxN9aMETgICdYIw4afbzQJ1gg1Q0lRLkFTWDpJTVUuSVFfVE9UQUxfUkVWLkNZMjAxNy43LzE2LzIwMTguTEZSLkYuVVNELkgBAAAAmJOpAAIAAAAHMC44ODE2OQEIAAAABQAAAAExAQAAAAoxODc3MzA1MzIwAwAAAAMxNjACAAAAAjI4BAAAAAEwBwAAAAk3LzE2LzIwMTgIAAAACjEyLzMxLzIwMTcJAAAAATApHJQQNQnWCDDXXRI1CdYI</t>
  </si>
  <si>
    <t>I0NJUS5JUVRSNTUxMTY2MjkyLklRX1RSX1RPVEFMX1NUT0NLAQAAAFQh2iACAAAAAAAMbRAONQnWCMDbgg41CdYIJ0NJUS5OQVNEQVFHUzpHVEhYLklRX0JFVEFfMllSLjcvMzEvMjAxOAEAAABlNGkIAgAAABAxLjA5OTcyNzU4NzA1NTYyAJwL1TgICdYIJMKabzQJ1gg0Q0lRLlhUUkE6TU9SLklRX1RPVEFMX0RFQlQuMjAwMC41LzUvMjAxNy5MRlIuRi5VU0QuSAEAAADfEQIAAgAAAAgwLjIzMzQxOQEIAAAABQAAAAExAQAAAAoxODM5OTQwNzIxAwAAAAMxNjACAAAABDQxNzMEAAAAATAHAAAACDUvNS8yMDE3CAAAAAkzLzMxLzIwMTcJAAAAATCcC9U4CAnWCNRfmG80CdYIIENJUS5JUVRSNDI0MzQyMDQ2LklRX1RSX0VBUk5PVVRTAQAAAB7yShkCAAAAAAAMbRAONQnWCMDbgg41CdYIOENJUS5OQVNEQVFHTTpBRk1ELklRX0VCSVREQS5DWTIwMTYuNy8xNi8yMDE4LkxGUi5GLlVTRC5IAQAAANv3DAACAAAACi0zMy40MzcxMzcBCAAAAAUAAAABMQEAAAAKMTg3OTE0NzY2MgMAAAADMTYwAgAAAAQ0MDUxBAAAAAEwBwAAAAk3LzE2LzIwMTgIAAAACjEyLzMxLzIwMTYJAAAAATApHJQQNQnWCDDXXRI1CdYIPENJUS5OQVNEQVFDTTpTUk5FLklRX1RPVEFMX0VRVUlUWS4xOTk2LjcvMzEvMjAxOC5MRlIuRi5VU0QuSAEAAABJQ5QDAgAAAAY2Mi4xMDYBCAAAAAUAAAABMQEAAAAKMTg4Nzk4OTgyOAMAAAADMTYw</t>
  </si>
  <si>
    <t>AgAAAAQxMjc1BAAAAAEwBwAAAAk3LzMxLzIwMTgIAAAACTMvMzEvMjAxNwkAAAABMNaMETgICdYIcySdbzQJ1gglQ0lRLk5BU0RBUUdTOktVUkEuSVFfRklSU1RQUklDSU5HREFURQEAAAC4y9oQBQAAAAk5LzE2LzIwMTUA1owROAgJ1ghzJJ1vNAnWCDVDSVEuWFRSQTpNT1IuSVFfRUFSTklOR19DTy4xOTk2LjcvMzEvMjAxOC5MRlIuRi5VU0QuSAEAAADfEQIAAgAAAAotNzIuOTQ0MjU4AQgAAAAFAAAAATEBAAAACjE4ODYxNTE2NDcDAAAAAzE2MAIAAAABNwQAAAABMAcAAAAJNy8zMS8yMDE4CAAAAAkzLzMxLzIwMTcJAAAAATCcC9U4CAnWCNRfmG80CdYIOENJUS5OQVNEQVFHUzpDVE1YLklRX0dST1NTX01BUkdJTi4uNy8xNi8yMDE4LkxGUi5GLlVTRC5IAQAAANw4mwMCAAAAAzEwMAEIAAAABQAAAAExAQAAAAoxODg3Njc1MzE2AwAAAAMxNjACAAAABDQwNzQEAAAAATAHAAAACTcvMTYvMjAxOAgAAAAJMy8zMS8yMDE4CQAAAAEwxP8bETUJ1gjCm2ISNQnWCC9DSVEuSVFUUjI1Mzk1NDQ3My5JUV9UUl9JTVBMSUVEX0VWX0ZJTkFMLi5VU0QuSAEAAACpCSMPAgAAAAAAsrNJbzQJ1gg1m5NvNAnWCDxDSVEuTkFTREFRR1M6RVBaTS5JUV9FQklUREFfRVNULkNZMjAyMC43LzMxLzIwMTguQ09OLkYuVVNELkgBAAAAAyY9AwMAAAAAANaMETgICdYIcySdbzQJ1ggwQ0lRLklRVFIzMTIxMjI1MDQuSVFfVFJf</t>
  </si>
  <si>
    <t>VEFSR0VUX0VCSVREQV9FU1QuLlVTRC5IAQAAAIicmhICAAAAAABYzxIONQnWCMDbgg41CdYIH0NJUS5OQVNEQVFHUzpCR05FLklRX1RFVi4uVVNELkgBAAAA4OTdBgIAAAALODc1MS42Mzg3ODQBBgAAAAUAAAABMQEAAAAKMTg5OTg5OTcxMwMAAAADMTYwAgAAAAYxMDAwNjAEAAAAATAHAAAACTgvMjIvMjAxOJwL1TgICdYInAvVOAgJ1gg7Q0lRLk5BU0RBUUNNOlNSTkUuSVFfRUJJVF9NQVJHSU4uMjAwMC43LzMxLzIwMTguTEZSLkYuVVNELkgBAAAASUOUAwIAAAAGMzYuMTgyAQgAAAAFAAAAATEBAAAACjE4ODc5ODk4MzEDAAAAAzE2MAIAAAAENDA1MwQAAAABMAcAAAAJNy8zMS8yMDE4CAAAAAkzLzMxLzIwMTgJAAAAATDWjBE4CAnWCHMknW80CdYILkNJUS5JUVRSNTUzNTQ4MDI1LklRX1RSX1RBUkdFVF9TVE9DS1BSRU1JVU1fMVcBAAAA+Xj+IAIAAAAHMTYxLjE5NAEGAAAABQAAAAI1NAEAAAAGMTAxMDU0AgAAAAk1NTM1NDgwMjUDAAAACTU1MzU2NDk3MQQAAAADMTYwBgAAAAVGYWxzZbKzSW80CdYIgf2VbzQJ1gg9Q0lRLk5BU0RBUUdTOkJHTkUuSVFfQ0FTSF9TVF9JTlZFU1QuMjAwMC41LzUvMjAxNy5MRlIuRi5VU0QuSAEAAADg5N0GAgAAAAczNjguMTc0AQgAAAAFAAAAATEBAAAACjE4MzI5NTA1MjMDAAAAAzE2MAIAAAAEMTAwMgQAAAABMAcAAAAINS81LzIwMTcIAAAACjEyLzMxLzIwMTYJ</t>
  </si>
  <si>
    <t>AAAAATCcC9U4CAnWCIH9lW80CdYIIUNJUS5JUVRSNDEzOTUzNjYxLklRX1RSX0JVWUVSTkFNRQEAAAB9bqwYAwAAAF5EYWluaXBwb24gU3VtaXRvbW8gUGhhcm1hIEFtZXJpY2EgSG9sZGluZ3MsIEluYy4gKG5rYTpTdW1pdG9tbyBEYWluaXBwb24gUGhhcm1hIEFtZXJpY2EsIEluYy4pALKzSW80CdYIgf2VbzQJ1gg/Q0lRLk9UQ1BLOk1CVlguSVFfVE9UQUxfUkVWXzJZUl9BTk5fQ0FHUi4uNy8xNi8yMDE4LkxGUi5GLlVTRC5IAQAAANhEiwIDAAAAAADep34QNQnWCJgSWRI1CdYIPENJUS5OQVNEQVFHUzpNUlNOLklRX0VBUk5JTkdfQ08uQ1kyMDE3LjcvMzEvMjAxOC5MRlIuRi5VU0QuSAEAAADmxRgAAgAAAActMzguNzA3AQgAAAAFAAAAATEBAAAACjE4ODA1NDczOTUDAAAAAzE2MAIAAAABNwQAAAABMAcAAAAJNy8zMS8yMDE4CAAAAAoxMi8zMS8yMDE3CQAAAAEw1owROAgJ1gjDhp9vNAnWCC5DSVEuTkFTREFRQ006QVZFTy5JUV9NQVJLRVRDQVAuOS8xNS8yMDE3LlVTRC5IAQAAAPQWHQACAAAACjQxOS45OTI3NjEBBgAAAAUAAAABMQEAAAAKMTg1MjU3MjU5NQMAAAADMTYwAgAAAAYxMDAwNTQEAAAAATAHAAAACTkvMTUvMjAxN0adGRE1CdYIczlgEjUJ1gglQ0lRLklRVFI0MDk5NTE4ODYuSVFfUFJJTUFSWV9JTkRVU1RSWQEAAACYs1wNAwAAAA1CaW90ZWNobm9sb2d5AAxtEA41CdYIwNuCDjUJ</t>
  </si>
  <si>
    <t>1ggnQ0lRLk5BU0RBUUdNOkNSVlMuSVFfQkVUQV8xWVIuNy8zMS8yMDE4AQAAAPSwphACAAAAEDEuMjUxNjE3NTMzODM2MTIA1owROAgJ1ggZ6aFvNAnWCD1DSVEuTkFTREFRR1M6QU5BQi5JUV9SRVZFTlVFX0VTVC5DWTIwMTguNy8xNi8yMDE4LkNPTi5GLlVTRC5IAQAAACFMsgECAAAAAzEuNQEOAAAABQAAAAIxMQEAAAABMAIAAAAKMTAwMzYyOTM3NAMAAAAGMTAwMTgwBAAAAAEyBgAAAAEwBwAAAAMxNjAIAAAAATAJAAAAATEKAAAAATALAAAACzEwODg3NTEzNDM3DAAAAAE3DQAAAAk3LzE3LzIwMTgQAAAACTcvMTYvMjAxOMT/GxE1CdYIwptiEjUJ1ggiQ0lRLklRVFI1NDc0MjM2ODAuSVFfVFJfVEFSR0VUTkFNRQEAAADABaEgAwAAAAxJZ255dGEsIEluYy4ADG0QDjUJ1gjA24IONQnWCCVDSVEuSVFUUjM3MTcxNTExOS5JUV9UUl9NQUpfTUlOX1NUQUtFAQAAAC/sJxYDAAAACE1ham9yaXR5AFjPEg41CdYIwNuCDjUJ1gggQ0lRLlhUUkE6TU9SLklRX0ZJUlNUUFJJQ0lOR0RBVEUBAAAA3xECAAUAAAAINi83LzE5OTkAnAvVOAgJ1gjUX5hvNAnWCCNDSVEuTkFTREFRR1M6QURYUy5JUV9QRVJJT0REQVRFX0lTLgEAAACe7HgABQAAAAk0LzMwLzIwMTgAKRyUEDUJ1gjkdFsSNQnWCChDSVEuTkFTREFRR1M6VFNSTy5JUV9URVYuNy8xNi8yMDE4LlVTRC5IAQAAAGjWWAYCAAAACzIxNjQuNTMyNDc5AQYA</t>
  </si>
  <si>
    <t>AAAFAAAAATEBAAAACjE4ODYzMzY1NzkDAAAAAzE2MAIAAAAGMTAwMDYwBAAAAAEwBwAAAAk3LzE2LzIwMThGnRkRNQnWCBL+ZBI1CdYIK0NJUS5JUVRSNDA4NDA3ODIyLklRX1RSX0lNUExJRURfRVZfRUJJVF9GV0QBAAAADs9XGAIAAAAAALKzSW80CdYIgf2VbzQJ1ggwQ0lRLi5JUV9SRVZFTlVFX0VTVC5DWTIwMjAuNy8zMS8yMDE4LkNPTi5GLlVTRC5IBQAAAAEAAAAIAAAAFChJbnZhbGlkIElkZW50aWZpZXIp9YQyRzQJ1gj1hDJHNAnWCD5DSVEuTkFTREFRR1M6TVJTTi5JUV9DQVNIX1NUX0lOVkVTVC4yMDAwLjcvMzEvMjAxOC5MRlIuRi5VU0QuSAEAAADmxRgAAgAAAAcxMDcuOTU5AQgAAAAFAAAAATEBAAAACjE4ODkwOTY2NTMDAAAAAzE2MAIAAAAEMTAwMgQAAAABMAcAAAAJNy8zMS8yMDE4CAAAAAkzLzMxLzIwMTgJAAAAATDWjBE4CAnWCMOGn280CdYIKENJUS5OQVNEQVFHUzpUU1JPLklRX1RFVi43LzMxLzIwMTguVVNELkgBAAAAaNZYBgIAAAALMTg1MC45NDE2OTkBBgAAAAUAAAABMQEAAAAKMTg4NjMzNjU3OQMAAAADMTYwAgAAAAYxMDAwNjAEAAAAATAHAAAACTcvMzEvMjAxOJwL1TgICdYIJMKabzQJ1gglQ0lRLklRVFIyNjM3MTg2NDcuSVFfUFJJTUFSWV9JTkRVU1RSWQEAAAA+8AEAAwAAAA1CaW90ZWNobm9sb2d5ALKzSW80CdYINZuTbzQJ1gg1Q0lRLk5BU0RBUUdNOkFGTUQuSVFf</t>
  </si>
  <si>
    <t>VE9UQUxfUkVWLi43LzE2LzIwMTguTEZSLkYuVVNELkgBAAAA2/cMAAIAAAAHMi44OTAyMwEIAAAABQAAAAExAQAAAAoxODg5ODY2MDQ5AwAAAAMxNjACAAAAAjI4BAAAAAEwBwAAAAk3LzE2LzIwMTgIAAAACTMvMzEvMjAxOAkAAAABMCkclBA1CdYIMNddEjUJ1gg0Q0lRLkVOWFRQQTpJUEguSVFfUFJFRl9FUVVJVFkuLjkvMTUvMjAxNy5MRlIuRi5VU0QuSAEAAACZgAYAAwAAAAAAKRyUEDUJ1ghzOWASNQnWCDZDSVEuTkFTREFRR1M6RlBSWC5JUV9UT1RBTF9ERUJULi45LzE1LzIwMTcuTEZSLkYuVVNELkgBAAAAN10zAAIAAAABMAEIAAAABQAAAAExAQAAAAoxODUyNDc1MDcyAwAAAAMxNjACAAAABDQxNzMEAAAAATAHAAAACTkvMTUvMjAxNwgAAAAJNi8zMC8yMDE3CQAAAAEwKRyUEDUJ1ghzOWASNQnWCCNDSVEuSVFUUjU1MTE2NjI5Mi5JUV9UUl9DTE9TRURfREFURQEAAABUIdogBQAAAAgzLzkvMjAxOAAMbRAONQnWCMDbgg41CdYIM0NJUS5PVENQSzpNQlZYLklRX0VBUk5JTkdfQ08uLjcvMTYvMjAxOC5MRlIuRi5VU0QuSAEAAADYRIsCAgAAAAotMTkuMDIwNjc5AQgAAAAFAAAAATEBAAAACjE4ODEyMTMyNDUDAAAAAzE2MAIAAAABNwQAAAABMAcAAAAJNy8xNi8yMDE4CAAAAAoxMi8zMS8yMDE3CQAAAAEw3qd+EDUJ1giYElkSNQnWCDxDSVEuTkFTREFRQ006QVZFTy5JUV9FQklUREFfRVNULkNZ</t>
  </si>
  <si>
    <t>MjAxOS43LzE2LzIwMTguQ09OLkYuVVNELkgBAAAA9BYdAAIAAAAFLTU1LjUBDgAAAAUAAAACMTEBAAAAATACAAAACjEwMDA3NDgwNzgDAAAABjEwMDE4NwQAAAABMgYAAAABMAcAAAADMTYwCAAAAAEwCQAAAAExCgAAAAEwCwAAAAsxMDQ4MTA5NDI5MgwAAAABNw0AAAAJNy8xNy8yMDE4EAAAAAk3LzE2LzIwMTjE/xsRNQnWCMKbYhI1CdYIHUNJUS5OQVNEQVFDTTpNVEVNLklRX0VYQ0hBTkdFAQAAAJmbqQEDAAAACE5hc2RhcUNNAMgwsjcICdYIGemhbzQJ1gg+Q0lRLk5BU0RBUUdTOktVUkEuSVFfVE9UQUxfRVFVSVRZLkNZMjAxNy43LzMxLzIwMTguTEZSLkYuVVNELkgBAAAAuMvaEAIAAAAGNzkuODY1AQgAAAAFAAAAATEBAAAACjE4NzgwMTI0NzgDAAAAAzE2MAIAAAAEMTI3NQQAAAABMAcAAAAJNy8zMS8yMDE4CAAAAAoxMi8zMS8yMDE3CQAAAAEw1owROAgJ1ghzJJ1vNAnWCDxDSVEuKElOVkFMSUQgSURFTlRJRklFUikuSVFfQ0FQRVguMjAwMC43LzMxLzIwMTguTEZSLkYuVVNELkgFAAAAAAAAAAgAAAAUKEludmFsaWQgSWRlbnRpZmllcinIMLI3CAnWCO02sG80CdYILUNJUS5OQVNEQVFHTTpBUlFMLklRX01BUktFVENBUC41LzUvMjAxNy5VU0QuSAEAAAD2YQAAAgAAAAk3Mi41Njk1MjkBBgAAAAUAAAABMQEAAAAKMTg0MTk4MzE2MQMAAAADMTYwAgAAAAYxMDAwNTQEAAAAATAHAAAACDUvNS8y</t>
  </si>
  <si>
    <t>MDE31owROAgJ1ghzJJ1vNAnWCDtDSVEuTkFTREFRR1M6QkdORS5JUV9QUkVGX0VRVUlUWS4yMDAwLjcvMzEvMjAxOC5MRlIuRi5VU0QuSAEAAADg5N0GAwAAAAAAnAvVOAgJ1giB/ZVvNAnWCDhDSVEuRU5YVFBBOklQSC5JUV9ORVRfV09SS0lOR19DQVAuLjcvMTYvMjAxOC5MRlIuRi5VU0QuSAEAAACZgAYAAgAAAAotNjEuNDI0MTExAQgAAAAFAAAAATEBAAAACjE4ODk1NTIxNjQDAAAAAzE2MAIAAAAEMTMxMQQAAAABMAcAAAAJNy8xNi8yMDE4CAAAAAoxMi8zMS8yMDE3CQAAAAEwKRyUEDUJ1ghzOWASNQnWCDlDSVEuTkFTREFRR1M6R1RIWC5JUV9UT1RBTF9SRVYuMTk5Mi43LzMxLzIwMTguTEZSLkYuVVNELkgBAAAAZTRpCAMAAAAAAJwL1TgICdYIJMKabzQJ1ggnQ0lRLk5BU0RBUUdTOktVUkEuSVFfUEVSSU9EREFURV9JUy4xMDAwAQAAALjL2hAFAAAACjEyLzMxLzIwMTcA1owROAgJ1ghzJJ1vNAnWCDhDSVEuTkFTREFRR1M6QkdORS5JUV9HUk9TU19NQVJHSU4uLjcvMTYvMjAxOC5MRlIuRi5VU0QuSAEAAADg5N0GAgAAAAgtMjcuNTExOAEIAAAABQAAAAExAQAAAAoxODg3Njg4NTg4AwAAAAMxNjACAAAABDQwNzQEAAAAATAHAAAACTcvMTYvMjAxOAgAAAAJMy8zMS8yMDE4CQAAAAEwxP8bETUJ1ghoYGcSNQnWCDpDSVEuTkFTREFRR1M6QkdORS5JUV9UT1RBTF9ERUJULjIwMDAuNy8zMS8yMDE4</t>
  </si>
  <si>
    <t>LkxGUi5GLlVTRC5IAQAAAODk3QYCAAAABzE3My42ODEBCAAAAAUAAAABMQEAAAAKMTg4NzY4ODU4OAMAAAADMTYwAgAAAAQ0MTczBAAAAAEwBwAAAAk3LzMxLzIwMTgIAAAACTMvMzEvMjAxOAkAAAABMJwL1TgICdYIgf2VbzQJ1gg2Q0lRLk5BU0RBUUdTOkFEWFMuSVFfRUFSTklOR19DTy4uNy8xNi8yMDE4LkxGUi5GLlVTRC5IAQAAAJ7seAACAAAACi04OS43ODYyODIBCAAAAAUAAAABMQEAAAAKMTg5Mjc4ODU0OAMAAAADMTYwAgAAAAE3BAAAAAEwBwAAAAk3LzE2LzIwMTgIAAAACTQvMzAvMjAxOAkAAAABMCkclBA1CdYI5HRbEjUJ1gg/Q0lRLk5BU0RBUUdTOkZQUlguSVFfTkVUX1dPUktJTkdfQ0FQLjE5OTYuNy8zMS8yMDE4LkxGUi5GLlVTRC5IAQAAADddMwACAAAABy0xNy40NjkBCAAAAAUAAAABMQEAAAAKMTg4NzQwMjIyNAMAAAADMTYwAgAAAAQxMzExBAAAAAEwBwAAAAk3LzMxLzIwMTgIAAAACTMvMzEvMjAxNwkAAAABMNaMETgICdYIGemhbzQJ1gg1Q0lRLk5BU0RBUUdTOktVUkEuSVFfQ0FQRVguMTk5Mi43LzMxLzIwMTguTEZSLkYuVVNELkgBAAAAuMvaEAIAAAAGLTAuMDU0AQgAAAAFAAAAATEBAAAACjE4NDIyODA3MTcDAAAAAzE2MAIAAAAEMjAyMQQAAAABMAcAAAAJNy8zMS8yMDE4CAAAAAkzLzMxLzIwMTYJAAAAATDWjBE4CAnWCHMknW80CdYINUNJUS5OQVNEQVFHUzpGUFJYLklR</t>
  </si>
  <si>
    <t>X0RBX0NGLjIwMDAuNy8zMS8yMDE4LkxGUi5GLlVTRC5IAQAAADddMwACAAAABTMuMTQ5AQgAAAAFAAAAATEBAAAACjE4ODc0MDIyMjcDAAAAAzE2MAIAAAAEMjE2MAQAAAABMAcAAAAJNy8zMS8yMDE4CAAAAAkzLzMxLzIwMTgJAAAAATDIMLI3CAnWCBnpoW80CdYIOUNJUS5OQVNEQVFDTTpTUk5FLklRX1RPVEFMX0RFQlQuMjAwMC41LzUvMjAxNy5MRlIuRi5VU0QuSAEAAABJQ5QDAgAAAAY0Ny4zMTYBCAAAAAUAAAABMQEAAAAKMTgzMzU2NjU5OQMAAAADMTYwAgAAAAQ0MTczBAAAAAEwBwAAAAg1LzUvMjAxNwgAAAAKMTIvMzEvMjAxNgkAAAABMNaMETgICdYIcySdbzQJ1gg8Q0lRLk5BU0RBUUdNOkZBVEUuSVFfR1JPU1NfTUFSR0lOLjIwMDAuNy8zMS8yMDE4LkxGUi5GLlVTRC5IAQAAAGgxVwIDAAAAAk5NAQgAAAAFAAAAATEBAAAACjE4ODg1MDA1MjcDAAAAAzE2MAIAAAAENDA3NAQAAAABMAcAAAAJNy8zMS8yMDE4CAAAAAkzLzMxLzIwMTgJAAAAATDWjBE4CAnWCMOGn280CdYIH0NJUS5OQVNEQVFHUzpTR0VOLklRX1RFVi4uVVNELkgBAAAAYYUAAAIAAAAMMTE2MDEuMTIwNjU0AQYAAAAFAAAAATEBAAAACjE4OTcyMzMyNTEDAAAAAzE2MAIAAAAGMTAwMDYwBAAAAAEwBwAAAAk4LzIyLzIwMThGnRkRNQnWCEadGRE1CdYIRkNJUS4oSU5WQUxJRCBJREVOVElGSUVSKS5JUV9ORVRfV09SS0lOR19D</t>
  </si>
  <si>
    <t>QVAuMjAwMC43LzMxLzIwMTguTEZSLkYuVVNELkgFAAAAAAAAAAgAAAAUKEludmFsaWQgSWRlbnRpZmllcinIMLI3CAnWCO02sG80CdYIJUNJUS5JUVRSNTMzNjM5NTAxLklRX1RSX0lNUExJRURfRVFfQlYBAAAATbHOHwIAAAAAAAxtEA41CdYIwNuCDjUJ1ggpQ0lRLk5BU0RBUUdTOlRTUk8uSVFfQlVTSU5FU1NfREVTQ1JJUFRJT04BAAAAaNZYBgMAAAD7ClRlc2FybywgSW5jLiwgYW4gb25jb2xvZ3ktZm9jdXNlZCBiaW9waGFybWFjZXV0aWNhbCBjb21wYW55LCBpZGVudGlmaWVzLCBhY3F1aXJlcywgZGV2ZWxvcHMsIGFuZCBjb21tZXJjaWFsaXplcyBjYW5jZXIgdGhlcmFwZXV0aWNzIGFuZCBvbmNvbG9neSBzdXBwb3J0aXZlIGNhcmUgcHJvZHVjdHMgaW4gdGhlIFVuaXRlZCBTdGF0ZXMuIEl0IG9mZmVycyBaRUpVTEEgKG5pcmFwYXJpYiksIGFuIG9yYWxseSBhY3RpdmUgYW5kIHBvdGVudCBwb2x5IHBvbHltZXJhc2UgaW5oaWJpdG9yIGZvciB0aGUgbWFpbnRlbmFuY2UgdHJlYXRtZW50IG9mIHdvbWVuIHdpdGggcmVjdXJyZW50IGVwaXRoZWxpYWwgb3ZhcmlhbiwgZmFsbG9waWFuIHR1YmUsIG9yIHByaW1hcnkgcGVyaXRvbmVhbCBjYW5jZXI7IGFuZCBWQVJVQkkgKHJvbGFwaXRhbnQpLCBhIG5ldXJva2luaW4tMSwgb3IgTkstMSwgcmVjZXB0b3IgYW50YWdvbmlzdCBmb3IgdGhlIHByZXZl</t>
  </si>
  <si>
    <t>bnRpb24gb2YgY2hlbW90aGVyYXB5IGluZHVjZWQgbmF1c2VhIGFuZCB2b21pdGluZy4gVGhlIGNvbXBhbnkgYWxzbyBkZXZlbG9wcyBOaXJhcGFyaWIgZm9yIHRoZSB0cmVhdG1lbnQgb2YgdmFyaW91cyB0dW1vcnMuIEluIGFkZGl0aW9uLCBpdCBpcyBkZXZlbG9waW5nIGltbXVub3RoZXJhcHkgYW50aWJvZHkgcHJvZHVjdCBjYW5kaWRhdGVzLCBpbmNsdWRpbmcgVFNSLTA0Miwgd2hpY2ggaXMgaW4gYSBwaGFzZSBJIGNsaW5pY2FsIHRyaWFsIHRhcmdldGluZyBwcm9ncmFtbWVkIGNlbGwgZGVhdGggcHJvdGVpbiAxOyBUU1ItMDIyIHRoYXQgaXMgaW4gcGhhc2UgSSBjbGluaWNhbCB0cmlhbCB0YXJnZXRpbmcgVC1jZWxsIGltbXVub2dsb2J1bGluIGRvbWFpbiBhbmQgbXVjaW4gZG9tYWluLTM7IGFuZCBUU1ItMDMzLCBhbiBhbnRpYm9keSBjYW5kaWRhdGUsIHdoaWNoIGlzIGluIHBoYXNlIEkgY2xpbmljYWwgdHJpYWwgdGFyZ2V0aW5nIGx5bXBob2N5dGUtYWN0aXZhdGlvbiBnZW5lLTMuIFRoZSBjb21wYW55IGhhcyBjb2xsYWJvcmF0aW9uIGFuZCBleGNsdXNpdmUgbGljZW5zZSBhZ3JlZW1lbnQgd2l0aCBBbmFwdHlzQmlvLCBJbmMuLCBhcyB3ZWxsIGFzIGNvbGxhYm9yYXRpb24gYWdyZWVtZW50cyB3aXRoIEphbnNzZW4gQmlvdGVjaCwgSW5jLiwgTWlsbGVubml1bSBQaGFybWFjZXV0aWNh</t>
  </si>
  <si>
    <t>bHMsIEluYy4sIFphaSBMYWIgKFNoYW5naGFpKSBDby4sIEx0ZCwgSmlhbmdzdSBIZW5ncnVpIE1lZGljaW5lIENvLiwgTHRkLiwgTWVyY2sgU2hhcnAgJiBEb2htZSBCLlYuLCBhbmQgSmlhbmdzdSBIZW5ncnVpIE1lZGljaW5lIENvLiwgTHRkLiwgYXMgd2VsbCBhcyBHZW5lbnRlY2guIFRlc2FybywgSW5jLiB3YXMgZm91bmRlZCBpbiAyMDEwIGFuZCBpcyBoZWFkcXVhcnRlcmVkIGluIFdhbHRoYW0sIE1hc3NhY2h1c2V0dHMuAJwL1TgICdYID2WMDjUJ1ggaQ0lRLk9UQ1BLOk5XQk8uSVFfRVhDSEFOR0UBAAAAo3oUAAMAAAAFT1RDUEsAKRyUEDUJ1ghzOWASNQnWCDlDSVEuTkFTREFRR1M6QVROWC5JUV9UT1RBTF9SRVYuMjAwMC43LzMxLzIwMTguTEZSLkYuVVNELkgBAAAA3JlrAQIAAAAGNzEuMjk4AQgAAAAFAAAAATEBAAAACjE4ODg3MDI5ODIDAAAAAzE2MAIAAAACMjgEAAAAATAHAAAACTcvMzEvMjAxOAgAAAAJMy8zMS8yMDE4CQAAAAEw1owROAgJ1ggkwppvNAnWCCJDSVEuSVFUUjU0ODMzODAyMC5JUV9UUl9UT1RBTF9DQVNIAQAAAGT5riACAAAAAjEyAQYAAAAFAAAAAjU0AQAAAAYxMDEwNTYCAAAACTU0ODMzODAyMAMAAAAJNTQ4MzQwOTg1BAAAAAMxNjAGAAAABUZhbHNlDG0QDjUJ1gjA24IONQnWCDVDSVEuTkFTREFRR1M6S1VSQS5JUV9EQV9DRi4yMDAwLjcvMzEvMjAxOC5MRlIuRi5V</t>
  </si>
  <si>
    <t>U0QuSAEAAAC4y9oQAgAAAAUwLjAyNwEIAAAABQAAAAExAQAAAAoxODg3MzgyOTM3AwAAAAMxNjACAAAABDIxNjAEAAAAATAHAAAACTcvMzEvMjAxOAgAAAAJMy8zMS8yMDE4CQAAAAEw1owROAgJ1ghzJJ1vNAnWCEdDSVEuTkFTREFRR1M6QkdORS5JUV9NSU5PUklUWV9JTlRFUkVTVF9UT1RBTC4yMDAwLjcvMzEvMjAxOC5MRlIuRi5VU0QuSAEAAADg5N0GAgAAAAYxNC4zNDEBCAAAAAUAAAABMQEAAAAKMTg4NzY4ODU4OAMAAAADMTYwAgAAAAQxMzEyBAAAAAEwBwAAAAk3LzMxLzIwMTgIAAAACTMvMzEvMjAxOAkAAAABMJwL1TgICdYIgf2VbzQJ1gglQ0lRLklRVFI1NTAyNTkzOTcuSVFfVFJfSU1QTElFRF9FUV9CVgEAAADFSswgAgAAAAg5LjYxNDM1NwEGAAAABQAAAAI1NAEAAAAGMTAyMDk3AgAAAAk1NTAyNTkzOTcDAAAACTU1MDI2NDU2NAQAAAADMTYwBgAAAAVGYWxzZQxtEA41CdYId3mADjUJ1ggjQ0lRLi5JUV9UUl9UQVJHRVRfRUJJVERBX0VTVC4uVVNELkgFAAAAAAAAAAgAAAAUKEludmFsaWQgSWRlbnRpZmllcimcC9U4CAnWCHd5gA41CdYIK0NJUS5JUVRSNDA4NDA3ODIyLklRX1RSX1RPVEFMX0dST1NTX1RWLi5VU0QBAAAADs9XGAIAAAAKMTk1LjgzMTEyOQEGAAAABQAAAAI1NAEAAAAGMTAyMDg4AgAAAAk0MDg0MDc4MjIDAAAACTQwODQxMDU0MQQAAAADMTYwBgAAAAVGYWxzZbKzSW80</t>
  </si>
  <si>
    <t>CdYIgf2VbzQJ1ggpQ0lRLklRVFI1NDc0MjM2ODAuSVFfVFJfSU1QTElFRF9FUV9OSV9MVE0BAAAAwAWhIAMAAAACTk0ADG0QDjUJ1gjA24IONQnWCDxDSVEuTkFTREFRR1M6QU5BQi5JUV9FQklUREFfRVNULkNZMjAxOC43LzE2LzIwMTguQ09OLkYuVVNELkgBAAAAIUyyAQMAAAAAAMT/GxE1CdYIwptiEjUJ1ggjQ0lRLk5BU0RBUUdTOkJHTkUuSVFfUEVSSU9EREFURV9JUy4BAAAA4OTdBgUAAAAJNi8zMC8yMDE4AMT/GxE1CdYIaGBnEjUJ1gg/Q0lRLk5BU0RBUUdTOkFEWFMuSVFfRUJJVERBXzJZUl9BTk5fQ0FHUi4uNy8xNi8yMDE4LkxGUi5GLlVTRC5IAQAAAJ7seAADAAAAAk5NAQgAAAAFAAAAATEBAAAACjE4OTI3ODg1NDgDAAAAAzE2MAIAAAAENDIwOQQAAAABMAcAAAAJNy8xNi8yMDE4CAAAAAk0LzMwLzIwMTgJAAAAATApHJQQNQnWCOR0WxI1CdYIO0NJUS5OQVNEQVFHUzpTR0VOLklRX05FVF9XT1JLSU5HX0NBUC4uNy8xNi8yMDE4LkxGUi5GLlVTRC5IAQAAAGGFAAACAAAABjY2LjU5OAEIAAAABQAAAAExAQAAAAoxODg0ODkyODUyAwAAAAMxNjACAAAABDEzMTEEAAAAATAHAAAACTcvMTYvMjAxOAgAAAAJMy8zMS8yMDE4CQAAAAEwxP8bETUJ1ghoYGcSNQnWCCpDSVEuSVFUUjI1Mzk1NDQ3My5JUV9UUl9UQVJHRVRfRUJJVC4uVVNELkgBAAAAqQkjDwIAAAAAALKzSW80CdYINZuTbzQJ1ggu</t>
  </si>
  <si>
    <t>Q0lRLi5JUV9UT1RBTF9SRVYuQ1kyMDE2LjcvMzEvMjAxOC5MRlIuRi5VU0QuSAUAAAABAAAACAAAABQoSW52YWxpZCBJZGVudGlmaWVyKfWEMkc0CdYI9YQyRzQJ1ggnQ0lRLk5BU0RBUUdTOkJHTkUuSVFfQkVUQV8xWVIuNy8zMS8yMDE4AQAAAODk3QYCAAAAETAuOTQxMjUwNzU4MTEzMzUyAJwL1TgICdYIgf2VbzQJ1gg6Q0lRLk5BU0RBUUdTOkNBTEEuSVFfRUFSTklOR19DTy4yMDAwLjcvMzEvMjAxOC5MRlIuRi5VU0QuSAEAAAClJ4EGAgAAAActMzUuNDQ1AQgAAAAFAAAAATEBAAAACjE4ODc5ODAzMDUDAAAAAzE2MAIAAAABNwQAAAABMAcAAAAJNy8zMS8yMDE4CAAAAAkzLzMxLzIwMTgJAAAAATDIMLI3CAnWCN1LpG80CdYIPkNJUS5OQVNEQVFHTTpJTU1VLklRX1RPVEFMX0VRVUlUWS5DWTIwMTcuNy8xNi8yMDE4LkxGUi5GLlVTRC5IAQAAACBDBAACAAAACTE2LjQ0OTE4NwEIAAAABQAAAAExAQAAAAoxODczNDkzNTI4AwAAAAMxNjACAAAABDEyNzUEAAAAATAHAAAACTcvMTYvMjAxOAgAAAAKMTIvMzEvMjAxNwkAAAABMMT/GxE1CdYIEv5kEjUJ1gg8Q0lRLk5BU0RBUUdTOkZQUlguSVFfRUJJVERBX0VTVC5DWTIwMjAuNy8xNi8yMDE4LkNPTi5GLlVTRC5IAQAAADddMwACAAAACC0yNTcuNjQ5AQ4AAAAFAAAAAjExAQAAAAEwAgAAAAoxMDAxOTU2MzU0AwAAAAYxMDAxODcEAAAAATIGAAAAATAH</t>
  </si>
  <si>
    <t>AAAAAzE2MAgAAAABMAkAAAABMQoAAAABMAsAAAALMTA5Mjc5ODA0MDMMAAAAATcNAAAACTcvMTcvMjAxOBAAAAAJNy8xNi8yMDE4KRyUEDUJ1ghzOWASNQnWCCJDSVEuSVFUUjQwODQwNzgyMi5JUV9UUl9QQ1RfU09VR0hUAQAAAA7PVxgCAAAAAzEwMAEGAAAABQAAAAI1NAEAAAAGMTAxMDI0AgAAAAk0MDg0MDc4MjIDAAAACTQwODQxMDU0MQQAAAADMTYwBgAAAARUcnVlsrNJbzQJ1giB/ZVvNAnWCB5DSVEuT1RDUEs6TUJWWC5JUV9DT01QQU5ZX05BTUUBAAAA2ESLAgMAAAAiTWFiVmF4IFRoZXJhcGV1dGljcyBIb2xkaW5ncywgSW5jLgDep34QNQnWCJgSWRI1CdYIPkNJUS5OQVNEQVFHTTpBUlJZLklRX0NBU0hfU1RfSU5WRVNULjIwMDAuNy8zMS8yMDE4LkxGUi5GLlVTRC5IAQAAAPhhAAACAAAABjQzOC40MQEIAAAABQAAAAExAQAAAAoxODg4NDcwNjc2AwAAAAMxNjACAAAABDEwMDIEAAAAATAHAAAACTcvMzEvMjAxOAgAAAAJMy8zMS8yMDE4CQAAAAEwnAvVOAgJ1gjUX5hvNAnWCDlDSVEuTkFTREFRQ006Q0tQVC5JUV9FQklUREFfTUFSR0lOLi43LzE2LzIwMTguTEZSLkYuVVNELkgBAAAAuFEWEQMAAAAAACkclBA1CdYI5HRbEjUJ1gguQ0lRLklRVFI1NDgzMzgwMjAuSVFfVFJfVEFSR0VUX1NUT0NLUFJFTUlVTV8xTQEAAABk+a4gAgAAAAAADG0QDjUJ1gjA24IONQnWCD5DSVEuTkFTREFRR006</t>
  </si>
  <si>
    <t>Q1JJUy5JUV9UT1RBTF9FUVVJVFkuQ1kyMDE2LjcvMzEvMjAxOC5MRlIuRi5VU0QuSAEAAAAXagAAAgAAAAYyOS4yNjYBCAAAAAUAAAABMQEAAAAKMTg3ODAxMTY1NAMAAAADMTYwAgAAAAQxMjc1BAAAAAEwBwAAAAk3LzMxLzIwMTgIAAAACjEyLzMxLzIwMTYJAAAAATDIMLI3CAnWCN1LpG80CdYIIkNJUS5JUVRSNTQ3NDIzNjgwLklRX1RSX1RPVEFMX0NBU0gBAAAAwAWhIAIAAAAKMTgzMS4xNTM3NwEGAAAABQAAAAI1NAEAAAAGMTAxMDU2AgAAAAk1NDc0MjM2ODADAAAACTU0NzQzMzA2NQQAAAADMTYwBgAAAAVGYWxzZQxtEA41CdYIwNuCDjUJ1gg8Q0lRLk5BU0RBUUdNOk5MTksuSVFfRUJJVERBX0VTVC5DWTIwMTkuNy8xNi8yMDE4LkNPTi5GLlVTRC5IAQAAAJV7jAACAAAACS03MS4wMzA5MwEOAAAABQAAAAIxMQEAAAABMAIAAAAKMTAwMTQyNTA5MgMAAAAGMTAwMTg3BAAAAAEyBgAAAAEwBwAAAAMxNjAIAAAAATAJAAAAATEKAAAAATALAAAACzEwODY0Mjk5Nzk4DAAAAAE3DQAAAAk3LzE3LzIwMTgQAAAACTcvMTYvMjAxOCkclBA1CdYI5HRbEjUJ1gg4Q0lRLk5BU0RBUUdTOlBCWUkuSVFfRUJJVERBLkNZMjAxNy43LzE2LzIwMTguTEZSLkYuVVNELkgBAAAAAmqsBwIAAAAILTI4OS41NzkBCAAAAAUAAAABMQEAAAAKMTg3ODA2MzM0NAMAAAADMTYwAgAAAAQ0MDUxBAAAAAEwBwAAAAk3LzE2LzIw</t>
  </si>
  <si>
    <t>MTgIAAAACjEyLzMxLzIwMTcJAAAAATDE/xsRNQnWCBL+ZBI1CdYIP0NJUS5OQVNEQVFHTTpBRk1ELklRX0VCSVREQV81WVJfQU5OX0NBR1IuLjcvMTYvMjAxOC5MRlIuRi5VU0QuSAEAAADb9wwAAwAAAAAAKRyUEDUJ1ggw110SNQnWCCZDSVEuT1RDUEs6TUJWWC5JUV9CVVNJTkVTU19ERVNDUklQVElPTgEAAADYRIsCAwAAAOMMTWFiVmF4IFRoZXJhcGV1dGljcyBIb2xkaW5ncywgSW5jLiwgYSBjbGluaWNhbCBzdGFnZSBiaW9waGFybWFjZXV0aWNhbCBjb21wYW55LCBkaXNjb3ZlcnMsIGRldmVsb3BzLCBhbmQgY29tbWVyY2lhbGl6ZXMgcHJvcHJpZXRhcnkgaHVtYW4gbW9ub2Nsb25hbCBhbnRpYm9keSBwcm9kdWN0cyBhbmQgdmFjY2luZXMgZm9yIHRoZSB0cmVhdG1lbnQgb2YgdmFyaW91cyBjYW5jZXJzLiBUaGUgY29tcGFueSBoYXMgYSBwaXBlbGluZSBvZiBodW1hbiBtb25vY2xvbmFsIGFudGlib2R5IHByb2R1Y3RzIGJhc2VkIG9uIHRoZSBwcm90ZWN0aXZlIGltbXVuZSByZXNwb25zZXMgZ2VuZXJhdGVkIGJ5IHBhdGllbnRzIHdobyBoYXZlIGJlZW4gaW1tdW5pemVkIGFnYWluc3QgdGFyZ2V0ZWQgY2FuY2Vycy4gSXRzIGxlYWQgY2FuY2VyIHZhY2NpbmVzIHRhcmdldGluZyByZWN1cnJlbnQgc2FyY29tYSBhbmQgb3ZhcmlhbiBjYW5jZXIgYXJlIGluIHByb29mIG9mIGNvbmNlcHQgUGhh</t>
  </si>
  <si>
    <t>c2UgSUkgbXVsdGktY2VudGVyIGNsaW5pY2FsIHRyaWFscy4gVGhlIGNvbXBhbnnigJlzIHByb2R1Y3QgY2FuZGlkYXRlcyBpbmNsdWRlIE1WVC01ODczLCBhIHRoZXJhcGV1dGljIGFudGlib2R5IHRoYXQgaXMgaW4gUGhhc2UgSSBjbGluaWNhbCB0cmlhbCBmb3IgcGF0aWVudHMgd2l0aCBhZHZhbmNlZCBvciBtZXRhc3RhdGljIGFkZW5vY2FyY2lub21hIG9mIHRoZSBwYW5jcmVhcyAoUERBQykgYW5kIG90aGVyIENBMTktOSBwb3NpdGl2ZSBtYWxpZ25hbmNpZXM7IGFuZCBNVlQtMjE2MywgYW4gaW1tdW5vLXBvc2l0cm9uIGVtaXNzaW9uIHRvbW9ncmFwaHkgKFBFVCkgaW1hZ2luZyBhZ2VudCwgd2hpY2ggaXMgaW4gUGhhc2UgSSBjbGluaWNhbCB0cmlhbCBkZXNpZ25lZCB0byBldmFsdWF0ZSBhIG5leHQgZ2VuZXJhdGlvbiBkaWFnbm9zdGljIFBFVCBpbWFnaW5nIGFnZW50IGluIHBhdGllbnRzIHdpdGggUERBQyBvciBvdGhlciBDQTE5LTkgcG9zaXRpdmUgbWFsaWduYW5jaWVzLiBJdHMgcHJvZHVjdCBjYW5kaWRhdGVzIGFsc28gY29tcHJpc2UgTVZULTEwNzUsIGEgcmFkaW9pbW11bm90aGVyYXB5IGFnZW50IHRoYXQgY29tYmluZXMgdGhlIGNvbXBhbnnigJlzIEh1TWFiLTVCMSBhbnRpYm9keSB3aXRoIHRoZSByYWRpb3BoYXJtYWNldXRpY2FsICgxNzcpIEx1dGV0aXVtIHRvIHRyZWF0IHBh</t>
  </si>
  <si>
    <t>bmNyZWF0aWMgY2FuY2VyLiBUaGUgY29tcGFueSBoYXMgdmFyaW91cyByZXNlYXJjaCBhZ3JlZW1lbnRzIGFuZCBjb2xsYWJvcmF0aW9ucyB3aXRoIE1lbW9yaWFsIFNsb2FuIEtldHRlcmluZyBDYW5jZXIgQ2VudGVyOyBhIGxpY2Vuc2luZyBhZ3JlZW1lbnQgd2l0aCBMaWZlIFRlY2hub2xvZ2llcyBDb3Jwb3JhdGlvbjsgYSByZXNlYXJjaCBjb2xsYWJvcmF0aW9uIGFncmVlbWVudCB3aXRoIFJvY2tlZmVsbGVyIFVuaXZlcnNpdHkncyBMYWJvcmF0b3J5IG9mIE1vbGVjdWxhciBHZW5ldGljcyBhbmQgSW1tdW5vbG9neTsgYW5kIGEgZGV2ZWxvcG1lbnQgYW5kIG1hbnVmYWN0dXJpbmcgc2VydmljZXMgYWdyZWVtZW50IHdpdGggUGF0aGVvbi4gTWFiVmF4IFRoZXJhcGV1dGljcyBIb2xkaW5ncywgSW5jLiB3YXMgZm91bmRlZCBpbiAyMDA2IGFuZCBpcyBiYXNlZCBpbiBTYW4gRGllZ28sIENhbGlmb3JuaWEuAN6nfhA1CdYImBJZEjUJ1ghCQ0lRLk5BU0RBUUdNOkFGTUQuSVFfVE9UQUxfUkVWXzNZUl9BTk5fQ0FHUi4uNy8xNi8yMDE4LkxGUi5GLlVTRC5IAQAAANv3DAACAAAACC0yNS44ODczAQgAAAAFAAAAATEBAAAACjE4ODk4NjYwNDkDAAAAAjUwAgAAAAQ0MjIwBAAAAAEwBwAAAAk3LzE2LzIwMTgIAAAACTMvMzEvMjAxOAkAAAABMCkclBA1CdYIMNddEjUJ1gg8Q0lRLk5BU0RBUUdNOkxQVFgu</t>
  </si>
  <si>
    <t>SVFfRUFSTklOR19DTy5DWTIwMTYuNy8xNi8yMDE4LkxGUi5GLlVTRC5IAQAAAAw2CQcCAAAABy0yNS42MzIBCAAAAAUAAAABMQEAAAAKMTg3NTU1OTkzOQMAAAADMTYwAgAAAAE3BAAAAAEwBwAAAAk3LzE2LzIwMTgIAAAACjEyLzMxLzIwMTYJAAAAATApHJQQNQnWCDDXXRI1CdYILENJUS5BU1g6SU1VLklRX0VCSVREQS4uNy8xNi8yMDE4LkxGUi5GLlVTRC5IAQAAAJiTqQACAAAACS0yLjA2NjYyNAEIAAAABQAAAAExAQAAAAoxODc3MzA1MzIwAwAAAAMxNjACAAAABDQwNTEEAAAAATAHAAAACTcvMTYvMjAxOAgAAAAKMTIvMzEvMjAxNwkAAAABMCkclBA1CdYIMNddEjUJ1ggiQ0lRLklRVFIzMTQ4MjkyMzYuSVFfVFJfVEFSR0VUTkFNRQEAAAC06cMSAwAAABdBZG11bmUgVGhlcmFwZXV0aWNzIExMQwBYzxIONQnWCMDbgg41CdYIOENJUS5OQVNEQVFHTTpMUFRYLklRX0dST1NTX01BUkdJTi4uNy8xNi8yMDE4LkxGUi5GLlVTRC5IAQAAAAw2CQcDAAAAAAApHJQQNQnWCDDXXRI1CdYIL0NJUS5JUVRSMzE0ODI5MjM2LklRX1RSX1RBUkdFVF9UT1RBTF9SRVYuLlVTRC5IAQAAALTpwxICAAAAAABYzxIONQnWCMDbgg41CdYILkNJUS5JUVRSMzIxODY1Mjk3LklRX1RSX1RBUkdFVF9TVE9DS1BSRU1JVU1fMU0BAAAAUUYvEwIAAAAAAFjPEg41CdYIDD6FDjUJ1ggrQ0lRLklRVFIzMDc4NjM5ODQuSVFfVFJf</t>
  </si>
  <si>
    <t>VE9UQUxfR1JPU1NfVFYuLlVTRAEAAACwoVkSAgAAAAM2MDUBBgAAAAUAAAACNTQBAAAABjEwMjA4OAIAAAAJMzA3ODYzOTg0AwAAAAkzMDc4NjQyODAEAAAAAzE2MAYAAAAFRmFsc2VYzxIONQnWCMDbgg41CdYIPENJUS5OQVNEQVFHUzpTR0VOLklRX0VCSVREQV9FU1QuQ1kyMDIwLjcvMTYvMjAxOC5DT04uRi5VU0QuSAEAAABhhQAAAgAAAActMTguMDg1AQ4AAAAFAAAAAjExAQAAAAEwAgAAAAoxMDAwMTI0NzI4AwAAAAYxMDAxODcEAAAAATIGAAAAATAHAAAAAzE2MAgAAAABMAkAAAABMQoAAAABMAsAAAALMTA4NTE0ODUwNjEMAAAAATcNAAAACTcvMTcvMjAxOBAAAAAJNy8xNi8yMDE4xP8bETUJ1ghoYGcSNQnWCD1DSVEuTkFTREFRR006QVJSWS5JUV9DQVNIX1NUX0lOVkVTVC4yMDAwLjUvNS8yMDE3LkxGUi5GLlVTRC5IAQAAAPhhAAACAAAABzIxMy45MzIBCAAAAAUAAAABMQEAAAAKMTgyNjgzODI1NgMAAAADMTYwAgAAAAQxMDAyBAAAAAEwBwAAAAg1LzUvMjAxNwgAAAAKMTIvMzEvMjAxNgkAAAABMJwL1TgICdYIJMKabzQJ1gglQ0lRLklRVFIyNDU4MzEwMDcuSVFfVFJfTUFKX01JTl9TVEFLRQEAAABfFacOAwAAAAhNYWpvcml0eQCys0lvNAnWCIH9lW80CdYIJ0NJUS5OQVNEQVFHUzpDVE1YLklRX0JFVEFfMVlSLjcvMTYvMjAxOAEAAADcOJsDAgAAABEwLjQ5ODc0NzU0MDQyNDQ2OADE/xsR</t>
  </si>
  <si>
    <t>NQnWCMKbYhI1CdYIOENJUS5OQVNEQVFHTTpYTkNSLklRX0dST1NTX01BUkdJTi4uNy8xNi8yMDE4LkxGUi5GLlVTRC5IAQAAAKZaCwACAAAACS0xNTcuMDg5MQEIAAAABQAAAAExAQAAAAoxODg3MTI1ODU1AwAAAAMxNjACAAAABDQwNzQEAAAAATAHAAAACTcvMTYvMjAxOAgAAAAJMy8zMS8yMDE4CQAAAAEwxP8bETUJ1ggS/mQSNQnWCClDSVEuTkFTREFRR1M6QU5BQi5JUV9CVVNJTkVTU19ERVNDUklQVElPTgEAAAAhTLIBAwAAAI8KQW5hcHR5c0JpbywgSW5jLiwgYSBjbGluaWNhbCBzdGFnZSBiaW90ZWNobm9sb2d5IGNvbXBhbnksIGVuZ2FnZXMgaW4gZGV2ZWxvcGluZyBhbnRpYm9keSBwcm9kdWN0IGNhbmRpZGF0ZXMgZm9jdXNlZCBvbiB1bm1ldCBtZWRpY2FsIG5lZWRzIGluIGluZmxhbW1hdGlvbi4gVGhlIGNvbXBhbnnigJlzIHByb3ByaWV0YXJ5IGFudGktaW5mbGFtbWF0b3J5IHBpcGVsaW5lIGluY2x1ZGVzIEFOQjAyMCwgYW4gYW50aS1pbnRlcmxldWtpbi0zMyBhbnRpYm9keSBmb3IgdGhlIHRyZWF0bWVudCBvZiBtb2RlcmF0ZS10by1zZXZlcmUgYWR1bHQgYXRvcGljIGRlcm1hdGl0aXMsIHNldmVyZSBhZHVsdCBwZWFudXQgYWxsZXJneSwgYW5kIHNldmVyZSBhZHVsdCBlb3Npbm9waGlsaWMgYXN0aG1hOyBBTkIwMTksIGFuIGFudGktaW50ZXJsZXVraW4tMzZSIGFudGlib2R5IGZv</t>
  </si>
  <si>
    <t>ciB0aGUgdHJlYXRtZW50IG9mIHJhcmUgaW5mbGFtbWF0b3J5IGRpc2Vhc2VzLCBpbmNsdWRpbmcgZ2VuZXJhbGl6ZWQgcHVzdHVsYXIgcHNvcmlhc2lzIGFuZCBwYWxtby1wbGFudGFyIHB1c3R1bGFyIHBzb3JpYXNpczsgYW5kIGEgcG9ydGZvbGlvIG9mIGNoZWNrcG9pbnQgcmVjZXB0b3IgYWdvbmlzdCBhbnRpYm9kaWVzIGZvciB0aGUgdHJlYXRtZW50IG9mIGNlcnRhaW4gYXV0b2ltbXVuZSBkaXNlYXNlcy4gSXQgYWxzbyBoYXMgYW4gaW1tdW5vLW9uY29sb2d5IHBhcnRuZXJzaGlwIHdpdGggVEVTQVJPLCBJbmMuIGFuZCBURVNBUk8gRGV2ZWxvcG1lbnQsIEluYy4gdG8gZGV2ZWxvcCBhbmQgY29tbWVyY2lhbGl6ZSBtb25vc3BlY2lmaWMgYW50aWJvZHkgcHJvZHVjdCBjYW5kaWRhdGVzIHRhcmdldGluZyBUSU0tMyAoVFNSLTAyMiksIExBRy0zIChUU1ItMDMzKSwgYW5kIFBELTEgKFRTUi0wNDIpLCBhcyB3ZWxsIGFzIGEgYmlzcGVjaWZpYyBhbnRpYm9keSBwcm9kdWN0IGNhbmRpZGF0ZSB0YXJnZXRpbmcgUEQtMSBhbmQgTEFHLTM7IGFuZCBhbiBpbmZsYW1tYXRpb24gcGFydG5lcnNoaXAgd2l0aCBDZWxnZW5lIENvcnBvcmF0aW9uIHRvIGRldmVsb3AgYW4gYW50aS1QRC0xIGFnb25pc3QgYW50aWJvZHkgKENDLTkwMDA2KSB0aGF0IGlzIGluIFBoYXNlIDEgdHJpYWwuIFRoZSBjb21wYW55</t>
  </si>
  <si>
    <t>IHdhcyBmb3JtZXJseSBrbm93biBhcyBBbmFwdHlzIEJpb3NjaWVuY2VzLCBJbmMuIGFuZCBjaGFuZ2VkIGl0cyBuYW1lIHRvIEFuYXB0eXNCaW8sIEluYy4gaW4gSnVseSAyMDA2LiBBbmFwdHlzQmlvLCBJbmMuIHdhcyBmb3VuZGVkIGluIDIwMDUgYW5kIGlzIGJhc2VkIGluIFNhbiBEaWVnbywgQ2FsaWZvcm5pYS4ARp0ZETUJ1gjCm2ISNQnWCDZDSVEuTkFTREFRR006SU1NVS5JUV9FQklUREEuMTk5Mi43LzMxLzIwMTguTEZSLkYuVVNELkgBAAAAIEMEAAIAAAAKLTU0Ljg4NjIyNAEIAAAABQAAAAExAQAAAAoxODQxMTcxMjI0AwAAAAMxNjACAAAABDQwNTEEAAAAATAHAAAACTcvMzEvMjAxOAgAAAAJMy8zMS8yMDE2CQAAAAEwnAvVOAgJ1gjUX5hvNAnWCDRDSVEuQVNYOklNVS5JUV9DQVNIX1NUX0lOVkVTVC4uOS8xNS8yMDE3LkxGUi5GLlVTRC5IAQAAAJiTqQACAAAACDMuNjk0NDIxAQgAAAAFAAAAATEBAAAACjE4NTY4NTEyMzgDAAAAAzE2MAIAAAAEMTAwMgQAAAABMAcAAAAJOS8xNS8yMDE3CAAAAAk2LzMwLzIwMTcJAAAAATApHJQQNQnWCDDXXRI1CdYIJUNJUS5JUVRSNTYxNjA2MzY1LklRX1BSSU1BUllfSU5EVVNUUlkBAAAAODneCgMAAAANQmlvdGVjaG5vbG9neQBJU0dvNAnWCDWbk280CdYIIkNJUS5JUVRSMzIxODY1Mjk3LklRX1RSX1RPVEFMX0NBU0gBAAAAUUYvEwIAAAAAAFjPEg41</t>
  </si>
  <si>
    <t>CdYIDD6FDjUJ1ggpQ0lRLk5BU0RBUUdTOlNHRU4uSVFfQlVTSU5FU1NfREVTQ1JJUFRJT04BAAAAYYUAAAMAAACSDVNlYXR0bGUgR2VuZXRpY3MsIEluYy4sIGEgYmlvdGVjaG5vbG9neSBjb21wYW55LCBmb2N1c2VzIG9uIHRoZSBkZXZlbG9wbWVudCBhbmQgY29tbWVyY2lhbGl6YXRpb24gb2YgdGFyZ2V0ZWQgdGhlcmFwaWVzIGZvciB0aGUgdHJlYXRtZW50IG9mIGNhbmNlciB3b3JsZHdpZGUuIEl0IG1hcmtldHMgQURDRVRSSVMsIGFuIGFudGlib2R5LWRydWcgY29uanVnYXRlIGZvciB0aGUgdHJlYXRtZW50IG9mIHJlbGFwc2VkIEhvZGdraW4gbHltcGhvbWEgYW5kIHJlbGFwc2VkIHN5c3RlbWljIGFuYXBsYXN0aWMgbGFyZ2UgY2VsbCBseW1waG9tYS4gVGhlIGNvbXBhbnkgYWxzbyBkZXZlbG9wcyBlbmZvcnR1bWFiIHZlZG90aW4sIHdoaWNoIGlzIGluIFBoYXNlIDEgY2xpbmljYWwgdHJpYWwgZm9yIE5lY3Rpbi00LXBvc2l0aXZlIHNvbGlkIHR1bW9ycywgaW5jbHVkaW5nIGJsYWRkZXIgY2FuY2VyOyBhbmQgdGlzb3R1bWFiIHZlZG90aW4gdGhhdCBpcyBpbiBQaGFzZSBJSSBjbGluaWNhbCB0cmlhbCBmb3IgcGF0aWVudHMgd2l0aCBjZXJ2aWNhbCBjYW5jZXIgYW5kIHNvbGlkIHR1bW9ycy4gSW4gYWRkaXRpb24sIGl0IGNvbmR1Y3RzIHBoYXNlIDMgY2xpbmljYWwgdHJpYWxzIG9mIEFE</t>
  </si>
  <si>
    <t>Q0VUUklTIHdoaWNoIGluY2x1ZGVzIEVDSEVMT04tMSBmb3IgcGF0aWVudHMgd2l0aCBuZXdseSBkaWFnbm9zZWQgYWR2YW5jZWQgc3RhZ2UgY2xhc3NpY2FsIEhvZGdraW4gbHltcGhvbWE7IEVDSEVMT04tMiBmb3IgcGF0aWVudHMgd2l0aCBuZXdseSBkaWFnbm9zZWQgQ0QzMC1leHByZXNzaW5nIE1UQ0w7IGFuZCB0aGUgQ0hFQ0tNQVRFIDgxMiBmb3IgcGF0aWVudHMgd2l0aCByZWxhcHNlZCBvciByZWZyYWN0b3J5IG9yIHRyYW5zcGxhbnQtaW5lbGlnaWJsZSwgYW5kIGFkdmFuY2VkIGNsYXNzaWNhbCBIb2Rna2luIGx5bXBob21hLiBGdXJ0aGVyLCB0aGUgY29tcGFueeKAmXMgZWFybGllciBzdGFnZSBjbGluaWNhbCBwaXBlbGluZSBpbmNsdWRlcyBzaXggb3RoZXIgQURDIHByb2dyYW1zIGNvbnNpc3Rpbmcgb2YgbGFkaXJhdHV6dW1hYiB2ZWRvdGluLCBkZW5pbnR1enVtYWIgbWFmb2RvdGluLCBTR04tQ0QxOUIsIFNHTi1DRDEyM0EsIFNHTi1DRDMzQSwgYW5kIFNHTi1DRDM1MkEsIGFzIHdlbGwgYXMgdHdvIGltbXVuby1vbmNvbG9neSBhZ2VudHMsIGluY2x1ZGluZyBTRUEtQ0Q0MCBhbmQgU0dOLTJGRi4gSXQgaGFzIGNvbGxhYm9yYXRpb25zIGZvciBpdHMgQURDIHRlY2hub2xvZ3kgd2l0aCB2YXJpb3VzIGJpb3RlY2hub2xvZ3kgYW5kIHBoYXJtYWNldXRpY2FsIGNvbXBhbmllcywgaW5j</t>
  </si>
  <si>
    <t>bHVkaW5nIEFiYlZpZSBCaW90ZWNobm9sb2d5IEx0ZC47IEJheWVyIFBoYXJtYSBBRzsgQ2VsbGRleCBUaGVyYXBldXRpY3MsIEluYy47IEdlbmVudGVjaCwgSW5jLjsgR2xheG9TbWl0aEtsaW5lIExMQzsgUGZpemVyLCBJbmMuLCBQU01BIERldmVsb3BtZW50IENvbXBhbnkgTExDOyBUYWtlZGEgUGhhcm1hY2V1dGljYWwgQ29tcGFueSBMaW1pdGVkLCBVbnVtIFRoZXJhcGV1dGljcywgSW5jLiwgYW5kIEdlbm1hYiBBL1MsIGFzIHdlbGwgYXMgaGFzIGNvLWRldmVsb3BtZW50IGFncmVlbWVudCB3aXRoIEFnZW5zeXMsIEluYy4gU2VhdHRsZSBHZW5ldGljcywgSW5jLiB3YXMgZm91bmRlZCBpbiAxOTk4IGFuZCBpcyBoZWFkcXVhcnRlcmVkIGluIEJvdGhlbGwsIFdhc2hpbmd0b24uAEadGRE1CdYIaGBnEjUJ1gg7Q0lRLk5BU0RBUUdTOkZQUlguSVFfVE9UQUxfUkVWLkNZMjAxNi43LzMxLzIwMTguTEZSLkYuVVNELkgBAAAAN10zAAIAAAAGMzAuNjkxAQgAAAAFAAAAATEBAAAACjE4NzYxMzU5ODgDAAAAAzE2MAIAAAACMjgEAAAAATAHAAAACTcvMzEvMjAxOAgAAAAKMTIvMzEvMjAxNgkAAAABMNaMETgICdYIGemhbzQJ1gglQ0lRLklRVFI0MzE4NDE1ODEuSVFfUFJJTUFSWV9JTkRVU1RSWQEAAABvBOYOAwAAAA1CaW90ZWNobm9sb2d5AAxtEA41CdYIDD6FDjUJ1gg3Q0lRLkVOWFRQQTpJUEguSVFf</t>
  </si>
  <si>
    <t>Q0FTSF9TVF9JTlZFU1QuLjkvMTUvMjAxNy5MRlIuRi5VU0QuSAEAAACZgAYAAgAAAAoyMDguNjg1NzM4AQgAAAAFAAAAATEBAAAACjE4Mzc5NjIyNDIDAAAAAzE2MAIAAAAEMTAwMgQAAAABMAcAAAAJOS8xNS8yMDE3CAAAAAoxMi8zMS8yMDE2CQAAAAEwKRyUEDUJ1ghzOWASNQnWCDRDSVEuTkFTREFRR1M6U0dFTi5JUV9SRVZFTlVFX0VTVC5DWTIwMjEuLkNPTi5GLlVTRC5IAQAAAGGFAAACAAAACTE1NjQuNjk2NQEOAAAABQAAAAIxMQEAAAABMAIAAAAKMTAwMTAxMDQ1NQMAAAAGMTAwMTgwBAAAAAEyBgAAAAEwBwAAAAMxNjAIAAAAATAJAAAAATEKAAAAATALAAAACzExMDUyMTUwNTUxDAAAAAE3DQAAAAk4LzI0LzIwMTgQAAAACTgvMjMvMjAxOMT/GxE1CdYIxP8bETUJ1ggyQ0lRLk5BU0RBUUdTOkJHTkUuSVFfUFJFRl9FUVVJVFkuMjAwMC4uTEZSLkYuVVNELkgBAAAA4OTdBgMAAAAAAJwL1TgICdYInAvVOAgJ1ghGQ0lRLk5BU0RBUUdTOkdUSFguSVFfTUlOT1JJVFlfSU5URVJFU1RfVE9UQUwuMjAwMC41LzUvMjAxNy5MRlIuRi5VU0QuSAEAAABlNGkIAwAAAAAA1owROAgJ1ggkwppvNAnWCDZDSVEuTkFTREFRR1M6RlBSWC5JUV9FQklUREEuMTk5Ni43LzMxLzIwMTguTEZSLkYuVVNELkgBAAAAN10zAAIAAAAILTExMS4wNDgBCAAAAAUAAAABMQEAAAAKMTg4NzQwMjIyNAMAAAADMTYwAgAAAAQ0</t>
  </si>
  <si>
    <t>MDUxBAAAAAEwBwAAAAk3LzMxLzIwMTgIAAAACTMvMzEvMjAxNwkAAAABMNaMETgICdYIGemhbzQJ1gg8Q0lRLk5BU0RBUUdTOk1HTlguSVFfRUFSTklOR19DTy5DWTIwMTYuNy8xNi8yMDE4LkxGUi5GLlVTRC5IAQAAAE8rCQACAAAABy01OC41MjgBCAAAAAUAAAABMQEAAAAKMTg3NjEzNTE1NwMAAAADMTYwAgAAAAE3BAAAAAEwBwAAAAk3LzE2LzIwMTgIAAAACjEyLzMxLzIwMTYJAAAAATDE/xsRNQnWCMKbYhI1CdYIIkNJUS5YVFJBOk1PUi5JUV9CRVRBXzVZUi43LzMxLzIwMTgBAAAA3xECAAIAAAARMC45ODEzNDI2MzkzMjAwNDIAnAvVOAgJ1gjUX5hvNAnWCDNDSVEuKElOVkFMSUQgSURFTlRJRklFUikuSVFfTEFTVFNBTEVQUklDRS45LzE1LzIwMTcFAAAAAAAAAAgAAAAUKEludmFsaWQgSWRlbnRpZmllcinep34QNQnWCJgSWRI1CdYIKUNJUS5JUVRSMzAyODY2NjI3LklRX1RSX0lNUExJRURfRVFfTklfTFRNAQAAAMNgDRICAAAAAABYzxIONQnWCAw+hQ41CdYILkNJUS5JUVRSMzcxNzE1MTE5LklRX1RSX1RBUkdFVF9TVE9DS1BSRU1JVU1fMU0BAAAAL+wnFgIAAAAAAFjPEg41CdYIwNuCDjUJ1gg7Q0lRLk5BU0RBUUdTOkFUTlguSVFfVE9UQUxfUkVWLkNZMjAxNi43LzMxLzIwMTguTEZSLkYuVVNELkgBAAAA3JlrAQIAAAAGMjAuNTUxAQgAAAAFAAAAATEBAAAACjE4Nzk5MDc2MTkDAAAAAzE2</t>
  </si>
  <si>
    <t>MAIAAAACMjgEAAAAATAHAAAACTcvMzEvMjAxOAgAAAAKMTIvMzEvMjAxNgkAAAABMNaMETgICdYIJMKabzQJ1ghBQ0lRLihJTlZBTElEIElERU5USUZJRVIpLklRX1RPVEFMX0RFQlQuMjAwMC43LzMxLzIwMTguTEZSLkYuVVNELkgFAAAAAAAAAAgAAAAUKEludmFsaWQgSWRlbnRpZmllcinIMLI3CAnWCO02sG80CdYIOENJUS5OQVNEQVFHUzpBTkFCLklRX0VCSVREQS5DWTIwMTcuNy8xNi8yMDE4LkxGUi5GLlVTRC5IAQAAACFMsgECAAAABy0yOC41OTgBCAAAAAUAAAABMQEAAAAKMTg3NzA2NTIzMQMAAAADMTYwAgAAAAQ0MDUxBAAAAAEwBwAAAAk3LzE2LzIwMTgIAAAACjEyLzMxLzIwMTcJAAAAATDE/xsRNQnWCMKbYhI1CdYINUNJUS5OQVNEQVFDTTpNVEVNLklRX0NBUEVYLjE5OTIuNy8zMS8yMDE4LkxGUi5GLlVTRC5IAQAAAJmbqQEDAAAAAADIMLI3CAnWCBnpoW80CdYIMUNJUS5JUVRSNTMzMzg1NzQ0LklRX1RSX1RBUkdFVF9SRVZFTlVFX0VTVC4uVVNELkgBAAAAENLKHwIAAAAAAAxtEA41CdYIwNuCDjUJ1gg+Q0lRLk5BU0RBUUNNOlpJT1AuSVFfVE9UQUxfRVFVSVRZLkNZMjAxNi43LzMxLzIwMTguTEZSLkYuVVNELkgBAAAAs1GyAAIAAAAGNDguMDIzAQgAAAAFAAAAATEBAAAACjE4NzcyMDQ0MTYDAAAAAzE2MAIAAAAEMTI3NQQAAAABMAcAAAAJNy8zMS8yMDE4CAAAAAoxMi8zMS8yMDE2</t>
  </si>
  <si>
    <t>CQAAAAEw1owROAgJ1gjDhp9vNAnWCCFDSVEuSVFUUjQyMjg4NzcwMS5JUV9UUl9CVVlFUk5BTUUBAAAAFcE0GQMAAAAUSGVhdCBCaW9sb2dpY3MsIEluYy4ADG0QDjUJ1gjA24IONQnWCENDSVEuTkFTREFRR006Q1JJUy5JUV9FQklUREFfM1lSX0FOTl9DQUdSLjIwMDAuNy8zMS8yMDE4LkxGUi5GLlVTRC5IAQAAABdqAAADAAAAAk5NAQgAAAAFAAAAATEBAAAACjE4ODYyNDc0MjADAAAAAzE2MAIAAAAENDIyMgQAAAABMAcAAAAJNy8zMS8yMDE4CAAAAAkzLzMxLzIwMTgJAAAAATDIMLI3CAnWCN1LpG80CdYIF0NJUS5BU1g6SU1VLklRX0VYQ0hBTkdFAQAAAJiTqQADAAAAA0FTWAApHJQQNQnWCDDXXRI1CdYII0NJUS5JUVRSMzE0ODI5MjM2LklRX1RSX0NMT1NFRF9EQVRFAQAAALTpwxIFAAAACjEwLzE2LzIwMTUAWM8SDjUJ1gjA24IONQnWCDVDSVEuTkFTREFRR006SU1NVS5JUV9UT1RBTF9SRVYuLjcvMTYvMjAxOC5MRlIuRi5VU0QuSAEAAAAgQwQAAgAAAAgyLjQxMTgzNQEIAAAABQAAAAExAQAAAAoxODg4NTIzMzg0AwAAAAMxNjACAAAAAjI4BAAAAAEwBwAAAAk3LzE2LzIwMTgIAAAACTMvMzEvMjAxOAkAAAABMMT/GxE1CdYIaGBnEjUJ1gg3Q0lRLk5BU0RBUUdNOklNTVUuSVFfUFJFRl9FUVVJVFkuLjcvMTYvMjAxOC5MRlIuRi5VU0QuSAEAAAAgQwQAAwAAAAAAxP8bETUJ1ghoYGcSNQnWCDhD</t>
  </si>
  <si>
    <t>SVEuTkFTREFRR006SU1NVS5JUV9FQklUREEuQ1kyMDE2LjcvMTYvMjAxOC5MRlIuRi5VU0QuSAEAAAAgQwQAAgAAAAotNTguNjQ3NDQ4AQgAAAAFAAAAATEBAAAACjE4NzM0OTM0OTEDAAAAAzE2MAIAAAAENDA1MQQAAAABMAcAAAAJNy8xNi8yMDE4CAAAAAoxMi8zMS8yMDE2CQAAAAEwxP8bETUJ1ggS/mQSNQnWCCdDSVEuTkFTREFRR1M6R1RIWC5JUV9CRVRBXzVZUi43LzMxLzIwMTgBAAAAZTRpCAMAAAAAAJwL1TgICdYIJMKabzQJ1gg4Q0lRLk9UQ1BLOk5XQk8uSVFfVE9UQUxfUkVWLkNZMjAxNi43LzE2LzIwMTguTEZSLkYuVVNELkgBAAAAo3oUAAIAAAAFMC42MjMBCAAAAAUAAAABMQEAAAAKMTg4MzI0OTA2NQMAAAADMTYwAgAAAAIyOAQAAAABMAcAAAAJNy8xNi8yMDE4CAAAAAoxMi8zMS8yMDE2CQAAAAEwKRyUEDUJ1ghzOWASNQnWCEZDSVEuTkFTREFRQ006WklPUC5JUV9NSU5PUklUWV9JTlRFUkVTVF9UT1RBTC4yMDAwLjUvNS8yMDE3LkxGUi5GLlVTRC5IAQAAALNRsgADAAAAAADWjBE4CAnWCMOGn280CdYIMENJUS5JUVRSNDEzOTUzNjYxLklRX1RSX1RBUkdFVF9FQklUREFfRVNULi5VU0QuSAEAAAB9bqwYAgAAAAAAsrNJbzQJ1giB/ZVvNAnWCCRDSVEuLklRX1RSX1RBUkdFVF9SRVZFTlVFX0VTVC4uVVNELkgFAAAAAAAAAAgAAAAUKEludmFsaWQgSWRlbnRpZmllcimcC9U4CAnWCHd5</t>
  </si>
  <si>
    <t>gA41CdYIPENJUS5OQVNEQVFHTTpDUklTLklRX0VCSVREQV9FU1QuQ1kyMDE5LjcvMzEvMjAxOC5DT04uRi5VU0QuSAEAAAAXagAAAwAAAAAAyDCyNwgJ1gjdS6RvNAnWCD9DSVEuTkFTREFRR006WE5DUi5JUV9FQklUREFfM1lSX0FOTl9DQUdSLi43LzE2LzIwMTguTEZSLkYuVVNELkgBAAAAploLAAMAAAACTk0BCAAAAAUAAAABMQEAAAAKMTg4NzEyNTg1NQMAAAADMTYwAgAAAAQ0MjIyBAAAAAEwBwAAAAk3LzE2LzIwMTgIAAAACTMvMzEvMjAxOAkAAAABMMT/GxE1CdYIEv5kEjUJ1gg4Q0lRLk5BU0RBUUdTOlRTUk8uSVFfRUJJVERBLkNZMjAxNi43LzMxLzIwMTguTEZSLkYuVVNELkgBAAAAaNZYBgIAAAAILTMzNS42NDkBCAAAAAUAAAABMQEAAAAKMTg3NzIyNjI4NAMAAAADMTYwAgAAAAQ0MDUxBAAAAAEwBwAAAAk3LzMxLzIwMTgIAAAACjEyLzMxLzIwMTYJAAAAATCcC9U4CAnWCCTCmm80CdYIM0NJUS5OQVNEQVFDTTpBVkVPLklRX1BFUklPRERBVEVfSVMuLjcvMTYvMjAxOC5MRlIuRgEAAAD0Fh0ABQAAAAkzLzMxLzIwMTgAxP8bETUJ1gjCm2ISNQnWCDBDSVEuLklRX1JFVkVOVUVfRVNULkNZMjAxOC43LzMxLzIwMTguQ09OLkYuVVNELkgFAAAAAQAAAAgAAAAUKEludmFsaWQgSWRlbnRpZmllcin1hDJHNAnWCPWEMkc0CdYILUNJUS5OQVNEQVFHUzpGUFJYLklRX01BUktFVENBUC41LzUvMjAx</t>
  </si>
  <si>
    <t>Ny5VU0QuSAEAAAA3XTMAAgAAAAk4NTcuNTMyMDUBBgAAAAUAAAABMQEAAAAKMTg0MDU2NDU5OQMAAAADMTYwAgAAAAYxMDAwNTQEAAAAATAHAAAACDUvNS8yMDE3yDCyNwgJ1ggZ6aFvNAnWCDZDSVEuTkFTREFRQ006WklPUC5JUV9FQklUREEuMTk5Mi43LzMxLzIwMTguTEZSLkYuVVNELkgBAAAAs1GyAAIAAAAILTEyMC45MDYBCAAAAAUAAAABMQEAAAAKMTgzOTM0MTA2NwMAAAADMTYwAgAAAAQ0MDUxBAAAAAEwBwAAAAk3LzMxLzIwMTgIAAAACTMvMzEvMjAxNgkAAAABMNaMETgICdYIw4afbzQJ1ggsQ0lRLklRVFIyNDU4MzEwMDcuSVFfVFJfVE9UQUxfR1JPU1NfVFYuVVNELkgFAAAAAAAAAAgAAAAaKEludmFsaWQgQ3VycmVuY3kgUmVxdWVzdClJU0dvNAnWCIH9lW80CdYIIUNJUS5PVENQSzpNQlZYLklRX0VGRkVDVF9UQVhfUkFURQEAAADYRIsCAwAAAAAA3qd+EDUJ1giYElkSNQnWCChDSVEuWFRSQTpNT1IuSVFfRElWSURFTkRfWUlFTEQuNy8zMS8yMDE4AQAAAN8RAgADAAAAAACcC9U4CAnWCNRfmG80CdYIPUNJUS5OQVNEQVFHUzpUU1JPLklRX1JFVkVOVUVfRVNULkNZMjAyMC43LzMxLzIwMTguQ09OLkYuVVNELkgBAAAAaNZYBgIAAAAJNjYyLjQxMjgzAQ4AAAAFAAAAAjExAQAAAAEwAgAAAAoxMDAxNTgwMzUwAwAAAAYxMDAxODAEAAAAATIGAAAAATAHAAAAAzE2MAgAAAABMAkAAAABMQoA</t>
  </si>
  <si>
    <t>AAABMAsAAAALMTA5ODExMzcwNzQMAAAAATcNAAAACDgvMS8yMDE4EAAAAAk3LzMxLzIwMTicC9U4CAnWCCTCmm80CdYIKUNJUS5JUVRSNDA4NDA3ODIyLklRX0JVU0lORVNTX0RFU0NSSVBUSU9OAQAAAODOVxgDAAAAnwdBcyBvZiBOb3ZlbWJlciAyMDE2LCBTdWJzdGFudGlhbGx5IEFsbCBBc3NldHMgb2YgVGV0cmFsb2dpYyBQaGFybWFjZXV0aWNhbHMgQ29ycG9yYXRpb24gd2VyZSBhY3F1aXJlZCBieSBNZWRpdmlyIEFCLiBTdWJzdGFudGlhbGx5IEFsbCBBc3NldHMgb2YgVGV0cmFsb2dpYyBQaGFybWFjZXV0aWNhbHMgQ29ycG9yYXRpb24sIGEgY2xpbmljYWwtc3RhZ2UgYmlvcGhhcm1hY2V1dGljYWwgY29tcGFueSwgZm9jdXNlcyBvbiBkaXNjb3ZlcmluZyBhbmQgZGV2ZWxvcGluZyBzbWFsbCBtb2xlY3VsZSB0aGVyYXBldXRpY3MgaW4gb25jb2xvZ3kgYW5kIGluZmVjdGlvdXMgZGlzZWFzZXMuIEl0IGhhcyB0d28gY2xpbmljYWwtc3RhZ2UgcHJvZHVjdCBjYW5kaWRhdGVzIGluIGRldmVsb3BtZW50LCBzdWNoIGFzIGJpcmluYXBhbnQgYW5kIFNIQVBFLiBCaXJpbmFwYW50IGlzIGEgc21hbGwgbW9sZWN1bGUgdGhlcmFwZXV0aWMgdGhhdCBtaW1pY3MgU2Vjb25kIE1pdG9jaG9uZHJpYWwgQWN0aXZhdG9yIG9mIENhc3Bhc2VzLW1pbWV0aWMsIHdoaWNoIGxlYWRzIHRvIGFwb3B0b3NpcyBv</t>
  </si>
  <si>
    <t>ciBjZWxsLWRlYXRoIGluIGRhbWFnZWQgY2VsbHMuIFNIQVBFIGlzIGl0cyBwcm9wcmlldGFyeSBoaXN0b25lIGRlYWNldHlsYXNlIGluaGliaXRvciBmb3IgdG9waWNhbCB1c2UgZm9yIHRoZSB0cmVhdG1lbnQgb2YgZWFybHktc3RhZ2UgY3V0YW5lb3VzIFQtY2VsbCBseW1waG9tYS4gVGV0cmFMb2dpYyBQaGFybWFjZXV0aWNhbHMgQ29ycG9yYXRpb24gaGFzIHJlc2VhcmNoIGNvbGxhYm9yYXRpb24gd2l0aCBXYWx0ZXIgYW5kIEVsaXphIEhhbGwgSW5zdGl0dXRlIG9mIE1lZGljYWwgUmVzZWFyY2ggdG8gZXhhbWluZSBTTUFDLW1pbWV0aWNzLCBpbmNsdWRpbmcgYmlyaW5hcGFudCBpbiB0aGUgdHJlYXRtZW50IG9mIGluZmVjdGlvdXMgZGlzZWFzZS4AsrNJbzQJ1giB/ZVvNAnWCCVDSVEuTkFTREFRQ006QVZFTy5JUV9GSVJTVFBSSUNJTkdEQVRFAQAAAPQWHQAFAAAACTMvMTIvMjAxMABGnRkRNQnWCMKbYhI1CdYIQ0NJUS5OQVNEQVFHUzpQQllJLklRX01JTk9SSVRZX0lOVEVSRVNUX1RPVEFMLi43LzE2LzIwMTguTEZSLkYuVVNELkgBAAAAAmqsBwMAAAAAAMT/GxE1CdYIEv5kEjUJ1ggiQ0lRLklRVFI0MDM3OTE3NjcuSVFfVFJfVE9UQUxfQ0FTSAEAAACXXxEYAgAAAAo2MjMuMDc1MDI4AQYAAAAFAAAAAjU0AQAAAAYxMDEwNTYCAAAACTQwMzc5MTc2NwMAAAAJNDAzNzkyMTA5BAAAAAMxNjAG</t>
  </si>
  <si>
    <t>AAAABUZhbHNlWM8SDjUJ1gjA24IONQnWCCdDSVEuTkFTREFRR1M6QkdORS5JUV9QRVJJT0REQVRFX0lTLjEwMDABAAAA4OTdBgUAAAAKMTIvMzEvMjAxNwCcC9U4CAnWCIH9lW80CdYIKENJUS5OQVNEQVFHTTpMUFRYLklRX1RFVi43LzE2LzIwMTguVVNELkgBAAAADDYJBwIAAAAJODguMjU2NzI3AQYAAAAFAAAAATEBAAAACjE4OTAxNjM0NzEDAAAAAzE2MAIAAAAGMTAwMDYwBAAAAAEwBwAAAAk3LzE2LzIwMTgpHJQQNQnWCDDXXRI1CdYIMENJUS5JUVRSMzcxNzE1MTE5LklRX1RSX1RBUkdFVF9FQklUREFfRVNULi5VU0QuSAEAAAAv7CcWAgAAAAAAWM8SDjUJ1gjA24IONQnWCDxDSVEuTkFTREFRR006RkFURS5JUV9FQklUREFfRVNULkNZMjAxOS43LzMxLzIwMTguQ09OLkYuVVNELkgBAAAAaDFXAgMAAAAAANaMETgICdYIw4afbzQJ1ghDQ0lRLihJTlZBTElEIElERU5USUZJRVIpLklRX0VCSVREQV9FU1QuQ1kyMDE5LjcvMzEvMjAxOC5DT04uRi5VU0QuSAUAAAAAAAAACAAAABQoSW52YWxpZCBJZGVudGlmaWVyKcgwsjcICdYI7TawbzQJ1ggoQ0lRLk5BU0RBUUdNOklNTVUuSVFfVEVWLjcvMzEvMjAxOC5VU0QuSAEAAAAgQwQAAgAAAAs0MTYwLjQxNjEwMgEGAAAABQAAAAExAQAAAAoxODg4NTIyNDQzAwAAAAMxNjACAAAABjEwMDA2MAQAAAABMAcAAAAJNy8zMS8yMDE4nAvVOAgJ1gjUX5hvNAnW</t>
  </si>
  <si>
    <t>CClDSVEuSVFUUjI3MzUwNzE4NS5JUV9UUl9JTVBMSUVEX0VRX05JX0xUTQEAAABxY00QAwAAAAJOTQCys0lvNAnWCIH9lW80CdYIPENJUS5OQVNEQVFHUzpDQUxBLklRX0VBUk5JTkdfQ08uQ1kyMDE3LjcvMTYvMjAxOC5MRlIuRi5VU0QuSAEAAAClJ4EGAgAAAActMjcuODI2AQgAAAAFAAAAATEBAAAACjE4Nzc5NTU3MDcDAAAAAzE2MAIAAAABNwQAAAABMAcAAAAJNy8xNi8yMDE4CAAAAAoxMi8zMS8yMDE3CQAAAAEwKRyUEDUJ1gjkdFsSNQnWCDxDSVEuT1RDUEs6TldCTy5JUV9FQklUREFfNVlSX0FOTl9DQUdSLi43LzE2LzIwMTguTEZSLkYuVVNELkgBAAAAo3oUAAMAAAACTk0BCAAAAAUAAAABMQEAAAAKMTg4OTMwMjgyNAMAAAADMTYwAgAAAAQ0MjM1BAAAAAEwBwAAAAk3LzE2LzIwMTgIAAAACTMvMzEvMjAxOAkAAAABMCkclBA1CdYIMNddEjUJ1gg9Q0lRLihJTlZBTElEIElERU5USUZJRVIpLklRX0VCSVREQS4yMDAwLjcvMzEvMjAxOC5MRlIuRi5VU0QuSAUAAAAAAAAACAAAABQoSW52YWxpZCBJZGVudGlmaWVyKcgwsjcICdYI7TawbzQJ1ghGQ0lRLihJTlZBTElEIElERU5USUZJRVIpLklRX05FVF9XT1JLSU5HX0NBUC4xOTk2LjcvMzEvMjAxOC5MRlIuRi5VU0QuSAUAAAAAAAAACAAAABQoSW52YWxpZCBJZGVudGlmaWVyKcgwsjcICdYI7TawbzQJ1gg1Q0lRLk5BU0RBUUdTOkVQWk0uSVFf</t>
  </si>
  <si>
    <t>REFfQ0YuMjAwMC43LzMxLzIwMTguTEZSLkYuVVNELkgBAAAAAyY9AwIAAAAFMS41ODkBCAAAAAUAAAABMQEAAAAKMTg4NzI0NjA3NwMAAAADMTYwAgAAAAQyMTYwBAAAAAEwBwAAAAk3LzMxLzIwMTgIAAAACTMvMzEvMjAxOAkAAAABMNaMETgICdYIcySdbzQJ1ggnQ0lRLk5BU0RBUUdTOkNBTEEuSVFfQkVUQV81WVIuNy8zMS8yMDE4AQAAAKUngQYCAAAAEDIuMzc1NDA2OTM4MTg2MTQAyDCyNwgJ1gjdS6RvNAnWCDtDSVEuTkFTREFRR006WE5DUi5JUV9UT1RBTF9SRVYuQ1kyMDE3LjcvMTYvMjAxOC5MRlIuRi5VU0QuSAEAAACmWgsAAgAAAAYzNS43MTEBCAAAAAUAAAABMQEAAAAKMTg3Njk4NDU1MgMAAAADMTYwAgAAAAIyOAQAAAABMAcAAAAJNy8xNi8yMDE4CAAAAAoxMi8zMS8yMDE3CQAAAAEwxP8bETUJ1ggS/mQSNQnWCCxDSVEuSVFUUjMwNzg2Mzk4NC5JUV9UUl9UQVJHRVRfRUJJVERBLi5VU0QuSAEAAACwoVkSAgAAAAAAWM8SDjUJ1gjA24IONQnWCDtDSVEuT1RDUEs6TldCTy5JUV9UT1RBTF9FUVVJVFkuQ1kyMDE2LjcvMTYvMjAxOC5MRlIuRi5VU0QuSAEAAACjehQAAgAAAActMjYuNDk5AQgAAAAFAAAAATEBAAAACjE4ODMyNDkwNjUDAAAAAzE2MAIAAAAEMTI3NQQAAAABMAcAAAAJNy8xNi8yMDE4CAAAAAoxMi8zMS8yMDE2CQAAAAEwKRyUEDUJ1ggw110SNQnWCDpDSVEuTkFTREFRR1M6</t>
  </si>
  <si>
    <t>QkdORS5JUV9DQVNIX1NUX0lOVkVTVC4uOS8xNS8yMDE3LkxGUi5GLlVTRC5IAQAAAODk3QYCAAAABjQwNy40MwEIAAAABQAAAAExAQAAAAoxODUyNzAwNTY0AwAAAAMxNjACAAAABDEwMDIEAAAAATAHAAAACTkvMTUvMjAxNwgAAAAJNi8zMC8yMDE3CQAAAAEwxP8bETUJ1ghoYGcSNQnWCDdDSVEuTkFTREFRR006SU1NVS5JUV9QUkVGX0VRVUlUWS4uOS8xNS8yMDE3LkxGUi5GLlVTRC5IAQAAACBDBAACAAAABDAuMDEBCAAAAAUAAAABMQEAAAAKMTg1NDM4MjMxNAMAAAADMTYwAgAAAAQxMDA1BAAAAAEwBwAAAAk5LzE1LzIwMTcIAAAACTYvMzAvMjAxNwkAAAABMMT/GxE1CdYIEv5kEjUJ1ggnQ0lRLk5BU0RBUUdNOkFSUlkuSVFfQkVUQV81WVIuNy8zMS8yMDE4AQAAAPhhAAACAAAAEDEuMjYyMjQzMTY2MTgyNjYAnAvVOAgJ1ggkwppvNAnWCDhDSVEuTkFTREFRR1M6RlBSWC5JUV9FQklUREEuQ1kyMDE3LjcvMTYvMjAxOC5MRlIuRi5VU0QuSAEAAAA3XTMAAgAAAAgtMTQ4Ljg4OQEIAAAABQAAAAExAQAAAAoxODc2MTM1OTkxAwAAAAMxNjACAAAABDQwNTEEAAAAATAHAAAACTcvMTYvMjAxOAgAAAAKMTIvMzEvMjAxNwkAAAABMCkclBA1CdYIczlgEjUJ1ggnQ0lRLk5BU0RBUUNNOkFWRU8uSVFfQkVUQV8yWVIuNy8xNi8yMDE4AQAAAPQWHQACAAAAETAuNTE1NTM4OTk0NzIyODA0AMT/GxE1CdYIwpti</t>
  </si>
  <si>
    <t>EjUJ1gg4Q0lRLk5BU0RBUUdTOlNHRU4uSVFfVE9UQUxfRVFVSVRZLi43LzE2LzIwMTguTEZSLkYuVVNELkgBAAAAYYUAAAIAAAAIMTI3OS4zMzcBCAAAAAUAAAABMQEAAAAKMTg4NDg5Mjg1MgMAAAADMTYwAgAAAAQxMjc1BAAAAAEwBwAAAAk3LzE2LzIwMTgIAAAACTMvMzEvMjAxOAkAAAABMMT/GxE1CdYIaGBnEjUJ1gg2Q0lRLk5BU0RBUUdNOkFGTUQuSVFfRUFSTklOR19DTy4uNy8xNi8yMDE4LkxGUi5GLlVTRC5IAQAAANv3DAACAAAACi0zNy43ODYxMjgBCAAAAAUAAAABMQEAAAAKMTg4OTg2NjA0OQMAAAADMTYwAgAAAAE3BAAAAAEwBwAAAAk3LzE2LzIwMTgIAAAACTMvMzEvMjAxOAkAAAABMCkclBA1CdYIMNddEjUJ1gg9Q0lRLk5BU0RBUUdTOkpOQ0UuSVFfUkVWRU5VRV9FU1QuQ1kyMDE5LjcvMTYvMjAxOC5DT04uRi5VU0QuSAEAAADieZ4NAgAAAAg2Ny42MDI2NwEOAAAABQAAAAIxMQEAAAABMAIAAAAKMTAwMzYyOTIwMgMAAAAGMTAwMTgwBAAAAAEyBgAAAAEwBwAAAAMxNjAIAAAAATAJAAAAATEKAAAAATALAAAACzEwOTQ1NTcwMzU4DAAAAAE3DQAAAAk3LzE3LzIwMTgQAAAACTcvMTYvMjAxOCkclBA1CdYI5HRbEjUJ1ggsQ0lRLklRVFIyNDU4MzEwMDcuSVFfVFJfVEFSR0VUX0VCSVREQS4uVVNELkgBAAAAXxWnDgIAAAAGLTAuMzU0AQYAAAAFAAAAAjM3AQAAAAoxNjMwMjk2OTcyAgAA</t>
  </si>
  <si>
    <t>AAUyMTY3NwMAAAADMTYwBAAAAAEwBwAAAAgxLzEvMTkwMLKzSW80CdYIgf2VbzQJ1gg7Q0lRLk5BU0RBUUNNOlpJT1AuSVFfVE9UQUxfUkVWLkNZMjAxNi43LzMxLzIwMTguTEZSLkYuVVNELkgBAAAAs1GyAAIAAAAFNi44NjEBCAAAAAUAAAABMQEAAAAKMTg3NzIwNDQxNgMAAAADMTYwAgAAAAIyOAQAAAABMAcAAAAJNy8zMS8yMDE4CAAAAAoxMi8zMS8yMDE2CQAAAAEw1owROAgJ1gjDhp9vNAnWCChDSVEuTkFTREFRR1M6Q0FMQS5JUV9URVYuNy8zMS8yMDE4LlVTRC5IAQAAAKUngQYCAAAACDguNTQ0ODUyAQYAAAAFAAAAATEBAAAACjE4ODc5Nzk3MDcDAAAAAzE2MAIAAAAGMTAwMDYwBAAAAAEwBwAAAAk3LzMxLzIwMTjIMLI3CAnWCN1LpG80CdYIIENJUS5JUTExMTEzMzY4LklRX0NPTVBBTllfVElDS0VSAQAAAJiTqQADAAAAB0FTWDpJTVUADG0QDjUJ1gh/UJgONQnWCChDSVEuTkFTREFRR1M6QU5BQi5JUV9URVYuNy8xNi8yMDE4LlVTRC5IAQAAACFMsgECAAAACzE0MzguNjczNzY5AQYAAAAFAAAAATEBAAAACjE4ODc0MDAwMjEDAAAAAzE2MAIAAAAGMTAwMDYwBAAAAAEwBwAAAAk3LzE2LzIwMThGnRkRNQnWCBL+ZBI1CdYIKUNJUS5FTlhUUEE6SVBILklRX0xBU1RTQUxFUFJJQ0UuOS8xNS8yMDE3AQAAAJmABgACAAAABzEzLjI3OTEAKRyUEDUJ1ghzOWASNQnWCDZDSVEuTkFTREFRR1M6TVJT</t>
  </si>
  <si>
    <t>Ti5JUV9UT1RBTF9ERUJULi43LzE2LzIwMTguTEZSLkYuVVNELkgBAAAA5sUYAAIAAAABMAEIAAAABQAAAAExAQAAAAoxODg5MDk2NjUzAwAAAAMxNjACAAAABDQxNzMEAAAAATAHAAAACTcvMTYvMjAxOAgAAAAJMy8zMS8yMDE4CQAAAAEwxP8bETUJ1ghzOWASNQnWCD1DSVEuTkFTREFRR006TFBUWC5JUV9SRVZFTlVFX0VTVC5DWTIwMTkuNy8xNi8yMDE4LkNPTi5GLlVTRC5IAQAAAAw2CQcCAAAAATABDgAAAAUAAAACMTEBAAAAATACAAAACjEwMDM2Mzk1NTIDAAAABjEwMDE4MAQAAAABMgYAAAABMAcAAAADMTYwCAAAAAEwCQAAAAExCgAAAAEwCwAAAAsxMDkzNTQzOTI3MgwAAAABNw0AAAAJNy8xNy8yMDE4EAAAAAk3LzE2LzIwMTgpHJQQNQnWCDDXXRI1CdYILENJUS5JUVRSNTYxNjA2MzY1LklRX1RSX1RPVEFMX0dST1NTX1RWLlVTRC5IBQAAAAAAAAAIAAAAGihJbnZhbGlkIEN1cnJlbmN5IFJlcXVlc3QpSVNHbzQJ1gg1m5NvNAnWCCJDSVEuSVFUUjU1MzU0ODAyNS5JUV9UUl9QQ1RfU09VR0hUAQAAAPl4/iACAAAAAzEwMAEGAAAABQAAAAI1NAEAAAAGMTAxMDI0AgAAAAk1NTM1NDgwMjUDAAAACTU1MzU2NDk3MQQAAAADMTYwBgAAAARUcnVlsrNJbzQJ1giB/ZVvNAnWCDxDSVEuTkFTREFRR006Q1JWUy5JUV9FQVJOSU5HX0NPLkNZMjAxNi43LzMxLzIwMTguTEZSLkYuVVNELkgBAAAA9LCmEAIA</t>
  </si>
  <si>
    <t>AAAHLTM2LjM3NQEIAAAABQAAAAExAQAAAAoxODc3MjIwNzkzAwAAAAMxNjACAAAAATcEAAAAATAHAAAACTcvMzEvMjAxOAgAAAAKMTIvMzEvMjAxNgkAAAABMNaMETgICdYIGemhbzQJ1gg9Q0lRLk5BU0RBUUdTOkNUTVguSVFfUkVWRU5VRV9FU1QuQ1kyMDE4LjcvMTYvMjAxOC5DT04uRi5VU0QuSAEAAADcOJsDAgAAAAg2Ny42MDU3MQEOAAAABQAAAAIxMQEAAAABMAIAAAAKMTAwMzIxNTk2OAMAAAAGMTAwMTgwBAAAAAEyBgAAAAEwBwAAAAMxNjAIAAAAATAJAAAAATEKAAAAATALAAAACzEwOTUxMjMxNTY1DAAAAAE3DQAAAAk3LzE3LzIwMTgQAAAACTcvMTYvMjAxOMT/GxE1CdYIwptiEjUJ1ggrQ0lRLklRVFIyNTM5NTQ0NzMuSVFfVFJfVE9UQUxfR1JPU1NfVFYuLlVTRAEAAACpCSMPAgAAAAAAsrNJbzQJ1gg1m5NvNAnWCDdDSVEuT1RDUEs6TUJWWC5JUV9DQVNIX1NUX0lOVkVTVC4uNy8xNi8yMDE4LkxGUi5GLlVTRC5IAQAAANhEiwICAAAABzAuODg1NzEBCAAAAAUAAAABMQEAAAAKMTg4MTIxMzI0NQMAAAADMTYwAgAAAAQxMDAyBAAAAAEwBwAAAAk3LzE2LzIwMTgIAAAACjEyLzMxLzIwMTcJAAAAATDep34QNQnWCJgSWRI1CdYIPENJUS5OQVNEQVFHUzpKTkNFLklRX0VBUk5JTkdfQ08uQ1kyMDE3LjcvMTYvMjAxOC5MRlIuRi5VU0QuSAEAAADieZ4NAgAAAActMTYuNDQzAQgAAAAFAAAAATEB</t>
  </si>
  <si>
    <t>AAAACjE4Nzc3MTY2MTMDAAAAAzE2MAIAAAABNwQAAAABMAcAAAAJNy8xNi8yMDE4CAAAAAoxMi8zMS8yMDE3CQAAAAEw3qd+EDUJ1giYElkSNQnWCC1DSVEuTkFTREFRR1M6Q0FMQS5JUV9ESVZJREVORF9ZSUVMRC43LzE2LzIwMTgBAAAApSeBBgMAAAAAACkclBA1CdYI5HRbEjUJ1ghGQ0lRLk5BU0RBUUdTOkZQUlguSVFfVE9UQUxfUkVWXzVZUl9BTk5fQ0FHUi4yMDAwLjcvMzEvMjAxOC5MRlIuRi5VU0QuSAEAAAA3XTMAAgAAAAY0MS42MTgBCAAAAAUAAAABMQEAAAAKMTg4NzQwMjIyNwMAAAADMTYwAgAAAAQ0MjMzBAAAAAEwBwAAAAk3LzMxLzIwMTgIAAAACTMvMzEvMjAxOAkAAAABMMgwsjcICdYIGemhbzQJ1ghEQ0lRLihJTlZBTElEIElERU5USUZJRVIpLklRX0NBU0hfU1RfSU5WRVNULjIwMDAuNS81LzIwMTcuTEZSLkYuVVNELkgFAAAAAAAAAAgAAAAUKEludmFsaWQgSWRlbnRpZmllcinIMLI3CAnWCO02sG80CdYIP0NJUS5OQVNEQVFHUzpDQUxBLklRX05FVF9XT1JLSU5HX0NBUC4yMDAwLjcvMzEvMjAxOC5MRlIuRi5VU0QuSAEAAAClJ4EGAgAAAActMjQuNzQyAQgAAAAFAAAAATEBAAAACjE4ODc5ODAzMDUDAAAAAzE2MAIAAAAEMTMxMQQAAAABMAcAAAAJNy8zMS8yMDE4CAAAAAkzLzMxLzIwMTgJAAAAATDIMLI3CAnWCN1LpG80CdYIQUNJUS4oSU5WQUxJRCBJREVOVElGSUVSKS5JUV9F</t>
  </si>
  <si>
    <t>QVJOSU5HX0NPLjIwMDAuNy8zMS8yMDE4LkxGUi5GLlVTRC5IBQAAAAAAAAAIAAAAFChJbnZhbGlkIElkZW50aWZpZXIpyDCyNwgJ1gjtNrBvNAnWCDdDSVEuWFRSQTpNT1IuSVFfVE9UQUxfRVFVSVRZLjE5OTYuNy8zMS8yMDE4LkxGUi5GLlVTRC5IAQAAAN8RAgACAAAACjQyOS40MDkyODQBCAAAAAUAAAABMQEAAAAKMTg4NjE1MTY0NwMAAAADMTYwAgAAAAQxMjc1BAAAAAEwBwAAAAk3LzMxLzIwMTgIAAAACTMvMzEvMjAxNwkAAAABMJwL1TgICdYI1F+YbzQJ1gg6Q0lRLkVOWFRQQTpJUEguSVFfUkVWRU5VRV9FU1QuQ1kyMDE5LjcvMTYvMjAxOC5DT04uRi5VU0QuSAEAAACZgAYAAgAAABAxMjguNTM1Njg2NzI4MjE3AQ4AAAAFAAAAAjExAQAAAAEwAgAAAAoxMDAxNjQzMzkyAwAAAAYxMDAxODAEAAAAATMGAAAAATAHAAAAAzE2MAgAAAABMAkAAAABMQoAAAABMAsAAAALMTA5NTM4NDIzODkMAAAAATcNAAAACTcvMTcvMjAxOBAAAAAJNy8xNi8yMDE4KRyUEDUJ1ghzOWASNQnWCD9DSVEuRU5YVFBBOklQSC5JUV9UT1RBTF9SRVZfMllSX0FOTl9DQUdSLi43LzE2LzIwMTguTEZSLkYuVVNELkgBAAAAmYAGAAIAAAAGMzIuMzQyAQgAAAAFAAAAATEBAAAACjE4ODk1NTIxNjQDAAAAAjUwAgAAAAQ0MjA3BAAAAAEwBwAAAAk3LzE2LzIwMTgIAAAACjEyLzMxLzIwMTcJAAAAATApHJQQNQnWCHM5YBI1CdYI</t>
  </si>
  <si>
    <t>RkNJUS5OQVNEQVFHUzpGUFJYLklRX1RPVEFMX1JFVl8yWVJfQU5OX0NBR1IuMjAwMC43LzMxLzIwMTguTEZSLkYuVVNELkgBAAAAN10zAAIAAAAILTU5Ljc2MDcBCAAAAAUAAAABMQEAAAAKMTg4NzQwMjIyNwMAAAADMTYwAgAAAAQ0MjA3BAAAAAEwBwAAAAk3LzMxLzIwMTgIAAAACTMvMzEvMjAxOAkAAAABMMgwsjcICdYIGemhbzQJ1ghDQ0lRLihJTlZBTElEIElERU5USUZJRVIpLklRX0VCSVREQV9FU1QuQ1kyMDE4LjcvMTYvMjAxOC5DT04uRi5VU0QuSAUAAAAAAAAACAAAABQoSW52YWxpZCBJZGVudGlmaWVyKSAKgRA1CdYImBJZEjUJ1gg3Q0lRLkFTWDpJTVUuSVFfUkVWRU5VRV9FU1QuQ1kyMDIxLjcvMTYvMjAxOC5DT04uRi5VU0QuSAEAAACYk6kAAwAAAAAAKRyUEDUJ1ggw110SNQnWCCdDSVEuTkFTREFRR1M6VFNSTy5JUV9CRVRBXzFZUi43LzE2LzIwMTgBAAAAaNZYBgIAAAAQMS4wMTU1MjQwNzQ2OTg2MQDE/xsRNQnWCBL+ZBI1CdYINkNJUS5OQVNEQVFDTTpNVEVNLklRX0VCSVREQS4yMDAwLjcvMzEvMjAxOC5MRlIuRi5VU0QuSAEAAACZm6kBAgAAAActMjMuNzcyAQgAAAAFAAAAATEBAAAACjE4ODg3MzMwMDQDAAAAAzE2MAIAAAAENDA1MQQAAAABMAcAAAAJNy8zMS8yMDE4CAAAAAkzLzMxLzIwMTgJAAAAATDIMLI3CAnWCBnpoW80CdYIO0NJUS5OQVNEQVFHTTpDUlZTLklRX0VCSVRf</t>
  </si>
  <si>
    <t>TUFSR0lOLjIwMDAuNy8zMS8yMDE4LkxGUi5GLlVTRC5IAQAAAPSwphADAAAAAADWjBE4CAnWCBnpoW80CdYIKUNJUS5JUVRSNDMxODQxNTgxLklRX0JVU0lORVNTX0RFU0NSSVBUSU9OAQAAAG8E5g4DAAAA3QVUcnVlIE5vcnRoIFRoZXJhcGV1dGljcywgSW5jLiwgYSBiaW90ZWNobm9sb2d5IGNvbXBhbnksIGRldmVsb3BzIHRoZXJhcGllcyB0aGF0IHRhcmdldCB0aGUgY29tcGxlbWVudCBwYXRod2F5IG9mIHRoZSBpbW11bmUgc3lzdGVtIHRvIGFkZHJlc3MgZnVuZGFtZW50YWwgbWVjaGFuaXNtcyBpbiByYXJlIGRpc2Vhc2VzLiBJdHMgVE5UMDA5IGlzIGEgbW9ub2Nsb25hbCBhbnRpYm9keSB0aGF0IHNlbGVjdGl2ZWx5IGluaGliaXRzIHRoZSBjbGFzc2ljYWwgY29tcGxlbWVudCBwYXRod2F5IGZvciB0aGUgdHJlYXRtZW50IG9mIGNvbGQgYWdnbHV0aW5pbiBkaXNlYXNlLCB3YXJtIGF1dG9pbW11bmUgaGVtb2x5dGljIGFuZW1pYSwgYW50aWJvZHktbWVkaWNhdGVkIHJlamVjdGlvbiwgYnVsbG91cyBwZW1waGlnb2lkLCBhbmQgb3RoZXIgcmFyZSBkaXNlYXNlcy4gVGhlIGNvbXBhbnkgaXMgYWxzbyBpbnZlc3RpZ2F0aW5nIG90aGVyIHRyZWF0bWVudCBvcHRpb25zIGZvciBhIHJhbmdlIG9mIGNsYXNzaWNhbCBjb21wbGVtZW50LW1lZGlhdGVkIGRpc2Vhc2VzLiBUcnVlIE5vcnRoIFRoZXJh</t>
  </si>
  <si>
    <t>cGV1dGljcyB3YXMgZm91bmRlZCBpbiAyMDEzIGFuZCBpcyBiYXNlZCBpbiBTb3V0aCBTYW4gRnJhbmNpc2NvLCBDYWxpZm9ybmlhLiBBcyBvZiBKdW5lIDI4LCAyMDE3LCBUcnVlIE5vcnRoIFRoZXJhcGV1dGljcywgSW5jLiBvcGVyYXRlcyBhcyBhIHN1YnNpZGlhcnkgb2YgQmlvdmVyYXRpdiBJbmMuAAxtEA41CdYIDD6FDjUJ1gg1Q0lRLk5BU0RBUUNNOk1URU0uSVFfQ0FQRVguMTk5Ni43LzMxLzIwMTguTEZSLkYuVVNELkgBAAAAmZupAQIAAAAJLTAuMDkzNjk3AQgAAAAFAAAAATEBAAAACjE4ODg3MzMwMDIDAAAAAzE2MAIAAAAEMjAyMQQAAAABMAcAAAAJNy8zMS8yMDE4CAAAAAkzLzMxLzIwMTcJAAAAATDIMLI3CAnWCBnpoW80CdYIR0NJUS5OQVNEQVFDTTpTUk5FLklRX01JTk9SSVRZX0lOVEVSRVNUX1RPVEFMLjIwMDAuNy8zMS8yMDE4LkxGUi5GLlVTRC5IAQAAAElDlAMCAAAABTYuMDY4AQgAAAAFAAAAATEBAAAACjE4ODc5ODk4MzEDAAAAAzE2MAIAAAAEMTMxMgQAAAABMAcAAAAJNy8zMS8yMDE4CAAAAAkzLzMxLzIwMTgJAAAAATDWjBE4CAnWCHMknW80CdYILkNJUS4uSVFfUFJFRl9FUVVJVFkuMjAwMC43LzMxLzIwMTguTEZSLkYuVVNELkgFAAAAAQAAAAgAAAAUKEludmFsaWQgSWRlbnRpZmllcin1hDJHNAnWCPWEMkc0CdYILENJUS5OQVNEQVFHTTpBRk1ELklRX0xBU1RTQUxFUFJJ</t>
  </si>
  <si>
    <t>Q0UuOS8xNS8yMDE3AQAAANv3DAACAAAABDIuMjUAKRyUEDUJ1ggw110SNQnWCERDSVEuKElOVkFMSUQgSURFTlRJRklFUikuSVFfUkVWRU5VRV9FU1QuQ1kyMDE5LjcvMTYvMjAxOC5DT04uRi5VU0QuSAUAAAAAAAAACAAAABQoSW52YWxpZCBJZGVudGlmaWVyKSAKgRA1CdYImBJZEjUJ1gg1Q0lRLk5BU0RBUUdTOkZQUlguSVFfVE9UQUxfUkVWLi43LzE2LzIwMTguTEZSLkYuVVNELkgBAAAAN10zAAIAAAAGNjEuODU5AQgAAAAFAAAAATEBAAAACjE4ODc0MDIyMjcDAAAAAzE2MAIAAAACMjgEAAAAATAHAAAACTcvMTYvMjAxOAgAAAAJMy8zMS8yMDE4CQAAAAEwKRyUEDUJ1ghzOWASNQnWCC9DSVEuLklRX1RPVEFMX0VRVUlUWS4xOTk2LjcvMzEvMjAxOC5MRlIuRi5VU0QuSAUAAAABAAAACAAAABQoSW52YWxpZCBJZGVudGlmaWVyKfWEMkc0CdYI9YQyRzQJ1gg+Q0lRLk5BU0RBUUdNOlhOQ1IuSVFfVE9UQUxfRVFVSVRZLkNZMjAxNi43LzE2LzIwMTguTEZSLkYuVVNELkgBAAAAploLAAIAAAAHMzEzLjk1NAEIAAAABQAAAAExAQAAAAoxODc2OTg0NTIzAwAAAAMxNjACAAAABDEyNzUEAAAAATAHAAAACTcvMTYvMjAxOAgAAAAKMTIvMzEvMjAxNgkAAAABMMT/GxE1CdYIEv5kEjUJ1ggwQ0lRLk5BU0RBUUdNOklNTVUuSVFfTEFTVFNBTEVQUklDRS43LzMxLzIwMTguVVNEAQAAACBDBAACAAAABTIzLjkz</t>
  </si>
  <si>
    <t>AJwL1TgICdYI1F+YbzQJ1gg/Q0lRLihJTlZBTElEIElERU5USUZJRVIpLklRX0VCSVREQS5DWTIwMTYuNy8xNi8yMDE4LkxGUi5GLlVTRC5IBQAAAAAAAAAIAAAAFChJbnZhbGlkIElkZW50aWZpZXIp3qd+EDUJ1giYElkSNQnWCDdDSVEuTkFTREFRR1M6VFNSTy5JUV9QUkVGX0VRVUlUWS4uOS8xNS8yMDE3LkxGUi5GLlVTRC5IAQAAAGjWWAYDAAAAAADE/xsRNQnWCBL+ZBI1CdYIKUNJUS4uSVFfRUJJVERBLjE5OTYuNy8zMS8yMDE4LkxGUi5GLlVTRC5IBQAAAAEAAAAIAAAAFChJbnZhbGlkIElkZW50aWZpZXIp9YQyRzQJ1gj1hDJHNAnWCCNDSVEuLklRX0xBU1RTQUxFUFJJQ0UuNy8zMS8yMDE4LlVTRAUAAAABAAAACAAAABQoSW52YWxpZCBJZGVudGlmaWVyKfWEMkc0CdYI9YQyRzQJ1ggTQ0lRLi5JUV9UUl9FQVJOT1VUUwUAAAAAAAAACAAAABQoSW52YWxpZCBJZGVudGlmaWVyKZwL1TgICdYId3mADjUJ1gg2Q0lRLk5BU0RBUUdTOk1SU04uSVFfVE9UQUxfREVCVC4uOS8xNS8yMDE3LkxGUi5GLlVTRC5IAQAAAObFGAACAAAAATABCAAAAAUAAAABMQEAAAAKMTg1MzM1NDA1NgMAAAADMTYwAgAAAAQ0MTczBAAAAAEwBwAAAAk5LzE1LzIwMTcIAAAACTYvMzAvMjAxNwkAAAABMCkclBA1CdYIczlgEjUJ1gglQ0lRLklRVFI0MDk5NTE4ODYuSVFfVFJfSU1QTElFRF9FUV9CVgEAAACOXm8YAgAAAAAA</t>
  </si>
  <si>
    <t>DG0QDjUJ1gjA24IONQnWCCVDSVEuSVFUUjQwNzc2MDY5Mi5JUV9UUl9JTVBMSUVEX0VRX0JWAQAAADTvTRgCAAAAAAAMbRAONQnWCAw+hQ41CdYIPENJUS5OQVNEQVFHTTpJTU1VLklRX1RPVEFMX0VRVUlUWS4xOTk2LjcvMzEvMjAxOC5MRlIuRi5VU0QuSAEAAAAgQwQAAgAAAAstMTMxLjkxOTAyMwEIAAAABQAAAAExAQAAAAoxODg4NTIzMzkyAwAAAAMxNjACAAAABDEyNzUEAAAAATAHAAAACTcvMzEvMjAxOAgAAAAJMy8zMS8yMDE3CQAAAAEwnAvVOAgJ1gjUX5hvNAnWCCdDSVEuTkFTREFRR1M6TUdOWC5JUV9CRVRBXzVZUi43LzE2LzIwMTgBAAAATysJAAIAAAAQMi40NjQ4MTI3MDk4OTY3NQDE/xsRNQnWCMKbYhI1CdYIO0NJUS5OQVNEQVFDTTpBVkVPLklRX1RPVEFMX1JFVi5DWTIwMTYuNy8xNi8yMDE4LkxGUi5GLlVTRC5IAQAAAPQWHQACAAAABTIuNTE1AQgAAAAFAAAAATEBAAAACjE4NzgwODI2NTADAAAAAzE2MAIAAAACMjgEAAAAATAHAAAACTcvMTYvMjAxOAgAAAAKMTIvMzEvMjAxNgkAAAABMMT/GxE1CdYIwptiEjUJ1gg2Q0lRLk5BU0RBUUdTOkJHTkUuSVFfTkVUX1dPUktJTkdfQ0FQLjIwMDAuLkxGUi5GLlVTRC5IAQAAAODk3QYCAAAABy0zMC4yODkBCAAAAAUAAAABMQEAAAAKMTg5OTkwMDYzMQMAAAADMTYwAgAAAAQxMzExBAAAAAEwBwAAAAk4LzIzLzIwMTgIAAAACTYvMzAvMjAx</t>
  </si>
  <si>
    <t>OAkAAAABMJwL1TgICdYInAvVOAgJ1gguQ0lRLklRVFI0MTE4NzEwODIuSVFfVFJfVEFSR0VUX1NUT0NLUFJFTUlVTV8xVwEAAABqp4wYAgAAAAAAsrNJbzQJ1gg1m5NvNAnWCDNDSVEuTkFTREFRR1M6U0dFTi5JUV9QRVJJT0REQVRFX0lTLi43LzE2LzIwMTguTEZSLkYBAAAAYYUAAAUAAAAJMy8zMS8yMDE4AEadGRE1CdYIaGBnEjUJ1ggpQ0lRLk5BU0RBUUNNOkNLUFQuSVFfQlVTSU5FU1NfREVTQ1JJUFRJT04BAAAAuFEWEQMAAADuCENoZWNrcG9pbnQgVGhlcmFwZXV0aWNzLCBJbmMuLCBhbiBpbW11bm8tb25jb2xvZ3kgYmlvcGhhcm1hY2V1dGljYWwgY29tcGFueSwgZm9jdXNlcyBvbiB0aGUgYWNxdWlzaXRpb24sIGRldmVsb3BtZW50LCBhbmQgY29tbWVyY2lhbGl6YXRpb24gb2Ygbm92ZWwgdHJlYXRtZW50cyBmb3IgcGF0aWVudHMgd2l0aCBzb2xpZCB0dW1vciBjYW5jZXJzLiBUaGUgY29tcGFueeKAmXMgcHJvZHVjdHMgaW5jbHVkZSBDSy0zMDEgaW4gUGhhc2UgSSBjbGluaWNhbCB0cmlhbHMgZm9yIHRoZSB0cmVhdG1lbnQgb2Ygbm9uLXNtYWxsIGNlbGwgbHVuZyBjYW5jZXIgKE5TQ0xDKTsgYW5kIENLLTEwMSBpbiB0aGUgUGhhc2UgMSBwb3J0aW9uIG9mIGEgUGhhc2UgMS8yIGNsaW5pY2FsIHRyaWFsIGZvciB0aGUgdHJlYXRtZW50IG9mIGVwaWRlcm1hbCBncm93dGggZmFjdG9yIHJl</t>
  </si>
  <si>
    <t>Y2VwdG9yIChFR0ZSKSBtdXRhdGlvbi1wb3NpdGl2ZSBOU0NMQy4gSXRzIHBpcGVsaW5lIGNvbnNpc3RzIG9mIGdsdWNvY29ydGljb2lkLWluZHVjZWQgVE5GUi1yZWxhdGVkIHByb3RlaW47IGFuZCBjYXJib25pYyBhbmh5ZHJhc2UgSVguIFRoZSBjb21wYW55IGlzIGFsc28gZGV2ZWxvcGluZyB0aHJlZSBvcmFsLCBzbWFsbC1tb2xlY3VsZSwgdGFyZ2V0ZWQgYW50aS1jYW5jZXIgYWdlbnRzIHRoYXQgaW5oaWJpdCBlcGlkZXJtYWwgZ3Jvd3RoLWZhY3RvciByZWNlcHRvciBtdXRhdGlvbnMsIHRoZSBicm9tb2RvbWFpbiBhbmQgZXh0cmEtdGVybWluYWwgcHJvdGVpbiwgYW5kIHBvbHkgcG9seW1lcmFzZS4gQ2hlY2twb2ludCBUaGVyYXBldXRpY3MsIEluYy4gaGFzIGEgY29sbGFib3JhdGlvbiBhZ3JlZW1lbnQgd2l0aCBURyBUaGVyYXBldXRpY3MsIEluYy4gdG8gZGV2ZWxvcCBhbmQgY29tbWVyY2lhbGl6ZSB0aGUgQW50aS1QRC1MMSBhbmQgQW50aS1HSVRSIGFudGlib2R5IHJlc2VhcmNoIHByb2dyYW1zIGluIHRoZSBmaWVsZCBvZiBoZW1hdG9sb2dpY2FsIG1hbGlnbmFuY2llcy4gVGhlIGNvbXBhbnkgd2FzIGZvdW5kZWQgaW4gMjAxNCBhbmQgaXMgYmFzZWQgaW4gTmV3IFlvcmssIE5ldyBZb3JrLiBDaGVja3BvaW50IFRoZXJhcGV1dGljcywgSW5jLiBpcyBhIHN1YnNpZGlhcnkgb2YgRm9y</t>
  </si>
  <si>
    <t>dHJlc3MgQmlvdGVjaCwgSW5jLgApHJQQNQnWCOR0WxI1CdYINkNJUS5YVFJBOk1PUi5JUV9UT1RBTF9SRVYuQ1kyMDE3LjcvMzEvMjAxOC5MRlIuRi5VU0QuSAEAAADfEQIAAgAAAAk4MC4yMDAzMzYBCAAAAAUAAAABMQEAAAAKMTg3ODMyMzE1NwMAAAADMTYwAgAAAAIyOAQAAAABMAcAAAAJNy8zMS8yMDE4CAAAAAoxMi8zMS8yMDE3CQAAAAEwnAvVOAgJ1gjUX5hvNAnWCDpDSVEuTkFTREFRR1M6TksuSVFfRUFSTklOR19DTy5DWTIwMTYuNy8zMS8yMDE4LkxGUi5GLlVTRC5IAQAAAA19oQ8CAAAACC0xMjAuODA5AQgAAAAFAAAAATEBAAAACjE4NzgwMTI1NzgDAAAAAzE2MAIAAAABNwQAAAABMAcAAAAJNy8zMS8yMDE4CAAAAAoxMi8zMS8yMDE2CQAAAAEw1owROAgJ1ggZ6aFvNAnWCB1DSVEuTkFTREFRR1M6RlBSWC5JUV9FWENIQU5HRQEAAAA3XTMAAwAAAAhOYXNkYXFHUwDWjBE4CAnWCOOLkw41CdYIO0NJUS5OQVNEQVFHUzpDQUxBLklRX0VCSVRfTUFSR0lOLjIwMDAuNy8zMS8yMDE4LkxGUi5GLlVTRC5IAQAAAKUngQYCAAAACS0xNDAuMDM0MQEIAAAABQAAAAExAQAAAAoxODg3OTgwMzA1AwAAAAMxNjACAAAABDQwNTMEAAAAATAHAAAACTcvMzEvMjAxOAgAAAAJMy8zMS8yMDE4CQAAAAEwyDCyNwgJ1gjdS6RvNAnWCDZDSVEuQVNYOklNVS5JUV9FQklUREFfRVNULkNZMjAxOC43LzE2LzIwMTgu</t>
  </si>
  <si>
    <t>Q09OLkYuVVNELkgBAAAAmJOpAAMAAAAAACkclBA1CdYIMNddEjUJ1ggoQ0lRLk5BU0RBUUNNOlpJT1AuSVFfVEVWLjcvMzEvMjAxOC5VU0QuSAEAAACzUbIAAgAAAAo0NjIuNzc1ODQzAQYAAAAFAAAAATEBAAAACjE4ODc5NzIyMDEDAAAAAzE2MAIAAAAGMTAwMDYwBAAAAAEwBwAAAAk3LzMxLzIwMTjWjBE4CAnWCMOGn280CdYIO0NJUS5OQVNEQVFHUzpUU1JPLklRX1RPVEFMX1JFVi5DWTIwMTYuNy8xNi8yMDE4LkxGUi5GLlVTRC5IAQAAAGjWWAYCAAAABjU4LjAxOAEIAAAABQAAAAExAQAAAAoxODc3MjI2Mjg0AwAAAAMxNjACAAAAAjI4BAAAAAEwBwAAAAk3LzE2LzIwMTgIAAAACjEyLzMxLzIwMTYJAAAAATDE/xsRNQnWCBL+ZBI1CdYIRkNJUS5OQVNEQVFHUzpDQUxBLklRX01JTk9SSVRZX0lOVEVSRVNUX1RPVEFMLjIwMDAuNS81LzIwMTcuTEZSLkYuVVNELkgBAAAApSeBBgMAAAAAAMgwsjcICdYI3UukbzQJ1gg2Q0lRLk5BU0RBUUdTOlRTUk8uSVFfRUFSTklOR19DTy4uNy8xNi8yMDE4LkxGUi5GLlVTRC5IAQAAAGjWWAYCAAAACC01MjIuMjE3AQgAAAAFAAAAATEBAAAACjE4ODYzMzc0NjYDAAAAAzE2MAIAAAABNwQAAAABMAcAAAAJNy8xNi8yMDE4CAAAAAkzLzMxLzIwMTgJAAAAATDE/xsRNQnWCBL+ZBI1CdYIO0NJUS5OQVNEQVFDTTpBVkVPLklRX1RPVEFMX1JFVi5DWTIwMTcuNy8xNi8y</t>
  </si>
  <si>
    <t>MDE4LkxGUi5GLlVTRC5IAQAAAPQWHQACAAAABTcuNTc5AQgAAAAFAAAAATEBAAAACjE4NzgwODI2NTMDAAAAAzE2MAIAAAACMjgEAAAAATAHAAAACTcvMTYvMjAxOAgAAAAKMTIvMzEvMjAxNwkAAAABMMT/GxE1CdYIwptiEjUJ1gg8Q0lRLk5BU0RBUUdNOkZBVEUuSVFfRUJJVERBX0VTVC5DWTIwMTguNy8zMS8yMDE4LkNPTi5GLlVTRC5IAQAAAGgxVwIDAAAAAADWjBE4CAnWCMOGn280CdYIPkNJUS5OQVNEQVFHTTpDUlZTLklRX1RPVEFMX0VRVUlUWS5DWTIwMTcuNy8zMS8yMDE4LkxGUi5GLlVTRC5IAQAAAPSwphACAAAABjg0LjgzNQEIAAAABQAAAAExAQAAAAoxODc3MjIwODA1AwAAAAMxNjACAAAABDEyNzUEAAAAATAHAAAACTcvMzEvMjAxOAgAAAAKMTIvMzEvMjAxNwkAAAABMNaMETgICdYIGemhbzQJ1gg+Q0lRLk5BU0RBUUdNOklNTVUuSVFfQ0FTSF9TVF9JTlZFU1QuMjAwMC43LzMxLzIwMTguTEZSLkYuVVNELkgBAAAAIEMEAAIAAAAKMzU4Ljc5MjY3OAEIAAAABQAAAAExAQAAAAoxODg4NTIzMzg0AwAAAAMxNjACAAAABDEwMDIEAAAAATAHAAAACTcvMzEvMjAxOAgAAAAJMy8zMS8yMDE4CQAAAAEwnAvVOAgJ1gjUX5hvNAnWCCVDSVEuSVFUUjQwODQwNzgyMi5JUV9UUl9NQUpfTUlOX1NUQUtFAQAAAA7PVxgDAAAACE1ham9yaXR5ALKzSW80CdYIgf2VbzQJ1ggnQ0lRLk5BU0RBUUdTOkFE</t>
  </si>
  <si>
    <t>WFMuSVFfQkVUQV81WVIuNy8xNi8yMDE4AQAAAJ7seAACAAAAEDEuNzA4NjEwMDczNjE3ODgAKRyUEDUJ1gjkdFsSNQnWCC1DSVEuTkFTREFRR006TkxOSy5JUV9ESVZJREVORF9ZSUVMRC43LzE2LzIwMTgBAAAAlXuMAAMAAAAAACkclBA1CdYI5HRbEjUJ1ghEQ0lRLihJTlZBTElEIElERU5USUZJRVIpLklRX1JFVkVOVUVfRVNULkNZMjAxOC43LzMxLzIwMTguQ09OLkYuVVNELkgFAAAAAAAAAAgAAAAUKEludmFsaWQgSWRlbnRpZmllcinIMLI3CAnWCO02sG80CdYIP0NJUS5OQVNEQVFHTTpMUFRYLklRX0VCSVREQV8yWVJfQU5OX0NBR1IuLjcvMTYvMjAxOC5MRlIuRi5VU0QuSAEAAAAMNgkHAwAAAAAAKRyUEDUJ1ggw110SNQnWCDpDSVEuTkFTREFRR006QVJRTC5JUV9FQVJOSU5HX0NPLjE5OTIuNy8zMS8yMDE4LkxGUi5GLlVTRC5IAQAAAPZhAAACAAAABy0xNC4yMDQBCAAAAAUAAAABMQEAAAAKMTg0MTk5MjU2OQMAAAADMTYwAgAAAAE3BAAAAAEwBwAAAAk3LzMxLzIwMTgIAAAACTMvMzEvMjAxNgkAAAABMNaMETgICdYIcySdbzQJ1ggwQ0lRLk5BU0RBUUdTOkJHTkUuSVFfTklfTUFSR0lOLjIwMDAuLkxGUi5GLlVTRC5IAQAAAODk3QYCAAAACC03Mi40NDY2AQgAAAAFAAAAATEBAAAACjE4OTk5MDA2MzEDAAAAAzE2MAIAAAAENDA5NAQAAAABMAcAAAAJOC8yMy8yMDE4CAAAAAk2LzMwLzIwMTgJ</t>
  </si>
  <si>
    <t>AAAAATCcC9U4CAnWCJwL1TgICdYIPkNJUS5OQVNEQVFHUzpCR05FLklRX01JTk9SSVRZX0lOVEVSRVNUX1RPVEFMLjIwMDAuLkxGUi5GLlVTRC5IAQAAAODk3QYCAAAABjEzLjQ3MQEIAAAABQAAAAExAQAAAAoxODk5OTAwNjMxAwAAAAMxNjACAAAABDEzMTIEAAAAATAHAAAACTgvMjMvMjAxOAgAAAAJNi8zMC8yMDE4CQAAAAEwnAvVOAgJ1gicC9U4CAnWCD1DSVEuKElOVkFMSUQgSURFTlRJRklFUikuSVFfRUJJVERBLjE5OTIuNy8zMS8yMDE4LkxGUi5GLlVTRC5IBQAAAAAAAAAIAAAAFChJbnZhbGlkIElkZW50aWZpZXIpyDCyNwgJ1gjtNrBvNAnWCClDSVEuSVEzNjE4Mzg0MC5JUV9MQVNUU0FMRVBSSUNFLjcvMTYvMjAxOAEAAAAgHygCAgAAAAMyLjkADG0QDjUJ1ggMPoUONQnWCCxDSVEuTkFTREFRR006SU1NVS5JUV9MQVNUU0FMRVBSSUNFLjkvMTUvMjAxNwEAAAAgQwQAAgAAAAUxMS4yOQBGnRkRNQnWCBL+ZBI1CdYIN0NJUS5OQVNEQVFDTTpaSU9QLklRX1BFUklPRERBVEVfSVMuMjAwMC43LzMxLzIwMTguTEZSLkYBAAAAs1GyAAUAAAAJMy8zMS8yMDE4ANaMETgICdYIw4afbzQJ1ggwQ0lRLklRVFIzMTQ4MjkyMzYuSVFfVFJfVEFSR0VUX0VCSVREQV9FU1QuLlVTRC5IAQAAALTpwxICAAAAAABYzxIONQnWCMDbgg41CdYIKUNJUS5JUTM2MTgzODM3LklRX0xBU1RTQUxFUFJJQ0UuNy8zMS8y</t>
  </si>
  <si>
    <t>MDE4AQAAAB0fKAICAAAABDIuOTYASVNHbzQJ1giB/ZVvNAnWCDpDSVEuTkFTREFRR1M6TVJTTi5JUV9FQVJOSU5HX0NPLjE5OTYuNy8zMS8yMDE4LkxGUi5GLlVTRC5IAQAAAObFGAACAAAABy0xNi40MDUBCAAAAAUAAAABMQEAAAAKMTg4OTA5NjU5NwMAAAADMTYwAgAAAAE3BAAAAAEwBwAAAAk3LzMxLzIwMTgIAAAACTMvMzEvMjAxNwkAAAABMNaMETgICdYIw4afbzQJ1gg6Q0lRLk5BU0RBUUdNOlhOQ1IuSVFfQ0FTSF9TVF9JTlZFU1QuLjcvMTYvMjAxOC5MRlIuRi5VU0QuSAEAAACmWgsAAgAAAAY0NjIuNDEBCAAAAAUAAAABMQEAAAAKMTg4NzEyNTg1NQMAAAADMTYwAgAAAAQxMDAyBAAAAAEwBwAAAAk3LzE2LzIwMTgIAAAACTMvMzEvMjAxOAkAAAABMMT/GxE1CdYIEv5kEjUJ1ggzQ0lRLlhUUkE6TU9SLklRX0VCSVREQS5DWTIwMTcuNy8zMS8yMDE4LkxGUi5GLlVTRC5IAQAAAN8RAgACAAAACi02NC42NTc2OTEBCAAAAAUAAAABMQEAAAAKMTg3ODMyMzE1NwMAAAADMTYwAgAAAAQ0MDUxBAAAAAEwBwAAAAk3LzMxLzIwMTgIAAAACjEyLzMxLzIwMTcJAAAAATCcC9U4CAnWCNRfmG80CdYIO0NJUS5OQVNEQVFDTTpNVEVNLklRX1RPVEFMX1JFVi5DWTIwMTcuNy8zMS8yMDE4LkxGUi5GLlVTRC5IAQAAAJmbqQECAAAABTMuMzk1AQgAAAAFAAAAATEBAAAACjE4ODExMTg4MTADAAAAAzE2MAIAAAAC</t>
  </si>
  <si>
    <t>MjgEAAAAATAHAAAACTcvMzEvMjAxOAgAAAAKMTIvMzEvMjAxNwkAAAABMMgwsjcICdYIGemhbzQJ1ggvQ0lRLklRVFIzNzE3MTUxMTkuSVFfVFJfVEFSR0VUX1RPVEFMX1JFVi4uVVNELkgBAAAAL+wnFgIAAAAAAFjPEg41CdYIwNuCDjUJ1ggjQ0lRLklRVFI1NTM1NDgwMjUuSVFfVFJfVE9UQUxfU1RPQ0sBAAAA+Xj+IAIAAAAAALKzSW80CdYIgf2VbzQJ1gg4Q0lRLk5BU0RBUUdTOlBCWUkuSVFfRUJJVERBLkNZMjAxNi43LzE2LzIwMTguTEZSLkYuVVNELkgBAAAAAmqsBwIAAAAILTI3NS40NDcBCAAAAAUAAAABMQEAAAAKMTg3ODA2MzMzMAMAAAADMTYwAgAAAAQ0MDUxBAAAAAEwBwAAAAk3LzE2LzIwMTgIAAAACjEyLzMxLzIwMTYJAAAAATDE/xsRNQnWCBL+ZBI1CdYILkNJUS5OQVNEQVFHUzpTR0VOLklRX1BSRUZfRVFVSVRZLi4uTEZSLkYuVVNELkgBAAAAYYUAAAMAAAAAAEadGRE1CdYIRp0ZETUJ1gg8Q0lRLk5BU0RBUUdTOkVQWk0uSVFfRUFSTklOR19DTy5DWTIwMTcuNy8zMS8yMDE4LkxGUi5GLlVTRC5IAQAAAAMmPQMCAAAACC0xMzQuMzA5AQgAAAAFAAAAATEBAAAACjE4NzgwODEwNjQDAAAAAzE2MAIAAAABNwQAAAABMAcAAAAJNy8zMS8yMDE4CAAAAAoxMi8zMS8yMDE3CQAAAAEw1owROAgJ1ghzJJ1vNAnWCCtDSVEuSVFUUjUzNTcxOTk5OC5JUV9UUl9JTVBMSUVEX0VWX0VCSVRfRldE</t>
  </si>
  <si>
    <t>AQAAAD5w7h8DAAAAAk5NALKzSW80CdYIgf2VbzQJ1gggQ0lRLklRMzYxODM4MTMuSVFfTEFTVFNBTEVQUklDRS4BAAAABR8oAgIAAAAEMS45NQCcC9U4CAnWCHd5gA41CdYIPENJUS5OQVNEQVFHUzpCR05FLklRX0VBUk5JTkdfQ08uQ1kyMDE2LjcvMzEvMjAxOC5MRlIuRi5VU0QuSAEAAADg5N0GAgAAAAgtMTE5LjIxNwEIAAAABQAAAAExAQAAAAoxODk5ODgxMjA0AwAAAAMxNjACAAAAATcEAAAAATAHAAAACTcvMzEvMjAxOAgAAAAKMTIvMzEvMjAxNgkAAAABMJwL1TgICdYIgf2VbzQJ1gggQ0lRLklRMzYxODM4MTkuSVFfTEFTVFNBTEVQUklDRS4BAAAACx8oAgIAAAAEMi4yNACcC9U4CAnWCHd5gA41CdYIIkNJUS5JUVRSNTUzNTQ4MDI1LklRX1RSX1RBUkdFVE5BTUUBAAAA+Xj+IAMAAAASVmlyYWx5dGljcyBMaW1pdGVkALKzSW80CdYIgf2VbzQJ1ggtQ0lRLk5BU0RBUUdTOkNBTEEuSVFfRElWSURFTkRfWUlFTEQuNy8zMS8yMDE4AQAAAKUngQYDAAAAAADIMLI3CAnWCN1LpG80CdYIHkNJUS5JUTM2MTgzODM0LklRX0NPTVBBTllfTkFNRQEAAAAaHygCAwAAADFVbml0ZWQgU3RhdGVzIFRyZWFzdXJ5IENvbnN0YW50IE1hdHVyaXR5IC0gNyBZZWFyAAxtEA41CdYId3mADjUJ1gglQ0lRLk5BU0RBUUdTOk5LLklRX0JFVEFfMllSLjcvMzEvMjAxOAEAAAANfaEPAgAAABAxLjgzMDUxNTMzNzQ3MTEx</t>
  </si>
  <si>
    <t>ANaMETgICdYIGemhbzQJ1gg4Q0lRLk5BU0RBUUdNOk5MTksuSVFfRUJJVERBLkNZMjAxNy43LzE2LzIwMTguTEZSLkYuVVNELkgBAAAAlXuMAAIAAAAHLTY5Ljc3NAEIAAAABQAAAAExAQAAAAoxODc3Mjk4ODEzAwAAAAMxNjACAAAABDQwNTEEAAAAATAHAAAACTcvMTYvMjAxOAgAAAAKMTIvMzEvMjAxNwkAAAABMCkclBA1CdYI5HRbEjUJ1ggnQ0lRLk5BU0RBUUNNOkFWRU8uSVFfQkVUQV81WVIuNy8xNi8yMDE4AQAAAPQWHQACAAAAEDEuNjE3MDM2MzUwOTg5NTcAxP8bETUJ1gjCm2ISNQnWCD1DSVEuTkFTREFRR006RkFURS5JUV9SRVZFTlVFX0VTVC5DWTIwMTguNy8zMS8yMDE4LkNPTi5GLlVTRC5IAQAAAGgxVwICAAAABDMuNjgBDgAAAAUAAAACMTEBAAAAATACAAAACjEwMDE5Njc0MzgDAAAABjEwMDE4MAQAAAABMgYAAAABMAcAAAADMTYwCAAAAAEwCQAAAAExCgAAAAEwCwAAAAsxMDk4NTcxNjEzMgwAAAABNw0AAAAIOC8xLzIwMTgQAAAACTcvMzEvMjAxONaMETgICdYIw4afbzQJ1gg7Q0lRLk5BU0RBUUdTOkNBTEEuSVFfVE9UQUxfUkVWLkNZMjAxNy43LzMxLzIwMTguTEZSLkYuVVNELkgBAAAApSeBBgIAAAAGMjUuOTU1AQgAAAAFAAAAATEBAAAACjE4Nzc5NTU3MDcDAAAAAzE2MAIAAAACMjgEAAAAATAHAAAACTcvMzEvMjAxOAgAAAAKMTIvMzEvMjAxNwkAAAABMMgwsjcICdYI3UukbzQJ</t>
  </si>
  <si>
    <t>1ggsQ0lRLklRVFI1MzMzODU3NDQuSVFfVFJfVEFSR0VUX0VCSVREQS4uVVNELkgBAAAAENLKHwIAAAAAAAxtEA41CdYIwNuCDjUJ1ghCQ0lRLk5BU0RBUUdNOk5MTksuSVFfVE9UQUxfUkVWXzVZUl9BTk5fQ0FHUi4uNy8xNi8yMDE4LkxGUi5GLlVTRC5IAQAAAJV7jAACAAAABzg4LjIxMDMBCAAAAAUAAAABMQEAAAAKMTg4ODM1NDIwNwMAAAADMTYwAgAAAAQ0MjMzBAAAAAEwBwAAAAk3LzE2LzIwMTgIAAAACTMvMzEvMjAxOAkAAAABMCkclBA1CdYI5HRbEjUJ1ggiQ0lRLklRVFI0MjQzNDIwNDYuSVFfVFJfUENUX1NPVUdIVAEAAAAe8koZAgAAAAMxMDABBgAAAAUAAAACNTQBAAAABjEwMTAyNAIAAAAJNDI0MzQyMDQ2AwAAAAk0MjQzNDI2NTgEAAAAAzE2MAYAAAAEVHJ1ZQxtEA41CdYIwNuCDjUJ1gg5Q0lRLkFTWDpJTVUuSVFfRUJJVERBXzJZUl9BTk5fQ0FHUi4uNy8xNi8yMDE4LkxGUi5GLlVTRC5IAQAAAJiTqQADAAAAAAApHJQQNQnWCDDXXRI1CdYIIUNJUS5JUVRSNTQ3NDIzNjgwLklRX1RSX0JVWUVSTkFNRQEAAADABaEgAwAAABRSb2NoZSBIb2xkaW5ncywgSW5jLgAMbRAONQnWCMDbgg41CdYIOENJUS5OQVNEQVFHTTpBUlFMLklRX0VCSVREQS5DWTIwMTcuNy8zMS8yMDE4LkxGUi5GLlVTRC5IAQAAAPZhAAACAAAABy0yNi45NTQBCAAAAAUAAAABMQEAAAAKMTg3ODUwODY5OAMAAAADMTYw</t>
  </si>
  <si>
    <t>AgAAAAQ0MDUxBAAAAAEwBwAAAAk3LzMxLzIwMTgIAAAACjEyLzMxLzIwMTcJAAAAATDWjBE4CAnWCHMknW80CdYISkNJUS4oSU5WQUxJRCBJREVOVElGSUVSKS5JUV9FQklUREFfMllSX0FOTl9DQUdSLjIwMDAuNy8zMS8yMDE4LkxGUi5GLlVTRC5IBQAAAAAAAAAIAAAAFChJbnZhbGlkIElkZW50aWZpZXIpyDCyNwgJ1gjtNrBvNAnWCDxDSVEuTkFTREFRR1M6TVJTTi5JUV9FQklUREFfRVNULkNZMjAxOS43LzMxLzIwMTguQ09OLkYuVVNELkgBAAAA5sUYAAIAAAAHLTQ4LjIwMgEOAAAABQAAAAIxMQEAAAABMAIAAAAKMTAwMzgwMzI4MAMAAAAGMTAwMTg3BAAAAAEyBgAAAAEwBwAAAAMxNjAIAAAAATAJAAAAATEKAAAAATALAAAACzEwOTgxNDE1NjI0DAAAAAE3DQAAAAg4LzEvMjAxOBAAAAAJNy8zMS8yMDE41owROAgJ1gjDhp9vNAnWCCdDSVEuTkFTREFRR006QVJSWS5JUV9QRVJJT0REQVRFX0lTLjEwMDABAAAA+GEAAAUAAAAJNi8zMC8yMDE4AJwL1TgICdYI1F+YbzQJ1gglQ0lRLklRVFIzMjE4NjUyOTcuSVFfUFJJTUFSWV9JTkRVU1RSWQEAAAB+RS8TAwAAACBMaWZlIFNjaWVuY2VzIFRvb2xzIGFuZCBTZXJ2aWNlcwAMbRAONQnWCAw+hQ41CdYIOkNJUS5PVENQSzpOV0JPLklRX1JFVkVOVUVfRVNULkNZMjAyMS43LzE2LzIwMTguQ09OLkYuVVNELkgBAAAAo3oUAAMAAAAAACkclBA1CdYIczlg</t>
  </si>
  <si>
    <t>EjUJ1gg3Q0lRLk5BU0RBUUdTOkZQUlguSVFfUEVSSU9EREFURV9JUy4yMDAwLjcvMzEvMjAxOC5MRlIuRgEAAAA3XTMABQAAAAkzLzMxLzIwMTgA1owROAgJ1ggZ6aFvNAnWCEJDSVEuTkFTREFRR1M6U0dFTi5JUV9UT1RBTF9SRVZfM1lSX0FOTl9DQUdSLi43LzE2LzIwMTguTEZSLkYuVVNELkgBAAAAYYUAAAIAAAAHMTkuNTUxNQEIAAAABQAAAAExAQAAAAoxODg0ODkyODUyAwAAAAMxNjACAAAABDQyMjAEAAAAATAHAAAACTcvMTYvMjAxOAgAAAAJMy8zMS8yMDE4CQAAAAEwxP8bETUJ1ghoYGcSNQnWCC5DSVEuTkFTREFRR006RkFURS5JUV9NQVJLRVRDQVAuNy8zMS8yMDE4LlVTRC5IAQAAAGgxVwICAAAACjQ3Mi4wMjU5MjMBBgAAAAUAAAABMQEAAAAKMTg4ODQ5Nzg5MgMAAAADMTYwAgAAAAYxMDAwNTQEAAAAATAHAAAACTcvMzEvMjAxONaMETgICdYIw4afbzQJ1ghBQ0lRLihJTlZBTElEIElERU5USUZJRVIpLklRX0VBUk5JTkdfQ08uMTk5Ni43LzMxLzIwMTguTEZSLkYuVVNELkgFAAAAAAAAAAgAAAAUKEludmFsaWQgSWRlbnRpZmllcinIMLI3CAnWCO02sG80CdYIPENJUS5OQVNEQVFHUzpGUFJYLklRX0dST1NTX01BUkdJTi4yMDAwLjcvMzEvMjAxOC5MRlIuRi5VU0QuSAEAAAA3XTMAAgAAAAktMTU5Ljc4NDMBCAAAAAUAAAABMQEAAAAKMTg4NzQwMjIyNwMAAAADMTYwAgAAAAQ0MDc0BAAA</t>
  </si>
  <si>
    <t>AAEwBwAAAAk3LzMxLzIwMTgIAAAACTMvMzEvMjAxOAkAAAABMNaMETgICdYIGemhbzQJ1ggdQ0lRLk5BU0RBUUNNOkNLUFQuSVFfRVhDSEFOR0UBAAAAuFEWEQMAAAAITmFzZGFxQ00AKRyUEDUJ1ggw110SNQnWCDhDSVEuTkFTREFRR1M6Q0FMQS5JUV9FQklUREEuQ1kyMDE3LjcvMTYvMjAxOC5MRlIuRi5VU0QuSAEAAAClJ4EGAgAAAActMjkuMzIxAQgAAAAFAAAAATEBAAAACjE4Nzc5NTU3MDcDAAAAAzE2MAIAAAAENDA1MQQAAAABMAcAAAAJNy8xNi8yMDE4CAAAAAoxMi8zMS8yMDE3CQAAAAEwKRyUEDUJ1gjkdFsSNQnWCDVDSVEuTkFTREFRR006QVJSWS5JUV9DQVBFWC4xOTk2LjcvMzEvMjAxOC5MRlIuRi5VU0QuSAEAAAD4YQAAAgAAAAUtMy43NAEIAAAABQAAAAExAQAAAAoxODg4NDcwNjU2AwAAAAMxNjACAAAABDIwMjEEAAAAATAHAAAACTcvMzEvMjAxOAgAAAAJMy8zMS8yMDE3CQAAAAEwnAvVOAgJ1gjUX5hvNAnWCC5DSVEuTkFTREFRR1M6UEJZSS5JUV9NQVJLRVRDQVAuOS8xNS8yMDE3LlVTRC5IAQAAAAJqrAcCAAAACzM4MDQuMjcyMjkzAQYAAAAFAAAAATEBAAAACjE4NTI5OTM1NjMDAAAAAzE2MAIAAAAGMTAwMDU0BAAAAAEwBwAAAAk5LzE1LzIwMTdGnRkRNQnWCBL+ZBI1CdYIJENJUS5FTlhUUEE6SVBILklRX0JFVEFfMVlSLjcvMTYvMjAxOAEAAACZgAYAAgAAABAxLjE2OTMyMTQ5</t>
  </si>
  <si>
    <t>MTY1NTY4ACkclBA1CdYIczlgEjUJ1gg8Q0lRLk5BU0RBUUNNOlNSTkUuSVFfRUFSTklOR19DTy5DWTIwMTYuNy8zMS8yMDE4LkxGUi5GLlVTRC5IAQAAAElDlAMCAAAABy02My45MzcBCAAAAAUAAAABMQEAAAAKMTg3ODY3NzQ1MwMAAAADMTYwAgAAAAE3BAAAAAEwBwAAAAk3LzMxLzIwMTgIAAAACjEyLzMxLzIwMTYJAAAAATDWjBE4CAnWCHMknW80CdYIN0NJUS5OQVNEQVFHTTpMUFRYLklRX0VCSVRfTUFSR0lOLi43LzE2LzIwMTguTEZSLkYuVVNELkgBAAAADDYJBwMAAAAAACkclBA1CdYIMNddEjUJ1ggzQ0lRLk9UQ1BLOk1CVlguSVFfVE9UQUxfREVCVC4uOS8xNS8yMDE3LkxGUi5GLlVTRC5IAQAAANhEiwICAAAACDQuMDI4MzQ3AQgAAAAFAAAAATEBAAAACjE4NTQyNjU3NjMDAAAAAzE2MAIAAAAENDE3MwQAAAABMAcAAAAJOS8xNS8yMDE3CAAAAAk2LzMwLzIwMTcJAAAAATDep34QNQnWCJgSWRI1CdYIO0NJUS5OQVNEQVFHUzpBVE5YLklRX0VCSVRfTUFSR0lOLjIwMDAuNy8zMS8yMDE4LkxGUi5GLlVTRC5IAQAAANyZawECAAAACS0xMTYuOTk2MgEIAAAABQAAAAExAQAAAAoxODg4NzAyOTgyAwAAAAMxNjACAAAABDQwNTMEAAAAATAHAAAACTcvMzEvMjAxOAgAAAAJMy8zMS8yMDE4CQAAAAEw1owROAgJ1ggkwppvNAnWCDZDSVEuTkFTREFRR1M6QURYUy5JUV9UT1RBTF9ERUJULi45LzE1LzIw</t>
  </si>
  <si>
    <t>MTcuTEZSLkYuVVNELkgBAAAAnux4AAIAAAABMAEIAAAABQAAAAExAQAAAAoxODU4ODY5ODk3AwAAAAMxNjACAAAABDQxNzMEAAAAATAHAAAACTkvMTUvMjAxNwgAAAAJNy8zMS8yMDE3CQAAAAEwKRyUEDUJ1gjkdFsSNQnWCCVDSVEuSVFUUjUzNTcxOTk5OC5JUV9UUl9JTVBMSUVEX0VRX0JWAQAAAD5w7h8CAAAACTE0LjY2NDc1OQEGAAAABQAAAAI1NAEAAAAGMTAyMDk3AgAAAAk1MzU3MTk5OTgDAAAACTUzNTcyNDgxMwQAAAADMTYwBgAAAAVGYWxzZbKzSW80CdYIgf2VbzQJ1ggzQ0lRLk5BU0RBUUNNOkNLUFQuSVFfUEVSSU9EREFURV9JUy4uNy8xNi8yMDE4LkxGUi5GAQAAALhRFhEFAAAACTMvMzEvMjAxOAApHJQQNQnWCDDXXRI1CdYILkNJUS5JUVRSNTMzNjM5NTAxLklRX1RSX1RBUkdFVF9TVE9DS1BSRU1JVU1fMVcBAAAATbHOHwIAAAAAAAxtEA41CdYIwNuCDjUJ1gg8Q0lRLk5BU0RBUUdTOk1HTlguSVFfRUJJVERBX0VTVC5DWTIwMTkuNy8xNi8yMDE4LkNPTi5GLlVTRC5IAQAAAE8rCQACAAAACS0xNTIuODMzNwEOAAAABQAAAAIxMQEAAAABMAIAAAAKMTAwMTk3MjkzMAMAAAAGMTAwMTg3BAAAAAEyBgAAAAEwBwAAAAMxNjAIAAAAATAJAAAAATEKAAAAATALAAAACzEwOTExMTA0MjUzDAAAAAE3DQAAAAk3LzE3LzIwMTgQAAAACTcvMTYvMjAxOMT/GxE1CdYIwptiEjUJ1gg8Q0lRLk5BU0RB</t>
  </si>
  <si>
    <t>UUdTOlRTUk8uSVFfVE9UQUxfRVFVSVRZLjE5OTIuNy8zMS8yMDE4LkxGUi5GLlVTRC5IAQAAAGjWWAYCAAAABzE2MC45NjQBCAAAAAUAAAABMQEAAAAKMTg0MDkzNDY2MwMAAAADMTYwAgAAAAQxMjc1BAAAAAEwBwAAAAk3LzMxLzIwMTgIAAAACTMvMzEvMjAxNgkAAAABMJwL1TgICdYIJMKabzQJ1gg4Q0lRLk5BU0RBUUdNOklNTVUuSVFfRUJJVERBLkNZMjAxNy43LzE2LzIwMTguTEZSLkYuVVNELkgBAAAAIEMEAAIAAAAKLTkxLjg3NjU5NAEIAAAABQAAAAExAQAAAAoxODczNDkzNTI4AwAAAAMxNjACAAAABDQwNTEEAAAAATAHAAAACTcvMTYvMjAxOAgAAAAKMTIvMzEvMjAxNwkAAAABMMT/GxE1CdYIEv5kEjUJ1gg+Q0lRLk5BU0RBUUdTOkFOQUIuSVFfVE9UQUxfRVFVSVRZLkNZMjAxNi43LzE2LzIwMTguTEZSLkYuVVNELkgBAAAAIUyyAQIAAAAGNDIuNTA5AQgAAAAFAAAAATEBAAAACjE4NzcwNjUxOTYDAAAAAzE2MAIAAAAEMTI3NQQAAAABMAcAAAAJNy8xNi8yMDE4CAAAAAoxMi8zMS8yMDE2CQAAAAEwxP8bETUJ1gjCm2ISNQnWCDZDSVEuTkFTREFRR1M6S1VSQS5JUV9FQklUREEuMTk5Ni43LzMxLzIwMTguTEZSLkYuVVNELkgBAAAAuMvaEAIAAAAHLTI4Ljk0OQEIAAAABQAAAAExAQAAAAoxODg3MzgyOTIyAwAAAAMxNjACAAAABDQwNTEEAAAAATAHAAAACTcvMzEvMjAxOAgAAAAJMy8zMS8y</t>
  </si>
  <si>
    <t>MDE3CQAAAAEw1owROAgJ1ghzJJ1vNAnWCDxDSVEuTkFTREFRQ006Q0tQVC5JUV9FQklUREFfRVNULkNZMjAxOC43LzE2LzIwMTguQ09OLkYuVVNELkgBAAAAuFEWEQIAAAAFLTM1LjMBDgAAAAUAAAACMTEBAAAAATACAAAACjEwMDM2NjU1OTcDAAAABjEwMDE4NwQAAAABMgYAAAABMAcAAAADMTYwCAAAAAEwCQAAAAExCgAAAAEwCwAAAAsxMDg3ODcwMDQ1NgwAAAABNw0AAAAJNy8xNy8yMDE4EAAAAAk3LzE2LzIwMTgpHJQQNQnWCDDXXRI1CdYIOENJUS5BU1g6SU1VLklRX1RPVEFMX0VRVUlUWS5DWTIwMTYuNy8xNi8yMDE4LkxGUi5GLlVTRC5IAQAAAJiTqQACAAAACDYuNzgyMjM4AQgAAAAFAAAAATEBAAAACjE4NzczMDU4NzMDAAAAAzE2MAIAAAAEMTI3NQQAAAABMAcAAAAJNy8xNi8yMDE4CAAAAAoxMi8zMS8yMDE2CQAAAAEwKRyUEDUJ1ggw110SNQnWCDVDSVEuTkFTREFRR1M6RVBaTS5JUV9DQVBFWC4xOTkyLjcvMzEvMjAxOC5MRlIuRi5VU0QuSAEAAAADJj0DAgAAAAUtMC4wOQEIAAAABQAAAAExAQAAAAoxODQwNjMwMzk0AwAAAAMxNjACAAAABDIwMjEEAAAAATAHAAAACTcvMzEvMjAxOAgAAAAJMy8zMS8yMDE2CQAAAAEw1owROAgJ1ghzJJ1vNAnWCERDSVEuKElOVkFMSUQgSURFTlRJRklFUikuSVFfUkVWRU5VRV9FU1QuQ1kyMDIxLjcvMTYvMjAxOC5DT04uRi5VU0QuSAUAAAAAAAAACAAA</t>
  </si>
  <si>
    <t>ABQoSW52YWxpZCBJZGVudGlmaWVyKSAKgRA1CdYImBJZEjUJ1ggwQ0lRLk5BU0RBUUdTOkFOQUIuSVFfTEFTVFNBTEVQUklDRS43LzE2LzIwMTguVVNEAQAAACFMsgECAAAABTcxLjIyAEadGRE1CdYIEv5kEjUJ1gg6Q0lRLk5BU0RBUUdTOktVUkEuSVFfRUFSTklOR19DTy4xOTk2LjcvMzEvMjAxOC5MRlIuRi5VU0QuSAEAAAC4y9oQAgAAAActMjguNDY3AQgAAAAFAAAAATEBAAAACjE4ODczODI5MjIDAAAAAzE2MAIAAAABNwQAAAABMAcAAAAJNy8zMS8yMDE4CAAAAAkzLzMxLzIwMTcJAAAAATDWjBE4CAnWCHMknW80CdYIMUNJUS5OQVNEQVFHTTpYTkNSLklRX0RBX0NGLi43LzE2LzIwMTguTEZSLkYuVVNELkgBAAAAploLAAIAAAAEMi4zNQEIAAAABQAAAAExAQAAAAoxODg3MTI1ODU1AwAAAAMxNjACAAAABDIxNjAEAAAAATAHAAAACTcvMTYvMjAxOAgAAAAJMy8zMS8yMDE4CQAAAAEwxP8bETUJ1ggS/mQSNQnWCDpDSVEuTkFTREFRR006Q1JWUy5JUV9FQVJOSU5HX0NPLjE5OTIuNy8zMS8yMDE4LkxGUi5GLlVTRC5IAQAAAPSwphACAAAABy0zNS43NjkBCAAAAAUAAAABMQEAAAAKMTg0MDExNjE1NAMAAAADMTYwAgAAAAE3BAAAAAEwBwAAAAk3LzMxLzIwMTgIAAAACTMvMzEvMjAxNgkAAAABMNaMETgICdYIGemhbzQJ1ggkQ0lRLk5BU0RBUUdNOkNSSVMuSVFfRUZGRUNUX1RBWF9SQVRFAQAAABdq</t>
  </si>
  <si>
    <t>AAADAAAAAADIMLI3CAnWCN1LpG80CdYIHkNJUS5PVENQSzpOV0JPLklRX0NPTVBBTllfTkFNRQEAAACjehQAAwAAAB9Ob3J0aHdlc3QgQmlvdGhlcmFwZXV0aWNzLCBJbmMuACkclBA1CdYIczlgEjUJ1ghBQ0lRLlhUUkE6TU9SLklRX1RPVEFMX1JFVl81WVJfQU5OX0NBR1IuMjAwMC43LzMxLzIwMTguTEZSLkYuVVNELkgBAAAA3xECAAIAAAAGMC4yMDM0AQgAAAAFAAAAATEBAAAACjE4ODYxNTE2NDgDAAAAAjUwAgAAAAQ0MjMzBAAAAAEwBwAAAAk3LzMxLzIwMTgIAAAACTMvMzEvMjAxOAkAAAABMJwL1TgICdYI1F+YbzQJ1ghHQ0lRLk5BU0RBUUNNOlpJT1AuSVFfTUlOT1JJVFlfSU5URVJFU1RfVE9UQUwuMjAwMC43LzMxLzIwMTguTEZSLkYuVVNELkgBAAAAs1GyAAMAAAAAANaMETgICdYIw4afbzQJ1ggfQ0lRLklRNzkyNDg5NC5JUV9DT01QQU5ZX1RJQ0tFUgEAAACe7HgAAwAAAA1OYXNkYXFHUzpBRFhTAAxtEA41CdYIzLKaDjUJ1gg7Q0lRLk5BU0RBUUdTOkJHTkUuSVFfRUJJVF9NQVJHSU4uMjAwMC43LzMxLzIwMTguTEZSLkYuVVNELkgBAAAA4OTdBgIAAAAILTU4LjIxNTUBCAAAAAUAAAABMQEAAAAKMTg4NzY4ODU4OAMAAAADMTYwAgAAAAQ0MDUzBAAAAAEwBwAAAAk3LzMxLzIwMTgIAAAACTMvMzEvMjAxOAkAAAABMJwL1TgICdYIgf2VbzQJ1ghHQ0lRLk5BU0RBUUdNOkFSUUwuSVFfTUlO</t>
  </si>
  <si>
    <t>T1JJVFlfSU5URVJFU1RfVE9UQUwuMjAwMC43LzMxLzIwMTguTEZSLkYuVVNELkgBAAAA9mEAAAMAAAAAANaMETgICdYIcySdbzQJ1gg5Q0lRLk5BU0RBUUdTOkNBTEEuSVFfRUJJVERBX01BUkdJTi4uNy8xNi8yMDE4LkxGUi5GLlVTRC5IAQAAAKUngQYCAAAACS0xMzguNTE2NgEIAAAABQAAAAExAQAAAAoxODg3OTgwMzA1AwAAAAMxNjACAAAABDQwNDcEAAAAATAHAAAACTcvMTYvMjAxOAgAAAAJMy8zMS8yMDE4CQAAAAEwKRyUEDUJ1gjkdFsSNQnWCCNDSVEuSVFUUjU1MDI1OTM5Ny5JUV9UUl9DTE9TRURfREFURQEAAADFSswgBQAAAAgzLzYvMjAxOAAMbRAONQnWCHd5gA41CdYIKUNJUS5OQVNEQVFHTTpGQVRFLklRX0JVU0lORVNTX0RFU0NSSVBUSU9OAQAAAGgxVwIDAAAAjg1GYXRlIFRoZXJhcGV1dGljcywgSW5jLiwgYSBjbGluaWNhbC1zdGFnZSBiaW9waGFybWFjZXV0aWNhbCBjb21wYW55LCBkZXZlbG9wcyBwcm9ncmFtbWVkIGNlbGx1bGFyIGltbXVub3RoZXJhcGllcyBmb3IgY2FuY2VyIGFuZCBpbW11bmUgZGlzb3JkZXJzIHdvcmxkd2lkZS4gSXRzIGltbXVuby1vbmNvbG9neSBwcm9kdWN0IGNhbmRpZGF0ZXMgaW5jbHVkZSBGQVRFLU5LMTAwLCBhIG5hdHVyYWwga2lsbGVyIChOSykgY2VsbCBjYW5jZXIgaW1tdW5vdGhlcmFweSB0aGF0IGNvbnNpc3RzIG9mIGFkYXB0aXZlIG1lbW9y</t>
  </si>
  <si>
    <t>eSBOSyBjZWxsczsgRlQ1MDAgaW5kdWNlZCBwbHVyaXBvdGVudCBzdGVtIGNlbGxzIChpUFNDKS1kZXJpdmVkIE5LIGNlbGwgcHJvZHVjdCBjYW5kaWRhdGUgZm9yIHRoZSB0cmVhdG1lbnQgb2YgYWR2YW5jZWQgc29saWQgdHVtb3JzOyBGVDUxNiBlbmdpbmVlcmVkIGlQU0MtZGVyaXZlZCBOSyBjZWxsIHByb2R1Y3QgY2FuZGlkYXRlIGZvciB0aGUgdHJlYXRtZW50IG9mIGhlbWF0b2xvZ2ljL3NvbGlkIHR1bW9yczsgYW5kIEZUODE5IGVuZ2luZWVyZWQgY2hpbWVyaWMgYW50aWdlbiByZWNlcHRvciAxOSBpUFNDLWRlcml2ZWQgVC1jZWxsIHByb2R1Y3QgY2FuZGlkYXRlIGZvciBoZW1hdG9sb2dpYy9zb2xpZCB0dW1vcnMuIFRoZSBjb21wYW554oCZcyBpbW11bm8tcmVndWxhdGlvbiBwcm9kdWN0IGNhbmRpZGF0ZXMgY29tcHJpc2UgUHJvVG11bmUsIGFuIGludmVzdGlnYXRpb25hbCBwcm9ncmFtbWVkIGNlbGx1bGFyIGltbXVub3RoZXJhcHkgZm9yIHVzZSBhcyBhIG5leHQtZ2VuZXJhdGlvbiBhbGxvZ2VuZWljIGhlbWF0b3BvaWV0aWMgY2VsbCB0cmFuc3BsYW50YXRpb24gY2VsbCBncmFmdDsgVG9sZXJhQ3l0ZSBmb3IgdGhlIHRyZWF0bWVudCBvZiBhdXRvaW1tdW5lIGFuZCBpbmZsYW1tYXRvcnkgZGlzZWFzZXM7IGFuZCBGVDMwMCBpUFNDLWRlcml2ZWQgbXllbG9pZCBkZXJpdmVkIHN1cHBy</t>
  </si>
  <si>
    <t>ZXNzb3IgY2VsbCBwcm9kdWN0IGNhbmRpZGF0ZSBmb3IgdGhlIHRyZWF0bWVudCBvZiBhdXRvaW1tdW5lIGRpc2Vhc2VzLiBGYXRlIFRoZXJhcGV1dGljcywgSW5jLiBoYXMgYSByZXNlYXJjaCBjb2xsYWJvcmF0aW9uIGFuZCBsaWNlbnNlIGFncmVlbWVudCB3aXRoIE1lbW9yaWFsIFNsb2FuIEtldHRlcmluZyBDYW5jZXIgQ2VudGVyIHRvIGRldmVsb3Agb2ZmLXRoZS1zaGVsZiBlbmdpbmVlcmVkIFQtY2VsbCBwcm9kdWN0IGNhbmRpZGF0ZXM7IGEgcmVzZWFyY2ggY29sbGFib3JhdGlvbiBwYXJ0bmVyc2hpcCB3aXRoIHRoZSBVbml2ZXJzaXR5IG9mIENhbGlmb3JuaWEgU2FuIERpZWdvIHRvIGRldmVsb3Agb2ZmLXRoZS1zaGVsZiBjaGltZXJpYyBhbnRpZ2VuIHJlY2VwdG9yLXRhcmdldGVkIG5hdHVyYWwga2lsbGVyIGNlbGwgY2FuY2VyIGltbXVub3RoZXJhcGllcy4gSXQgYWxzbyBoYXMgYSBzdHJhdGVnaWMgcmVzZWFyY2ggY29sbGFib3JhdGlvbiBhbmQgbGljZW5zZSBhZ3JlZW1lbnQgd2l0aCBKdW5vIFRoZXJhcGV1dGljcywgSW5jLiB0byBpZGVudGlmeSBzbWFsbCBtb2xlY3VsZSBtb2R1bGF0b3JzIHRoYXQgZW5oYW5jZSB0aGUgZnVuY3Rpb24gb2YgVCBjZWxscy4gRmF0ZSBUaGVyYXBldXRpY3MsIEluYy4gd2FzIGZvdW5kZWQgaW4gMjAwNyBhbmQgaXMgaGVhZHF1YXJ0ZXJlZCBpbiBT</t>
  </si>
  <si>
    <t>YW4gRGllZ28sIENhbGlmb3JuaWEuANaMETgICdYIIrvpgTQJ1ggxQ0lRLk5BU0RBUUdTOkJHTkUuSVFfQ0FQRVguLjcvMTYvMjAxOC5MRlIuRi5VU0QuSAEAAADg5N0GAgAAAActNTEuMDAyAQgAAAAFAAAAATEBAAAACjE4ODc2ODg1ODgDAAAAAzE2MAIAAAAEMjAyMQQAAAABMAcAAAAJNy8xNi8yMDE4CAAAAAkzLzMxLzIwMTgJAAAAATDE/xsRNQnWCGhgZxI1CdYIPUNJUS5OQVNEQVFHTTpGQVRFLklRX0VCSVREQV9NQVJHSU4uMjAwMC43LzMxLzIwMTguTEZSLkYuVVNELkgBAAAAaDFXAgMAAAACTk0BCAAAAAUAAAABMQEAAAAKMTg4ODUwMDUyNwMAAAADMTYwAgAAAAQ0MDQ3BAAAAAEwBwAAAAk3LzMxLzIwMTgIAAAACTMvMzEvMjAxOAkAAAABMNaMETgICdYIw4afbzQJ1ggxQ0lRLi5JUV9DQVNIX1NUX0lOVkVTVC4yMDAwLjcvMzEvMjAxOC5MRlIuRi5VU0QuSAUAAAABAAAACAAAABQoSW52YWxpZCBJZGVudGlmaWVyKfWEMkc0CdYI9YQyRzQJ1ggxQ0lRLklRVFIyNTM5NTQ0NzMuSVFfVFJfVEFSR0VUX1JFVkVOVUVfRVNULi5VU0QuSAEAAACpCSMPAgAAAAAAsrNJbzQJ1gg1m5NvNAnWCCBDSVEuSVFUUjI0NTgzMTAwNy5JUV9UUl9FQVJOT1VUUwEAAABfFacOAgAAAAAAsrNJbzQJ1giB/ZVvNAnWCD9DSVEuTkFTREFRQ006WklPUC5JUV9ORVRfV09SS0lOR19DQVAuMTk5Ni43LzMxLzIwMTguTEZS</t>
  </si>
  <si>
    <t>LkYuVVNELkgBAAAAs1GyAAIAAAAFOC44MzkBCAAAAAUAAAABMQEAAAAKMTg4Nzk3MjM0OAMAAAADMTYwAgAAAAQxMzExBAAAAAEwBwAAAAk3LzMxLzIwMTgIAAAACTMvMzEvMjAxNwkAAAABMNaMETgICdYIw4afbzQJ1ggqQ0lRLklRVFI1NTExNjYyOTIuSVFfVFJfVEFSR0VUX0VCSVQuLlVTRC5IAQAAAFQh2iACAAAABy01Ny43ODkBBgAAAAUAAAACMzcBAAAACjE4Nzc0NzgxOTcCAAAABTIxNjc1AwAAAAMxNjAEAAAAATAHAAAACDEvMS8xOTAwDG0QDjUJ1gjA24IONQnWCCJDSVEuSVFUUjU0ODMzODAyMC5JUV9UUl9UQVJHRVROQU1FAQAAAGT5riADAAAAOkdsb2JhbCBDb21tZXJjaWFsIFJpZ2h0cyBmb3IgVmFybGl0aW5pYiBvZiBBcnJheSBCaW9QaGFybWEADG0QDjUJ1gjA24IONQnWCDtDSVEuTkFTREFRR006WE5DUi5JUV9UT1RBTF9SRVYuQ1kyMDE2LjcvMTYvMjAxOC5MRlIuRi5VU0QuSAEAAACmWgsAAgAAAAU4Ny41MgEIAAAABQAAAAExAQAAAAoxODc2OTg0NTIzAwAAAAMxNjACAAAAAjI4BAAAAAEwBwAAAAk3LzE2LzIwMTgIAAAACjEyLzMxLzIwMTYJAAAAATDE/xsRNQnWCBL+ZBI1CdYIMUNJUS5JUVRSNTUwMjU5Mzk3LklRX1RSX1RBUkdFVF9SRVZFTlVFX0VTVC4uVVNELkgBAAAAxUrMIAIAAAAHNjguMDA2NAAMbRAONQnWCHd5gA41CdYIPENJUS5OQVNEQVFHUzpDQUxBLklRX1RPVEFM</t>
  </si>
  <si>
    <t>X0VRVUlUWS4yMDAwLjcvMzEvMjAxOC5MRlIuRi5VU0QuSAEAAAClJ4EGAgAAAAcxNDcuODY3AQgAAAAFAAAAATEBAAAACjE4ODc5ODAzMDUDAAAAAzE2MAIAAAAEMTI3NQQAAAABMAcAAAAJNy8zMS8yMDE4CAAAAAkzLzMxLzIwMTgJAAAAATDIMLI3CAnWCN1LpG80CdYILENJUS5JUVRSNTQ4MzM4MDIwLklRX1RSX1RBUkdFVF9FQklUREEuLlVTRC5IAQAAAGT5riACAAAAAAAMbRAONQnWCMDbgg41CdYIIUNJUS5OQVNEQVFHUzpHVEhYLklRX0NPTVBBTllfTkFNRQEAAABlNGkIAwAAABVHMSBUaGVyYXBldXRpY3MsIEluYy4AnAvVOAgJ1ggkwppvNAnWCDBDSVEuSVFUUjQwODQwNzgyMi5JUV9UUl9UQVJHRVRfRUJJVERBX0VTVC4uVVNELkgBAAAADs9XGAIAAAAAALKzSW80CdYIgf2VbzQJ1ggkQ0lRLk5BU0RBUUdNOkFSUUwuSVFfRUZGRUNUX1RBWF9SQVRFAQAAAPZhAAADAAAAAADWjBE4CAnWCMOGn280CdYIJ0NJUS5OQVNEQVFHUzpNUlNOLklRX1BFUklPRERBVEVfSVMuMTAwMAEAAADmxRgABQAAAAoxMi8zMS8yMDE3ANaMETgICdYIw4afbzQJ1ggaQ0lRLi5JUV9CRVRBXzVZUi43LzMxLzIwMTgFAAAAAQAAAAgAAAAUKEludmFsaWQgSWRlbnRpZmllcin1hDJHNAnWCPWEMkc0CdYIJUNJUS5OQVNEQVFHUzpOSy5JUV9CRVRBXzFZUi43LzMxLzIwMTgBAAAADX2hDwIAAAAQMS43NzUxNDQ1MTIxMDM5</t>
  </si>
  <si>
    <t>NADWjBE4CAnWCBnpoW80CdYIHUNJUS5JUTM0MTQ1LklRX0NPTVBBTllfVElDS0VSAQAAAGGFAAADAAAADU5hc2RhcUdTOlNHRU4ADG0QDjUJ1ggMPoUONQnWCDtDSVEuTkFTREFRR006SU1NVS5JUV9UT1RBTF9SRVYuQ1kyMDE2LjcvMzEvMjAxOC5MRlIuRi5VU0QuSAEAAAAgQwQAAgAAAAgyLjk1NzI0MQEIAAAABQAAAAExAQAAAAoxODczNDkzNDkxAwAAAAMxNjACAAAAAjI4BAAAAAEwBwAAAAk3LzMxLzIwMTgIAAAACjEyLzMxLzIwMTYJAAAAATCcC9U4CAnWCNRfmG80CdYIIkNJUS4uSVFfVFJfSU1QTElFRF9FVl9GSU5BTC4uVVNELkgFAAAAAAAAAAgAAAAUKEludmFsaWQgSWRlbnRpZmllcimcC9U4CAnWCHd5gA41CdYIRkNJUS5OQVNEQVFDTTpTUk5FLklRX01JTk9SSVRZX0lOVEVSRVNUX1RPVEFMLjIwMDAuNS81LzIwMTcuTEZSLkYuVVNELkgBAAAASUOUAwIAAAAFNi40NjUBCAAAAAUAAAABMQEAAAAKMTgzMzU2NjU5OQMAAAADMTYwAgAAAAQxMzEyBAAAAAEwBwAAAAg1LzUvMjAxNwgAAAAKMTIvMzEvMjAxNgkAAAABMNaMETgICdYIcySdbzQJ1ggnQ0lRLk5BU0RBUUNNOkFWRU8uSVFfQkVUQV8xWVIuNy8xNi8yMDE4AQAAAPQWHQACAAAAETAuMTEyMDc2NDMyODUzMjk4AMT/GxE1CdYIwptiEjUJ1ggrQ0lRLklRVFI1MzMzODU3NDQuSVFfVFJfVE9UQUxfR1JPU1NfVFYuLlVTRAEAAAAQ0sof</t>
  </si>
  <si>
    <t>AgAAAAQyMzIwAQYAAAAFAAAAAjU0AQAAAAYxMDIwODgCAAAACTUzMzM4NTc0NAMAAAAJNTMzMzg1ODI0BAAAAAMxNjAGAAAABUZhbHNlDG0QDjUJ1gjA24IONQnWCCNDSVEuTkFTREFRR1M6UEJZSS5JUV9QRVJJT0REQVRFX0lTLgEAAAACaqwHBQAAAAk2LzMwLzIwMTgAxP8bETUJ1ggS/mQSNQnWCCJDSVEuSVFUUjUzMzM4NTc0NC5JUV9UUl9UQVJHRVROQU1FAQAAABDSyh8DAAAAFklGTSBUaGVyYXBldXRpY3MsIEluYy4ADG0QDjUJ1gh3eYAONQnWCDBDSVEuTkFTREFRR006Q1JWUy5JUV9MQVNUU0FMRVBSSUNFLjcvMzEvMjAxOC5VU0QBAAAA9LCmEAIAAAAEOS44NwDWjBE4CAnWCBnpoW80CdYIQ0NJUS5OQVNEQVFHUzpDQUxBLklRX01JTk9SSVRZX0lOVEVSRVNUX1RPVEFMLi43LzE2LzIwMTguTEZSLkYuVVNELkgBAAAApSeBBgMAAAAAACkclBA1CdYI5HRbEjUJ1gg3Q0lRLk5BU0RBUUdTOkFEWFMuSVFfRUJJVF9NQVJHSU4uLjcvMTYvMjAxOC5MRlIuRi5VU0QuSAEAAACe7HgAAwAAAAJOTQEIAAAABQAAAAExAQAAAAoxODkyNzg4NTQ4AwAAAAMxNjACAAAABDQwNTMEAAAAATAHAAAACTcvMTYvMjAxOAgAAAAJNC8zMC8yMDE4CQAAAAEwKRyUEDUJ1gjkdFsSNQnWCClDSVEuTkFTREFRR006TkxOSy5JUV9CVVNJTkVTU19ERVNDUklQVElPTgEAAACVe4wAAwAAAOoNTmV3TGluayBHZW5ldGljcyBD</t>
  </si>
  <si>
    <t>b3Jwb3JhdGlvbiwgYSBsYXRlIGNsaW5pY2FsLXN0YWdlIGltbXVuby1vbmNvbG9neSBjb21wYW55LCBmb2N1c2VzIG9uIGRpc2NvdmVyaW5nIGFuZCBkZXZlbG9waW5nIG5vdmVsIGltbXVub3RoZXJhcGV1dGljIHByb2R1Y3RzIGZvciB0aGUgdHJlYXRtZW50IG9mIHBhdGllbnRzIHdpdGggY2FuY2VyLiBJdCBpcyBkZXZlbG9waW5nIE5MRzIxMDMsIGEgY29tYmluYXRpb24gb2YgaW5kb3hpbW9kIGFuZCBzdGFuZGFyZCBvZiBjYXJlIGNoZWNrcG9pbnQgaW5oaWJpdG9ycywgd2hpY2ggaXMgaW4gUGhhc2UgSUkgY2xpbmljYWwgdHJpYWwgZm9yIHRyZWF0aW5nIHBhdGllbnRzIHdpdGggYWR2YW5jZWQgbWVsYW5vbWE7IGFuZCBJbmRpZ28zMDEsIGEgY29tYmluYXRpb24gb2YgaW5kb3hpbW9kIHdpdGggYSBjaGVja3BvaW50IGluaGliaXRvciB0aGF0IGlzIGluIFBoYXNlIElJSSBjbGluaWNhbCB0cmlhbCBmb3IgdHJlYXRpbmcgcGF0aWVudHMgd2l0aCBhZHZhbmNlZCB1bnJlc2VjdGFibGUgb3IgbWV0YXN0YXRpYyBtZWxhbm9tYSwgYXMgd2VsbCBhcyBjb21iaW5hdGlvbiBvZiBpbmRveGltb2Qgd2l0aCBvdGhlciBjYW5jZXIgdGhlcmFwZXV0aWNzIGZvciBwYXRpZW50cyB3aXRoIG1lbGFub21hLCBwYW5jcmVhdGljIGNhbmNlciwgcGVkaWF0cmljIGJyYWluIHR1bW9ycywgYW5kIGFjdXRlIG15</t>
  </si>
  <si>
    <t>ZWxvaWQgbGV1a2VtaWEuIFRoZSBjb21wYW55IGlzIGFsc28gZGV2ZWxvcGluZyBOTEc4MDIsIGEgcHJvZHJ1ZyBvZiBpbmRveGltb2QsIHdoaWNoIGhhcyBjb21wbGV0ZWQgUGhhc2UgSSBjbGluaWNhbCB0cmlhbDsgYW5kIE5MRzkxOSwgYSBjbGluaWNhbCBzdGFnZSBpbmRvbGVhbWluZS0yLCAzLWRpb3h5Z2VuYXNlIHBhdGh3YXkgaW5oaWJpdG9yLiBJbiBhZGRpdGlvbiwgaXQgaXMgZGV2ZWxvcGluZyB0ZXJnZW5wdW1hdHVjZWwtTCBhbmQgZG9yZ2VubWVsdHVjZWwtTCB0aGF0IGFyZSBpbiBQaGFzZSBJSSBjbGluaWNhbCB0cmlhbHMgZm9yIHRyZWF0aW5nIHBhdGllbnRzIHdpdGggYWR2YW5jZWQgbHVuZyBjYW5jZXIgYW5kIG1lbGFub21hOyBhbmQgQ1JMWDEwMSBhbmQgQ1JMWDMwMSwgd2hpY2ggYXJlIGluIGVhcmx5IGNsaW5pY2FsIGRldmVsb3BtZW50IHRvIHRyZWF0IHBhdGllbnRzIHdpdGggYWR2YW5jZWQgc29saWQgbWFsaWduYW5jaWVzLiBUaGUgY29tcGFueSBoYXMgc3RyYXRlZ2ljIGNvbGxhYm9yYXRpb24gYWdyZWVtZW50IHdpdGggQXN0cmFaZW5lY2EgdG8gZXZhbHVhdGUgdGhlIGNvbWJpbmF0aW9uIG9mIGluZG94aW1vZCBhbmQgZHVydmFsdW1hYiwgYW4gYW50aS1QRC1MMSBtb25vY2xvbmFsIGFudGlib2R5IGZvciB0cmVhdGluZyBwYXRpZW50cyB3aXRoIG1ldGFzdGF0aWMg</t>
  </si>
  <si>
    <t>cGFuY3JlYXRpYyBjYW5jZXI7IEdlbmVudGVjaCBJbmMuIGZvciB0aGUgZGV2ZWxvcG1lbnQgYW5kIGNvbW1lcmNpYWxpemF0aW9uIG9mIE5MRzkxOSwgYXMgd2VsbCBhcyBhIHJlc2VhcmNoIGNvbGxhYm9yYXRpb24gZm9yIHRoZSBkaXNjb3Zlcnkgb2YgbmV4dCBnZW5lcmF0aW9uIElETy9URE8gaW5oaWJpdG9yczsgYW5kIE1lcmNrIFNoYXJwZSBhbmQgRG9obWUgQ29ycC4gdG8gcmVzZWFyY2gsIGRldmVsb3AsIGFuZCBjb21tZXJjaWFsaXplIHJWU1YgRy1aRUJPViBHUCwgYW4gRWJvbGEgdmFjY2luZSBwcm9kdWN0IGNhbmRpZGF0ZS4gTmV3TGluayBHZW5ldGljcyBDb3Jwb3JhdGlvbiB3YXMgZm91bmRlZCBpbiAxOTk5IGFuZCBpcyBoZWFkcXVhcnRlcmVkIGluIEFtZXMsIElvd2EuACkclBA1CdYI5HRbEjUJ1gg1Q0lRLk5BU0RBUUdTOk1SU04uSVFfVE9UQUxfUkVWLi43LzE2LzIwMTguTEZSLkYuVVNELkgBAAAA5sUYAAIAAAAGMTYuMzE5AQgAAAAFAAAAATEBAAAACjE4ODkwOTY2NTMDAAAAAzE2MAIAAAACMjgEAAAAATAHAAAACTcvMTYvMjAxOAgAAAAJMy8zMS8yMDE4CQAAAAEwxP8bETUJ1ghzOWASNQnWCDxDSVEuTkFTREFRR1M6QURYUy5JUV9FQklUREFfRVNULkNZMjAyMC43LzE2LzIwMTguQ09OLkYuVVNELkgBAAAAnux4AAMAAAAAACkclBA1CdYI5HRbEjUJ1gg1Q0lRLk9UQ1BLOk5X</t>
  </si>
  <si>
    <t>Qk8uSVFfRUJJVERBLkNZMjAxNy43LzE2LzIwMTguTEZSLkYuVVNELkgBAAAAo3oUAAIAAAAHLTU0LjIzOQEIAAAABQAAAAExAQAAAAoxODgzMjQ5MDg2AwAAAAMxNjACAAAABDQwNTEEAAAAATAHAAAACTcvMTYvMjAxOAgAAAAKMTIvMzEvMjAxNwkAAAABMCkclBA1CdYIczlgEjUJ1gg1Q0lRLk5BU0RBUUdTOkJHTkUuSVFfVE9UQUxfRVFVSVRZLkNZMjAxNy4uTEZSLkYuVVNELkgBAAAA4OTdBgIAAAAGNjgxLjk0AQgAAAAFAAAAATEBAAAACjE4OTk4ODExOTQDAAAAAzE2MAIAAAAEMTI3NQQAAAABMAcAAAAJOC8yMy8yMDE4CAAAAAoxMi8zMS8yMDE3CQAAAAEwnAvVOAgJ1gicC9U4CAnWCDhDSVEuTkFTREFRQ006Q0tQVC5JUV9UT1RBTF9FUVVJVFkuLjcvMTYvMjAxOC5MRlIuRi5VU0QuSAEAAAC4URYRAgAAAAYyOC44OTkBCAAAAAUAAAABMQEAAAAKMTg4ODAwNzIyMwMAAAADMTYwAgAAAAQxMjc1BAAAAAEwBwAAAAk3LzE2LzIwMTgIAAAACTMvMzEvMjAxOAkAAAABMCkclBA1CdYI5HRbEjUJ1gg2Q0lRLk5BU0RBUUdNOkZBVEUuSVFfRUJJVERBLjE5OTIuNy8zMS8yMDE4LkxGUi5GLlVTRC5IAQAAAGgxVwICAAAABy0yNy41ODgBCAAAAAUAAAABMQEAAAAKMTg0MzU0NDMyMQMAAAADMTYwAgAAAAQ0MDUxBAAAAAEwBwAAAAk3LzMxLzIwMTgIAAAACTMvMzEvMjAxNgkAAAABMNaMETgICdYIw4afbzQJ</t>
  </si>
  <si>
    <t>1ggvQ0lRLklRVFI0MTM5NTM2NjEuSVFfVFJfVEFSR0VUX1RPVEFMX1JFVi4uVVNELkgBAAAAfW6sGAIAAAAAALKzSW80CdYIgf2VbzQJ1ghNQ0lRLihJTlZBTElEIElERU5USUZJRVIpLklRX01JTk9SSVRZX0lOVEVSRVNUX1RPVEFMLjIwMDAuNS81LzIwMTcuTEZSLkYuVVNELkgFAAAAAAAAAAgAAAAUKEludmFsaWQgSWRlbnRpZmllcinIMLI3CAnWCO02sG80CdYIJkNJUS5YVFJBOk1PUi5JUV9MQVNUU0FMRVBSSUNFLjUvNS8yMDE3AQAAAN8RAgACAAAACTYyLjYwMDI4NgCcC9U4CAnWCNRfmG80CdYIJ0NJUS5OQVNEQVFDTTpaSU9QLklRX0JFVEFfNVlSLjcvMzEvMjAxOAEAAACzUbIAAgAAABAxLjMwMDY2MzM2MTAxMDAzANaMETgICdYIw4afbzQJ1gg+Q0lRLlhUUkE6TU9SLklRX0VCSVREQV8zWVJfQU5OX0NBR1IuMjAwMC43LzMxLzIwMTguTEZSLkYuVVNELkgBAAAA3xECAAMAAAACTk0BCAAAAAUAAAABMQEAAAAKMTg4NjE1MTY0OAMAAAACNTACAAAABDQyMjIEAAAAATAHAAAACTcvMzEvMjAxOAgAAAAJMy8zMS8yMDE4CQAAAAEwnAvVOAgJ1gjUX5hvNAnWCD9DSVEuTkFTREFRR1M6Q0FMQS5JUV9ORVRfV09SS0lOR19DQVAuMTk5Ni43LzMxLzIwMTguTEZSLkYuVVNELkgBAAAApSeBBgIAAAAHLTE4LjQ4OQEIAAAABQAAAAExAQAAAAoxODg3OTgwMjc3AwAAAAMxNjACAAAABDEzMTEEAAAAATAH</t>
  </si>
  <si>
    <t>AAAACTcvMzEvMjAxOAgAAAAJMy8zMS8yMDE3CQAAAAEwyDCyNwgJ1gjdS6RvNAnWCDhDSVEuTkFTREFRR1M6TksuSVFfRUFSTklOR19DTy4xOTkyLjcvMzEvMjAxOC5MRlIuRi5VU0QuSAEAAAANfaEPAgAAAAgtMjM0LjcwNAEIAAAABQAAAAExAQAAAAoxODQwNzQxODU3AwAAAAMxNjACAAAAATcEAAAAATAHAAAACTcvMzEvMjAxOAgAAAAJMy8zMS8yMDE2CQAAAAEw1owROAgJ1ggZ6aFvNAnWCEFDSVEuWFRSQTpNT1IuSVFfVE9UQUxfUkVWXzJZUl9BTk5fQ0FHUi4yMDAwLjcvMzEvMjAxOC5MRlIuRi5VU0QuSAEAAADfEQIAAgAAAAY5Ljc5NjYBCAAAAAUAAAABMQEAAAAKMTg4NjE1MTY0OAMAAAACNTACAAAABDQyMDcEAAAAATAHAAAACTcvMzEvMjAxOAgAAAAJMy8zMS8yMDE4CQAAAAEwnAvVOAgJ1gjUX5hvNAnWCClDSVEuSVFUUjMxNDgyOTIzNi5JUV9UUl9JTVBMSUVEX0VRX05JX0xUTQEAAAC06cMSAgAAAAAAWM8SDjUJ1gjA24IONQnWCDJDSVEuT1RDUEs6TUJWWC5JUV9OSV9NQVJHSU4uLjcvMTYvMjAxOC5MRlIuRi5VU0QuSAEAAADYRIsCAwAAAAAA3qd+EDUJ1giYElkSNQnWCD1DSVEuTkFTREFRR1M6QURYUy5JUV9SRVZFTlVFX0VTVC5DWTIwMTguNy8xNi8yMDE4LkNPTi5GLlVTRC5IAQAAAJ7seAACAAAABjcuNTQ3NQEOAAAABQAAAAIxMQEAAAABMAIAAAAJNjUwNjU1MDU1AwAAAAYxMDAx</t>
  </si>
  <si>
    <t>ODAEAAAAATIGAAAAATAHAAAAAzE2MAgAAAABMAkAAAABMQoAAAABMAsAAAALMTA5MjQwNjUxOTYMAAAAATcNAAAACTcvMTcvMjAxOBAAAAAJNy8xNi8yMDE4KRyUEDUJ1gjkdFsSNQnWCDhDSVEuTkFTREFRQ006Q0tQVC5JUV9FQklUREEuQ1kyMDE2LjcvMTYvMjAxOC5MRlIuRi5VU0QuSAEAAAC4URYRAwAAAAAAKRyUEDUJ1ggw110SNQnWCC5DSVEuSVFUUjU1MDI1OTM5Ny5JUV9UUl9UQVJHRVRfU1RPQ0tQUkVNSVVNXzFNAQAAAMVKzCACAAAABzg5LjEzMDQBBgAAAAUAAAACNTQBAAAABjEwMTA1NQIAAAAJNTUwMjU5Mzk3AwAAAAk1NTAyNjQ1NjQEAAAAAzE2MAYAAAAFRmFsc2UMbRAONQnWCHd5gA41CdYIPkNJUS5OQVNEQVFHTTpYTkNSLklRX1RPVEFMX0VRVUlUWS5DWTIwMTcuNy8xNi8yMDE4LkxGUi5GLlVTRC5IAQAAAKZaCwACAAAABzI4Mi4wNDYBCAAAAAUAAAABMQEAAAAKMTg3Njk4NDU1MgMAAAADMTYwAgAAAAQxMjc1BAAAAAEwBwAAAAk3LzE2LzIwMTgIAAAACjEyLzMxLzIwMTcJAAAAATDE/xsRNQnWCBL+ZBI1CdYIJ0NJUS5OQVNEQVFHTTpBRk1ELklRX0JFVEFfMVlSLjcvMTYvMjAxOAEAAADb9wwAAgAAABEtMS41MTkwODQ5NzczMzYzMgApHJQQNQnWCDDXXRI1CdYIP0NJUS4oSU5WQUxJRCBJREVOVElGSUVSKS5JUV9FQklUREEuQ1kyMDE3LjcvMTYvMjAxOC5MRlIuRi5VU0QuSAUA</t>
  </si>
  <si>
    <t>AAAAAAAACAAAABQoSW52YWxpZCBJZGVudGlmaWVyKd6nfhA1CdYImBJZEjUJ1ghDQ0lRLk5BU0RBUUdNOlhOQ1IuSVFfTUlOT1JJVFlfSU5URVJFU1RfVE9UQUwuLjcvMTYvMjAxOC5MRlIuRi5VU0QuSAEAAACmWgsAAwAAAAAAxP8bETUJ1ggS/mQSNQnWCEJDSVEuTkFTREFRR1M6UEJZSS5JUV9UT1RBTF9SRVZfNVlSX0FOTl9DQUdSLi43LzE2LzIwMTguTEZSLkYuVVNELkgBAAAAAmqsBwMAAAAAAMT/GxE1CdYIEv5kEjUJ1gg8Q0lRLk5BU0RBUUdTOk1SU04uSVFfVE9UQUxfRVFVSVRZLjE5OTIuNy8zMS8yMDE4LkxGUi5GLlVTRC5IAQAAAObFGAADAAAAAADWjBE4CAnWCMOGn280CdYIIkNJUS5JUVRSNDIyODg3NzAxLklRX1RSX1RPVEFMX0NBU0gBAAAAFcE0GQIAAAADMC41AQYAAAAFAAAAAjU0AQAAAAYxMDEwNTYCAAAACTQyMjg4NzcwMQMAAAAJNDMwNDA2MzQzBAAAAAMxNjAGAAAABUZhbHNlDG0QDjUJ1gjA24IONQnWCC5DSVEuSVFUUjI0NTgzMTAwNy5JUV9UUl9UQVJHRVRfU1RPQ0tQUkVNSVVNXzFNAQAAAF8Vpw4CAAAABzYxLjkwNDgAsrNJbzQJ1giB/ZVvNAnWCDVDSVEuTkFTREFRR006TkxOSy5JUV9UT1RBTF9SRVYuLjcvMTYvMjAxOC5MRlIuRi5VU0QuSAEAAACVe4wAAgAAAAUzNS44NQEIAAAABQAAAAExAQAAAAoxODg4MzU0MjA3AwAAAAMxNjACAAAAAjI4BAAAAAEwBwAAAAk3LzE2</t>
  </si>
  <si>
    <t>LzIwMTgIAAAACTMvMzEvMjAxOAkAAAABMCkclBA1CdYI5HRbEjUJ1gglQ0lRLklRVFIyNTM5NTQ0NzMuSVFfVFJfSU1QTElFRF9FUV9CVgEAAACpCSMPAgAAAAAAsrNJbzQJ1gg1m5NvNAnWCC1DSVEuTkFTREFRR1M6QVROWC5JUV9NQVJLRVRDQVAuNS81LzIwMTcuVVNELkgBAAAA3JlrAQMAAAAAANaMETgICdYIJMKabzQJ1gglQ0lRLklRVFI1NDc0MjM2ODAuSVFfVFJfTUFKX01JTl9TVEFLRQEAAADABaEgAwAAAAhNYWpvcml0eQAMbRAONQnWCMDbgg41CdYINkNJUS5OQVNEQVFHTTpJTU1VLklRX0VCSVREQS4xOTk2LjcvMzEvMjAxOC5MRlIuRi5VU0QuSAEAAAAgQwQAAgAAAAotNjYuMTk1OTA3AQgAAAAFAAAAATEBAAAACjE4ODg1MjMzOTIDAAAAAzE2MAIAAAAENDA1MQQAAAABMAcAAAAJNy8zMS8yMDE4CAAAAAkzLzMxLzIwMTcJAAAAATCcC9U4CAnWCNRfmG80CdYINkNJUS5OQVNEQVFHTTpDUlZTLklRX0VCSVREQS4yMDAwLjcvMzEvMjAxOC5MRlIuRi5VU0QuSAEAAAD0sKYQAgAAAActNTQuMDk0AQgAAAAFAAAAATEBAAAACjE4ODYzNjc1OTEDAAAAAzE2MAIAAAAENDA1MQQAAAABMAcAAAAJNy8zMS8yMDE4CAAAAAkzLzMxLzIwMTgJAAAAATDWjBE4CAnWCBnpoW80CdYIJ0NJUS5OQVNEQVFHTTpDUklTLklRX0JFVEFfMllSLjcvMzEvMjAxOAEAAAAXagAAAgAAABAzLjA1MDY5NTkyNDEwMDg3</t>
  </si>
  <si>
    <t>AMgwsjcICdYI3UukbzQJ1ghDQ0lRLk5BU0RBUUdTOkNBTEEuSVFfTUlOT1JJVFlfSU5URVJFU1RfVE9UQUwuLjkvMTUvMjAxNy5MRlIuRi5VU0QuSAEAAAClJ4EGAwAAAAAAKRyUEDUJ1gjkdFsSNQnWCCNDSVEuTkFTREFRR1M6Q0FMQS5JUV9QRVJJT0REQVRFX0lTLgEAAAClJ4EGBQAAAAk2LzMwLzIwMTgAKRyUEDUJ1gjkdFsSNQnWCENDSVEuTkFTREFRR006Q1JWUy5JUV9FQklUREFfMllSX0FOTl9DQUdSLjIwMDAuNy8zMS8yMDE4LkxGUi5GLlVTRC5IAQAAAPSwphADAAAAAk5NAQgAAAAFAAAAATEBAAAACjE4ODYzNjc1OTEDAAAAAzE2MAIAAAAENDIwOQQAAAABMAcAAAAJNy8zMS8yMDE4CAAAAAkzLzMxLzIwMTgJAAAAATDWjBE4CAnWCBnpoW80CdYINUNJUS5OQVNEQVFDTTpTUk5FLklRX0NBUEVYLjE5OTYuNy8zMS8yMDE4LkxGUi5GLlVTRC5IAQAAAElDlAMCAAAABy0xMC40MjUBCAAAAAUAAAABMQEAAAAKMTg4Nzk4OTgyOAMAAAADMTYwAgAAAAQyMDIxBAAAAAEwBwAAAAk3LzMxLzIwMTgIAAAACTMvMzEvMjAxNwkAAAABMNaMETgICdYIcySdbzQJ1gg8Q0lRLk5BU0RBUUdTOkFUTlguSVFfR1JPU1NfTUFSR0lOLjIwMDAuNy8zMS8yMDE4LkxGUi5GLlVTRC5IAQAAANyZawECAAAACC00Ny43MTk0AQgAAAAFAAAAATEBAAAACjE4ODg3MDI5ODIDAAAAAzE2MAIAAAAENDA3NAQAAAABMAcAAAAJ</t>
  </si>
  <si>
    <t>Ny8zMS8yMDE4CAAAAAkzLzMxLzIwMTgJAAAAATDWjBE4CAnWCCTCmm80CdYIO0NJUS5OQVNEQVFHUzpNUlNOLklRX05FVF9XT1JLSU5HX0NBUC4uNy8xNi8yMDE4LkxGUi5GLlVTRC5IAQAAAObFGAACAAAABy0yNS45MzgBCAAAAAUAAAABMQEAAAAKMTg4OTA5NjY1MwMAAAADMTYwAgAAAAQxMzExBAAAAAEwBwAAAAk3LzE2LzIwMTgIAAAACTMvMzEvMjAxOAkAAAABMMT/GxE1CdYIczlgEjUJ1ggjQ0lRLklRVFI0MDg0MDc4MjIuSVFfVFJfQ0xPU0VEX0RBVEUBAAAADs9XGAUAAAAKMTIvMjkvMjAxNgCys0lvNAnWCIH9lW80CdYIPkNJUS5OQVNEQVFHUzpHVEhYLklRX1RPVEFMX0VRVUlUWS5DWTIwMTcuNy8zMS8yMDE4LkxGUi5GLlVTRC5IAQAAAGU0aQgCAAAABjkzLjM4OAEIAAAABQAAAAExAQAAAAoxODc1MzI3MzA2AwAAAAMxNjACAAAABDEyNzUEAAAAATAHAAAACTcvMzEvMjAxOAgAAAAKMTIvMzEvMjAxNwkAAAABMNaMETgICdYIJMKabzQJ1ggqQ0lRLklRVFIzMTQ4MjkyMzYuSVFfVFJfVEFSR0VUX0VCSVQuLlVTRC5IAQAAALTpwxICAAAAAABYzxIONQnWCMDbgg41CdYIIkNJUS5JUVRSNTQyODA2Njg2LklRX1RSX1BDVF9TT1VHSFQBAAAAnpJaIAIAAAADMTAwALKzSW80CdYIgf2VbzQJ1gg4Q0lRLk9UQ1BLOk1CVlguSVFfTkVUX1dPUktJTkdfQ0FQLi43LzE2LzIwMTguTEZSLkYuVVNELkgB</t>
  </si>
  <si>
    <t>AAAA2ESLAgIAAAAJLTMuNzg0NzcyAQgAAAAFAAAAATEBAAAACjE4ODEyMTMyNDUDAAAAAzE2MAIAAAAEMTMxMQQAAAABMAcAAAAJNy8xNi8yMDE4CAAAAAoxMi8zMS8yMDE3CQAAAAEw3qd+EDUJ1giYElkSNQnWCC5DSVEuTkFTREFRR1M6RlBSWC5JUV9NQVJLRVRDQVAuOS8xNS8yMDE3LlVTRC5IAQAAADddMwACAAAACzEwMzQuOTg0MjczAQYAAAAFAAAAATEBAAAACjE4NTI0NzQ2MjcDAAAAAzE2MAIAAAAGMTAwMDU0BAAAAAEwBwAAAAk5LzE1LzIwMTcpHJQQNQnWCHM5YBI1CdYIHkNJUS5JUTYwMDkxMS5JUV9DT01QQU5ZX1RJQ0tFUgEAAABPKwkAAwAAAA1OYXNkYXFHUzpNR05YAAxtEA41CdYIoSmRDjUJ1ggwQ0lRLklRVFI1NDc0MjM2ODAuSVFfVFJfVEFSR0VUX0VCSVREQV9FU1QuLlVTRC5IAQAAAMAFoSACAAAAAAAMbRAONQnWCMDbgg41CdYIIENJUS5JUTI3ODkyNjMzLklRX0NPTVBBTllfVElDS0VSAQAAAJmbqQEDAAAADU5hc2RhcUNNOk1URU0AsrNJbzQJ1ggZ6aFvNAnWCDlDSVEuTkFTREFRR006SU1NVS5JUV9UT1RBTF9ERUJULjIwMDAuNS81LzIwMTcuTEZSLkYuVVNELkgBAAAAIEMEAAIAAAAJOTcuNzE5MzA5AQgAAAAFAAAAATEBAAAACjE4MjcyNDgzNjADAAAAAzE2MAIAAAAENDE3MwQAAAABMAcAAAAINS81LzIwMTcIAAAACjEyLzMxLzIwMTYJAAAAATCcC9U4CAnWCNRfmG80CdYI</t>
  </si>
  <si>
    <t>JUNJUS5JUVRSMzAyODY2NjI3LklRX1RSX0lNUExJRURfRVFfQlYBAAAAw2ANEgIAAAAAAFjPEg41CdYIDD6FDjUJ1ggrQ0lRLk5BU0RBUUdTOk1SU04uSVFfTEFTVFNBTEVQUklDRS41LzUvMjAxNwEAAADmxRgAAwAAAAAA1owROAgJ1gjDhp9vNAnWCENDSVEuTkFTREFRR1M6TVJTTi5JUV9NSU5PUklUWV9JTlRFUkVTVF9UT1RBTC4uNy8xNi8yMDE4LkxGUi5GLlVTRC5IAQAAAObFGAADAAAAAADE/xsRNQnWCHM5YBI1CdYIM0NJUS5OQVNEQVFHTTpOTE5LLklRX1BFUklPRERBVEVfSVMuLjcvMTYvMjAxOC5MRlIuRgEAAACVe4wABQAAAAkzLzMxLzIwMTgAKRyUEDUJ1gjkdFsSNQnWCCxDSVEuSVFUUjQxMzk1MzY2MS5JUV9UUl9UT1RBTF9HUk9TU19UVi5VU0QuSAUAAAAAAAAACAAAABooSW52YWxpZCBDdXJyZW5jeSBSZXF1ZXN0KUlTR280CdYIgf2VbzQJ1gg9Q0lRLk5BU0RBUUdNOklNTVUuSVFfUkVWRU5VRV9FU1QuQ1kyMDE4LjcvMzEvMjAxOC5DT04uRi5VU0QuSAEAAAAgQwQAAgAAAAcxMS4zNDg5AQ4AAAAFAAAAAjExAQAAAAEwAgAAAAkyODQ0MzQwMjQDAAAABjEwMDE4MAQAAAABMgYAAAABMAcAAAADMTYwCAAAAAEwCQAAAAExCgAAAAEwCwAAAAsxMDk4MDI2MzkxMAwAAAABNw0AAAAIOC8xLzIwMTgQAAAACTcvMzEvMjAxOJwL1TgICdYI1F+YbzQJ1ghDQ0lRLk5BU0RBUUdTOkNBTEEuSVFf</t>
  </si>
  <si>
    <t>RUJJVERBXzNZUl9BTk5fQ0FHUi4yMDAwLjcvMzEvMjAxOC5MRlIuRi5VU0QuSAEAAAClJ4EGAwAAAAJOTQEIAAAABQAAAAExAQAAAAoxODg3OTgwMzA1AwAAAAMxNjACAAAABDQyMjIEAAAAATAHAAAACTcvMzEvMjAxOAgAAAAJMy8zMS8yMDE4CQAAAAEwyDCyNwgJ1gjdS6RvNAnWCDpDSVEuTkFTREFRQ006Q0tQVC5JUV9DQVNIX1NUX0lOVkVTVC4uNy8xNi8yMDE4LkxGUi5GLlVTRC5IAQAAALhRFhECAAAABjM0Ljg2MwEIAAAABQAAAAExAQAAAAoxODg4MDA3MjIzAwAAAAMxNjACAAAABDEwMDIEAAAAATAHAAAACTcvMTYvMjAxOAgAAAAJMy8zMS8yMDE4CQAAAAEwKRyUEDUJ1ggw110SNQnWCDBDSVEuSVFUUjMwMjg2NjYyNy5JUV9UUl9UQVJHRVRfRUJJVERBX0VTVC4uVVNELkgBAAAAw2ANEgIAAAAAAFjPEg41CdYIDD6FDjUJ1gggQ0lRLklRMzYxODM4MjguSVFfTEFTVFNBTEVQUklDRS4BAAAAFB8oAgIAAAAEMi42NQCcC9U4CAnWCHd5gA41CdYIPENJUS5OQVNEQVFHUzpCR05FLklRX0VCSVREQV9FU1QuQ1kyMDIwLjcvMTYvMjAxOC5DT04uRi5VU0QuSAEAAADg5N0GAgAAAAotMjkyLjQzNjQ2AQ4AAAAFAAAAAjExAQAAAAEwAgAAAAoxMDAzMzI2Mjc3AwAAAAYxMDAxODcEAAAAATIGAAAAATAHAAAAAzE2MAgAAAABMAkAAAABMQoAAAABMAsAAAALMTA5NjcxMzg5MzQMAAAAATcNAAAACTcvMTcv</t>
  </si>
  <si>
    <t>MjAxOBAAAAAJNy8xNi8yMDE4xP8bETUJ1ghoYGcSNQnWCDxDSVEuTkFTREFRR1M6QkdORS5JUV9FQklUREFfRVNULkNZMjAyMC43LzMxLzIwMTguQ09OLkYuVVNELkgBAAAA4OTdBgIAAAAKLTMxMy40MzU5OAEOAAAABQAAAAIxMQEAAAABMAIAAAAKMTAwMzMyNjI3NwMAAAAGMTAwMTg3BAAAAAEyBgAAAAEwBwAAAAMxNjAIAAAAATAJAAAAATEKAAAAATALAAAACzEwOTg2NjY0OTI1DAAAAAE3DQAAAAg4LzEvMjAxOBAAAAAJNy8zMS8yMDE4nAvVOAgJ1giB/ZVvNAnWCD5DSVEuTkFTREFRR1M6RlBSWC5JUV9UT1RBTF9FUVVJVFkuQ1kyMDE2LjcvMzEvMjAxOC5MRlIuRi5VU0QuSAEAAAA3XTMAAgAAAAczOTEuNTc1AQgAAAAFAAAAATEBAAAACjE4NzYxMzU5ODgDAAAAAzE2MAIAAAAEMTI3NQQAAAABMAcAAAAJNy8zMS8yMDE4CAAAAAoxMi8zMS8yMDE2CQAAAAEwyDCyNwgJ1ggZ6aFvNAnWCENDSVEuKElOVkFMSUQgSURFTlRJRklFUikuSVFfRUFSTklOR19DTy5DWTIwMTYuNy8xNi8yMDE4LkxGUi5GLlVTRC5IBQAAAAAAAAAIAAAAFChJbnZhbGlkIElkZW50aWZpZXIp3qd+EDUJ1giYElkSNQnWCDtDSVEuTkFTREFRR006TFBUWC5JUV9UT1RBTF9SRVYuQ1kyMDE3LjcvMTYvMjAxOC5MRlIuRi5VU0QuSAEAAAAMNgkHAwAAAAAAKRyUEDUJ1ghoYGcSNQnWCD1DSVEuTkFTREFRR1M6TVJTTi5JUV9SRVZF</t>
  </si>
  <si>
    <t>TlVFX0VTVC5DWTIwMjEuNy8zMS8yMDE4LkNPTi5GLlVTRC5IAQAAAObFGAACAAAABjI2LjU5NAEOAAAABQAAAAIxMQEAAAABMAIAAAAKMTAwMzgwMzg0NQMAAAAGMTAwMTgwBAAAAAEyBgAAAAEwBwAAAAMxNjAIAAAAATAJAAAAATEKAAAAATALAAAACzExMDQzNTgxNTAyDAAAAAE3DQAAAAg4LzEvMjAxOBAAAAAJNy8zMS8yMDE41owROAgJ1gjDhp9vNAnWCDxDSVEuTkFTREFRR1M6QkdORS5JUV9UT1RBTF9FUVVJVFkuMTk5Mi43LzMxLzIwMTguTEZSLkYuVVNELkgBAAAA4OTdBgIAAAAHMjQzLjA5OQEIAAAABQAAAAExAQAAAAoxODQxMTgwMTY4AwAAAAMxNjACAAAABDEyNzUEAAAAATAHAAAACTcvMzEvMjAxOAgAAAAJMy8zMS8yMDE2CQAAAAEwnAvVOAgJ1giB/ZVvNAnWCDdDSVEuTkFTREFRR1M6QkdORS5JUV9QUkVGX0VRVUlUWS4uOS8xNS8yMDE3LkxGUi5GLlVTRC5IAQAAAODk3QYDAAAAAADE/xsRNQnWCGhgZxI1CdYIPUNJUS5OQVNEQVFHTTpOTE5LLklRX1JFVkVOVUVfRVNULkNZMjAxOS43LzE2LzIwMTguQ09OLkYuVVNELkgBAAAAlXuMAAIAAAAIMzkuMTY2NjcBDgAAAAUAAAACMTEBAAAAATACAAAACjEwMDE0MjUwOTIDAAAABjEwMDE4MAQAAAABMgYAAAABMAcAAAADMTYwCAAAAAEwCQAAAAExCgAAAAEwCwAAAAsxMDk0NjQ0OTcwMgwAAAABNw0AAAAJNy8xNy8yMDE4EAAAAAk3LzE2LzIw</t>
  </si>
  <si>
    <t>MTgpHJQQNQnWCOR0WxI1CdYINUNJUS5OQVNEQVFHUzpKTkNFLklRX05JX01BUkdJTi4uNy8xNi8yMDE4LkxGUi5GLlVTRC5IAQAAAOJ5ng0CAAAACC00Ny43MzE0AQgAAAAFAAAAATEBAAAACjE4ODgxODYzNzQDAAAAAzE2MAIAAAAENDA5NAQAAAABMAcAAAAJNy8xNi8yMDE4CAAAAAkzLzMxLzIwMTgJAAAAATApHJQQNQnWCJgSWRI1CdYIOUNJUS5YVFJBOk1PUi5JUV9UT1RBTF9FUVVJVFkuQ1kyMDE2LjcvMzEvMjAxOC5MRlIuRi5VU0QuSAEAAADfEQIAAgAAAAk0MzguNTcyOTYBCAAAAAUAAAABMQEAAAAKMTg3ODMyMzE1NAMAAAADMTYwAgAAAAQxMjc1BAAAAAEwBwAAAAk3LzMxLzIwMTgIAAAACjEyLzMxLzIwMTYJAAAAATCcC9U4CAnWCNRfmG80CdYIIkNJUS5JUVRSMzA3ODYzOTg0LklRX1RSX1RBUkdFVE5BTUUBAAAAsKFZEgMAAAAYY0NBTSBCaW90aGVyYXBldXRpY3MgTHRkAFjPEg41CdYIwNuCDjUJ1gg9Q0lRLk5BU0RBUUdTOk1SU04uSVFfQ0FTSF9TVF9JTlZFU1QuMjAwMC41LzUvMjAxNy5MRlIuRi5VU0QuSAEAAADmxRgAAwAAAAAA1owROAgJ1gjDhp9vNAnWCENDSVEuTkFTREFRR006RkFURS5JUV9FQklUREFfNVlSX0FOTl9DQUdSLjIwMDAuNy8zMS8yMDE4LkxGUi5GLlVTRC5IAQAAAGgxVwIDAAAAAk5NAQgAAAAFAAAAATEBAAAACjE4ODg1MDA1MjcDAAAAAzE2MAIAAAAENDIzNQQA</t>
  </si>
  <si>
    <t>AAABMAcAAAAJNy8zMS8yMDE4CAAAAAkzLzMxLzIwMTgJAAAAATDWjBE4CAnWCMOGn280CdYIQ0NJUS5OQVNEQVFHUzpKTkNFLklRX01JTk9SSVRZX0lOVEVSRVNUX1RPVEFMLi45LzE1LzIwMTcuTEZSLkYuVVNELkgBAAAA4nmeDQMAAAAAAN6nfhA1CdYImBJZEjUJ1ggxQ0lRLk5BU0RBUUdTOkZQUlguSVFfREFfQ0YuLjcvMTYvMjAxOC5MRlIuRi5VU0QuSAEAAAA3XTMAAgAAAAUzLjE0OQEIAAAABQAAAAExAQAAAAoxODg3NDAyMjI3AwAAAAMxNjACAAAABDIxNjAEAAAAATAHAAAACTcvMTYvMjAxOAgAAAAJMy8zMS8yMDE4CQAAAAEwKRyUEDUJ1ghzOWASNQnWCDRDSVEuTkFTREFRR1M6TksuSVFfRUJJVERBLjE5OTYuNy8zMS8yMDE4LkxGUi5GLlVTRC5IAQAAAA19oQ8CAAAACC0xMTQuMDY0AQgAAAAFAAAAATEBAAAACjE4ODcxMTg3NjcDAAAAAzE2MAIAAAAENDA1MQQAAAABMAcAAAAJNy8zMS8yMDE4CAAAAAkzLzMxLzIwMTcJAAAAATDWjBE4CAnWCMOGn280CdYIQkNJUS5OQVNEQVFHTTpBRk1ELklRX1RPVEFMX1JFVl8yWVJfQU5OX0NBR1IuLjcvMTYvMjAxOC5MRlIuRi5VU0QuSAEAAADb9wwAAgAAAAgtNDMuOTUxOAEIAAAABQAAAAExAQAAAAoxODg5ODY2MDQ5AwAAAAI1MAIAAAAENDIwNwQAAAABMAcAAAAJNy8xNi8yMDE4CAAAAAkzLzMxLzIwMTgJAAAAATApHJQQNQnWCDDXXRI1CdYIPUNJ</t>
  </si>
  <si>
    <t>US5OQVNEQVFHUzpDVE1YLklRX1JFVkVOVUVfRVNULkNZMjAyMS43LzE2LzIwMTguQ09OLkYuVVNELkgBAAAA3DibAwIAAAAINzcuOTQxMzMBDgAAAAUAAAACMTEBAAAAATACAAAACjEwMDMyMzMzNjkDAAAABjEwMDE4MAQAAAABMgYAAAABMAcAAAADMTYwCAAAAAEwCQAAAAExCgAAAAEwCwAAAAsxMDk1MTIzMTE4NQwAAAABNw0AAAAJNy8xNy8yMDE4EAAAAAk3LzE2LzIwMTjE/xsRNQnWCMKbYhI1CdYIPkNJUS5OQVNEQVFHUzpDQUxBLklRX0NBU0hfU1RfSU5WRVNULjIwMDAuNy8zMS8yMDE4LkxGUi5GLlVTRC5IAQAAAKUngQYCAAAABzE1MC45NjQBCAAAAAUAAAABMQEAAAAKMTg4Nzk4MDMwNQMAAAADMTYwAgAAAAQxMDAyBAAAAAEwBwAAAAk3LzMxLzIwMTgIAAAACTMvMzEvMjAxOAkAAAABMMgwsjcICdYI3UukbzQJ1gg2Q0lRLk5BU0RBUUdNOkZBVEUuSVFfRUJJVERBLjE5OTYuNy8zMS8yMDE4LkxGUi5GLlVTRC5IAQAAAGgxVwICAAAABy0zMy4xNTgBCAAAAAUAAAABMQEAAAAKMTg4ODUwMDMzMwMAAAADMTYwAgAAAAQ0MDUxBAAAAAEwBwAAAAk3LzMxLzIwMTgIAAAACTMvMzEvMjAxNwkAAAABMNaMETgICdYIw4afbzQJ1gg6Q0lRLk5BU0RBUUdTOk1HTlguSVFfQ0FTSF9TVF9JTlZFU1QuLjkvMTUvMjAxNy5MRlIuRi5VU0QuSAEAAABPKwkAAgAAAAYyNDMuNjYBCAAAAAUAAAABMQEAAAAKMTg1</t>
  </si>
  <si>
    <t>MTQzMjQ3NAMAAAADMTYwAgAAAAQxMDAyBAAAAAEwBwAAAAk5LzE1LzIwMTcIAAAACTYvMzAvMjAxNwkAAAABMMT/GxE1CdYIwptiEjUJ1ggpQ0lRLk5BU0RBUUNNOkFWRU8uSVFfQlVTSU5FU1NfREVTQ1JJUFRJT04BAAAA9BYdAAMAAADADUFWRU8gUGhhcm1hY2V1dGljYWxzLCBJbmMuLCBhIGJpb3BoYXJtYWNldXRpY2FsIGNvbXBhbnksIGRldmVsb3BzIGFuZCBjb21tZXJjaWFsaXplcyBhIHBvcnRmb2xpbyBvZiB0YXJnZXRlZCBtZWRpY2luZXMgZm9yIG9uY29sb2d5IGFuZCBvdGhlciBhcmVhcyBvZiB1bm1ldCBtZWRpY2FsIG5lZWQuIEl0IG1hcmtldHMgaXRzIGxlYWQgY2FuZGlkYXRlLCB0aXZvemFuaWIsIGFuIG9yYWwsIG9uY2UtZGFpbHksIHZhc2N1bGFyIGVuZG90aGVsaWFsIGdyb3d0aCBmYWN0b3IgcmVjZXB0b3IgdHlyb3NpbmUga2luYXNlIGluaGliaXRvciwgd2hpY2ggaXMgdXNlZCBmb3IgdGhlIHRyZWF0bWVudCBvZiByZW5hbCBjZWxsIGNhcmNpbm9tYSAoUkNDKS4gVGhlIGNvbXBhbnkgaGFzIGFsc28gY29tcGxldGVkIGEgUGhhc2UgMyBUSVZPLTMgdHJpYWwgb2YgdGl2b3phbmliIGZvciB0aGUgdHJlYXRtZW50IG9mIGFkdmFuY2VkIFJDQzsgYW5kIGluaXRpYXRlZCBlbnJvbGxtZW50IGluIGEgcGhhc2UgSWIvSUkgY2xpbmljYWwgdHJpYWwgb2YgdGl2b3phbmliIGluIGNv</t>
  </si>
  <si>
    <t>bWJpbmF0aW9uIHdpdGggT3BkaXZvIChuaXZvbHVtYWIpLCBhbiBpbW11bmUgY2hlY2twb2ludCAoUEQtMSkgaW5oaWJpdG9yLCBmb3IgdGhlIHRyZWF0bWVudCBvZiBhZHZhbmNlZCBSQ0MuIEluIGFkZGl0aW9uLCBpdCBpcyBkZXZlbG9waW5nIEZpY2xhdHV6dW1hYiwgYSBwb3RlbnQgaGVwYXRvY3l0ZSBncm93dGggZmFjdG9yIGluaGliaXRvcnkgYW50aWJvZHksIGluIFBoYXNlIEkgYW5kIFBoYXNlIElJIGNsaW5pY2FsIHRyaWFscyBpbiBzcXVhbW91cyBjZWxsIGNhcmNpbm9tYSBvZiB0aGUgaGVhZCBhbmQgbmVjaywgbWV0YXN0YXRpYyBwYW5jcmVhdGljIGR1Y3RhbCBjYW5jZXIsIGFuZCBhY3V0ZSBteWVsb2lkIGxldWtlbWlhOyBhbmQgQVYtMjAzLCBhIHBvdGVudCBhbnRpLUVyYkIzIHNwZWNpZmljIG1vbm9jbG9uYWwgYW50aWJvZHksIHdoaWNoIGhhcyBjb21wbGV0ZWQgUGhhc2UgSSBjbGluaWNhbCB0cmlhbCBmb3IgdHJlYXRpbmcgZXNvcGhhZ2VhbCBjYW5jZXIuIFRoZSBjb21wYW554oCZcyBwcmVjbGluaWNhbCBzdGFnZSBwcm9kdWN0cyBpbmNsdWRlIEFWLTM4MCwgYSBwb3RlbnQgaHVtYW5pemVkIElnRzEgaW5oaWJpdG9yeSBtb25vY2xvbmFsIGFudGlib2R5IGZvciB0aGUgdHJlYXRtZW50IG9yIHByZXZlbnRpb24gb2YgY2FjaGV4aWE7IGFuZCBBVi0zNTMgZm9yIHRoZSB0cmVh</t>
  </si>
  <si>
    <t>dG1lbnQgb2YgcHVsbW9uYXJ5IGFydGVyaWFsIGh5cGVydGVuc2lvbi4gSXQgaGFzIHN0cmF0ZWdpYyBwYXJ0bmVyc2hpcHMgd2l0aCBDQU5icmlkZ2UgTGlmZSBTY2llbmNlcyBMdGQuOyBFVVNBIFBoYXJtYSAoVUspIExpbWl0ZWQ7IE5vdmFydGlzIEludGVybmF0aW9uYWwgUGhhcm1hY2V1dGljYWwgTHRkLjsgQmlvZGVzaXgsIEluYy47IFN0LiBWaW5jZW504oCZcyBIb3NwaXRhbCBTeWRuZXkgTGltaXRlZDsgQmlvZ2VuIElkZWM7IGFuZCBLeW93YSBIYWtrbyBLaXJpbiBDby4sIEx0ZC4gVGhlIGNvbXBhbnkgd2FzIGZvcm1lcmx5IGtub3duIGFzIEdlblBhdGggUGhhcm1hY2V1dGljYWxzLCBJbmMuIGFuZCBjaGFuZ2VkIGl0cyBuYW1lIHRvIEFWRU8gUGhhcm1hY2V1dGljYWxzLCBJbmMuIGluIE1hcmNoIDIwMDUuIEFWRU8gUGhhcm1hY2V1dGljYWxzLCBJbmMuIHdhcyBpbmNvcnBvcmF0ZWQgaW4gMjAwMSBhbmQgaXMgYmFzZWQgaW4gQ2FtYnJpZGdlLCBNYXNzYWNodXNldHRzLgBGnRkRNQnWCMKbYhI1CdYIOkNJUS5OQVNEQVFHUzpKTkNFLklRX0NBU0hfU1RfSU5WRVNULi43LzE2LzIwMTguTEZSLkYuVVNELkgBAAAA4nmeDQIAAAAHMjM3LjE3NQEIAAAABQAAAAExAQAAAAoxODg4MTg2Mzc0AwAAAAMxNjACAAAABDEwMDIEAAAAATAHAAAACTcvMTYvMjAxOAgAAAAJMy8zMS8yMDE4CQAAAAEw</t>
  </si>
  <si>
    <t>KRyUEDUJ1gjkdFsSNQnWCDtDSVEuTkFTREFRR1M6TVJTTi5JUV9UT1RBTF9SRVYuQ1kyMDE2LjcvMzEvMjAxOC5MRlIuRi5VU0QuSAEAAADmxRgAAgAAAAYyNS4xNzEBCAAAAAUAAAABMQEAAAAKMTg4MDU0NzM4MwMAAAADMTYwAgAAAAIyOAQAAAABMAcAAAAJNy8zMS8yMDE4CAAAAAoxMi8zMS8yMDE2CQAAAAEw1owROAgJ1gjDhp9vNAnWCClDSVEuSVFUUjI2MzcxODY0Ny5JUV9UUl9JTVBMSUVEX0VRX05JX0xUTQEAAAD3BrgPAgAAAAAAsrNJbzQJ1giB/ZVvNAnWCDhDSVEuRU5YVFBBOklQSC5JUV9UT1RBTF9SRVYuQ1kyMDE2LjcvMTYvMjAxOC5MRlIuRi5VU0QuSAEAAACZgAYAAgAAAAk2OS4zNzcxNzcBCAAAAAUAAAABMQEAAAAKMTg4OTU1MjEzNgMAAAADMTYwAgAAAAIyOAQAAAABMAcAAAAJNy8xNi8yMDE4CAAAAAoxMi8zMS8yMDE2CQAAAAEwKRyUEDUJ1ghzOWASNQnWCDFDSVEuSVFUUjQxMTg3MTA4Mi5JUV9UUl9UQVJHRVRfUkVWRU5VRV9FU1QuLlVTRC5IAQAAAGqnjBgCAAAAAACys0lvNAnWCDWbk280CdYIPENJUS5OQVNEQVFHUzpQQllJLklRX0VCSVREQV9FU1QuQ1kyMDIwLjcvMTYvMjAxOC5DT04uRi5VU0QuSAEAAAACaqwHAwAAAAAAxP8bETUJ1ggS/mQSNQnWCEBDSVEuRU5YVFBBOklQSC5JUV9NSU5PUklUWV9JTlRFUkVTVF9UT1RBTC4uOS8xNS8yMDE3LkxGUi5GLlVTRC5IAQAA</t>
  </si>
  <si>
    <t>AJmABgADAAAAAAApHJQQNQnWCHM5YBI1CdYIP0NJUS5OQVNEQVFHUzpLVVJBLklRX05FVF9XT1JLSU5HX0NBUC4xOTkyLjcvMzEvMjAxOC5MRlIuRi5VU0QuSAEAAAC4y9oQAgAAAAYtMi43MDEBCAAAAAUAAAABMQEAAAAKMTg0MjI4MDcxNwMAAAADMTYwAgAAAAQxMzExBAAAAAEwBwAAAAk3LzMxLzIwMTgIAAAACTMvMzEvMjAxNgkAAAABMNaMETgICdYIcySdbzQJ1ggrQ0lRLklRVFI0MjI4ODc3MDEuSVFfVFJfVE9UQUxfR1JPU1NfVFYuLlVTRAEAAAAVwTQZAgAAAAk0OC41MjQ5MTMBBgAAAAUAAAACNTQBAAAABjEwMjA4OAIAAAAJNDIyODg3NzAxAwAAAAk0MzA0MDYzNDMEAAAAAzE2MAYAAAAFRmFsc2UMbRAONQnWCMDbgg41CdYIPENJUS5OQVNEQVFHUzpNR05YLklRX0VCSVREQV9FU1QuQ1kyMDIwLjcvMTYvMjAxOC5DT04uRi5VU0QuSAEAAABPKwkAAgAAAAotMTM5LjU3ODc4AQ4AAAAFAAAAAjExAQAAAAEwAgAAAAoxMDAxOTcyOTMxAwAAAAYxMDAxODcEAAAAATIGAAAAATAHAAAAAzE2MAgAAAABMAkAAAABMQoAAAABMAsAAAALMTA5MTExMDQxOTMMAAAAATcNAAAACTcvMTcvMjAxOBAAAAAJNy8xNi8yMDE4xP8bETUJ1gjCm2ISNQnWCCxDSVEuSVFUUjMxMjEyMjUwNC5JUV9UUl9UQVJHRVRfRUJJVERBLi5VU0QuSAEAAACInJoSAgAAAAAAWM8SDjUJ1gjA24IONQnWCC9DSVEuSVFUUjMwMjg2</t>
  </si>
  <si>
    <t>NjYyNy5JUV9UUl9UQVJHRVRfVE9UQUxfUkVWLi5VU0QuSAEAAADDYA0SAgAAAAAAWM8SDjUJ1ggMPoUONQnWCCtDSVEuSVFUUjQyNDM0MjA0Ni5JUV9UUl9JTVBMSUVEX0VWX0VCSVRfRldEAQAAAB7yShkCAAAAAAAMbRAONQnWCMDbgg41CdYIOUNJUS5OQVNEQVFHTTpDUklTLklRX1RPVEFMX0RFQlQuMjAwMC41LzUvMjAxNy5MRlIuRi5VU0QuSAEAAAAXagAAAgAAAAY0NC44MDgBCAAAAAUAAAABMQEAAAAKMTg0MDUwMTExOQMAAAADMTYwAgAAAAQ0MTczBAAAAAEwBwAAAAg1LzUvMjAxNwgAAAAJMy8zMS8yMDE3CQAAAAEwyDCyNwgJ1gjdS6RvNAnWCEZDSVEuTkFTREFRR1M6RVBaTS5JUV9NSU5PUklUWV9JTlRFUkVTVF9UT1RBTC4yMDAwLjUvNS8yMDE3LkxGUi5GLlVTRC5IAQAAAAMmPQMDAAAAAADWjBE4CAnWCHMknW80CdYIGENJUS4uSVFfRklSU1RQUklDSU5HREFURQUAAAAAAAAACAAAABQoSW52YWxpZCBJZGVudGlmaWVyKZwL1TgICdYId3mADjUJ1gguQ0lRLk5BU0RBUUdNOlhOQ1IuSVFfTUFSS0VUQ0FQLjkvMTUvMjAxNy5VU0QuSAEAAACmWgsAAgAAAAsxMDE5LjcwOTM2OAEGAAAABQAAAAExAQAAAAoxODUyMjQwMjg1AwAAAAMxNjACAAAABjEwMDA1NAQAAAABMAcAAAAJOS8xNS8yMDE3Rp0ZETUJ1ggS/mQSNQnWCCVDSVEuSVFUUjQxMTg3MTA4Mi5JUV9UUl9JTVBMSUVEX0VRX0JWAQAA</t>
  </si>
  <si>
    <t>AGqnjBgCAAAAAACys0lvNAnWCDWbk280CdYIMUNJUS5JUVRSNTQ4MzM4MDIwLklRX1RSX1RBUkdFVF9SRVZFTlVFX0VTVC4uVVNELkgBAAAAZPmuIAIAAAAAAAxtEA41CdYIwNuCDjUJ1ggsQ0lRLklRVFI0MDk5NTE4ODYuSVFfVFJfVE9UQUxfR1JPU1NfVFYuVVNELkgFAAAAAAAAAAgAAAAaKEludmFsaWQgQ3VycmVuY3kgUmVxdWVzdCkMbRAONQnWCMDbgg41CdYIJ0NJUS5OQVNEQVFHTTpYTkNSLklRX0JFVEFfNVlSLjcvMTYvMjAxOAEAAACmWgsAAgAAAA8xLjYwMzg1MDE5ODAzNTgAxP8bETUJ1ggS/mQSNQnWCCtDSVEuLklRX0VCSVREQS5DWTIwMTYuNy8zMS8yMDE4LkxGUi5GLlVTRC5IBQAAAAEAAAAIAAAAFChJbnZhbGlkIElkZW50aWZpZXIpliQwRzQJ1giWJDBHNAnWCCxDSVEuTkFTREFRR1M6QkdORS5JUV9DQVBFWC4xOTkyLi5MRlIuRi5VU0QuSAEAAADg5N0GAgAAAActMTMuMDQ0AQgAAAAFAAAAATEBAAAACjE4NTI3MDA1MjEDAAAAAzE2MAIAAAAEMjAyMQQAAAABMAcAAAAJOC8yMy8yMDE4CAAAAAk2LzMwLzIwMTYJAAAAATCcC9U4CAnWCJwL1TgICdYIKUNJUS5JUVRSMzIxODY1Mjk3LklRX0JVU0lORVNTX0RFU0NSSVBUSU9OAQAAAH5FLxMDAAAA0wNJT21ldCBQaGFybWEgTHRkLiBkaXNjb3ZlcnMgYW5kIGRldmVsb3BzIG1lZGljaW5lcyBmb3IgdGhlIHRyZWF0bWVudCBvZiBjYW5j</t>
  </si>
  <si>
    <t>ZXIsIHdpdGggcGFydGljdWxhciBlbXBoYXNpcyBvbiB0aGUgZmllbGRzIG9mIGNhbmNlciBpbW11bm90aGVyYXB5IGFuZCBjYW5jZXIgbWV0YWJvbGlzbS4gSXQgZGV2ZWxvcHMgSURPLCBURE8sIGFuZCBkdWFsLWFjdGluZyBJRE8vVERPIGluaGliaXRvcnMsIGFzIHdlbGwgYXMgR0xVVDEgaW5oaWJpdG9ycy4gVGhlIGNvbXBhbnkgd2FzIGZvdW5kZWQgaW4gMjAwOCBhbmQgaXMgYmFzZWQgaW4gRWRpbmJ1cmdoLCBVbml0ZWQgS2luZ2RvbSB3aXRoIGFuIGFkZGl0aW9uYWwgb2ZmaWNlIGluIExvbmRvbiwgVW5pdGVkIEtpbmdkb20uIEFzIG9mIEphbnVhcnkgMTEsIDIwMTYsIElPbWV0IFBoYXJtYSBMdGQuIG9wZXJhdGVzIGFzIGEgc3Vic2lkaWFyeSBvZiBNZXJjayAmIENvLiwgSW5jLgAMbRAONQnWCAw+hQ41CdYIMkNJUS5OQVNEQVFDTTpBVkVPLklRX0VCSVREQS4uNy8xNi8yMDE4LkxGUi5GLlVTRC5IAQAAAPQWHQADAAAAAADE/xsRNQnWCMKbYhI1CdYILUNJUS5OQVNEQVFHUzpTR0VOLklRX0RJVklERU5EX1lJRUxELjcvMTYvMjAxOAEAAABhhQAAAwAAAAAARp0ZETUJ1ghoYGcSNQnWCENDSVEuTkFTREFRR006RkFURS5JUV9FQklUREFfMllSX0FOTl9DQUdSLjIwMDAuNy8zMS8yMDE4LkxGUi5GLlVTRC5IAQAAAGgxVwIDAAAAAk5NAQgAAAAFAAAAATEBAAAACjE4ODg1MDA1MjcDAAAAAzE2</t>
  </si>
  <si>
    <t>MAIAAAAENDIwOQQAAAABMAcAAAAJNy8zMS8yMDE4CAAAAAkzLzMxLzIwMTgJAAAAATDWjBE4CAnWCMOGn280CdYIK0NJUS5PVENQSzpOV0JPLklRX01BUktFVENBUC45LzE1LzIwMTcuVVNELkgBAAAAo3oUAAIAAAAJNTUuMzU5OTQ2AQYAAAAFAAAAATEBAAAACjE4NTUzMjU3MzYDAAAAAzE2MAIAAAAGMTAwMDU0BAAAAAEwBwAAAAk5LzE1LzIwMTcpHJQQNQnWCDDXXRI1CdYIP0NJUS5OQVNEQVFHUzpBVE5YLklRX05FVF9XT1JLSU5HX0NBUC4yMDAwLjcvMzEvMjAxOC5MRlIuRi5VU0QuSAEAAADcmWsBAgAAAAYtMS43ODMBCAAAAAUAAAABMQEAAAAKMTg4ODcwMjk4MgMAAAADMTYwAgAAAAQxMzExBAAAAAEwBwAAAAk3LzMxLzIwMTgIAAAACTMvMzEvMjAxOAkAAAABMNaMETgICdYIJMKabzQJ1gglQ0lRLklRVFI1MzMzODU3NDQuSVFfUFJJTUFSWV9JTkRVU1RSWQEAAADMdugVAwAAAA1CaW90ZWNobm9sb2d5AAxtEA41CdYId3mADjUJ1ghGQ0lRLk5BU0RBUUdNOkNSSVMuSVFfVE9UQUxfUkVWXzVZUl9BTk5fQ0FHUi4yMDAwLjcvMzEvMjAxOC5MRlIuRi5VU0QuSAEAAAAXagAAAgAAAAU2LjQ1MgEIAAAABQAAAAExAQAAAAoxODg2MjQ3NDIwAwAAAAMxNjACAAAABDQyMzMEAAAAATAHAAAACTcvMzEvMjAxOAgAAAAJMy8zMS8yMDE4CQAAAAEwyDCyNwgJ1gjdS6RvNAnWCC1DSVEuTkFTREFRR006SU1N</t>
  </si>
  <si>
    <t>VS5JUV9NQVJLRVRDQVAuNS81LzIwMTcuVVNELkgBAAAAIEMEAAIAAAAINjc0LjY2ODgBBgAAAAUAAAABMQEAAAAKMTgyNzI0ODA2NAMAAAADMTYwAgAAAAYxMDAwNTQEAAAAATAHAAAACDUvNS8yMDE3nAvVOAgJ1gjUX5hvNAnWCB1DSVEuTkFTREFRR006Q1JWUy5JUV9FWENIQU5HRQEAAAD0sKYQAwAAAAhOYXNkYXFHTQDWjBE4CAnWCBnpoW80CdYIKkNJUS5JUVRSMzAyODY2NjI3LklRX1RSX1RBUkdFVF9FQklULi5VU0QuSAEAAADDYA0SAgAAAAAAWM8SDjUJ1ggMPoUONQnWCDpDSVEuRU5YVFBBOklQSC5JUV9SRVZFTlVFX0VTVC5DWTIwMjEuNy8xNi8yMDE4LkNPTi5GLlVTRC5IAQAAAJmABgACAAAADzU5LjM1MDE5MzIwNDQ5OQEOAAAABQAAAAIxMQEAAAABMAIAAAAKMTAwMTY0MzM5NAMAAAAGMTAwMTgwBAAAAAEzBgAAAAEwBwAAAAMxNjAIAAAAATAJAAAAATEKAAAAATALAAAACzEwODg5MDAzMjIzDAAAAAE3DQAAAAk3LzE3LzIwMTgQAAAACTcvMTYvMjAxOCkclBA1CdYIczlgEjUJ1gg4Q0lRLk5BU0RBUUdTOkFEWFMuSVFfRUJJVERBLkNZMjAxNy43LzE2LzIwMTguTEZSLkYuVVNELkgBAAAAnux4AAIAAAALLTEwMC4xODUzNzMBCAAAAAUAAAABMQEAAAAKMTg3ODAxMjQ3MwMAAAADMTYwAgAAAAQ0MDUxBAAAAAEwBwAAAAk3LzE2LzIwMTgIAAAACTEvMzEvMjAxOAkAAAABMCkclBA1CdYI5HRb</t>
  </si>
  <si>
    <t>EjUJ1gg9Q0lRLk5BU0RBUUdTOkVQWk0uSVFfUkVWRU5VRV9FU1QuQ1kyMDE5LjcvMzEvMjAxOC5DT04uRi5VU0QuSAEAAAADJj0DAgAAAAgyNS40MzkzOAEOAAAABQAAAAIxMQEAAAABMAIAAAAKMTAwMTg2NDI2MwMAAAAGMTAwMTgwBAAAAAEyBgAAAAEwBwAAAAMxNjAIAAAAATAJAAAAATEKAAAAATALAAAACzEwOTcxNDg4NDcwDAAAAAE3DQAAAAg4LzEvMjAxOBAAAAAJNy8zMS8yMDE41owROAgJ1ghzJJ1vNAnWCD5DSVEuTkFTREFRQ006TVRFTS5JUV9DQVNIX1NUX0lOVkVTVC4yMDAwLjcvMzEvMjAxOC5MRlIuRi5VU0QuSAEAAACZm6kBAgAAAAY0OS4yNzUBCAAAAAUAAAABMQEAAAAKMTg4ODczMzAwNAMAAAADMTYwAgAAAAQxMDAyBAAAAAEwBwAAAAk3LzMxLzIwMTgIAAAACTMvMzEvMjAxOAkAAAABMMgwsjcICdYIGemhbzQJ1ggkQ0lRLk5BU0RBUUdTOkFOQUIuSVFfRUZGRUNUX1RBWF9SQVRFAQAAACFMsgEDAAAAAADE/xsRNQnWCMKbYhI1CdYILENJUS5OQVNEQVFHUzpNR05YLklRX0xBU1RTQUxFUFJJQ0UuOS8xNS8yMDE3AQAAAE8rCQACAAAABTE3LjQ1AEadGRE1CdYIwptiEjUJ1gg/Q0lRLk5BU0RBUUdTOk1HTlguSVFfRUJJVERBXzJZUl9BTk5fQ0FHUi4uNy8xNi8yMDE4LkxGUi5GLlVTRC5IAQAAAE8rCQADAAAAAk5NAQgAAAAFAAAAATEBAAAACjE4ODcxMTQ5NDUDAAAAAzE2MAIAAAAE</t>
  </si>
  <si>
    <t>NDIwOQQAAAABMAcAAAAJNy8xNi8yMDE4CAAAAAkzLzMxLzIwMTgJAAAAATDE/xsRNQnWCMKbYhI1CdYIPENJUS5OQVNEQVFDTTpBVkVPLklRX0VBUk5JTkdfQ08uQ1kyMDE3LjcvMTYvMjAxOC5MRlIuRi5VU0QuSAEAAAD0Fh0AAgAAAActNjUuMDI1AQgAAAAFAAAAATEBAAAACjE4NzgwODI2NTMDAAAAAzE2MAIAAAABNwQAAAABMAcAAAAJNy8xNi8yMDE4CAAAAAoxMi8zMS8yMDE3CQAAAAEwxP8bETUJ1gjCm2ISNQnWCCxDSVEuSVFUUjQzMTg0MTU4MS5JUV9UUl9UQVJHRVRfRUJJVERBLi5VU0QuSAEAAAAtYb0ZAgAAAAAADG0QDjUJ1ggMPoUONQnWCDBDSVEuLklRX1JFVkVOVUVfRVNULkNZMjAxOS43LzMxLzIwMTguQ09OLkYuVVNELkgFAAAAAQAAAAgAAAAUKEludmFsaWQgSWRlbnRpZmllcin1hDJHNAnWCPWEMkc0CdYIJUNJUS5JUVRSNDAzNzkxNzY3LklRX1BSSU1BUllfSU5EVVNUUlkBAAAAcF8RGAMAAAANQmlvdGVjaG5vbG9neQAMbRAONQnWCMDbgg41CdYIHUNJUS5OQVNEQVFHUzpDQUxBLklRX0VYQ0hBTkdFAQAAAKUngQYDAAAACE5hc2RhcUdTAMgwsjcICdYIHxWdDjUJ1gg2Q0lRLk5BU0RBUUdTOkNBTEEuSVFfRUFSTklOR19DTy4uNy8xNi8yMDE4LkxGUi5GLlVTRC5IAQAAAKUngQYCAAAABy0zNS40NDUBCAAAAAUAAAABMQEAAAAKMTg4Nzk4MDMwNQMAAAADMTYwAgAAAAE3BAAAAAEw</t>
  </si>
  <si>
    <t>BwAAAAk3LzE2LzIwMTgIAAAACTMvMzEvMjAxOAkAAAABMCkclBA1CdYI5HRbEjUJ1gg6Q0lRLk5BU0RBUUdNOkNSSVMuSVFfRUFSTklOR19DTy4xOTkyLjcvMzEvMjAxOC5MRlIuRi5VU0QuSAEAAAAXagAAAgAAAAotMzYuNTc0Nzc3AQgAAAAFAAAAATEBAAAACjE4NDA1MDEwOTkDAAAAAzE2MAIAAAABNwQAAAABMAcAAAAJNy8zMS8yMDE4CAAAAAkzLzMxLzIwMTYJAAAAATDIMLI3CAnWCN1LpG80CdYIPUNJUS5OQVNEQVFHTTpBRk1ELklRX1JFVkVOVUVfRVNULkNZMjAxOC43LzE2LzIwMTguQ09OLkYuVVNELkgBAAAA2/cMAAIAAAAQMi40NzU2NTg1ODg3NjY5NAEOAAAABQAAAAIxMQEAAAABMAIAAAAKMTAwMjg4NDAwNQMAAAAGMTAwMTgwBAAAAAEzBgAAAAEwBwAAAAMxNjAIAAAAATAJAAAAATEKAAAAATALAAAACzEwOTQ3Mjk1NjMzDAAAAAE3DQAAAAk3LzE3LzIwMTgQAAAACTcvMTYvMjAxOCkclBA1CdYIMNddEjUJ1ghAQ0lRLihJTlZBTElEIElERU5USUZJRVIpLklRX0VCSVREQV9NQVJHSU4uLjcvMTYvMjAxOC5MRlIuRi5VU0QuSAUAAAAAAAAACAAAABQoSW52YWxpZCBJZGVudGlmaWVyKd6nfhA1CdYImBJZEjUJ1gg8Q0lRLk5BU0RBUUdNOkFSUUwuSVFfVE9UQUxfRVFVSVRZLjE5OTYuNy8zMS8yMDE4LkxGUi5GLlVTRC5IAQAAAPZhAAACAAAABjE2Ljk4OQEIAAAABQAAAAExAQAAAAoxODg4</t>
  </si>
  <si>
    <t>Nzg4NzM3AwAAAAMxNjACAAAABDEyNzUEAAAAATAHAAAACTcvMzEvMjAxOAgAAAAJMy8zMS8yMDE3CQAAAAEw1owROAgJ1ghzJJ1vNAnWCDJDSVEuT1RDUEs6TldCTy5JUV9OSV9NQVJHSU4uLjcvMTYvMjAxOC5MRlIuRi5VU0QuSAEAAACjehQAAwAAAAJOTQEIAAAABQAAAAExAQAAAAoxODg5MzAyODI0AwAAAAMxNjACAAAABDQwOTQEAAAAATAHAAAACTcvMTYvMjAxOAgAAAAJMy8zMS8yMDE4CQAAAAEwKRyUEDUJ1ghzOWASNQnWCDpDSVEuTkFTREFRR1M6QU5BQi5JUV9DQVNIX1NUX0lOVkVTVC4uNy8xNi8yMDE4LkxGUi5GLlVTRC5IAQAAACFMsgECAAAABzI0OC4xNjUBCAAAAAUAAAABMQEAAAAKMTg4NzQwMDA0MwMAAAADMTYwAgAAAAQxMDAyBAAAAAEwBwAAAAk3LzE2LzIwMTgIAAAACTMvMzEvMjAxOAkAAAABMMT/GxE1CdYIwptiEjUJ1gg1Q0lRLihJTlZBTElEIElERU5USUZJRVIpLklRX01BUktFVENBUC43LzE2LzIwMTguVVNELkgFAAAAAAAAAAgAAAAUKEludmFsaWQgSWRlbnRpZmllcinep34QNQnWCJgSWRI1CdYIPENJUS5OQVNEQVFHUzpUU1JPLklRX0VBUk5JTkdfQ08uQ1kyMDE2LjcvMzEvMjAxOC5MRlIuRi5VU0QuSAEAAABo1lgGAgAAAAgtMzc0LjIyNAEIAAAABQAAAAExAQAAAAoxODc3MjI2Mjg0AwAAAAMxNjACAAAAATcEAAAAATAHAAAACTcvMzEvMjAxOAgAAAAKMTIvMzEvMjAx</t>
  </si>
  <si>
    <t>NgkAAAABMJwL1TgICdYIJMKabzQJ1ggnQ0lRLk5BU0RBUUdTOkZQUlguSVFfQkVUQV8yWVIuNy8zMS8yMDE4AQAAADddMwACAAAAETAuOTk3MTA1MDA5NTk1MjMxANaMETgICdYIGemhbzQJ1ggkQ0lRLk5BU0RBUUdTOlNHRU4uSVFfRUZGRUNUX1RBWF9SQVRFAQAAAGGFAAADAAAAAk5NAQgAAAAFAAAAATEBAAAACjE4OTcyMzM1MTgDAAAAAzE2MAIAAAAENDM3NgQAAAABMAcAAAAJOC8yMy8yMDE4CAAAAAk2LzMwLzIwMTgJAAAAATDE/xsRNQnWCGhgZxI1CdYIOkNJUS5OQVNEQVFDTTpDS1BULklRX0NBU0hfU1RfSU5WRVNULi45LzE1LzIwMTcuTEZSLkYuVVNELkgBAAAAuFEWEQIAAAAGMjcuMjI1AQgAAAAFAAAAATEBAAAACjE4NTI3NTIxNTIDAAAAAzE2MAIAAAAEMTAwMgQAAAABMAcAAAAJOS8xNS8yMDE3CAAAAAk2LzMwLzIwMTcJAAAAATApHJQQNQnWCOR0WxI1CdYIKUNJUS5OQVNEQVFDTTpaSU9QLklRX0JVU0lORVNTX0RFU0NSSVBUSU9OAQAAALNRsgADAAAA6AhaSU9QSEFSTSBPbmNvbG9neSwgSW5jLiwgYSBiaW90ZWNobm9sb2d5IGNvbXBhbnksIGZvY3VzZXMgb24gYWNxdWlyaW5nLCBkZXZlbG9waW5nLCBhbmQgY29tbWVyY2lhbGl6aW5nIGEgcG9ydGZvbGlvIG9mIGltbXVuby1vbmNvbG9neSB0aGVyYXBpZXMgZm9yIHRyZWF0aW5nIGhldGVyb2dlbm91cyBzb2xpZCB0dW1vcnMgYW5k</t>
  </si>
  <si>
    <t>IHVua25vd24gYW50aWdlbnMuIFRoZSBjb21wYW55IGRldmVsb3BzIHR3byBpbW11bm8tb25jb2xvZ3kgcGxhdGZvcm0gdGVjaG5vbG9naWVzLCBpbmNsdWRpbmcgQ29udHJvbGxlZCBJTC0xMiwgd2hpY2ggZGVsaXZlcnMgaW50ZXJsZXVraW4gMTIgb3IgSUwtMTIsIGEgbWFzdGVyIHJlZ3VsYXIgb2YgdGhlIGltbXVuZSBzeXN0ZW0sIGluIGEgY29udHJvbGxlZCBhbmQgc2FmZSBtYW5uZXIgdG8gZm9jdXMgdGhlIHBhdGllbnTigJlzIGltbXVuZSBzeXN0ZW0gdG8gY2FuY2VyOyBhbmQgU2xlZXBpbmcgQmVhdXR5IChTQiksIHdoaWNoIGlzIGJhc2VkIG9uIHRoZSBnZW5ldGljIGVuZ2luZWVyaW5nIG9mIFQtY2VsbHMgdXNpbmcgdGhlIChTQikgc3lzdGVtIHRvIHJhcGlkbHkgcmVwcm9ncmFtIFQtY2VsbHMgb3V0c2lkZSBvZiB0aGUgYm9keSBmb3IgaW5mdXNpb24uIEl0cyBsZWFkIGdlbmUgdGhlcmFweSBwcm9kdWN0IGNhbmRpZGF0ZSBpcyBBZC1SVFMtaElMLTEyIHBsdXMgdmVsZWRpbWV4LCB3aGljaCBpcyBpbiBQaGFzZSBJIGNsaW5pY2FsIHRyaWFsLCBhIGdlbmUgdGhlcmFweSBwcm9kdWN0IGNhbmRpZGF0ZSB0byB0cmVhdCBwYXRpZW50cyB3aXRoIHJlY3VycmVudCBnbGlvYmxhc3RvbWEuIFRoZSBjb21wYW55IGlzIGFsc28gZGV2ZWxvcGluZyBjaGltZXJpYyBhbnRpZ2VuIHJlY2VwdG9y</t>
  </si>
  <si>
    <t>IChDQVIpIFQtY2VsbCBhbmQgVC1jZWxsIHJlY2VwdG9yIFQtY2VsbCB0aGVyYXBpZXMuIFpJT1BIQVJNIE9uY29sb2d5LCBJbmMuIGhhcyBjb2xsYWJvcmF0aW9uIGFncmVlbWVudHMgd2l0aCBQcmVjaWdlbiwgSW5jLiwgTUQgQW5kZXJzb24gQ2FuY2VyIENlbnRlciwgdGhlIE5hdGlvbmFsIENhbmNlciBJbnN0aXR1dGUsIGFuZCBBcmVzIFRyYWRpbmcgUy5BLiBUaGUgY29tcGFueSBpcyBoZWFkcXVhcnRlcmVkIGluIEJvc3RvbiwgTWFzc2FjaHVzZXR0cy4A1owROAgJ1gjDhp9vNAnWCClDSVEuSVFUUjI2MzcxODY0Ny5JUV9CVVNJTkVTU19ERVNDUklQVElPTgEAAAA+8AEAAwAAAJ4KQXMgb2YgSnVseSA4LCAyMDE0LCBUZWxpayBJbmMuIHdhcyBhY3F1aXJlZCBieSBNYWJWYXggVGhlcmFwZXV0aWNzLCBJbmMuLCBpbiBhIHJldmVyc2UgbWVyZ2VyIHRyYW5zYWN0aW9uLiBUZWxpaywgSW5jLiwgYSBjbGluaWNhbC1zdGFnZSBkcnVnIGRldmVsb3BtZW50IGNvbXBhbnksIGZvY3VzZXMgb24gZGlzY292ZXJpbmcgYW5kIGRldmVsb3Bpbmcgc21hbGwgbW9sZWN1bGUgZHJ1Z3MgdG8gdHJlYXQgY2FuY2VyLiBUaGUgY29tcGFueeKAmXMgcHJvZHVjdCBjYW5kaWRhdGVzIGFyZSBkaXNjb3ZlcmVkIHVzaW5nIGl0cyBwcm9wcmlldGFyeSB0ZWNobm9sb2d5LCB0YXJnZXQtcmVsYXRlZCBhZmZpbml0eSBw</t>
  </si>
  <si>
    <t>cm9maWxpbmcgKFRSQVApLCB3aGljaCBlbmFibGVzIHRoZSBkaXNjb3Zlcnkgb2Ygc21hbGwgbW9sZWN1bGUgcHJvZHVjdCBjYW5kaWRhdGVzLiBJdHMgbGVhZCBkcnVnIHByb2R1Y3QgY2FuZGlkYXRlIGluIGNsaW5pY2FsIGRldmVsb3BtZW50IGluY2x1ZGVzIFRFTElOVFJBLCBhIHNtYWxsIG1vbGVjdWxlIGdsdXRhdGhpb25lIGFuYWxvZyBpbmhpYml0b3Igb2YgdGhlIGVuenltZSBnbHV0YXRoaW9uZSBTLXRyYW5zZmVyYXNlIFAxLTEsIHdoaWNoIGlzIHVuZGVyIFBoYXNlIElJIGNsaW5pY2FsIHRyaWFsIGZvciB0aGUgdHJlYXRtZW50IG9mIGJsb29kIGRpc29yZGVycyBhc3NvY2lhdGVkIHdpdGggbG93IGJsb29kIGNlbGwgbGV2ZWxzLCBzdWNoIGFzIGFuZW1pYSwgbmV1dHJvcGVuaWEsIG9yIHRocm9tYm9jeXRvcGVuaWEuIFRoZSBjb21wYW554oCZcyBwcmVjbGluaWNhbCBkcnVnIHByb2R1Y3QgZGV2ZWxvcG1lbnRzIGluY2x1ZGUgVExLNjA0MDQsIGEgc21hbGwgbW9sZWN1bGUgY29tcG91bmQsIHdoaWNoIGluaGliaXRzIEF1cm9yYSBraW5hc2UgYW5kIFZFR0ZSIGtpbmFzZTsgVExLNjAzNTcsIGEgc21hbGwgbW9sZWN1bGUgaW5oaWJpdG9yIG9mIGNlbGwgZGl2aXNpb24gdGhhdCBpbmhpYml0cyB0aGUgZm9ybWF0aW9uIG9mIG1pY3JvdHVidWxlcyBuZWNlc3NhcnkgZm9yIGNhbmNlciBj</t>
  </si>
  <si>
    <t>ZWxsIGdyb3d0aCBsZWFkaW5nIHRvIHBlcnNpc3RlbnQgY2FuY2VyIGNlbGwgY3ljbGUgYmxvY2sgYW5kIHN1YnNlcXVlbnQgY2VsbCBkZWF0aCBhdCB0aGUgRzIvTSBwaGFzZTsgYW5kIFRMSzYwNTk2LCBhIFZFR0ZSMSBhbmQgVkVHRlIyIGtpbmFzZSBpbmhpYml0b3IgdGhhdCBibG9ja3MgdGhlIGZvcm1hdGlvbiBvZiBuZXcgYmxvb2QgdmVzc2VscyBpbiB0dW1vcnMuIFRlbGlrLCBJbmMuIHdhcyBmb3VuZGVkIGluIDE5ODggYW5kIGlzIGJhc2VkIGluIFBhbG8gQWx0bywgQ2FsaWZvcm5pYS4AsrNJbzQJ1giB/ZVvNAnWCD1DSVEuTkFTREFRR1M6Q1RNWC5JUV9SRVZFTlVFX0VTVC5DWTIwMTkuNy8xNi8yMDE4LkNPTi5GLlVTRC5IAQAAANw4mwMCAAAACDc4Ljg4Mjk1AQ4AAAAFAAAAAjExAQAAAAEwAgAAAAoxMDAzMjE1OTczAwAAAAYxMDAxODAEAAAAATIGAAAAATAHAAAAAzE2MAgAAAABMAkAAAABMQoAAAABMAsAAAALMTA5NTEyMzE0NjMMAAAAATcNAAAACTcvMTcvMjAxOBAAAAAJNy8xNi8yMDE4xP8bETUJ1gjCm2ISNQnWCDBDSVEuQVNYOklNVS5JUV9FQVJOSU5HX0NPLi43LzE2LzIwMTguTEZSLkYuVVNELkgBAAAAmJOpAAIAAAAJLTIuMDY3NTgxAQgAAAAFAAAAATEBAAAACjE4NzczMDUzMjADAAAAAzE2MAIAAAABNwQAAAABMAcAAAAJNy8xNi8yMDE4CAAAAAoxMi8zMS8yMDE3CQAAAAEw</t>
  </si>
  <si>
    <t>KRyUEDUJ1ggw110SNQnWCDVDSVEuTkFTREFRR1M6Sk5DRS5JUV9UT1RBTF9SRVYuLjcvMTYvMjAxOC5MRlIuRi5VU0QuSAEAAADieZ4NAgAAAAU2Mi41NQEIAAAABQAAAAExAQAAAAoxODg4MTg2Mzc0AwAAAAMxNjACAAAAAjI4BAAAAAEwBwAAAAk3LzE2LzIwMTgIAAAACTMvMzEvMjAxOAkAAAABMCkclBA1CdYI5HRbEjUJ1gguQ0lRLk5BU0RBUUdNOkxQVFguSVFfTUFSS0VUQ0FQLjcvMTYvMjAxOC5VU0QuSAEAAAAMNgkHAgAAAAoxMjMuNjMyNzI3AQYAAAAFAAAAATEBAAAACjE4OTAxNjM0NzEDAAAAAzE2MAIAAAAGMTAwMDU0BAAAAAEwBwAAAAk3LzE2LzIwMTgpHJQQNQnWCDDXXRI1CdYIIUNJUS5OQVNEQVFDTTpTUk5FLklRX0NPTVBBTllfTkFNRQEAAABJQ5QDAwAAABtTb3JyZW50byBUaGVyYXBldXRpY3MsIEluYy4A1owROAgJ1ghzJJ1vNAnWCCVDSVEuTkFTREFRR1M6R1RIWC5JUV9GSVJTVFBSSUNJTkdEQVRFAQAAAGU0aQgFAAAACTUvMTcvMjAxNwCcC9U4CAnWCCTCmm80CdYIPUNJUS5OQVNEQVFDTTpBVkVPLklRX1JFVkVOVUVfRVNULkNZMjAxOC43LzE2LzIwMTguQ09OLkYuVVNELkgBAAAA9BYdAAIAAAAHNi4xMzM2NwEOAAAABQAAAAIxMQEAAAABMAIAAAAKMTAwMDc0ODA3MwMAAAAGMTAwMTgwBAAAAAEyBgAAAAEwBwAAAAMxNjAIAAAAATAJAAAAATEKAAAAATALAAAACzEwODc1MjQ3</t>
  </si>
  <si>
    <t>NTM0DAAAAAE3DQAAAAk3LzE3LzIwMTgQAAAACTcvMTYvMjAxOMT/GxE1CdYIwptiEjUJ1ggjQ0lRLklRVFI1MzU3MTk5OTguSVFfVFJfVE9UQUxfU1RPQ0sBAAAAPnDuHwIAAAAAALKzSW80CdYIgf2VbzQJ1gguQ0lRLk5BU0RBUUdNOlhOQ1IuSVFfTUFSS0VUQ0FQLjcvMTYvMjAxOC5VU0QuSAEAAACmWgsAAgAAAAsyMjUzLjM2OTY0MQEGAAAABQAAAAExAQAAAAoxODg3MTI0OTkwAwAAAAMxNjACAAAABjEwMDA1NAQAAAABMAcAAAAJNy8xNi8yMDE4Rp0ZETUJ1ggS/mQSNQnWCCNDSVEuMC5JUV9UUl9UQVJHRVRfVE9UQUxfUkVWLi5VU0QuSAUAAAAAAAAACAAAABgoSW52YWxpZCBUcmFuc2FjdGlvbiBJZClJU0dvNAnWCAfi8IE0CdYIRkNJUS5OQVNEQVFHUzpHVEhYLklRX1RPVEFMX1JFVl8zWVJfQU5OX0NBR1IuMjAwMC43LzMxLzIwMTguTEZSLkYuVVNELkgBAAAAZTRpCAMAAAAAANaMETgICdYIJMKabzQJ1ghDQ0lRLk5BU0RBUUNNOkNLUFQuSVFfTUlOT1JJVFlfSU5URVJFU1RfVE9UQUwuLjkvMTUvMjAxNy5MRlIuRi5VU0QuSAEAAAC4URYRAwAAAAAAKRyUEDUJ1gjkdFsSNQnWCCVDSVEuTkFTREFRR006QVJRTC5JUV9GSVJTVFBSSUNJTkdEQVRFAQAAAPZhAAAFAAAACjEwLzE2LzE5OTYA1owROAgJ1ghzJJ1vNAnWCDFDSVEuTkFTREFRR006TkxOSy5JUV9EQV9DRi4uNy8xNi8yMDE4LkxGUi5G</t>
  </si>
  <si>
    <t>LlVTRC5IAQAAAJV7jAACAAAABTEuMzgxAQgAAAAFAAAAATEBAAAACjE4ODgzNTQyMDcDAAAAAzE2MAIAAAAEMjE2MAQAAAABMAcAAAAJNy8xNi8yMDE4CAAAAAkzLzMxLzIwMTgJAAAAATApHJQQNQnWCOR0WxI1CdYIQ0NJUS5OQVNEQVFDTTpBVkVPLklRX01JTk9SSVRZX0lOVEVSRVNUX1RPVEFMLi43LzE2LzIwMTguTEZSLkYuVVNELkgBAAAA9BYdAAMAAAAAAMT/GxE1CdYIwptiEjUJ1ghGQ0lRLk5BU0RBUUdNOkFSUUwuSVFfVE9UQUxfUkVWXzVZUl9BTk5fQ0FHUi4yMDAwLjcvMzEvMjAxOC5MRlIuRi5VU0QuSAEAAAD2YQAAAgAAAAgtMzQuMjExNgEIAAAABQAAAAExAQAAAAoxODg4Nzg4NzcwAwAAAAMxNjACAAAABDQyMzMEAAAAATAHAAAACTcvMzEvMjAxOAgAAAAJMy8zMS8yMDE4CQAAAAEw1owROAgJ1gjDhp9vNAnWCDNDSVEuTkFTREFRR1M6TksuSVFfQ0FQRVguMjAwMC43LzMxLzIwMTguTEZSLkYuVVNELkgBAAAADX2hDwIAAAAHLTM1LjIwOAEIAAAABQAAAAExAQAAAAoxODg3MTE4NzkxAwAAAAMxNjACAAAABDIwMjEEAAAAATAHAAAACTcvMzEvMjAxOAgAAAAJMy8zMS8yMDE4CQAAAAEw1owROAgJ1ggZ6aFvNAnWCDdDSVEuTkFTREFRR1M6QVROWC5JUV9QRVJJT0REQVRFX0lTLjIwMDAuNy8zMS8yMDE4LkxGUi5GAQAAANyZawEFAAAACTMvMzEvMjAxOADWjBE4CAnWCCTCmm80CdYIO0NJ</t>
  </si>
  <si>
    <t>US5OQVNEQVFHTTpJTU1VLklRX0VCSVRfTUFSR0lOLjIwMDAuNy8zMS8yMDE4LkxGUi5GLlVTRC5IAQAAACBDBAADAAAAAk5NAQgAAAAFAAAAATEBAAAACjE4ODg1MjMzODQDAAAAAzE2MAIAAAAENDA1MwQAAAABMAcAAAAJNy8zMS8yMDE4CAAAAAkzLzMxLzIwMTgJAAAAATCcC9U4CAnWCNRfmG80CdYIPENJUS5OQVNEQVFHTTpBUlJZLklRX0VCSVREQV9FU1QuQ1kyMDE4LjcvMzEvMjAxOC5DT04uRi5VU0QuSAEAAAD4YQAAAwAAAAAAnAvVOAgJ1gjUX5hvNAnWCCVDSVEuSVFUUjU0ODMzODAyMC5JUV9UUl9JTVBMSUVEX0VRX0JWAQAAAGT5riACAAAAAAAMbRAONQnWCMDbgg41CdYIQ0NJUS4oSU5WQUxJRCBJREVOVElGSUVSKS5JUV9FQklUREFfRVNULkNZMjAyMC43LzMxLzIwMTguQ09OLkYuVVNELkgFAAAAAAAAAAgAAAAUKEludmFsaWQgSWRlbnRpZmllcinIMLI3CAnWCO02sG80CdYIQ0NJUS5OQVNEQVFHTTpJTU1VLklRX0VCSVREQV81WVJfQU5OX0NBR1IuMjAwMC43LzMxLzIwMTguTEZSLkYuVVNELkgBAAAAIEMEAAMAAAACTk0BCAAAAAUAAAABMQEAAAAKMTg4ODUyMzM4NAMAAAADMTYwAgAAAAQ0MjM1BAAAAAEwBwAAAAk3LzMxLzIwMTgIAAAACTMvMzEvMjAxOAkAAAABMJwL1TgICdYI1F+YbzQJ1gg3Q0lRLk5BU0RBUUdTOk1SU04uSVFfUFJFRl9FUVVJVFkuLjcvMTYvMjAxOC5MRlIuRi5V</t>
  </si>
  <si>
    <t>U0QuSAEAAADmxRgAAwAAAAAAxP8bETUJ1ghzOWASNQnWCD1DSVEuTkFTREFRR006Q1JJUy5JUV9FQklUREFfTUFSR0lOLjIwMDAuNy8zMS8yMDE4LkxGUi5GLlVTRC5IAQAAABdqAAADAAAAAk5NAQgAAAAFAAAAATEBAAAACjE4ODYyNDc0MjADAAAAAzE2MAIAAAAENDA0NwQAAAABMAcAAAAJNy8zMS8yMDE4CAAAAAkzLzMxLzIwMTgJAAAAATDIMLI3CAnWCN1LpG80CdYIJUNJUS5OQVNEQVFHUzpCR05FLklRX01BUktFVENBUC4uVVNELkgBAAAA4OTdBgIAAAALOTg5OC4wNDQ3ODQBBgAAAAUAAAABMQEAAAAKMTg5OTg5OTcxMwMAAAADMTYwAgAAAAYxMDAwNTQEAAAAATAHAAAACTgvMjIvMjAxOJwL1TgICdYInAvVOAgJ1gg/Q0lRLk5BU0RBUUdTOk1HTlguSVFfRUJJVERBXzNZUl9BTk5fQ0FHUi4uNy8xNi8yMDE4LkxGUi5GLlVTRC5IAQAAAE8rCQADAAAAAk5NAQgAAAAFAAAAATEBAAAACjE4ODcxMTQ5NDUDAAAAAzE2MAIAAAAENDIyMgQAAAABMAcAAAAJNy8xNi8yMDE4CAAAAAkzLzMxLzIwMTgJAAAAATDE/xsRNQnWCMKbYhI1CdYIP0NJUS5OQVNEQVFHUzpUU1JPLklRX05FVF9XT1JLSU5HX0NBUC4yMDAwLjcvMzEvMjAxOC5MRlIuRi5VU0QuSAEAAABo1lgGAgAAAAYtNi40MjYBCAAAAAUAAAABMQEAAAAKMTg4NjMzNzQ2NgMAAAADMTYwAgAAAAQxMzExBAAAAAEwBwAAAAk3LzMxLzIwMTgIAAAA</t>
  </si>
  <si>
    <t>CTMvMzEvMjAxOAkAAAABMJwL1TgICdYIJMKabzQJ1ggeQ0lRLklRMzYxODM4MTYuSVFfQ09NUEFOWV9OQU1FAQAAAAgfKAIDAAAAMlVuaXRlZCBTdGF0ZXMgVHJlYXN1cnkgQ29uc3RhbnQgTWF0dXJpdHkgLSAzIE1vbnRoAAxtEA41CdYId3mADjUJ1ggxQ0lRLk5BU0RBUUdNOk5MTksuSVFfQ0FQRVguLjcvMTYvMjAxOC5MRlIuRi5VU0QuSAEAAACVe4wAAgAAAAYtMC4wMDgBCAAAAAUAAAABMQEAAAAKMTg4ODM1NDIwNwMAAAADMTYwAgAAAAQyMDIxBAAAAAEwBwAAAAk3LzE2LzIwMTgIAAAACTMvMzEvMjAxOAkAAAABMCkclBA1CdYI5HRbEjUJ1gg8Q0lRLk5BU0RBUUdNOkNSVlMuSVFfVE9UQUxfRVFVSVRZLjE5OTYuNy8zMS8yMDE4LkxGUi5GLlVTRC5IAQAAAPSwphACAAAABzExOC4yMjUBCAAAAAUAAAABMQEAAAAKMTg4NjM2NzU3OQMAAAADMTYwAgAAAAQxMjc1BAAAAAEwBwAAAAk3LzMxLzIwMTgIAAAACTMvMzEvMjAxNwkAAAABMNaMETgICdYIGemhbzQJ1ghJQ0lRLihJTlZBTElEIElERU5USUZJRVIpLklRX1RPVEFMX1JFVl8zWVJfQU5OX0NBR1IuLjcvMTYvMjAxOC5MRlIuRi5VU0QuSAUAAAAAAAAACAAAABQoSW52YWxpZCBJZGVudGlmaWVyKd6nfhA1CdYImBJZEjUJ1ggjQ0lRLk5BU0RBUUdTOkZQUlguSVFfUEVSSU9EREFURV9JUy4BAAAAN10zAAUAAAAJNi8zMC8yMDE4ACkclBA1CdYI</t>
  </si>
  <si>
    <t>czlgEjUJ1gggQ0lRLklRVFIzMDI4NjY2MjcuSVFfVFJfRUFSTk9VVFMBAAAAw2ANEgIAAAAAAFjPEg41CdYIDD6FDjUJ1ghCQ0lRLk5BU0RBUUdTOkNUTVguSVFfVE9UQUxfUkVWXzNZUl9BTk5fQ0FHUi4uNy8xNi8yMDE4LkxGUi5GLlVTRC5IAQAAANw4mwMCAAAACDEyOC44ODczAQgAAAAFAAAAATEBAAAACjE4ODc2NzUzMTYDAAAAAzE2MAIAAAAENDIyMAQAAAABMAcAAAAJNy8xNi8yMDE4CAAAAAkzLzMxLzIwMTgJAAAAATDE/xsRNQnWCMKbYhI1CdYIOENJUS5OQVNEQVFDTTpDS1BULklRX0VCSVREQS5DWTIwMTcuNy8xNi8yMDE4LkxGUi5GLlVTRC5IAQAAALhRFhEDAAAAAAApHJQQNQnWCDDXXRI1CdYIM0NJUS5OQVNEQVFHUzpCR05FLklRX1BFUklPRERBVEVfSVMuLjcvMTYvMjAxOC5MRlIuRgEAAADg5N0GBQAAAAkzLzMxLzIwMTgAxP8bETUJ1ghoYGcSNQnWCCBDSVEuSVFUUjU1MzU0ODAyNS5JUV9UUl9FQVJOT1VUUwEAAAD5eP4gAgAAAAAAsrNJbzQJ1giB/ZVvNAnWCDZDSVEuTkFTREFRQ006QVZFTy5JUV9UT1RBTF9ERUJULi45LzE1LzIwMTcuTEZSLkYuVVNELkgBAAAA9BYdAAIAAAAGMTkuMTIyAQgAAAAFAAAAATEBAAAACjE4NTI1NzM3MTADAAAAAzE2MAIAAAAENDE3MwQAAAABMAcAAAAJOS8xNS8yMDE3CAAAAAk2LzMwLzIwMTcJAAAAATDE/xsRNQnWCHM5YBI1CdYIRkNJUS5OQVNE</t>
  </si>
  <si>
    <t>QVFDTTpNVEVNLklRX1RPVEFMX1JFVl8zWVJfQU5OX0NBR1IuMjAwMC43LzMxLzIwMTguTEZSLkYuVVNELkgBAAAAmZupAQMAAAAAAMgwsjcICdYI3UukbzQJ1ggSQ0lRLi5JUV9HUC4uLi4uVVNEBQAAAAEAAAAIAAAAFChJbnZhbGlkIElkZW50aWZpZXIpRp0ZETUJ1ghGnRkRNQnWCC9DSVEuSVFUUjUzNTcxOTk5OC5JUV9UUl9JTVBMSUVEX0VWX0ZJTkFMLi5VU0QuSAEAAAA+cO4fAgAAAAsxMDQ0NC40NjkxMwEGAAAABQAAAAI1NAEAAAAGMTAyMDQ1AgAAAAk1MzU3MTk5OTgDAAAACTUzNTcyNDgxMwQAAAADMTYwBgAAAAVGYWxzZbKzSW80CdYIgf2VbzQJ1ggpQ0lRLklRMzYxODM4NDMuSVFfTEFTVFNBTEVQUklDRS43LzE2LzIwMTgBAAAAIx8oAgIAAAAEMi45NgAMbRAONQnWCAw+hQ41CdYINkNJUS5OQVNEQVFHTTpYTkNSLklRX0VBUk5JTkdfQ08uLjcvMTYvMjAxOC5MRlIuRi5VU0QuSAEAAACmWgsAAgAAAActNjIuOTQzAQgAAAAFAAAAATEBAAAACjE4ODcxMjU4NTUDAAAAAzE2MAIAAAABNwQAAAABMAcAAAAJNy8xNi8yMDE4CAAAAAkzLzMxLzIwMTgJAAAAATDE/xsRNQnWCBL+ZBI1CdYIOkNJUS5OQVNEQVFHTTpDUlZTLklRX1RPVEFMX0RFQlQuMjAwMC43LzMxLzIwMTguTEZSLkYuVVNELkgBAAAA9LCmEAIAAAABMAEIAAAABQAAAAExAQAAAAoxODg2MzY3NTkxAwAAAAMxNjACAAAABDQxNzME</t>
  </si>
  <si>
    <t>AAAAATAHAAAACTcvMzEvMjAxOAgAAAAJMy8zMS8yMDE4CQAAAAEw1owROAgJ1ggZ6aFvNAnWCDNDSVEuTkFTREFRR1M6TksuSVFfQ0FQRVguMTk5Ni43LzMxLzIwMTguTEZSLkYuVVNELkgBAAAADX2hDwIAAAAHLTEwLjAwMgEIAAAABQAAAAExAQAAAAoxODg3MTE4NzY3AwAAAAMxNjACAAAABDIwMjEEAAAAATAHAAAACTcvMzEvMjAxOAgAAAAJMy8zMS8yMDE3CQAAAAEw1owROAgJ1ggZ6aFvNAnWCERDSVEuTkFTREFRR1M6TksuSVFfTUlOT1JJVFlfSU5URVJFU1RfVE9UQUwuMjAwMC41LzUvMjAxNy5MRlIuRi5VU0QuSAEAAAANfaEPAwAAAAAA1owROAgJ1ggZ6aFvNAnWCDpDSVEuTkFTREFRR1M6RVBaTS5JUV9FQVJOSU5HX0NPLjIwMDAuNy8zMS8yMDE4LkxGUi5GLlVTRC5IAQAAAAMmPQMCAAAACC0xMzUuODUyAQgAAAAFAAAAATEBAAAACjE4ODcyNDYwNzcDAAAAAzE2MAIAAAABNwQAAAABMAcAAAAJNy8zMS8yMDE4CAAAAAkzLzMxLzIwMTgJAAAAATDWjBE4CAnWCHMknW80CdYIJ0NJUS5OQVNEQVFHTTpDUlZTLklRX1BFUklPRERBVEVfSVMuMTAwMAEAAAD0sKYQBQAAAAoxMi8zMS8yMDE3ANaMETgICdYIGemhbzQJ1ggrQ0lRLklRVFI0MDc3NjA2OTIuSVFfVFJfSU1QTElFRF9FVl9FQklUX0ZXRAEAAAA0700YAgAAAAAAWM8SDjUJ1ggMPoUONQnWCC1DSVEuTkFTREFRR1M6TVJTTi5JUV9NQVJL</t>
  </si>
  <si>
    <t>RVRDQVAuNS81LzIwMTcuVVNELkgBAAAA5sUYAAMAAAAAANaMETgICdYIw4afbzQJ1gg5Q0lRLkVOWFRQQTpJUEguSVFfRUJJVERBX0VTVC5DWTIwMTkuNy8xNi8yMDE4LkNPTi5GLlVTRC5IAQAAAJmABgACAAAAEDMxLjQ5MzUxMzY1MDAwNjMBDgAAAAUAAAACMTEBAAAAATACAAAACjEwMDE2NDMzOTIDAAAABjEwMDE4NwQAAAABMwYAAAABMAcAAAADMTYwCAAAAAEwCQAAAAExCgAAAAEwCwAAAAsxMDk1Mzg0MjM5NQwAAAABNw0AAAAJNy8xNy8yMDE4EAAAAAk3LzE2LzIwMTgpHJQQNQnWCHM5YBI1CdYIMUNJUS5OQVNEQVFHUzpTR0VOLklRX0NBU0hfU1RfSU5WRVNULi4uTEZSLkYuVVNELkgBAAAAYYUAAAIAAAAHNDQ3Ljk3NwEIAAAABQAAAAExAQAAAAoxODk3MjMzNTE4AwAAAAMxNjACAAAABDEwMDIEAAAAATAHAAAACTgvMjMvMjAxOAgAAAAJNi8zMC8yMDE4CQAAAAEwRp0ZETUJ1ghGnRkRNQnWCC5DSVEuSVFUUjU0NzQyMzY4MC5JUV9UUl9UQVJHRVRfU1RPQ0tQUkVNSVVNXzFNAQAAAMAFoSACAAAABzY2LjE1MzgBBgAAAAUAAAACNTQBAAAABjEwMTA1NQIAAAAJNTQ3NDIzNjgwAwAAAAk1NDc0MzMwNjUEAAAAAzE2MAYAAAAFRmFsc2UMbRAONQnWCAw+hQ41CdYIL0NJUS5JUVRSNDA3NzYwNjkyLklRX1RSX1RBUkdFVF9UT1RBTF9SRVYuLlVTRC5IAQAAADTvTRgCAAAACTIwLjc3MTgzOAAMbRAO</t>
  </si>
  <si>
    <t>NQnWCAw+hQ41CdYIIENJUS4wLklRX1RSX1RBUkdFVF9FQklUREEuLlVTRC5IBQAAAAAAAAAIAAAAGChJbnZhbGlkIFRyYW5zYWN0aW9uIElkKUlTR280CdYIB+LwgTQJ1ggpQ0lRLklRMzYxODM4MTMuSVFfTEFTVFNBTEVQUklDRS43LzMxLzIwMTgBAAAABR8oAgIAAAAEMS45NABJU0dvNAnWCIH9lW80CdYIR0NJUS5OQVNEQVFHTTpGQVRFLklRX01JTk9SSVRZX0lOVEVSRVNUX1RPVEFMLjIwMDAuNy8zMS8yMDE4LkxGUi5GLlVTRC5IAQAAAGgxVwIDAAAAAADWjBE4CAnWCMOGn280CdYIKENJUS5OQVNEQVFHUzpNR05YLklRX1RFVi43LzE2LzIwMTguVVNELkgBAAAATysJAAIAAAAKNjUxLjQ4Mzg4NAEGAAAABQAAAAExAQAAAAoxODg3MTE0Njc5AwAAAAMxNjACAAAABjEwMDA2MAQAAAABMAcAAAAJNy8xNi8yMDE4Rp0ZETUJ1gjCm2ISNQnWCDpDSVEuTkFTREFRR006SU1NVS5JUV9DQVNIX1NUX0lOVkVTVC4uNy8xNi8yMDE4LkxGUi5GLlVTRC5IAQAAACBDBAACAAAACjM1OC43OTI2NzgBCAAAAAUAAAABMQEAAAAKMTg4ODUyMzM4NAMAAAADMTYwAgAAAAQxMDAyBAAAAAEwBwAAAAk3LzE2LzIwMTgIAAAACTMvMzEvMjAxOAkAAAABMMT/GxE1CdYIaGBnEjUJ1ggpQ0lRLk5BU0RBUUdNOkFSUUwuSVFfQlVTSU5FU1NfREVTQ1JJUFRJT04BAAAA9mEAAAMAAADBCkFyUXVsZSwgSW5jLiwgYSBiaW9waGFy</t>
  </si>
  <si>
    <t>bWFjZXV0aWNhbCBjb21wYW55LCByZXNlYXJjaGVzIGFuZCBkZXZlbG9wcyB0aGVyYXBldXRpY3MgZm9yIHRoZSB0cmVhdG1lbnQgb2YgY2FuY2VyIGFuZCByYXJlIGRpc2Vhc2VzIGluIHRoZSBVbml0ZWQgU3RhdGVzLiBJdCBvZmZlcnMgRGVyYXphbnRpbmliIChBUlEgMDg3KSwgYSBtdWx0aS1raW5hc2UgaW5oaWJpdG9yIG9mIHRoZSBmaWJyb2JsYXN0IGdyb3d0aCBmYWN0b3IgcmVjZXB0b3IgKEZHRlIpIGZhbWlseSB0aGF0IGlzIGluIGEgcmVnaXN0cmF0aW9uIHRyaWFsIGluIGludHJhaGVwYXRpYyBjaG9sYW5naW9jYXJjaW5vbWEgd2l0aCBGR0ZSMiBmdXNpb25zLiBUaGUgY29tcGFueeKAmXMgY2xpbmljYWwtc3RhZ2UgcHJvZHVjdHMgaW5jbHVkZSBNaXJhbnNlcnRpYiAoQVJRIDA5MiksIGFuIGluaGliaXRvciBvZiB0aGUgQUtUIHNlcmluZS90aHJlb25pbmUga2luYXNlIGluIFBoYXNlIDEvMiBjbGluaWNhbCB0cmlhbCBpbiByYXJlIE92ZXJncm93dGggRGlzZWFzZXMsIFBoYXNlIDEgY2xpbmljYWwgdHJpYWwgaW4gdGhlIHJhcmUgZGlzZWFzZSwgYW5kIGluIFBoYXNlIDFiIGluIG9uY29sb2d5IGluIGNvbWJpbmF0aW9uIHdpdGggdGhlIGhvcm1vbmFsIHRoZXJhcHkgYW5kIGFuYXN0cm96b2xlOyBBUlEgNzUxLCBhIG5leHQtZ2VuZXJhdGlvbiBpbmhpYml0b3Igb2YgQUtUIHRoYXQg</t>
  </si>
  <si>
    <t>aXMgaW4gUGhhc2UgSSBjbGluaWNhbCB0cmlhbCBmb3Igc29saWQgdHVtb3JzIGhhcmJvcmluZyB0aGUgQUtUMSBvciBQSTNLIG11dGF0aW9uOyBBUlEgNzYxLCBhIMOfLWxhcGFjaG9uZSBhbmFsb2cgZXZhbHVhdGVkIGFzIGEgcHJvbW90ZXIgb2YgTlFPMS1tZWRpYXRlZCBwcm9ncmFtbWVkIGNhbmNlciBjZWxsIGRlYXRoIHdoaWNoIGlzIGluIFBoYXNlIDEvMiBjbGluaWNhbCB0cmlhbCBpbiBtdWx0aXBsZSBvbmNvbG9neTsgYW5kIEFSUSA1MzEsIGFuIG9yYWxseSBiaW9hdmFpbGFibGUsIHBvdGVudCBhbmQgcmV2ZXJzaWJsZSBpbmhpYml0b3Igb2Ygd2lsZCB0eXBlIGFuZCBDNDgxUy1tdXRhbnQgQnJ1dG9u4oCZcyB0eXJvc2luZSBraW5hc2UgdGhhdCBpcyBpbiBQaGFzZSAxIGZvciBCLWNlbGwgbWFsaWduYW5jaWVzIHJlZnJhY3RvcnkgdG8gb3RoZXIgdGhlcmFwZXV0aWMgb3B0aW9ucy4gSXQgaGFzIGNvbGxhYm9yYXRpb24gYWdyZWVtZW50IHdpdGggUm9pdmFudCBTY2llbmNlcyBMdGQuIHRvIGRldmVsb3AgZGVyYXphbnRpbmliLCBhIHBhbi1GR0ZSIGluaGliaXRvci4gQXJRdWxlLCBJbmMuIHdhcyBmb3VuZGVkIGluIDE5OTMgYW5kIGlzIGhlYWRxdWFydGVyZWQgaW4gQnVybGluZ3RvbiwgTWFzc2FjaHVzZXR0cy4A1owROAgJ1ghzJJ1vNAnWCDhDSVEuTkFTREFRR1M6RVBaTS5JUV9F</t>
  </si>
  <si>
    <t>QklUREEuQ1kyMDE3LjcvMzEvMjAxOC5MRlIuRi5VU0QuSAEAAAADJj0DAgAAAAgtMTM1LjIwMwEIAAAABQAAAAExAQAAAAoxODc4MDgxMDY0AwAAAAMxNjACAAAABDQwNTEEAAAAATAHAAAACTcvMzEvMjAxOAgAAAAKMTIvMzEvMjAxNwkAAAABMNaMETgICdYIcySdbzQJ1ggUQ0lRLjAuSVFfVFJfRUFSTk9VVFMFAAAAAAAAAAgAAAAYKEludmFsaWQgVHJhbnNhY3Rpb24gSWQpSVNHbzQJ1gjMWOeBNAnWCEZDSVEuTkFTREFRQ006TVRFTS5JUV9UT1RBTF9SRVZfMllSX0FOTl9DQUdSLjIwMDAuNy8zMS8yMDE4LkxGUi5GLlVTRC5IAQAAAJmbqQEDAAAAAADIMLI3CAnWCBnpoW80CdYINkNJUS5OQVNEQVFHUzpBTkFCLklRX1RPVEFMX0RFQlQuLjkvMTUvMjAxNy5MRlIuRi5VU0QuSAEAAAAhTLIBAgAAAAYxNC4xMTIBCAAAAAUAAAABMQEAAAAKMTg1MzAyNDk3MgMAAAADMTYwAgAAAAQ0MTczBAAAAAEwBwAAAAk5LzE1LzIwMTcIAAAACTYvMzAvMjAxNwkAAAABMMT/GxE1CdYIwptiEjUJ1gg9Q0lRLk5BU0RBUUdNOk5MTksuSVFfUkVWRU5VRV9FU1QuQ1kyMDE4LjcvMTYvMjAxOC5DT04uRi5VU0QuSAEAAACVe4wAAgAAAAUyMi4yNQEOAAAABQAAAAIxMQEAAAABMAIAAAAKMTAwMTQyNTA4NwMAAAAGMTAwMTgwBAAAAAEyBgAAAAEwBwAAAAMxNjAIAAAAATAJAAAAATEKAAAAATALAAAACzEwOTQ2NDQ5NzI2</t>
  </si>
  <si>
    <t>DAAAAAE3DQAAAAk3LzE3LzIwMTgQAAAACTcvMTYvMjAxOCkclBA1CdYI5HRbEjUJ1gg9Q0lRLk5BU0RBUUdTOlNHRU4uSVFfUkVWRU5VRV9FU1QuQ1kyMDIwLjcvMTYvMjAxOC5DT04uRi5VU0QuSAEAAABhhQAAAgAAAAgxMDg2LjAzNQEOAAAABQAAAAIxMQEAAAABMAIAAAAKMTAwMDEyNDcyOAMAAAAGMTAwMTgwBAAAAAEyBgAAAAEwBwAAAAMxNjAIAAAAATAJAAAAATEKAAAAATALAAAACzEwOTY3NjMwNDA2DAAAAAE3DQAAAAk3LzE3LzIwMTgQAAAACTcvMTYvMjAxOMT/GxE1CdYIaGBnEjUJ1gg/Q0lRLk5BU0RBUUdNOklNTVUuSVFfRUJJVERBXzVZUl9BTk5fQ0FHUi4uNy8xNi8yMDE4LkxGUi5GLlVTRC5IAQAAACBDBAADAAAAAk5NAQgAAAAFAAAAATEBAAAACjE4ODg1MjMzODQDAAAAAzE2MAIAAAAENDIzNQQAAAABMAcAAAAJNy8xNi8yMDE4CAAAAAkzLzMxLzIwMTgJAAAAATDE/xsRNQnWCBL+ZBI1CdYIPUNJUS5OQVNEQVFHUzpNUlNOLklRX1JFVkVOVUVfRVNULkNZMjAxOS43LzE2LzIwMTguQ09OLkYuVVNELkgBAAAA5sUYAAIAAAAGMjEuMjIyAQ4AAAAFAAAAAjExAQAAAAEwAgAAAAoxMDAzODAzMjgwAwAAAAYxMDAxODAEAAAAATIGAAAAATAHAAAAAzE2MAgAAAABMAkAAAABMQoAAAABMAsAAAALMTA5NTEyMjcwNjYMAAAAATcNAAAACTcvMTcvMjAxOBAAAAAJNy8xNi8yMDE4xP8bETUJ1ghz</t>
  </si>
  <si>
    <t>OWASNQnWCDVDSVEuTkFTREFRR006TkxOSy5JUV9OSV9NQVJHSU4uLjcvMTYvMjAxOC5MRlIuRi5VU0QuSAEAAACVe4wAAgAAAAktMTkzLjQzOTMBCAAAAAUAAAABMQEAAAAKMTg4ODM1NDIwNwMAAAADMTYwAgAAAAQ0MDk0BAAAAAEwBwAAAAk3LzE2LzIwMTgIAAAACTMvMzEvMjAxOAkAAAABMCkclBA1CdYI5HRbEjUJ1gg3Q0lRLk5BU0RBUUNNOkNLUFQuSVFfUFJFRl9FUVVJVFkuLjkvMTUvMjAxNy5MRlIuRi5VU0QuSAEAAAC4URYRAwAAAAAAKRyUEDUJ1gjkdFsSNQnWCDFDSVEuTkFTREFRR1M6VFNSTy5JUV9EQV9DRi4uNy8xNi8yMDE4LkxGUi5GLlVTRC5IAQAAAGjWWAYCAAAABjExLjAzMQEIAAAABQAAAAExAQAAAAoxODg2MzM3NDY2AwAAAAMxNjACAAAABDIxNjAEAAAAATAHAAAACTcvMTYvMjAxOAgAAAAJMy8zMS8yMDE4CQAAAAEwxP8bETUJ1ggS/mQSNQnWCCJDSVEuSVFUUjMxMjEyMjUwNC5JUV9UUl9UT1RBTF9DQVNIAQAAAIicmhICAAAABzE2LjE1OTcAWM8SDjUJ1gjA24IONQnWCDJDSVEuT1RDUEs6TUJWWC5JUV9UT1RBTF9SRVYuLjcvMTYvMjAxOC5MRlIuRi5VU0QuSAEAAADYRIsCAwAAAAAA3qd+EDUJ1giYElkSNQnWCD5DSVEuTkFTREFRR006TkxOSy5JUV9UT1RBTF9FUVVJVFkuQ1kyMDE3LjcvMTYvMjAxOC5MRlIuRi5VU0QuSAEAAACVe4wAAgAAAAcxNTEuNTU3AQgAAAAFAAAA</t>
  </si>
  <si>
    <t>ATEBAAAACjE4NzcyOTg4MTMDAAAAAzE2MAIAAAAEMTI3NQQAAAABMAcAAAAJNy8xNi8yMDE4CAAAAAoxMi8zMS8yMDE3CQAAAAEwKRyUEDUJ1gjkdFsSNQnWCEVDSVEuKElOVkFMSUQgSURFTlRJRklFUikuSVFfVE9UQUxfRVFVSVRZLkNZMjAxNy43LzMxLzIwMTguTEZSLkYuVVNELkgFAAAAAAAAAAgAAAAUKEludmFsaWQgSWRlbnRpZmllcinIMLI3CAnWCO02sG80CdYIJUNJUS5JUVRSMjQ1ODMxMDA3LklRX1RSX0lNUExJRURfRVFfQlYBAAAAXxWnDgIAAAAIMy40NjU5MDMAsrNJbzQJ1giB/ZVvNAnWCEZDSVEuTkFTREFRR006RkFURS5JUV9UT1RBTF9SRVZfNVlSX0FOTl9DQUdSLjIwMDAuNy8zMS8yMDE4LkxGUi5GLlVTRC5IAQAAAGgxVwICAAAABjguNTQ3OAEIAAAABQAAAAExAQAAAAoxODg4NTAwNTI3AwAAAAMxNjACAAAABDQyMzMEAAAAATAHAAAACTcvMzEvMjAxOAgAAAAJMy8zMS8yMDE4CQAAAAEw1owROAgJ1gjDhp9vNAnWCCFDSVEuTkFTREFRR1M6Q1RNWC5JUV9DT01QQU5ZX05BTUUBAAAA3DibAwMAAAAZQ3l0b21YIFRoZXJhcGV1dGljcywgSW5jLgBGnRkRNQnWCMKbYhI1CdYIP0NJUS5OQVNEQVFHUzpHVEhYLklRX05FVF9XT1JLSU5HX0NBUC4yMDAwLjcvMzEvMjAxOC5MRlIuRi5VU0QuSAEAAABlNGkIAgAAAActMTEuNzExAQgAAAAFAAAAATEBAAAACjE4ODYzNjc2NjcDAAAAAzE2</t>
  </si>
  <si>
    <t>MAIAAAAEMTMxMQQAAAABMAcAAAAJNy8zMS8yMDE4CAAAAAkzLzMxLzIwMTgJAAAAATCcC9U4CAnWCCTCmm80CdYIP0NJUS5OQVNEQVFHTTpDUlZTLklRX05FVF9XT1JLSU5HX0NBUC4xOTk2LjcvMzEvMjAxOC5MRlIuRi5VU0QuSAEAAAD0sKYQAgAAAAYtNi41MjgBCAAAAAUAAAABMQEAAAAKMTg4NjM2NzU3OQMAAAADMTYwAgAAAAQxMzExBAAAAAEwBwAAAAk3LzMxLzIwMTgIAAAACTMvMzEvMjAxNwkAAAABMNaMETgICdYIGemhbzQJ1ggjQ0lRLk5BU0RBUUdNOlhOQ1IuSVFfUEVSSU9EREFURV9JUy4BAAAAploLAAUAAAAJNi8zMC8yMDE4AMT/GxE1CdYIEv5kEjUJ1ggnQ0lRLk5BU0RBUUdTOkZQUlguSVFfQkVUQV8yWVIuNy8xNi8yMDE4AQAAADddMwACAAAAEDEuMDEzNjA4MTA1NzAwNzcAKRyUEDUJ1ghzOWASNQnWCClDSVEuSVFUUjQwOTk1MTg4Ni5JUV9UUl9JTVBMSUVEX0VRX05JX0xUTQEAAACOXm8YAgAAAAAADG0QDjUJ1gjA24IONQnWCB9DSVEuSVEyNjY4NjQyLklRX0xBU1RTQUxFUFJJQ0UuAQAAAGK4KAACAAAABDQuMzEAnAvVOAgJ1gh3eYAONQnWCDtDSVEuTkFTREFRR1M6QkdORS5JUV9UT1RBTF9SRVYuQ1kyMDE3LjcvMTYvMjAxOC5MRlIuRi5VU0QuSAEAAADg5N0GAgAAAAcyMzguMzg3AQgAAAAFAAAAATEBAAAACjE4NzYzNTc0NDkDAAAAAzE2MAIAAAACMjgEAAAAATAHAAAACTcv</t>
  </si>
  <si>
    <t>MTYvMjAxOAgAAAAKMTIvMzEvMjAxNwkAAAABMMT/GxE1CdYIaGBnEjUJ1gg6Q0lRLk5BU0RBUUdTOkZQUlguSVFfRUFSTklOR19DTy4yMDAwLjcvMzEvMjAxOC5MRlIuRi5VU0QuSAEAAAA3XTMAAgAAAAgtMTM3LjE2OQEIAAAABQAAAAExAQAAAAoxODg3NDAyMjI3AwAAAAMxNjACAAAAATcEAAAAATAHAAAACTcvMzEvMjAxOAgAAAAJMy8zMS8yMDE4CQAAAAEwyDCyNwgJ1ggZ6aFvNAnWCD5DSVEuTkFTREFRR006QUZNRC5JUV9UT1RBTF9FUVVJVFkuQ1kyMDE2LjcvMTYvMjAxOC5MRlIuRi5VU0QuSAEAAADb9wwAAgAAAAk0MC45MDY3ODgBCAAAAAUAAAABMQEAAAAKMTg3OTE0NzY2MgMAAAADMTYwAgAAAAQxMjc1BAAAAAEwBwAAAAk3LzE2LzIwMTgIAAAACjEyLzMxLzIwMTYJAAAAATApHJQQNQnWCDDXXRI1CdYIOUNJUS5OQVNEQVFHUzpBVE5YLklRX1RPVEFMX1JFVi4xOTk2LjcvMzEvMjAxOC5MRlIuRi5VU0QuSAEAAADcmWsBAgAAAAYyMC41MDMBCAAAAAUAAAABMQEAAAAKMTg4ODcwMjk3NgMAAAADMTYwAgAAAAIyOAQAAAABMAcAAAAJNy8zMS8yMDE4CAAAAAkzLzMxLzIwMTcJAAAAATDWjBE4CAnWCCTCmm80CdYIJ0NJUS5OQVNEQVFHUzpGUFJYLklRX0JFVEFfMVlSLjcvMTYvMjAxOAEAAAA3XTMAAgAAABEwLjczODE1NTQxNzE3MzQwMgApHJQQNQnWCHM5YBI1CdYIOkNJUS5OQVNEQVFHTTpG</t>
  </si>
  <si>
    <t>QVRFLklRX1RPVEFMX0RFQlQuMjAwMC43LzMxLzIwMTguTEZSLkYuVVNELkgBAAAAaDFXAgIAAAAGMTQuODI3AQgAAAAFAAAAATEBAAAACjE4ODg1MDA1MjcDAAAAAzE2MAIAAAAENDE3MwQAAAABMAcAAAAJNy8zMS8yMDE4CAAAAAkzLzMxLzIwMTgJAAAAATDWjBE4CAnWCMOGn280CdYIOENJUS5OQVNEQVFHUzpCR05FLklRX0VCSVREQS5DWTIwMTcuNy8xNi8yMDE4LkxGUi5GLlVTRC5IAQAAAODk3QYCAAAABy05My42OTkBCAAAAAUAAAABMQEAAAAKMTg3NjM1NzQ0OQMAAAADMTYwAgAAAAQ0MDUxBAAAAAEwBwAAAAk3LzE2LzIwMTgIAAAACjEyLzMxLzIwMTcJAAAAATDE/xsRNQnWCGhgZxI1CdYIKUNJUS5JUVRSNDI0MzQyMDQ2LklRX0JVU0lORVNTX0RFU0NSSVBUSU9OAQAAAAG4Bg8DAAAAqQVBZ2FsaW1tdW5lIExpbWl0ZWQsIGEgYmlvcGhhcm1hY2V1dGljYWwgY29tcGFueSwgZGV2ZWxvcHMgaW1tdW5vdGhlcmFwZXV0aWNzIGZvciB0aGUgdHJlYXRtZW50IG9mIGNhbmNlci4gSXQgZGV2ZWxvcHMgQWxwaGFqZWN0IHRoZXJhcHkgdG8gaGFybmVzcyBhIG5hdHVyYWwgaW1tdW5lIGFjdGl2YXRpb24gdG8gZHJpdmUgYSBwYXRpZW50LXNwZWNpZmljIGFudGktdHVtb3IgcmVzcG9uc2UsIHRoZXJlYnkgZWxpY2l0aW5nIGFuIGltbXVuZSByZXNwb25zZSB0aGF0IGRlc3Ryb3lzIHR1bW9yIGNlbGxz</t>
  </si>
  <si>
    <t>IGFuZCBicmluZ3MgYWJvdXQgYW4gYW50aS10dW1vciBwcm90ZWN0aXZlIGltbXVuZSByZXNwb25zZTsgYW5kIEFHSS0xMzQsIGEgZnVsbHktc3ludGhldGljIGFscGhhLWdhbCBnbHljb2xpcGlkIGltbXVub3RoZXJhcHkgZm9yIHNvbGlkIHR1bW9ycy4gQWdhbGltbXVuZSBMaW1pdGVkIHdhcyBmb3VuZGVkIGluIDIwMTMgYW5kIGlzIGJhc2VkIGluIExvbmRvbiwgVW5pdGVkIEtpbmdkb20uIFRoZSBjb21wYW55IGFsc28gaGFzIG9wZXJhdGlvbnMgaW4gU2FuZHdpY2gsIFVuaXRlZCBLaW5nZG9tOyBhbmQgQm9zdG9uLCBNYXNzYWNodXNldHRzLiBBcyBvZiBNYXJjaCAyMywgMjAxNywgQWdhbGltbXVuZSBMaW1pdGVkIG9wZXJhdGVzIGFzIGEgc3Vic2lkaWFyeSBvZiBCaW9MaW5lIFJ4IEx0ZC4ADG0QDjUJ1gjA24IONQnWCD9DSVEuTkFTREFRR006Q1JWUy5JUV9ORVRfV09SS0lOR19DQVAuMjAwMC43LzMxLzIwMTguTEZSLkYuVVNELkgBAAAA9LCmEAIAAAAGLTkuMzcxAQgAAAAFAAAAATEBAAAACjE4ODYzNjc1OTEDAAAAAzE2MAIAAAAEMTMxMQQAAAABMAcAAAAJNy8zMS8yMDE4CAAAAAkzLzMxLzIwMTgJAAAAATDWjBE4CAnWCBnpoW80CdYIPUNJUS5OQVNEQVFHTTpJTU1VLklRX0NBU0hfU1RfSU5WRVNULjIwMDAuNS81LzIwMTcuTEZSLkYuVVNELkgBAAAAIEMEAAIAAAAJNDYuNjEzNjE3AQgA</t>
  </si>
  <si>
    <t>AAAFAAAAATEBAAAACjE4MjcyNDgzNjADAAAAAzE2MAIAAAAEMTAwMgQAAAABMAcAAAAINS81LzIwMTcIAAAACjEyLzMxLzIwMTYJAAAAATCcC9U4CAnWCNRfmG80CdYIK0NJUS5OQVNEQVFHTTpBUlJZLklRX0xBU1RTQUxFUFJJQ0UuNS81LzIwMTcBAAAA+GEAAAIAAAAENy4xOACcC9U4CAnWCCTCmm80CdYIN0NJUS5OQVNEQVFHUzpTR0VOLklRX1BSRUZfRVFVSVRZLi43LzE2LzIwMTguTEZSLkYuVVNELkgBAAAAYYUAAAMAAAAAAMT/GxE1CdYIaGBnEjUJ1gghQ0lRLklRVFI0MDk5NTE4ODYuSVFfVFJfQlVZRVJOQU1FAQAAAI5ebxgDAAAAFlROSyBUaGVyYXBldXRpY3MsIEluYy4ADG0QDjUJ1gjA24IONQnWCD5DSVEuTkFTREFRR006TkxOSy5JUV9UT1RBTF9FUVVJVFkuQ1kyMDE2LjcvMTYvMjAxOC5MRlIuRi5VU0QuSAEAAACVe4wAAgAAAAcxMjkuNDY2AQgAAAAFAAAAATEBAAAACjE4NzcyOTg3MDUDAAAAAzE2MAIAAAAEMTI3NQQAAAABMAcAAAAJNy8xNi8yMDE4CAAAAAoxMi8zMS8yMDE2CQAAAAEwKRyUEDUJ1gjkdFsSNQnWCDtDSVEuTkFTREFRR1M6QkdORS5JUV9UT1RBTF9SRVYuQ1kyMDE2LjcvMTYvMjAxOC5MRlIuRi5VU0QuSAEAAADg5N0GAgAAAAQxLjA3AQgAAAAFAAAAATEBAAAACjE4NzYzNTc0MzYDAAAAAzE2MAIAAAACMjgEAAAAATAHAAAACTcvMTYvMjAxOAgAAAAKMTIvMzEvMjAx</t>
  </si>
  <si>
    <t>NgkAAAABMMT/GxE1CdYIaGBnEjUJ1gg/Q0lRLk5BU0RBUUNNOkNLUFQuSVFfRUJJVERBXzNZUl9BTk5fQ0FHUi4uNy8xNi8yMDE4LkxGUi5GLlVTRC5IAQAAALhRFhEDAAAAAAApHJQQNQnWCOR0WxI1CdYIPUNJUS5OQVNEQVFDTTpTUk5FLklRX1JFVkVOVUVfRVNULkNZMjAyMC43LzMxLzIwMTguQ09OLkYuVVNELkgBAAAASUOUAwIAAAAHMTA1LjMwNgEOAAAABQAAAAIxMQEAAAABMAIAAAAKMTAwMjQ4MTkzMwMAAAAGMTAwMTgwBAAAAAEyBgAAAAEwBwAAAAMxNjAIAAAAATAJAAAAATEKAAAAATALAAAACzEwOTU2MDU2NzgwDAAAAAE3DQAAAAg4LzEvMjAxOBAAAAAJNy8zMS8yMDE41owROAgJ1ghzJJ1vNAnWCDlDSVEuTkFTREFRR006QVJSWS5JUV9UT1RBTF9SRVYuMTk5Mi43LzMxLzIwMTguTEZSLkYuVVNELkgBAAAA+GEAAAIAAAAGMjcuNDAyAQgAAAAFAAAAATEBAAAACjE4NDEwOTUwMjYDAAAAAzE2MAIAAAACMjgEAAAAATAHAAAACTcvMzEvMjAxOAgAAAAJMy8zMS8yMDE2CQAAAAEwnAvVOAgJ1gjUX5hvNAnWCDxDSVEuTkFTREFRR1M6R1RIWC5JUV9UT1RBTF9FUVVJVFkuMTk5Ni43LzMxLzIwMTguTEZSLkYuVVNELkgBAAAAZTRpCAIAAAAJMzAuNzg5OTk4AQgAAAAFAAAAATEBAAAACjE4ODYzNjc2NDgDAAAAAzE2MAIAAAAEMTI3NQQAAAABMAcAAAAJNy8zMS8yMDE4CAAAAAkzLzMxLzIwMTcJ</t>
  </si>
  <si>
    <t>AAAAATDWjBE4CAnWCCTCmm80CdYIJ0NJUS5OQVNEQVFHTTpGQVRFLklRX0JFVEFfMVlSLjcvMzEvMjAxOAEAAABoMVcCAgAAABAxLjUzNzY5NjU1MDg2MTM2ANaMETgICdYIw4afbzQJ1gg4Q0lRLk5BU0RBUUdTOkJHTkUuSVFfRUJJVERBLkNZMjAxNi43LzE2LzIwMTguTEZSLkYuVVNELkgBAAAA4OTdBgIAAAAILTExNS4xNTEBCAAAAAUAAAABMQEAAAAKMTg3NjM1NzQzNgMAAAADMTYwAgAAAAQ0MDUxBAAAAAEwBwAAAAk3LzE2LzIwMTgIAAAACjEyLzMxLzIwMTYJAAAAATDE/xsRNQnWCGhgZxI1CdYIIUNJUS5OQVNEQVFDTTpBVkVPLklRX0NPTVBBTllfTkFNRQEAAAD0Fh0AAwAAABpBVkVPIFBoYXJtYWNldXRpY2FscywgSW5jLgBGnRkRNQnWCMKbYhI1CdYINkNJUS5OQVNEQVFHUzpUU1JPLklRX1RPVEFMX0RFQlQuLjkvMTUvMjAxNy5MRlIuRi5VU0QuSAEAAABo1lgGAgAAAAcxMzcuNDQ3AQgAAAAFAAAAATEBAAAACjE4NTI2NjI1NTMDAAAAAzE2MAIAAAAENDE3MwQAAAABMAcAAAAJOS8xNS8yMDE3CAAAAAk2LzMwLzIwMTcJAAAAATDE/xsRNQnWCBL+ZBI1CdYILENJUS5JUVRSNDA4NDA3ODIyLklRX1RSX1RBUkdFVF9FQklUREEuLlVTRC5IAQAAAA7PVxgCAAAAAACys0lvNAnWCIH9lW80CdYII0NJUS5JUVRSMjQ1ODMxMDA3LklRX1RSX1RPVEFMX1NUT0NLAQAAAF8Vpw4CAAAAAACys0lvNAnW</t>
  </si>
  <si>
    <t>CIH9lW80CdYIQ0NJUS5OQVNEQVFHUzpLVVJBLklRX0VCSVREQV8zWVJfQU5OX0NBR1IuMjAwMC43LzMxLzIwMTguTEZSLkYuVVNELkgBAAAAuMvaEAMAAAAAANaMETgICdYIcySdbzQJ1ggpQ0lRLklRVFIzMDc4NjM5ODQuSVFfVFJfSU1QTElFRF9FUV9OSV9MVE0BAAAAsKFZEgIAAAAAAFjPEg41CdYIwNuCDjUJ1ggyQ0lRLk5BU0RBUUdTOkNBTEEuSVFfRUJJVERBLi43LzE2LzIwMTguTEZSLkYuVVNELkgBAAAApSeBBgIAAAAHLTM3LjMzMwEIAAAABQAAAAExAQAAAAoxODg3OTgwMzA1AwAAAAMxNjACAAAABDQwNTEEAAAAATAHAAAACTcvMTYvMjAxOAgAAAAJMy8zMS8yMDE4CQAAAAEwKRyUEDUJ1gjkdFsSNQnWCDtDSVEuTkFTREFRR1M6QVROWC5JUV9QUkVGX0VRVUlUWS4yMDAwLjcvMzEvMjAxOC5MRlIuRi5VU0QuSAEAAADcmWsBAwAAAAAA1owROAgJ1ggkwppvNAnWCDxDSVEuTkFTREFRR1M6S1VSQS5JUV9FQVJOSU5HX0NPLkNZMjAxNi43LzMxLzIwMTguTEZSLkYuVVNELkgBAAAAuMvaEAIAAAAGLTI3LjU2AQgAAAAFAAAAATEBAAAACjE4NzgwMTI0MzUDAAAAAzE2MAIAAAABNwQAAAABMAcAAAAJNy8zMS8yMDE4CAAAAAoxMi8zMS8yMDE2CQAAAAEw1owROAgJ1ghzJJ1vNAnWCB9DSVEuLklRX1RSX1RBUkdFVF9FQklUREEuLlVTRC5IBQAAAAAAAAAIAAAAFChJbnZhbGlkIElkZW50aWZpZXIp</t>
  </si>
  <si>
    <t>nAvVOAgJ1gh3eYAONQnWCDpDSVEuTkFTREFRR1M6QkdORS5JUV9DQVNIX1NUX0lOVkVTVC4uNy8xNi8yMDE4LkxGUi5GLlVTRC5IAQAAAODk3QYCAAAACDE0NjQuMDE1AQgAAAAFAAAAATEBAAAACjE4ODc2ODg1ODgDAAAAAzE2MAIAAAAEMTAwMgQAAAABMAcAAAAJNy8xNi8yMDE4CAAAAAkzLzMxLzIwMTgJAAAAATDE/xsRNQnWCGhgZxI1CdYIOENJUS5FTlhUUEE6SVBILklRX1RPVEFMX1JFVi5DWTIwMTcuNy8xNi8yMDE4LkxGUi5GLlVTRC5IAQAAAJmABgACAAAACTUyLjg3MzQzOQEIAAAABQAAAAExAQAAAAoxODg5NTUyMTY0AwAAAAMxNjACAAAAAjI4BAAAAAEwBwAAAAk3LzE2LzIwMTgIAAAACjEyLzMxLzIwMTcJAAAAATApHJQQNQnWCHM5YBI1CdYIIkNJUS5JUVRSNDMxODQxNTgxLklRX1RSX1RPVEFMX0NBU0gBAAAALWG9GQIAAAAAAAxtEA41CdYIDD6FDjUJ1ggnQ0lRLk5BU0RBUUdNOkFSUUwuSVFfUEVSSU9EREFURV9JUy4xMDAwAQAAAPZhAAAFAAAACjEyLzMxLzIwMTcA1owROAgJ1ghzJJ1vNAnWCDtDSVEuTkFTREFRR1M6U0dFTi5JUV9UT1RBTF9SRVYuQ1kyMDE2LjcvMTYvMjAxOC5MRlIuRi5VU0QuSAEAAABhhQAAAgAAAAc0MTguMTQ3AQgAAAAFAAAAATEBAAAACjE4NzQ2OTYxOTYDAAAAAzE2MAIAAAACMjgEAAAAATAHAAAACTcvMTYvMjAxOAgAAAAKMTIvMzEvMjAxNgkAAAABMMT/</t>
  </si>
  <si>
    <t>GxE1CdYIaGBnEjUJ1ggnQ0lRLk5BU0RBUUdTOkdUSFguSVFfQkVUQV8xWVIuNy8zMS8yMDE4AQAAAGU0aQgCAAAADzEuMTA0NzUyMjc1NzQ1NACcC9U4CAnWCCTCmm80CdYIPUNJUS5OQVNEQVFDTTpTUk5FLklRX1JFVkVOVUVfRVNULkNZMjAxOC43LzMxLzIwMTguQ09OLkYuVVNELkgBAAAASUOUAwIAAAAGMTcuMTA2AQ4AAAAFAAAAAjExAQAAAAEwAgAAAAoxMDAyMDM0MjUwAwAAAAYxMDAxODAEAAAAATIGAAAAATAHAAAAAzE2MAgAAAABMAkAAAABMQoAAAABMAsAAAALMTA5NDU2MzEzODQMAAAAATcNAAAACDgvMS8yMDE4EAAAAAk3LzMxLzIwMTjWjBE4CAnWCHMknW80CdYINUNJUS5OQVNEQVFHTTpBRk1ELklRX05JX01BUkdJTi4uNy8xNi8yMDE4LkxGUi5GLlVTRC5IAQAAANv3DAADAAAAAk5NAQgAAAAFAAAAATEBAAAACjE4ODk4NjYwNDkDAAAAAjUwAgAAAAQ0MDk0BAAAAAEwBwAAAAk3LzE2LzIwMTgIAAAACTMvMzEvMjAxOAkAAAABMCkclBA1CdYIMNddEjUJ1gg+Q0lRLk5BU0RBUUdTOkFEWFMuSVFfVE9UQUxfRVFVSVRZLkNZMjAxNi43LzE2LzIwMTguTEZSLkYuVVNELkgBAAAAnux4AAIAAAAKMTA3LjM2ODUwMQEIAAAABQAAAAExAQAAAAoxODc4MDEyNDI5AwAAAAMxNjACAAAABDEyNzUEAAAAATAHAAAACTcvMTYvMjAxOAgAAAAJMS8zMS8yMDE3CQAAAAEwKRyUEDUJ1gjkdFsSNQnWCDdD</t>
  </si>
  <si>
    <t>SVEuTkFTREFRQ006QVZFTy5JUV9QUkVGX0VRVUlUWS4uOS8xNS8yMDE3LkxGUi5GLlVTRC5IAQAAAPQWHQADAAAAAADE/xsRNQnWCHM5YBI1CdYIK0NJUS5JUVRSNDA5OTUxODg2LklRX1RSX0lNUExJRURfRVZfRUJJVF9GV0QBAAAAjl5vGAIAAAAAAAxtEA41CdYIwNuCDjUJ1gg+Q0lRLk5BU0RBUUdNOkFSUUwuSVFfVE9UQUxfRVFVSVRZLkNZMjAxNi43LzMxLzIwMTguTEZSLkYuVVNELkgBAAAA9mEAAAIAAAAFMjMuNjgBCAAAAAUAAAABMQEAAAAKMTg3ODUwODY5NQMAAAADMTYwAgAAAAQxMjc1BAAAAAEwBwAAAAk3LzMxLzIwMTgIAAAACjEyLzMxLzIwMTYJAAAAATDWjBE4CAnWCHMknW80CdYIKENJUS5BU1g6SU1VLklRX01BUktFVENBUC43LzE2LzIwMTguVVNELkgBAAAAmJOpAAIAAAAJNjguNjQxMzQxAQYAAAAFAAAAATEBAAAACjE4NzczMDA5NjIDAAAAAzE2MAIAAAAGMTAwMDU0BAAAAAEwBwAAAAk3LzE2LzIwMTgpHJQQNQnWCDDXXRI1CdYINkNJUS5OQVNEQVFDTTpDS1BULklRX0VBUk5JTkdfQ08uLjcvMTYvMjAxOC5MRlIuRi5VU0QuSAEAAAC4URYRAgAAAActMjcuMDU5AQgAAAAFAAAAATEBAAAACjE4ODgwMDcyMjMDAAAAAzE2MAIAAAABNwQAAAABMAcAAAAJNy8xNi8yMDE4CAAAAAkzLzMxLzIwMTgJAAAAATApHJQQNQnWCOR0WxI1CdYIL0NJUS5OQVNEQVFHUzpTR0VOLklRX0VCSVRE</t>
  </si>
  <si>
    <t>QS5DWTIwMTcuLkxGUi5GLlVTRC5IAQAAAGGFAAACAAAACC0xNzEuNTMyAQgAAAAFAAAAATEBAAAACjE4NzQ2OTYyMjADAAAAAzE2MAIAAAAENDA1MQQAAAABMAcAAAAJOC8yMy8yMDE4CAAAAAoxMi8zMS8yMDE3CQAAAAEwRp0ZETUJ1ghGnRkRNQnWCDpDSVEuTkFTREFRQ006U1JORS5JUV9UT1RBTF9ERUJULjIwMDAuNy8zMS8yMDE4LkxGUi5GLlVTRC5IAQAAAElDlAMCAAAABTcuMDk1AQgAAAAFAAAAATEBAAAACjE4ODc5ODk4MzEDAAAAAzE2MAIAAAAENDE3MwQAAAABMAcAAAAJNy8zMS8yMDE4CAAAAAkzLzMxLzIwMTgJAAAAATDWjBE4CAnWCHMknW80CdYIIkNJUS5JUVRSNTM1NzE5OTk4LklRX1RSX1RBUkdFVE5BTUUBAAAAPnDuHwMAAAARS2l0ZSBQaGFybWEsIEluYy4AsrNJbzQJ1giB/ZVvNAnWCENDSVEuTkFTREFRQ006WklPUC5JUV9FQklUREFfNVlSX0FOTl9DQUdSLjIwMDAuNy8zMS8yMDE4LkxGUi5GLlVTRC5IAQAAALNRsgADAAAAAk5NAQgAAAAFAAAAATEBAAAACjE4ODc5NzIzNTkDAAAAAzE2MAIAAAAENDIzNQQAAAABMAcAAAAJNy8zMS8yMDE4CAAAAAkzLzMxLzIwMTgJAAAAATDWjBE4CAnWCMOGn280CdYIPENJUS5BU1g6SU1VLklRX1RPVEFMX1JFVl81WVJfQU5OX0NBR1IuLjcvMTYvMjAxOC5MRlIuRi5VU0QuSAEAAACYk6kAAgAAAAc3Mi41MDk2AQgAAAAFAAAAATEBAAAACjE4</t>
  </si>
  <si>
    <t>NzczMDUzMjADAAAAATkCAAAABDQyMzMEAAAAATAHAAAACTcvMTYvMjAxOAgAAAAKMTIvMzEvMjAxNwkAAAABMCkclBA1CdYIMNddEjUJ1ggdQ0lRLk5BU0RBUUdTOlRTUk8uSVFfRVhDSEFOR0UBAAAAaNZYBgMAAAAITmFzZGFxR1MAnAvVOAgJ1ggPZYwONQnWCD1DSVEuTkFTREFRR1M6R1RIWC5JUV9SRVZFTlVFX0VTVC5DWTIwMTguNy8zMS8yMDE4LkNPTi5GLlVTRC5IAQAAAGU0aQgCAAAAATABDgAAAAUAAAACMTEBAAAAATACAAAACjEwMDM3NTE1ODIDAAAABjEwMDE4MAQAAAABMgYAAAABMAcAAAADMTYwCAAAAAEwCQAAAAExCgAAAAEwCwAAAAsxMTAyOTg1NzkxNAwAAAABNw0AAAAIOC8xLzIwMTgQAAAACTcvMzEvMjAxOJwL1TgICdYIJMKabzQJ1gg6Q0lRLk5BU0RBUUdTOk1HTlguSVFfQ0FTSF9TVF9JTlZFU1QuLjcvMTYvMjAxOC5MRlIuRi5VU0QuSAEAAABPKwkAAgAAAAcyNjAuMDgxAQgAAAAFAAAAATEBAAAACjE4ODcxMTQ5NDUDAAAAAzE2MAIAAAAEMTAwMgQAAAABMAcAAAAJNy8xNi8yMDE4CAAAAAkzLzMxLzIwMTgJAAAAATDE/xsRNQnWCMKbYhI1CdYIRkNJUS5OQVNEQVFHUzpGUFJYLklRX1RPVEFMX1JFVl8zWVJfQU5OX0NBR1IuMjAwMC43LzMxLzIwMTguTEZSLkYuVVNELkgBAAAAN10zAAIAAAAHNDUuNzY3NAEIAAAABQAAAAExAQAAAAoxODg3NDAyMjI3AwAAAAMxNjACAAAABDQy</t>
  </si>
  <si>
    <t>MjAEAAAAATAHAAAACTcvMzEvMjAxOAgAAAAJMy8zMS8yMDE4CQAAAAEwyDCyNwgJ1ggZ6aFvNAnWCClDSVEuSVFUUjU2MzkxOTA0OS5JUV9CVVNJTkVTU19ERVNDUklQVElPTgEAAAD2Q2wNAwAAALcJQVJNTyBCaW9TY2llbmNlcywgSW5jLiwgYW4gaW1tdW5vLW9uY29sb2d5IGNvbXBhbnksIGRldmVsb3BzIGEgcGlwZWxpbmUgb2Ygbm92ZWwgcHJvZHVjdCBjYW5kaWRhdGVzIHRoYXQgYWN0aXZhdGUgdGhlIGltbXVuZSBzeXN0ZW0gb2YgY2FuY2VyIHBhdGllbnRzIHRvIHJlY29nbml6ZSBhbmQgZXJhZGljYXRlIHR1bW9ycyBpbiB0aGUgVW5pdGVkIFN0YXRlcy4gSXRzIGxlYWQgcHJvZHVjdCBjYW5kaWRhdGUgaXMgQU0wMDEwLCBhIGxvbmcgYWN0aW5nIGZvcm0gb2YgaHVtYW4gaW50ZXJsZXVraW4tMTAgdGhhdCBpcyBpbiBQaGFzZSBJSUkgcmFuZG9taXplZCBwaXZvdGFsIGNsaW5pY2FsIHRyaWFsIGZvciB0aGUgdHJlYXRtZW50IG9mIHBhbmNyZWF0aWMgZHVjdGFsIGFkZW5vY2FyY2lub21hLiBUaGUgY29tcGFueSBpcyBhbHNvIGRldmVsb3BpbmcgQU0wMDEwIHRoYXQgaGFzIGNvbXBsZXRlZCBQaGFzZSBJL0liIGNsaW5pY2FsIHRyaWFsIGZvciB0aGUgdHJlYXRtZW50IG9mIG5vbi1zbWFsbCBjZWxsIGx1bmcgY2FuY2VyLCByZW5hbCBjZWxsIGNhcmNpbm9tYSwgY29sb3JlY3RhbCBjYW5j</t>
  </si>
  <si>
    <t>ZXIsIGFuZCBtZWxhbm9tYSBhbmQgYnJlYXN0IGNhbmNlci4gSW4gYWRkaXRpb24sIGl0IGlzIGRldmVsb3BpbmcgQU0wMDAxLCBhIG1vbm9jbG9uYWwgYW50aWJvZHkgYWdhaW5zdCBwcm9ncmFtbWVkIGNlbGwgZGVhdGggcHJvdGVpbi0xIGNoZWNrcG9pbnQgaW5oaWJpdG9yOyBBTTAwMTUsIGEgcmVjb21iaW5hbnQgaHVtYW4gaW50ZXJsZXVraW4tMTU7IEFNMDAxMiwgYSByZWNvbWJpbmFudCBodW1hbiBJbnRlcmxldWtpbi0xMjsgYW5kIEFNMDAwMywgYSBtb25vY2xvbmFsIGFudGlib2R5IGFnYWluc3QgbGV1a29jeXRlIGFjdGl2YXRpbmcgZ2VuZS0zIHByb3RlaW4gcHJvZ3JhbS4gVGhlIGNvbXBhbnkgd2FzIGZvcm1lcmx5IGtub3duIGFzIFRhcmdlbmljcywgSW5jLiBhbmQgY2hhbmdlZCBpdHMgbmFtZSB0byBBUk1PIEJpb1NjaWVuY2VzLCBJbmMuIGluIERlY2VtYmVyIDIwMTIuIEFSTU8gQmlvU2NpZW5jZXMsIEluYy4gd2FzIGluY29ycG9yYXRlZCBpbiAyMDEwIGFuZCBpcyBoZWFkcXVhcnRlcmVkIGluIFJlZHdvb2QgQ2l0eSwgQ2FsaWZvcm5pYS4gQXMgb2YgSnVuZSAyMSwgMjAxOCwgQVJNTyBCaW9TY2llbmNlcywgSW5jLiBvcGVyYXRlcyBhcyBhIHN1YnNpZGlhcnkgb2YgRWxpIExpbGx5IGFuZCBDb21wYW55LgAMbRAONQnWCMDbgg41CdYIO0NJUS5OQVNEQVFHTTpJTU1VLklRX05F</t>
  </si>
  <si>
    <t>VF9XT1JLSU5HX0NBUC4uNy8xNi8yMDE4LkxGUi5GLlVTRC5IAQAAACBDBAACAAAACi04My4yNTU1ODEBCAAAAAUAAAABMQEAAAAKMTg4ODUyMzM4NAMAAAADMTYwAgAAAAQxMzExBAAAAAEwBwAAAAk3LzE2LzIwMTgIAAAACTMvMzEvMjAxOAkAAAABMMT/GxE1CdYIEv5kEjUJ1gg4Q0lRLk5BU0RBUUdTOkZQUlguSVFfRUJJVERBLkNZMjAxNi43LzMxLzIwMTguTEZSLkYuVVNELkgBAAAAN10zAAIAAAAGLTk3LjQ3AQgAAAAFAAAAATEBAAAACjE4NzYxMzU5ODgDAAAAAzE2MAIAAAAENDA1MQQAAAABMAcAAAAJNy8zMS8yMDE4CAAAAAoxMi8zMS8yMDE2CQAAAAEw1owROAgJ1ggZ6aFvNAnWCDpDSVEuTkFTREFRR006QVJRTC5JUV9FQVJOSU5HX0NPLjE5OTYuNy8zMS8yMDE4LkxGUi5GLlVTRC5IAQAAAPZhAAACAAAABy0yNS4zMTMBCAAAAAUAAAABMQEAAAAKMTg4ODc4ODczNwMAAAADMTYwAgAAAAE3BAAAAAEwBwAAAAk3LzMxLzIwMTgIAAAACTMvMzEvMjAxNwkAAAABMNaMETgICdYIcySdbzQJ1gg8Q0lRLk5BU0RBUUdNOlhOQ1IuSVFfRUJJVERBX0VTVC5DWTIwMjAuNy8xNi8yMDE4LkNPTi5GLlVTRC5IAQAAAKZaCwACAAAABC0xMjcBDgAAAAUAAAACMTEBAAAAATACAAAACjEwMDIwMjUyNTcDAAAABjEwMDE4NwQAAAABMgYAAAABMAcAAAADMTYwCAAAAAEwCQAAAAExCgAAAAEwCwAAAAsxMDkxNTgz</t>
  </si>
  <si>
    <t>MjUzMQwAAAABNw0AAAAJNy8xNy8yMDE4EAAAAAk3LzE2LzIwMTjE/xsRNQnWCBL+ZBI1CdYIK0NJUS5OQVNEQVFHUzpLVVJBLklRX0xBU1RTQUxFUFJJQ0UuNS81LzIwMTcBAAAAuMvaEAIAAAAEOS4zNQDWjBE4CAnWCHMknW80CdYILkNJUS5OQVNEQVFHTTpMUFRYLklRX01BUktFVENBUC45LzE1LzIwMTcuVVNELkgBAAAADDYJBwIAAAAJNTMuOTMyNTgxAQYAAAAFAAAAATEBAAAACjE4NTMxNzE5ODgDAAAAAzE2MAIAAAAGMTAwMDU0BAAAAAEwBwAAAAk5LzE1LzIwMTcpHJQQNQnWCDDXXRI1CdYIKUNJUS5JUVRSNTUwMjU5Mzk3LklRX1RSX0lNUExJRURfRVFfTklfTFRNAQAAAMVKzCADAAAAAk5NAAxtEA41CdYId3mADjUJ1ggjQ0lRLklRVFI1MzM2Mzk1MDEuSVFfVFJfVE9UQUxfU1RPQ0sBAAAATbHOHwIAAAAAAAxtEA41CdYIwNuCDjUJ1gg/Q0lRLk5BU0RBUUdTOkJHTkUuSVFfRUJJVERBXzVZUl9BTk5fQ0FHUi4uNy8xNi8yMDE4LkxGUi5GLlVTRC5IAQAAAODk3QYDAAAAAADE/xsRNQnWCGhgZxI1CdYIPUNJUS5OQVNEQVFHUzpNUlNOLklRX1JFVkVOVUVfRVNULkNZMjAyMS43LzE2LzIwMTguQ09OLkYuVVNELkgBAAAA5sUYAAIAAAAGMjYuNTk0AQ4AAAAFAAAAAjExAQAAAAEwAgAAAAoxMDAzODAzODQ1AwAAAAYxMDAxODAEAAAAATIGAAAAATAHAAAAAzE2MAgAAAABMAkAAAABMQoAAAABMAsA</t>
  </si>
  <si>
    <t>AAALMTA4ODM1NDAyMjYMAAAAATcNAAAACTcvMTcvMjAxOBAAAAAJNy8xNi8yMDE4xP8bETUJ1ghzOWASNQnWCENDSVEuTkFTREFRR006SU1NVS5JUV9NSU5PUklUWV9JTlRFUkVTVF9UT1RBTC4uNy8xNi8yMDE4LkxGUi5GLlVTRC5IAQAAACBDBAACAAAACS0wLjgxMDE2OQEIAAAABQAAAAExAQAAAAoxODg4NTIzMzg0AwAAAAMxNjACAAAABDEzMTIEAAAAATAHAAAACTcvMTYvMjAxOAgAAAAJMy8zMS8yMDE4CQAAAAEwxP8bETUJ1ghoYGcSNQnWCDVDSVEuTkFTREFRR1M6QkdORS5JUV9DQVBFWC4yMDAwLjcvMzEvMjAxOC5MRlIuRi5VU0QuSAEAAADg5N0GAgAAAActNTEuMDAyAQgAAAAFAAAAATEBAAAACjE4ODc2ODg1ODgDAAAAAzE2MAIAAAAEMjAyMQQAAAABMAcAAAAJNy8zMS8yMDE4CAAAAAkzLzMxLzIwMTgJAAAAATCcC9U4CAnWCIH9lW80CdYIOkNJUS5OQVNEQVFHTTpDUlZTLklRX0VBUk5JTkdfQ08uMTk5Ni43LzMxLzIwMTguTEZSLkYuVVNELkgBAAAA9LCmEAIAAAAHLTQ2LjA2NAEIAAAABQAAAAExAQAAAAoxODg2MzY3NTc5AwAAAAMxNjACAAAAATcEAAAAATAHAAAACTcvMzEvMjAxOAgAAAAJMy8zMS8yMDE3CQAAAAEw1owROAgJ1ggZ6aFvNAnWCENDSVEuTkFTREFRR1M6TUdOWC5JUV9NSU5PUklUWV9JTlRFUkVTVF9UT1RBTC4uNy8xNi8yMDE4LkxGUi5GLlVTRC5IAQAAAE8rCQADAAAA</t>
  </si>
  <si>
    <t>AADE/xsRNQnWCMKbYhI1CdYIIkNJUS5JUVRSNTMzNjM5NTAxLklRX1RSX1RPVEFMX0NBU0gBAAAATbHOHwIAAAAAAAxtEA41CdYIwNuCDjUJ1gg1Q0lRLk5BU0RBUUdTOkdUSFguSVFfQ0FQRVguMjAwMC43LzMxLzIwMTguTEZSLkYuVVNELkgBAAAAZTRpCAIAAAAGLTAuMzUyAQgAAAAFAAAAATEBAAAACjE4ODYzNjc2NjcDAAAAAzE2MAIAAAAEMjAyMQQAAAABMAcAAAAJNy8zMS8yMDE4CAAAAAkzLzMxLzIwMTgJAAAAATCcC9U4CAnWCCTCmm80CdYILkNJUS5FTlhUUEE6SVBILklRX0RBX0NGLi43LzE2LzIwMTguTEZSLkYuVVNELkgBAAAAmYAGAAIAAAAINS4yNzQ5NzYBCAAAAAUAAAABMQEAAAAKMTg4OTU1MjE2NAMAAAADMTYwAgAAAAQyMTYwBAAAAAEwBwAAAAk3LzE2LzIwMTgIAAAACjEyLzMxLzIwMTcJAAAAATApHJQQNQnWCHM5YBI1CdYIOUNJUS5OQVNEQVFHUzpDQUxBLklRX1RPVEFMX1JFVi4xOTkyLjcvMzEvMjAxOC5MRlIuRi5VU0QuSAEAAAClJ4EGAwAAAAAAyDCyNwgJ1gjdS6RvNAnWCD1DSVEuTkFTREFRR006WE5DUi5JUV9SRVZFTlVFX0VTVC5DWTIwMjEuNy8xNi8yMDE4LkNPTi5GLlVTRC5IAQAAAKZaCwACAAAACTExNy4zNjEzMwEOAAAABQAAAAIxMQEAAAABMAIAAAAKMTAwMjAyNTI2MgMAAAAGMTAwMTgwBAAAAAEyBgAAAAEwBwAAAAMxNjAIAAAAATAJAAAAATEKAAAAATALAAAA</t>
  </si>
  <si>
    <t>CzEwOTE1ODMyNDg5DAAAAAE3DQAAAAk3LzE3LzIwMTgQAAAACTcvMTYvMjAxOMT/GxE1CdYIEv5kEjUJ1gg1Q0lRLk5BU0RBUUdTOkNBTEEuSVFfTklfTUFSR0lOLi43LzE2LzIwMTguTEZSLkYuVVNELkgBAAAApSeBBgIAAAAJLTEzMS41MTE1AQgAAAAFAAAAATEBAAAACjE4ODc5ODAzMDUDAAAAAzE2MAIAAAAENDA5NAQAAAABMAcAAAAJNy8xNi8yMDE4CAAAAAkzLzMxLzIwMTgJAAAAATApHJQQNQnWCOR0WxI1CdYINkNJUS5OQVNEQVFHTTpDUklTLklRX0VCSVREQS4xOTkyLjcvMzEvMjAxOC5MRlIuRi5VU0QuSAEAAAAXagAAAgAAAAotMzQuMTEyNzU5AQgAAAAFAAAAATEBAAAACjE4NDA1MDEwOTkDAAAAAzE2MAIAAAAENDA1MQQAAAABMAcAAAAJNy8zMS8yMDE4CAAAAAkzLzMxLzIwMTYJAAAAATDIMLI3CAnWCN1LpG80CdYIPUNJUS5OQVNEQVFHUzpUU1JPLklRX1JFVkVOVUVfRVNULkNZMjAxOC43LzE2LzIwMTguQ09OLkYuVVNELkgBAAAAaNZYBgIAAAAJMzA1LjU5NzMyAQ4AAAAFAAAAAjExAQAAAAEwAgAAAAoxMDAxNTgwMzQwAwAAAAYxMDAxODAEAAAAATIGAAAAATAHAAAAAzE2MAgAAAABMAkAAAABMQoAAAABMAsAAAALMTA5NjcyMTY3MDkMAAAAATcNAAAACTcvMTcvMjAxOBAAAAAJNy8xNi8yMDE4xP8bETUJ1ggS/mQSNQnWCDxDSVEuTkFTREFRR006QUZNRC5JUV9FQVJOSU5HX0NPLkNZ</t>
  </si>
  <si>
    <t>MjAxNy43LzE2LzIwMTguTEZSLkYuVVNELkgBAAAA2/cMAAIAAAAKLTM2LjI5MDgyNgEIAAAABQAAAAExAQAAAAoxODc5MTQ3Njk2AwAAAAMxNjACAAAAATcEAAAAATAHAAAACTcvMTYvMjAxOAgAAAAKMTIvMzEvMjAxNwkAAAABMCkclBA1CdYIMNddEjUJ1ggsQ0lRLk5BU0RBUUdTOkJHTkUuSVFfTEFTVFNBTEVQUklDRS45LzE1LzIwMTcBAAAA4OTdBgIAAAAEODAuOQBGnRkRNQnWCGhgZxI1CdYIO0NJUS5OQVNEQVFDTTpTUk5FLklRX1RPVEFMX1JFVi5DWTIwMTcuNy8zMS8yMDE4LkxGUi5GLlVTRC5IAQAAAElDlAMCAAAABzE1MS44NTYBCAAAAAUAAAABMQEAAAAKMTg3ODY3NzQ1NgMAAAADMTYwAgAAAAIyOAQAAAABMAcAAAAJNy8zMS8yMDE4CAAAAAoxMi8zMS8yMDE3CQAAAAEw1owROAgJ1ghzJJ1vNAnWCDBDSVEuTkFTREFRR1M6Q0FMQS5JUV9MQVNUU0FMRVBSSUNFLjcvMzEvMjAxOC5VU0QBAAAApSeBBgIAAAAENC40NQDIMLI3CAnWCN1LpG80CdYIKUNJUS5OQVNEQVFHUzpKTkNFLklRX0JVU0lORVNTX0RFU0NSSVBUSU9OAQAAAOJ5ng0DAAAAwQdKb3VuY2UgVGhlcmFwZXV0aWNzLCBJbmMuLCBhIGNsaW5pY2FsIHN0YWdlIGltbXVub3RoZXJhcHkgY29tcGFueSwgZGV2ZWxvcHMgdGhlcmFwaWVzIGZvciB0aGUgdHJlYXRtZW50IG9mIGNhbmNlci4gSXRzIGxlYWQgcHJvZHVjdCBjYW5kaWRh</t>
  </si>
  <si>
    <t>dGUgaXMgSlRYLTIwMTEsIGEgY2xpbmljYWwgc3RhZ2UgbW9ub2Nsb25hbCBhbnRpYm9keSB0aGF0IGJpbmRzIHRvIGFuZCBhY3RpdmF0ZXMgdGhlIGluZHVjaWJsZSBUIGNlbGwgY28tc3RpbXVsYXRvciwgYSBwcm90ZWluIG9uIHRoZSBzdXJmYWNlIG9mIGNlcnRhaW4gVCBjZWxscyBmb3VuZCBpbiBzb2xpZCB0dW1vcnMsIHdoaWNoIGlzIGluIFBoYXNlIEkvSUkgY2xpbmljYWwgdHJpYWwgZm9yIHRoZSB0cmVhdG1lbnQgb2Ygc2l4IHR1bW9yIHR5cGVzLCBpbmNsdWRpbmcgaGVhZCBhbmQgbmVjayBzcXVhbW91cyBjZWxsIGNhbmNlciwgbm9uLXNtYWxsIGNlbGwgbHVuZyBjYW5jZXIsIHRyaXBsZSBuZWdhdGl2ZSBicmVhc3QgY2FuY2VyLCBtZWxhbm9tYSwgZ2FzdHJpYyBjYW5jZXIsIGFuZCBvdGhlciB0dW1vciB0eXBlcyBpZGVudGlmaWVkIHRocm91Z2ggaXRzIHRyYW5zbGF0aW9uYWwgc2NpZW5jZSBwbGF0Zm9ybS4gVGhlIGNvbXBhbnkgaXMgYWxzbyBkZXZlbG9waW5nIEpUWC00MDE0LCBhbiBhbnRpLVBELTEgYW50YWdvbmlzdCBhbnRpYm9keSBmb3IgY29tYmluYXRpb24gdGhlcmFweS4gSm91bmNlIFRoZXJhcGV1dGljcywgSW5jLiBoYXMgYSBtYXN0ZXIgcmVzZWFyY2ggYW5kIGNvbGxhYm9yYXRpb24gYWdyZWVtZW50IHdpdGggQ2VsZ2VuZSBDb3Jwb3JhdGlvbiBmb2N1c2VkIG9uIGRl</t>
  </si>
  <si>
    <t>dmVsb3BpbmcgYW5kIGNvbW1lcmNpYWxpemluZyBiaW9sb2dpYyBpbW11bm90aGVyYXBpZXMuIFRoZSBjb21wYW55IHdhcyBpbmNvcnBvcmF0ZWQgaW4gMjAxMiBhbmQgaXMgaGVhZHF1YXJ0ZXJlZCBpbiBDYW1icmlkZ2UsIE1hc3NhY2h1c2V0dHMuACkclBA1CdYImBJZEjUJ1gg3Q0lRLk5BU0RBUUdNOlhOQ1IuSVFfUFJFRl9FUVVJVFkuLjkvMTUvMjAxNy5MRlIuRi5VU0QuSAEAAACmWgsAAwAAAAAAxP8bETUJ1ggS/mQSNQnWCD9DSVEuTkFTREFRR006SU1NVS5JUV9FQklUREFfM1lSX0FOTl9DQUdSLi43LzE2LzIwMTguTEZSLkYuVVNELkgBAAAAIEMEAAMAAAACTk0BCAAAAAUAAAABMQEAAAAKMTg4ODUyMzM4NAMAAAADMTYwAgAAAAQ0MjIyBAAAAAEwBwAAAAk3LzE2LzIwMTgIAAAACTMvMzEvMjAxOAkAAAABMMT/GxE1CdYIEv5kEjUJ1gg7Q0lRLk5BU0RBUUdTOlRTUk8uSVFfTkVUX1dPUktJTkdfQ0FQLi43LzE2LzIwMTguTEZSLkYuVVNELkgBAAAAaNZYBgIAAAAGLTYuNDI2AQgAAAAFAAAAATEBAAAACjE4ODYzMzc0NjYDAAAAAzE2MAIAAAAEMTMxMQQAAAABMAcAAAAJNy8xNi8yMDE4CAAAAAkzLzMxLzIwMTgJAAAAATDE/xsRNQnWCBL+ZBI1CdYIIkNJUS5JUVRSMjUzOTU0NDczLklRX1RSX1BDVF9TT1VHSFQBAAAAqQkjDwIAAAADMTAwALKzSW80CdYINZuTbzQJ1ggxQ0lRLk5BU0RBUUNN</t>
  </si>
  <si>
    <t>OkFWRU8uSVFfREFfQ0YuLjcvMTYvMjAxOC5MRlIuRi5VU0QuSAEAAAD0Fh0AAwAAAAAAxP8bETUJ1gjCm2ISNQnWCDtDSVEuTkFTREFRR1M6Q0FMQS5JUV9UT1RBTF9SRVYuQ1kyMDE3LjcvMTYvMjAxOC5MRlIuRi5VU0QuSAEAAAClJ4EGAgAAAAYyNS45NTUBCAAAAAUAAAABMQEAAAAKMTg3Nzk1NTcwNwMAAAADMTYwAgAAAAIyOAQAAAABMAcAAAAJNy8xNi8yMDE4CAAAAAoxMi8zMS8yMDE3CQAAAAEwKRyUEDUJ1gjkdFsSNQnWCDZDSVEuTkFTREFRR006QVJSWS5JUV9FQklUREEuMTk5Ni43LzMxLzIwMTguTEZSLkYuVVNELkgBAAAA+GEAAAIAAAAHLTk2LjI5OAEIAAAABQAAAAExAQAAAAoxODg4NDcwNjU2AwAAAAMxNjACAAAABDQwNTEEAAAAATAHAAAACTcvMzEvMjAxOAgAAAAJMy8zMS8yMDE3CQAAAAEwnAvVOAgJ1gjUX5hvNAnWCEZDSVEuTkFTREFRR006QVJRTC5JUV9UT1RBTF9SRVZfMllSX0FOTl9DQUdSLjIwMDAuNy8zMS8yMDE4LkxGUi5GLlVTRC5IAQAAAPZhAAACAAAACC0zNC42MjE1AQgAAAAFAAAAATEBAAAACjE4ODg3ODg3NzADAAAAAzE2MAIAAAAENDIwNwQAAAABMAcAAAAJNy8zMS8yMDE4CAAAAAkzLzMxLzIwMTgJAAAAATDWjBE4CAnWCMOGn280CdYIIENJUS5JUVRSMjczNTA3MTg1LklRX1RSX0VBUk5PVVRTAQAAAHFjTRACAAAACTkzLjY4Njc4MwEGAAAABQAAAAI1NAEAAAAG</t>
  </si>
  <si>
    <t>MTAxNDAzAgAAAAkyNzM1MDcxODUDAAAACTI3MzUwNzc4NwQAAAADMTYwBgAAAAVGYWxzZbKzSW80CdYIgf2VbzQJ1gg1Q0lRLk5BU0RBUUdNOkFSUlkuSVFfREFfQ0YuMjAwMC43LzMxLzIwMTguTEZSLkYuVVNELkgBAAAA+GEAAAIAAAAFMi4yNjkBCAAAAAUAAAABMQEAAAAKMTg4ODQ3MDY3NgMAAAADMTYwAgAAAAQyMTYwBAAAAAEwBwAAAAk3LzMxLzIwMTgIAAAACTMvMzEvMjAxOAkAAAABMJwL1TgICdYIJMKabzQJ1ggiQ0lRLklRVFI0MTM5NTM2NjEuSVFfVFJfUENUX1NPVUdIVAEAAAB9bqwYAgAAAAMxMDABBgAAAAUAAAACNTQBAAAABjEwMTAyNAIAAAAJNDEzOTUzNjYxAwAAAAk0MTM5NTc2NDAEAAAAAzE2MAYAAAAEVHJ1ZbKzSW80CdYIgf2VbzQJ1gg5Q0lRLk9UQ1BLOk5XQk8uSVFfRUJJVERBX0VTVC5DWTIwMTguNy8xNi8yMDE4LkNPTi5GLlVTRC5IAQAAAKN6FAADAAAAAAApHJQQNQnWCHM5YBI1CdYIKUNJUS5OQVNEQVFHUzpDQUxBLklRX0JVU0lORVNTX0RFU0NSSVBUSU9OAQAAAKUngQYDAAAAsgpDYWxpdGhlcmEgQmlvc2NpZW5jZXMsIEluYy4sIGEgY2xpbmljYWwtc3RhZ2UgYmlvLXBoYXJtYWNldXRpY2FsIGNvbXBhbnksIGZvY3VzZXMgb24gdGhlIGRpc2NvdmVyeSBhbmQgZGV2ZWxvcG1lbnQgb2Ygc21hbGwgbW9sZWN1bGUgZHJ1Z3MgZGlyZWN0ZWQgYWdhaW5zdCB0dW1vciBt</t>
  </si>
  <si>
    <t>ZXRhYm9saXNtIGFuZCB0dW1vciBpbW11bm9sb2d5IHRhcmdldHMgZm9yIHRoZSB0cmVhdG1lbnQgb2YgY2FuY2VyIGluIHRoZSBVbml0ZWQgU3RhdGVzLiBJdHMgbGVhZCBwcm9kdWN0IGNhbmRpZGF0ZSBpcyBDQi04MzksIGFuIGluaGliaXRvciBvZiBnbHV0YW1pbmFzZSwgd2hpY2ggaXMgaW4gUGhhc2UgSUkgY2xpbmljYWwgdHJpYWwgdG8gdHJlYXQgc29saWQgdHVtb3JzLiBUaGUgY29tcGFueSBhbHNvIG9mZmVycyBJTkNCMDAxMTU4LCBhbiBvcmFsIGluaGliaXRvciBvZiBhcmdpbmFzZSB0aGF0IGlzIGluIFBoYXNlIEkvSUkgY2xpbmljYWwgdHJpYWwgZm9yIHRoZSB0cmVhdG1lbnQgb2YgaGVtYXRvbG9neSBhbmQgb25jb2xvZ3kuIEl0IGhhcyBhIGxpY2Vuc2UgYWdyZWVtZW50IHdpdGggTWFycywgSW5jLiB0byBkZXZlbG9wIGFuZCBjb21tZXJjaWFsaXplIFN5bWJpb3NjaWVuY2XigJlzIHBvcnRmb2xpbyBvZiBhcmdpbmFzZSBpbmhpYml0b3JzIGZvciB1c2UgaW4gaHVtYW4gaGVhbHRoY2FyZTsgYW5kIGxpY2Vuc2UgYW5kIHJlc2VhcmNoIGFncmVlbWVudCB3aXRoIEhpZ2ggUG9pbnQgUGhhcm1hY2V1dGljYWxzLCBMTEMgYW5kIFRyYW5zVGVjaCBQaGFybWEgTExDIHRvIGRldmVsb3AgYW5kIGNvbW1lcmNpYWxpemUgaGV4b2tpbmFzZSBJSSBpbmhpYml0b3JzLiBUaGUgY29tcGFueSBh</t>
  </si>
  <si>
    <t>bHNvIGhhcyBjbGluaWNhbCB0cmlhbCBjb2xsYWJvcmF0aW9uIHdpdGggQnJpc3RvbC1NeWVycyBTcXVpYmIgQ29tcGFueSB0byBldmFsdWF0ZSBuaXZvbHVtYWIgaW4gY29tYmluYXRpb24gd2l0aCBDQi04MzkgaW4gY2VsbCByZW5hbCBjZWxsIGNhcmNpbm9tYS4gSW4gYWRkaXRpb24sIGl0IGhhcyBhIGNvbGxhYm9yYXRpb24gYW5kIGxpY2Vuc2UgYWdyZWVtZW50IHdpdGggSW5jeXRlIENvcnBvcmF0aW9uIGZvciB0aGUgcmVzZWFyY2gsIGRldmVsb3BtZW50LCBhbmQgY29tbWVyY2lhbGl6YXRpb24gb2YgSU5DQjAwMTE1OCwgYSBzbWFsbCBtb2xlY3VsZSBhcmdpbmFzZSBpbmhpYml0b3IgZm9yIHRoZSB0cmVhdG1lbnQgb2YgaGVtYXRvbG9neSBhbmQgb25jb2xvZ3kuIENhbGl0aGVyYSBCaW9zY2llbmNlcywgSW5jLiB3YXMgZm91bmRlZCBpbiAyMDEwIGFuZCBpcyBoZWFkcXVhcnRlcmVkIGluIFNvdXRoIFNhbiBGcmFuY2lzY28sIENhbGlmb3JuaWEuAMgwsjcICdYIHxWdDjUJ1gg/Q0lRLk5BU0RBUUdNOk5MTksuSVFfRUJJVERBXzJZUl9BTk5fQ0FHUi4uNy8xNi8yMDE4LkxGUi5GLlVTRC5IAQAAAJV7jAADAAAAAk5NAQgAAAAFAAAAATEBAAAACjE4ODgzNTQyMDcDAAAAAzE2MAIAAAAENDIwOQQAAAABMAcAAAAJNy8xNi8yMDE4CAAAAAkzLzMxLzIwMTgJAAAAATApHJQQNQnWCOR0WxI1CdYI</t>
  </si>
  <si>
    <t>J0NJUS5OQVNEQVFHUzpDVE1YLklRX0JFVEFfNVlSLjcvMTYvMjAxOAEAAADcOJsDAgAAABEwLjg4NjI0MzYwOTgxNDEwNgDE/xsRNQnWCMKbYhI1CdYIIUNJUS5OQVNEQVFHTTpDUklTLklRX0NPTVBBTllfTkFNRQEAAAAXagAAAwAAAAtDdXJpcywgSW5jLgDIMLI3CAnWCN1LpG80CdYIJ0NJUS5OQVNEQVFHTTpGQVRFLklRX0JFVEFfMllSLjcvMzEvMjAxOAEAAABoMVcCAgAAABAyLjMwNzQwMjU0NjgxOTY0ANaMETgICdYIw4afbzQJ1gg7Q0lRLk5BU0RBUUdNOkZBVEUuSVFfUFJFRl9FUVVJVFkuMjAwMC43LzMxLzIwMTguTEZSLkYuVVNELkgBAAAAaDFXAgIAAAAFMC4wMDMBCAAAAAUAAAABMQEAAAAKMTg4ODUwMDUyNwMAAAADMTYwAgAAAAQxMDA1BAAAAAEwBwAAAAk3LzMxLzIwMTgIAAAACTMvMzEvMjAxOAkAAAABMNaMETgICdYIw4afbzQJ1ggtQ0lRLk5BU0RBUUdNOkNSSVMuSVFfRElWSURFTkRfWUlFTEQuNy8zMS8yMDE4AQAAABdqAAADAAAAAADIMLI3CAnWCN1LpG80CdYIP0NJUS5OQVNEQVFHUzpQQllJLklRX0VCSVREQV81WVJfQU5OX0NBR1IuLjcvMTYvMjAxOC5MRlIuRi5VU0QuSAEAAAACaqwHAwAAAAJOTQEIAAAABQAAAAExAQAAAAoxODg4NjY3NzQzAwAAAAMxNjACAAAABDQyMzUEAAAAATAHAAAACTcvMTYvMjAxOAgAAAAJMy8zMS8yMDE4CQAAAAEwxP8bETUJ1ggS/mQSNQnWCCdD</t>
  </si>
  <si>
    <t>SVEuTkFTREFRR006QVJRTC5JUV9CRVRBXzFZUi43LzMxLzIwMTgBAAAA9mEAAAIAAAARMC4yOTczMTAyMTM5Nzc5MDcA1owROAgJ1ghzJJ1vNAnWCCtDSVEuTkFTREFRR1M6Q0FMQS5JUV9MQVNUU0FMRVBSSUNFLjUvNS8yMDE3AQAAAKUngQYCAAAABTExLjE1AMgwsjcICdYI3UukbzQJ1ggrQ0lRLklRVFIyNjM3MTg2NDcuSVFfVFJfVE9UQUxfR1JPU1NfVFYuLlVTRAEAAAD3BrgPAgAAAAAAsrNJbzQJ1giB/ZVvNAnWCEZDSVEuTkFTREFRR006SU1NVS5JUV9NSU5PUklUWV9JTlRFUkVTVF9UT1RBTC4yMDAwLjUvNS8yMDE3LkxGUi5GLlVTRC5IAQAAACBDBAACAAAACS0wLjc0MjU2NAEIAAAABQAAAAExAQAAAAoxODI3MjQ4MzYwAwAAAAMxNjACAAAABDEzMTIEAAAAATAHAAAACDUvNS8yMDE3CAAAAAoxMi8zMS8yMDE2CQAAAAEwnAvVOAgJ1gjUX5hvNAnWCD5DSVEuTkFTREFRQ006QVZFTy5JUV9UT1RBTF9FUVVJVFkuQ1kyMDE3LjcvMTYvMjAxOC5MRlIuRi5VU0QuSAEAAAD0Fh0AAgAAAActNDAuNzYzAQgAAAAFAAAAATEBAAAACjE4NzgwODI2NTMDAAAAAzE2MAIAAAAEMTI3NQQAAAABMAcAAAAJNy8xNi8yMDE4CAAAAAoxMi8zMS8yMDE3CQAAAAEwxP8bETUJ1ghzOWASNQnWCDpDSVEuTkFTREFRR1M6RlBSWC5JUV9DQVNIX1NUX0lOVkVTVC4uNy8xNi8yMDE4LkxGUi5GLlVTRC5IAQAAADddMwAC</t>
  </si>
  <si>
    <t>AAAABzM4OS40MjYBCAAAAAUAAAABMQEAAAAKMTg4NzQwMjIyNwMAAAADMTYwAgAAAAQxMDAyBAAAAAEwBwAAAAk3LzE2LzIwMTgIAAAACTMvMzEvMjAxOAkAAAABMCkclBA1CdYIczlgEjUJ1gg8Q0lRLk5BU0RBUUdNOkFSUlkuSVFfRUJJVERBX0VTVC5DWTIwMTkuNy8zMS8yMDE4LkNPTi5GLlVTRC5IAQAAAPhhAAADAAAAAACcC9U4CAnWCNRfmG80CdYIJENJUS5OQVNEQVFDTTpBVkVPLklRX0VGRkVDVF9UQVhfUkFURQEAAAD0Fh0AAwAAAAJOTQEIAAAABQAAAAExAQAAAAoxODk5MDUxMjU2AwAAAAMxNjACAAAABDQzNzYEAAAAATAHAAAACTgvMjMvMjAxOAgAAAAJNi8zMC8yMDE4CQAAAAEwxP8bETUJ1ghzOWASNQnWCDpDSVEuTkFTREFRR1M6RVBaTS5JUV9QUkVGX0VRVUlUWS4yMDAwLjUvNS8yMDE3LkxGUi5GLlVTRC5IAQAAAAMmPQMDAAAAAADWjBE4CAnWCHMknW80CdYIPkNJUS5OQVNEQVFHUzpFUFpNLklRX1RPVEFMX0VRVUlUWS5DWTIwMTYuNy8zMS8yMDE4LkxGUi5GLlVTRC5IAQAAAAMmPQMCAAAABTIwMS43AQgAAAAFAAAAATEBAAAACjE4NzgwODEwNjEDAAAAAzE2MAIAAAAEMTI3NQQAAAABMAcAAAAJNy8zMS8yMDE4CAAAAAoxMi8zMS8yMDE2CQAAAAEw1owROAgJ1ghzJJ1vNAnWCDlDSVEuTkFTREFRQ006WklPUC5JUV9UT1RBTF9SRVYuMTk5Ni43LzMxLzIwMTguTEZSLkYuVVNELkgB</t>
  </si>
  <si>
    <t>AAAAs1GyAAIAAAAFNi40ODkBCAAAAAUAAAABMQEAAAAKMTg4Nzk3MjM0OAMAAAADMTYwAgAAAAIyOAQAAAABMAcAAAAJNy8zMS8yMDE4CAAAAAkzLzMxLzIwMTcJAAAAATDWjBE4CAnWCMOGn280CdYIPENJUS5OQVNEQVFHUzpUU1JPLklRX0dST1NTX01BUkdJTi4yMDAwLjcvMzEvMjAxOC5MRlIuRi5VU0QuSAEAAABo1lgGAgAAAAc4MS4yMjU1AQgAAAAFAAAAATEBAAAACjE4ODYzMzc0NjYDAAAAAzE2MAIAAAAENDA3NAQAAAABMAcAAAAJNy8zMS8yMDE4CAAAAAkzLzMxLzIwMTgJAAAAATCcC9U4CAnWCCTCmm80CdYIIENJUS5JUTM2MTgzODM0LklRX0xBU1RTQUxFUFJJQ0UuAQAAABofKAICAAAABDIuNzcAnAvVOAgJ1gh3eYAONQnWCDpDSVEuTkFTREFRR1M6QURYUy5JUV9DQVNIX1NUX0lOVkVTVC4uNy8xNi8yMDE4LkxGUi5GLlVTRC5IAQAAAJ7seAACAAAACTU3Ljg2NTQ4OAEIAAAABQAAAAExAQAAAAoxODkyNzg4NTQ4AwAAAAMxNjACAAAABDEwMDIEAAAAATAHAAAACTcvMTYvMjAxOAgAAAAJNC8zMC8yMDE4CQAAAAEwKRyUEDUJ1gjkdFsSNQnWCD9DSVEuT1RDUEs6TUJWWC5JUV9UT1RBTF9SRVZfM1lSX0FOTl9DQUdSLi43LzE2LzIwMTguTEZSLkYuVVNELkgBAAAA2ESLAgMAAAAAAN6nfhA1CdYImBJZEjUJ1gg7Q0lRLk5BU0RBUUdTOk1HTlguSVFfVE9UQUxfUkVWLkNZMjAxNi43LzE2LzIw</t>
  </si>
  <si>
    <t>MTguTEZSLkYuVVNELkgBAAAATysJAAIAAAAFOTEuODgBCAAAAAUAAAABMQEAAAAKMTg3NjEzNTE1NwMAAAADMTYwAgAAAAIyOAQAAAABMAcAAAAJNy8xNi8yMDE4CAAAAAoxMi8zMS8yMDE2CQAAAAEwxP8bETUJ1gjCm2ISNQnWCCdDSVEuTkFTREFRR1M6TVJTTi5JUV9CRVRBXzVZUi43LzE2LzIwMTgBAAAA5sUYAAMAAAAAACkclBA1CdYIczlgEjUJ1gg7Q0lRLk5BU0RBUUdNOkZBVEUuSVFfVE9UQUxfUkVWLkNZMjAxNi43LzMxLzIwMTguTEZSLkYuVVNELkgBAAAAaDFXAgIAAAAFNC40MDIBCAAAAAUAAAABMQEAAAAKMTg3NzA2OTA2NwMAAAADMTYwAgAAAAIyOAQAAAABMAcAAAAJNy8zMS8yMDE4CAAAAAoxMi8zMS8yMDE2CQAAAAEw1owROAgJ1gjDhp9vNAnWCDBDSVEuSVFUUjQwNzc2MDY5Mi5JUV9UUl9UQVJHRVRfRUJJVERBX0VTVC4uVVNELkgBAAAANO9NGAIAAAAAAFjPEg41CdYIDD6FDjUJ1ggsQ0lRLklRVFI1MzMzODU3NDQuSVFfVFJfVE9UQUxfR1JPU1NfVFYuVVNELkgFAAAAAAAAAAgAAAAaKEludmFsaWQgQ3VycmVuY3kgUmVxdWVzdCkMbRAONQnWCMDbgg41CdYIPENJUS5OQVNEQVFDTTpTUk5FLklRX0VCSVREQV9FU1QuQ1kyMDIwLjcvMzEvMjAxOC5DT04uRi5VU0QuSAEAAABJQ5QDAgAAAActODguODk2AQ4AAAAFAAAAAjExAQAAAAEwAgAAAAoxMDAyNDgxOTMzAwAAAAYxMDAxODcE</t>
  </si>
  <si>
    <t>AAAAATIGAAAAATAHAAAAAzE2MAgAAAABMAkAAAABMQoAAAABMAsAAAALMTA5NDU2MjY1NTEMAAAAATcNAAAACDgvMS8yMDE4EAAAAAk3LzMxLzIwMTjWjBE4CAnWCHMknW80CdYIRkNJUS5OQVNEQVFHUzpNUlNOLklRX1RPVEFMX1JFVl81WVJfQU5OX0NBR1IuMjAwMC43LzMxLzIwMTguTEZSLkYuVVNELkgBAAAA5sUYAAMAAAAAANaMETgICdYIw4afbzQJ1gg8Q0lRLk5BU0RBUUdTOkZQUlguSVFfRUJJVERBX0VTVC5DWTIwMjAuNy8zMS8yMDE4LkNPTi5GLlVTRC5IAQAAADddMwACAAAACC0yNTcuNjQ5AQ4AAAAFAAAAAjExAQAAAAEwAgAAAAoxMDAxOTU2MzU0AwAAAAYxMDAxODcEAAAAATIGAAAAATAHAAAAAzE2MAgAAAABMAkAAAABMQoAAAABMAsAAAALMTA5Mjc5ODA0MDMMAAAAATcNAAAACDgvMS8yMDE4EAAAAAk3LzMxLzIwMTjWjBE4CAnWCBnpoW80CdYIPENJUS5OQVNEQVFHUzpTR0VOLklRX0VBUk5JTkdfQ08uQ1kyMDE2LjcvMTYvMjAxOC5MRlIuRi5VU0QuSAEAAABhhQAAAgAAAAgtMTQwLjExMQEIAAAABQAAAAExAQAAAAoxODc0Njk2MTk2AwAAAAMxNjACAAAAATcEAAAAATAHAAAACTcvMTYvMjAxOAgAAAAKMTIvMzEvMjAxNgkAAAABMMT/GxE1CdYIaGBnEjUJ1ggtQ0lRLk5BU0RBUUdNOkNSSVMuSVFfTUFSS0VUQ0FQLjUvNS8yMDE3LlVTRC5IAQAAABdqAAACAAAACjI3MS43MzA0MzEB</t>
  </si>
  <si>
    <t>BgAAAAUAAAABMQEAAAAKMTg0MDUwMDE4MQMAAAADMTYwAgAAAAYxMDAwNTQEAAAAATAHAAAACDUvNS8yMDE3yDCyNwgJ1gjdS6RvNAnWCCJDSVEuSVFUUjUzNTcxOTk5OC5JUV9UUl9QQ1RfU09VR0hUAQAAAD5w7h8CAAAAAzEwMAEGAAAABQAAAAI1NAEAAAAGMTAxMDI0AgAAAAk1MzU3MTk5OTgDAAAACTUzNTcyNDgxMwQAAAADMTYwBgAAAARUcnVlsrNJbzQJ1giB/ZVvNAnWCDJDSVEuQVNYOklNVS5JUV9HUk9TU19NQVJHSU4uLjcvMTYvMjAxOC5MRlIuRi5VU0QuSAEAAACYk6kAAgAAAAMxMDABCAAAAAUAAAABMQEAAAAKMTg3NzMwNTMyMAMAAAABOQIAAAAENDA3NAQAAAABMAcAAAAJNy8xNi8yMDE4CAAAAAoxMi8zMS8yMDE3CQAAAAEwKRyUEDUJ1ggw110SNQnWCChDSVEuTkFTREFRQ006TVRFTS5JUV9URVYuNy8zMS8yMDE4LlVTRC5IAQAAAJmbqQECAAAACTkzLjg5NzkyMwEGAAAABQAAAAExAQAAAAoxODg4NzMyOTI3AwAAAAMxNjACAAAABjEwMDA2MAQAAAABMAcAAAAJNy8zMS8yMDE4yDCyNwgJ1ggZ6aFvNAnWCC9DSVEuTkFTREFRR1M6T1ZJRC5JUV9UT1RBTF9ERUJULi41LzQvMjAxNy4uLlVTRAEAAAAg0DcRAgAAAAEwAQgAAAAFAAAAATEBAAAACjE4MzU5NTM3MTYDAAAAAzE2MAIAAAAENDE3MwQAAAABMAcAAAAINS80LzIwMTcIAAAACjEyLzMxLzIwMTYJAAAAATCys0lvNAnWCK+o1oE0</t>
  </si>
  <si>
    <t>CdYIKENJUS5OQVNEQVFHUzpCR05FLklRX1RFVi43LzMxLzIwMTguVVNELkgBAAAA4OTdBgIAAAALOTAyOS4yNjk1ODQBBgAAAAUAAAABMQEAAAAKMTg4NzY4ODUwMAMAAAADMTYwAgAAAAYxMDAwNjAEAAAAATAHAAAACTcvMzEvMjAxOJwL1TgICdYIgf2VbzQJ1gg5Q0lRLk5BU0RBUUdTOkZQUlguSVFfVE9UQUxfUkVWLjIwMDAuNy8zMS8yMDE4LkxGUi5GLlVTRC5IAQAAADddMwACAAAABjYxLjg1OQEIAAAABQAAAAExAQAAAAoxODg3NDAyMjI3AwAAAAMxNjACAAAAAjI4BAAAAAEwBwAAAAk3LzMxLzIwMTgIAAAACTMvMzEvMjAxOAkAAAABMNaMETgICdYIGemhbzQJ1ggzQ0lRLkFTWDpJTVUuSVFfRUJJVERBX01BUkdJTi4uNy8xNi8yMDE4LkxGUi5GLlVTRC5IAQAAAJiTqQACAAAACS0yMzQuMzkzNgEIAAAABQAAAAExAQAAAAoxODc3MzA1MzIwAwAAAAE5AgAAAAQ0MDQ3BAAAAAEwBwAAAAk3LzE2LzIwMTgIAAAACjEyLzMxLzIwMTcJAAAAATApHJQQNQnWCDDXXRI1CdYIO0NJUS5OQVNEQVFHUzpUU1JPLklRX1RPVEFMX1JFVi5DWTIwMTYuNy8zMS8yMDE4LkxGUi5GLlVTRC5IAQAAAGjWWAYCAAAABjU4LjAxOAEIAAAABQAAAAExAQAAAAoxODc3MjI2Mjg0AwAAAAMxNjACAAAAAjI4BAAAAAEwBwAAAAk3LzMxLzIwMTgIAAAACjEyLzMxLzIwMTYJAAAAATCcC9U4CAnWCCTCmm80CdYIRkNJUS5OQVNE</t>
  </si>
  <si>
    <t>QVFHTTpDUlZTLklRX1RPVEFMX1JFVl8yWVJfQU5OX0NBR1IuMjAwMC43LzMxLzIwMTguTEZSLkYuVVNELkgBAAAA9LCmEAMAAAAAANaMETgICdYIGemhbzQJ1ggnQ0lRLk5BU0RBUUdTOkZQUlguSVFfUEVSSU9EREFURV9JUy4xMDAwAQAAADddMwAFAAAACjEyLzMxLzIwMTcA1owROAgJ1ggZ6aFvNAnWCChDSVEuTkFTREFRR1M6QVROWC5JUV9URVYuNy8zMS8yMDE4LlVTRC5IAQAAANyZawECAAAACzExMjAuMzE1MzgxAQYAAAAFAAAAATEBAAAACjE4ODg3MDI3MDIDAAAAAzE2MAIAAAAGMTAwMDYwBAAAAAEwBwAAAAk3LzMxLzIwMTjWjBE4CAnWCCTCmm80CdYIM0NJUS5PVENQSzpNQlZYLklRX1RPVEFMX0RFQlQuLjcvMTYvMjAxOC5MRlIuRi5VU0QuSAEAAADYRIsCAgAAAAgzLjM2NzAyNgEIAAAABQAAAAExAQAAAAoxODgxMjEzMjQ1AwAAAAMxNjACAAAABDQxNzMEAAAAATAHAAAACTcvMTYvMjAxOAgAAAAKMTIvMzEvMjAxNwkAAAABMN6nfhA1CdYImBJZEjUJ1ghDQ0lRLk5BU0RBUUNNOlpJT1AuSVFfRUJJVERBXzJZUl9BTk5fQ0FHUi4yMDAwLjcvMzEvMjAxOC5MRlIuRi5VU0QuSAEAAACzUbIAAwAAAAJOTQEIAAAABQAAAAExAQAAAAoxODg3OTcyMzU5AwAAAAMxNjACAAAABDQyMDkEAAAAATAHAAAACTcvMzEvMjAxOAgAAAAJMy8zMS8yMDE4CQAAAAEw1owROAgJ1gjDhp9vNAnWCDZDSVEuTkFT</t>
  </si>
  <si>
    <t>REFRR1M6U0dFTi5JUV9UT1RBTF9ERUJULi43LzE2LzIwMTguTEZSLkYuVVNELkgBAAAAYYUAAAIAAAABMAEIAAAABQAAAAExAQAAAAoxODg0ODkyODUyAwAAAAMxNjACAAAABDQxNzMEAAAAATAHAAAACTcvMTYvMjAxOAgAAAAJMy8zMS8yMDE4CQAAAAEwxP8bETUJ1ghoYGcSNQnWCCNDSVEuSVFUUjMxMjEyMjUwNC5JUV9UUl9UT1RBTF9TVE9DSwEAAACInJoSAgAAAAkxNC45NjQxODYAWM8SDjUJ1gjA24IONQnWCDdDSVEuQVNYOklNVS5JUV9SRVZFTlVFX0VTVC5DWTIwMjAuNy8xNi8yMDE4LkNPTi5GLlVTRC5IAQAAAJiTqQADAAAAAAApHJQQNQnWCDDXXRI1CdYIOUNJUS5OQVNEQVFDTTpaSU9QLklRX05JX01BUkdJTi4yMDAwLjcvMzEvMjAxOC5MRlIuRi5VU0QuSAEAAACzUbIAAwAAAAJOTQEIAAAABQAAAAExAQAAAAoxODg3OTcyMzU5AwAAAAMxNjACAAAABDQwOTQEAAAAATAHAAAACTcvMzEvMjAxOAgAAAAJMy8zMS8yMDE4CQAAAAEw1owROAgJ1gjDhp9vNAnWCDxDSVEuTkFTREFRR006QVJSWS5JUV9UT1RBTF9FUVVJVFkuMTk5Mi43LzMxLzIwMTguTEZSLkYuVVNELkgBAAAA+GEAAAIAAAAHLTE0LjgwMwEIAAAABQAAAAExAQAAAAoxODQxMDk1MDI2AwAAAAMxNjACAAAABDEyNzUEAAAAATAHAAAACTcvMzEvMjAxOAgAAAAJMy8zMS8yMDE2CQAAAAEwnAvVOAgJ1ggkwppvNAnWCDFDSVEuTkFT</t>
  </si>
  <si>
    <t>REFRQ006QVZFTy5JUV9DQVBFWC4uNy8xNi8yMDE4LkxGUi5GLlVTRC5IAQAAAPQWHQADAAAAAADE/xsRNQnWCMKbYhI1CdYIH0NJUS5JUTE2MjM1MjYuSVFfQ09NUEFOWV9USUNLRVIBAAAA5sUYAAMAAAANTmFzZGFxR1M6TVJTTgAMbRAONQnWCOOLkw41CdYIL0NJUS5OQVNEQVFHUzpPVklELklRX0VCSVREQS4yMDAwLjEwLzE4LzIwMTYuLi4uAQAAACDQNxEDAAAAAACys0lvNAnWCDWbk280CdYIOENJUS5OQVNEQVFHUzpLVVJBLklRX0VCSVREQS5DWTIwMTYuNy8zMS8yMDE4LkxGUi5GLlVTRC5IAQAAALjL2hACAAAABy0yOC4zMzYBCAAAAAUAAAABMQEAAAAKMTg3ODAxMjQzNQMAAAADMTYwAgAAAAQ0MDUxBAAAAAEwBwAAAAk3LzMxLzIwMTgIAAAACjEyLzMxLzIwMTYJAAAAATDWjBE4CAnWCHMknW80CdYIP0NJUS5OQVNEQVFHUzpHVEhYLklRX05FVF9XT1JLSU5HX0NBUC4xOTk2LjcvMzEvMjAxOC5MRlIuRi5VU0QuSAEAAABlNGkIAgAAAAktNy4yNDgwNzkBCAAAAAUAAAABMQEAAAAKMTg4NjM2NzY0OAMAAAADMTYwAgAAAAQxMzExBAAAAAEwBwAAAAk3LzMxLzIwMTgIAAAACTMvMzEvMjAxNwkAAAABMJwL1TgICdYIJMKabzQJ1ggpQ0lRLk5BU0RBUUdTOlBCWUkuSVFfQlVTSU5FU1NfREVTQ1JJUFRJT04BAAAAAmqsBwMAAACoB1B1bWEgQmlvdGVjaG5vbG9neSwgSW5jLiwgYSBiaW9waGFybWFj</t>
  </si>
  <si>
    <t>ZXV0aWNhbCBjb21wYW55LCBmb2N1c2VzIG9uIHRoZSBkZXZlbG9wbWVudCBhbmQgY29tbWVyY2lhbGl6YXRpb24gb2YgcHJvZHVjdHMgdG8gZW5oYW5jZSBjYW5jZXIgY2FyZSBpbiB0aGUgVW5pdGVkIFN0YXRlcy4gSXRzIGRydWcgY2FuZGlkYXRlcyBpbmNsdWRlIFBCMjcyIG5lcmF0aW5pYiAob3JhbCkgZm9yIHRoZSB0cmVhdG1lbnQgb2YgZWFybHkgc3RhZ2UgYnJlYXN0IGNhbmNlciwgbWV0YXN0YXRpYyBicmVhc3QgY2FuY2VyLCBub24tc21hbGwgY2VsbCBsdW5nIGNhbmNlciwgSEVSMiBtdXRhdGlvbi1wb3NpdGl2ZSBzb2xpZCB0dW1vcnMsIGFuZCBIRVIyLW11dGF0ZWQgbm9uLWFtcGxpZmllZCBicmVhc3QgY2FuY2VyOyBhbmQgUEIyNzIgbmVyYXRpbmliIChpbnRyYXZlbm91cykpLiBUaGUgY29tcGFueSBhbHNvIGRldmVsb3BzIFBCMzU3LCBhbiBvcmFsbHkgYWRtaW5pc3RlcmVkIGFnZW50IHRoYXQgaXMgYW4gaXJyZXZlcnNpYmxlIHR5cm9zaW5lIGtpbmFzZSBpbmhpYml0b3IgdGhhdCBibG9ja3Mgc2lnbmFsIHRyYW5zZHVjdGlvbiB0aHJvdWdoIHRoZSBlcGlkZXJtYWwgZ3Jvd3RoIGZhY3RvciByZWNlcHRvcnMsIEhFUjEsIEhFUjIsIGFuZCBIRVI0LiBJdCBoYXMgYSBsaWNlbnNlIGFncmVlbWVudCB3aXRoIFBmaXplciwgSW5jLiBmb3IgdGhlIGRldmVsb3BtZW50LCBtYW51ZmFj</t>
  </si>
  <si>
    <t>dHVyZSwgYW5kIGNvbW1lcmNpYWxpemF0aW9uIG9mIFBCMjcyIG5lcmF0aW5pYiAob3JhbCksIFBCMjcyIG5lcmF0aW5pYiAoaW50cmF2ZW5vdXMpLCBQQjM1NywgYW5kIGNlcnRhaW4gcmVsYXRlZCBjb21wb3VuZHMuIFB1bWEgQmlvdGVjaG5vbG9neSwgSW5jLiB3YXMgZm91bmRlZCBpbiAyMDEwIGFuZCBpcyBoZWFkcXVhcnRlcmVkIGluIExvcyBBbmdlbGVzLCBDYWxpZm9ybmlhLgBGnRkRNQnWCBL+ZBI1CdYIJUNJUS5JUVRSNTUwMjU5Mzk3LklRX1RSX01BSl9NSU5fU1RBS0UBAAAAxUrMIAMAAAAITWFqb3JpdHkADG0QDjUJ1gh3eYAONQnWCDxDSVEuTkFTREFRR006TFBUWC5JUV9FQklUREFfRVNULkNZMjAxOS43LzE2LzIwMTguQ09OLkYuVVNELkgBAAAADDYJBwMAAAAAACkclBA1CdYIMNddEjUJ1gg0Q0lRLk5BU0RBUUdTOkJHTkUuSVFfUkVWRU5VRV9FU1QuQ1kyMDIxLi5DT04uRi5VU0QuSAEAAADg5N0GAgAAAAc3MTUuODQxAQ4AAAAFAAAAAjExAQAAAAEwAgAAAAoxMDAzMzI2MjgyAwAAAAYxMDAxODAEAAAAATIGAAAAATAHAAAAAzE2MAgAAAABMAkAAAABMQoAAAABMAsAAAALMTEwMzI3NjQ0MTEMAAAAATcNAAAACTgvMjQvMjAxOBAAAAAJOC8yMy8yMDE4nAvVOAgJ1gicC9U4CAnWCCFDSVEuSVFUUjU0MjgwNjY4Ni5JUV9UUl9CVVlFUk5BTUUBAAAAnpJaIAMAAAAKQ2Vsb25pYyBBRwCy</t>
  </si>
  <si>
    <t>s0lvNAnWCIH9lW80CdYIJ0NJUS5OQVNEQVFHUzpBTkFCLklRX0JFVEFfNVlSLjcvMTYvMjAxOAEAAAAhTLIBAwAAAAAAxP8bETUJ1gjCm2ISNQnWCD1DSVEuTkFTREFRR1M6VFNSTy5JUV9SRVZFTlVFX0VTVC5DWTIwMjEuNy8xNi8yMDE4LkNPTi5GLlVTRC5IAQAAAGjWWAYCAAAACTkyMC4yOTg2NAEOAAAABQAAAAIxMQEAAAABMAIAAAAKMTAwMTU4MDM1NQMAAAAGMTAwMTgwBAAAAAEyBgAAAAEwBwAAAAMxNjAIAAAAATAJAAAAATEKAAAAATALAAAACzEwOTY3MjE1NjM0DAAAAAE3DQAAAAk3LzE3LzIwMTgQAAAACTcvMTYvMjAxOMT/GxE1CdYIEv5kEjUJ1ghGQ0lRLihJTlZBTElEIElERU5USUZJRVIpLklRX05FVF9XT1JLSU5HX0NBUC4xOTkyLjcvMzEvMjAxOC5MRlIuRi5VU0QuSAUAAAAAAAAACAAAABQoSW52YWxpZCBJZGVudGlmaWVyKcgwsjcICdYI7TawbzQJ1gg+Q0lRLk5BU0RBUUdTOlRTUk8uSVFfQ0FTSF9TVF9JTlZFU1QuMjAwMC43LzMxLzIwMTguTEZSLkYuVVNELkgBAAAAaNZYBgIAAAAGNDk4Ljk4AQgAAAAFAAAAATEBAAAACjE4ODYzMzc0NjYDAAAAAzE2MAIAAAAEMTAwMgQAAAABMAcAAAAJNy8zMS8yMDE4CAAAAAkzLzMxLzIwMTgJAAAAATCcC9U4CAnWCCTCmm80CdYIK0NJUS5JUVRSNTYzOTE5MDQ5LklRX1RSX1RPVEFMX0dST1NTX1RWLi5VU0QBAAAAybicIQIAAAALMTYyNy45</t>
  </si>
  <si>
    <t>MzYyNDIBBgAAAAUAAAACNTQBAAAABjEwMjA4OAIAAAAJNTYzOTE5MDQ5AwAAAAk1NjM5NDAwNDIEAAAAAzE2MAYAAAAFRmFsc2UMbRAONQnWCMDbgg41CdYIPkNJUS5OQVNEQVFHTTpDUklTLklRX1RPVEFMX0VRVUlUWS5DWTIwMTcuNy8zMS8yMDE4LkxGUi5GLlVTRC5IAQAAABdqAAACAAAABjIzLjk5MwEIAAAABQAAAAExAQAAAAoxODc4MDExNjU3AwAAAAMxNjACAAAABDEyNzUEAAAAATAHAAAACTcvMzEvMjAxOAgAAAAKMTIvMzEvMjAxNwkAAAABMMgwsjcICdYI3UukbzQJ1ggjQ0lRLklRVFI1MzU3MTk5OTguSVFfVFJfQ0xPU0VEX0RBVEUBAAAAPnDuHwUAAAAJMTAvMi8yMDE3ALKzSW80CdYIgf2VbzQJ1gg/Q0lRLk5BU0RBUUdNOkxQVFguSVFfRUJJVERBXzNZUl9BTk5fQ0FHUi4uNy8xNi8yMDE4LkxGUi5GLlVTRC5IAQAAAAw2CQcDAAAAAAApHJQQNQnWCDDXXRI1CdYIO0NJUS5OQVNEQVFHTTpBUlJZLklRX1RPVEFMX1JFVi5DWTIwMTYuNy8zMS8yMDE4LkxGUi5GLlVTRC5IAQAAAPhhAAACAAAABjQwLjQxOAEIAAAABQAAAAExAQAAAAoxODczMjAzNzk1AwAAAAMxNjACAAAAAjI4BAAAAAEwBwAAAAk3LzMxLzIwMTgIAAAACjEyLzMxLzIwMTYJAAAAATCcC9U4CAnWCNRfmG80CdYILkNJUS5JUVRSMzA3ODYzOTg0LklRX1RSX1RBUkdFVF9TVE9DS1BSRU1JVU1fMVcBAAAAsKFZEgIAAAAAAFjP</t>
  </si>
  <si>
    <t>Eg41CdYIwNuCDjUJ1ggnQ0lRLk5BU0RBUUNNOlNSTkUuSVFfQkVUQV8xWVIuNy8zMS8yMDE4AQAAAElDlAMCAAAAEDIuODE5NTgzNjU3MDg2MTEA1owROAgJ1ghzJJ1vNAnWCD1DSVEuTkFTREFRR006SU1NVS5JUV9SRVZFTlVFX0VTVC5DWTIwMTkuNy8zMS8yMDE4LkNPTi5GLlVTRC5IAQAAACBDBAACAAAABzg4LjA2NjcBDgAAAAUAAAACMTEBAAAAATACAAAACTI4NDQzNDAyNQMAAAAGMTAwMTgwBAAAAAEyBgAAAAEwBwAAAAMxNjAIAAAAATAJAAAAATEKAAAAATALAAAACzEwOTgwMjYzOTM0DAAAAAE3DQAAAAg4LzEvMjAxOBAAAAAJNy8zMS8yMDE4nAvVOAgJ1gjUX5hvNAnWCDhDSVEuWFRSQTpNT1IuSVFfUkVWRU5VRV9FU1QuQ1kyMDIxLjcvMzEvMjAxOC5DT04uRi5VU0QuSAEAAADfEQIAAgAAAA8xNzAuMjYxNzMyMDYxMDgBDgAAAAUAAAACMTEBAAAAATACAAAACjEwMDE1NDM5NDQDAAAABjEwMDE4MAQAAAABMwYAAAABMAcAAAADMTYwCAAAAAEwCQAAAAExCgAAAAEwCwAAAAsxMTAwMTMxNTA1MwwAAAABNw0AAAAIOC8xLzIwMTgQAAAACTcvMzEvMjAxOJwL1TgICdYI1F+YbzQJ1gg6Q0lRLk5BU0RBUUdTOk5LLklRX1RPVEFMX0VRVUlUWS4xOTk2LjcvMzEvMjAxOC5MRlIuRi5VU0QuSAEAAAANfaEPAgAAAAcyNzguMzY5AQgAAAAFAAAAATEBAAAACjE4ODcxMTg3NjcDAAAAAzE2MAIAAAAEMTI3</t>
  </si>
  <si>
    <t>NQQAAAABMAcAAAAJNy8zMS8yMDE4CAAAAAkzLzMxLzIwMTcJAAAAATDWjBE4CAnWCBnpoW80CdYIPENJUS5OQVNEQVFHUzpDQUxBLklRX1RPVEFMX0VRVUlUWS4xOTk2LjcvMzEvMjAxOC5MRlIuRi5VU0QuSAEAAAClJ4EGAgAAAAcxNjUuNzMxAQgAAAAFAAAAATEBAAAACjE4ODc5ODAyNzcDAAAAAzE2MAIAAAAEMTI3NQQAAAABMAcAAAAJNy8zMS8yMDE4CAAAAAkzLzMxLzIwMTcJAAAAATDIMLI3CAnWCN1LpG80CdYIQENJUS5PVENQSzpNQlZYLklRX01JTk9SSVRZX0lOVEVSRVNUX1RPVEFMLi45LzE1LzIwMTcuTEZSLkYuVVNELkgBAAAA2ESLAgMAAAAAAN6nfhA1CdYImBJZEjUJ1gg5Q0lRLk5BU0RBUUdNOkZBVEUuSVFfVE9UQUxfUkVWLjE5OTYuNy8zMS8yMDE4LkxGUi5GLlVTRC5IAQAAAGgxVwICAAAABTQuMTA3AQgAAAAFAAAAATEBAAAACjE4ODg1MDAzMzMDAAAAAzE2MAIAAAACMjgEAAAAATAHAAAACTcvMzEvMjAxOAgAAAAJMy8zMS8yMDE3CQAAAAEw1owROAgJ1gjDhp9vNAnWCCtDSVEuTkFTREFRR1M6QVROWC5JUV9MQVNUU0FMRVBSSUNFLjUvNS8yMDE3AQAAANyZawEDAAAAAADWjBE4CAnWCCTCmm80CdYIN0NJUS5YVFJBOk1PUi5JUV9UT1RBTF9FUVVJVFkuMTk5Mi43LzMxLzIwMTguTEZSLkYuVVNELkgBAAAA3xECAAIAAAAKNDAyLjM1MDEyNAEIAAAABQAAAAExAQAAAAoxODM5OTQw</t>
  </si>
  <si>
    <t>NjkwAwAAAAMxNjACAAAABDEyNzUEAAAAATAHAAAACTcvMzEvMjAxOAgAAAAJMy8zMS8yMDE2CQAAAAEwnAvVOAgJ1gjUX5hvNAnWCDxDSVEuTkFTREFRR1M6Q1RNWC5JUV9FQklUREFfRVNULkNZMjAxOC43LzE2LzIwMTguQ09OLkYuVVNELkgBAAAA3DibAwIAAAAILTcwLjIxNDMBDgAAAAUAAAACMTEBAAAAATACAAAACjEwMDMyMTU5NjgDAAAABjEwMDE4NwQAAAABMgYAAAABMAcAAAADMTYwCAAAAAEwCQAAAAExCgAAAAEwCwAAAAsxMDg3NDU0MDI5NwwAAAABNw0AAAAJNy8xNy8yMDE4EAAAAAk3LzE2LzIwMTjE/xsRNQnWCMKbYhI1CdYIPENJUS5OQVNEQVFHUzpGUFJYLklRX0VCSVREQV9FU1QuQ1kyMDE4LjcvMTYvMjAxOC5DT04uRi5VU0QuSAEAAAA3XTMAAgAAAAgtMTIwLjg4NgEOAAAABQAAAAIxMQEAAAABMAIAAAAKMTAwMTk1NjM0NAMAAAAGMTAwMTg3BAAAAAEyBgAAAAEwBwAAAAMxNjAIAAAAATAJAAAAATEKAAAAATALAAAACzEwOTI3OTgwNjkxDAAAAAE3DQAAAAk3LzE3LzIwMTgQAAAACTcvMTYvMjAxOCkclBA1CdYIczlgEjUJ1gg6Q0lRLk5BU0RBUUdNOkZBVEUuSVFfRUFSTklOR19DTy4xOTk2LjcvMzEvMjAxOC5MRlIuRi5VU0QuSAEAAABoMVcCAgAAAActMzUuMjExAQgAAAAFAAAAATEBAAAACjE4ODg1MDAzMzMDAAAAAzE2MAIAAAABNwQAAAABMAcAAAAJNy8zMS8yMDE4CAAAAAkz</t>
  </si>
  <si>
    <t>LzMxLzIwMTcJAAAAATDWjBE4CAnWCMOGn280CdYIP0NJUS5OQVNEQVFHUzpDQUxBLklRX05FVF9XT1JLSU5HX0NBUC4xOTkyLjcvMzEvMjAxOC5MRlIuRi5VU0QuSAEAAAClJ4EGAgAAAAYtMS42ODQBCAAAAAUAAAABMQEAAAAKMTg0MDk4MjY0NgMAAAADMTYwAgAAAAQxMzExBAAAAAEwBwAAAAk3LzMxLzIwMTgIAAAACTMvMzEvMjAxNgkAAAABMMgwsjcICdYI3UukbzQJ1gg/Q0lRLk5BU0RBUUdTOkVQWk0uSVFfTkVUX1dPUktJTkdfQ0FQLjE5OTIuNy8zMS8yMDE4LkxGUi5GLlVTRC5IAQAAAAMmPQMCAAAABi03Ljc0OAEIAAAABQAAAAExAQAAAAoxODQwNjMwMzk0AwAAAAMxNjACAAAABDEzMTEEAAAAATAHAAAACTcvMzEvMjAxOAgAAAAJMy8zMS8yMDE2CQAAAAEw1owROAgJ1ghzJJ1vNAnWCC1DSVEuTkFTREFRQ006U1JORS5JUV9NQVJLRVRDQVAuNS81LzIwMTcuVVNELkgBAAAASUOUAwIAAAAKMTM1LjU1NjY4MQEGAAAABQAAAAExAQAAAAoxODMzNTY2NTk3AwAAAAMxNjACAAAABjEwMDA1NAQAAAABMAcAAAAINS81LzIwMTfWjBE4CAnWCHMknW80CdYIPUNJUS5OQVNEQVFDTTpNVEVNLklRX1JFVkVOVUVfRVNULkNZMjAyMS43LzMxLzIwMTguQ09OLkYuVVNELkgBAAAAmZupAQMAAAAAAMgwsjcICdYIGemhbzQJ1ggrQ0lRLklRVFI1NTAyNTkzOTcuSVFfVFJfVE9UQUxfR1JPU1NfVFYuLlVTRAEA</t>
  </si>
  <si>
    <t>AADFSswgAgAAAAs5MzA1LjMzOTYzNgEGAAAABQAAAAI1NAEAAAAGMTAyMDg4AgAAAAk1NTAyNTkzOTcDAAAACTU1MDI2NDU2NAQAAAADMTYwBgAAAAVGYWxzZQxtEA41CdYId3mADjUJ1gg9Q0lRLk5BU0RBUUdTOkNUTVguSVFfUkVWRU5VRV9FU1QuQ1kyMDIwLjcvMTYvMjAxOC5DT04uRi5VU0QuSAEAAADcOJsDAgAAAAY4Mi4xMjMBDgAAAAUAAAACMTEBAAAAATACAAAACjEwMDMyMTU5NzgDAAAABjEwMDE4MAQAAAABMgYAAAABMAcAAAADMTYwCAAAAAEwCQAAAAExCgAAAAEwCwAAAAsxMDk1MTIzMTMwNQwAAAABNw0AAAAJNy8xNy8yMDE4EAAAAAk3LzE2LzIwMTjE/xsRNQnWCMKbYhI1CdYIK0NJUS5JUVRSMjczNTA3MTg1LklRX1RSX1RPVEFMX0dST1NTX1RWLi5VU0QBAAAAcWNNEAIAAAAKMzg2LjEwMzg3MQEGAAAABQAAAAI1NAEAAAAGMTAyMDg4AgAAAAkyNzM1MDcxODUDAAAACTI3MzUwNzc4NwQAAAADMTYwBgAAAAVGYWxzZbKzSW80CdYIgf2VbzQJ1gg8Q0lRLk5BU0RBUUdTOkNBTEEuSVFfRUJJVERBX0VTVC5DWTIwMTkuNy8zMS8yMDE4LkNPTi5GLlVTRC5IAQAAAKUngQYDAAAAAADIMLI3CAnWCN1LpG80CdYIQ0NJUS5OQVNEQVFHUzpCR05FLklRX01JTk9SSVRZX0lOVEVSRVNUX1RPVEFMLi45LzE1LzIwMTcuTEZSLkYuVVNELkgBAAAA4OTdBgIAAAAGMTQuNDE5AQgAAAAFAAAAATEBAAAA</t>
  </si>
  <si>
    <t>CjE4NTI3MDA1NjQDAAAAAzE2MAIAAAAEMTMxMgQAAAABMAcAAAAJOS8xNS8yMDE3CAAAAAk2LzMwLzIwMTcJAAAAATDE/xsRNQnWCGhgZxI1CdYINUNJUS5OQVNEQVFDTTpDS1BULklRX05JX01BUkdJTi4uNy8xNi8yMDE4LkxGUi5GLlVTRC5IAQAAALhRFhEDAAAAAk5NAQgAAAAFAAAAATEBAAAACjE4ODgwMDcyMjMDAAAAAzE2MAIAAAAENDA5NAQAAAABMAcAAAAJNy8xNi8yMDE4CAAAAAkzLzMxLzIwMTgJAAAAATApHJQQNQnWCOR0WxI1CdYIQkNJUS5OQVNEQVFHUzpBRFhTLklRX1RPVEFMX1JFVl81WVJfQU5OX0NBR1IuLjcvMTYvMjAxOC5MRlIuRi5VU0QuSAEAAACe7HgAAwAAAAAAKRyUEDUJ1gjkdFsSNQnWCCtDSVEuSVFUUjU1MTE2NjI5Mi5JUV9UUl9JTVBMSUVEX0VWX0VCSVRfRldEAQAAAFQh2iADAAAAAk5NAAxtEA41CdYIwNuCDjUJ1gg3Q0lRLk5BU0RBUUdTOkNBTEEuSVFfUFJFRl9FUVVJVFkuLjcvMTYvMjAxOC5MRlIuRi5VU0QuSAEAAAClJ4EGAwAAAAAAKRyUEDUJ1gjkdFsSNQnWCChDSVEuTkFTREFRR1M6QkdORS5JUV9URVYuNy8xNi8yMDE4LlVTRC5IAQAAAODk3QYCAAAACzc0ODQuMDAxOTc1AQYAAAAFAAAAATEBAAAACjE4ODc2ODg1MDADAAAAAzE2MAIAAAAGMTAwMDYwBAAAAAEwBwAAAAk3LzE2LzIwMThGnRkRNQnWCGhgZxI1CdYIQ0NJUS5OQVNEQVFHTTpJTU1VLklRX01J</t>
  </si>
  <si>
    <t>Tk9SSVRZX0lOVEVSRVNUX1RPVEFMLi45LzE1LzIwMTcuTEZSLkYuVVNELkgBAAAAIEMEAAIAAAAJLTAuNzcxMDgxAQgAAAAFAAAAATEBAAAACjE4NTQzODIzMTQDAAAAAzE2MAIAAAAEMTMxMgQAAAABMAcAAAAJOS8xNS8yMDE3CAAAAAk2LzMwLzIwMTcJAAAAATDE/xsRNQnWCBL+ZBI1CdYIPENJUS5OQVNEQVFHTTpGQVRFLklRX1RPVEFMX0VRVUlUWS4xOTkyLjcvMzEvMjAxOC5MRlIuRi5VU0QuSAEAAABoMVcCAgAAAAYzMC43MjcBCAAAAAUAAAABMQEAAAAKMTg0MzU0NDMyMQMAAAADMTYwAgAAAAQxMjc1BAAAAAEwBwAAAAk3LzMxLzIwMTgIAAAACTMvMzEvMjAxNgkAAAABMNaMETgICdYIw4afbzQJ1gg9Q0lRLk5BU0RBUUdNOkFSUlkuSVFfUkVWRU5VRV9FU1QuQ1kyMDIwLjcvMzEvMjAxOC5DT04uRi5VU0QuSAEAAAD4YQAAAgAAAAg0ODUuMzI5NQEOAAAABQAAAAIxMQEAAAABMAIAAAAJMzYyNjY2MzYxAwAAAAYxMDAxODAEAAAAATIGAAAAATAHAAAAAzE2MAgAAAABMAkAAAABMQoAAAABMAsAAAALMTA5ODQwOTMyMzUMAAAAATcNAAAACDgvMS8yMDE4EAAAAAk3LzMxLzIwMTicC9U4CAnWCNRfmG80CdYIIkNJUS5JUVRSMjczNTA3MTg1LklRX1RSX1RBUkdFVE5BTUUBAAAAcWNNEAMAAAAdQW1iaXQgQmlvc2NpZW5jZXMgQ29ycG9yYXRpb24AsrNJbzQJ1giB/ZVvNAnWCClDSVEuSVFUUjMwMjg2</t>
  </si>
  <si>
    <t>NjYyNy5JUV9CVVNJTkVTU19ERVNDUklQVElPTgEAAADvtoAIAwAAAL4FWC1CT0RZLCBJbmMuIGRldmVsb3BzIG1vbm9jbG9uYWwgYW50aWJvZHkgdGhlcmFwZXV0aWNzLiBUaGUgY29tcGFueSBkaXNjb3ZlcnMgYW5kIGRldmVsb3BzIGNvbXBvdW5kcyBhZ2FpbnN0IGJpb2xvZ2ljYWxseSByZWxldmFudCB0YXJnZXRzIGluIG9uY29sb2d5IGFuZCBvcGh0aGFsbW9sb2d5LiBJdCBhbHNvIGRldmVsb3BzIHNjcmVlbmluZyBzeXN0ZW0gdGhhdCBpcyBhcHBsaWNhYmxlIGZvciB2YXJpb3VzIHByb2Nlc3Nlcywgc3VjaCBhcyBnZW5lcmF0aW9uIG9mIHNvbHVibGUgVkggZG9tYWlucywgRmFicywgSWdHcywgYW5kIGJpc3BlY2lmaWNzOyBzZWxlY3Rpb24gYWdhaW5zdCBjZWxsIHN1cmZhY2UgdGFyZ2V0cyBvbiBsaXZlIGNlbGxzLCBpbmNsdWRpbmcgc2VsZWN0aW9ucyBmb3IgZnVuY3Rpb247IGFmZmluaXR5IG1hdHVyYXRpb247IGlkZW50aWZpY2F0aW9uIG9mIHN0YWJsZSBWSC1WTCBwYWlyczsgYW5kIGVwaXRvcGUgZGlzY292ZXJ5IGJ5IGRpZmZlcmVudGlhbCBzY3JlZW5pbmcgb2YgbGl2ZSBjZWxscyBhbmQgb3RoZXIgc2FtcGxlcy4gWC1CT0RZLCBJbmMuIHdhcyBmb3VuZGVkIGluIDIwMDggYW5kIGlzIGJhc2VkIGluIFdhbHRoYW0sIE1hc3NhY2h1c2V0dHMuIEFzIG9mIEp1bmUgMSwgMjAxNSwg</t>
  </si>
  <si>
    <t>WC1CT0RZLCBJbmMuIG9wZXJhdGVzIGFzIGEgc3Vic2lkaWFyeSBvZiBKdW5vIFRoZXJhcGV1dGljcyBJbmMuAAxtEA41CdYIDD6FDjUJ1ghBQ0lRLihJTlZBTElEIElERU5USUZJRVIpLklRX0VBUk5JTkdfQ08uMTk5Mi43LzMxLzIwMTguTEZSLkYuVVNELkgFAAAAAAAAAAgAAAAUKEludmFsaWQgSWRlbnRpZmllcinIMLI3CAnWCO02sG80CdYIO0NJUS5OQVNEQVFHUzpDQUxBLklRX05FVF9XT1JLSU5HX0NBUC4uNy8xNi8yMDE4LkxGUi5GLlVTRC5IAQAAAKUngQYCAAAABy0yNC43NDIBCAAAAAUAAAABMQEAAAAKMTg4Nzk4MDMwNQMAAAADMTYwAgAAAAQxMzExBAAAAAEwBwAAAAk3LzE2LzIwMTgIAAAACTMvMzEvMjAxOAkAAAABMCkclBA1CdYI5HRbEjUJ1gg4Q0lRLk5BU0RBUUNNOkFWRU8uSVFfRUJJVERBLkNZMjAxNi43LzE2LzIwMTguTEZSLkYuVVNELkgBAAAA9BYdAAIAAAAHLTI5LjM2MwEIAAAABQAAAAExAQAAAAoxODc4MDgyNjUwAwAAAAMxNjACAAAABDQwNTEEAAAAATAHAAAACTcvMTYvMjAxOAgAAAAKMTIvMzEvMjAxNgkAAAABMMT/GxE1CdYIwptiEjUJ1ggVQ0lRLi5JUV9UUl9UQVJHRVROQU1FBQAAAAAAAAAIAAAAFChJbnZhbGlkIElkZW50aWZpZXIpnAvVOAgJ1gh3eYAONQnWCCJDSVEuSVFUUjU2MzkxOTA0OS5JUV9UUl9UT1RBTF9DQVNIAQAAAMm4nCECAAAACjE1MjAuMjU1NDUB</t>
  </si>
  <si>
    <t>BgAAAAUAAAACNTQBAAAABjEwMTA1NgIAAAAJNTYzOTE5MDQ5AwAAAAk1NjM5NDAwNDIEAAAAAzE2MAYAAAAFRmFsc2UMbRAONQnWCMDbgg41CdYIIkNJUS5PVENQSzpNQlZYLklRX0ZJUlNUUFJJQ0lOR0RBVEUBAAAA2ESLAgUAAAAINy85LzIwMTQA3qd+EDUJ1giYElkSNQnWCDhDSVEuTkFTREFRR1M6RlBSWC5JUV9HUk9TU19NQVJHSU4uLjcvMTYvMjAxOC5MRlIuRi5VU0QuSAEAAAA3XTMAAgAAAAktMTU5Ljc4NDMBCAAAAAUAAAABMQEAAAAKMTg4NzQwMjIyNwMAAAADMTYwAgAAAAQ0MDc0BAAAAAEwBwAAAAk3LzE2LzIwMTgIAAAACTMvMzEvMjAxOAkAAAABMCkclBA1CdYIczlgEjUJ1ggtQ0lRLk5BU0RBUUdTOkZQUlguSVFfRElWSURFTkRfWUlFTEQuNy8zMS8yMDE4AQAAADddMwADAAAAAADWjBE4CAnWCBnpoW80CdYINUNJUS5OQVNEQVFDTTpNVEVNLklRX0NBUEVYLjIwMDAuNy8zMS8yMDE4LkxGUi5GLlVTRC5IAQAAAJmbqQECAAAABi0yLjgxMgEIAAAABQAAAAExAQAAAAoxODg4NzMzMDA0AwAAAAMxNjACAAAABDIwMjEEAAAAATAHAAAACTcvMzEvMjAxOAgAAAAJMy8zMS8yMDE4CQAAAAEwyDCyNwgJ1ggZ6aFvNAnWCENDSVEuTkFTREFRR1M6R1RIWC5JUV9FQklUREFfM1lSX0FOTl9DQUdSLjIwMDAuNy8zMS8yMDE4LkxGUi5GLlVTRC5IAQAAAGU0aQgDAAAAAADWjBE4CAnWCCTCmm80CdYI</t>
  </si>
  <si>
    <t>PUNJUS5OQVNEQVFHTTpYTkNSLklRX1JFVkVOVUVfRVNULkNZMjAyMC43LzE2LzIwMTguQ09OLkYuVVNELkgBAAAAploLAAIAAAAHNjUuODQwNgEOAAAABQAAAAIxMQEAAAABMAIAAAAKMTAwMjAyNTI1NwMAAAAGMTAwMTgwBAAAAAEyBgAAAAEwBwAAAAMxNjAIAAAAATAJAAAAATEKAAAAATALAAAACzEwOTE1ODMyNTM3DAAAAAE3DQAAAAk3LzE3LzIwMTgQAAAACTcvMTYvMjAxOMT/GxE1CdYIEv5kEjUJ1gg5Q0lRLk5BU0RBUUdNOkNSSVMuSVFfVE9UQUxfUkVWLjE5OTIuNy8zMS8yMDE4LkxGUi5GLlVTRC5IAQAAABdqAAACAAAACDcuOTQ1NjY4AQgAAAAFAAAAATEBAAAACjE4NDA1MDEwOTkDAAAAAzE2MAIAAAACMjgEAAAAATAHAAAACTcvMzEvMjAxOAgAAAAJMy8zMS8yMDE2CQAAAAEwyDCyNwgJ1gjdS6RvNAnWCEJDSVEuTkFTREFRR1M6UEJZSS5JUV9UT1RBTF9SRVZfM1lSX0FOTl9DQUdSLi43LzE2LzIwMTguTEZSLkYuVVNELkgBAAAAAmqsBwMAAAAAAMT/GxE1CdYIEv5kEjUJ1gg8Q0lRLihJTlZBTElEIElERU5USUZJRVIpLklRX0RBX0NGLjIwMDAuNy8zMS8yMDE4LkxGUi5GLlVTRC5IBQAAAAAAAAAIAAAAFChJbnZhbGlkIElkZW50aWZpZXIpyDCyNwgJ1gg8mbJvNAnWCDlDSVEuTkFTREFRR1M6U0dFTi5JUV9FQklUREFfTUFSR0lOLi43LzE2LzIwMTguTEZSLkYuVVNELkgBAAAAYYUAAAIA</t>
  </si>
  <si>
    <t>AAAILTM4LjAyMDkBCAAAAAUAAAABMQEAAAAKMTg4NDg5Mjg1MgMAAAADMTYwAgAAAAQ0MDQ3BAAAAAEwBwAAAAk3LzE2LzIwMTgIAAAACTMvMzEvMjAxOAkAAAABMMT/GxE1CdYIaGBnEjUJ1ggwQ0lRLk5BU0RBUUdNOlhOQ1IuSVFfTEFTVFNBTEVQUklDRS43LzE2LzIwMTguVVNEAQAAAKZaCwACAAAABTQwLjUxAEadGRE1CdYIEv5kEjUJ1gguQ0lRLk5BU0RBUUdTOkFEWFMuSVFfTUFSS0VUQ0FQLjkvMTUvMjAxNy5VU0QuSAEAAACe7HgAAgAAAAoxOTcuNTI2NjY2AQYAAAAFAAAAATEBAAAACjE4NTg4Njk1ODkDAAAAAzE2MAIAAAAGMTAwMDU0BAAAAAEwBwAAAAk5LzE1LzIwMTcpHJQQNQnWCOR0WxI1CdYINkNJUS5OQVNEQVFHUzpDQUxBLklRX1RPVEFMX0RFQlQuLjcvMTYvMjAxOC5MRlIuRi5VU0QuSAEAAAClJ4EGAgAAAAEwAQgAAAAFAAAAATEBAAAACjE4ODc5ODAzMDUDAAAAAzE2MAIAAAAENDE3MwQAAAABMAcAAAAJNy8xNi8yMDE4CAAAAAkzLzMxLzIwMTgJAAAAATApHJQQNQnWCOR0WxI1CdYIPENJUS5OQVNEQVFHUzpLVVJBLklRX1RPVEFMX0VRVUlUWS4xOTkyLjcvMzEvMjAxOC5MRlIuRi5VU0QuSAEAAAC4y9oQAgAAAAY3Ni4wNjYBCAAAAAUAAAABMQEAAAAKMTg0MjI4MDcxNwMAAAADMTYwAgAAAAQxMjc1BAAAAAEwBwAAAAk3LzMxLzIwMTgIAAAACTMvMzEvMjAxNgkAAAABMNaMETgI</t>
  </si>
  <si>
    <t>CdYIcySdbzQJ1ghCQ0lRLk5BU0RBUUdNOk5MTksuSVFfVE9UQUxfUkVWXzJZUl9BTk5fQ0FHUi4uNy8xNi8yMDE4LkxGUi5GLlVTRC5IAQAAAJV7jAACAAAABjEuMTg2OAEIAAAABQAAAAExAQAAAAoxODg4MzU0MjA3AwAAAAMxNjACAAAABDQyMDcEAAAAATAHAAAACTcvMTYvMjAxOAgAAAAJMy8zMS8yMDE4CQAAAAEwKRyUEDUJ1gjkdFsSNQnWCCRDSVEuTkFTREFRR1M6Q0FMQS5JUV9FRkZFQ1RfVEFYX1JBVEUBAAAApSeBBgMAAAAAAMgwsjcICdYIHxWdDjUJ1gg8Q0lRLk5BU0RBUUdTOkFOQUIuSVFfRUJJVERBX0VTVC5DWTIwMTkuNy8xNi8yMDE4LkNPTi5GLlVTRC5IAQAAACFMsgEDAAAAAADE/xsRNQnWCMKbYhI1CdYIOUNJUS5OQVNEQVFHTTpBUlFMLklRX05JX01BUkdJTi4yMDAwLjcvMzEvMjAxOC5MRlIuRi5VU0QuSAEAAAD2YQAAAwAAAAJOTQEIAAAABQAAAAExAQAAAAoxODg4Nzg4NzcwAwAAAAMxNjACAAAABDQwOTQEAAAAATAHAAAACTcvMzEvMjAxOAgAAAAJMy8zMS8yMDE4CQAAAAEw1owROAgJ1ghzJJ1vNAnWCDxDSVEuTkFTREFRR1M6Q0FMQS5JUV9HUk9TU19NQVJHSU4uMjAwMC43LzMxLzIwMTguTEZSLkYuVVNELkgBAAAApSeBBgIAAAAHLTkyLjgwMgEIAAAABQAAAAExAQAAAAoxODg3OTgwMzA1AwAAAAMxNjACAAAABDQwNzQEAAAAATAHAAAACTcvMzEvMjAxOAgAAAAJMy8zMS8y</t>
  </si>
  <si>
    <t>MDE4CQAAAAEwyDCyNwgJ1gjdS6RvNAnWCC1DSVEuT1RDUEs6TldCTy5JUV9MQVNUU0FMRVBSSUNFLjcvMTYvMjAxOC5VU0QBAAAAo3oUAAIAAAAGMC4yMTk5ACkclBA1CdYIczlgEjUJ1gg5Q0lRLk5BU0RBUUdNOkFSUUwuSVFfVE9UQUxfUkVWLjE5OTYuNy8zMS8yMDE4LkxGUi5GLlVTRC5IAQAAAPZhAAACAAAABTMuNDgyAQgAAAAFAAAAATEBAAAACjE4ODg3ODg3MzcDAAAAAzE2MAIAAAACMjgEAAAAATAHAAAACTcvMzEvMjAxOAgAAAAJMy8zMS8yMDE3CQAAAAEw1owROAgJ1ghzJJ1vNAnWCCJDSVEuSVFUUjQwMzc5MTc2Ny5JUV9UUl9QQ1RfU09VR0hUAQAAAJdfERgCAAAAAzEwMAEGAAAABQAAAAI1NAEAAAAGMTAxMDI0AgAAAAk0MDM3OTE3NjcDAAAACTQwMzc5MjEwOQQAAAADMTYwBgAAAARUcnVlWM8SDjUJ1gjA24IONQnWCCBDSVEuSVFUUjM3MTcxNTExOS5JUV9UUl9FQVJOT1VUUwEAAAAv7CcWAgAAAAAAWM8SDjUJ1gjA24IONQnWCC5DSVEuSVFUUjQwODQwNzgyMi5JUV9UUl9UQVJHRVRfU1RPQ0tQUkVNSVVNXzFXAQAAAA7PVxgCAAAAAACys0lvNAnWCIH9lW80CdYILUNJUS5OQVNEQVFHUzpDVE1YLklRX0RJVklERU5EX1lJRUxELjcvMTYvMjAxOAEAAADcOJsDAwAAAAAARp0ZETUJ1gjCm2ISNQnWCC1DSVEuTkFTREFRQ006WklPUC5JUV9NQVJLRVRDQVAuNS81LzIwMTcuVVNELkgBAAAA</t>
  </si>
  <si>
    <t>s1GyAAIAAAAKOTMwLjYzNTA0MwEGAAAABQAAAAExAQAAAAoxODM5MzM4MTAwAwAAAAMxNjACAAAABjEwMDA1NAQAAAABMAcAAAAINS81LzIwMTfWjBE4CAnWCMOGn280CdYIOkNJUS5OQVNEQVFHUzpNUlNOLklRX0NBU0hfU1RfSU5WRVNULi43LzE2LzIwMTguTEZSLkYuVVNELkgBAAAA5sUYAAIAAAAHMTA3Ljk1OQEIAAAABQAAAAExAQAAAAoxODg5MDk2NjUzAwAAAAMxNjACAAAABDEwMDIEAAAAATAHAAAACTcvMTYvMjAxOAgAAAAJMy8zMS8yMDE4CQAAAAEwxP8bETUJ1ghzOWASNQnWCC5DSVEuTkFTREFRR1M6TUdOWC5JUV9NQVJLRVRDQVAuNy8xNi8yMDE4LlVTRC5IAQAAAE8rCQACAAAACjkxMS41NjQ4ODUBBgAAAAUAAAABMQEAAAAKMTg4NzExNDY3OQMAAAADMTYwAgAAAAYxMDAwNTQEAAAAATAHAAAACTcvMTYvMjAxOEadGRE1CdYIwptiEjUJ1gglQ0lRLklRVFI0MzE4NDE1ODEuSVFfVFJfSU1QTElFRF9FUV9CVgEAAAAtYb0ZAgAAAAAADG0QDjUJ1ggMPoUONQnWCC9DSVEuSVFUUjU1MzU0ODAyNS5JUV9UUl9JTVBMSUVEX0VWX0ZJTkFMLi5VU0QuSAEAAAD5eP4gAgAAAAozNTQuMjkwMTMxAQYAAAAFAAAAAjU0AQAAAAYxMDIwNDUCAAAACTU1MzU0ODAyNQMAAAAJNTUzNTY0OTcxBAAAAAMxNjAGAAAABUZhbHNlsrNJbzQJ1giB/ZVvNAnWCB5DSVEuLklRX0xBU1RTQUxFUFJJQ0UuNS81LzIw</t>
  </si>
  <si>
    <t>MTcFAAAAAQAAAAgAAAAUKEludmFsaWQgSWRlbnRpZmllcin1hDJHNAnWCPWEMkc0CdYIJENJUS5OQVNEQVFDTTpaSU9QLklRX0VGRkVDVF9UQVhfUkFURQEAAACzUbIAAwAAAAAA1owROAgJ1gjDhp9vNAnWCDVDSVEuTkFTREFRR1M6TVJTTi5JUV9DQVBFWC4yMDAwLjcvMzEvMjAxOC5MRlIuRi5VU0QuSAEAAADmxRgAAgAAAAYtMC45MzkBCAAAAAUAAAABMQEAAAAKMTg4OTA5NjY1MwMAAAADMTYwAgAAAAQyMDIxBAAAAAEwBwAAAAk3LzMxLzIwMTgIAAAACTMvMzEvMjAxOAkAAAABMNaMETgICdYIw4afbzQJ1ggeQ0lRLklRMzYxODM4MjUuSVFfQ09NUEFOWV9OQU1FAQAAABEfKAIDAAAAMVVuaXRlZCBTdGF0ZXMgVHJlYXN1cnkgQ29uc3RhbnQgTWF0dXJpdHkgLSAyIFllYXIADG0QDjUJ1gh3eYAONQnWCD1DSVEuTkFTREFRR006RkFURS5JUV9SRVZFTlVFX0VTVC5DWTIwMjEuNy8zMS8yMDE4LkNPTi5GLlVTRC5IAQAAAGgxVwICAAAACDE0Ny43OTg1AQ4AAAAFAAAAAjExAQAAAAEwAgAAAAoxMDAxOTY3NDUzAwAAAAYxMDAxODAEAAAAATIGAAAAATAHAAAAAzE2MAgAAAABMAkAAAABMQoAAAABMAsAAAALMTA5ODU3MTU2MTAMAAAAATcNAAAACDgvMS8yMDE4EAAAAAk3LzMxLzIwMTjWjBE4CAnWCMOGn280CdYIOENJUS5OQVNEQVFHUzpQQllJLklRX0dST1NTX01BUkdJTi4uNy8xNi8yMDE4LkxGUi5G</t>
  </si>
  <si>
    <t>LlVTRC5IAQAAAAJqrAcCAAAABjg3LjMwOQEIAAAABQAAAAExAQAAAAoxODg4NjY3NzQzAwAAAAMxNjACAAAABDQwNzQEAAAAATAHAAAACTcvMTYvMjAxOAgAAAAJMy8zMS8yMDE4CQAAAAEwxP8bETUJ1ggS/mQSNQnWCD1DSVEuTkFTREFRR1M6QVROWC5JUV9SRVZFTlVFX0VTVC5DWTIwMjAuNy8zMS8yMDE4LkNPTi5GLlVTRC5IAQAAANyZawECAAAACTIxNC43Mzg5OAEOAAAABQAAAAIxMQEAAAABMAIAAAAKMTAwMzc3ODM3NAMAAAAGMTAwMTgwBAAAAAEyBgAAAAEwBwAAAAMxNjAIAAAAATAJAAAAATEKAAAAATALAAAACzEwOTk1NDIzNDcxDAAAAAE3DQAAAAg4LzEvMjAxOBAAAAAJNy8zMS8yMDE41owROAgJ1ggkwppvNAnWCD1DSVEuTkFTREFRR1M6RVBaTS5JUV9SRVZFTlVFX0VTVC5DWTIwMTguNy8zMS8yMDE4LkNPTi5GLlVTRC5IAQAAAAMmPQMCAAAABjEuODEyNQEOAAAABQAAAAIxMQEAAAABMAIAAAAKMTAwMTg2NDI1OAMAAAAGMTAwMTgwBAAAAAEyBgAAAAEwBwAAAAMxNjAIAAAAATAJAAAAATEKAAAAATALAAAACzEwOTIxMjQzOTg5DAAAAAE3DQAAAAg4LzEvMjAxOBAAAAAJNy8zMS8yMDE41owROAgJ1ghzJJ1vNAnWCClDSVEuSVFUUjU1MzU0ODAyNS5JUV9CVVNJTkVTU19ERVNDUklQVElPTgEAAAA9LS4AAwAAANAHVmlyYWx5dGljcyBMaW1pdGVkLCBhIGJpb3RlY2hub2xvZ3kgY29tcGFu</t>
  </si>
  <si>
    <t>eSwgZm9jdXNlcyBvbiB0aGUgZGV2ZWxvcG1lbnQgYW5kIGNvbW1lcmNpYWxpemF0aW9uIG9mIG9uY29seXRpYyBpbW11bm90aGVyYXBpZXMgaW4gQXVzdHJhbGlhIGFuZCBpbnRlcm5hdGlvbmFsbHkuIFRoZSBjb21wYW554oCZcyBsZWFkIGludmVzdGlnYXRpb25hbCBwcm9kdWN0IGlzIENBVkFUQUssIGEgcHJvcHJpZXRhcnkgZm9ybXVsYXRpb24gb2YgYW4gb25jb2x5dGljIGNvbW1vbiBjb2xkIHZpcnVzIHRoYXQgaXMgaW4gUGhhc2UgSWIgY2xpbmljYWwgdHJpYWxzIGZvciB0aGUgdHJlYXRtZW50IG9mIG1lbGFub21hLCBhbmQgbHVuZyBhbmQgYmxhZGRlciBjYW5jZXI7IFBoYXNlIElJIGNsaW5pY2FsIHRyaWFscyBmb3IgdGhlIHRyZWF0bWVudCBvZiBsYXRlIHN0YWdlIG1lbGFub21hOyBhbmQgaW4gcHJlLWNsaW5pY2FsIHN0dWRpZXMgZm9yIHRoZSB0cmVhdG1lbnQgb2YgcHJvc3RhdGUgYW5kIGJyZWFzdCBjYW5jZXIsIG11bHRpcGxlIG15ZWxvbWEsIHBhbmNyZWF0aWMgY2FuY2VyLCBtYWxpZ25hbnQgZ2xpb21hLCBhY3V0ZSBteWVsb2lkIGxldWtlbWlhLCBhbmQgY2hyb25pYyBseW1waG9jeXRpYyBsZXVrZW1pYS4gSXQgaXMgYWxzbyBkZXZlbG9waW5nIEVWQVRBSyB0byB0cmVhdCBvdmFyaWFuLCBwcm9zdGF0ZSwgYW5kIGdhc3RyaWMgY2FuY2VyLiBUaGUgY29tcGFueSB3YXMgZm9y</t>
  </si>
  <si>
    <t>bWVybHkga25vd24gYXMgUHNpcm9uIEx0ZC4gYW5kIGNoYW5nZWQgaXRzIG5hbWUgdG8gVmlyYWx5dGljcyBMaW1pdGVkIGluIERlY2VtYmVyIDIwMDYuIFZpcmFseXRpY3MgTGltaXRlZCBpcyBoZWFkcXVhcnRlcmVkIGluIFN5ZG5leSwgQXVzdHJhbGlhLiBBcyBvZiBKdW5lIDIwLCAyMDE4LCBWaXJhbHl0aWNzIExpbWl0ZWQgb3BlcmF0ZXMgYXMgYSBzdWJzaWRpYXJ5IG9mIE1lcmNrIFNoYXJwICYgRG9obWUgKEhvbGRpbmdzKSBQdHkgTHRkLgCys0lvNAnWCIH9lW80CdYIOUNJUS5OQVNEQVFDTTpNVEVNLklRX1RPVEFMX1JFVi4xOTk2LjcvMzEvMjAxOC5MRlIuRi5VU0QuSAEAAACZm6kBAgAAAAgzLjIxMDAyMgEIAAAABQAAAAExAQAAAAoxODg4NzMzMDAyAwAAAAMxNjACAAAAAjI4BAAAAAEwBwAAAAk3LzMxLzIwMTgIAAAACTMvMzEvMjAxNwkAAAABMMgwsjcICdYIGemhbzQJ1ggoQ0lRLk5BU0RBUUdNOkFGTUQuSVFfVEVWLjcvMTYvMjAxOC5VU0QuSAEAAADb9wwAAgAAAAk0OS4wOTM5MTkBBgAAAAUAAAABMQEAAAAKMTg4OTg2NTU5NQMAAAADMTYwAgAAAAYxMDAwNjAEAAAAATAHAAAACTcvMTYvMjAxOCkclBA1CdYIMNddEjUJ1ghCQ0lRLk5BU0RBUUdTOkZQUlguSVFfVE9UQUxfUkVWXzVZUl9BTk5fQ0FHUi4uNy8xNi8yMDE4LkxGUi5GLlVTRC5IAQAAADddMwACAAAABjQxLjYxOAEIAAAA</t>
  </si>
  <si>
    <t>BQAAAAExAQAAAAoxODg3NDAyMjI3AwAAAAMxNjACAAAABDQyMzMEAAAAATAHAAAACTcvMTYvMjAxOAgAAAAJMy8zMS8yMDE4CQAAAAEwKRyUEDUJ1ghzOWASNQnWCDlDSVEuRU5YVFBBOklQSC5JUV9FQklUREFfRVNULkNZMjAxOC43LzE2LzIwMTguQ09OLkYuVVNELkgBAAAAmYAGAAIAAAARLTI0LjYzODIxNTY3MzM3MTUBDgAAAAUAAAACMTEBAAAAATACAAAACjEwMDE2NDMzOTEDAAAABjEwMDE4NwQAAAABMwYAAAABMAcAAAADMTYwCAAAAAEwCQAAAAExCgAAAAEwCwAAAAsxMDk1Mzg0MjQ2MQwAAAABNw0AAAAJNy8xNy8yMDE4EAAAAAk3LzE2LzIwMTgpHJQQNQnWCHM5YBI1CdYIK0NJUS4oSU5WQUxJRCBJREVOVElGSUVSKS5JUV9FRkZFQ1RfVEFYX1JBVEUFAAAAAAAAAAgAAAAUKEludmFsaWQgSWRlbnRpZmllcinIMLI3CAnWCELFrQ41CdYIMUNJUS4uSVFfVE9UQUxfRVFVSVRZLkNZMjAxNy43LzMxLzIwMTguTEZSLkYuVVNELkgFAAAAAQAAAAgAAAAUKEludmFsaWQgSWRlbnRpZmllcin1hDJHNAnWCPWEMkc0CdYIMENJUS5OQVNEQVFDTTpBVkVPLklRX0xBU1RTQUxFUFJJQ0UuNy8xNi8yMDE4LlVTRAEAAAD0Fh0AAgAAAAQyLjg1AEadGRE1CdYIwptiEjUJ1gg9Q0lRLk5BU0RBUUdTOkJHTkUuSVFfRUJJVERBX01BUkdJTi4yMDAwLjcvMzEvMjAxOC5MRlIuRi5VU0QuSAEAAADg5N0GAgAAAAYt</t>
  </si>
  <si>
    <t>NTUuOTUBCAAAAAUAAAABMQEAAAAKMTg4NzY4ODU4OAMAAAADMTYwAgAAAAQ0MDQ3BAAAAAEwBwAAAAk3LzMxLzIwMTgIAAAACTMvMzEvMjAxOAkAAAABMJwL1TgICdYIgf2VbzQJ1gg/Q0lRLk5BU0RBUUdTOkpOQ0UuSVFfRUJJVERBXzJZUl9BTk5fQ0FHUi4uNy8xNi8yMDE4LkxGUi5GLlVTRC5IAQAAAOJ5ng0DAAAAAk5NAQgAAAAFAAAAATEBAAAACjE4ODgxODYzNzQDAAAAAzE2MAIAAAAENDIwOQQAAAABMAcAAAAJNy8xNi8yMDE4CAAAAAkzLzMxLzIwMTgJAAAAATDep34QNQnWCJgSWRI1CdYIJ0NJUS5OQVNEQVFHTTpBRk1ELklRX0JFVEFfNVlSLjcvMTYvMjAxOAEAAADb9wwAAgAAABAyLjMwODY5NTQ0MzI5NTA1ACkclBA1CdYIMNddEjUJ1gg8Q0lRLk5BU0RBUUdTOkFEWFMuSVFfRUFSTklOR19DTy5DWTIwMTYuNy8xNi8yMDE4LkxGUi5GLlVTRC5IAQAAAJ7seAACAAAACi03MC43OTIyOTgBCAAAAAUAAAABMQEAAAAKMTg3ODAxMjQyOQMAAAADMTYwAgAAAAE3BAAAAAEwBwAAAAk3LzE2LzIwMTgIAAAACTEvMzEvMjAxNwkAAAABMCkclBA1CdYI5HRbEjUJ1gguQ0lRLk5BU0RBUUdTOlRTUk8uSVFfTUFSS0VUQ0FQLjcvMTYvMjAxOC5VU0QuSAEAAABo1lgGAgAAAAoyMjIzLjA5NTQ4AQYAAAAFAAAAATEBAAAACjE4ODYzMzY1NzkDAAAAAzE2MAIAAAAGMTAwMDU0BAAAAAEwBwAAAAk3LzE2LzIw</t>
  </si>
  <si>
    <t>MThGnRkRNQnWCBL+ZBI1CdYIO0NJUS5OQVNEQVFHUzpDQUxBLklRX1RPVEFMX1JFVi5DWTIwMTYuNy8xNi8yMDE4LkxGUi5GLlVTRC5IAQAAAKUngQYDAAAAAAApHJQQNQnWCOR0WxI1CdYINUNJUS5OQVNEQVFDTTpaSU9QLklRX0NBUEVYLjE5OTYuNy8zMS8yMDE4LkxGUi5GLlVTRC5IAQAAALNRsgACAAAABi0wLjc1MgEIAAAABQAAAAExAQAAAAoxODg3OTcyMzQ4AwAAAAMxNjACAAAABDIwMjEEAAAAATAHAAAACTcvMzEvMjAxOAgAAAAJMy8zMS8yMDE3CQAAAAEw1owROAgJ1gjDhp9vNAnWCD9DSVEuTkFTREFRR006QUZNRC5JUV9FQklUREFfM1lSX0FOTl9DQUdSLi43LzE2LzIwMTguTEZSLkYuVVNELkgBAAAA2/cMAAMAAAACTk0BCAAAAAUAAAABMQEAAAAKMTg4OTg2NjA0OQMAAAACNTACAAAABDQyMjIEAAAAATAHAAAACTcvMTYvMjAxOAgAAAAJMy8zMS8yMDE4CQAAAAEwKRyUEDUJ1ggw110SNQnWCD9DSVEuTkFTREFRR006TFBUWC5JUV9FQklUREFfNVlSX0FOTl9DQUdSLi43LzE2LzIwMTguTEZSLkYuVVNELkgBAAAADDYJBwMAAAAAACkclBA1CdYIMNddEjUJ1ghAQ0lRLihJTlZBTElEIElERU5USUZJRVIpLklRX1RPVEFMX1JFVi4yMDAwLjcvMzEvMjAxOC5MRlIuRi5VU0QuSAUAAAAAAAAACAAAABQoSW52YWxpZCBJZGVudGlmaWVyKcgwsjcICdYI7TawbzQJ1gg0Q0lRLkVOWFRQQTpJUEgu</t>
  </si>
  <si>
    <t>SVFfUFJFRl9FUVVJVFkuLjcvMTYvMjAxOC5MRlIuRi5VU0QuSAEAAACZgAYAAwAAAAAAKRyUEDUJ1ghzOWASNQnWCC1DSVEuLklRX1RPVEFMX0RFQlQuMjAwMC43LzMxLzIwMTguTEZSLkYuVVNELkgFAAAAAQAAAAgAAAAUKEludmFsaWQgSWRlbnRpZmllcimWJDBHNAnWCJYkMEc0CdYILkNJUS5OQVNEQVFHUzpCR05FLklRX01BUktFVENBUC43LzE2LzIwMTguVVNELkgBAAAA4OTdBgIAAAALODc1OS45OTQ5NzYBBgAAAAUAAAABMQEAAAAKMTg4NzY4ODUwMAMAAAADMTYwAgAAAAYxMDAwNTQEAAAAATAHAAAACTcvMTYvMjAxOEadGRE1CdYIaGBnEjUJ1gg1Q0lRLk5BU0RBUUdNOklNTVUuSVFfQ0FQRVguMjAwMC43LzMxLzIwMTguTEZSLkYuVVNELkgBAAAAIEMEAAIAAAAJLTUuOTM3NjA3AQgAAAAFAAAAATEBAAAACjE4ODg1MjMzODQDAAAAAzE2MAIAAAAEMjAyMQQAAAABMAcAAAAJNy8zMS8yMDE4CAAAAAkzLzMxLzIwMTgJAAAAATCcC9U4CAnWCNRfmG80CdYIMENJUS5OQVNEQVFHUzpCR05FLklRX1RPVEFMX1JFVi4xOTkyLi5MRlIuRi5VU0QuSAEAAADg5N0GAgAAAAU3LjEyNwEIAAAABQAAAAExAQAAAAoxODUyNzAwNTIxAwAAAAMxNjACAAAAAjI4BAAAAAEwBwAAAAk4LzIzLzIwMTgIAAAACTYvMzAvMjAxNgkAAAABMJwL1TgICdYInAvVOAgJ1gg5Q0lRLk5BU0RBUUdTOktVUkEuSVFfVE9UQUxf</t>
  </si>
  <si>
    <t>REVCVC4yMDAwLjUvNS8yMDE3LkxGUi5GLlVTRC5IAQAAALjL2hACAAAABTcuMzI0AQgAAAAFAAAAATEBAAAACjE4MzE5MzE2MDgDAAAAAzE2MAIAAAAENDE3MwQAAAABMAcAAAAINS81LzIwMTcIAAAACjEyLzMxLzIwMTYJAAAAATDWjBE4CAnWCHMknW80CdYIMENJUS5JUVRSNDAzNzkxNzY3LklRX1RSX1RBUkdFVF9FQklUREFfRVNULi5VU0QuSAEAAACXXxEYAgAAAAAAWM8SDjUJ1gjA24IONQnWCDpDSVEuTkFTREFRR006Q1JJUy5JUV9QUkVGX0VRVUlUWS4yMDAwLjUvNS8yMDE3LkxGUi5GLlVTRC5IAQAAABdqAAADAAAAAADIMLI3CAnWCN1LpG80CdYIRUNJUS5OQVNEQVFHUzpOSy5JUV9NSU5PUklUWV9JTlRFUkVTVF9UT1RBTC4yMDAwLjcvMzEvMjAxOC5MRlIuRi5VU0QuSAEAAAANfaEPAwAAAAAA1owROAgJ1gjDhp9vNAnWCD1DSVEuTkFTREFRR006Q1JJUy5JUV9SRVZFTlVFX0VTVC5DWTIwMjEuNy8zMS8yMDE4LkNPTi5GLlVTRC5IAQAAABdqAAACAAAABzM1LjcwMjUBDgAAAAUAAAACMTEBAAAAATACAAAACjEwMDEzODc3NTgDAAAABjEwMDE4MAQAAAABMgYAAAABMAcAAAADMTYwCAAAAAEwCQAAAAExCgAAAAEwCwAAAAsxMDk1MTI0MjM0NAwAAAABNw0AAAAIOC8xLzIwMTgQAAAACTcvMzEvMjAxOMgwsjcICdYI3UukbzQJ1ggjQ0lRLklRVFIzMTIxMjI1MDQuSVFfVFJfQ0xPU0VEX0RBVEUB</t>
  </si>
  <si>
    <t>AAAAiJyaEgUAAAAKMTAvMzAvMjAxNQBYzxIONQnWCMDbgg41CdYIO0NJUS5OQVNEQVFHTTpYTkNSLklRX05FVF9XT1JLSU5HX0NBUC4uNy8xNi8yMDE4LkxGUi5GLlVTRC5IAQAAAKZaCwACAAAABy02NC45MjIBCAAAAAUAAAABMQEAAAAKMTg4NzEyNTg1NQMAAAADMTYwAgAAAAQxMzExBAAAAAEwBwAAAAk3LzE2LzIwMTgIAAAACTMvMzEvMjAxOAkAAAABMMT/GxE1CdYIEv5kEjUJ1ggdQ0lRLk5BU0RBUUdNOkFSUUwuSVFfRVhDSEFOR0UBAAAA9mEAAAMAAAAITmFzZGFxR00A1owROAgJ1ghzJJ1vNAnWCCtDSVEuSVFUUjQwMzc5MTc2Ny5JUV9UUl9UT1RBTF9HUk9TU19UVi4uVVNEAQAAAJdfERgCAAAACzMwODcuMDM5NTQ3AQYAAAAFAAAAAjU0AQAAAAYxMDIwODgCAAAACTQwMzc5MTc2NwMAAAAJNDAzNzkyMTA5BAAAAAMxNjAGAAAABUZhbHNlWM8SDjUJ1gjA24IONQnWCC9DSVEuSVFUUjQwODQwNzgyMi5JUV9UUl9UQVJHRVRfVE9UQUxfUkVWLi5VU0QuSAEAAAAOz1cYAgAAAAEwALKzSW80CdYIgf2VbzQJ1ggvQ0lRLihJTlZBTElEIElERU5USUZJRVIpLklRX0dQLi43LzE2LzIwMTguLi5VU0QFAAAAAAAAAAgAAAAUKEludmFsaWQgSWRlbnRpZmllcikMbRAONQnWCGhgZxI1CdYIR0NJUS5OQVNEQVFDTTpNVEVNLklRX01JTk9SSVRZX0lOVEVSRVNUX1RPVEFMLjIwMDAuNy8zMS8yMDE4LkxGUi5G</t>
  </si>
  <si>
    <t>LlVTRC5IAQAAAJmbqQEDAAAAAADIMLI3CAnWCBnpoW80CdYIFkNJUS4uSVFfR1AuMjAwMC4uLi5VU0QFAAAAAAAAAAgAAAAUKEludmFsaWQgSWRlbnRpZmllcimcC9U4CAnWCPsK2YE0CdYILkNJUS5OQVNEQVFHUzpBTkFCLklRX01BUktFVENBUC43LzE2LzIwMTguVVNELkgBAAAAIUyyAQIAAAAKMTY3My41MDQ3NwEGAAAABQAAAAExAQAAAAoxODg3NDAwMDIxAwAAAAMxNjACAAAABjEwMDA1NAQAAAABMAcAAAAJNy8xNi8yMDE4Rp0ZETUJ1ggS/mQSNQnWCC5DSVEuSVFUUjQwODI5MTM5NS5JUV9UUl9UQVJHRVRfU1RPQ0tQUkVNSVVNXzFXAQAAAEMIVhgCAAAAAABYzxIONQnWCMDbgg41CdYIPUNJUS5OQVNEQVFHTTpBUlJZLklRX0VCSVREQV9NQVJHSU4uMjAwMC43LzMxLzIwMTguTEZSLkYuVVNELkgBAAAA+GEAAAIAAAAJLTEyNi4wNDQ0AQgAAAAFAAAAATEBAAAACjE4ODg0NzA2NzYDAAAAAzE2MAIAAAAENDA0NwQAAAABMAcAAAAJNy8zMS8yMDE4CAAAAAkzLzMxLzIwMTgJAAAAATCcC9U4CAnWCNRfmG80CdYIRkNJUS5OQVNEQVFHUzpDQUxBLklRX1RPVEFMX1JFVl81WVJfQU5OX0NBR1IuMjAwMC43LzMxLzIwMTguTEZSLkYuVVNELkgBAAAApSeBBgMAAAAAAMgwsjcICdYI3UukbzQJ1ggpQ0lRLklRVFI0MDc3NjA2OTIuSVFfVFJfSU1QTElFRF9FUV9OSV9MVE0BAAAANO9NGAIAAAAAAFjPEg41</t>
  </si>
  <si>
    <t>CdYIDD6FDjUJ1gglQ0lRLk5BU0RBUUdTOkFOQUIuSVFfRklSU1RQUklDSU5HREFURQEAAAAhTLIBBQAAAAkxLzI2LzIwMTcARp0ZETUJ1ggS/mQSNQnWCDxDSVEuTkFTREFRR006RkFURS5JUV9FQVJOSU5HX0NPLkNZMjAxNy43LzMxLzIwMTguTEZSLkYuVVNELkgBAAAAaDFXAgIAAAAHLTQyLjk1MgEIAAAABQAAAAExAQAAAAoxODc3MDY5MDkwAwAAAAMxNjACAAAAATcEAAAAATAHAAAACTcvMzEvMjAxOAgAAAAKMTIvMzEvMjAxNwkAAAABMNaMETgICdYIw4afbzQJ1gg9Q0lRLk5BU0RBUUdTOkZQUlguSVFfUkVWRU5VRV9FU1QuQ1kyMDIxLjcvMzEvMjAxOC5DT04uRi5VU0QuSAEAAAA3XTMAAgAAAAgxMzUuOTY0OAEOAAAABQAAAAIxMQEAAAABMAIAAAAKMTAwMTk1NjM1OQMAAAAGMTAwMTgwBAAAAAEyBgAAAAEwBwAAAAMxNjAIAAAAATAJAAAAATEKAAAAATALAAAACzEwOTQ1NTc0OTU4DAAAAAE3DQAAAAg4LzEvMjAxOBAAAAAJNy8zMS8yMDE41owROAgJ1ggZ6aFvNAnWCD9DSVEuTkFTREFRR1M6QkdORS5JUV9FQklUREFfM1lSX0FOTl9DQUdSLi43LzE2LzIwMTguTEZSLkYuVVNELkgBAAAA4OTdBgMAAAACTk0BCAAAAAUAAAABMQEAAAAKMTg4NzY4ODU4OAMAAAADMTYwAgAAAAQ0MjIyBAAAAAEwBwAAAAk3LzE2LzIwMTgIAAAACTMvMzEvMjAxOAkAAAABMMT/GxE1CdYIaGBnEjUJ1ggnQ0lRLk5B</t>
  </si>
  <si>
    <t>U0RBUUdTOlNHRU4uSVFfQkVUQV8xWVIuNy8xNi8yMDE4AQAAAGGFAAACAAAAEDEuNjk4NjQ4NTk1NDU1NzEAxP8bETUJ1ghoYGcSNQnWCCdDSVEuTkFTREFRR1M6UEJZSS5JUV9CRVRBXzVZUi43LzE2LzIwMTgBAAAAAmqsBwIAAAASMC4wMjE2OTcxMTMxOTEzOTI3AMT/GxE1CdYIEv5kEjUJ1gguQ0lRLk9UQ1BLOk5XQk8uSVFfREFfQ0YuLjcvMTYvMjAxOC5MRlIuRi5VU0QuSAEAAACjehQAAgAAAAUwLjc0OAEIAAAABQAAAAExAQAAAAoxODg5MzAyODI0AwAAAAMxNjACAAAABDIxNjAEAAAAATAHAAAACTcvMTYvMjAxOAgAAAAJMy8zMS8yMDE4CQAAAAEwKRyUEDUJ1ghzOWASNQnWCCxDSVEuSVFUUjMxNDgyOTIzNi5JUV9UUl9UQVJHRVRfRUJJVERBLi5VU0QuSAEAAAC06cMSAgAAAAAAWM8SDjUJ1gjA24IONQnWCCVDSVEuSVFUUjQwMzc5MTc2Ny5JUV9UUl9JTVBMSUVEX0VRX0JWAQAAAJdfERgCAAAAAABYzxIONQnWCMDbgg41CdYIMUNJUS5JUVRSNTMzNjM5NTAxLklRX1RSX1RBUkdFVF9SRVZFTlVFX0VTVC4uVVNELkgBAAAATbHOHwIAAAAAAAxtEA41CdYIwNuCDjUJ1gg9Q0lRLk5BU0RBUUdTOkZQUlguSVFfUkVWRU5VRV9FU1QuQ1kyMDIxLjcvMTYvMjAxOC5DT04uRi5VU0QuSAEAAAA3XTMAAgAAAAgxMzUuOTY0OAEOAAAABQAAAAIxMQEAAAABMAIAAAAKMTAwMTk1NjM1OQMAAAAGMTAwMTgw</t>
  </si>
  <si>
    <t>BAAAAAEyBgAAAAEwBwAAAAMxNjAIAAAAATAJAAAAATEKAAAAATALAAAACzEwOTQ1NTc0OTU4DAAAAAE3DQAAAAk3LzE3LzIwMTgQAAAACTcvMTYvMjAxOCkclBA1CdYIczlgEjUJ1gg9Q0lRLk5BU0RBUUdTOkZQUlguSVFfUkVWRU5VRV9FU1QuQ1kyMDIwLjcvMTYvMjAxOC5DT04uRi5VU0QuSAEAAAA3XTMAAgAAAAg3NS41MTAyOQEOAAAABQAAAAIxMQEAAAABMAIAAAAKMTAwMTk1NjM1NAMAAAAGMTAwMTgwBAAAAAEyBgAAAAEwBwAAAAMxNjAIAAAAATAJAAAAATEKAAAAATALAAAACzEwOTQ1NTc1MDA2DAAAAAE3DQAAAAk3LzE3LzIwMTgQAAAACTcvMTYvMjAxOCkclBA1CdYIczlgEjUJ1ggxQ0lRLklRVFIyNDU4MzEwMDcuSVFfVFJfVEFSR0VUX1JFVkVOVUVfRVNULi5VU0QuSAEAAABfFacOAgAAAAczMy44NDYzALKzSW80CdYIgf2VbzQJ1ggjQ0lRLk5BU0RBUUdNOk5MTksuSVFfUEVSSU9EREFURV9JUy4BAAAAlXuMAAUAAAAJNi8zMC8yMDE4ACkclBA1CdYI5HRbEjUJ1ggwQ0lRLihJTlZBTElEIElERU5USUZJRVIpLklRX0JVU0lORVNTX0RFU0NSSVBUSU9OBQAAAAAAAAAIAAAAFChJbnZhbGlkIElkZW50aWZpZXIpyDCyNwgJ1ghCxa0ONQnWCEFDSVEuTkFTREFRR1M6TksuSVFfRUJJVERBXzJZUl9BTk5fQ0FHUi4yMDAwLjcvMzEvMjAxOC5MRlIuRi5VU0QuSAEAAAANfaEPAwAAAAJOTQEIAAAA</t>
  </si>
  <si>
    <t>BQAAAAExAQAAAAoxODg3MTE4NzkxAwAAAAMxNjACAAAABDQyMDkEAAAAATAHAAAACTcvMzEvMjAxOAgAAAAJMy8zMS8yMDE4CQAAAAEw1owROAgJ1ggZ6aFvNAnWCDxDSVEuTkFTREFRR1M6VFNSTy5JUV9FQklUREFfRVNULkNZMjAyMC43LzE2LzIwMTguQ09OLkYuVVNELkgBAAAAaNZYBgIAAAAELTMwMAEOAAAABQAAAAIxMQEAAAABMAIAAAAKMTAwMTU4MDM1MAMAAAAGMTAwMTg3BAAAAAEyBgAAAAEwBwAAAAMxNjAIAAAAATAJAAAAATEKAAAAATALAAAACzEwODY5NTI1NDU0DAAAAAE3DQAAAAk3LzE3LzIwMTgQAAAACTcvMTYvMjAxOMT/GxE1CdYIEv5kEjUJ1ggpQ0lRLklRVFI0MTE4NzEwODIuSVFfVFJfSU1QTElFRF9FUV9OSV9MVE0BAAAAaqeMGAIAAAAAALKzSW80CdYINZuTbzQJ1ghGQ0lRLk5BU0RBUUdTOkJHTkUuSVFfTUlOT1JJVFlfSU5URVJFU1RfVE9UQUwuMjAwMC41LzUvMjAxNy5MRlIuRi5VU0QuSAEAAADg5N0GAwAAAAAAnAvVOAgJ1giB/ZVvNAnWCEZDSVEuTkFTREFRR1M6R1RIWC5JUV9UT1RBTF9SRVZfMllSX0FOTl9DQUdSLjIwMDAuNy8zMS8yMDE4LkxGUi5GLlVTRC5IAQAAAGU0aQgDAAAAAADWjBE4CAnWCCTCmm80CdYIJUNJUS5JUVRSMzAyODY2NjI3LklRX1BSSU1BUllfSU5EVVNUUlkBAAAA77aACAMAAAANQmlvdGVjaG5vbG9neQAMbRAONQnWCAw+hQ41CdYIKUNJUS5J</t>
  </si>
  <si>
    <t>UTM2MTgzODIyLklRX0xBU1RTQUxFUFJJQ0UuNy8xNi8yMDE4AQAAAA4fKAICAAAABDIuMzkADG0QDjUJ1ggMPoUONQnWCC9DSVEuLklRX0VBUk5JTkdfQ08uQ1kyMDE2LjcvMzEvMjAxOC5MRlIuRi5VU0QuSAUAAAABAAAACAAAABQoSW52YWxpZCBJZGVudGlmaWVyKfWEMkc0CdYI9YQyRzQJ1gg2Q0lRLk5BU0RBUUdTOkdUSFguSVFfRUJJVERBLjIwMDAuNy8zMS8yMDE4LkxGUi5GLlVTRC5IAQAAAGU0aQgCAAAABy02OS4yMDYBCAAAAAUAAAABMQEAAAAKMTg4NjM2NzY2NwMAAAADMTYwAgAAAAQ0MDUxBAAAAAEwBwAAAAk3LzMxLzIwMTgIAAAACTMvMzEvMjAxOAkAAAABMJwL1TgICdYIJMKabzQJ1gg/Q0lRLihJTlZBTElEIElERU5USUZJRVIpLklRX0VCSVREQS5DWTIwMTYuNy8zMS8yMDE4LkxGUi5GLlVTRC5IBQAAAAAAAAAIAAAAFChJbnZhbGlkIElkZW50aWZpZXIpyDCyNwgJ1gjtNrBvNAnWCCFDSVEuTkFTREFRR1M6U0dFTi5JUV9DT01QQU5ZX05BTUUBAAAAYYUAAAMAAAAWU2VhdHRsZSBHZW5ldGljcywgSW5jLgBGnRkRNQnWCGhgZxI1CdYIMENJUS5JUVRSNTUzNTQ4MDI1LklRX1RSX1RBUkdFVF9FQklUREFfRVNULi5VU0QuSAEAAAD5eP4gAgAAAAg5LjMyMDE3NQCys0lvNAnWCIH9lW80CdYIQ0NJUS5OQVNEQVFHTTpMUFRYLklRX01JTk9SSVRZX0lOVEVSRVNUX1RPVEFMLi43LzE2LzIw</t>
  </si>
  <si>
    <t>MTguTEZSLkYuVVNELkgBAAAADDYJBwMAAAAAACkclBA1CdYIMNddEjUJ1ghDQ0lRLk5BU0RBUUNNOk1URU0uSVFfRUJJVERBXzJZUl9BTk5fQ0FHUi4yMDAwLjcvMzEvMjAxOC5MRlIuRi5VU0QuSAEAAACZm6kBAwAAAAAAyDCyNwgJ1gjdS6RvNAnWCEdDSVEuTkFTREFRR006Q1JJUy5JUV9NSU5PUklUWV9JTlRFUkVTVF9UT1RBTC4yMDAwLjcvMzEvMjAxOC5MRlIuRi5VU0QuSAEAAAAXagAAAwAAAAAAyDCyNwgJ1gjdS6RvNAnWCDVDSVEuTkFTREFRR006QVJRTC5JUV9EQV9DRi4yMDAwLjcvMzEvMjAxOC5MRlIuRi5VU0QuSAEAAAD2YQAAAgAAAAUwLjA1NAEIAAAABQAAAAExAQAAAAoxODg4Nzg4NzcwAwAAAAMxNjACAAAABDIxNjAEAAAAATAHAAAACTcvMzEvMjAxOAgAAAAJMy8zMS8yMDE4CQAAAAEw1owROAgJ1gjDhp9vNAnWCDlDSVEuTkFTREFRR1M6TksuSVFfVE9UQUxfUkVWLkNZMjAxNy43LzMxLzIwMTguTEZSLkYuVVNELkgBAAAADX2hDwIAAAAFMC4wNDUBCAAAAAUAAAABMQEAAAAKMTg3ODAxMjU5NwMAAAADMTYwAgAAAAIyOAQAAAABMAcAAAAJNy8zMS8yMDE4CAAAAAoxMi8zMS8yMDE3CQAAAAEw1owROAgJ1gjDhp9vNAnWCCVDSVEuSVFUUjU0NzQyMzY4MC5JUV9UUl9JTVBMSUVEX0VRX0JWAQAAAMAFoSACAAAACTIwLjgwNTI1NgEGAAAABQAAAAI1NAEAAAAGMTAyMDk3AgAAAAk1NDc0</t>
  </si>
  <si>
    <t>MjM2ODADAAAACTU0NzQzMzA2NQQAAAADMTYwBgAAAAVGYWxzZQxtEA41CdYIwNuCDjUJ1ggdQ0lRLk5BU0RBUUdTOkFEWFMuSVFfRVhDSEFOR0UBAAAAnux4AAMAAAAITmFzZGFxR1MAKRyUEDUJ1gjkdFsSNQnWCCNDSVEuSVFUUjMyMTg2NTI5Ny5JUV9UUl9DTE9TRURfREFURQEAAABRRi8TBQAAAAkxLzExLzIwMTYAWM8SDjUJ1ggMPoUONQnWCCdDSVEuTkFTREFRR1M6S1VSQS5JUV9CRVRBXzFZUi43LzMxLzIwMTgBAAAAuMvaEAIAAAAQMS42NjYzMzgzOTM3NTE0OADWjBE4CAnWCHMknW80CdYIPUNJUS5OQVNEQVFHTTpBUlFMLklRX1JFVkVOVUVfRVNULkNZMjAyMC43LzMxLzIwMTguQ09OLkYuVVNELkgBAAAA9mEAAAIAAAACMTQBDgAAAAUAAAACMTEBAAAAATACAAAACjEwMDIzODE3NTYDAAAABjEwMDE4MAQAAAABMgYAAAABMAcAAAADMTYwCAAAAAEwCQAAAAExCgAAAAEwCwAAAAsxMDk0NjYyMjQ3MgwAAAABNw0AAAAIOC8xLzIwMTgQAAAACTcvMzEvMjAxONaMETgICdYIcySdbzQJ1ggsQ0lRLklRVFI1MzM2Mzk1MDEuSVFfVFJfVEFSR0VUX0VCSVREQS4uVVNELkgBAAAATbHOHwIAAAAHLTIzLjQ3OAEGAAAABQAAAAIzNwEAAAAKMTg1Mzk0NzkxNgIAAAAFMjE2NzcDAAAAAzE2MAQAAAABMAcAAAAIMS8xLzE5MDAMbRAONQnWCMDbgg41CdYIO0NJUS5OQVNEQVFHUzpGUFJYLklRX0VCSVRfTUFS</t>
  </si>
  <si>
    <t>R0lOLjIwMDAuNy8zMS8yMDE4LkxGUi5GLlVTRC5IAQAAADddMwACAAAACS0yMjQuNDM3OAEIAAAABQAAAAExAQAAAAoxODg3NDAyMjI3AwAAAAMxNjACAAAABDQwNTMEAAAAATAHAAAACTcvMzEvMjAxOAgAAAAJMy8zMS8yMDE4CQAAAAEw1owROAgJ1ggZ6aFvNAnWCCJDSVEuTkFTREFRR1M6TksuSVFfRUZGRUNUX1RBWF9SQVRFAQAAAA19oQ8DAAAAAk5NAQgAAAAFAAAAATEBAAAACjE4OTg4NDY1MjEDAAAAAzE2MAIAAAAENDM3NgQAAAABMAcAAAAJOC8yMy8yMDE4CAAAAAk2LzMwLzIwMTgJAAAAATDWjBE4CAnWCANAv4s0CdYIM0NJUS5YVFJBOk1PUi5JUV9FQklUREEuQ1kyMDE2LjcvMzEvMjAxOC5MRlIuRi5VU0QuSAEAAADfEQIAAgAAAAotNDkuNTA2NjM5AQgAAAAFAAAAATEBAAAACjE4NzgzMjMxNTQDAAAAAzE2MAIAAAAENDA1MQQAAAABMAcAAAAJNy8zMS8yMDE4CAAAAAoxMi8zMS8yMDE2CQAAAAEwnAvVOAgJ1gjUX5hvNAnWCDtDSVEuTkFTREFRQ006TVRFTS5JUV9UT1RBTF9SRVYuQ1kyMDE2LjcvMzEvMjAxOC5MRlIuRi5VU0QuSAEAAACZm6kBAgAAAAQxLjg4AQgAAAAFAAAAATEBAAAACjE4ODExMTg3NDQDAAAAAzE2MAIAAAACMjgEAAAAATAHAAAACTcvMzEvMjAxOAgAAAAKMTIvMzEvMjAxNgkAAAABMMgwsjcICdYIGemhbzQJ1ggjQ0lRLklRVFI0MDg0MDc4MjIuSVFfVFJfVE9UQUxf</t>
  </si>
  <si>
    <t>U1RPQ0sBAAAADs9XGAIAAAAAALKzSW80CdYIgf2VbzQJ1gg9Q0lRLk5BU0RBUUdNOk5MTksuSVFfUkVWRU5VRV9FU1QuQ1kyMDIwLjcvMTYvMjAxOC5DT04uRi5VU0QuSAEAAACVe4wAAgAAAAYxNC44NzUBDgAAAAUAAAACMTEBAAAAATACAAAACjEwMDE0MjU0NTYDAAAABjEwMDE4MAQAAAABMgYAAAABMAcAAAADMTYwCAAAAAEwCQAAAAExCgAAAAEwCwAAAAsxMTAwODI4NTgxMgwAAAABNw0AAAAJNy8xNy8yMDE4EAAAAAk3LzE2LzIwMTgpHJQQNQnWCOR0WxI1CdYIQ0NJUS4oSU5WQUxJRCBJREVOVElGSUVSKS5JUV9FQVJOSU5HX0NPLkNZMjAxNy43LzMxLzIwMTguTEZSLkYuVVNELkgFAAAAAAAAAAgAAAAUKEludmFsaWQgSWRlbnRpZmllcinIMLI3CAnWCO02sG80CdYIK0NJUS5JUVRSNDMxODQxNTgxLklRX1RSX0lNUExJRURfRVZfRUJJVF9GV0QBAAAALWG9GQIAAAAAAAxtEA41CdYIDD6FDjUJ1ggyQ0lRLkFTWDpJTVUuSVFfRUJJVERBLkNZMjAxNi43LzE2LzIwMTguTEZSLkYuVVNELkgBAAAAmJOpAAIAAAAJLTIuMjUwNTEzAQgAAAAFAAAAATEBAAAACjE4NzczMDU4NzMDAAAAAzE2MAIAAAAENDA1MQQAAAABMAcAAAAJNy8xNi8yMDE4CAAAAAoxMi8zMS8yMDE2CQAAAAEwKRyUEDUJ1ggw110SNQnWCDxDSVEuTkFTREFRR1M6QkdORS5JUV9FQklUREFfRVNULkNZMjAxOC43LzMxLzIwMTguQ09O</t>
  </si>
  <si>
    <t>LkYuVVNELkgBAAAA4OTdBgIAAAAKLTM1Mi41MDcyNwEOAAAABQAAAAIxMQEAAAABMAIAAAAKMTAwMzMyNjI2MwMAAAAGMTAwMTg3BAAAAAEyBgAAAAEwBwAAAAMxNjAIAAAAATAJAAAAATEKAAAAATALAAAACzEwOTg2NjY0OTQzDAAAAAE3DQAAAAg4LzEvMjAxOBAAAAAJNy8zMS8yMDE4nAvVOAgJ1giB/ZVvNAnWCDVDSVEuTkFTREFRR1M6RlBSWC5JUV9DQVBFWC4xOTk2LjcvMzEvMjAxOC5MRlIuRi5VU0QuSAEAAAA3XTMAAgAAAAYtMy45NjIBCAAAAAUAAAABMQEAAAAKMTg4NzQwMjIyNAMAAAADMTYwAgAAAAQyMDIxBAAAAAEwBwAAAAk3LzMxLzIwMTgIAAAACTMvMzEvMjAxNwkAAAABMNaMETgICdYIGemhbzQJ1ggoQ0lRLk5BU0RBUUdTOk1SU04uSVFfVEVWLjcvMzEvMjAxOC5VU0QuSAEAAADmxRgAAgAAAAoxNjIuMjgyODY1AQYAAAAFAAAAATEBAAAACjE4ODkwOTQxMDADAAAAAzE2MAIAAAAGMTAwMDYwBAAAAAEwBwAAAAk3LzMxLzIwMTjWjBE4CAnWCMOGn280CdYIOkNJUS5OQVNEQVFDTTpTUk5FLklRX0VBUk5JTkdfQ08uMTk5Mi43LzMxLzIwMTguTEZSLkYuVVNELkgBAAAASUOUAwIAAAAHLTU2LjkyMwEIAAAABQAAAAExAQAAAAoxODQyMjUxMTIzAwAAAAMxNjACAAAAATcEAAAAATAHAAAACTcvMzEvMjAxOAgAAAAJMy8zMS8yMDE2CQAAAAEw1owROAgJ1ghzJJ1vNAnWCDFDSVEuSVFUUjQz</t>
  </si>
  <si>
    <t>MTg0MTU4MS5JUV9UUl9UQVJHRVRfUkVWRU5VRV9FU1QuLlVTRC5IAQAAAC1hvRkCAAAAAAAMbRAONQnWCAw+hQ41CdYIK0NJUS5JUVRSNDA5OTUxODg2LklRX1RSX1RPVEFMX0dST1NTX1RWLi5VU0QBAAAAjl5vGAIAAAACMzUBBgAAAAUAAAACNTQBAAAABjEwMjA4OAIAAAAJNDA5OTUxODg2AwAAAAk0MDk5NTE5MzYEAAAAAzE2MAYAAAAFRmFsc2UMbRAONQnWCMDbgg41CdYIP0NJUS5OQVNEQVFHUzpUU1JPLklRX0VCSVREQV81WVJfQU5OX0NBR1IuLjcvMTYvMjAxOC5MRlIuRi5VU0QuSAEAAABo1lgGAwAAAAJOTQEIAAAABQAAAAExAQAAAAoxODg2MzM3NDY2AwAAAAMxNjACAAAABDQyMzUEAAAAATAHAAAACTcvMTYvMjAxOAgAAAAJMy8zMS8yMDE4CQAAAAEwxP8bETUJ1ggS/mQSNQnWCD1DSVEuKElOVkFMSUQgSURFTlRJRklFUikuSVFfRUFSTklOR19DTy4uNy8xNi8yMDE4LkxGUi5GLlVTRC5IBQAAAAAAAAAIAAAAFChJbnZhbGlkIElkZW50aWZpZXIp3qd+EDUJ1giYElkSNQnWCC5DSVEuSVFUUjU2MTYwNjM2NS5JUV9UUl9UQVJHRVRfU1RPQ0tQUkVNSVVNXzFXAQAAAN1ueSECAAAAAACys0lvNAnWCDWbk280CdYIIUNJUS5OQVNEQVFHTTpGQVRFLklRX0NPTVBBTllfTkFNRQEAAABoMVcCAwAAABdGYXRlIFRoZXJhcGV1dGljcywgSW5jLgDWjBE4CAnWCHsd7IE0CdYIR0NJUS5OQVNEQVFHUzpN</t>
  </si>
  <si>
    <t>UlNOLklRX01JTk9SSVRZX0lOVEVSRVNUX1RPVEFMLjIwMDAuNy8zMS8yMDE4LkxGUi5GLlVTRC5IAQAAAObFGAADAAAAAADWjBE4CAnWCMOGn280CdYIMENJUS5OQVNEQVFHUzpCR05FLklRX1RPVEFMX1JFVi4yMDAwLi5MRlIuRi5VU0QuSAEAAADg5N0GAgAAAAczNDAuMDQyAQgAAAAFAAAAATEBAAAACjE4OTk5MDA2MzEDAAAAAzE2MAIAAAACMjgEAAAAATAHAAAACTgvMjMvMjAxOAgAAAAJNi8zMC8yMDE4CQAAAAEwnAvVOAgJ1gicC9U4CAnWCDVDSVEuTkFTREFRR006QVJRTC5JUV9DQVBFWC4xOTkyLjcvMzEvMjAxOC5MRlIuRi5VU0QuSAEAAAD2YQAAAgAAAAYtMC4yNjMBCAAAAAUAAAABMQEAAAAKMTg0MTk5MjU2OQMAAAADMTYwAgAAAAQyMDIxBAAAAAEwBwAAAAk3LzMxLzIwMTgIAAAACTMvMzEvMjAxNgkAAAABMNaMETgICdYIcySdbzQJ1gg3Q0lRLk5BU0RBUUdTOkJHTkUuSVFfRUJJVF9NQVJHSU4uLjcvMTYvMjAxOC5MRlIuRi5VU0QuSAEAAADg5N0GAgAAAAgtNTguMjE1NQEIAAAABQAAAAExAQAAAAoxODg3Njg4NTg4AwAAAAMxNjACAAAABDQwNTMEAAAAATAHAAAACTcvMTYvMjAxOAgAAAAJMy8zMS8yMDE4CQAAAAEwxP8bETUJ1ghoYGcSNQnWCDlDSVEuRU5YVFBBOklQSC5JUV9FQklUREFfRVNULkNZMjAyMC43LzE2LzIwMTguQ09OLkYuVVNELkgBAAAAmYAGAAIAAAARLTE3Ljc2ODc5</t>
  </si>
  <si>
    <t>NzU3MDI4MzQBDgAAAAUAAAACMTEBAAAAATACAAAACjEwMDE2NDMzOTMDAAAABjEwMDE4NwQAAAABMwYAAAABMAcAAAADMTYwCAAAAAEwCQAAAAExCgAAAAEwCwAAAAsxMDk1Mzg0MjMxMQwAAAABNw0AAAAJNy8xNy8yMDE4EAAAAAk3LzE2LzIwMTgpHJQQNQnWCHM5YBI1CdYIKkNJUS5BU1g6SU1VLklRX0xBU1RTQUxFUFJJQ0UuNy8xNi8yMDE4LlVTRAEAAACYk6kAAgAAAAgwLjAxOTI4MgApHJQQNQnWCDDXXRI1CdYIHENJUS5YVFJBOk1PUi5JUV9DT01QQU5ZX05BTUUBAAAA3xECAAMAAAAMTW9ycGhvU3lzIEFHAJwL1TgICdYI1F+YbzQJ1gg+Q0lRLk5BU0RBUUdTOkFUTlguSVFfVE9UQUxfRVFVSVRZLkNZMjAxNy43LzMxLzIwMTguTEZSLkYuVVNELkgBAAAA3JlrAQIAAAAGOTAuNzIyAQgAAAAFAAAAATEBAAAACjE4Nzk5MDc2MzUDAAAAAzE2MAIAAAAEMTI3NQQAAAABMAcAAAAJNy8zMS8yMDE4CAAAAAoxMi8zMS8yMDE3CQAAAAEw1owROAgJ1ggkwppvNAnWCC5DSVEuTkFTREFRQ006Q0tQVC5JUV9NQVJLRVRDQVAuNy8xNi8yMDE4LlVTRC5IAQAAALhRFhECAAAACTgyLjU5ODkyNwEGAAAABQAAAAExAQAAAAoxODg4MDA3MTg3AwAAAAMxNjACAAAABjEwMDA1NAQAAAABMAcAAAAJNy8xNi8yMDE4KRyUEDUJ1ggw110SNQnWCC9DSVEuSVFUUjQwOTk1MTg4Ni5JUV9UUl9JTVBMSUVEX0VWX0ZJTkFM</t>
  </si>
  <si>
    <t>Li5VU0QuSAEAAACOXm8YAgAAAAkzMS42NzM4NzIBBgAAAAUAAAACNTQBAAAABjEwMjA0NQIAAAAJNDA5OTUxODg2AwAAAAk0MDk5NTE5MzYEAAAAAzE2MAYAAAAFRmFsc2UMbRAONQnWCMDbgg41CdYIL0NJUS5JUVRSNDExODcxMDgyLklRX1RSX1RBUkdFVF9UT1RBTF9SRVYuLlVTRC5IAQAAAGqnjBgCAAAAAACys0lvNAnWCDWbk280CdYIJ0NJUS5OQVNEQVFHUzpUU1JPLklRX1BFUklPRERBVEVfSVMuMTAwMAEAAABo1lgGBQAAAAoxMi8zMS8yMDE3AJwL1TgICdYIJMKabzQJ1ggfQ0lRLk5BU0RBUUdTOk9CU1YuSVFfTUFSS0VUQ0FQLgEAAABWh58OAgAAAAo1MjcuMzMwMTQ4AQYAAAAFAAAAATEBAAAACjE5MDAwMTg2NDQDAAAAAzE2MAIAAAAGMTAwMDU0BAAAAAEwBwAAAAk4LzIyLzIwMThJU0dvNAnWCPsK2YE0CdYII0NJUS5JUVRSNDAzNzkxNzY3LklRX1RSX1RPVEFMX1NUT0NLAQAAAJdfERgCAAAAAABYzxIONQnWCMDbgg41CdYIQ0NJUS5OQVNEQVFHUzpGUFJYLklRX0VCSVREQV8zWVJfQU5OX0NBR1IuMjAwMC43LzMxLzIwMTguTEZSLkYuVVNELkgBAAAAN10zAAMAAAACTk0BCAAAAAUAAAABMQEAAAAKMTg4NzQwMjIyNwMAAAADMTYwAgAAAAQ0MjIyBAAAAAEwBwAAAAk3LzMxLzIwMTgIAAAACTMvMzEvMjAxOAkAAAABMMgwsjcICdYIGemhbzQJ1ggjQ0lRLklRVFIyNTM5NTQ0NzMuSVFfVFJf</t>
  </si>
  <si>
    <t>VE9UQUxfU1RPQ0sBAAAAqQkjDwIAAAAAALKzSW80CdYINZuTbzQJ1gg9Q0lRLk5BU0RBUUNNOlNSTkUuSVFfUkVWRU5VRV9FU1QuQ1kyMDIxLjcvMzEvMjAxOC5DT04uRi5VU0QuSAEAAABJQ5QDAgAAAAgyMzAuMjMzNQEOAAAABQAAAAIxMQEAAAABMAIAAAAKMTAwMjQ4MTkzNAMAAAAGMTAwMTgwBAAAAAEyBgAAAAEwBwAAAAMxNjAIAAAAATAJAAAAATEKAAAAATALAAAACzEwOTQ1NjMxMjUyDAAAAAE3DQAAAAg4LzEvMjAxOBAAAAAJNy8zMS8yMDE41owROAgJ1ghzJJ1vNAnWCEBDSVEuT1RDUEs6TldCTy5JUV9NSU5PUklUWV9JTlRFUkVTVF9UT1RBTC4uOS8xNS8yMDE3LkxGUi5GLlVTRC5IAQAAAKN6FAADAAAAAAApHJQQNQnWCDDXXRI1CdYIJ0NJUS5OQVNEQVFHUzpBVE5YLklRX1BFUklPRERBVEVfSVMuMTAwMAEAAADcmWsBBQAAAAoxMi8zMS8yMDE3ANaMETgICdYIJMKabzQJ1ggjQ0lRLklRVFI0MDc3NjA2OTIuSVFfVFJfQ0xPU0VEX0RBVEUBAAAANO9NGAUAAAAKMTIvMjAvMjAxNgAMbRAONQnWCAw+hQ41CdYIPENJUS5OQVNEQVFHUzpUU1JPLklRX0VBUk5JTkdfQ08uQ1kyMDE2LjcvMTYvMjAxOC5MRlIuRi5VU0QuSAEAAABo1lgGAgAAAAgtMzc0LjIyNAEIAAAABQAAAAExAQAAAAoxODc3MjI2Mjg0AwAAAAMxNjACAAAAATcEAAAAATAHAAAACTcvMTYvMjAxOAgAAAAKMTIvMzEvMjAxNgkA</t>
  </si>
  <si>
    <t>AAABMMT/GxE1CdYIEv5kEjUJ1ggvQ0lRLklRVFI0MDgyOTEzOTUuSVFfVFJfSU1QTElFRF9FVl9GSU5BTC4uVVNELkgBAAAAQwhWGAIAAAAKNDI1Ljg3ODY1MwEGAAAABQAAAAI1NAEAAAAGMTAyMDQ1AgAAAAk0MDgyOTEzOTUDAAAACTQwODMwNDAxMwQAAAADMTYwBgAAAAVGYWxzZVjPEg41CdYIwNuCDjUJ1ghCQ0lRLk5BU0RBUUdTOkFOQUIuSVFfVE9UQUxfUkVWXzJZUl9BTk5fQ0FHUi4uNy8xNi8yMDE4LkxGUi5GLlVTRC5IAQAAACFMsgECAAAACC0yNi4xNTg1AQgAAAAFAAAAATEBAAAACjE4ODc0MDAwNDMDAAAAAzE2MAIAAAAENDIwNwQAAAABMAcAAAAJNy8xNi8yMDE4CAAAAAkzLzMxLzIwMTgJAAAAATDE/xsRNQnWCMKbYhI1CdYISUNJUS4oSU5WQUxJRCBJREVOVElGSUVSKS5JUV9UT1RBTF9SRVZfMllSX0FOTl9DQUdSLi43LzE2LzIwMTguTEZSLkYuVVNELkgFAAAAAAAAAAgAAAAUKEludmFsaWQgSWRlbnRpZmllcinep34QNQnWCJgSWRI1CdYIMUNJUS5JUVRSNDIyODg3NzAxLklRX1RSX1RBUkdFVF9SRVZFTlVFX0VTVC4uVVNELkgBAAAAFcE0GQIAAAAAAAxtEA41CdYIwNuCDjUJ1gg+Q0lRLk5BU0RBUUdTOkZQUlguSVFfVE9UQUxfRVFVSVRZLkNZMjAxNy43LzE2LzIwMTguTEZSLkYuVVNELkgBAAAAN10zAAIAAAAHMjY1LjIwMgEIAAAABQAAAAExAQAAAAoxODc2MTM1OTkxAwAAAAMx</t>
  </si>
  <si>
    <t>NjACAAAABDEyNzUEAAAAATAHAAAACTcvMTYvMjAxOAgAAAAKMTIvMzEvMjAxNwkAAAABMCkclBA1CdYIczlgEjUJ1ggoQ0lRLk5BU0RBUUdTOkNBTEEuSVFfVEVWLjcvMTYvMjAxOC5VU0QuSAEAAAClJ4EGAgAAAAkxNy41MDYwMjQBBgAAAAUAAAABMQEAAAAKMTg4Nzk3OTcwNwMAAAADMTYwAgAAAAYxMDAwNjAEAAAAATAHAAAACTcvMTYvMjAxOCkclBA1CdYI5HRbEjUJ1ggwQ0lRLi5JUV9FQklUREFfTUFSR0lOLjIwMDAuNy8zMS8yMDE4LkxGUi5GLlVTRC5IBQAAAAEAAAAIAAAAFChJbnZhbGlkIElkZW50aWZpZXIp9YQyRzQJ1gj1hDJHNAnWCDhDSVEuTkFTREFRR1M6QU5BQi5JUV9HUk9TU19NQVJHSU4uLjcvMTYvMjAxOC5MRlIuRi5VU0QuSAEAAAAhTLIBAgAAAActMjMzLjE4AQgAAAAFAAAAATEBAAAACjE4ODc0MDAwNDMDAAAAAzE2MAIAAAAENDA3NAQAAAABMAcAAAAJNy8xNi8yMDE4CAAAAAkzLzMxLzIwMTgJAAAAATDE/xsRNQnWCMKbYhI1CdYIOUNJUS5PVENQSzpOV0JPLklRX0VBUk5JTkdfQ08uQ1kyMDE2LjcvMTYvMjAxOC5MRlIuRi5VU0QuSAEAAACjehQAAgAAAActODAuMjE0AQgAAAAFAAAAATEBAAAACjE4ODMyNDkwNjUDAAAAAzE2MAIAAAABNwQAAAABMAcAAAAJNy8xNi8yMDE4CAAAAAoxMi8zMS8yMDE2CQAAAAEwKRyUEDUJ1ggw110SNQnWCChDSVEuTkFTREFRR006Q1JJUy5J</t>
  </si>
  <si>
    <t>UV9URVYuNy8zMS8yMDE4LlVTRC5IAQAAABdqAAACAAAACTQzLjMwMzIzOQEGAAAABQAAAAExAQAAAAoxODg2MjQ2NzQ5AwAAAAMxNjACAAAABjEwMDA2MAQAAAABMAcAAAAJNy8zMS8yMDE4yDCyNwgJ1gjdS6RvNAnWCCpDSVEuSVFUUjMwNzg2Mzk4NC5JUV9UUl9UQVJHRVRfRUJJVC4uVVNELkgBAAAAsKFZEgIAAAAAAFjPEg41CdYIwNuCDjUJ1gglQ0lRLklRVFI1NTExNjYyOTIuSVFfVFJfTUFKX01JTl9TVEFLRQEAAABUIdogAwAAAAhNYWpvcml0eQAMbRAONQnWCMDbgg41CdYIOkNJUS5OQVNEQVFHUzpNUlNOLklRX1RPVEFMX0RFQlQuMjAwMC43LzMxLzIwMTguTEZSLkYuVVNELkgBAAAA5sUYAAIAAAABMAEIAAAABQAAAAExAQAAAAoxODg5MDk2NjUzAwAAAAMxNjACAAAABDQxNzMEAAAAATAHAAAACTcvMzEvMjAxOAgAAAAJMy8zMS8yMDE4CQAAAAEw1owROAgJ1gjDhp9vNAnWCCdDSVEuTkFTREFRR1M6VFNSTy5JUV9CRVRBXzFZUi43LzMxLzIwMTgBAAAAaNZYBgIAAAAQMS4wMDk1MjY3NzQ5MDE3OQCcC9U4CAnWCCTCmm80CdYINUNJUS5OQVNEQVFHUzpDVE1YLklRX05JX01BUkdJTi4uNy8xNi8yMDE4LkxGUi5GLlVTRC5IAQAAANw4mwMCAAAABy02Ny44NzkBCAAAAAUAAAABMQEAAAAKMTg4NzY3NTMxNgMAAAADMTYwAgAAAAQ0MDk0BAAAAAEwBwAAAAk3LzE2LzIwMTgIAAAACTMvMzEvMjAx</t>
  </si>
  <si>
    <t>OAkAAAABMMT/GxE1CdYIwptiEjUJ1gg3Q0lRLk9UQ1BLOk5XQk8uSVFfQ0FTSF9TVF9JTlZFU1QuLjcvMTYvMjAxOC5MRlIuRi5VU0QuSAEAAACjehQAAgAAAAUwLjE5OAEIAAAABQAAAAExAQAAAAoxODg5MzAyODI0AwAAAAMxNjACAAAABDEwMDIEAAAAATAHAAAACTcvMTYvMjAxOAgAAAAJMy8zMS8yMDE4CQAAAAEwKRyUEDUJ1ghzOWASNQnWCDpDSVEuTkFTREFRR1M6TksuSVFfRUJJVERBX0VTVC5DWTIwMjAuNy8zMS8yMDE4LkNPTi5GLlVTRC5IAQAAAA19oQ8DAAAAAADWjBE4CAnWCMOGn280CdYIKUNJUS5JUVRSNTUwMjU5Mzk3LklRX0JVU0lORVNTX0RFU0NSSVBUSU9OAQAAAE4KDA8DAAAAyw9KdW5vIFRoZXJhcGV1dGljcywgSW5jLiBkZXZlbG9wcyBjZWxsLWJhc2VkIGNhbmNlciBpbW11bm90aGVyYXBpZXMgYmFzZWQgb24gaXRzIGNoaW1lcmljIGFudGlnZW4gcmVjZXB0b3IgYW5kIFQgY2VsbCByZWNlcHRvciB0ZWNobm9sb2dpZXMgdG8gZ2VuZXRpY2FsbHkgZW5naW5lZXIgVCBjZWxscyB0byByZWNvZ25pemUgYW5kIGtpbGwgY2FuY2VyIGNlbGxzLiBJdHMgQ0QxOSBwcm9kdWN0IGNhbmRpZGF0ZXMgaW5jbHVkZSBKQ0FSMDE3IHRoYXQgaXMgaW4gUGhhc2UgSS9JSSB0cmlhbHMgZm9yIGFkdWx0cyB3aXRoIHJlbGFwc2VkIG9yIHJlZnJhY3RvcnkgKHIvcikgQiBjZWxsIGFnZ3Jlc3Np</t>
  </si>
  <si>
    <t>dmUgbm9uLUhvZGdraW4gbHltcGhvbWEgKE5ITCkgYW5kIHBlZGlhdHJpYyBwYXRpZW50cyB3aXRoIHIvciBCIGNlbGwgYWN1dGUgbHltcGhvYmxhc3RpYyBsZXVrZW1pYSAoQUxMKTsgYW5kIEpDQVIwMTQsIHdoaWNoIGlzIGluIFBoYXNlIEkvSUkgdHJpYWxzIHRvIHRyZWF0IEIgY2VsbCBtYWxpZ25hbmNpZXMgaW4gcGF0aWVudHMgcmVsYXBzZWQgb3IgcmVmcmFjdG9yeSB0byBzdGFuZGFyZCB0aGVyYXBpZXMuIFRoZSBjb21wYW554oCZcyBDRDIyIHByb2R1Y3QgY2FuZGlkYXRlIGNvbXByaXNlIEpDQVIwMTggdGhhdCBpcyBpbiBQaGFzZSBJIHRyaWFsIGZvciBwZWRpYXRyaWMgYW5kIHlvdW5nIGFkdWx0IHBhdGllbnRzIHdpdGggQ0QyMi1wb3NpdGl2ZSByL3IgQUxMIG9yIHIvciBOSEwuIEl0cyBhZGRpdGlvbmFsIHByb2R1Y3QgY2FuZGlkYXRlcyBpbmNsdWRlIENEMTcxLCBhIGNlbGwtc3VyZmFjZSBhZGhlc2lvbiBtb2xlY3VsZSBmb3IgbmV1cm9ibGFzdG9tYTsgTGV3aXMgWSBmb3IgdGhlIHRyZWF0bWVudCBvZiBsdW5nIGNhbmNlcjsgSkNBUjAyMywgd2hpY2ggaXMgaW4gUGhhc2UgSSB0cmlhbCBmb3IgcmVmcmFjdG9yeSBvciByZWN1cnJlbnQgcGVkaWF0cmljIG5ldXJvYmxhc3RvbWE7IE1VQy0xNiBwcm90ZWluIGZvciBvdmFyaWFuIGNhbmNlcnM7IGFuZCBJTC0xMiwgYSBjeXRva2lu</t>
  </si>
  <si>
    <t>ZSB0byBvdmVyY29tZSB0aGUgaW5oaWJpdG9yeSBlZmZlY3RzLiBUaGUgY29tcGFueeKAmXMgYWRkaXRpb25hbCBwcm9kdWN0IGNhbmRpZGF0ZXMgYWxzbyBjb21wcmlzZSBST1ItMSBwcm90ZWluIGZvciBub24tc21hbGwgY2VsbCBsdW5nLCB0cmlwbGUgbmVnYXRpdmUgYnJlYXN0LCBwYW5jcmVhdGljLCBhbmQgcHJvc3RhdGUgY2FuY2VyczsgV1QtMSwgYW4gaW50cmFjZWxsdWxhciBwcm90ZWluIHRoYXQgaXMgaW4gUGhhc2UgSS9JSSBjbGluaWNhbCB0cmlhbHM7IEhQViBlNi9lNyBmb3IgY2FuY2VyczsgYW5kIElMMTNyYTIgZm9yIGdsaW9ibGFzdG9tYS4gSnVubyBUaGVyYXBldXRpY3MsIEluYy4gaGFzIGNvbGxhYm9yYXRpb24gYWdyZWVtZW50cyB3aXRoIENlbGdlbmUgQ29ycG9yYXRpb24sIEZyZWQgSHV0Y2hpbnNvbiBDYW5jZXIgUmVzZWFyY2ggQ2VudGVyLCBNZW1vcmlhbCBTbG9hbiBLZXR0ZXJpbmcgQ2FuY2VyIENlbnRlciwgU3QuIEp1ZGUgQ2hpbGRyZW7igJlzIFJlc2VhcmNoIEhvc3BpdGFsL05vdmFydGlzLCBTZWF0dGxlIENoaWxkcmVu4oCZcyBSZXNlYXJjaCBJbnN0aXR1dGUsIE9wdXMgQmlvLCBJbmMuLCBGYXRlIFRoZXJhcGV1dGljcywgSW5jLiwgRWRpdGFzIE1lZGljaW5lLCBJbmMuLCBhbmQgSlcgKENheW1hbikgVGhlcmFwZXV0aWNzIENvLiwgTHRkLiBUaGUgY29tcGFu</t>
  </si>
  <si>
    <t>eSB3YXMgZm9ybWVybHkga25vd24gYXMgRkMgVGhlcmFwZXV0aWNzLCBJbmMuIGFuZCBjaGFuZ2VkIGl0cyBuYW1lIHRvIEp1bm8gVGhlcmFwZXV0aWNzLCBJbmMuIGluIE9jdG9iZXIgMjAxMy4gSnVubyBUaGVyYXBldXRpY3MsIEluYy4gd2FzIGZvdW5kZWQgaW4gMjAxMyBhbmQgaXMgaGVhZHF1YXJ0ZXJlZCBpbiBTZWF0dGxlLCBXYXNoaW5ndG9uLiBBcyBvZiBNYXJjaCA2LCAyMDE4LCBKdW5vIFRoZXJhcGV1dGljcywgSW5jLiBvcGVyYXRlcyBhcyBhIHN1YnNpZGlhcnkgb2YgQ2VsZ2VuZSBDb3Jwb3JhdGlvbi4ADG0QDjUJ1gh3eYAONQnWCDdDSVEuTkFTREFRR1M6RlBSWC5JUV9QUkVGX0VRVUlUWS4uNy8xNi8yMDE4LkxGUi5GLlVTRC5IAQAAADddMwADAAAAAAApHJQQNQnWCHM5YBI1CdYIOkNJUS5OQVNEQVFHUzpFUFpNLklRX0VBUk5JTkdfQ08uMTk5Ni43LzMxLzIwMTguTEZSLkYuVVNELkgBAAAAAyY9AwIAAAAILTExOS44NTUBCAAAAAUAAAABMQEAAAAKMTg4NzI0NjA0OQMAAAADMTYwAgAAAAE3BAAAAAEwBwAAAAk3LzMxLzIwMTgIAAAACTMvMzEvMjAxNwkAAAABMNaMETgICdYIcySdbzQJ1gg6Q0lRLk9UQ1BLOk1CVlguSVFfUkVWRU5VRV9FU1QuQ1kyMDIwLjcvMTYvMjAxOC5DT04uRi5VU0QuSAEAAADYRIsCAwAAAAAA3qd+EDUJ1giYElkSNQnWCDlDSVEuTkFTREFRR1M6RlBSWC5J</t>
  </si>
  <si>
    <t>UV9UT1RBTF9ERUJULjIwMDAuNS81LzIwMTcuTEZSLkYuVVNELkgBAAAAN10zAAIAAAABMAEIAAAABQAAAAExAQAAAAoxODQwNTY1ODM2AwAAAAMxNjACAAAABDQxNzMEAAAAATAHAAAACDUvNS8yMDE3CAAAAAkzLzMxLzIwMTcJAAAAATDIMLI3CAnWCBnpoW80CdYIOENJUS5OQVNEQVFHUzpTR0VOLklRX0dST1NTX01BUkdJTi4uNy8xNi8yMDE4LkxGUi5GLlVTRC5IAQAAAGGFAAACAAAABy02Ljg3MTcBCAAAAAUAAAABMQEAAAAKMTg4NDg5Mjg1MgMAAAADMTYwAgAAAAQ0MDc0BAAAAAEwBwAAAAk3LzE2LzIwMTgIAAAACTMvMzEvMjAxOAkAAAABMMT/GxE1CdYIaGBnEjUJ1gg8Q0lRLk5BU0RBUUdTOkdUSFguSVFfRUFSTklOR19DTy5DWTIwMTcuNy8zMS8yMDE4LkxGUi5GLlVTRC5IAQAAAGU0aQgCAAAABy02MC4xMjEBCAAAAAUAAAABMQEAAAAKMTg3NTMyNzMwNgMAAAADMTYwAgAAAAE3BAAAAAEwBwAAAAk3LzMxLzIwMTgIAAAACjEyLzMxLzIwMTcJAAAAATDWjBE4CAnWCCTCmm80CdYIJUNJUS5JUVRSNDA4NDA3ODIyLklRX1BSSU1BUllfSU5EVVNUUlkBAAAA4M5XGAMAAAANQmlvdGVjaG5vbG9neQCys0lvNAnWCIH9lW80CdYILENJUS5JUVRSNDA5OTUxODg2LklRX1RSX1RBUkdFVF9FQklUREEuLlVTRC5IAQAAAI5ebxgCAAAAAAAMbRAONQnWCMDbgg41CdYIO0NJUS5PVENQSzpNQlZYLklRX1RP</t>
  </si>
  <si>
    <t>VEFMX0VRVUlUWS5DWTIwMTcuNy8xNi8yMDE4LkxGUi5GLlVTRC5IAQAAANhEiwICAAAABzEuMTMwNDQBCAAAAAUAAAABMQEAAAAKMTg4MTIxMzI0NQMAAAADMTYwAgAAAAQxMjc1BAAAAAEwBwAAAAk3LzE2LzIwMTgIAAAACjEyLzMxLzIwMTcJAAAAATDep34QNQnWCJgSWRI1CdYIO0NJUS5OQVNEQVFHUzpOSy5JUV9SRVZFTlVFX0VTVC5DWTIwMjEuNy8zMS8yMDE4LkNPTi5GLlVTRC5IAQAAAA19oQ8CAAAABDQwLjYBDgAAAAUAAAACMTEBAAAAATACAAAACjEwMDMxNjQ4MTYDAAAABjEwMDE4MAQAAAABMgYAAAABMAcAAAADMTYwCAAAAAEwCQAAAAExCgAAAAEwCwAAAAsxMDc4NzkwNzU0MwwAAAABNw0AAAAIOC8xLzIwMTgQAAAACTcvMzEvMjAxONaMETgICdYIw4afbzQJ1gghQ0lRLi5JUV9UUl9UQVJHRVRfU1RPQ0tQUkVNSVVNXzFNBQAAAAAAAAAIAAAAFChJbnZhbGlkIElkZW50aWZpZXIpnAvVOAgJ1gh3eYAONQnWCD5DSVEuTkFTREFRR006Q1JWUy5JUV9DQVNIX1NUX0lOVkVTVC4yMDAwLjcvMzEvMjAxOC5MRlIuRi5VU0QuSAEAAAD0sKYQAgAAAAcxNDMuOTMzAQgAAAAFAAAAATEBAAAACjE4ODYzNjc1OTEDAAAAAzE2MAIAAAAEMTAwMgQAAAABMAcAAAAJNy8zMS8yMDE4CAAAAAkzLzMxLzIwMTgJAAAAATDWjBE4CAnWCBnpoW80CdYIPUNJUS5OQVNEQVFHUzpFUFpNLklRX1JFVkVOVUVfRVNU</t>
  </si>
  <si>
    <t>LkNZMjAyMC43LzMxLzIwMTguQ09OLkYuVVNELkgBAAAAAyY9AwIAAAAJMTIxLjA4MDY3AQ4AAAAFAAAAAjExAQAAAAEwAgAAAAoxMDAxODY0MjY4AwAAAAYxMDAxODAEAAAAATIGAAAAATAHAAAAAzE2MAgAAAABMAkAAAABMQoAAAABMAsAAAALMTA5ODcxNDM3MDUMAAAAATcNAAAACDgvMS8yMDE4EAAAAAk3LzMxLzIwMTjWjBE4CAnWCHMknW80CdYIO0NJUS5OQVNEQVFHTTpDUklTLklRX1RPVEFMX1JFVi5DWTIwMTcuNy8zMS8yMDE4LkxGUi5GLlVTRC5IAQAAABdqAAACAAAABTkuODk4AQgAAAAFAAAAATEBAAAACjE4NzgwMTE2NTcDAAAAAzE2MAIAAAACMjgEAAAAATAHAAAACTcvMzEvMjAxOAgAAAAKMTIvMzEvMjAxNwkAAAABMMgwsjcICdYI3UukbzQJ1gg2Q0lRLk5BU0RBUUdNOkFGTUQuSVFfVE9UQUxfREVCVC4uNy8xNi8yMDE4LkxGUi5GLlVTRC5IAQAAANv3DAACAAAACDguMDg3OTY0AQgAAAAFAAAAATEBAAAACjE4ODk4NjYwNDkDAAAAAzE2MAIAAAAENDE3MwQAAAABMAcAAAAJNy8xNi8yMDE4CAAAAAkzLzMxLzIwMTgJAAAAATApHJQQNQnWCDDXXRI1CdYIO0NJUS5OQVNEQVFHTTpOTE5LLklRX1RPVEFMX1JFVi5DWTIwMTYuNy8xNi8yMDE4LkxGUi5GLlVTRC5IAQAAAJV7jAACAAAABjM1Ljc2OAEIAAAABQAAAAExAQAAAAoxODc3Mjk4NzA1AwAAAAMxNjACAAAAAjI4BAAAAAEwBwAAAAk3</t>
  </si>
  <si>
    <t>LzE2LzIwMTgIAAAACjEyLzMxLzIwMTYJAAAAATApHJQQNQnWCOR0WxI1CdYIIkNJUS5JUVRSNTYzOTE5MDQ5LklRX1RSX1BDVF9TT1VHSFQBAAAAybicIQIAAAADMTAwAQYAAAAFAAAAAjU0AQAAAAYxMDEwMjQCAAAACTU2MzkxOTA0OQMAAAAJNTYzOTQwMDQyBAAAAAMxNjAGAAAABFRydWUMbRAONQnWCMDbgg41CdYIMUNJUS5JUVRSMjczNTA3MTg1LklRX1RSX1RBUkdFVF9SRVZFTlVFX0VTVC4uVVNELkgBAAAAcWNNEAIAAAAEMC4wNQCys0lvNAnWCIH9lW80CdYINkNJUS5OQVNEQVFHUzpGUFJYLklRX0VCSVREQS4xOTkyLjcvMzEvMjAxOC5MRlIuRi5VU0QuSAEAAAA3XTMAAgAAAAcyNzkuMzc3AQgAAAAFAAAAATEBAAAACjE4NDA1NjU3OTQDAAAAAzE2MAIAAAAENDA1MQQAAAABMAcAAAAJNy8zMS8yMDE4CAAAAAkzLzMxLzIwMTYJAAAAATDWjBE4CAnWCBnpoW80CdYIN0NJUS5OQVNEQVFHUzpBTkFCLklRX1BSRUZfRVFVSVRZLi45LzE1LzIwMTcuTEZSLkYuVVNELkgBAAAAIUyyAQMAAAAAAMT/GxE1CdYIwptiEjUJ1ggwQ0lRLk5BU0RBUUdNOkZBVEUuSVFfTEFTVFNBTEVQUklDRS43LzMxLzIwMTguVVNEAQAAAGgxVwICAAAABDguOTMA1owROAgJ1gjDhp9vNAnWCD1DSVEuTkFTREFRR1M6TUdOWC5JUV9SRVZFTlVFX0VTVC5DWTIwMTkuNy8xNi8yMDE4LkNPTi5GLlVTRC5IAQAAAE8rCQACAAAA</t>
  </si>
  <si>
    <t>CDQ2Ljc5NzA4AQ4AAAAFAAAAAjExAQAAAAEwAgAAAAoxMDAxOTcyOTMwAwAAAAYxMDAxODAEAAAAATIGAAAAATAHAAAAAzE2MAgAAAABMAkAAAABMQoAAAABMAsAAAALMTEwMzM2MzMyMDUMAAAAATcNAAAACTcvMTcvMjAxOBAAAAAJNy8xNi8yMDE4xP8bETUJ1gjCm2ISNQnWCC5DSVEuSVFUUjI3MzUwNzE4NS5JUV9UUl9UQVJHRVRfU1RPQ0tQUkVNSVVNXzFXAQAAAHFjTRACAAAABzg0LjI5MTkBBgAAAAUAAAACNTQBAAAABjEwMTA1NAIAAAAJMjczNTA3MTg1AwAAAAkyNzM1MDc3ODcEAAAAAzE2MAYAAAAFRmFsc2Wys0lvNAnWCIH9lW80CdYILUNJUS5OQVNEQVFHUzpFUFpNLklRX01BUktFVENBUC41LzUvMjAxNy5VU0QuSAEAAAADJj0DAgAAAAo5NTEuMjM5MDY4AQYAAAAFAAAAATEBAAAACjE4MzE3Mjg3NTgDAAAAAzE2MAIAAAAGMTAwMDU0BAAAAAEwBwAAAAg1LzUvMjAxN9aMETgICdYIcySdbzQJ1ghCQ0lRLk5BU0RBUUdNOkxQVFguSVFfVE9UQUxfUkVWXzNZUl9BTk5fQ0FHUi4uNy8xNi8yMDE4LkxGUi5GLlVTRC5IAQAAAAw2CQcDAAAAAAApHJQQNQnWCDDXXRI1CdYIKUNJUS5JUVRSNTMzMzg1NzQ0LklRX1RSX0lNUExJRURfRVFfTklfTFRNAQAAABDSyh8CAAAAAAAMbRAONQnWCMDbgg41CdYIL0NJUS5JUVRSNDA4MjkxMzk1LklRX1RSX1RBUkdFVF9UT1RBTF9SRVYuLlVTRC5IAQAAAEMI</t>
  </si>
  <si>
    <t>VhgCAAAAAABYzxIONQnWCMDbgg41CdYIOUNJUS5OQVNEQVFHUzpGUFJYLklRX1RPVEFMX1JFVi4xOTk2LjcvMzEvMjAxOC5MRlIuRi5VU0QuSAEAAAA3XTMAAgAAAAYzNC4zMDYBCAAAAAUAAAABMQEAAAAKMTg4NzQwMjIyNAMAAAADMTYwAgAAAAIyOAQAAAABMAcAAAAJNy8zMS8yMDE4CAAAAAkzLzMxLzIwMTcJAAAAATDWjBE4CAnWCBnpoW80CdYIO0NJUS5OQVNEQVFHTTpOTE5LLklRX1RPVEFMX1JFVi5DWTIwMTcuNy8xNi8yMDE4LkxGUi5GLlVTRC5IAQAAAJV7jAACAAAABjI4LjcxMQEIAAAABQAAAAExAQAAAAoxODc3Mjk4ODEzAwAAAAMxNjACAAAAAjI4BAAAAAEwBwAAAAk3LzE2LzIwMTgIAAAACjEyLzMxLzIwMTcJAAAAATApHJQQNQnWCOR0WxI1CdYIIUNJUS5JUVRSNTMzMzg1NzQ0LklRX1RSX0JVWUVSTkFNRQEAAAAQ0sofAwAAABxCcmlzdG9sLU15ZXJzIFNxdWliYiBDb21wYW55AAxtEA41CdYId3mADjUJ1gg5Q0lRLk5BU0RBUUdTOk1SU04uSVFfVE9UQUxfUkVWLjIwMDAuNy8zMS8yMDE4LkxGUi5GLlVTRC5IAQAAAObFGAACAAAABjE2LjMxOQEIAAAABQAAAAExAQAAAAoxODg5MDk2NjUzAwAAAAMxNjACAAAAAjI4BAAAAAEwBwAAAAk3LzMxLzIwMTgIAAAACTMvMzEvMjAxOAkAAAABMNaMETgICdYIw4afbzQJ1gg/Q0lRLk9UQ1BLOk5XQk8uSVFfVE9UQUxfUkVWXzJZUl9BTk5fQ0FH</t>
  </si>
  <si>
    <t>Ui4uNy8xNi8yMDE4LkxGUi5GLlVTRC5IAQAAAKN6FAACAAAACC01Mi42MDg5AQgAAAAFAAAAATEBAAAACjE4ODkzMDI4MjQDAAAAAzE2MAIAAAAENDIwNwQAAAABMAcAAAAJNy8xNi8yMDE4CAAAAAkzLzMxLzIwMTgJAAAAATApHJQQNQnWCDDXXRI1CdYINENJUS5OQVNEQVFHUzpOSy5JUV9FQklUREEuMTk5Mi43LzMxLzIwMTguTEZSLkYuVVNELkgBAAAADX2hDwIAAAAILTI1OS4yMDcBCAAAAAUAAAABMQEAAAAKMTg0MDc0MTg1NwMAAAADMTYwAgAAAAQ0MDUxBAAAAAEwBwAAAAk3LzMxLzIwMTgIAAAACTMvMzEvMjAxNgkAAAABMNaMETgICdYIw4afbzQJ1ghDQ0lRLk5BU0RBUUdTOk1SU04uSVFfRUJJVERBXzJZUl9BTk5fQ0FHUi4yMDAwLjcvMzEvMjAxOC5MRlIuRi5VU0QuSAEAAADmxRgAAwAAAAAA1owROAgJ1gjDhp9vNAnWCCBDSVEuSVFUUjMyMTg2NTI5Ny5JUV9UUl9FQVJOT1VUUwEAAABRRi8TAgAAAAAAWM8SDjUJ1ggMPoUONQnWCDxDSVEuTkFTREFRR1M6QURYUy5JUV9FQVJOSU5HX0NPLkNZMjAxNy43LzE2LzIwMTguTEZSLkYuVVNELkgBAAAAnux4AAIAAAAKLTk2Ljg0Njg2NQEIAAAABQAAAAExAQAAAAoxODc4MDEyNDczAwAAAAMxNjACAAAAATcEAAAAATAHAAAACTcvMTYvMjAxOAgAAAAJMS8zMS8yMDE4CQAAAAEwKRyUEDUJ1gjkdFsSNQnWCDxDSVEuTkFTREFRR006TkxOSy5JUV9F</t>
  </si>
  <si>
    <t>QklUREFfRVNULkNZMjAyMC43LzE2LzIwMTguQ09OLkYuVVNELkgBAAAAlXuMAAMAAAAAACkclBA1CdYI5HRbEjUJ1gguQ0lRLk5BU0RBUUdTOkJHTkUuSVFfTUFSS0VUQ0FQLjcvMzEvMjAxOC5VU0QuSAEAAADg5N0GAgAAAAwxMDMwNS4yNjI1ODUBBgAAAAUAAAABMQEAAAAKMTg4NzY4ODUwMAMAAAADMTYwAgAAAAYxMDAwNTQEAAAAATAHAAAACTcvMzEvMjAxOJwL1TgICdYIgf2VbzQJ1gg6Q0lRLk5BU0RBUUdNOkxQVFguSVFfQ0FTSF9TVF9JTlZFU1QuLjcvMTYvMjAxOC5MRlIuRi5VU0QuSAEAAAAMNgkHAgAAAAYzNS4zNzYBCAAAAAUAAAABMQEAAAAKMTg5MDE2MzkzNgMAAAADMTYwAgAAAAQxMDAyBAAAAAEwBwAAAAk3LzE2LzIwMTgIAAAACTMvMzEvMjAxOAkAAAABMCkclBA1CdYIMNddEjUJ1gg0Q0lRLk5BU0RBUUdTOlNHRU4uSVFfUkVWRU5VRV9FU1QuQ1kyMDIwLi5DT04uRi5VU0QuSAEAAABhhQAAAgAAAAoxMTQwLjQxMzI1AQ4AAAAFAAAAAjExAQAAAAEwAgAAAAoxMDAwMTI0NzI4AwAAAAYxMDAxODAEAAAAATIGAAAAATAHAAAAAzE2MAgAAAABMAkAAAABMQoAAAABMAsAAAALMTEwNTIxNTA2MDUMAAAAATcNAAAACTgvMjQvMjAxOBAAAAAJOC8yMy8yMDE4xP8bETUJ1gjE/xsRNQnWCDdDSVEuWFRSQTpNT1IuSVFfRUFSTklOR19DTy5DWTIwMTYuNy8zMS8yMDE4LkxGUi5GLlVTRC5IAQAA</t>
  </si>
  <si>
    <t>AN8RAgACAAAACi02My43NDE5NzgBCAAAAAUAAAABMQEAAAAKMTg3ODMyMzE1NAMAAAADMTYwAgAAAAE3BAAAAAEwBwAAAAk3LzMxLzIwMTgIAAAACjEyLzMxLzIwMTYJAAAAATCcC9U4CAnWCNRfmG80CdYIIkNJUS5JUVRSMzE0ODI5MjM2LklRX1RSX1RPVEFMX0NBU0gBAAAAtOnDEgIAAAADMTQwAFjPEg41CdYIwNuCDjUJ1ggrQ0lRLk5BU0RBUUNNOk1URU0uSVFfTEFTVFNBTEVQUklDRS41LzUvMjAxNwEAAACZm6kBAwAAAAAAyDCyNwgJ1ggZ6aFvNAnWCCVDSVEuSVFUUjQyMjg4NzcwMS5JUV9QUklNQVJZX0lORFVTVFJZAQAAAP3m1g8DAAAADUJpb3RlY2hub2xvZ3kADG0QDjUJ1gjA24IONQnWCDxDSVEuTkFTREFRR006Q1JJUy5JUV9FQVJOSU5HX0NPLkNZMjAxNi43LzMxLzIwMTguTEZSLkYuVVNELkgBAAAAF2oAAAIAAAAHLTYwLjQxMQEIAAAABQAAAAExAQAAAAoxODc4MDExNjU0AwAAAAMxNjACAAAAATcEAAAAATAHAAAACTcvMzEvMjAxOAgAAAAKMTIvMzEvMjAxNgkAAAABMMgwsjcICdYI3UukbzQJ1ggxQ0lRLkFTWDpJTVUuSVFfRUJJVF9NQVJHSU4uLjcvMTYvMjAxOC5MRlIuRi5VU0QuSAEAAACYk6kAAgAAAAgtMjM0LjU4NwEIAAAABQAAAAExAQAAAAoxODc3MzA1MzIwAwAAAAE5AgAAAAQ0MDUzBAAAAAEwBwAAAAk3LzE2LzIwMTgIAAAACjEyLzMxLzIwMTcJAAAAATApHJQQNQnWCDDX</t>
  </si>
  <si>
    <t>XRI1CdYIHUNJUS5OQVNEQVFDTTpBVkVPLklRX0VYQ0hBTkdFAQAAAPQWHQADAAAACE5hc2RhcUNNAEadGRE1CdYIwptiEjUJ1ggxQ0lRLklRVFIzNzE3MTUxMTkuSVFfVFJfVEFSR0VUX1JFVkVOVUVfRVNULi5VU0QuSAEAAAAv7CcWAgAAAAAAWM8SDjUJ1gjA24IONQnWCEJDSVEuTkFTREFRR1M6VFNSTy5JUV9UT1RBTF9SRVZfMllSX0FOTl9DQUdSLi43LzE2LzIwMTguTEZSLkYuVVNELkgBAAAAaNZYBgIAAAAJMTk5MS44NzI4AQgAAAAFAAAAATEBAAAACjE4ODYzMzc0NjYDAAAAAzE2MAIAAAAENDIwNwQAAAABMAcAAAAJNy8xNi8yMDE4CAAAAAkzLzMxLzIwMTgJAAAAATDE/xsRNQnWCBL+ZBI1CdYIIUNJUS5JUVRSNTQ4MzM4MDIwLklRX1RSX0JVWUVSTkFNRQEAAABk+a4gAwAAAB1BU0xBTiBQaGFybWFjZXV0aWNhbHMgTGltaXRlZAAMbRAONQnWCMDbgg41CdYIOENJUS5OQVNEQVFHTTpDUklTLklRX0VCSVREQS5DWTIwMTcuNy8zMS8yMDE4LkxGUi5GLlVTRC5IAQAAABdqAAACAAAABy00OS41MjUBCAAAAAUAAAABMQEAAAAKMTg3ODAxMTY1NwMAAAADMTYwAgAAAAQ0MDUxBAAAAAEwBwAAAAk3LzMxLzIwMTgIAAAACjEyLzMxLzIwMTcJAAAAATDIMLI3CAnWCN1LpG80CdYIHkNJUS5FTlhUUEE6SVBILklRX0NPTVBBTllfTkFNRQEAAACZgAYAAwAAABJJbm5hdGUgUGhhcm1hIFMuQS4AKRyUEDUJ</t>
  </si>
  <si>
    <t>1ghzOWASNQnWCENDSVEuTkFTREFRR1M6QURYUy5JUV9NSU5PUklUWV9JTlRFUkVTVF9UT1RBTC4uOS8xNS8yMDE3LkxGUi5GLlVTRC5IAQAAAJ7seAADAAAAAAApHJQQNQnWCOR0WxI1CdYINkNJUS5OQVNEQVFHUzpOSy5JUV9FQklUREEuQ1kyMDE2LjcvMzEvMjAxOC5MRlIuRi5VU0QuSAEAAAANfaEPAgAAAAgtMTIwLjg5MwEIAAAABQAAAAExAQAAAAoxODc4MDEyNTc4AwAAAAMxNjACAAAABDQwNTEEAAAAATAHAAAACTcvMzEvMjAxOAgAAAAKMTIvMzEvMjAxNgkAAAABMNaMETgICdYIw4afbzQJ1ggiQ0lRLklRVFIyNjM3MTg2NDcuSVFfVFJfVEFSR0VUTkFNRQEAAAD3BrgPAwAAAApUZWxpayBJbmMuALKzSW80CdYINZuTbzQJ1gg3Q0lRLk5BU0RBUUdTOkVQWk0uSVFfUEVSSU9EREFURV9JUy4yMDAwLjcvMzEvMjAxOC5MRlIuRgEAAAADJj0DBQAAAAkzLzMxLzIwMTgA1owROAgJ1ggkwppvNAnWCD1DSVEuTkFTREFRR1M6VFNSTy5JUV9SRVZFTlVFX0VTVC5DWTIwMTguNy8zMS8yMDE4LkNPTi5GLlVTRC5IAQAAAGjWWAYCAAAACDMwNi4wNDA5AQ4AAAAFAAAAAjExAQAAAAEwAgAAAAoxMDAxNTgwMzQwAwAAAAYxMDAxODAEAAAAATIGAAAAATAHAAAAAzE2MAgAAAABMAkAAAABMQoAAAABMAsAAAALMTA5ODExMzc3MjAMAAAAATcNAAAACDgvMS8yMDE4EAAAAAk3LzMxLzIwMTicC9U4CAnWCCTCmm80</t>
  </si>
  <si>
    <t>CdYIMUNJUS5OQVNEQVFHUzpDQUxBLklRX0RBX0NGLi43LzE2LzIwMTguTEZSLkYuVVNELkgBAAAApSeBBgIAAAAFMC40MDkBCAAAAAUAAAABMQEAAAAKMTg4Nzk4MDMwNQMAAAADMTYwAgAAAAQyMTYwBAAAAAEwBwAAAAk3LzE2LzIwMTgIAAAACTMvMzEvMjAxOAkAAAABMCkclBA1CdYI5HRbEjUJ1gghQ0lRLklRVFIyNjM3MTg2NDcuSVFfVFJfQlVZRVJOQU1FAQAAAPcGuA8DAAAAQk1hYlZheCBUaGVyYXBldXRpY3MsIEluYy4gKG5rYTpNYWJWYXggVGhlcmFwZXV0aWNzIEhvbGRpbmdzLCBJbmMuKQCys0lvNAnWCDWbk280CdYIKENJUS5YVFJBOk1PUi5JUV9NQVJLRVRDQVAuNS81LzIwMTcuVVNELkgBAAAA3xECAAIAAAALMTgwMS4yMTQ2MTEBBgAAAAUAAAABMQEAAAAKMTgzOTkzOTc5MgMAAAADMTYwAgAAAAYxMDAwNTQEAAAAATAHAAAACDUvNS8yMDE3nAvVOAgJ1gjUX5hvNAnWCEZDSVEuTkFTREFRR1M6QVROWC5JUV9UT1RBTF9SRVZfMllSX0FOTl9DQUdSLjIwMDAuNy8zMS8yMDE4LkxGUi5GLlVTRC5IAQAAANyZawEDAAAAAADWjBE4CAnWCCTCmm80CdYIK0NJUS5JUVRSNDMxODQxNTgxLklRX1RSX1RPVEFMX0dST1NTX1RWLi5VU0QBAAAALWG9GQIAAAADODI1AQYAAAAFAAAAAjU0AQAAAAYxMDIwODgCAAAACTQzMTg0MTU4MQMAAAAJNDMxODQyMzg2BAAAAAMxNjAGAAAABUZhbHNlDG0QDjUJ</t>
  </si>
  <si>
    <t>1ggMPoUONQnWCCxDSVEuSVFUUjU1MzU0ODAyNS5JUV9UUl9UQVJHRVRfRUJJVERBLi5VU0QuSAEAAAD5eP4gAgAAAAktOS4wNDU5MDIBBwAAAAUAAAACMzcBAAAACjE4NzcwMDUyNTcCAAAABTIxNjc3AwAAAAMxNjAEAAAAATAHAAAACDEvMS8xOTAwBgAAAAkyLzIxLzIwMTiys0lvNAnWCIH9lW80CdYIJUNJUS5PVENQSzpNQlZYLklRX1RFVi43LzE2LzIwMTguVVNELkgBAAAA2ESLAgIAAAAIOS45NzQ0MjYBBgAAAAUAAAABMQEAAAAKMTg4MTIxMzIzNQMAAAADMTYwAgAAAAYxMDAwNjAEAAAAATAHAAAACTcvMTYvMjAxON6nfhA1CdYImBJZEjUJ1ggxQ0lRLk5BU0RBUUdTOlBCWUkuSVFfREFfQ0YuLjcvMTYvMjAxOC5MRlIuRi5VU0QuSAEAAAACaqwHAgAAAAUzLjg3NQEIAAAABQAAAAExAQAAAAoxODg4NjY3NzQzAwAAAAMxNjACAAAABDIxNjAEAAAAATAHAAAACTcvMTYvMjAxOAgAAAAJMy8zMS8yMDE4CQAAAAEwxP8bETUJ1ggS/mQSNQnWCDFDSVEuWFRSQTpNT1IuSVFfRUJJVERBLjIwMDAuNy8zMS8yMDE4LkxGUi5GLlVTRC5IAQAAAN8RAgACAAAACi03MS4zNDQ0ODcBCAAAAAUAAAABMQEAAAAKMTg4NjE1MTY0OAMAAAADMTYwAgAAAAQ0MDUxBAAAAAEwBwAAAAk3LzMxLzIwMTgIAAAACTMvMzEvMjAxOAkAAAABMJwL1TgICdYI1F+YbzQJ1gg1Q0lRLk5BU0RBUUNNOlNSTkUuSVFfREFfQ0YuMjAw</t>
  </si>
  <si>
    <t>MC43LzMxLzIwMTguTEZSLkYuVVNELkgBAAAASUOUAwIAAAAENy42MwEIAAAABQAAAAExAQAAAAoxODg3OTg5ODMxAwAAAAMxNjACAAAABDIxNjAEAAAAATAHAAAACTcvMzEvMjAxOAgAAAAJMy8zMS8yMDE4CQAAAAEw1owROAgJ1ghzJJ1vNAnWCCJDSVEuWFRSQTpNT1IuSVFfQkVUQV8yWVIuNy8zMS8yMDE4AQAAAN8RAgACAAAAEDEuMDEzODk1MTcyNDk4NjEAnAvVOAgJ1gjUX5hvNAnWCDBDSVEuTkFTREFRR1M6UEJZSS5JUV9MQVNUU0FMRVBSSUNFLjcvMTYvMjAxOC5VU0QBAAAAAmqsBwIAAAAFNTIuNTUARp0ZETUJ1ggS/mQSNQnWCEFDSVEuWFRSQTpNT1IuSVFfVE9UQUxfUkVWXzNZUl9BTk5fQ0FHUi4yMDAwLjcvMzEvMjAxOC5MRlIuRi5VU0QuSAEAAADfEQIAAgAAAActMjEuMzA5AQgAAAAFAAAAATEBAAAACjE4ODYxNTE2NDgDAAAAAjUwAgAAAAQ0MjIwBAAAAAEwBwAAAAk3LzMxLzIwMTgIAAAACTMvMzEvMjAxOAkAAAABMJwL1TgICdYI1F+YbzQJ1ghCQ0lRLk5BU0RBUUdTOk1HTlguSVFfVE9UQUxfUkVWXzVZUl9BTk5fQ0FHUi4uNy8xNi8yMDE4LkxGUi5GLlVTRC5IAQAAAE8rCQACAAAABzI0LjM2MzEBCAAAAAUAAAABMQEAAAAKMTg4NzExNDk0NQMAAAADMTYwAgAAAAQ0MjMzBAAAAAEwBwAAAAk3LzE2LzIwMTgIAAAACTMvMzEvMjAxOAkAAAABMMT/GxE1CdYIwptiEjUJ1gg8Q0lRLk5B</t>
  </si>
  <si>
    <t>U0RBUUdNOkZBVEUuSVFfVE9UQUxfRVFVSVRZLjIwMDAuNy8zMS8yMDE4LkxGUi5GLlVTRC5IAQAAAGgxVwICAAAABjY0Ljk5NQEIAAAABQAAAAExAQAAAAoxODg4NTAwNTI3AwAAAAMxNjACAAAABDEyNzUEAAAAATAHAAAACTcvMzEvMjAxOAgAAAAJMy8zMS8yMDE4CQAAAAEw1owROAgJ1gjDhp9vNAnWCC5DSVEuSVFUUjMyMTg2NTI5Ny5JUV9UUl9UQVJHRVRfU1RPQ0tQUkVNSVVNXzFXAQAAAFFGLxMCAAAAAABYzxIONQnWCAw+hQ41CdYINENJUS5YVFJBOk1PUi5JUV9UT1RBTF9SRVYuMTk5Ni43LzMxLzIwMTguTEZSLkYuVVNELkgBAAAA3xECAAIAAAAJNTIuOTE3NjYxAQgAAAAFAAAAATEBAAAACjE4ODYxNTE2NDcDAAAAAzE2MAIAAAACMjgEAAAAATAHAAAACTcvMzEvMjAxOAgAAAAJMy8zMS8yMDE3CQAAAAEwnAvVOAgJ1gjUX5hvNAnWCDZDSVEuT1RDUEs6TldCTy5JUV9FQklUREFfTUFSR0lOLi43LzE2LzIwMTguTEZSLkYuVVNELkgBAAAAo3oUAAMAAAACTk0BCAAAAAUAAAABMQEAAAAKMTg4OTMwMjgyNAMAAAADMTYwAgAAAAQ0MDQ3BAAAAAEwBwAAAAk3LzE2LzIwMTgIAAAACTMvMzEvMjAxOAkAAAABMCkclBA1CdYIczlgEjUJ1gglQ0lRLklRVFI0MDgyOTEzOTUuSVFfUFJJTUFSWV9JTkRVU1RSWQEAAACyTxoDAwAAAA1CaW90ZWNobm9sb2d5AAxtEA41CdYIwNuCDjUJ1ggiQ0lRLjAuSVFf</t>
  </si>
  <si>
    <t>VFJfVEFSR0VUX1NUT0NLUFJFTUlVTV8xVwUAAAAAAAAACAAAABgoSW52YWxpZCBUcmFuc2FjdGlvbiBJZClJU0dvNAnWCAfi8IE0CdYILUNJUS5OQVNEQVFHUzpDQUxBLklRX01BUktFVENBUC41LzUvMjAxNy5VU0QuSAEAAAClJ4EGAgAAAAozOTMuNDg2NTY2AQYAAAAFAAAAATEBAAAACjE4MzIxNzc2NTYDAAAAAzE2MAIAAAAGMTAwMDU0BAAAAAEwBwAAAAg1LzUvMjAxN8gwsjcICdYI3UukbzQJ1ggtQ0lRLk5BU0RBUUdTOkdUSFguSVFfTUFSS0VUQ0FQLjUvNS8yMDE3LlVTRC5IAQAAAGU0aQgDAAAAAADWjBE4CAnWCCTCmm80CdYIPENJUS5OQVNEQVFHUzpLVVJBLklRX1RPVEFMX0VRVUlUWS4yMDAwLjcvMzEvMjAxOC5MRlIuRi5VU0QuSAEAAAC4y9oQAgAAAAUxMjQuOAEIAAAABQAAAAExAQAAAAoxODg3MzgyOTM3AwAAAAMxNjACAAAABDEyNzUEAAAAATAHAAAACTcvMzEvMjAxOAgAAAAJMy8zMS8yMDE4CQAAAAEw1owROAgJ1ghzJJ1vNAnWCCFDSVEuSVEyNjIyNDE1NDkuSVFfQ09NUEFOWV9USUNLRVIBAAAADX2hDwMAAAALTmFzZGFxR1M6TksAsrNJbzQJ1gh7HeyBNAnWCCxDSVEuSVFUUjI2MzcxODY0Ny5JUV9UUl9UT1RBTF9HUk9TU19UVi5VU0QuSAUAAAAAAAAACAAAABooSW52YWxpZCBDdXJyZW5jeSBSZXF1ZXN0KUlTR280CdYIgf2VbzQJ1ggpQ0lRLk5BU0RBUUdNOkxQVFguSVFfQlVT</t>
  </si>
  <si>
    <t>SU5FU1NfREVTQ1JJUFRJT04BAAAADDYJBwMAAADVBkxlYXAgVGhlcmFwZXV0aWNzLCBJbmMuLCBhIGJpb3BoYXJtYWNldXRpY2FsIGNvbXBhbnksIGFjcXVpcmVzIGFuZCBkZXZlbG9wcyB0aGVyYXBpZXMgZm9yIHRoZSB0cmVhdG1lbnQgb2YgY2FuY2VyLiBUaGUgY29tcGFueeKAmXMgY2xpbmljYWwgc3RhZ2UgcHJvZ3JhbXMgaW5jbHVkZSBES04tMDEsIGEgbW9ub2Nsb25hbCBhbnRpYm9keSB0aGF0IGluaGliaXRzIERpY2trb3BmLXJlbGF0ZWQgcHJvdGVpbiAxLCB3aGljaCBpcyBpbiBQaGFzZSBJL0lJIGNsaW5pY2FsIHRyaWFsIGluIHBhdGllbnRzIHdpdGggZXNvcGhhZ29nYXN0cmljLCBiaWxpYXJ5IHRyYWN0LCBneW5lY29sb2dpYywgYW5kIG5vbi1zbWFsbCBjZWxsIGx1bmcgY2FuY2VycywgYXMgd2VsbCBhcyBoZXBhdG9jZWxsdWxhciBjYXJjaW5vbWEsIGEgdHlwZSBvZiBsaXZlciBjYW5jZXIuIEl0cyBjbGluaWNhbCBzdGFnZSBwcm9ncmFtcyBhbHNvIGluY2x1ZGUgVFJYNTE4LCBhIG1vbm9jbG9uYWwgYW50aWJvZHksIHdoaWNoIGlzIGluIGNsaW5pY2FsIHRyaWFsIHRhcmdldGluZyB0aGUgZ2x1Y29jb3J0aWNvaWQtaW5kdWNlZCB0dW1vciBuZWNyb3NpcyBmYWN0b3ItcmVsYXRlZCByZWNlcHRvciBpbiBwYXRpZW50cyB3aXRoIHNvbGlkIHR1bW9ycy4gVGhlIGNvbXBhbnkgd2Fz</t>
  </si>
  <si>
    <t>IGZvcm1lcmx5IGtub3duIGFzIEhlYWx0aENhcmUgUGhhcm1hY2V1dGljYWxzLCBJbmMuIGFuZCBjaGFuZ2VkIGl0cyBuYW1lIHRvIExlYXAgVGhlcmFwZXV0aWNzLCBJbmMuIGluIE5vdmVtYmVyIDIwMTUuIExlYXAgVGhlcmFwZXV0aWNzLCBJbmMuIHdhcyBmb3VuZGVkIGluIDIwMTEgYW5kIGlzIGJhc2VkIGluIENhbWJyaWRnZSwgTWFzc2FjaHVzZXR0cy4AKRyUEDUJ1ggw110SNQnWCCtDSVEuSVFUUjQxMTg3MTA4Mi5JUV9UUl9UT1RBTF9HUk9TU19UVi4uVVNEAQAAAGqnjBgCAAAABjE2OTYuMwEGAAAABQAAAAI1NAEAAAAGMTAyMDg4AgAAAAk0MTE4NzEwODIDAAAACTQxMTg3MTI5MQQAAAADMTYwBgAAAAVGYWxzZbKzSW80CdYINZuTbzQJ1gghQ0lRLklRVFI1NTM1NDgwMjUuSVFfVFJfQlVZRVJOQU1FAQAAAPl4/iADAAAAJk1lcmNrIFNoYXJwICYgRG9obWUgKEhvbGRpbmdzKSBQdHkgTHRkALKzSW80CdYIgf2VbzQJ1gg5Q0lRLi5JUV9NSU5PUklUWV9JTlRFUkVTVF9UT1RBTC4yMDAwLjUvNS8yMDE3LkxGUi5GLlVTRC5IBQAAAAEAAAAIAAAAFChJbnZhbGlkIElkZW50aWZpZXIp9YQyRzQJ1gj1hDJHNAnWCEZDSVEuTkFTREFRR006Q1JWUy5JUV9NSU5PUklUWV9JTlRFUkVTVF9UT1RBTC4yMDAwLjUvNS8yMDE3LkxGUi5GLlVTRC5IAQAAAPSwphADAAAAAADWjBE4CAnWCBnpoW80CdYIKUNJ</t>
  </si>
  <si>
    <t>US5OQVNEQVFHTTpDUklTLklRX0JVU0lORVNTX0RFU0NSSVBUSU9OAQAAABdqAAADAAAApApDdXJpcywgSW5jLiwgYSBiaW90ZWNobm9sb2d5IGNvbXBhbnksIGZvY3VzZXMgb24gdGhlIGRldmVsb3BtZW50IGFuZCBjb21tZXJjaWFsaXphdGlvbiBvZiBkcnVnIGNhbmRpZGF0ZXMgZm9yIHRoZSB0cmVhdG1lbnQgb2YgaHVtYW4gY2FuY2VycyBpbiB0aGUgVW5pdGVkIFN0YXRlcy4gSXRzIGNsaW5pY2FsIHN0YWdlIGRydWcgY2FuZGlkYXRlcyBpbmNsdWRlIENVREMtOTA3LCBhbiBvcmFsIGR1YWwgaW5oaWJpdG9yIG9mIEhEQUMgYW5kIFBJM0sgZW56eW1lcywgd2hpY2ggaXMgaW4gUGhhc2UgSUkgY2xpbmljYWwgdHJpYWwgZm9yIHRoZSB0cmVhdG1lbnQgb2YgcGF0aWVudHMgd2l0aCBNWUMtYWx0ZXJlZCBkaWZmdXNlIGxhcmdlIEItY2VsbCBseW1waG9tYSBhbmQgc29saWQgdHVtb3JzOyBDQS0xNzAsIGFuIG9yYWwgc21hbGwgbW9sZWN1bGUgZHJ1ZyBjYW5kaWRhdGUgdGhhdCBpcyBpbiBQaGFzZSBJIGNsaW5pY2FsIHRyaWFsIGZvciB0cmVhdGluZyBwYXRpZW50cyB3aXRoIGFkdmFuY2VkIHNvbGlkIHR1bW9ycyBhbmQgbHltcGhvbWFzOyBDQS00OTQ4LCBhbiBvcmFsIHNtYWxsIG1vbGVjdWxlIGRydWcgY2FuZGlkYXRlLCB3aGljaCBpcyBpbiBQaGFzZSBJIGNsaW5pY2FsIHRyaWFsIGZvciB0</t>
  </si>
  <si>
    <t>aGUgdHJlYXRtZW50IG9mIG5vbi1ob2Rna2luIGx5bXBob21hczsgYW5kIENBLTMyNywgYW4gb3JhbCBzbWFsbCBtb2xlY3VsZSBkcnVnIGNhbmRpZGF0ZSB0aGF0IGlzIGluIHByZWNsaW5pY2FsIHN0YWdlIGZvciB0aGUgdHJlYXRtZW50IG9mIGNhbmNlcnMuIFRoZSBjb21wYW55IGhhcyBjb2xsYWJvcmF0aW9uIGFncmVlbWVudCB3aXRoIEYuIEhvZmZtYW5uLUxhIFJvY2hlIEx0ZC4gYW5kIEdlbmVudGVjaCBJbmMuIGZvciB0aGUgZGV2ZWxvcG1lbnQgYW5kIGNvbW1lcmNpYWxpemF0aW9uIG9mIEVyaXZlZGdlLCBhbiBvcmFsbHktYWRtaW5pc3RlcmVkIHNtYWxsIG1vbGVjdWxlIGhlZGdlaG9nIHNpZ25hbGluZyBwYXRod2F5IGluaGliaXRvciBmb3IgdGhlIHRyZWF0bWVudCBvZiBhZHZhbmNlZCBiYXNhbCBjZWxsIGNhcmNpbm9tYTsgYW5kIHdpdGggQXVyaWdlbmUgRGlzY292ZXJ5IFRlY2hub2xvZ2llcyBMaW1pdGVkIGZvciB0aGUgZGlzY292ZXJ5LCBkZXZlbG9wbWVudCwgYW5kIGNvbW1lcmNpYWxpemF0aW9uIG9mIHNtYWxsIG1vbGVjdWxlIGNvbXBvdW5kcyBpbiB0aGUgYXJlYXMgb2YgaW1tdW5vLW9uY29sb2d5IGFuZCBwcmVjaXNpb24gb25jb2xvZ3kuIEN1cmlzLCBJbmMuIHdhcyBmb3VuZGVkIGluIDIwMDAgYW5kIGlzIGhlYWRxdWFydGVyZWQgaW4gTGV4aW5ndG9uLCBNYXNzYWNo</t>
  </si>
  <si>
    <t>dXNldHRzLgDIMLI3CAnWCN1LpG80CdYILkNJUS5JUVRSMzEyMTIyNTA0LklRX1RSX1RBUkdFVF9TVE9DS1BSRU1JVU1fMU0BAAAAiJyaEgIAAAAAAFjPEg41CdYIwNuCDjUJ1gg4Q0lRLk5BU0RBUUdTOkFEWFMuSVFfRUJJVERBLkNZMjAxNi43LzE2LzIwMTguTEZSLkYuVVNELkgBAAAAnux4AAIAAAAJLTczLjA2MTc4AQgAAAAFAAAAATEBAAAACjE4NzgwMTI0MjkDAAAAAzE2MAIAAAAENDA1MQQAAAABMAcAAAAJNy8xNi8yMDE4CAAAAAkxLzMxLzIwMTcJAAAAATApHJQQNQnWCOR0WxI1CdYIM0NJUS5PVENQSzpOV0JPLklRX0VBUk5JTkdfQ08uLjcvMTYvMjAxOC5MRlIuRi5VU0QuSAEAAACjehQAAgAAAActODIuMDY4AQgAAAAFAAAAATEBAAAACjE4ODkzMDI4MjQDAAAAAzE2MAIAAAABNwQAAAABMAcAAAAJNy8xNi8yMDE4CAAAAAkzLzMxLzIwMTgJAAAAATApHJQQNQnWCDDXXRI1CdYIO0NJUS5OQVNEQVFDTTpDS1BULklRX1RPVEFMX1JFVi5DWTIwMTcuNy8xNi8yMDE4LkxGUi5GLlVTRC5IAQAAALhRFhECAAAABTEuNzI1AQgAAAAFAAAAATEBAAAACjE4Nzg3ODQ1NzgDAAAAAzE2MAIAAAACMjgEAAAAATAHAAAACTcvMTYvMjAxOAgAAAAKMTIvMzEvMjAxNwkAAAABMCkclBA1CdYIMNddEjUJ1ggqQ0lRLklRVFIyNDU4MzEwMDcuSVFfVFJfVEFSR0VUX0VCSVQuLlVTRC5IAQAAAF8Vpw4CAAAABi05</t>
  </si>
  <si>
    <t>LjMwNAEGAAAABQAAAAIzNwEAAAAKMTYzMDI5Njk3MgIAAAAFMjE2NzUDAAAAAzE2MAQAAAABMAcAAAAIMS8xLzE5MDCys0lvNAnWCIH9lW80CdYIO0NJUS5FTlhUUEE6SVBILklRX1RPVEFMX0VRVUlUWS5DWTIwMTYuNy8xNi8yMDE4LkxGUi5GLlVTRC5IAQAAAJmABgACAAAACTkwLjk2MjczNgEIAAAABQAAAAExAQAAAAoxODg5NTUyMTM2AwAAAAMxNjACAAAABDEyNzUEAAAAATAHAAAACTcvMTYvMjAxOAgAAAAKMTIvMzEvMjAxNgkAAAABMCkclBA1CdYIczlgEjUJ1ggwQ0lRLk5BU0RBUUdTOlNHRU4uSVFfTEFTVFNBTEVQUklDRS43LzE2LzIwMTguVVNEAQAAAGGFAAACAAAABTY4Ljk5AEadGRE1CdYIaGBnEjUJ1ggpQ0lRLklRVFIzMTIxMjI1MDQuSVFfVFJfSU1QTElFRF9FUV9OSV9MVE0BAAAAiJyaEgIAAAAIOS4xMTkyMTcAWM8SDjUJ1gjA24IONQnWCDxDSVEuTkFTREFRQ006TVRFTS5JUV9FQklUREFfRVNULkNZMjAyMC43LzMxLzIwMTguQ09OLkYuVVNELkgBAAAAmZupAQMAAAAAAMgwsjcICdYIGemhbzQJ1gguQ0lRLklRVFI1NjM5MTkwNDkuSVFfVFJfVEFSR0VUX1NUT0NLUFJFTUlVTV8xVwEAAADJuJwhAgAAAAc4MS4wMjgyAQYAAAAFAAAAAjU0AQAAAAYxMDEwNTQCAAAACTU2MzkxOTA0OQMAAAAJNTYzOTQwMDQyBAAAAAMxNjAGAAAABUZhbHNlDG0QDjUJ1gjA24IONQnWCChDSVEuTkFT</t>
  </si>
  <si>
    <t>REFRR1M6TVJTTi5JUV9URVYuNy8xNi8yMDE4LlVTRC5IAQAAAObFGAACAAAACjI0NS4xODc1NzMBBgAAAAUAAAABMQEAAAAKMTg4OTA5NDEwMAMAAAADMTYwAgAAAAYxMDAwNjAEAAAAATAHAAAACTcvMTYvMjAxOEadGRE1CdYIczlgEjUJ1ggrQ0lRLklRVFI1NDgzMzgwMjAuSVFfVFJfVE9UQUxfR1JPU1NfVFYuLlVTRAEAAABk+a4gAgAAAAMxMjkBBgAAAAUAAAACNTQBAAAABjEwMjA4OAIAAAAJNTQ4MzM4MDIwAwAAAAk1NDgzNDA5ODUEAAAAAzE2MAYAAAAFRmFsc2UMbRAONQnWCMDbgg41CdYIK0NJUS5JUVRSMjYzNzE4NjQ3LklRX1RSX0lNUExJRURfRVZfRUJJVF9GV0QBAAAA9wa4DwIAAAAAALKzSW80CdYIgf2VbzQJ1gg8Q0lRLk5BU0RBUUdTOkpOQ0UuSVFfRUJJVERBX0VTVC5DWTIwMTguNy8xNi8yMDE4LkNPTi5GLlVTRC5IAQAAAOJ5ng0CAAAABy00MS44MzEBDgAAAAUAAAACMTEBAAAAATACAAAACjEwMDM2MjkwOTcDAAAABjEwMDE4NwQAAAABMgYAAAABMAcAAAADMTYwCAAAAAEwCQAAAAExCgAAAAEwCwAAAAsxMDg4NzQxNzk0MgwAAAABNw0AAAAJNy8xNy8yMDE4EAAAAAk3LzE2LzIwMTgpHJQQNQnWCJgSWRI1CdYIO0NJUS5OQVNEQVFDTTpDS1BULklRX1RPVEFMX1JFVi5DWTIwMTYuNy8xNi8yMDE4LkxGUi5GLlVTRC5IAQAAALhRFhECAAAABDIuNTcBCAAAAAUAAAABMQEAAAAKMTg3</t>
  </si>
  <si>
    <t>ODc4NDU3NQMAAAADMTYwAgAAAAIyOAQAAAABMAcAAAAJNy8xNi8yMDE4CAAAAAoxMi8zMS8yMDE2CQAAAAEwKRyUEDUJ1ggw110SNQnWCDxDSVEuTkFTREFRR1M6TVJTTi5JUV9FQklUREFfRVNULkNZMjAxOC43LzE2LzIwMTguQ09OLkYuVVNELkgBAAAA5sUYAAIAAAAHLTUwLjYyNAEOAAAABQAAAAIxMQEAAAABMAIAAAAKMTAwMzgwMzI3NQMAAAAGMTAwMTg3BAAAAAEyBgAAAAEwBwAAAAMxNjAIAAAAATAJAAAAATEKAAAAATALAAAACzEwODgzODMxNjUyDAAAAAE3DQAAAAk3LzE3LzIwMTgQAAAACTcvMTYvMjAxOMT/GxE1CdYIczlgEjUJ1ggzQ0lRLk5BU0RBUUdTOkJHTkUuSVFfR1JPU1NfTUFSR0lOLjIwMDAuLkxGUi5GLlVTRC5IAQAAAODk3QYCAAAABy0zNy44NDUBCAAAAAUAAAABMQEAAAAKMTg5OTkwMDYzMQMAAAADMTYwAgAAAAQ0MDc0BAAAAAEwBwAAAAk4LzIzLzIwMTgIAAAACTYvMzAvMjAxOAkAAAABMJwL1TgICdYInAvVOAgJ1gg8Q0lRLk5BU0RBUUNNOkNLUFQuSVFfRUFSTklOR19DTy5DWTIwMTcuNy8xNi8yMDE4LkxGUi5GLlVTRC5IAQAAALhRFhECAAAABy0yMi42NzcBCAAAAAUAAAABMQEAAAAKMTg3ODc4NDU3OAMAAAADMTYwAgAAAAE3BAAAAAEwBwAAAAk3LzE2LzIwMTgIAAAACjEyLzMxLzIwMTcJAAAAATApHJQQNQnWCOR0WxI1CdYIL0NJUS5JUVRSNTMzMzg1NzQ0LklRX1RS</t>
  </si>
  <si>
    <t>X1RBUkdFVF9UT1RBTF9SRVYuLlVTRC5IAQAAABDSyh8CAAAAAAAMbRAONQnWCMDbgg41CdYIIENJUS5JUVRSNDA5OTUxODg2LklRX1RSX0VBUk5PVVRTAQAAAI5ebxgCAAAAAjMwAQYAAAAFAAAAAjU0AQAAAAYxMDE0MDMCAAAACTQwOTk1MTg4NgMAAAAJNDA5OTUxOTM2BAAAAAMxNjAGAAAABUZhbHNlDG0QDjUJ1gjA24IONQnWCBZDSVEuMC5JUV9UUl9UT1RBTF9DQVNIBQAAAAAAAAAIAAAAGChJbnZhbGlkIFRyYW5zYWN0aW9uIElkKUlTR280CdYIzFjngTQJ1gghQ0lRLk5BU0RBUUdTOkFOQUIuSVFfQ09NUEFOWV9OQU1FAQAAACFMsgEDAAAAEEFuYXB0eXNCaW8sIEluYy4ARp0ZETUJ1ggS/mQSNQnWCCxDSVEuTkFTREFRR006TkxOSy5JUV9MQVNUU0FMRVBSSUNFLjkvMTUvMjAxNwEAAACVe4wAAgAAAAUxMi42NwApHJQQNQnWCOR0WxI1CdYIIUNJUS5JUVRSMzcxNzE1MTE5LklRX1RSX0JVWUVSTkFNRQEAAAAv7CcWAwAAABxCcmlzdG9sLU15ZXJzIFNxdWliYiBDb21wYW55AFjPEg41CdYIwNuCDjUJ1gggQ0lRLklRVFI0MTM5NTM2NjEuSVFfVFJfRUFSTk9VVFMBAAAAfW6sGAIAAAADNTgwAQYAAAAFAAAAAjU0AQAAAAYxMDE0MDMCAAAACTQxMzk1MzY2MQMAAAAJNDEzOTU3NjQwBAAAAAMxNjAGAAAABUZhbHNlsrNJbzQJ1giB/ZVvNAnWCCVDSVEuSVFUUjU0NzQyMzY4MC5JUV9QUklNQVJZX0lO</t>
  </si>
  <si>
    <t>RFVTVFJZAQAAAAIYcwgDAAAADUJpb3RlY2hub2xvZ3kADG0QDjUJ1gjA24IONQnWCDpDSVEuTkFTREFRR1M6Q1RNWC5JUV9DQVNIX1NUX0lOVkVTVC4uOS8xNS8yMDE3LkxGUi5GLlVTRC5IAQAAANw4mwMCAAAABzMzNS45MTYBCAAAAAUAAAABMQEAAAAKMTg1MjM1OTcyMgMAAAADMTYwAgAAAAQxMDAyBAAAAAEwBwAAAAk5LzE1LzIwMTcIAAAACTYvMzAvMjAxNwkAAAABMMT/GxE1CdYIwptiEjUJ1ghGQ0lRLihJTlZBTElEIElERU5USUZJRVIpLklRX0VCSVREQV8yWVJfQU5OX0NBR1IuLjcvMTYvMjAxOC5MRlIuRi5VU0QuSAUAAAAAAAAACAAAABQoSW52YWxpZCBJZGVudGlmaWVyKd6nfhA1CdYImBJZEjUJ1gg8Q0lRLk5BU0RBUUdNOkFSUUwuSVFfR1JPU1NfTUFSR0lOLjIwMDAuNy8zMS8yMDE4LkxGUi5GLlVTRC5IAQAAAPZhAAADAAAAAk5NAQgAAAAFAAAAATEBAAAACjE4ODg3ODg3NzADAAAAAzE2MAIAAAAENDA3NAQAAAABMAcAAAAJNy8zMS8yMDE4CAAAAAkzLzMxLzIwMTgJAAAAATDWjBE4CAnWCHMknW80CdYIJUNJUS5JUVRSMzE0ODI5MjM2LklRX1BSSU1BUllfSU5EVVNUUlkBAAAARObDEgMAAAANQmlvdGVjaG5vbG9neQAMbRAONQnWCMDbgg41CdYINkNJUS5OQVNEQVFHTTpDUklTLklRX0VCSVREQS4yMDAwLjcvMzEvMjAxOC5MRlIuRi5VU0QuSAEAAAAXagAAAgAAAActNDQuMzgyAQgA</t>
  </si>
  <si>
    <t>AAAFAAAAATEBAAAACjE4ODYyNDc0MjADAAAAAzE2MAIAAAAENDA1MQQAAAABMAcAAAAJNy8zMS8yMDE4CAAAAAkzLzMxLzIwMTgJAAAAATDIMLI3CAnWCN1LpG80CdYIO0NJUS5OQVNEQVFHUzpCR05FLklRX1RPVEFMX1JFVi5DWTIwMTYuNy8zMS8yMDE4LkxGUi5GLlVTRC5IAQAAAODk3QYCAAAABDEuMDcBCAAAAAUAAAABMQEAAAAKMTg5OTg4MTIwNAMAAAADMTYwAgAAAAIyOAQAAAABMAcAAAAJNy8zMS8yMDE4CAAAAAoxMi8zMS8yMDE2CQAAAAEwnAvVOAgJ1giB/ZVvNAnWCClDSVEuSVFUUjU1MzU0ODAyNS5JUV9UUl9JTVBMSUVEX0VRX05JX0xUTQEAAAD5eP4gAwAAAAJOTQCys0lvNAnWCIH9lW80CdYIPUNJUS5OQVNEQVFDTTpBVkVPLklRX1JFVkVOVUVfRVNULkNZMjAyMS43LzE2LzIwMTguQ09OLkYuVVNELkgBAAAA9BYdAAIAAAAFMTE4LjMBDgAAAAUAAAACMTEBAAAAATACAAAACjEwMDA5MzM2MjgDAAAABjEwMDE4MAQAAAABMgYAAAABMAcAAAADMTYwCAAAAAEwCQAAAAExCgAAAAEwCwAAAAsxMDg3MTI2MTEzOQwAAAABNw0AAAAJNy8xNy8yMDE4EAAAAAk3LzE2LzIwMTjE/xsRNQnWCMKbYhI1CdYIOUNJUS5OQVNEQVFHUzpCR05FLklRX1RPVEFMX1JFVi4yMDAwLjcvMzEvMjAxOC5MRlIuRi5VU0QuSAEAAADg5N0GAgAAAAcyNzAuOTMxAQgAAAAFAAAAATEBAAAACjE4ODc2ODg1ODgDAAAA</t>
  </si>
  <si>
    <t>AzE2MAIAAAACMjgEAAAAATAHAAAACTcvMzEvMjAxOAgAAAAJMy8zMS8yMDE4CQAAAAEwnAvVOAgJ1giB/ZVvNAnWCDxDSVEuTkFTREFRR1M6RlBSWC5JUV9UT1RBTF9FUVVJVFkuMTk5Mi43LzMxLzIwMTguTEZSLkYuVVNELkgBAAAAN10zAAIAAAAHNDI4LjEzNwEIAAAABQAAAAExAQAAAAoxODQwNTY1Nzk0AwAAAAMxNjACAAAABDEyNzUEAAAAATAHAAAACTcvMzEvMjAxOAgAAAAJMy8zMS8yMDE2CQAAAAEwyDCyNwgJ1ggZ6aFvNAnWCC1DSVEuTkFTREFRR1M6QkdORS5JUV9FQklUREEuMTk5Mi4uTEZSLkYuVVNELkgBAAAA4OTdBgIAAAAHLTgzLjU3OQEIAAAABQAAAAExAQAAAAoxODUyNzAwNTIxAwAAAAMxNjACAAAABDQwNTEEAAAAATAHAAAACTgvMjMvMjAxOAgAAAAJNi8zMC8yMDE2CQAAAAEwnAvVOAgJ1gicC9U4CAnWCDhDSVEuTkFTREFRR1M6QkdORS5JUV9FQklUREEuQ1kyMDE2LjcvMzEvMjAxOC5MRlIuRi5VU0QuSAEAAADg5N0GAgAAAAgtMTE1LjE1MQEIAAAABQAAAAExAQAAAAoxODk5ODgxMjA0AwAAAAMxNjACAAAABDQwNTEEAAAAATAHAAAACTcvMzEvMjAxOAgAAAAKMTIvMzEvMjAxNgkAAAABMJwL1TgICdYIgf2VbzQJ1ggwQ0lRLk5BU0RBUUNNOlpJT1AuSVFfTEFTVFNBTEVQUklDRS43LzMxLzIwMTguVVNEAQAAALNRsgACAAAABDIuNTkA1owROAgJ1gjDhp9vNAnWCDZDSVEuTkFT</t>
  </si>
  <si>
    <t>REFRR1M6QU5BQi5JUV9FQVJOSU5HX0NPLi43LzE2LzIwMTguTEZSLkYuVVNELkgBAAAAIUyyAQIAAAAHLTMzLjcyMQEIAAAABQAAAAExAQAAAAoxODg3NDAwMDQzAwAAAAMxNjACAAAAATcEAAAAATAHAAAACTcvMTYvMjAxOAgAAAAJMy8zMS8yMDE4CQAAAAEwxP8bETUJ1gjCm2ISNQnWCDFDSVEuSVFUUjQwMzc5MTc2Ny5JUV9UUl9UQVJHRVRfUkVWRU5VRV9FU1QuLlVTRC5IAQAAAJdfERgCAAAAAABYzxIONQnWCMDbgg41CdYIN0NJUS5OQVNEQVFHTTpDUklTLklRX1BFUklPRERBVEVfSVMuMjAwMC43LzMxLzIwMTguTEZSLkYBAAAAF2oAAAUAAAAJMy8zMS8yMDE4AMgwsjcICdYI3UukbzQJ1ghEQ0lRLihJTlZBTElEIElERU5USUZJRVIpLklRX1JFVkVOVUVfRVNULkNZMjAyMS43LzMxLzIwMTguQ09OLkYuVVNELkgFAAAAAAAAAAgAAAAUKEludmFsaWQgSWRlbnRpZmllcinIMLI3CAnWCO02sG80CdYIKkNJUS5JUVRSNTM1NzE5OTk4LklRX1RSX1RBUkdFVF9FQklULi5VU0QuSAEAAAA+cO4fAgAAAAgtMzU0LjczNwEGAAAABQAAAAIzNwEAAAAKMTg1MjU1ODIyOAIAAAAFMjE2NzUDAAAAAzE2MAQAAAABMAcAAAAIMS8xLzE5MDCys0lvNAnWCIH9lW80CdYIJENJUS5PVENQSzpOV0JPLklRX0JFVEFfMVlSLjcvMTYvMjAxOAEAAACjehQAAgAAABEwLjE0NDEzODQ3MDk4MTY0MQApHJQQNQnWCDDXXRI1</t>
  </si>
  <si>
    <t>CdYIOUNJUS5OQVNEQVFHUzpDQUxBLklRX05JX01BUkdJTi4yMDAwLjcvMzEvMjAxOC5MRlIuRi5VU0QuSAEAAAClJ4EGAgAAAAktMTMxLjUxMTUBCAAAAAUAAAABMQEAAAAKMTg4Nzk4MDMwNQMAAAADMTYwAgAAAAQ0MDk0BAAAAAEwBwAAAAk3LzMxLzIwMTgIAAAACTMvMzEvMjAxOAkAAAABMMgwsjcICdYI3UukbzQJ1gggQ0lRLklRMTE2ODYzMjMuSVFfQ09NUEFOWV9USUNLRVIBAAAAs1GyAAMAAAANTmFzZGFxQ006WklPUACys0lvNAnWCMOGn280CdYII0NJUS5JUVRSNDExODcxMDgyLklRX1RSX0NMT1NFRF9EQVRFAQAAAGqnjBgFAAAACjEyLzE2LzIwMTYAsrNJbzQJ1gg1m5NvNAnWCDtDSVEuTkFTREFRR1M6TksuSVFfRUJJVERBX01BUkdJTi4yMDAwLjcvMzEvMjAxOC5MRlIuRi5VU0QuSAEAAAANfaEPAwAAAAJOTQEIAAAABQAAAAExAQAAAAoxODg3MTE4NzkxAwAAAAMxNjACAAAABDQwNDcEAAAAATAHAAAACTcvMzEvMjAxOAgAAAAJMy8zMS8yMDE4CQAAAAEw1owROAgJ1gjDhp9vNAnWCDlDSVEuTkFTREFRR1M6RVBaTS5JUV9UT1RBTF9SRVYuMjAwMC43LzMxLzIwMTguTEZSLkYuVVNELkgBAAAAAyY9AwIAAAACMTABCAAAAAUAAAABMQEAAAAKMTg4NzI0NjA3NwMAAAADMTYwAgAAAAIyOAQAAAABMAcAAAAJNy8zMS8yMDE4CAAAAAkzLzMxLzIwMTgJAAAAATDWjBE4CAnWCCTCmm80CdYIPUNJ</t>
  </si>
  <si>
    <t>US5OQVNEQVFHUzpUU1JPLklRX1JFVkVOVUVfRVNULkNZMjAxOS43LzMxLzIwMTguQ09OLkYuVVNELkgBAAAAaNZYBgIAAAAJNDY2LjcyNzM3AQ4AAAAFAAAAAjExAQAAAAEwAgAAAAoxMDAxNTgwMzQ1AwAAAAYxMDAxODAEAAAAATIGAAAAATAHAAAAAzE2MAgAAAABMAkAAAABMQoAAAABMAsAAAALMTA5ODExMzc0NDMMAAAAATcNAAAACDgvMS8yMDE4EAAAAAk3LzMxLzIwMTicC9U4CAnWCCTCmm80CdYIOUNJUS5FTlhUUEE6SVBILklRX0VBUk5JTkdfQ08uQ1kyMDE2LjcvMTYvMjAxOC5MRlIuRi5VU0QuSAEAAACZgAYAAgAAAAkxMy4zNDMxODYBCAAAAAUAAAABMQEAAAAKMTg4OTU1MjEzNgMAAAADMTYwAgAAAAE3BAAAAAEwBwAAAAk3LzE2LzIwMTgIAAAACjEyLzMxLzIwMTYJAAAAATApHJQQNQnWCHM5YBI1CdYILkNJUS5OQVNEQVFDTTpNVEVNLklRX01BUktFVENBUC43LzMxLzIwMTguVVNELkgBAAAAmZupAQIAAAAKMTQwLjE3MzkyNAEGAAAABQAAAAExAQAAAAoxODg4NzMyOTI3AwAAAAMxNjACAAAABjEwMDA1NAQAAAABMAcAAAAJNy8zMS8yMDE4yDCyNwgJ1ggZ6aFvNAnWCBdDSVEuLklRX0VGRkVDVF9UQVhfUkFURQUAAAAAAAAACAAAABQoSW52YWxpZCBJZGVudGlmaWVyKfWEMkc0CdYIaKoQ9zQJ1gg8Q0lRLk5BU0RBUUdTOkZQUlguSVFfRUJJVERBX0VTVC5DWTIwMTguNy8zMS8yMDE4LkNP</t>
  </si>
  <si>
    <t>Ti5GLlVTRC5IAQAAADddMwACAAAACC0xMjAuODg2AQ4AAAAFAAAAAjExAQAAAAEwAgAAAAoxMDAxOTU2MzQ0AwAAAAYxMDAxODcEAAAAATIGAAAAATAHAAAAAzE2MAgAAAABMAkAAAABMQoAAAABMAsAAAALMTA5Mjc5ODA2OTEMAAAAATcNAAAACDgvMS8yMDE4EAAAAAk3LzMxLzIwMTjWjBE4CAnWCBnpoW80CdYILkNJUS5OQVNEQVFHUzpKTkNFLklRX01BUktFVENBUC43LzE2LzIwMTguVVNELkgBAAAA4nmeDQIAAAAKMjU0LjM0NTM1MQEGAAAABQAAAAExAQAAAAoxODg4MTg2MDM1AwAAAAMxNjACAAAABjEwMDA1NAQAAAABMAcAAAAJNy8xNi8yMDE4KRyUEDUJ1gjkdFsSNQnWCEZDSVEuTkFTREFRR1M6VFNSTy5JUV9UT1RBTF9SRVZfNVlSX0FOTl9DQUdSLjIwMDAuNy8zMS8yMDE4LkxGUi5GLlVTRC5IAQAAAGjWWAYDAAAAAACcC9U4CAnWCCTCmm80CdYIOUNJUS4uSVFfVE9UQUxfUkVWXzJZUl9BTk5fQ0FHUi4yMDAwLjcvMzEvMjAxOC5MRlIuRi5VU0QuSAUAAAABAAAACAAAABQoSW52YWxpZCBJZGVudGlmaWVyKfWEMkc0CdYI9YQyRzQJ1gg9Q0lRLk5BU0RBUUNNOlNSTkUuSVFfQ0FTSF9TVF9JTlZFU1QuMjAwMC41LzUvMjAxNy5MRlIuRi5VU0QuSAEAAABJQ5QDAgAAAAY4My41MDQBCAAAAAUAAAABMQEAAAAKMTgzMzU2NjU5OQMAAAADMTYwAgAAAAQxMDAyBAAAAAEwBwAAAAg1LzUvMjAxNwgA</t>
  </si>
  <si>
    <t>AAAKMTIvMzEvMjAxNgkAAAABMNaMETgICdYIcySdbzQJ1gg2Q0lRLk5BU0RBUUdTOkJHTkUuSVFfRUJJVERBLjE5OTIuNy8zMS8yMDE4LkxGUi5GLlVTRC5IAQAAAODk3QYCAAAABy02NS42MzUBCAAAAAUAAAABMQEAAAAKMTg0MTE4MDE2OAMAAAADMTYwAgAAAAQ0MDUxBAAAAAEwBwAAAAk3LzMxLzIwMTgIAAAACTMvMzEvMjAxNgkAAAABMJwL1TgICdYIgf2VbzQJ1ggiQ0lRLklRVFI1NDgzMzgwMjAuSVFfVFJfUENUX1NPVUdIVAEAAABk+a4gAgAAAAMxMDABBgAAAAUAAAACNTQBAAAABjEwMTAyNAIAAAAJNTQ4MzM4MDIwAwAAAAk1NDgzNDA5ODUEAAAAAzE2MAYAAAAEVHJ1ZQxtEA41CdYIwNuCDjUJ1ggiQ0lRLklRVFI0MDgyOTEzOTUuSVFfVFJfVEFSR0VUTkFNRQEAAABDCFYYAwAAAB1Lb2xsdGFuIFBoYXJtYWNldXRpY2FscywgSW5jLgBYzxIONQnWCMDbgg41CdYIKkNJUS5JUVRSNDA5OTUxODg2LklRX1RSX1RBUkdFVF9FQklULi5VU0QuSAEAAACOXm8YAgAAAAAADG0QDjUJ1gjA24IONQnWCDxDSVEuTkFTREFRR1M6S1VSQS5JUV9FQklUREFfRVNULkNZMjAxOC43LzMxLzIwMTguQ09OLkYuVVNELkgBAAAAuMvaEAMAAAAAANaMETgICdYIcySdbzQJ1ggxQ0lRLklRVFI0MTM5NTM2NjEuSVFfVFJfVEFSR0VUX1JFVkVOVUVfRVNULi5VU0QuSAEAAAB9bqwYAgAAAAAAsrNJbzQJ1giB/ZVvNAnW</t>
  </si>
  <si>
    <t>CDxDSVEuTkFTREFRQ006QVZFTy5JUV9FQklUREFfRVNULkNZMjAxOC43LzE2LzIwMTguQ09OLkYuVVNELkgBAAAA9BYdAAMAAAAAAMT/GxE1CdYIwptiEjUJ1ggpQ0lRLklRMzYxODM4MjUuSVFfTEFTVFNBTEVQUklDRS43LzMxLzIwMTgBAAAAER8oAgIAAAAEMi42NwBJU0dvNAnWCIH9lW80CdYIHkNJUS5JUTI3OTMyOC5JUV9DT01QQU5ZX1RJQ0tFUgEAAAAgQwQAAwAAAA1OYXNkYXFHTTpJTU1VAAxtEA41CdYIqAKKDjUJ1ghGQ0lRLk5BU0RBUUdTOktVUkEuSVFfTUlOT1JJVFlfSU5URVJFU1RfVE9UQUwuMjAwMC41LzUvMjAxNy5MRlIuRi5VU0QuSAEAAAC4y9oQAwAAAAAA1owROAgJ1ghzJJ1vNAnWCD5DSVEuTkFTREFRR1M6S1VSQS5JUV9UT1RBTF9FUVVJVFkuQ1kyMDE2LjcvMzEvMjAxOC5MRlIuRi5VU0QuSAEAAAC4y9oQAgAAAAY1Ni44NzYBCAAAAAUAAAABMQEAAAAKMTg3ODAxMjQzNQMAAAADMTYwAgAAAAQxMjc1BAAAAAEwBwAAAAk3LzMxLzIwMTgIAAAACjEyLzMxLzIwMTYJAAAAATDWjBE4CAnWCHMknW80CdYIMkNJUS5OQVNEQVFHUzpQQllJLklRX0VCSVREQS4uNy8xNi8yMDE4LkxGUi5GLlVTRC5IAQAAAAJqrAcCAAAACC0yMzguNzA3AQgAAAAFAAAAATEBAAAACjE4ODg2Njc3NDMDAAAAAzE2MAIAAAAENDA1MQQAAAABMAcAAAAJNy8xNi8yMDE4CAAAAAkzLzMxLzIwMTgJAAAAATDE</t>
  </si>
  <si>
    <t>/xsRNQnWCBL+ZBI1CdYIPENJUS5OQVNEQVFHUzpLVVJBLklRX0dST1NTX01BUkdJTi4yMDAwLjcvMzEvMjAxOC5MRlIuRi5VU0QuSAEAAAC4y9oQAwAAAAAA1owROAgJ1ghzJJ1vNAnWCD1DSVEuTkFTREFRR006RkFURS5JUV9SRVZFTlVFX0VTVC5DWTIwMjAuNy8zMS8yMDE4LkNPTi5GLlVTRC5IAQAAAGgxVwICAAAABzE2Ljg0NjUBDgAAAAUAAAACMTEBAAAAATACAAAACjEwMDE5Njc0NDgDAAAABjEwMDE4MAQAAAABMgYAAAABMAcAAAADMTYwCAAAAAEwCQAAAAExCgAAAAEwCwAAAAsxMDk4NTcxNTgyMQwAAAABNw0AAAAIOC8xLzIwMTgQAAAACTcvMzEvMjAxONaMETgICdYIw4afbzQJ1gg9Q0lRLk5BU0RBUUdTOk1HTlguSVFfUkVWRU5VRV9FU1QuQ1kyMDE4LjcvMTYvMjAxOC5DT04uRi5VU0QuSAEAAABPKwkAAgAAAAgyNS4zMjkzNwEOAAAABQAAAAIxMQEAAAABMAIAAAAKMTAwMTk3MjkyOQMAAAAGMTAwMTgwBAAAAAEyBgAAAAEwBwAAAAMxNjAIAAAAATAJAAAAATEKAAAAATALAAAACzExMDMzNjMzMjY0DAAAAAE3DQAAAAk3LzE3LzIwMTgQAAAACTcvMTYvMjAxOMT/GxE1CdYIwptiEjUJ1gg1Q0lRLk5BU0RBUUdTOlNHRU4uSVFfTklfTUFSR0lOLi43LzE2LzIwMTguTEZSLkYuVVNELkgBAAAAYYUAAAIAAAAILTM0LjUwNDkBCAAAAAUAAAABMQEAAAAKMTg4NDg5Mjg1MgMAAAADMTYwAgAAAAQ0</t>
  </si>
  <si>
    <t>MDk0BAAAAAEwBwAAAAk3LzE2LzIwMTgIAAAACTMvMzEvMjAxOAkAAAABMMT/GxE1CdYIaGBnEjUJ1gg9Q0lRLk5BU0RBUUNNOk1URU0uSVFfQ0FTSF9TVF9JTlZFU1QuMjAwMC41LzUvMjAxNy5MRlIuRi5VU0QuSAEAAACZm6kBAwAAAAAAyDCyNwgJ1ggZ6aFvNAnWCClDSVEuSVFUUjI1Mzk1NDQ3My5JUV9UUl9JTVBMSUVEX0VRX05JX0xUTQEAAACpCSMPAgAAAAAAsrNJbzQJ1gg1m5NvNAnWCChDSVEuTkFTREFRQ006Q0tQVC5JUV9URVYuNy8xNi8yMDE4LlVTRC5IAQAAALhRFhECAAAACTQ3LjczNTkyNwEGAAAABQAAAAExAQAAAAoxODg4MDA3MTg3AwAAAAMxNjACAAAABjEwMDA2MAQAAAABMAcAAAAJNy8xNi8yMDE4KRyUEDUJ1ggw110SNQnWCENDSVEuTkFTREFRR006QUZNRC5JUV9NSU5PUklUWV9JTlRFUkVTVF9UT1RBTC4uOS8xNS8yMDE3LkxGUi5GLlVTRC5IAQAAANv3DAADAAAAAAApHJQQNQnWCDDXXRI1CdYIJ0NJUS5OQVNEQVFHTTpDUklTLklRX0JFVEFfMVlSLjcvMzEvMjAxOAEAAAAXagAAAgAAABAzLjAwMjgzMTUyNjYxNjI3AMgwsjcICdYI3UukbzQJ1ggxQ0lRLk5BU0RBUUdTOkJHTkUuSVFfREFfQ0YuLjcvMTYvMjAxOC5MRlIuRi5VU0QuSAEAAADg5N0GAgAAAAU2LjEzOAEIAAAABQAAAAExAQAAAAoxODg3Njg4NTg4AwAAAAMxNjACAAAABDIxNjAEAAAAATAHAAAACTcvMTYvMjAx</t>
  </si>
  <si>
    <t>OAgAAAAJMy8zMS8yMDE4CQAAAAEwxP8bETUJ1ghoYGcSNQnWCDxDSVEuTkFTREFRR006WE5DUi5JUV9FQVJOSU5HX0NPLkNZMjAxNi43LzE2LzIwMTguTEZSLkYuVVNELkgBAAAAploLAAIAAAAGMjMuNjI1AQgAAAAFAAAAATEBAAAACjE4NzY5ODQ1MjMDAAAAAzE2MAIAAAABNwQAAAABMAcAAAAJNy8xNi8yMDE4CAAAAAoxMi8zMS8yMDE2CQAAAAEwxP8bETUJ1ggS/mQSNQnWCEBDSVEuKElOVkFMSUQgSURFTlRJRklFUikuSVFfVE9UQUxfREVCVC4yMDAwLjUvNS8yMDE3LkxGUi5GLlVTRC5IBQAAAAAAAAAIAAAAFChJbnZhbGlkIElkZW50aWZpZXIpyDCyNwgJ1gjtNrBvNAnWCDlDSVEuTkFTREFRR1M6QkdORS5JUV9UT1RBTF9SRVYuMTk5Mi43LzMxLzIwMTguTEZSLkYuVVNELkgBAAAA4OTdBgIAAAAFOC4xMTQBCAAAAAUAAAABMQEAAAAKMTg0MTE4MDE2OAMAAAADMTYwAgAAAAIyOAQAAAABMAcAAAAJNy8zMS8yMDE4CAAAAAkzLzMxLzIwMTYJAAAAATCcC9U4CAnWCIH9lW80CdYIPENJUS5OQVNEQVFHTTpJTU1VLklRX0VCSVREQV9FU1QuQ1kyMDIwLjcvMzEvMjAxOC5DT04uRi5VU0QuSAEAAAAgQwQAAwAAAAAAnAvVOAgJ1gjUX5hvNAnWCDZDSVEuTkFTREFRR006Q1JWUy5JUV9FQklUREEuMTk5Mi43LzMxLzIwMTguTEZSLkYuVVNELkgBAAAA9LCmEAIAAAAHLTE3LjcyOQEIAAAABQAAAAExAQAA</t>
  </si>
  <si>
    <t>AAoxODQwMTE2MTU0AwAAAAMxNjACAAAABDQwNTEEAAAAATAHAAAACTcvMzEvMjAxOAgAAAAJMy8zMS8yMDE2CQAAAAEw1owROAgJ1ggZ6aFvNAnWCDFDSVEuTkFTREFRR006WE5DUi5JUV9DQVBFWC4uNy8xNi8yMDE4LkxGUi5GLlVTRC5IAQAAAKZaCwACAAAABi03LjE2MwEIAAAABQAAAAExAQAAAAoxODg3MTI1ODU1AwAAAAMxNjACAAAABDIwMjEEAAAAATAHAAAACTcvMTYvMjAxOAgAAAAJMy8zMS8yMDE4CQAAAAEwxP8bETUJ1ggS/mQSNQnWCDtDSVEuTkFTREFRR006Q1JWUy5JUV9UT1RBTF9SRVYuQ1kyMDE3LjcvMzEvMjAxOC5MRlIuRi5VU0QuSAEAAAD0sKYQAwAAAAAA1owROAgJ1ggZ6aFvNAnWCDZDSVEuTkFTREFRR006QVJSWS5JUV9FQklUREEuMjAwMC43LzMxLzIwMTguTEZSLkYuVVNELkgBAAAA+GEAAAIAAAAILTEwNy4wNDcBCAAAAAUAAAABMQEAAAAKMTg4ODQ3MDY3NgMAAAADMTYwAgAAAAQ0MDUxBAAAAAEwBwAAAAk3LzMxLzIwMTgIAAAACTMvMzEvMjAxOAkAAAABMJwL1TgICdYI1F+YbzQJ1ggjQ0lRLklRVFI1NDgzMzgwMjAuSVFfVFJfVE9UQUxfU1RPQ0sBAAAAZPmuIAIAAAAAAAxtEA41CdYIwNuCDjUJ1ghDQ0lRLk5BU0RBUUNNOlNSTkUuSVFfRUJJVERBXzNZUl9BTk5fQ0FHUi4yMDAwLjcvMzEvMjAxOC5MRlIuRi5VU0QuSAEAAABJQ5QDAwAAAAJOTQEIAAAABQAAAAExAQAA</t>
  </si>
  <si>
    <t>AAoxODg3OTg5ODMxAwAAAAMxNjACAAAABDQyMjIEAAAAATAHAAAACTcvMzEvMjAxOAgAAAAJMy8zMS8yMDE4CQAAAAEw1owROAgJ1ghzJJ1vNAnWCD1DSVEuTkFTREFRR1M6TVJTTi5JUV9SRVZFTlVFX0VTVC5DWTIwMjAuNy8zMS8yMDE4LkNPTi5GLlVTRC5IAQAAAObFGAACAAAABjIzLjczOAEOAAAABQAAAAIxMQEAAAABMAIAAAAKMTAwMzgwMzI4NQMAAAAGMTAwMTgwBAAAAAEyBgAAAAEwBwAAAAMxNjAIAAAAATAJAAAAATEKAAAAATALAAAACzExMDQzNTgxNTE0DAAAAAE3DQAAAAg4LzEvMjAxOBAAAAAJNy8zMS8yMDE41owROAgJ1gjDhp9vNAnWCEJDSVEuTkFTREFRR1M6QU5BQi5JUV9UT1RBTF9SRVZfNVlSX0FOTl9DQUdSLi43LzE2LzIwMTguTEZSLkYuVVNELkgBAAAAIUyyAQMAAAAAAMT/GxE1CdYIwptiEjUJ1gg5Q0lRLk5BU0RBUUdTOkNBTEEuSVFfVE9UQUxfUkVWLjE5OTYuNy8zMS8yMDE4LkxGUi5GLlVTRC5IAQAAAKUngQYCAAAABTQuMTkyAQgAAAAFAAAAATEBAAAACjE4ODc5ODAyNzcDAAAAAzE2MAIAAAACMjgEAAAAATAHAAAACTcvMzEvMjAxOAgAAAAJMy8zMS8yMDE3CQAAAAEwyDCyNwgJ1gjdS6RvNAnWCDdDSVEuTkFTREFRR1M6VFNSTy5JUV9QUkVGX0VRVUlUWS4uNy8xNi8yMDE4LkxGUi5GLlVTRC5IAQAAAGjWWAYDAAAAAADE/xsRNQnWCBL+ZBI1CdYINUNJUS5OQVNEQVFH</t>
  </si>
  <si>
    <t>UzpBVE5YLklRX0NBUEVYLjIwMDAuNy8zMS8yMDE4LkxGUi5GLlVTRC5IAQAAANyZawECAAAABi01LjA2MwEIAAAABQAAAAExAQAAAAoxODg4NzAyOTgyAwAAAAMxNjACAAAABDIwMjEEAAAAATAHAAAACTcvMzEvMjAxOAgAAAAJMy8zMS8yMDE4CQAAAAEw1owROAgJ1ggkwppvNAnWCC9DSVEuKElOVkFMSUQgSURFTlRJRklFUikuSVFfVEVWLjcvMTYvMjAxOC5VU0QuSAUAAAAAAAAACAAAABQoSW52YWxpZCBJZGVudGlmaWVyKd6nfhA1CdYImBJZEjUJ1gguQ0lRLi5JUV9UT1RBTF9SRVYuQ1kyMDE3LjcvMzEvMjAxOC5MRlIuRi5VU0QuSAUAAAABAAAACAAAABQoSW52YWxpZCBJZGVudGlmaWVyKZYkMEc0CdYIliQwRzQJ1gg9Q0lRLk5BU0RBUUdTOkNBTEEuSVFfQ0FTSF9TVF9JTlZFU1QuMjAwMC41LzUvMjAxNy5MRlIuRi5VU0QuSAEAAAClJ4EGAgAAAAY1MS43ODEBCAAAAAUAAAABMQEAAAAKMTgzMjE3NzY2NgMAAAADMTYwAgAAAAQxMDAyBAAAAAEwBwAAAAg1LzUvMjAxNwgAAAAKMTIvMzEvMjAxNgkAAAABMMgwsjcICdYI3UukbzQJ1gguQ0lRLklRVFIyNzM1MDcxODUuSVFfVFJfVEFSR0VUX1NUT0NLUFJFTUlVTV8xTQEAAABxY00QAgAAAAgxMDQuNzQxOAEGAAAABQAAAAI1NAEAAAAGMTAxMDU1AgAAAAkyNzM1MDcxODUDAAAACTI3MzUwNzc4NwQAAAADMTYwBgAAAAVGYWxzZbKzSW80CdYIgf2V</t>
  </si>
  <si>
    <t>bzQJ1ggvQ0lRLkFTWDpJTVUuSVFfVE9UQUxfUkVWLi43LzE2LzIwMTguTEZSLkYuVVNELkgBAAAAmJOpAAIAAAAHMC44ODE2OQEIAAAABQAAAAExAQAAAAoxODc3MzA1MzIwAwAAAAMxNjACAAAAAjI4BAAAAAEwBwAAAAk3LzE2LzIwMTgIAAAACjEyLzMxLzIwMTcJAAAAATApHJQQNQnWCDDXXRI1CdYIHkNJUS4wLklRX1RSX1RBUkdFVF9FQklULi5VU0QuSAUAAAAAAAAACAAAABgoSW52YWxpZCBUcmFuc2FjdGlvbiBJZClJU0dvNAnWCAfi8IE0CdYIPENJUS5OQVNEQVFHUzpHVEhYLklRX1RPVEFMX0VRVUlUWS4xOTkyLjcvMzEvMjAxOC5MRlIuRi5VU0QuSAEAAABlNGkIAwAAAAAA1owROAgJ1ggkwppvNAnWCCJDSVEuWFRSQTpNT1IuSVFfUEVSSU9EREFURV9JUy4xMDAwAQAAAN8RAgAFAAAACjEyLzMxLzIwMTcAnAvVOAgJ1gjUX5hvNAnWCCFDSVEuSVFUUjQxMTg3MTA4Mi5JUV9UUl9CVVlFUk5BTUUBAAAAaqeMGAMAAAATQ2VsZ2VuZSBDb3Jwb3JhdGlvbgCys0lvNAnWCDWbk280CdYINUNJUS5FTlhUUEE6SVBILklRX0VCSVREQS5DWTIwMTcuNy8xNi8yMDE4LkxGUi5GLlVTRC5IAQAAAJmABgACAAAACS00Mi43MzQxNQEIAAAABQAAAAExAQAAAAoxODg5NTUyMTY0AwAAAAMxNjACAAAABDQwNTEEAAAAATAHAAAACTcvMTYvMjAxOAgAAAAKMTIvMzEvMjAxNwkAAAABMCkclBA1CdYIczlgEjUJ1gg+</t>
  </si>
  <si>
    <t>Q0lRLk5BU0RBUUdTOlRTUk8uSVFfVE9UQUxfRVFVSVRZLkNZMjAxNy43LzE2LzIwMTguTEZSLkYuVVNELkgBAAAAaNZYBgIAAAAHMjQ5LjA4NgEIAAAABQAAAAExAQAAAAoxODc3MjI2MzAxAwAAAAMxNjACAAAABDEyNzUEAAAAATAHAAAACTcvMTYvMjAxOAgAAAAKMTIvMzEvMjAxNwkAAAABMMT/GxE1CdYIEv5kEjUJ1gggQ0lRLklRVFI0MzE4NDE1ODEuSVFfVFJfRUFSTk9VVFMBAAAALWG9GQIAAAAAAAxtEA41CdYIDD6FDjUJ1gg6Q0lRLk5BU0RBUUdTOkNBTEEuSVFfVE9UQUxfREVCVC4yMDAwLjcvMzEvMjAxOC5MRlIuRi5VU0QuSAEAAAClJ4EGAgAAAAEwAQgAAAAFAAAAATEBAAAACjE4ODc5ODAzMDUDAAAAAzE2MAIAAAAENDE3MwQAAAABMAcAAAAJNy8zMS8yMDE4CAAAAAkzLzMxLzIwMTgJAAAAATDIMLI3CAnWCN1LpG80CdYIPENJUS5PVENQSzpNQlZYLklRX0VCSVREQV81WVJfQU5OX0NBR1IuLjcvMTYvMjAxOC5MRlIuRi5VU0QuSAEAAADYRIsCAwAAAAJOTQEIAAAABQAAAAExAQAAAAoxODgxMjEzMjQ1AwAAAAMxNjACAAAABDQyMzUEAAAAATAHAAAACTcvMTYvMjAxOAgAAAAKMTIvMzEvMjAxNwkAAAABMN6nfhA1CdYImBJZEjUJ1ggxQ0lRLk5BU0RBUUdNOkFGTUQuSVFfREFfQ0YuLjcvMTYvMjAxOC5MRlIuRi5VU0QuSAEAAADb9wwAAgAAAAgwLjQ0ODQ0MgEIAAAABQAAAAExAQAAAAox</t>
  </si>
  <si>
    <t>ODg5ODY2MDQ5AwAAAAMxNjACAAAABDIxNjAEAAAAATAHAAAACTcvMTYvMjAxOAgAAAAJMy8zMS8yMDE4CQAAAAEwKRyUEDUJ1ggw110SNQnWCDxDSVEuTkFTREFRQ006WklPUC5JUV9UT1RBTF9FUVVJVFkuMTk5Ni43LzMxLzIwMTguTEZSLkYuVVNELkgBAAAAs1GyAAIAAAAGMzQuNTM5AQgAAAAFAAAAATEBAAAACjE4ODc5NzIzNDgDAAAAAzE2MAIAAAAEMTI3NQQAAAABMAcAAAAJNy8zMS8yMDE4CAAAAAkzLzMxLzIwMTcJAAAAATDWjBE4CAnWCMOGn280CdYIKkNJUS5JUVRSNTMzMzg1NzQ0LklRX1RSX1RBUkdFVF9FQklULi5VU0QuSAEAAAAQ0sofAgAAAAAADG0QDjUJ1gjA24IONQnWCChDSVEuTkFTREFRR1M6Q1RNWC5JUV9URVYuNy8xNi8yMDE4LlVTRC5IAQAAANw4mwMCAAAACjY2Mi45MDg1MzcBBgAAAAUAAAABMQEAAAAKMTg4NzY3NDgyOQMAAAADMTYwAgAAAAYxMDAwNjAEAAAAATAHAAAACTcvMTYvMjAxOEadGRE1CdYIwptiEjUJ1ggwQ0lRLklRVFI1NDgzMzgwMjAuSVFfVFJfVEFSR0VUX0VCSVREQV9FU1QuLlVTRC5IAQAAAGT5riACAAAAAAAMbRAONQnWCMDbgg41CdYIOkNJUS5OQVNEQVFHUzpHVEhYLklRX0VBUk5JTkdfQ08uMjAwMC43LzMxLzIwMTguTEZSLkYuVVNELkgBAAAAZTRpCAIAAAAHLTY4LjE4NgEIAAAABQAAAAExAQAAAAoxODg2MzY3NjY3AwAAAAMxNjACAAAAATcEAAAA</t>
  </si>
  <si>
    <t>ATAHAAAACTcvMzEvMjAxOAgAAAAJMy8zMS8yMDE4CQAAAAEw1owROAgJ1ggkwppvNAnWCDpDSVEuTkFTREFRR006SU1NVS5JUV9FQVJOSU5HX0NPLjE5OTIuNy8zMS8yMDE4LkxGUi5GLlVTRC5IAQAAACBDBAACAAAACi01NS42Mzc3NDYBCAAAAAUAAAABMQEAAAAKMTg0MTE3MTIyNAMAAAADMTYwAgAAAAE3BAAAAAEwBwAAAAk3LzMxLzIwMTgIAAAACTMvMzEvMjAxNgkAAAABMJwL1TgICdYI1F+YbzQJ1gg4Q0lRLk5BU0RBUUdTOkNBTEEuSVFfVE9UQUxfRVFVSVRZLi43LzE2LzIwMTguTEZSLkYuVVNELkgBAAAApSeBBgIAAAAHMTQ3Ljg2NwEIAAAABQAAAAExAQAAAAoxODg3OTgwMzA1AwAAAAMxNjACAAAABDEyNzUEAAAAATAHAAAACTcvMTYvMjAxOAgAAAAJMy8zMS8yMDE4CQAAAAEwKRyUEDUJ1gjkdFsSNQnWCDtDSVEuTkFTREFRR1M6RlBSWC5JUV9UT1RBTF9SRVYuQ1kyMDE3LjcvMzEvMjAxOC5MRlIuRi5VU0QuSAEAAAA3XTMAAgAAAAYzOS41MDgBCAAAAAUAAAABMQEAAAAKMTg3NjEzNTk5MQMAAAADMTYwAgAAAAIyOAQAAAABMAcAAAAJNy8zMS8yMDE4CAAAAAoxMi8zMS8yMDE3CQAAAAEw1owROAgJ1ggZ6aFvNAnWCDVDSVEuRU5YVFBBOklQSC5JUV9FQklUREEuQ1kyMDE2LjcvMTYvMjAxOC5MRlIuRi5VU0QuSAEAAACZgAYAAgAAAAkxMS40MzY3MTUBCAAAAAUAAAABMQEAAAAKMTg4OTU1</t>
  </si>
  <si>
    <t>MjEzNgMAAAADMTYwAgAAAAQ0MDUxBAAAAAEwBwAAAAk3LzE2LzIwMTgIAAAACjEyLzMxLzIwMTYJAAAAATApHJQQNQnWCHM5YBI1CdYIPUNJUS5OQVNEQVFHTTpGQVRFLklRX1JFVkVOVUVfRVNULkNZMjAxOS43LzMxLzIwMTguQ09OLkYuVVNELkgBAAAAaDFXAgIAAAAHMi4yOTQxNwEOAAAABQAAAAIxMQEAAAABMAIAAAAKMTAwMTk2NzQ0MwMAAAAGMTAwMTgwBAAAAAEyBgAAAAEwBwAAAAMxNjAIAAAAATAJAAAAATEKAAAAATALAAAACzEwOTg1NzE1OTg4DAAAAAE3DQAAAAg4LzEvMjAxOBAAAAAJNy8zMS8yMDE41owROAgJ1gjDhp9vNAnWCDpDSVEuTkFTREFRR006QVJSWS5JUV9FQVJOSU5HX0NPLjE5OTIuNy8zMS8yMDE4LkxGUi5GLlVTRC5IAQAAAPhhAAACAAAABi04MC41NgEIAAAABQAAAAExAQAAAAoxODQxMDk1MDI2AwAAAAMxNjACAAAAATcEAAAAATAHAAAACTcvMzEvMjAxOAgAAAAJMy8zMS8yMDE2CQAAAAEwnAvVOAgJ1ggkwppvNAnWCDtDSVEuTkFTREFRR1M6RVBaTS5JUV9QUkVGX0VRVUlUWS4yMDAwLjcvMzEvMjAxOC5MRlIuRi5VU0QuSAEAAAADJj0DAwAAAAAA1owROAgJ1ggkwppvNAnWCClDSVEuTkFTREFRR1M6QVROWC5JUV9CVVNJTkVTU19ERVNDUklQVElPTgEAAADcmWsBAwAAAPMNQXRoZW5leCwgSW5jLiwgYSBiaW9waGFybWFjZXV0aWNhbCBjb21wYW55LCBlbmdhZ2VzIGlu</t>
  </si>
  <si>
    <t>IHRoZSBkaXNjb3ZlcnksIGRldmVsb3BtZW50LCBhbmQgY29tbWVyY2lhbGl6YXRpb24gb2YgdmFyaW91cyB0aGVyYXBpZXMgZm9yIHRoZSB0cmVhdG1lbnQgb2YgY2FuY2VyIGFuZCByZWxhdGVkIGNvbmRpdGlvbnMuIFRoZSBjb21wYW554oCZcyBPcmFzY292ZXJ5IHByb2R1Y3QgY2FuZGlkYXRlcyBpbmNsdWRlIE9yYXhvbCwgYW4gb3JhbCBkb3NhZ2UgZm9ybSwgd2hpY2ggaXMgaW4gUGhhc2UgSUlJIHRyaWFsIGZvciBtZXRhc3RhdGljIGJyZWFzdCBjYW5jZXIsIGFzIHdlbGwgYXMgdmFyaW91cyBjbGluaWNhbCBzdHVkaWVzIGluIGFkdmFuY2VkIG1hbGlnbmFuY2VzIGFuZCBnYXN0cmljIGNhbmNlcjsgYW5kIE9yYXRlY2FuLCBhbiBvcmFsIGRvc2FnZSBmb3JtIG9mIGlyaW5vdGVjYW4gdGhhdCBpcyBpbiBhIFBoYXNlIEkgc3R1ZHkgZm9yIHRoZSB0cmVhdG1lbnQgb2YgbWV0YXN0YXRpYyBjb2xvcmVjdGFsIGNhbmNlciwgZ2xpb2JsYXN0b21hLCBsdW5nLCBvdmFyaWFuLCBjZXJ2aWNhbCwgdXBwZXIgZ2FzdHJvaW50ZXN0aW5hbCwgYW5kIHBhbmNyZWF0aWMgY2FuY2VyLiBJdHMgT3Jhc2NvdmVyeSBwcm9kdWN0IGNhbmRpZGF0ZXMgYWxzbyBjb21wcmlzZSBPcmFkb3hlbCwgYW4gb3JhbCBkb3NhZ2UgZm9ybSBvZiBkb2NldGF4ZWwsIHdoaWNoIGlzIGluIFBoYXNlIEkgY2xpbmljYWwgc3R1</t>
  </si>
  <si>
    <t>ZHkgZm9yIGJyZWFzdCwgbHVuZywgcHJvc3RhdGUsIGdhc3RyaWMsIGFuZCBoZWFkIGFuZCBuZWNrIGNhbmNlcnM7IE9yYXRvcG8sIGFuIG9yYWwgZG9zYWdlIGZvcm0gb2YgdG9wb3RlY2FuIHRoYXQgaXMgdW5kZXIgZGV2ZWxvcG1lbnQgdG8gdHJlYXQgbHVuZywgb3ZhcmlhbiwgYW5kIGNlcnZpY2FsIGNhbmNlcjsgYW5kIG9yYWwgZXJpYnVsaW4gY28tYWRtaW5pc3RlcmVkIHdpdGggSE0zMDE4MUEgdGhhdCBpcyB1bmRlciBwcmUtY2xpbmljYWwgZGV2ZWxvcG1lbnQgdG8gdHJlYXQgY2VydGFpbiBwYXRpZW50cyB3aXRoIGJyZWFzdCBjYW5jZXIgYW5kIGFkdmFuY2VkIGxpcG9zYXJjb20uIEluIGFkZGl0aW9uLCB0aGUgY29tcGFueSBvZmZlcnMgU3JjIEtpbmFzZSBwcm9kdWN0IGNhbmRpZGF0ZXMgY29tcHJpc2luZyBLWC0wMSwgYSBjb21wb3VuZCwgd2hpY2ggaXMgaW4gUGhhc2UgMyBzdHVkeSBmb3IgdGhlIHRyZWF0bWVudCBvZiBhY3RpbmljIGtlcmF0b3NpczsgYW5kIEtYLTAyIHRoYXQgaXMgUGhhc2UgSSBjbGluaWNhbCB0cmlhbCBmb3Igc29saWQgdHVtb3IgcGF0aWVudHMuIEZ1cnRoZXIsIGl0IGlzIGRldmVsb3BpbmcgaW50cmFuYXNhbCBmb3JtdWxhdGlvbnMgb2YgZ3JhbmlzZXRyb24sIGEgNS1oeWRyb3h5dHJ5cHRhbWluZSAzIHJlY2VwdG9yIGFudGFnb25pc3QgdG8gcHJldmVu</t>
  </si>
  <si>
    <t>dCBjaGVtb3RoZXJhcHktaW5kdWNlZCBuYXVzZWEgYW5kIHZvbWl0aW5nOyBhbmQgZHVhbCBhYnNvcnB0aW9uIGVuaGFuY2VycyB0byBpbmhpYml0IHRoZSBQLWdwIHRyYW5zcG9ydGVyIGFuZCB0aGUgY3l0b2Nocm9tZSBQNDUwIGVuenltZXMgd2l0aGluIHRoZSBnYXN0cm9pbnRlc3RpbmFsIHRyYWN0LiBUaGUgY29tcGFueSB3YXMgZm9ybWVybHkga25vd24gYXMgS2luZXggUGhhcm1hY2V1dGljYWxzIExMQyBhbmQgY2hhbmdlZCBpdHMgbmFtZSB0byBBdGhlbmV4LCBJbmMuIGluIEF1Z3VzdCAyMDE1LiBBdGhlbmV4LCBJbmMuIHdhcyBmb3VuZGVkIGluIDIwMDMgYW5kIGlzIGhlYWRxdWFydGVyZWQgaW4gQnVmZmFsbywgTmV3IFlvcmsuANaMETgICdYIJMKabzQJ1ggiQ0lRLklRVFI0MDk5NTE4ODYuSVFfVFJfUENUX1NPVUdIVAEAAACOXm8YAgAAAAMxMDABBgAAAAUAAAACNTQBAAAABjEwMTAyNAIAAAAJNDA5OTUxODg2AwAAAAk0MDk5NTE5MzYEAAAAAzE2MAYAAAAEVHJ1ZQxtEA41CdYIwNuCDjUJ1ggwQ0lRLklRVFI1NDI4MDY2ODYuSVFfVFJfVEFSR0VUX0VCSVREQV9FU1QuLlVTRC5IAQAAAJ6SWiACAAAAAACys0lvNAnWCIH9lW80CdYIL0NJUS5PVENQSzpNQlZYLklRX0VCSVREQS4uNy8xNi8yMDE4LkxGUi5GLlVTRC5IAQAAANhEiwICAAAACS0xNy45MTA2MgEIAAAABQAAAAExAQAAAAox</t>
  </si>
  <si>
    <t>ODgxMjEzMjQ1AwAAAAMxNjACAAAABDQwNTEEAAAAATAHAAAACTcvMTYvMjAxOAgAAAAKMTIvMzEvMjAxNwkAAAABMN6nfhA1CdYImBJZEjUJ1ghEQ0lRLk5BU0RBUUdTOk5LLklRX1RPVEFMX1JFVl8yWVJfQU5OX0NBR1IuMjAwMC43LzMxLzIwMTguTEZSLkYuVVNELkgBAAAADX2hDwIAAAAILTQzLjQ2MDUBCAAAAAUAAAABMQEAAAAKMTg4NzExODc5MQMAAAADMTYwAgAAAAQ0MjA3BAAAAAEwBwAAAAk3LzMxLzIwMTgIAAAACTMvMzEvMjAxOAkAAAABMNaMETgICdYIGemhbzQJ1gg1Q0lRLk5BU0RBUUdTOkFEWFMuSVFfVE9UQUxfUkVWLi43LzE2LzIwMTguTEZSLkYuVVNELkgBAAAAnux4AAIAAAAIOC42MTc5MzUBCAAAAAUAAAABMQEAAAAKMTg5Mjc4ODU0OAMAAAADMTYwAgAAAAIyOAQAAAABMAcAAAAJNy8xNi8yMDE4CAAAAAk0LzMwLzIwMTgJAAAAATApHJQQNQnWCOR0WxI1CdYIPkNJUS5OQVNEQVFHUzpCR05FLklRX1RPVEFMX0VRVUlUWS5DWTIwMTcuNy8zMS8yMDE4LkxGUi5GLlVTRC5IAQAAAODk3QYCAAAABjY4MS45NAEIAAAABQAAAAExAQAAAAoxODk5ODgxMTk0AwAAAAMxNjACAAAABDEyNzUEAAAAATAHAAAACTcvMzEvMjAxOAgAAAAKMTIvMzEvMjAxNwkAAAABMJwL1TgICdYIgf2VbzQJ1ggjQ0lRLk5BU0RBUUdNOkxQVFguSVFfUEVSSU9EREFURV9JUy4BAAAADDYJBwUAAAAJNi8zMC8y</t>
  </si>
  <si>
    <t>MDE4ACkclBA1CdYIMNddEjUJ1gg8Q0lRLk5BU0RBUUdTOk1SU04uSVFfRUJJVERBX0VTVC5DWTIwMTguNy8zMS8yMDE4LkNPTi5GLlVTRC5IAQAAAObFGAACAAAABy01MC42MjQBDgAAAAUAAAACMTEBAAAAATACAAAACjEwMDM4MDMyNzUDAAAABjEwMDE4NwQAAAABMgYAAAABMAcAAAADMTYwCAAAAAEwCQAAAAExCgAAAAEwCwAAAAsxMDk4MTQxNzI3MwwAAAABNw0AAAAIOC8xLzIwMTgQAAAACTcvMzEvMjAxONaMETgICdYIw4afbzQJ1gg4Q0lRLk5BU0RBUUdTOkFOQUIuSVFfVE9UQUxfRVFVSVRZLi43LzE2LzIwMTguTEZSLkYuVVNELkgBAAAAIUyyAQIAAAAHMjk0LjUyNwEIAAAABQAAAAExAQAAAAoxODg3NDAwMDQzAwAAAAMxNjACAAAABDEyNzUEAAAAATAHAAAACTcvMTYvMjAxOAgAAAAJMy8zMS8yMDE4CQAAAAEwxP8bETUJ1gjCm2ISNQnWCDBDSVEuT1RDUEs6TldCTy5JUV9QRVJJT0REQVRFX0lTLi43LzE2LzIwMTguTEZSLkYBAAAAo3oUAAUAAAAJMy8zMS8yMDE4ACkclBA1CdYIczlgEjUJ1ggnQ0lRLk5BU0RBUUdTOkZQUlguSVFfQkVUQV81WVIuNy8zMS8yMDE4AQAAADddMwACAAAAEDMuMzM2NjQyMDkwOTcyNDQA1owROAgJ1ggZ6aFvNAnWCDtDSVEuTkFTREFRR1M6QVROWC5JUV9UT1RBTF9SRVYuQ1kyMDE3LjcvMzEvMjAxOC5MRlIuRi5VU0QuSAEAAADcmWsBAgAAAAYzOC4wNDMBCAAA</t>
  </si>
  <si>
    <t>AAUAAAABMQEAAAAKMTg3OTkwNzYzNQMAAAADMTYwAgAAAAIyOAQAAAABMAcAAAAJNy8zMS8yMDE4CAAAAAoxMi8zMS8yMDE3CQAAAAEw1owROAgJ1ggkwppvNAnWCDlDSVEuT1RDUEs6TUJWWC5JUV9FQklUREFfRVNULkNZMjAxOC43LzE2LzIwMTguQ09OLkYuVVNELkgBAAAA2ESLAgMAAAAAAN6nfhA1CdYImBJZEjUJ1gg2Q0lRLk5BU0RBUUdTOkFEWFMuSVFfVE9UQUxfREVCVC4uNy8xNi8yMDE4LkxGUi5GLlVTRC5IAQAAAJ7seAACAAAAATABCAAAAAUAAAABMQEAAAAKMTg5Mjc4ODU0OAMAAAADMTYwAgAAAAQ0MTczBAAAAAEwBwAAAAk3LzE2LzIwMTgIAAAACTQvMzAvMjAxOAkAAAABMCkclBA1CdYI5HRbEjUJ1ggrQ0lRLk5BU0RBUUdTOkdUSFguSVFfTEFTVFNBTEVQUklDRS41LzUvMjAxNwEAAABlNGkIAwAAAAAA1owROAgJ1ggkwppvNAnWCCJDSVEuSVFUUjQwODI5MTM5NS5JUV9UUl9UT1RBTF9DQVNIAQAAAEMIVhgCAAAAAABYzxIONQnWCMDbgg41CdYIPENJUS5OQVNEQVFHTTpJTU1VLklRX0VBUk5JTkdfQ08uQ1kyMDE3LjcvMzEvMjAxOC5MRlIuRi5VU0QuSAEAAAAgQwQAAgAAAAstMjMzLjg3ODY3MgEIAAAABQAAAAExAQAAAAoxODczNDkzNTI4AwAAAAMxNjACAAAAATcEAAAAATAHAAAACTcvMzEvMjAxOAgAAAAKMTIvMzEvMjAxNwkAAAABMJwL1TgICdYI1F+YbzQJ1gg+Q0lRLk5BU0RB</t>
  </si>
  <si>
    <t>UUdTOk1SU04uSVFfVE9UQUxfRVFVSVRZLkNZMjAxNy43LzE2LzIwMTguTEZSLkYuVVNELkgBAAAA5sUYAAIAAAAGNjkuOTk0AQgAAAAFAAAAATEBAAAACjE4ODA1NDczOTUDAAAAAzE2MAIAAAAEMTI3NQQAAAABMAcAAAAJNy8xNi8yMDE4CAAAAAoxMi8zMS8yMDE3CQAAAAEwKRyUEDUJ1ghzOWASNQnWCDhDSVEuTkFTREFRR006QUZNRC5JUV9FQklUREEuQ1kyMDE3LjcvMTYvMjAxOC5MRlIuRi5VU0QuSAEAAADb9wwAAgAAAAotMzIuMzExNDc5AQgAAAAFAAAAATEBAAAACjE4NzkxNDc2OTYDAAAAAzE2MAIAAAAENDA1MQQAAAABMAcAAAAJNy8xNi8yMDE4CAAAAAoxMi8zMS8yMDE3CQAAAAEwKRyUEDUJ1ggw110SNQnWCDxDSVEuTkFTREFRR1M6RlBSWC5JUV9UT1RBTF9FUVVJVFkuMjAwMC43LzMxLzIwMTguTEZSLkYuVVNELkgBAAAAN10zAAIAAAAHMzYyLjIxNgEIAAAABQAAAAExAQAAAAoxODg3NDAyMjI3AwAAAAMxNjACAAAABDEyNzUEAAAAATAHAAAACTcvMzEvMjAxOAgAAAAJMy8zMS8yMDE4CQAAAAEwyDCyNwgJ1ggZ6aFvNAnWCClDSVEuSVFUUjI1Mzk1NDQ3My5JUV9CVVNJTkVTU19ERVNDUklQVElPTgEAAAClCCMPAwAAAK4CQXMgb2YgSmFudWFyeSA5LCAyMDE0LCB0d28gZXhwZXJpbWVudGFsIGJsb29kIGNhbmNlciBkcnVncyB3ZXJlIGFjcXVpcmVkIGJ5IFN1bmVzaXMgUGhhcm1hY2V1</t>
  </si>
  <si>
    <t>dGljYWxzLCBJbmMuIFR3byBleHBlcmltZW50YWwgYmxvb2QgY2FuY2VyIGRydWdzIGNvbXByaXNlcyB0aGUgbGljZW5zZSBmb3IgdHdvIGJsb29kIGNhbmNlciBkcnVncyB3aGljaCBpbmNsdWRlIFNOUy0wNjIsIGEgbWVkaWF0b3Igb2YgcmVjZXB0b3Igc2lnbmFsaW5nIGZvciBibG9vZCBjYW5jZXJzIGFuZCBQREsxLCBhIGNhbmNlciBzaWduYWxpbmcgcGF0aHdheS4AsrNJbzQJ1gg1m5NvNAnWCD1DSVEuTkFTREFRQ006QVZFTy5JUV9SRVZFTlVFX0VTVC5DWTIwMTkuNy8xNi8yMDE4LkNPTi5GLlVTRC5IAQAAAPQWHQACAAAABzE5LjQyMzUBDgAAAAUAAAACMTEBAAAAATACAAAACjEwMDA3NDgwNzgDAAAABjEwMDE4MAQAAAABMgYAAAABMAcAAAADMTYwCAAAAAEwCQAAAAExCgAAAAEwCwAAAAsxMDg3MTYwOTA1NgwAAAABNw0AAAAJNy8xNy8yMDE4EAAAAAk3LzE2LzIwMTjE/xsRNQnWCMKbYhI1CdYIQ0NJUS5OQVNEQVFDTTpTUk5FLklRX0VCSVREQV8yWVJfQU5OX0NBR1IuMjAwMC43LzMxLzIwMTguTEZSLkYuVVNELkgBAAAASUOUAwMAAAACTk0BCAAAAAUAAAABMQEAAAAKMTg4Nzk4OTgzMQMAAAADMTYwAgAAAAQ0MjA5BAAAAAEwBwAAAAk3LzMxLzIwMTgIAAAACTMvMzEvMjAxOAkAAAABMNaMETgICdYIcySdbzQJ1gg/Q0lRLk5BU0RBUUdTOlRTUk8uSVFfTkVUX1dPUktJTkdfQ0FQLjE5OTYu</t>
  </si>
  <si>
    <t>Ny8zMS8yMDE4LkxGUi5GLlVTRC5IAQAAAGjWWAYCAAAABy03Mi4xMzgBCAAAAAUAAAABMQEAAAAKMTg4NjMzNzQ1MQMAAAADMTYwAgAAAAQxMzExBAAAAAEwBwAAAAk3LzMxLzIwMTgIAAAACTMvMzEvMjAxNwkAAAABMJwL1TgICdYIJMKabzQJ1ggoQ0lRLihJTlZBTElEIElERU5USUZJRVIpLklRX0NPTVBBTllfTkFNRQUAAAAAAAAACAAAABQoSW52YWxpZCBJZGVudGlmaWVyKcgwsjcICdYIQsWtDjUJ1ghGQ0lRLihJTlZBTElEIElERU5USUZJRVIpLklRX0VCSVREQV8zWVJfQU5OX0NBR1IuLjcvMTYvMjAxOC5MRlIuRi5VU0QuSAUAAAAAAAAACAAAABQoSW52YWxpZCBJZGVudGlmaWVyKd6nfhA1CdYImBJZEjUJ1gg/Q0lRLk5BU0RBUUNNOkFWRU8uSVFfRUJJVERBXzVZUl9BTk5fQ0FHUi4uNy8xNi8yMDE4LkxGUi5GLlVTRC5IAQAAAPQWHQADAAAAAADE/xsRNQnWCHM5YBI1CdYIRENJUS5OQVNEQVFHUzpOSy5JUV9UT1RBTF9SRVZfM1lSX0FOTl9DQUdSLjIwMDAuNy8zMS8yMDE4LkxGUi5GLlVTRC5IAQAAAA19oQ8CAAAACC01Ni41MzY2AQgAAAAFAAAAATEBAAAACjE4ODcxMTg3OTEDAAAAAzE2MAIAAAAENDIyMAQAAAABMAcAAAAJNy8zMS8yMDE4CAAAAAkzLzMxLzIwMTgJAAAAATDWjBE4CAnWCBnpoW80CdYILENJUS5JUVRSNTUwMjU5Mzk3LklRX1RSX1RPVEFMX0dST1NTX1RWLlVTRC5IBQAA</t>
  </si>
  <si>
    <t>AAAAAAAIAAAAGihJbnZhbGlkIEN1cnJlbmN5IFJlcXVlc3QpDG0QDjUJ1gh3eYAONQnWCCxDSVEuSVFUUjQyMjg4NzcwMS5JUV9UUl9UT1RBTF9HUk9TU19UVi5VU0QuSAUAAAAAAAAACAAAABooSW52YWxpZCBDdXJyZW5jeSBSZXF1ZXN0KQxtEA41CdYIwNuCDjUJ1gg4Q0lRLk5BU0RBUUdNOlhOQ1IuSVFfVE9UQUxfRVFVSVRZLi43LzE2LzIwMTguTEZSLkYuVVNELkgBAAAAploLAAIAAAAHNTM3LjY2NAEIAAAABQAAAAExAQAAAAoxODg3MTI1ODU1AwAAAAMxNjACAAAABDEyNzUEAAAAATAHAAAACTcvMTYvMjAxOAgAAAAJMy8zMS8yMDE4CQAAAAEwxP8bETUJ1ggS/mQSNQnWCCFDSVEuT1RDUEs6TldCTy5JUV9FRkZFQ1RfVEFYX1JBVEUBAAAAo3oUAAMAAAAAACkclBA1CdYIMNddEjUJ1gg4Q0lRLk5BU0RBUUdTOk1SU04uSVFfRUJJVERBLkNZMjAxNy43LzMxLzIwMTguTEZSLkYuVVNELkgBAAAA5sUYAAIAAAAHLTM4LjY4OQEIAAAABQAAAAExAQAAAAoxODgwNTQ3Mzk1AwAAAAMxNjACAAAABDQwNTEEAAAAATAHAAAACTcvMzEvMjAxOAgAAAAKMTIvMzEvMjAxNwkAAAABMNaMETgICdYIw4afbzQJ1gg7Q0lRLk5BU0RBUUdTOktVUkEuSVFfUFJFRl9FUVVJVFkuMjAwMC43LzMxLzIwMTguTEZSLkYuVVNELkgBAAAAuMvaEAMAAAAAANaMETgICdYIcySdbzQJ1ghCQ0lRLk5BU0RBUUdTOlBCWUkuSVFf</t>
  </si>
  <si>
    <t>VE9UQUxfUkVWXzJZUl9BTk5fQ0FHUi4uNy8xNi8yMDE4LkxGUi5GLlVTRC5IAQAAAAJqrAcDAAAAAADE/xsRNQnWCBL+ZBI1CdYIPUNJUS5OQVNEQVFHTTpBUlFMLklRX0VCSVREQV9NQVJHSU4uMjAwMC43LzMxLzIwMTguTEZSLkYuVVNELkgBAAAA9mEAAAMAAAACTk0BCAAAAAUAAAABMQEAAAAKMTg4ODc4ODc3MAMAAAADMTYwAgAAAAQ0MDQ3BAAAAAEwBwAAAAk3LzMxLzIwMTgIAAAACTMvMzEvMjAxOAkAAAABMNaMETgICdYIcySdbzQJ1gg8Q0lRLk5BU0RBUUNNOlpJT1AuSVFfRUFSTklOR19DTy5DWTIwMTYuNy8zMS8yMDE4LkxGUi5GLlVTRC5IAQAAALNRsgACAAAACC0xNjUuMjk3AQgAAAAFAAAAATEBAAAACjE4NzcyMDQ0MTYDAAAAAzE2MAIAAAABNwQAAAABMAcAAAAJNy8zMS8yMDE4CAAAAAoxMi8zMS8yMDE2CQAAAAEw1owROAgJ1gjDhp9vNAnWCCJDSVEuSVFUUjQxMzk1MzY2MS5JUV9UUl9UT1RBTF9DQVNIAQAAAH1urBgCAAAAAzIwMAEGAAAABQAAAAI1NAEAAAAGMTAxMDU2AgAAAAk0MTM5NTM2NjEDAAAACTQxMzk1NzY0MAQAAAADMTYwBgAAAAVGYWxzZbKzSW80CdYIgf2VbzQJ1ggpQ0lRLlhUUkE6TU9SLklRX01BUktFVENBUC43LzMxLzIwMTguVVNELkgBAAAA3xECAAIAAAALNDE4My44NjI3NjgBBgAAAAUAAAABMQEAAAAKMTg4NjE1MTU5OAMAAAADMTYwAgAAAAYxMDAwNTQEAAAA</t>
  </si>
  <si>
    <t>ATAHAAAACTcvMzEvMjAxOJwL1TgICdYI1F+YbzQJ1ghDQ0lRLk5BU0RBUUdTOlRTUk8uSVFfTUlOT1JJVFlfSU5URVJFU1RfVE9UQUwuLjkvMTUvMjAxNy5MRlIuRi5VU0QuSAEAAABo1lgGAwAAAAAAxP8bETUJ1ggS/mQSNQnWCClDSVEuTkFTREFRR1M6TVJTTi5JUV9CVVNJTkVTU19ERVNDUklQVElPTgEAAADmxRgAAwAAAKYITWVyc2FuYSBUaGVyYXBldXRpY3MsIEluYy4sIGEgY2xpbmljYWwgc3RhZ2UgYmlvcGhhcm1hY2V1dGljYWwgY29tcGFueSBmb2N1c2luZyBvbiB0aGUgZGV2ZWxvcG1lbnQgb2Ygb25jb2xvZ3kgdGhlcmFwZXV0aWNzIGluIHRoZSBVbml0ZWQgU3RhdGVzIGFuZCBDYW5hZGEuIFRoZSBjb21wYW55IGRldmVsb3BzIERvbGFmbGV4aW4sIGFuIGFudGlib2R5IGRydWcgY29uanVnYXRlIChBREMpIHBsYXRmb3JtIGRlc2lnbmVkIHRvIGVuaGFuY2UgdGhlIHBvdGVuY3kgYW5kIGVmZmljYWN5IG9mIEFEQ3Mgd2hpbGUgc2ltdWx0YW5lb3VzbHkgZW5oYW5jaW5nIHRoZSBzYWZldHkgYW5kIHRvbGVyYWJpbGl0eS4gSXRzIGxlYWQgcHJvZHVjdCBjYW5kaWRhdGVzIGluY2x1ZGUgWE1ULTE1MjIsIGFuIEFEQyB0YXJnZXRpbmcgSEVSMi1leHByZXNzaW5nIHR1bW9ycywgd2hpY2ggaXMgaW4gUGhhc2UgSSBjbGluaWNhbCB0cmlhbCBmb3IgdHJlYXRpbmcgcGF0aWVudHMgd2l0aCBi</t>
  </si>
  <si>
    <t>cmVhc3QgY2FuY2VyLCBub24tc21hbGwtY2VsbC1sdW5nLWNhbmNlciAoTlNDTEMpLCBhbmQgZ2FzdHJpYyBjYW5jZXI7IGFuZCBYTVQtMTUzNiwgYW4gQURDIHRhcmdldGluZyBOYVBpMmIgdGhhdCBpcyBpbiBQaGFzZSBJIGNsaW5pY2FsIHRyaWFsIGZvciB0aGUgdHJlYXRtZW50IG9mIHBhdGllbnRzIHdpdGggb3ZhcmlhbiBjYW5jZXIsIE5TQ0xDLCBhbmQgb3RoZXIgY2FuY2Vycy4gTWVyc2FuYSBUaGVyYXBldXRpY3MsIEluYy4gaGFzIHN0cmF0ZWdpYyBhbGxpYW5jZXMgd2l0aCBUYWtlZGEgUGhhcm1hY2V1dGljYWwgQ29tcGFueSBMaW1pdGVkOyBNZXJjayBLR2FBOyBhbmQgQXNhbmEgQmlvU2NpZW5jZXMsIExMQy4gVGhlIGNvbXBhbnkgd2FzIGZvcm1lcmx5IGtub3duIGFzIE5hbm9waGFybWEgQ29ycC4gYW5kIGNoYW5nZWQgaXRzIG5hbWUgdG8gTWVyc2FuYSBUaGVyYXBldXRpY3MsIEluYy4gaW4gTm92ZW1iZXIgMjAwNS4gTWVyc2FuYSBUaGVyYXBldXRpY3MsIEluYy4gd2FzIGluY29ycG9yYXRlZCBpbiAyMDAyIGFuZCBpcyBiYXNlZCBpbiBDYW1icmlkZ2UsIE1hc3NhY2h1c2V0dHMuANaMETgICdYI44uTDjUJ1ghDQ0lRLk5BU0RBUUdTOkVQWk0uSVFfRUJJVERBXzJZUl9BTk5fQ0FHUi4yMDAwLjcvMzEvMjAxOC5MRlIuRi5VU0QuSAEAAAADJj0DAwAAAAJOTQEIAAAABQAAAAExAQAA</t>
  </si>
  <si>
    <t>AAoxODg3MjQ2MDc3AwAAAAMxNjACAAAABDQyMDkEAAAAATAHAAAACTcvMzEvMjAxOAgAAAAJMy8zMS8yMDE4CQAAAAEw1owROAgJ1ghzJJ1vNAnWCDBDSVEuTkFTREFRQ006TVRFTS5JUV9MQVNUU0FMRVBSSUNFLjcvMzEvMjAxOC5VU0QBAAAAmZupAQIAAAAENS4xOADIMLI3CAnWCBnpoW80CdYILUNJUS5OQVNEQVFHUzpFUFpNLklRX0RJVklERU5EX1lJRUxELjcvMzEvMjAxOAEAAAADJj0DAwAAAAAA1owROAgJ1ghzJJ1vNAnWCD1DSVEuTkFTREFRQ006WklPUC5JUV9DQVNIX1NUX0lOVkVTVC4yMDAwLjUvNS8yMDE3LkxGUi5GLlVTRC5IAQAAALNRsgACAAAABjY2LjQ0NwEIAAAABQAAAAExAQAAAAoxODM5MzQxMTk0AwAAAAMxNjACAAAABDEwMDIEAAAAATAHAAAACDUvNS8yMDE3CAAAAAkzLzMxLzIwMTcJAAAAATDWjBE4CAnWCMOGn280CdYIIUNJUS5FTlhUUEE6SVBILklRX0VGRkVDVF9UQVhfUkFURQEAAACZgAYAAwAAAAJOTQEIAAAABQAAAAExAQAAAAoxODg5NTUyMTY0AwAAAAI1MAIAAAAENDM3NgQAAAABMAcAAAAJOC8yMy8yMDE4CAAAAAoxMi8zMS8yMDE3CQAAAAEwKRyUEDUJ1ghzOWASNQnWCENDSVEuTkFTREFRR1M6RVBaTS5JUV9FQklUREFfM1lSX0FOTl9DQUdSLjIwMDAuNy8zMS8yMDE4LkxGUi5GLlVTRC5IAQAAAAMmPQMDAAAAAk5NAQgAAAAFAAAAATEBAAAACjE4ODcyNDYwNzcD</t>
  </si>
  <si>
    <t>AAAAAzE2MAIAAAAENDIyMgQAAAABMAcAAAAJNy8zMS8yMDE4CAAAAAkzLzMxLzIwMTgJAAAAATDWjBE4CAnWCHMknW80CdYIJ0NJUS5OQVNEQVFHUzpCR05FLklRX0JFVEFfNVlSLjcvMTYvMjAxOAEAAADg5N0GAgAAABEwLjYxMjEyNTE0MTY2MTY3MgDE/xsRNQnWCGhgZxI1CdYIM0NJUS5PVENQSzpOV0JPLklRX1RPVEFMX0RFQlQuLjkvMTUvMjAxNy5MRlIuRi5VU0QuSAEAAACjehQAAgAAAAYzMi4wMjYBCAAAAAUAAAABMQEAAAAKMTg1NTMyNjM3MQMAAAADMTYwAgAAAAQ0MTczBAAAAAEwBwAAAAk5LzE1LzIwMTcIAAAACTYvMzAvMjAxNwkAAAABMCkclBA1CdYIMNddEjUJ1gg3Q0lRLk5BU0RBUUdTOk5LLklRX1RPVEFMX1JFVi4yMDAwLjcvMzEvMjAxOC5MRlIuRi5VU0QuSAEAAAANfaEPAgAAAAUwLjAzOQEIAAAABQAAAAExAQAAAAoxODg3MTE4NzkxAwAAAAMxNjACAAAAAjI4BAAAAAEwBwAAAAk3LzMxLzIwMTgIAAAACTMvMzEvMjAxOAkAAAABMNaMETgICdYIw4afbzQJ1gg8Q0lRLk5BU0RBUUdNOkFSUlkuSVFfR1JPU1NfTUFSR0lOLjIwMDAuNy8zMS8yMDE4LkxGUi5GLlVTRC5IAQAAAPhhAAACAAAABzM3LjI2NTYBCAAAAAUAAAABMQEAAAAKMTg4ODQ3MDY3NgMAAAADMTYwAgAAAAQ0MDc0BAAAAAEwBwAAAAk3LzMxLzIwMTgIAAAACTMvMzEvMjAxOAkAAAABMJwL1TgICdYI1F+YbzQJ1ggq</t>
  </si>
  <si>
    <t>Q0lRLi5JUV9QRVJJT0REQVRFX0lTLjIwMDAuNy8zMS8yMDE4LkxGUi5GBQAAAAEAAAAIAAAAFChJbnZhbGlkIElkZW50aWZpZXIpliQwRzQJ1giWJDBHNAnWCDxDSVEuTkFTREFRR1M6RVBaTS5JUV9HUk9TU19NQVJHSU4uMjAwMC43LzMxLzIwMTguTEZSLkYuVVNELkgBAAAAAyY9AwMAAAACTk0BCAAAAAUAAAABMQEAAAAKMTg4NzI0NjA3NwMAAAADMTYwAgAAAAQ0MDc0BAAAAAEwBwAAAAk3LzMxLzIwMTgIAAAACTMvMzEvMjAxOAkAAAABMNaMETgICdYIcySdbzQJ1gg1Q0lRLk5BU0RBUUdTOk1SU04uSVFfQ0FQRVguMTk5Ni43LzMxLzIwMTguTEZSLkYuVVNELkgBAAAA5sUYAAIAAAAFLTEuMTYBCAAAAAUAAAABMQEAAAAKMTg4OTA5NjU5NwMAAAADMTYwAgAAAAQyMDIxBAAAAAEwBwAAAAk3LzMxLzIwMTgIAAAACTMvMzEvMjAxNwkAAAABMNaMETgICdYIw4afbzQJ1gg/Q0lRLk5BU0RBUUdTOk1SU04uSVFfRUJJVERBXzJZUl9BTk5fQ0FHUi4uNy8xNi8yMDE4LkxGUi5GLlVTRC5IAQAAAObFGAADAAAAAAApHJQQNQnWCHM5YBI1CdYIRkNJUS5OQVNEQVFDTTpNVEVNLklRX01JTk9SSVRZX0lOVEVSRVNUX1RPVEFMLjIwMDAuNS81LzIwMTcuTEZSLkYuVVNELkgBAAAAmZupAQMAAAAAAMgwsjcICdYIGemhbzQJ1ggtQ0lRLk5BU0RBUUdNOkFSUUwuSVFfRElWSURFTkRfWUlFTEQuNy8zMS8yMDE4AQAA</t>
  </si>
  <si>
    <t>APZhAAADAAAAAADWjBE4CAnWCHMknW80CdYIPkNJUS5OQVNEQVFHUzpTR0VOLklRX1RPVEFMX0VRVUlUWS5DWTIwMTYuNy8xNi8yMDE4LkxGUi5GLlVTRC5IAQAAAGGFAAACAAAABzYzNC4wODcBCAAAAAUAAAABMQEAAAAKMTg3NDY5NjE5NgMAAAADMTYwAgAAAAQxMjc1BAAAAAEwBwAAAAk3LzE2LzIwMTgIAAAACjEyLzMxLzIwMTYJAAAAATDE/xsRNQnWCGhgZxI1CdYINENJUS5OQVNEQVFHUzpCR05FLklRX0VCSVREQV9NQVJHSU4uMjAwMC4uTEZSLkYuVVNELkgBAAAA4OTdBgIAAAAILTcwLjE0MTYBCAAAAAUAAAABMQEAAAAKMTg5OTkwMDYzMQMAAAADMTYwAgAAAAQ0MDQ3BAAAAAEwBwAAAAk4LzIzLzIwMTgIAAAACTYvMzAvMjAxOAkAAAABMJwL1TgICdYInAvVOAgJ1gguQ0lRLklRVFIzMTQ4MjkyMzYuSVFfVFJfVEFSR0VUX1NUT0NLUFJFTUlVTV8xTQEAAAC06cMSAgAAAAAAWM8SDjUJ1gjA24IONQnWCC5DSVEuTkFTREFRR006TkxOSy5JUV9NQVJLRVRDQVAuOS8xNS8yMDE3LlVTRC5IAQAAAJV7jAACAAAACjM3Mi43NjQ1ODkBBgAAAAUAAAABMQEAAAAKMTg1MTg5MTQwOAMAAAADMTYwAgAAAAYxMDAwNTQEAAAAATAHAAAACTkvMTUvMjAxNykclBA1CdYI5HRbEjUJ1gg6Q0lRLk5BU0RBUUNNOlpJT1AuSVFfRUFSTklOR19DTy4yMDAwLjcvMzEvMjAxOC5MRlIuRi5VU0QuSAEAAACzUbIAAgAA</t>
  </si>
  <si>
    <t>AActNTQuODU2AQgAAAAFAAAAATEBAAAACjE4ODc5NzIzNTkDAAAAAzE2MAIAAAABNwQAAAABMAcAAAAJNy8zMS8yMDE4CAAAAAkzLzMxLzIwMTgJAAAAATDWjBE4CAnWCMOGn280CdYILkNJUS4uSVFfRUJJVF9NQVJHSU4uMjAwMC43LzMxLzIwMTguTEZSLkYuVVNELkgFAAAAAQAAAAgAAAAUKEludmFsaWQgSWRlbnRpZmllcin1hDJHNAnWCPWEMkc0CdYIPUNJUS5OQVNEQVFHUzpDQUxBLklRX0VCSVREQV9NQVJHSU4uMjAwMC43LzMxLzIwMTguTEZSLkYuVVNELkgBAAAApSeBBgIAAAAJLTEzOC41MTY2AQgAAAAFAAAAATEBAAAACjE4ODc5ODAzMDUDAAAAAzE2MAIAAAAENDA0NwQAAAABMAcAAAAJNy8zMS8yMDE4CAAAAAkzLzMxLzIwMTgJAAAAATDIMLI3CAnWCN1LpG80CdYIQ0NJUS5OQVNEQVFHTTpGQVRFLklRX0VCSVREQV8zWVJfQU5OX0NBR1IuMjAwMC43LzMxLzIwMTguTEZSLkYuVVNELkgBAAAAaDFXAgMAAAACTk0BCAAAAAUAAAABMQEAAAAKMTg4ODUwMDUyNwMAAAADMTYwAgAAAAQ0MjIyBAAAAAEwBwAAAAk3LzMxLzIwMTgIAAAACTMvMzEvMjAxOAkAAAABMNaMETgICdYIw4afbzQJ1gg7Q0lRLk5BU0RBUUNNOlpJT1AuSVFfUFJFRl9FUVVJVFkuMjAwMC43LzMxLzIwMTguTEZSLkYuVVNELkgBAAAAs1GyAAIAAAAHMTQ5LjAzOQEIAAAABQAAAAExAQAAAAoxODg3OTcyMzU5AwAAAAMxNjAC</t>
  </si>
  <si>
    <t>AAAABDEwMDUEAAAAATAHAAAACTcvMzEvMjAxOAgAAAAJMy8zMS8yMDE4CQAAAAEw1owROAgJ1gjDhp9vNAnWCC1DSVEuTkFTREFRR006TFBUWC5JUV9ESVZJREVORF9ZSUVMRC43LzE2LzIwMTgBAAAADDYJBwMAAAAAACkclBA1CdYIMNddEjUJ1gg8Q0lRLk5BU0RBUUdNOklNTVUuSVFfRUJJVERBX0VTVC5DWTIwMTguNy8xNi8yMDE4LkNPTi5GLlVTRC5IAQAAACBDBAADAAAAAADE/xsRNQnWCBL+ZBI1CdYIJUNJUS5JUVRSNTM1NzE5OTk4LklRX1RSX01BSl9NSU5fU1RBS0UBAAAAPnDuHwMAAAAITWFqb3JpdHkAsrNJbzQJ1giB/ZVvNAnWCB1DSVEuTkFTREFRR006QVJSWS5JUV9FWENIQU5HRQEAAAD4YQAAAwAAAAhOYXNkYXFHTQCcC9U4CAnWCNRfmG80CdYIHUNJUS4lVVNQTVJULklRX0xBU1RTQUxFUFJJQ0UuAQAAAFntWgACAAAAATUAnAvVOAgJ1gh3eYAONQnWCCFDSVEuSVExMDkxMjc1ODkuSVFfQ09NUEFOWV9USUNLRVIBAAAApSeBBgMAAAANTmFzZGFxR1M6Q0FMQQAMbRAONQnWCB8VnQ41CdYIJ0NJUS5OQVNEQVFHUzpUU1JPLklRX0JFVEFfNVlSLjcvMTYvMjAxOAEAAABo1lgGAgAAABAxLjIyMjUwOTMyNTg3Mjk2AMT/GxE1CdYIEv5kEjUJ1gguQ0lRLklRVFIyNjM3MTg2NDcuSVFfVFJfVEFSR0VUX1NUT0NLUFJFTUlVTV8xVwEAAAD3BrgPAgAAAAAAsrNJbzQJ1giB/ZVvNAnWCDhDSVEu</t>
  </si>
  <si>
    <t>TkFTREFRR006WE5DUi5JUV9FQklUREEuQ1kyMDE2LjcvMTYvMjAxOC5MRlIuRi5VU0QuSAEAAACmWgsAAgAAAAYyNC4zNjIBCAAAAAUAAAABMQEAAAAKMTg3Njk4NDUyMwMAAAADMTYwAgAAAAQ0MDUxBAAAAAEwBwAAAAk3LzE2LzIwMTgIAAAACjEyLzMxLzIwMTYJAAAAATDE/xsRNQnWCBL+ZBI1CdYIJUNJUS5JUVRSMzA3ODYzOTg0LklRX1RSX01BSl9NSU5fU1RBS0UBAAAAsKFZEgMAAAAITWFqb3JpdHkAWM8SDjUJ1gjA24IONQnWCD1DSVEuTkFTREFRQ006Q0tQVC5JUV9SRVZFTlVFX0VTVC5DWTIwMjAuNy8xNi8yMDE4LkNPTi5GLlVTRC5IAQAAALhRFhECAAAAAzIuMQEOAAAABQAAAAIxMQEAAAABMAIAAAAKMTAwMzY2NTYwNwMAAAAGMTAwMTgwBAAAAAEyBgAAAAEwBwAAAAMxNjAIAAAAATAJAAAAATEKAAAAATALAAAACzEwODc4NzA3NzM2DAAAAAE3DQAAAAk3LzE3LzIwMTgQAAAACTcvMTYvMjAxOCkclBA1CdYIMNddEjUJ1gg9Q0lRLk5BU0RBUUdNOlhOQ1IuSVFfUkVWRU5VRV9FU1QuQ1kyMDE5LjcvMTYvMjAxOC5DT04uRi5VU0QuSAEAAACmWgsAAgAAAAgzMy4zMzIwMwEOAAAABQAAAAIxMQEAAAABMAIAAAAKMTAwMjAyNTI1MgMAAAAGMTAwMTgwBAAAAAEyBgAAAAEwBwAAAAMxNjAIAAAAATAJAAAAATEKAAAAATALAAAACzEwOTE1ODMyNTg1DAAAAAE3DQAAAAk3LzE3LzIwMTgQAAAACTcv</t>
  </si>
  <si>
    <t>MTYvMjAxOMT/GxE1CdYIEv5kEjUJ1ghCQ0lRLk5BU0RBUUdTOkNBTEEuSVFfVE9UQUxfUkVWXzNZUl9BTk5fQ0FHUi4uNy8xNi8yMDE4LkxGUi5GLlVTRC5IAQAAAKUngQYDAAAAAAApHJQQNQnWCOR0WxI1CdYIL0NJUS5JUVRSNDA4NDA3ODIyLklRX1RSX0lNUExJRURfRVZfRklOQUwuLlVTRC5IAQAAAA7PVxgCAAAACjE4OS45NDU2NTUBBgAAAAUAAAACNTQBAAAABjEwMjA0NQIAAAAJNDA4NDA3ODIyAwAAAAk0MDg0MTA1NDEEAAAAAzE2MAYAAAAFRmFsc2Wys0lvNAnWCIH9lW80CdYINUNJUS5OQVNEQVFDTTpDS1BULklRX1RPVEFMX1JFVi4uNy8xNi8yMDE4LkxGUi5GLlVTRC5IAQAAALhRFhECAAAABTEuMzc1AQgAAAAFAAAAATEBAAAACjE4ODgwMDcyMjMDAAAAAzE2MAIAAAACMjgEAAAAATAHAAAACTcvMTYvMjAxOAgAAAAJMy8zMS8yMDE4CQAAAAEwKRyUEDUJ1ggw110SNQnWCDlDSVEuTkFTREFRR1M6R1RIWC5JUV9UT1RBTF9SRVYuMjAwMC43LzMxLzIwMTguTEZSLkYuVVNELkgBAAAAZTRpCAMAAAAAAJwL1TgICdYIJMKabzQJ1gg1Q0lRLk5BU0RBUUdTOlRTUk8uSVFfQ0FQRVguMTk5Mi43LzMxLzIwMTguTEZSLkYuVVNELkgBAAAAaNZYBgIAAAAGLTIuNTEzAQgAAAAFAAAAATEBAAAACjE4NDA5MzQ2NjMDAAAAAzE2MAIAAAAEMjAyMQQAAAABMAcAAAAJNy8zMS8yMDE4CAAAAAkzLzMxLzIw</t>
  </si>
  <si>
    <t>MTYJAAAAATCcC9U4CAnWCCTCmm80CdYIIUNJUS5OQVNEQVFHTTpJTU1VLklRX0NPTVBBTllfTkFNRQEAAAAgQwQAAwAAABJJbW11bm9tZWRpY3MsIEluYy4AnAvVOAgJ1gioAooONQnWCC9DSVEuLklRX0VCSVREQV9FU1QuQ1kyMDE5LjcvMzEvMjAxOC5DT04uRi5VU0QuSAUAAAABAAAACAAAABQoSW52YWxpZCBJZGVudGlmaWVyKfWEMkc0CdYI9YQyRzQJ1ghDQ0lRLihJTlZBTElEIElERU5USUZJRVIpLklRX0VCSVREQV9FU1QuQ1kyMDE5LjcvMTYvMjAxOC5DT04uRi5VU0QuSAUAAAAAAAAACAAAABQoSW52YWxpZCBJZGVudGlmaWVyKSAKgRA1CdYImBJZEjUJ1ggdQ0lRLk5BU0RBUUdTOk1SU04uSVFfRVhDSEFOR0UBAAAA5sUYAAMAAAAITmFzZGFxR1MA1owROAgJ1gjji5MONQnWCDpDSVEuTkFTREFRR1M6TksuSVFfVE9UQUxfRVFVSVRZLjIwMDAuNy8zMS8yMDE4LkxGUi5GLlVTRC5IAQAAAA19oQ8CAAAABjIwMC4zNgEIAAAABQAAAAExAQAAAAoxODg3MTE4NzkxAwAAAAMxNjACAAAABDEyNzUEAAAAATAHAAAACTcvMzEvMjAxOAgAAAAJMy8zMS8yMDE4CQAAAAEw1owROAgJ1ggZ6aFvNAnWCC5DSVEuTkFTREFRR1M6TVJTTi5JUV9NQVJLRVRDQVAuNy8xNi8yMDE4LlVTRC5IAQAAAObFGAACAAAACjM1My4xNDY1NzMBBgAAAAUAAAABMQEAAAAKMTg4OTA5NDEwMAMAAAADMTYwAgAAAAYxMDAwNTQE</t>
  </si>
  <si>
    <t>AAAAATAHAAAACTcvMTYvMjAxOEadGRE1CdYIczlgEjUJ1gg0Q0lRLk5BU0RBUUdTOkJHTkUuSVFfUkVWRU5VRV9FU1QuQ1kyMDIwLi5DT04uRi5VU0QuSAEAAADg5N0GAgAAAAgzNzUuOTA3NgEOAAAABQAAAAIxMQEAAAABMAIAAAAKMTAwMzMyNjI3NwMAAAAGMTAwMTgwBAAAAAEyBgAAAAEwBwAAAAMxNjAIAAAAATAJAAAAATEKAAAAATALAAAACzExMDMyMjg1NzY5DAAAAAE3DQAAAAk4LzI0LzIwMTgQAAAACTgvMjMvMjAxOJwL1TgICdYInAvVOAgJ1gg4Q0lRLlhUUkE6TU9SLklRX1JFVkVOVUVfRVNULkNZMjAyMC43LzMxLzIwMTguQ09OLkYuVVNELkgBAAAA3xECAAIAAAAQMTMzLjU2NjE1NTY4ODk4NAEOAAAABQAAAAIxMQEAAAABMAIAAAAKMTAwMDk4OTAwNwMAAAAGMTAwMTgwBAAAAAEzBgAAAAEwBwAAAAMxNjAIAAAAATAJAAAAATEKAAAAATALAAAACzExMDAxMzE1MTc0DAAAAAE3DQAAAAg4LzEvMjAxOBAAAAAJNy8zMS8yMDE4nAvVOAgJ1gjUX5hvNAnWCDlDSVEuTkFTREFRR1M6QURYUy5JUV9FQklUREFfTUFSR0lOLi43LzE2LzIwMTguTEZSLkYuVVNELkgBAAAAnux4AAMAAAACTk0BCAAAAAUAAAABMQEAAAAKMTg5Mjc4ODU0OAMAAAADMTYwAgAAAAQ0MDQ3BAAAAAEwBwAAAAk3LzE2LzIwMTgIAAAACTQvMzAvMjAxOAkAAAABMCkclBA1CdYI5HRbEjUJ1ggnQ0lRLk5BU0RBUUdNOklNTVUu</t>
  </si>
  <si>
    <t>SVFfUEVSSU9EREFURV9JUy4xMDAwAQAAACBDBAAFAAAACTYvMzAvMjAxNwCcC9U4CAnWCNRfmG80CdYIKUNJUS5JUVRSNTM1NzE5OTk4LklRX1RSX0lNUExJRURfRVFfTklfTFRNAQAAAD5w7h8DAAAAAk5NALKzSW80CdYIgf2VbzQJ1gglQ0lRLk5BU0RBUUdTOkNBTEEuSVFfRklSU1RQUklDSU5HREFURQEAAAClJ4EGBQAAAAkxMC8zLzIwMTQAyDCyNwgJ1ggfFZ0ONQnWCDxDSVEuTkFTREFRR006Q1JWUy5JUV9FQklUREFfRVNULkNZMjAxOS43LzMxLzIwMTguQ09OLkYuVVNELkgBAAAA9LCmEAIAAAAILTExNC41MzkBDgAAAAUAAAACMTEBAAAAATACAAAACjEwMDMzNzAzNTYDAAAABjEwMDE4NwQAAAABMgYAAAABMAcAAAADMTYwCAAAAAEwCQAAAAExCgAAAAEwCwAAAAsxMDk1NTQ2MTg0MQwAAAABNw0AAAAIOC8xLzIwMTgQAAAACTcvMzEvMjAxONaMETgICdYIGemhbzQJ1ggnQ0lRLk5BU0RBUUdNOkFSUUwuSVFfQkVUQV8yWVIuNy8zMS8yMDE4AQAAAPZhAAACAAAAETAuNDgxMjQ1MDE5ODMxNzkzANaMETgICdYIcySdbzQJ1gg8Q0lRLk5BU0RBUUdTOkJHTkUuSVFfRUJJVERBX0VTVC5DWTIwMTguNy8xNi8yMDE4LkNPTi5GLlVTRC5IAQAAAODk3QYCAAAACS0zMTQuNjM1NAEOAAAABQAAAAIxMQEAAAABMAIAAAAKMTAwMzMyNjI2MwMAAAAGMTAwMTg3BAAAAAEyBgAAAAEwBwAAAAMxNjAIAAAAATAJ</t>
  </si>
  <si>
    <t>AAAAATEKAAAAATALAAAACzEwOTY3MTM5MTg3DAAAAAE3DQAAAAk3LzE3LzIwMTgQAAAACTcvMTYvMjAxOMT/GxE1CdYIaGBnEjUJ1gg8Q0lRLk5BU0RBUUdTOlBCWUkuSVFfRUFSTklOR19DTy5DWTIwMTYuNy8xNi8yMDE4LkxGUi5GLlVTRC5IAQAAAAJqrAcCAAAACC0yNzYuMDExAQgAAAAFAAAAATEBAAAACjE4NzgwNjMzMzADAAAAAzE2MAIAAAABNwQAAAABMAcAAAAJNy8xNi8yMDE4CAAAAAoxMi8zMS8yMDE2CQAAAAEwxP8bETUJ1ggS/mQSNQnWCDBDSVEuTkFTREFRR1M6Q0FMQS5JUV9MQVNUU0FMRVBSSUNFLjcvMTYvMjAxOC5VU0QBAAAApSeBBgIAAAADNC43ACkclBA1CdYI5HRbEjUJ1ghHQ0lRLk5BU0RBUUdTOlRTUk8uSVFfTUlOT1JJVFlfSU5URVJFU1RfVE9UQUwuMjAwMC43LzMxLzIwMTguTEZSLkYuVVNELkgBAAAAaNZYBgMAAAAAAJwL1TgICdYIJMKabzQJ1gg9Q0lRLk5BU0RBUUNNOkNLUFQuSVFfUkVWRU5VRV9FU1QuQ1kyMDIxLjcvMTYvMjAxOC5DT04uRi5VU0QuSAEAAAC4URYRAwAAAAAAKRyUEDUJ1ggw110SNQnWCCdDSVEuTkFTREFRQ006WklPUC5JUV9CRVRBXzJZUi43LzMxLzIwMTgBAAAAs1GyAAIAAAAQMS40ODI3NDg4ODM2Njg0NwDWjBE4CAnWCMOGn280CdYIOkNJUS5OQVNEQVFHUzpBVE5YLklRX0VBUk5JTkdfQ08uMTk5Mi43LzMxLzIwMTguTEZSLkYuVVNELkgBAAAA</t>
  </si>
  <si>
    <t>3JlrAQIAAAAHLTE3LjcyOAEIAAAABQAAAAExAQAAAAoxODQyNDkwMjczAwAAAAMxNjACAAAAATcEAAAAATAHAAAACTcvMzEvMjAxOAgAAAAKMTIvMzEvMjAxNAkAAAABMNaMETgICdYIJMKabzQJ1gg8Q0lRLk5BU0RBUUdTOkVQWk0uSVFfVE9UQUxfRVFVSVRZLjE5OTIuNy8zMS8yMDE4LkxGUi5GLlVTRC5IAQAAAAMmPQMCAAAABjI3OS4wMQEIAAAABQAAAAExAQAAAAoxODQwNjMwMzk0AwAAAAMxNjACAAAABDEyNzUEAAAAATAHAAAACTcvMzEvMjAxOAgAAAAJMy8zMS8yMDE2CQAAAAEw1owROAgJ1ghzJJ1vNAnWCCBDSVEuSVFUUjI2MzcxODY0Ny5JUV9UUl9FQVJOT1VUUwEAAAD3BrgPAgAAAAAAsrNJbzQJ1giB/ZVvNAnWCDhDSVEuT1RDUEs6TUJWWC5JUV9UT1RBTF9SRVYuQ1kyMDE2LjcvMTYvMjAxOC5MRlIuRi5VU0QuSAEAAADYRIsCAgAAAAgwLjE0ODA1NAEIAAAABQAAAAExAQAAAAoxODgxMjEzMjIwAwAAAAMxNjACAAAAAjI4BAAAAAEwBwAAAAk3LzE2LzIwMTgIAAAACjEyLzMxLzIwMTYJAAAAATDep34QNQnWCJgSWRI1CdYIN0NJUS4oSU5WQUxJRCBJREVOVElGSUVSKS5JUV9MQVNUU0FMRVBSSUNFLjcvMzEvMjAxOC5VU0QFAAAAAAAAAAgAAAAUKEludmFsaWQgSWRlbnRpZmllcinIMLI3CAnWCO02sG80CdYILENJUS5OQVNEQVFHUzpTR0VOLklRX0xBU1RTQUxFUFJJQ0UuOS8xNS8yMDE3</t>
  </si>
  <si>
    <t>AQAAAGGFAAACAAAABTUzLjc5AEadGRE1CdYIaGBnEjUJ1gguQ0lRLklRVFI0MjQzNDIwNDYuSVFfVFJfVEFSR0VUX1NUT0NLUFJFTUlVTV8xTQEAAAAe8koZAgAAAAAADG0QDjUJ1gjA24IONQnWCC5DSVEuRU5YVFBBOklQSC5JUV9DQVBFWC4uNy8xNi8yMDE4LkxGUi5GLlVTRC5IAQAAAJmABgACAAAACS0zLjU1OTA3OAEIAAAABQAAAAExAQAAAAoxODg5NTUyMTY0AwAAAAMxNjACAAAABDIwMjEEAAAAATAHAAAACTcvMTYvMjAxOAgAAAAKMTIvMzEvMjAxNwkAAAABMCkclBA1CdYIczlgEjUJ1ggzQ0lRLk5BU0RBUUdTOkJHTkUuSVFfRUFSTklOR19DTy5DWTIwMTYuLkxGUi5GLlVTRC5IAQAAAODk3QYCAAAACC0xMTkuMjE3AQgAAAAFAAAAATEBAAAACjE4OTk4ODEyMDQDAAAAAzE2MAIAAAABNwQAAAABMAcAAAAJOC8yMy8yMDE4CAAAAAoxMi8zMS8yMDE2CQAAAAEwnAvVOAgJ1gicC9U4CAnWCDpDSVEuTkFTREFRR006Q1JWUy5JUV9QUkVGX0VRVUlUWS4yMDAwLjUvNS8yMDE3LkxGUi5GLlVTRC5IAQAAAPSwphADAAAAAADWjBE4CAnWCBnpoW80CdYIQkNJUS5OQVNEQVFHUzpCR05FLklRX1RPVEFMX1JFVl8yWVJfQU5OX0NBR1IuLjcvMTYvMjAxOC5MRlIuRi5VU0QuSAEAAADg5N0GAgAAAAg0NzcuODQ1NgEIAAAABQAAAAExAQAAAAoxODg3Njg4NTg4AwAAAAMxNjACAAAABDQyMDcEAAAAATAHAAAA</t>
  </si>
  <si>
    <t>CTcvMTYvMjAxOAgAAAAJMy8zMS8yMDE4CQAAAAEwxP8bETUJ1ghoYGcSNQnWCDZDSVEuWFRSQTpNT1IuSVFfVE9UQUxfUkVWLkNZMjAxNi43LzMxLzIwMTguTEZSLkYuVVNELkgBAAAA3xECAAIAAAAJNTIuNTEwODM2AQgAAAAFAAAAATEBAAAACjE4NzgzMjMxNTQDAAAAAzE2MAIAAAACMjgEAAAAATAHAAAACTcvMzEvMjAxOAgAAAAKMTIvMzEvMjAxNgkAAAABMJwL1TgICdYI1F+YbzQJ1gg6Q0lRLk5BU0RBUUdTOk5LLklRX0VBUk5JTkdfQ08uQ1kyMDE3LjcvMzEvMjAxOC5MRlIuRi5VU0QuSAEAAAANfaEPAgAAAActOTYuNDIzAQgAAAAFAAAAATEBAAAACjE4NzgwMTI1OTcDAAAAAzE2MAIAAAABNwQAAAABMAcAAAAJNy8zMS8yMDE4CAAAAAoxMi8zMS8yMDE3CQAAAAEw1owROAgJ1ggZ6aFvNAnWCDZDSVEuTkFTREFRR1M6RVBaTS5JUV9FQklUREEuMjAwMC43LzMxLzIwMTguTEZSLkYuVVNELkgBAAAAAyY9AwIAAAAILTEzNy4yNzEBCAAAAAUAAAABMQEAAAAKMTg4NzI0NjA3NwMAAAADMTYwAgAAAAQ0MDUxBAAAAAEwBwAAAAk3LzMxLzIwMTgIAAAACTMvMzEvMjAxOAkAAAABMNaMETgICdYIcySdbzQJ1gg9Q0lRLk5BU0RBUUdNOkFGTUQuSVFfUkVWRU5VRV9FU1QuQ1kyMDIxLjcvMTYvMjAxOC5DT04uRi5VU0QuSAEAAADb9wwAAgAAAA81Mi43NDA0NzUzNzA3ODIBDgAAAAUAAAACMTEBAAAAATAC</t>
  </si>
  <si>
    <t>AAAACjEwMDI4ODQxMDUDAAAABjEwMDE4MAQAAAABMwYAAAABMAcAAAADMTYwCAAAAAEwCQAAAAExCgAAAAEwCwAAAAsxMDg4NzE3NTk5NgwAAAABNw0AAAAJNy8xNy8yMDE4EAAAAAk3LzE2LzIwMTgpHJQQNQnWCDDXXRI1CdYILkNJUS5OQVNEQVFHUzpDQUxBLklRX01BUktFVENBUC45LzE1LzIwMTcuVVNELkgBAAAApSeBBgIAAAAKNTMzLjkyNDA0OQEGAAAABQAAAAExAQAAAAoxODUyNDc0NjMzAwAAAAMxNjACAAAABjEwMDA1NAQAAAABMAcAAAAJOS8xNS8yMDE3KRyUEDUJ1gjkdFsSNQnWCDlDSVEuTkFTREFRQ006WklPUC5JUV9UT1RBTF9SRVYuMjAwMC43LzMxLzIwMTguTEZSLkYuVVNELkgBAAAAs1GyAAIAAAAFNC45MzgBCAAAAAUAAAABMQEAAAAKMTg4Nzk3MjM1OQMAAAADMTYwAgAAAAIyOAQAAAABMAcAAAAJNy8zMS8yMDE4CAAAAAkzLzMxLzIwMTgJAAAAATDWjBE4CAnWCMOGn280CdYIIENJUS5FTlhUUEE6SVBILklRX1BFUklPRERBVEVfSVMuAQAAAJmABgAFAAAACjEyLzMxLzIwMTcAKRyUEDUJ1ghzOWASNQnWCCVDSVEuSVFUUjQyMjg4NzcwMS5JUV9UUl9NQUpfTUlOX1NUQUtFAQAAABXBNBkDAAAACE1ham9yaXR5AAxtEA41CdYIwNuCDjUJ1ggyQ0lRLi5JUV9ORVRfV09SS0lOR19DQVAuMTk5Ni43LzMxLzIwMTguTEZSLkYuVVNELkgFAAAAAQAAAAgAAAAUKEludmFsaWQgSWRlbnRp</t>
  </si>
  <si>
    <t>Zmllcin1hDJHNAnWCPWEMkc0CdYIMkNJUS5OQVNEQVFHUzpTR0VOLklRX05FVF9XT1JLSU5HX0NBUC4uLkxGUi5GLlVTRC5IAQAAAGGFAAACAAAABjc2Ljk5NwEIAAAABQAAAAExAQAAAAoxODk3MjMzNTE4AwAAAAMxNjACAAAABDEzMTEEAAAAATAHAAAACTgvMjMvMjAxOAgAAAAJNi8zMC8yMDE4CQAAAAEwRp0ZETUJ1ghGnRkRNQnWCD9DSVEuTkFTREFRR1M6TVJTTi5JUV9ORVRfV09SS0lOR19DQVAuMjAwMC43LzMxLzIwMTguTEZSLkYuVVNELkgBAAAA5sUYAAIAAAAHLTI1LjkzOAEIAAAABQAAAAExAQAAAAoxODg5MDk2NjUzAwAAAAMxNjACAAAABDEzMTEEAAAAATAHAAAACTcvMzEvMjAxOAgAAAAJMy8zMS8yMDE4CQAAAAEw1owROAgJ1gjDhp9vNAnWCClDSVEuSVFUUjQwMzc5MTc2Ny5JUV9CVVNJTkVTU19ERVNDUklQVElPTgEAAABwXxEYAwAAAJcERW5nTWFiIEFHLCBhIHN0YXJ0LXVwIGJpb3RlY2hub2xvZ3kgY29tcGFueSwgc3BlY2lhbGl6ZXMgaW4gZW5naW5lZXJlZCBtb25vY2xvbmFsIGFudGlib2R5IGJhc2VkIG1vbGVjdWxlcyBlbmhhbmNpbmcgaW1tdW5lIGF0dGFja3MgYWdhaW5zdCB0dW1vcnMuIEl0cyBwcm9qZWN0cyBpbmNsdWRlIGEgVC1jZWxsIGJpc3BlY2lmaWMgYW50aWJvZHkgZm9yIGEgaGlnaCB1bm1ldCBtZWRpY2FsIG5lZWQgaGVtYXRvbG9naWNhbCBtYWxpZ25hbmN5</t>
  </si>
  <si>
    <t>OyBhbmQgYSBULWNlbGwgYmlzcGVjaWZpYyBhbnRpYm9keSB0YXJnZXRpbmcgYSB0dW1vciBhbnRpZ2VuIGV4cHJlc3NlZCBvbiBoZW1hdG9sb2dpY2FsIG1hbGlnbmFuY2llcyBhbmQgc29saWQgdHVtb3JzLiBUaGUgY29tcGFueSB3YXMgZm91bmRlZCBpbiAyMDEzIGFuZCBpcyBoZWFkcXVhcnRlcmVkIGluIFBmYWZmaWtvbiwgU3dpdHplcmxhbmQuIEFzIG9mIFNlcHRlbWJlciAyNywgMjAxNiwgRW5nTWFiIEFHIG9wZXJhdGVzIGFzIGEgc3Vic2lkaWFyeSBvZiBDZWxnZW5lIENvcnBvcmF0aW9uLgAMbRAONQnWCMDbgg41CdYIO0NJUS5OQVNEQVFHUzpLVVJBLklRX1RPVEFMX1JFVi5DWTIwMTYuNy8zMS8yMDE4LkxGUi5GLlVTRC5IAQAAALjL2hADAAAAAADWjBE4CAnWCHMknW80CdYILUNJUS5OQVNEQVFHTTpYTkNSLklRX0RJVklERU5EX1lJRUxELjcvMTYvMjAxOAEAAACmWgsAAwAAAAAARp0ZETUJ1ggS/mQSNQnWCDFDSVEuTkFTREFRR006QUZNRC5JUV9DQVBFWC4uNy8xNi8yMDE4LkxGUi5GLlVTRC5IAQAAANv3DAACAAAACS0wLjg0NzYwNAEIAAAABQAAAAExAQAAAAoxODg5ODY2MDQ5AwAAAAMxNjACAAAABDIwMjEEAAAAATAHAAAACTcvMTYvMjAxOAgAAAAJMy8zMS8yMDE4CQAAAAEwKRyUEDUJ1ggw110SNQnWCCVDSVEuTkFTREFRQ006Q0tQVC5JUV9GSVJTVFBSSUNJTkdEQVRFAQAAALhR</t>
  </si>
  <si>
    <t>FhEFAAAACTExLzQvMjAxNgApHJQQNQnWCDDXXRI1CdYIK0NJUS5OWVNFOkJIVk4uSVFfRUJJVERBLjIwMDAuMTAvMTgvMjAxNi4uLi4BAAAA3GcgDwMAAAAAALKzSW80CdYINZuTbzQJ1gg7Q0lRLk5BU0RBUUdTOkFOQUIuSVFfVE9UQUxfUkVWLkNZMjAxNi43LzE2LzIwMTguTEZSLkYuVVNELkgBAAAAIUyyAQIAAAAGMTYuNjg0AQgAAAAFAAAAATEBAAAACjE4NzcwNjUxOTYDAAAAAzE2MAIAAAACMjgEAAAAATAHAAAACTcvMTYvMjAxOAgAAAAKMTIvMzEvMjAxNgkAAAABMMT/GxE1CdYIwptiEjUJ1gg4Q0lRLk5BU0RBUUdTOlBCWUkuSVFfVE9UQUxfRVFVSVRZLi43LzE2LzIwMTguTEZSLkYuVVNELkgBAAAAAmqsBwIAAAAGNTcuNDU2AQgAAAAFAAAAATEBAAAACjE4ODg2Njc3NDMDAAAAAzE2MAIAAAAEMTI3NQQAAAABMAcAAAAJNy8xNi8yMDE4CAAAAAkzLzMxLzIwMTgJAAAAATDE/xsRNQnWCBL+ZBI1CdYIJENJUS5OQVNEQVFHTTpMUFRYLklRX0VGRkVDVF9UQVhfUkFURQEAAAAMNgkHAwAAAAJOTQEIAAAABQAAAAExAQAAAAoxODk5MTUzNzgxAwAAAAMxNjACAAAABDQzNzYEAAAAATAHAAAACTgvMjMvMjAxOAgAAAAJNi8zMC8yMDE4CQAAAAEwKRyUEDUJ1ggw110SNQnWCEJDSVEuTkFTREFRR1M6Sk5DRS5JUV9UT1RBTF9SRVZfM1lSX0FOTl9DQUdSLi43LzE2LzIwMTguTEZSLkYuVVNELkgBAAAA</t>
  </si>
  <si>
    <t>4nmeDQMAAAAAAN6nfhA1CdYImBJZEjUJ1ggxQ0lRLklRVFIzMTIxMjI1MDQuSVFfVFJfVEFSR0VUX1JFVkVOVUVfRVNULi5VU0QuSAEAAACInJoSAgAAAAAAWM8SDjUJ1gjA24IONQnWCDhDSVEuTkFTREFRR1M6QURYUy5JUV9HUk9TU19NQVJHSU4uLjcvMTYvMjAxOC5MRlIuRi5VU0QuSAEAAACe7HgAAgAAAAMxMDABCAAAAAUAAAABMQEAAAAKMTg5Mjc4ODU0OAMAAAADMTYwAgAAAAQ0MDc0BAAAAAEwBwAAAAk3LzE2LzIwMTgIAAAACTQvMzAvMjAxOAkAAAABMCkclBA1CdYI5HRbEjUJ1ggtQ0lRLk5BU0RBUUdNOkNSVlMuSVFfRElWSURFTkRfWUlFTEQuNy8zMS8yMDE4AQAAAPSwphADAAAAAADWjBE4CAnWCBnpoW80CdYIQ0NJUS5OQVNEQVFHTTpDUklTLklRX0VCSVREQV8yWVJfQU5OX0NBR1IuMjAwMC43LzMxLzIwMTguTEZSLkYuVVNELkgBAAAAF2oAAAMAAAACTk0BCAAAAAUAAAABMQEAAAAKMTg4NjI0NzQyMAMAAAADMTYwAgAAAAQ0MjA5BAAAAAEwBwAAAAk3LzMxLzIwMTgIAAAACTMvMzEvMjAxOAkAAAABMMgwsjcICdYI3UukbzQJ1gg7Q0lRLk5BU0RBUUdNOkFSUUwuSVFfUFJFRl9FUVVJVFkuMjAwMC43LzMxLzIwMTguTEZSLkYuVVNELkgBAAAA9mEAAAIAAAAGMTIuNjI1AQgAAAAFAAAAATEBAAAACjE4ODg3ODg3NzADAAAAAzE2MAIAAAAEMTAwNQQAAAABMAcAAAAJNy8zMS8yMDE4CAAA</t>
  </si>
  <si>
    <t>AAkzLzMxLzIwMTgJAAAAATDWjBE4CAnWCHMknW80CdYIKUNJUS5JUVRSMjQ1ODMxMDA3LklRX0JVU0lORVNTX0RFU0NSSVBUSU9OAQAAAHaIAAADAAAAqA5Bc3RleCBQaGFybWFjZXV0aWNhbHMsIEluYy4gZGlzY292ZXJzIGFuZCBkZXZlbG9wcyBzbWFsbC1tb2xlY3VsZSB0aGVyYXBldXRpY3Mgd2l0aCBhIGZvY3VzIG9uIG9uY29sb2d5IGFuZCBoZW1hdG9sb2d5LiBJdCBwcm92aWRlcyBQeXJhbWlkLCBhIGZyYWdtZW50LWJhc2VkIGRydWcgZGlzY292ZXJ5IHBsYXRmb3JtLiBUaGUgY29tcGFueSBvZmZlcnMgRGFjb2dlbiAoZGVjaXRhYmluZSkgZm9yIGluamVjdGlvbiBmb3IgdGhlIHRyZWF0bWVudCBvZiBwYXRpZW50cyB3aXRoIG15ZWxvZHlzcGxhc3RpYyBzeW5kcm9tZSAoTURTKS4gSXRzIHByb2R1Y3RzIGluY2x1ZGUgU0dJLTExMCwgYSBzbWFsbCBtb2xlY3VsZSBETkEtaHlwb21ldGh5YXRpbmcgYWdlbnQgdGhhdCB0cmVhdHMgTURTLCBhY3V0ZSBteWVsb2lkIGxldWtlbWlhLCBwbGF0aW51bSByZXNpc3RhbnQgb3ZhcmlhbiBjYW5jZXIsIGFuZCBoZXBhdG9jZWxsdWxhciBjYXJjaW5vbWE7IGFuZCBBVDEzMzg3LCBhIHNtYWxsIG1vbGVjdWxlIGluaGliaXRvciBmb3IgSHNwOTAsIHdoaWNoIHN0dWRpZXMgcGF0aWVudHMgd2l0aCByZWZyYWN0b3J5IGdhc3Ryb2ludGVzdGluYWwgc3Ry</t>
  </si>
  <si>
    <t>b21hbCB0dW1vcnMsIGNhc3RyYXRpb24gcmVzaXN0YW50IHByb3N0YXRlIGNhbmNlciwgYW5kIG5vbi1zbWFsbCBjZWxsIGx1bmcgY2FuY2VyLiBUaGUgY29tcGFueeKAmXMgcHJvZHVjdHMgYWxzbyBjb21wcmlzZSBBVDc1MTksIGEgc21hbGwgbW9sZWN1bGUgdGFyZ2V0ZWQgaW5oaWJpdG9yIG9mIHNldmVyYWwgY3ljbGluLWRlcGVuZGVudCBraW5hc2VzLCB3aGljaCBjb21iaW5lcyBib3J0ZXpvbWliIGluIHBhdGllbnRzIHdpdGggbXVsdGlwbGUgbXllbG9tYTsgQVQ5MjgzLCBhIHNtYWxsIG1vbGVjdWxlIGluaGliaXRvciBvZiBraW5hc2VzIHRoYXQgc3R1ZGllcyBjaGVtb3RoZXJhcHkgcmVmcmFjdG9yeSBtdWx0aXBsZSBteWVsb21hIHBhdGllbnQgcG9wdWxhdGlvbiBhbmQgcGVkaWF0cmljIGxldWtlbWlhOyBhbmQgQW11dmF0aW5pYiwgYSBtdWx0aS10YXJnZXRlZCB0eXJvc2luZSBraW5hc2UgaW5oaWJpdG9yIHRoYXQgc3R1ZGllcyBjYW5jZXIgdHJlYXRtZW50LiBJbiBhZGRpdGlvbiwgaXQsIHRvZ2V0aGVyIHdpdGggaXRzIHBhcnRuZXJzLCBkZXZlbG9wcyBMRUUwMTEsIGEgc2VsZWN0aXZlIGluaGliaXRvciBvZiBDREs0IGFuZCBDREs2IGluIFBoYXNlIEkgYW5kIFBoYXNlIEkvSUkgY2xpbmljYWwgdHJpYWxzOyBKTko0Mjc1NjQ5MyBGR0ZyIGluaGliaXRvciB0aGF0IGlzIGluIFBo</t>
  </si>
  <si>
    <t>YXNlIEkgY2xpbmljYWwgdHJpYWwgZm9yIGNhbmNlciB0cmVhdG1lbnQ7IEFaRDMyOTMsIGEgUGhhc2UgSSBjbGluaWNhbCB0cmlhbCBwcm9kdWN0IGZvciB0cmVhdGluZyBBbHpoZWltZXLigJlzIGRpc2Vhc2U7IGFuZCBBVDEzMTQ44oCUQUNHIEtpbmFzZSBJbmhpYml0b3IgdGhhdCBpcyBpbiBQaGFzZSBJIGNsaW5pY2FsIHRyaWFsLiBBc3RleCBQaGFybWFjZXV0aWNhbHMsIEluYy4gaGFzIGEgY2xpbmljYWwgY29sbGFib3JhdGlvbiB3aXRoIEdlbmVudGVjaC4gVGhlIGNvbXBhbnkgd2FzIGZvcm1lcmx5IGtub3duIGFzIFN1cGVyR2VuIEluYy4gYW5kIGNoYW5nZWQgaXRzIG5hbWUgdG8gQXN0ZXggUGhhcm1hY2V1dGljYWxzLCBJbmMuIGluIFNlcHRlbWJlciAyMDExLiBUaGUgY29tcGFueSB3YXMgZm91bmRlZCBpbiAxOTkxIGFuZCBpcyBoZWFkcXVhcnRlcmVkIGluIER1YmxpbiwgQ2FsaWZvcm5pYS4gQXMgb2YgT2N0b2JlciAxMSwgMjAxMywgQXN0ZXggUGhhcm1hY2V1dGljYWxzLCBJbmMuIG9wZXJhdGVzIGFzIGEgc3Vic2lkaWFyeSBvZiBPdHN1a2EgQW1lcmljYSwgSW5jLgCys0lvNAnWCIH9lW80CdYIKENJUS4uSVFfQ0FQRVguMTk5Mi43LzMxLzIwMTguTEZSLkYuVVNELkgFAAAAAQAAAAgAAAAUKEludmFsaWQgSWRlbnRpZmllcimWJDBHNAnWCJYkMEc0CdYIJ0NJUS5OQVNEQVFHTTpB</t>
  </si>
  <si>
    <t>UlJZLklRX0JFVEFfMVlSLjcvMzEvMjAxOAEAAAD4YQAAAgAAABMtMC4wNjYyNzg5MjYyMDc2NzQ5AJwL1TgICdYIJMKabzQJ1ggrQ0lRLklRVFIzMTIxMjI1MDQuSVFfVFJfVE9UQUxfR1JPU1NfVFYuLlVTRAEAAACInJoSAgAAAAk2MC4wOTk4ODYAWM8SDjUJ1gjA24IONQnWCCdDSVEuQVNYOklNVS5JUV9ESVZJREVORF9ZSUVMRC43LzE2LzIwMTgBAAAAmJOpAAMAAAAAACkclBA1CdYIMNddEjUJ1ggdQ0lRLk5BU0RBUUdTOkFOQUIuSVFfRVhDSEFOR0UBAAAAIUyyAQMAAAAITmFzZGFxR1MARp0ZETUJ1ggS/mQSNQnWCD1DSVEuTkFTREFRR006Q1JJUy5JUV9SRVZFTlVFX0VTVC5DWTIwMTguNy8zMS8yMDE4LkNPTi5GLlVTRC5IAQAAABdqAAACAAAABzkuNzkwOTgBDgAAAAUAAAACMTEBAAAAATACAAAACjEwMDEzODc3NDMDAAAABjEwMDE4MAQAAAABMgYAAAABMAcAAAADMTYwCAAAAAEwCQAAAAExCgAAAAEwCwAAAAsxMDk1MTI0MjY5NAwAAAABNw0AAAAIOC8xLzIwMTgQAAAACTcvMzEvMjAxOMgwsjcICdYI3UukbzQJ1ggqQ0lRLklRVFI0MDg0MDc4MjIuSVFfVFJfVEFSR0VUX0VCSVQuLlVTRC5IAQAAAA7PVxgCAAAAAACys0lvNAnWCIH9lW80CdYIKUNJUS5JUVRSNTMzNjM5NTAxLklRX0JVU0lORVNTX0RFU0NSSVBUSU9OAQAAAFuO2gEDAAAAxgpBcyBvZiBEZWNlbWJlciAyOSwgMjAxNywgR2Fs</t>
  </si>
  <si>
    <t>ZW5hIEJpb3BoYXJtYSwgSW5jLiB3YXMgYWNxdWlyZWQgYnkgU0VMTEFTIExpZmUgU2NpZW5jZXMgR3JvdXAgQUcsIGluIGEgcmV2ZXJzZSBtZXJnZXIgdHJhbnNhY3Rpb24uIEdhbGVuYSBCaW9waGFybWEsIEluYy4sIGEgYmlvcGhhcm1hY2V1dGljYWwgY29tcGFueSwgZGV2ZWxvcHMgaGVtYXRvbG9neSBhbmQgb25jb2xvZ3kgdGhlcmFwZXV0aWNzIHRoYXQgYWRkcmVzcyB1bm1ldCBtZWRpY2FsIG5lZWRzLiBUaGUgY29tcGFueSBkZXZlbG9wcyBHQUxFLTQwMSAoYW5hZ3JlbGlkZSBjb250cm9sbGVkIHJlbGVhc2UpLCB3aGljaCBjb21wbGV0ZWQgUGhhc2UgSUkgY2xpbmljYWwgdHJpYWwgZm9yIHRoZSB0cmVhdG1lbnQgb2YgcGF0aWVudHMgd2l0aCBteWVsb3Byb2xpZmVyYXRpdmUgbmVvcGxhc21zIHRvIGxvd2VyIGVsZXZhdGVkIHBsYXRlbGV0IGxldmVscy4gSXQgYWxzbyBkZXZlbG9wcyBOZXVWYXggKG5lbGlwZXBpbXV0LVMpLCB3aGljaCBpcyBpbiBQaGFzZSBJSWIgY2xpbmljYWwgdHJpYWwgaW4gY29tYmluYXRpb24gd2l0aCB0cmFzdHV6dW1hYiBmb3IgSEVSMiAxKyBhbmQgMisgbm9kZSBwb3NpdGl2ZSBhbmQgaGlnaC1yaXNrIG5vZGUgbmVnYXRpdmUgYnJlYXN0IGNhbmNlciBwYXRpZW50czsgUGhhc2UgSUkgY2xpbmljYWwgdHJpYWwgaW4gY29tYmluYXRpb24gd2l0aCB0cmFzdHV6</t>
  </si>
  <si>
    <t>dW1hYiBmb3IgSEVSMiAzKyBicmVhc3QgY2FuY2VyIHBhdGllbnRzOyBQaGFzZSBJSSBjbGluaWNhbCB0cmlhbCBmb3Igd29tZW4gd2l0aCBkdWN0YWwgY2FyY2lub21hIGluIHNpdHUgb2YgdGhlIGJyZWFzdDsgYW5kIFBoYXNlIElJIGNsaW5pY2FsIHRyaWFsIGZvciBwYXRpZW50cyB3aXRoIGdhc3RyaWMgY2FuY2VyLiBJbiBhZGRpdGlvbiwgdGhlIGNvbXBhbnkgZGV2ZWxvcHMgR0FMRS0zMDEgYW5kIEdBTEUtMzAyIGZvciBvdmFyaWFuLCBlbmRvbWV0cmlhbCwgYW5kIGJyZWFzdCBjYW5jZXJzLiBJdCBoYXMgc3RyYXRlZ2ljIGRldmVsb3BtZW50IGFuZCBjb21tZXJjaWFsaXphdGlvbiBwYXJ0bmVyc2hpcCB3aXRoIERyLiBSZWRkeeKAmXMgTGFib3JhdG9yaWVzIEx0ZC4gZm9yIE5ldVZheCBpbiBicmVhc3QgYW5kIGdhc3RyaWMgY2FuY2Vycy4gVGhlIGNvbXBhbnkgd2FzIGZvcm1lcmx5IGtub3duIGFzIFJYaSBQaGFybWFjZXV0aWNhbHMgQ29ycG9yYXRpb24gYW5kIGNoYW5nZWQgaXRzIG5hbWUgdG8gR2FsZW5hIEJpb3BoYXJtYSwgSW5jLiBpbiBTZXB0ZW1iZXIgMjAxMS4gR2FsZW5hIEJpb3BoYXJtYSwgSW5jLiB3YXMgZm91bmRlZCBpbiAyMDAzIGFuZCBpcyBiYXNlZCBpbiBTYW4gUmFtb24sIENhbGlmb3JuaWEuDQoADG0QDjUJ1gjA24IONQnWCDxDSVEuTkFTREFRR006QVJSWS5JUV9U</t>
  </si>
  <si>
    <t>T1RBTF9FUVVJVFkuMTk5Ni43LzMxLzIwMTguTEZSLkYuVVNELkgBAAAA+GEAAAIAAAAGMjcuNzE0AQgAAAAFAAAAATEBAAAACjE4ODg0NzA2NTYDAAAAAzE2MAIAAAAEMTI3NQQAAAABMAcAAAAJNy8zMS8yMDE4CAAAAAkzLzMxLzIwMTcJAAAAATCcC9U4CAnWCCTCmm80CdYIO0NJUS5OQVNEQVFHTTpBUlJZLklRX0VCSVRfTUFSR0lOLjIwMDAuNy8zMS8yMDE4LkxGUi5GLlVTRC5IAQAAAPhhAAACAAAACC0xMjguNzE2AQgAAAAFAAAAATEBAAAACjE4ODg0NzA2NzYDAAAAAzE2MAIAAAAENDA1MwQAAAABMAcAAAAJNy8zMS8yMDE4CAAAAAkzLzMxLzIwMTgJAAAAATCcC9U4CAnWCNRfmG80CdYIO0NJUS5OQVNEQVFHTTpDUklTLklRX1BSRUZfRVFVSVRZLjIwMDAuNy8zMS8yMDE4LkxGUi5GLlVTRC5IAQAAABdqAAADAAAAAADIMLI3CAnWCN1LpG80CdYIOUNJUS5OQVNEQVFHUzpCR05FLklRX0VCSVREQV9NQVJHSU4uLjcvMTYvMjAxOC5MRlIuRi5VU0QuSAEAAADg5N0GAgAAAAYtNTUuOTUBCAAAAAUAAAABMQEAAAAKMTg4NzY4ODU4OAMAAAADMTYwAgAAAAQ0MDQ3BAAAAAEwBwAAAAk3LzE2LzIwMTgIAAAACTMvMzEvMjAxOAkAAAABMMT/GxE1CdYIaGBnEjUJ1ggiQ0lRLklRVFIyNTM5NTQ0NzMuSVFfVFJfVEFSR0VUTkFNRQEAAACpCSMPAwAAACNUd28gRXhwZXJpbWVudGFsIEJsb29kIENhbmNlciBE</t>
  </si>
  <si>
    <t>cnVncwCys0lvNAnWCDWbk280CdYIPENJUS5OQVNEQVFDTTpNVEVNLklRX0VCSVREQV9FU1QuQ1kyMDE5LjcvMzEvMjAxOC5DT04uRi5VU0QuSAEAAACZm6kBAwAAAAAAyDCyNwgJ1ggZ6aFvNAnWCDFDSVEuTkFTREFRR006SU1NVS5JUV9EQV9DRi4uNy8xNi8yMDE4LkxGUi5GLlVTRC5IAQAAACBDBAACAAAACDEuMjMwNTQxAQgAAAAFAAAAATEBAAAACjE4ODg1MjMzODQDAAAAAzE2MAIAAAAEMjE2MAQAAAABMAcAAAAJNy8xNi8yMDE4CAAAAAkzLzMxLzIwMTgJAAAAATDE/xsRNQnWCGhgZxI1CdYIP0NJUS5OQVNEQVFHTTpGQVRFLklRX05FVF9XT1JLSU5HX0NBUC4yMDAwLjcvMzEvMjAxOC5MRlIuRi5VU0QuSAEAAABoMVcCAgAAAAYtOS44MzkBCAAAAAUAAAABMQEAAAAKMTg4ODUwMDUyNwMAAAADMTYwAgAAAAQxMzExBAAAAAEwBwAAAAk3LzMxLzIwMTgIAAAACTMvMzEvMjAxOAkAAAABMNaMETgICdYIw4afbzQJ1gg8Q0lRLk5BU0RBUUdTOkZQUlguSVFfRUFSTklOR19DTy5DWTIwMTcuNy8zMS8yMDE4LkxGUi5GLlVTRC5IAQAAADddMwACAAAACC0xNTAuMjIyAQgAAAAFAAAAATEBAAAACjE4NzYxMzU5OTEDAAAAAzE2MAIAAAABNwQAAAABMAcAAAAJNy8zMS8yMDE4CAAAAAoxMi8zMS8yMDE3CQAAAAEwyDCyNwgJ1ggZ6aFvNAnWCDpDSVEuTkFTREFRR1M6TVJTTi5JUV9DQVNIX1NUX0lOVkVTVC4u</t>
  </si>
  <si>
    <t>OS8xNS8yMDE3LkxGUi5GLlVTRC5IAQAAAObFGAACAAAABjc3LjIzMgEIAAAABQAAAAExAQAAAAoxODUzMzU0MDU2AwAAAAMxNjACAAAABDEwMDIEAAAAATAHAAAACTkvMTUvMjAxNwgAAAAJNi8zMC8yMDE3CQAAAAEwKRyUEDUJ1ghzOWASNQnWCDJDSVEuQVNYOklNVS5JUV9FQklUREEuQ1kyMDE3LjcvMTYvMjAxOC5MRlIuRi5VU0QuSAEAAACYk6kAAgAAAAktMi4wNjY2MjQBCAAAAAUAAAABMQEAAAAKMTg3NzMwNTMyMAMAAAADMTYwAgAAAAQ0MDUxBAAAAAEwBwAAAAk3LzE2LzIwMTgIAAAACjEyLzMxLzIwMTcJAAAAATApHJQQNQnWCDDXXRI1CdYIO0NJUS5OQVNEQVFHUzpDQUxBLklRX1RPVEFMX1JFVi5DWTIwMTYuNy8zMS8yMDE4LkxGUi5GLlVTRC5IAQAAAKUngQYDAAAAAADIMLI3CAnWCN1LpG80CdYIPUNJUS5OQVNEQVFHUzpBVE5YLklRX1JFVkVOVUVfRVNULkNZMjAyMS43LzMxLzIwMTguQ09OLkYuVVNELkgBAAAA3JlrAQIAAAAJMzA0LjIxMDMzAQ4AAAAFAAAAAjExAQAAAAEwAgAAAAoxMDAzNzc4NDE5AwAAAAYxMDAxODAEAAAAATIGAAAAATAHAAAAAzE2MAgAAAABMAkAAAABMQoAAAABMAsAAAALMTA5OTU0MjM0NDEMAAAAATcNAAAACDgvMS8yMDE4EAAAAAk3LzMxLzIwMTjWjBE4CAnWCCTCmm80CdYIJENJUS5PVENQSzpNQlZYLklRX0JFVEFfMllSLjcvMTYvMjAxOAEAAADYRIsCAgAA</t>
  </si>
  <si>
    <t>ABAxLjA4OTUyOTMwMjE1NjIyACAKgRA1CdYImBJZEjUJ1ghHQ0lRLk5BU0RBUUdNOklNTVUuSVFfTUlOT1JJVFlfSU5URVJFU1RfVE9UQUwuMjAwMC43LzMxLzIwMTguTEZSLkYuVVNELkgBAAAAIEMEAAIAAAAJLTAuODEwMTY5AQgAAAAFAAAAATEBAAAACjE4ODg1MjMzODQDAAAAAzE2MAIAAAAEMTMxMgQAAAABMAcAAAAJNy8zMS8yMDE4CAAAAAkzLzMxLzIwMTgJAAAAATCcC9U4CAnWCNRfmG80CdYIPENJUS5OQVNEQVFHTTpDUklTLklRX1RPVEFMX0VRVUlUWS4yMDAwLjcvMzEvMjAxOC5MRlIuRi5VU0QuSAEAAAAXagAAAgAAAAYxNC40NjcBCAAAAAUAAAABMQEAAAAKMTg4NjI0NzQyMAMAAAADMTYwAgAAAAQxMjc1BAAAAAEwBwAAAAk3LzMxLzIwMTgIAAAACTMvMzEvMjAxOAkAAAABMMgwsjcICdYI3UukbzQJ1gguQ0lRLklRVFI0MjI4ODc3MDEuSVFfVFJfVEFSR0VUX1NUT0NLUFJFTUlVTV8xTQEAAAAVwTQZAgAAAAAADG0QDjUJ1gjA24IONQnWCC1DSVEuTkFTREFRR1M6S1VSQS5JUV9NQVJLRVRDQVAuNS81LzIwMTcuVVNELkgBAAAAuMvaEAIAAAAKMTgxLjA2NzkwMgEGAAAABQAAAAExAQAAAAoxODMxOTMxNjA2AwAAAAMxNjACAAAABjEwMDA1NAQAAAABMAcAAAAINS81LzIwMTfWjBE4CAnWCHMknW80CdYIK0NJUS5JUVRSMzcxNzE1MTE5LklRX1RSX1RPVEFMX0dST1NTX1RWLi5VU0QBAAAA</t>
  </si>
  <si>
    <t>L+wnFgIAAAADNTIwAQYAAAAFAAAAAjU0AQAAAAYxMDIwODgCAAAACTM3MTcxNTExOQMAAAAJMzcxNzI0MTQ2BAAAAAMxNjAGAAAABUZhbHNlWM8SDjUJ1gjA24IONQnWCD1DSVEuTkFTREFRR1M6VFNSTy5JUV9SRVZFTlVFX0VTVC5DWTIwMTkuNy8xNi8yMDE4LkNPTi5GLlVTRC5IAQAAAGjWWAYCAAAACTQ2Ni44NjgwOAEOAAAABQAAAAIxMQEAAAABMAIAAAAKMTAwMTU4MDM0NQMAAAAGMTAwMTgwBAAAAAEyBgAAAAEwBwAAAAMxNjAIAAAAATAJAAAAATEKAAAAATALAAAACzEwOTY3MjE1OTg4DAAAAAE3DQAAAAk3LzE3LzIwMTgQAAAACTcvMTYvMjAxOMT/GxE1CdYIEv5kEjUJ1gg7Q0lRLk5BU0RBUUdNOkZBVEUuSVFfVE9UQUxfUkVWLkNZMjAxNy43LzMxLzIwMTguTEZSLkYuVVNELkgBAAAAaDFXAgIAAAAFNC4xMDYBCAAAAAUAAAABMQEAAAAKMTg3NzA2OTA5MAMAAAADMTYwAgAAAAIyOAQAAAABMAcAAAAJNy8zMS8yMDE4CAAAAAoxMi8zMS8yMDE3CQAAAAEw1owROAgJ1gjDhp9vNAnWCDhDSVEuTkFTREFRR1M6R1RIWC5JUV9FQklUREEuQ1kyMDE2LjcvMzEvMjAxOC5MRlIuRi5VU0QuSAEAAABlNGkIAgAAAActMzAuMzI0AQgAAAAFAAAAATEBAAAACjE4NzUzMjczMDEDAAAAAzE2MAIAAAAENDA1MQQAAAABMAcAAAAJNy8zMS8yMDE4CAAAAAoxMi8zMS8yMDE2CQAAAAEwnAvVOAgJ1ggkwppvNAnW</t>
  </si>
  <si>
    <t>CClDSVEuTkFTREFRR1M6TUdOWC5JUV9CVVNJTkVTU19ERVNDUklQVElPTgEAAABPKwkAAwAAALwOTWFjcm9HZW5pY3MsIEluYy4sIGEgYmlvcGhhcm1hY2V1dGljYWwgY29tcGFueSwgZm9jdXNlcyBvbiB0aGUgZGlzY292ZXJ5IGFuZCBkZXZlbG9wbWVudCBvZiBhbnRpYm9keS1iYXNlZCB0aGVyYXBldXRpY3MgZm9yIHRoZSB0cmVhdG1lbnQgb2YgY2FuY2VyIHByaW1hcmlseSBieSBtb2R1bGF0aW5nIHRoZSBodW1hbiBpbW11bmUgc3lzdGVtLCBhcyB3ZWxsIGFzIHZhcmlvdXMgYXV0b2ltbXVuZSBkaXNvcmRlcnMgYW5kIGluZmVjdGlvdXMgZGlzZWFzZXMgaW4gdGhlIFVuaXRlZCBTdGF0ZXMuIFRoZSBjb21wYW554oCZcyBhZHZhbmNlZCBjbGluaWNhbCBwcm9kdWN0IGNhbmRpZGF0ZSBpcyBNYXJnZXR1eGltYWIsIGEgbW9ub2Nsb25hbCBhbnRpYm9keSwgd2hpY2ggaXMgaW4gUGhhc2UgSUlJIGNsaW5pY2FsIHRyaWFsIHRoYXQgdGFyZ2V0cyBodW1hbiBlcGlkZXJtYWwgZ3Jvd3RoIGZhY3RvciByZWNlcHRvciAyLWV4cHJlc3NpbmcgdHVtb3JzLCBzdWNoIGFzIHZhcmlvdXMgYnJlYXN0IGFuZCBnYXN0cm9lc29waGFnZWFsIGNhbmNlcnMuIEl0IGlzIGFsc28gZGV2ZWxvcGluZyBGbG90ZXR1enVtYWIsIGEgREFSVCBtb2xlY3VsZSB0aGF0IHRhcmdldHMgQ0QxMjMgYW5kIENEMzsgTUdBMDEy</t>
  </si>
  <si>
    <t>LCBhIG1vbm9jbG9uYWwgYW50aWJvZHksIHdoaWNoIHRhcmdldHMgcHJvZ3JhbW1lZCBjZWxsIGRlYXRoIHByb3RlaW4gMSAoUEQtMSk7IE1HRDAxMywgYSBEQVJUIG1vbGVjdWxlIHRoYXQgZW5hYmxlcyB0aGUgY28tYmxvY2thZGUgd2l0aCBhIHNpbmdsZSByZWNvbWJpbmFudCBhZ2VudCBvZiB0d28gaW1tdW5lIGNoZWNrcG9pbnQgbW9sZWN1bGVzOyBNR0QwMTksIGEgcHJlY2xpbmljYWwgREFSVCBtb2xlY3VsZSBkZXNpZ25lZCB0byByZWNvZ25pemUgdGhlIGltbXVuZSBjaGVja3BvaW50cyBQRC0xIGFuZCBjeXRvdG94aWMgVC1seW1waG9jeXRlLWFzc29jaWF0ZWQgcHJvdGVpbiA0IChDVExBLTQpOyBhbmQgRW5vYmxpdHV6dW1hYiwgYSBtb25vY2xvbmFsIGFudGlib2R5IHRoYXQgdGFyZ2V0cyBCNy1IMy4gSW4gYWRkaXRpb24sIHRoZSBjb21wYW55IGRldmVsb3BzIE1HRDAwOSwgYSBEQVJUIG1vbGVjdWxlIHJlY29nbml6ZXMgQjctSDMgYW5kIENEMzsgTUdDMDE4LCBhIEI3LUgzIGFudGlib2R5LWRydWcgY29uanVnYXRlOyBNR0QwMDcsIGEgREFSVCBtb2xlY3VsZSwgd2hpY2ggdGFyZ2V0cyBnbHljb3Byb3RlaW4gQTMzIGFuZCBDRDM7IFRlcGxpenVtYWIsIGFuIGFudGktQ0QzIG1vbm9jbG9uYWwgYW50aWJvZHkgdG8gdHJlYXQgdHlwZSAxIGRpYWJldGVzOyBNR0QwMTAsIGEgREFSVCBt</t>
  </si>
  <si>
    <t>b2xlY3VsZSBkZXNpZ25lZCB0byBhZGRyZXNzIGxpbWl0YXRpb25zIG9mIGV4aXN0aW5nIEIgY2VsbC10YXJnZXRlZCB0aGVyYXBpZXMgYnkgYmluZGluZyB0byB0aGUgQ0QzMkIgYW5kIENENzlCIHByb3RlaW5zIGZvdW5kIG9uIGh1bWFuIEIgY2VsbHM7IGFuZCBNR0QwMTQsIGEgREFSVCBtb2xlY3VsZSB0aGF0IHRhcmdldHMgdGhlIGVudmVsb3BlIHByb3RlaW4gb2YgaHVtYW4gaW1tdW5vZGVmaWNpZW5jeSB2aXJ1cywgb3IgSElWLWluZmVjdGVkIGNlbGxzIGFuZCBDRDMtZXhwcmVzc2luZyBUIGNlbGxzLiBJdCBoYXMgc3RyYXRlZ2ljIGNvbGxhYm9yYXRpb25zIHdpdGggSW5jeXRlIENvcnBvcmF0aW9uOyBMZXMgTGFib3JhdG9pcmVzIFNlcnZpZXIgYW5kIEluc3RpdHV0IGRlIFJlY2hlcmNoZXMgU2VydmllcjsgYW5kIEYuIEhvZmZtYW5uLUxhIFJvY2hlIEx0ZC4gYW5kIEhvZmZtYW5uLUxhIFJvY2hlIEluYy4gTWFjcm9HZW5pY3MsIEluYy4gd2FzIGZvdW5kZWQgaW4gMjAwMCBhbmQgaXMgaGVhZHF1YXJ0ZXJlZCBpbiBSb2NrdmlsbGUsIE1hcnlsYW5kLgBGnRkRNQnWCMKbYhI1CdYIJkNJUS5OQVNEQVFHUzpOSy5JUV9URVYuNy8zMS8yMDE4LlVTRC5IAQAAAA19oQ8CAAAACjE1OC41NDM2NjYBBgAAAAUAAAABMQEAAAAKMTg4NzExNjkyOQMAAAADMTYwAgAAAAYxMDAwNjAEAAAAATAHAAAA</t>
  </si>
  <si>
    <t>CTcvMzEvMjAxONaMETgICdYIw4afbzQJ1gg8Q0lRLk5BU0RBUUdTOkpOQ0UuSVFfRUJJVERBX0VTVC5DWTIwMTkuNy8xNi8yMDE4LkNPTi5GLlVTRC5IAQAAAOJ5ng0CAAAABy0zNC4zNzYBDgAAAAUAAAACMTEBAAAAATACAAAACjEwMDM2MjkyMDIDAAAABjEwMDE4NwQAAAABMgYAAAABMAcAAAADMTYwCAAAAAEwCQAAAAExCgAAAAEwCwAAAAsxMDg4NzQxNzUyOAwAAAABNw0AAAAJNy8xNy8yMDE4EAAAAAk3LzE2LzIwMTgpHJQQNQnWCJgSWRI1CdYIRUNJUS4oSU5WQUxJRCBJREVOVElGSUVSKS5JUV9DQVNIX1NUX0lOVkVTVC4yMDAwLjcvMzEvMjAxOC5MRlIuRi5VU0QuSAUAAAAAAAAACAAAABQoSW52YWxpZCBJZGVudGlmaWVyKcgwsjcICdYI7TawbzQJ1ggrQ0lRLklRVFI1NDI4MDY2ODYuSVFfVFJfVE9UQUxfR1JPU1NfVFYuLlVTRAEAAACeklogAgAAAAAAsrNJbzQJ1giB/ZVvNAnWCCBDSVEuSVFUUjQwMzc5MTc2Ny5JUV9UUl9FQVJOT1VUUwEAAACXXxEYAgAAAAsyNDYzLjk2NDUxOQEGAAAABQAAAAI1NAEAAAAGMTAxNDAzAgAAAAk0MDM3OTE3NjcDAAAACTQwMzc5MjEwOQQAAAADMTYwBgAAAAVGYWxzZVjPEg41CdYIwNuCDjUJ1gg2Q0lRLk5BU0RBUUdTOlBCWUkuSVFfVE9UQUxfREVCVC4uNy8xNi8yMDE4LkxGUi5GLlVTRC5IAQAAAAJqrAcCAAAABjQ4LjU1NgEIAAAABQAAAAExAQAAAAox</t>
  </si>
  <si>
    <t>ODg4NjY3NzQzAwAAAAMxNjACAAAABDQxNzMEAAAAATAHAAAACTcvMTYvMjAxOAgAAAAJMy8zMS8yMDE4CQAAAAEwxP8bETUJ1ggS/mQSNQnWCENDSVEuTkFTREFRR006QVJRTC5JUV9FQklUREFfMllSX0FOTl9DQUdSLjIwMDAuNy8zMS8yMDE4LkxGUi5GLlVTRC5IAQAAAPZhAAADAAAAAk5NAQgAAAAFAAAAATEBAAAACjE4ODg3ODg3NzADAAAAAzE2MAIAAAAENDIwOQQAAAABMAcAAAAJNy8zMS8yMDE4CAAAAAkzLzMxLzIwMTgJAAAAATDWjBE4CAnWCMOGn280CdYIP0NJUS5OQVNEQVFHUzpGUFJYLklRX0VCSVREQV8yWVJfQU5OX0NBR1IuLjcvMTYvMjAxOC5MRlIuRi5VU0QuSAEAAAA3XTMAAwAAAAJOTQEIAAAABQAAAAExAQAAAAoxODg3NDAyMjI3AwAAAAMxNjACAAAABDQyMDkEAAAAATAHAAAACTcvMTYvMjAxOAgAAAAJMy8zMS8yMDE4CQAAAAEwKRyUEDUJ1ghzOWASNQnWCCVDSVEuTkFTREFRR1M6QURYUy5JUV9GSVJTVFBSSUNJTkdEQVRFAQAAAJ7seAAFAAAACTcvMjgvMjAwNQApHJQQNQnWCOR0WxI1CdYINkNJUS5OQVNEQVFHTTpJTU1VLklRX0VBUk5JTkdfQ08uLjcvMTYvMjAxOC5MRlIuRi5VU0QuSAEAAAAgQwQAAgAAAAstMjEwLjExNjQzNwEIAAAABQAAAAExAQAAAAoxODg4NTIzMzg0AwAAAAMxNjACAAAAATcEAAAAATAHAAAACTcvMTYvMjAxOAgAAAAJMy8zMS8yMDE4CQAAAAEwxP8b</t>
  </si>
  <si>
    <t>ETUJ1ggS/mQSNQnWCCNDSVEuSVFUUjQwODI5MTM5NS5JUV9UUl9DTE9TRURfREFURQEAAABDCFYYBQAAAAoxMS8yOS8yMDE2AFjPEg41CdYIwNuCDjUJ1ggVQ0lRLi5JUV9UUl9UT1RBTF9DQVNIBQAAAAAAAAAIAAAAFChJbnZhbGlkIElkZW50aWZpZXIpnAvVOAgJ1gh3eYAONQnWCENDSVEuTkFTREFRR1M6VFNSTy5JUV9FQklUREFfNVlSX0FOTl9DQUdSLjIwMDAuNy8zMS8yMDE4LkxGUi5GLlVTRC5IAQAAAGjWWAYDAAAAAk5NAQgAAAAFAAAAATEBAAAACjE4ODYzMzc0NjYDAAAAAzE2MAIAAAAENDIzNQQAAAABMAcAAAAJNy8zMS8yMDE4CAAAAAkzLzMxLzIwMTgJAAAAATCcC9U4CAnWCCTCmm80CdYIO0NJUS5OQVNEQVFHUzpLVVJBLklRX0VCSVRfTUFSR0lOLjIwMDAuNy8zMS8yMDE4LkxGUi5GLlVTRC5IAQAAALjL2hADAAAAAADWjBE4CAnWCHMknW80CdYIOkNJUS5OQVNEQVFHTTpOTE5LLklRX0NBU0hfU1RfSU5WRVNULi43LzE2LzIwMTguTEZSLkYuVVNELkgBAAAAlXuMAAIAAAAHMTQzLjg5MQEIAAAABQAAAAExAQAAAAoxODg4MzU0MjA3AwAAAAMxNjACAAAABDEwMDIEAAAAATAHAAAACTcvMTYvMjAxOAgAAAAJMy8zMS8yMDE4CQAAAAEwKRyUEDUJ1gjkdFsSNQnWCCFDSVEuTkFTREFRR1M6VFNSTy5JUV9DT01QQU5ZX05BTUUBAAAAaNZYBgMAAAAMVGVzYXJvLCBJbmMuAJwL1TgICdYID2WM</t>
  </si>
  <si>
    <t>DjUJ1ggiQ0lRLklRVFI0MDg0MDc4MjIuSVFfVFJfVE9UQUxfQ0FTSAEAAAAOz1cYAgAAAAIxMgEGAAAABQAAAAI1NAEAAAAGMTAxMDU2AgAAAAk0MDg0MDc4MjIDAAAACTQwODQxMDU0MQQAAAADMTYwBgAAAAVGYWxzZbKzSW80CdYIgf2VbzQJ1gg/Q0lRLkVOWFRQQTpJUEguSVFfVE9UQUxfUkVWXzNZUl9BTk5fQ0FHUi4uNy8xNi8yMDE4LkxGUi5GLlVTRC5IAQAAAJmABgACAAAABzc5LjQyNTUBCAAAAAUAAAABMQEAAAAKMTg4OTU1MjE2NAMAAAACNTACAAAABDQyMjAEAAAAATAHAAAACTcvMTYvMjAxOAgAAAAKMTIvMzEvMjAxNwkAAAABMCkclBA1CdYIczlgEjUJ1gg6Q0lRLk5BU0RBUUdTOkFEWFMuSVFfQ0FTSF9TVF9JTlZFU1QuLjkvMTUvMjAxNy5MRlIuRi5VU0QuSAEAAACe7HgAAgAAAAk4OS40MDUzMTEBCAAAAAUAAAABMQEAAAAKMTg1ODg2OTg5NwMAAAADMTYwAgAAAAQxMDAyBAAAAAEwBwAAAAk5LzE1LzIwMTcIAAAACTcvMzEvMjAxNwkAAAABMCkclBA1CdYI5HRbEjUJ1gg/Q0lRLk5BU0RBUUdNOkFSUlkuSVFfTkVUX1dPUktJTkdfQ0FQLjE5OTYuNy8zMS8yMDE4LkxGUi5GLlVTRC5IAQAAAPhhAAACAAAABy0xOC45NDQBCAAAAAUAAAABMQEAAAAKMTg4ODQ3MDY1NgMAAAADMTYwAgAAAAQxMzExBAAAAAEwBwAAAAk3LzMxLzIwMTgIAAAACTMvMzEvMjAxNwkAAAABMJwL1TgICdYI1F+Y</t>
  </si>
  <si>
    <t>bzQJ1ggpQ0lRLk5BU0RBUUdTOktVUkEuSVFfQlVTSU5FU1NfREVTQ1JJUFRJT04BAAAAuMvaEAMAAADcBkt1cmEgT25jb2xvZ3ksIEluYy4sIGEgY2xpbmljYWwtc3RhZ2UgYmlvcGhhcm1hY2V1dGljYWwgY29tcGFueSwgZGV2ZWxvcHMgbWVkaWNpbmVzIGZvciB0aGUgdHJlYXRtZW50IG9mIGNhbmNlcnMuIEl0cyBwaXBlbGluZSBjb25zaXN0cyBvZiBzbWFsbCBtb2xlY3VsZSBwcm9kdWN0IGNhbmRpZGF0ZXMgdGhhdCB0YXJnZXQgY2FuY2VyLiBUaGUgY29tcGFueeKAmXMgbGVhZCBwcm9kdWN0IGNhbmRpZGF0ZSBpcyBUaXBpZmFybmliLCBhbiBvcmFsIGZhcm5lc3lsIHRyYW5zZmVyYXNlIGluaGliaXRvciB0aGF0IGlzIGluIFBoYXNlIElJIGNsaW5pY2FsIHRyaWFscyBmb3IgdGhlIHRyZWF0bWVudCBvZiBzb2xpZCB0dW1vcnMsIHBlcmlwaGVyYWwgVC1jZWxsIGx5bXBob21hcywgbXllbG9keXNwbGFzdGljIHN5bmRyb21lcywgYWN1dGUgbXllbG9pZCBsZXVrZW1pYSwgYW5kIGNocm9uaWMgbXllbG9tb25vY3l0aWMgbGV1a2VtaWEuIEl0IGlzIGFsc28gZGV2ZWxvcGluZyBLTy05NDcsIGEgc21hbGwgbW9sZWN1bGUgaW5oaWJpdG9yIG9mIGV4dHJhY2VsbHVsYXIgc2lnbmFsIHJlbGF0ZWQga2luYXNlIHVzZWQgZm9yIHRoZSB0cmVhdG1lbnQgb2YgcGF0aWVudHMgd2l0aCB0dW1vcnMgdGhh</t>
  </si>
  <si>
    <t>dCBoYXZlIG11dGF0aW9ucyBpbiwgb3Igb3RoZXIgZHlzcmVndWxhdGlvbiBvZiwgdGhlIG1pdG9nZW4tYWN0aXZhdGVkIHByb3RlaW4ga2luYXNlOyBhbmQgS08tNTM5LCBhIHNtYWxsIG1vbGVjdWxlIGluaGliaXRvciBvZiB0aGUgbWVuaW4tbWl4ZWQgbGluZWFnZSBsZXVrZW1pYS4gVGhlIGNvbXBhbnkgd2FzIGZvdW5kZWQgaW4gMjAxNCBhbmQgaXMgaGVhZHF1YXJ0ZXJlZCBpbiBTYW4gRGllZ28sIENhbGlmb3JuaWEuANaMETgICdYIcySdbzQJ1gg8Q0lRLk5BU0RBUUdTOlBCWUkuSVFfRUJJVERBX0VTVC5DWTIwMTguNy8xNi8yMDE4LkNPTi5GLlVTRC5IAQAAAAJqrAcCAAAACC0yOS4zNjQ3AQ4AAAAFAAAAAjExAQAAAAEwAgAAAAoxMDAxNTEzMDc0AwAAAAYxMDAxODcEAAAAATIGAAAAATAHAAAAAzE2MAgAAAABMAkAAAABMQoAAAABMAsAAAALMTA5NDIwODk2MDkMAAAAATcNAAAACTcvMTcvMjAxOBAAAAAJNy8xNi8yMDE4xP8bETUJ1ggS/mQSNQnWCDVDSVEuTkFTREFRR1M6QVROWC5JUV9DQVBFWC4xOTkyLjcvMzEvMjAxOC5MRlIuRi5VU0QuSAEAAADcmWsBAgAAAAYtMC4xNzgBCAAAAAUAAAABMQEAAAAKMTg0MjQ5MDI3MwMAAAADMTYwAgAAAAQyMDIxBAAAAAEwBwAAAAk3LzMxLzIwMTgIAAAACjEyLzMxLzIwMTQJAAAAATDWjBE4CAnWCCTCmm80CdYII0NJUS5JUVRSNTMzNjM5NTAxLklR</t>
  </si>
  <si>
    <t>X1RSX0NMT1NFRF9EQVRFAQAAAE2xzh8FAAAACjEyLzI5LzIwMTcADG0QDjUJ1gjA24IONQnWCChDSVEuTkFTREFRR1M6S1VSQS5JUV9URVYuNy8zMS8yMDE4LlVTRC5IAQAAALjL2hACAAAACjYyMy4zMTk0MjIBBgAAAAUAAAABMQEAAAAKMTg4NzM4MjI4MQMAAAADMTYwAgAAAAYxMDAwNjAEAAAAATAHAAAACTcvMzEvMjAxONaMETgICdYIcySdbzQJ1gg8Q0lRLk5BU0RBUUdTOk1HTlguSVFfRUJJVERBX0VTVC5DWTIwMTguNy8xNi8yMDE4LkNPTi5GLlVTRC5IAQAAAE8rCQACAAAACi0xNzcuNTI2MjEBDgAAAAUAAAACMTEBAAAAATACAAAACjEwMDE5NzI5MjkDAAAABjEwMDE4NwQAAAABMgYAAAABMAcAAAADMTYwCAAAAAEwCQAAAAExCgAAAAEwCwAAAAsxMDg4NTkzOTQ1OAwAAAABNw0AAAAJNy8xNy8yMDE4EAAAAAk3LzE2LzIwMTjE/xsRNQnWCMKbYhI1CdYIRkNJUS4oSU5WQUxJRCBJREVOVElGSUVSKS5JUV9FQklUREFfNVlSX0FOTl9DQUdSLi43LzE2LzIwMTguTEZSLkYuVVNELkgFAAAAAAAAAAgAAAAUKEludmFsaWQgSWRlbnRpZmllcinep34QNQnWCJgSWRI1CdYILkNJUS5JUVRSNDA5OTUxODg2LklRX1RSX1RBUkdFVF9TVE9DS1BSRU1JVU1fMVcBAAAAjl5vGAIAAAAAAAxtEA41CdYIwNuCDjUJ1gg4Q0lRLk5BU0RBUUdTOkNBTEEuSVFfRUJJVERBLkNZMjAxNi43LzE2LzIwMTguTEZSLkYu</t>
  </si>
  <si>
    <t>VVNELkgBAAAApSeBBgIAAAAHLTM3LjczNwEIAAAABQAAAAExAQAAAAoxODc3OTU1NjAxAwAAAAMxNjACAAAABDQwNTEEAAAAATAHAAAACTcvMTYvMjAxOAgAAAAKMTIvMzEvMjAxNgkAAAABMCkclBA1CdYI5HRbEjUJ1ggnQ0lRLk5BU0RBUUdTOkVQWk0uSVFfUEVSSU9EREFURV9JUy4xMDAwAQAAAAMmPQMFAAAACjEyLzMxLzIwMTcA1owROAgJ1ggkwppvNAnWCClDSVEuSVEzNjE4MzgzMS5JUV9MQVNUU0FMRVBSSUNFLjcvMTYvMjAxOAEAAAAXHygCAgAAAAQyLjc1AAxtEA41CdYIDD6FDjUJ1ggvQ0lRLklRVFIzMTQ4MjkyMzYuSVFfVFJfSU1QTElFRF9FVl9GSU5BTC4uVVNELkgBAAAAtOnDEgIAAAADMjU4AFjPEg41CdYIwNuCDjUJ1gg3Q0lRLk5BU0RBUUdTOkFEWFMuSVFfUFJFRl9FUVVJVFkuLjcvMTYvMjAxOC5MRlIuRi5VU0QuSAEAAACe7HgAAwAAAAAAKRyUEDUJ1gjkdFsSNQnWCBdDSVEuMC5JUV9UUl9UT1RBTF9TVE9DSwUAAAAAAAAACAAAABgoSW52YWxpZCBUcmFuc2FjdGlvbiBJZClJU0dvNAnWCMxY54E0CdYIOENJUS5OQVNEQVFHUzpOSy5JUV9QUkVGX0VRVUlUWS4yMDAwLjUvNS8yMDE3LkxGUi5GLlVTRC5IAQAAAA19oQ8DAAAAAADWjBE4CAnWCBnpoW80CdYII0NJUS5JUVRSNDA3NzYwNjkyLklRX1RSX1RPVEFMX1NUT0NLAQAAADTvTRgCAAAAAAAMbRAONQnWCAw+hQ41CdYIPUNJ</t>
  </si>
  <si>
    <t>US5OQVNEQVFHUzpLVVJBLklRX0NBU0hfU1RfSU5WRVNULjIwMDAuNS81LzIwMTcuTEZSLkYuVVNELkgBAAAAuMvaEAIAAAAFNjcuNzkBCAAAAAUAAAABMQEAAAAKMTgzMTkzMTYwOAMAAAADMTYwAgAAAAQxMDAyBAAAAAEwBwAAAAg1LzUvMjAxNwgAAAAKMTIvMzEvMjAxNgkAAAABMNaMETgICdYIcySdbzQJ1gg7Q0lRLk5BU0RBUUdTOlRTUk8uSVFfUFJFRl9FUVVJVFkuMjAwMC43LzMxLzIwMTguTEZSLkYuVVNELkgBAAAAaNZYBgMAAAAAAJwL1TgICdYIJMKabzQJ1ggjQ0lRLklRVFI0MDk5NTE4ODYuSVFfVFJfQ0xPU0VEX0RBVEUBAAAAjl5vGAUAAAAJNC8yOC8yMDE3AAxtEA41CdYIwNuCDjUJ1ghHQ0lRLk5BU0RBUUdTOkVQWk0uSVFfTUlOT1JJVFlfSU5URVJFU1RfVE9UQUwuMjAwMC43LzMxLzIwMTguTEZSLkYuVVNELkgBAAAAAyY9AwMAAAAAANaMETgICdYIJMKabzQJ1gg5Q0lRLk9UQ1BLOk5XQk8uSVFfRUFSTklOR19DTy5DWTIwMTcuNy8xNi8yMDE4LkxGUi5GLlVTRC5IAQAAAKN6FAACAAAABy03My4xNDMBCAAAAAUAAAABMQEAAAAKMTg4MzI0OTA4NgMAAAADMTYwAgAAAAE3BAAAAAEwBwAAAAk3LzE2LzIwMTgIAAAACjEyLzMxLzIwMTcJAAAAATApHJQQNQnWCDDXXRI1CdYIIUNJUS5JUVRSNTYzOTE5MDQ5LklRX1RSX0JVWUVSTkFNRQEAAADJuJwhAwAAABVFbGkgTGlsbHkgYW5kIENv</t>
  </si>
  <si>
    <t>bXBhbnkADG0QDjUJ1gjA24IONQnWCEZDSVEuTkFTREFRR006RkFURS5JUV9UT1RBTF9SRVZfM1lSX0FOTl9DQUdSLjIwMDAuNy8zMS8yMDE4LkxGUi5GLlVTRC5IAQAAAGgxVwIDAAAAAADWjBE4CAnWCMOGn280CdYIOkNJUS5PVENQSzpOV0JPLklRX1JFVkVOVUVfRVNULkNZMjAxOC43LzE2LzIwMTguQ09OLkYuVVNELkgBAAAAo3oUAAMAAAAAACkclBA1CdYIczlgEjUJ1gg1Q0lRLk5BU0RBUUdNOkZBVEUuSVFfREFfQ0YuMjAwMC43LzMxLzIwMTguTEZSLkYuVVNELkgBAAAAaDFXAgIAAAAFMS4wNTEBCAAAAAUAAAABMQEAAAAKMTg4ODUwMDUyNwMAAAADMTYwAgAAAAQyMTYwBAAAAAEwBwAAAAk3LzMxLzIwMTgIAAAACTMvMzEvMjAxOAkAAAABMNaMETgICdYIw4afbzQJ1gg1Q0lRLk5BU0RBUUdNOkZBVEUuSVFfQ0FQRVguMjAwMC43LzMxLzIwMTguTEZSLkYuVVNELkgBAAAAaDFXAgIAAAAGLTEuNzU0AQgAAAAFAAAAATEBAAAACjE4ODg1MDA1MjcDAAAAAzE2MAIAAAAEMjAyMQQAAAABMAcAAAAJNy8zMS8yMDE4CAAAAAkzLzMxLzIwMTgJAAAAATDWjBE4CAnWCMOGn280CdYIOENJUS5OQVNEQVFHTTpMUFRYLklRX0VCSVREQS5DWTIwMTYuNy8xNi8yMDE4LkxGUi5GLlVTRC5IAQAAAAw2CQcCAAAABi0yNC4xNQEIAAAABQAAAAExAQAAAAoxODc1NTU5OTM5AwAAAAMxNjACAAAABDQwNTEEAAAAATAH</t>
  </si>
  <si>
    <t>AAAACTcvMTYvMjAxOAgAAAAKMTIvMzEvMjAxNgkAAAABMCkclBA1CdYIMNddEjUJ1gg4Q0lRLk5BU0RBUUdTOk5LLklRX0VBUk5JTkdfQ08uMTk5Ni43LzMxLzIwMTguTEZSLkYuVVNELkgBAAAADX2hDwIAAAAILTExNC42NDcBCAAAAAUAAAABMQEAAAAKMTg4NzExODc2NwMAAAADMTYwAgAAAAE3BAAAAAEwBwAAAAk3LzMxLzIwMTgIAAAACTMvMzEvMjAxNwkAAAABMNaMETgICdYIGemhbzQJ1ggjQ0lRLk5BU0RBUUNNOkFWRU8uSVFfUEVSSU9EREFURV9JUy4BAAAA9BYdAAUAAAAJNi8zMC8yMDE4AMT/GxE1CdYIwptiEjUJ1ggvQ0lRLklRVFIzMjE4NjUyOTcuSVFfVFJfSU1QTElFRF9FVl9GSU5BTC4uVVNELkgBAAAAUUYvEwIAAAAAAFjPEg41CdYIDD6FDjUJ1ghBQ0lRLk5BU0RBUUdTOk5LLklRX0VCSVREQV8zWVJfQU5OX0NBR1IuMjAwMC43LzMxLzIwMTguTEZSLkYuVVNELkgBAAAADX2hDwMAAAACTk0BCAAAAAUAAAABMQEAAAAKMTg4NzExODc5MQMAAAADMTYwAgAAAAQ0MjIyBAAAAAEwBwAAAAk3LzMxLzIwMTgIAAAACTMvMzEvMjAxOAkAAAABMNaMETgICdYIGemhbzQJ1gg4Q0lRLk5BU0RBUUdTOk1SU04uSVFfVE9UQUxfRVFVSVRZLi43LzE2LzIwMTguTEZSLkYuVVNELkgBAAAA5sUYAAIAAAAGNTYuNTQ3AQgAAAAFAAAAATEBAAAACjE4ODkwOTY2NTMDAAAAAzE2MAIAAAAEMTI3NQQAAAAB</t>
  </si>
  <si>
    <t>MAcAAAAJNy8xNi8yMDE4CAAAAAkzLzMxLzIwMTgJAAAAATApHJQQNQnWCHM5YBI1CdYIP0NJUS5OQVNEQVFHTTpGQVRFLklRX05FVF9XT1JLSU5HX0NBUC4xOTkyLjcvMzEvMjAxOC5MRlIuRi5VU0QuSAEAAABoMVcCAgAAAAYtNS4yMjYBCAAAAAUAAAABMQEAAAAKMTg0MzU0NDMyMQMAAAADMTYwAgAAAAQxMzExBAAAAAEwBwAAAAk3LzMxLzIwMTgIAAAACTMvMzEvMjAxNgkAAAABMNaMETgICdYIw4afbzQJ1gg8Q0lRLk5BU0RBUUdTOk1SU04uSVFfVE9UQUxfRVFVSVRZLjE5OTYuNy8zMS8yMDE4LkxGUi5GLlVTRC5IAQAAAObFGAACAAAABjMxLjEzOAEIAAAABQAAAAExAQAAAAoxODg5MDk2NTk3AwAAAAMxNjACAAAABDEyNzUEAAAAATAHAAAACTcvMzEvMjAxOAgAAAAJMy8zMS8yMDE3CQAAAAEw1owROAgJ1gjDhp9vNAnWCCxDSVEuSVFUUjU2MzkxOTA0OS5JUV9UUl9UT1RBTF9HUk9TU19UVi5VU0QuSAUAAAAAAAAACAAAABooSW52YWxpZCBDdXJyZW5jeSBSZXF1ZXN0KQxtEA41CdYIwNuCDjUJ1ggjQ0lRLklRVFIyNDU4MzEwMDcuSVFfVFJfQ0xPU0VEX0RBVEUBAAAAXxWnDgUAAAAKMTAvMTEvMjAxMwCys0lvNAnWCIH9lW80CdYIP0NJUS5OQVNEQVFHUzpCR05FLklRX05FVF9XT1JLSU5HX0NBUC4xOTkyLjcvMzEvMjAxOC5MRlIuRi5VU0QuSAEAAADg5N0GAgAAAAYtMTEuMjcBCAAAAAUAAAAB</t>
  </si>
  <si>
    <t>MQEAAAAKMTg0MTE4MDE2OAMAAAADMTYwAgAAAAQxMzExBAAAAAEwBwAAAAk3LzMxLzIwMTgIAAAACTMvMzEvMjAxNgkAAAABMJwL1TgICdYIgf2VbzQJ1ggzQ0lRLk5BU0RBUUdTOlNHRU4uSVFfRUJJVERBX0VTVC5DWTIwMTkuLkNPTi5GLlVTRC5IAQAAAGGFAAACAAAABy0xMzcuMzIBDgAAAAUAAAACMTEBAAAAATACAAAACjEwMDAxMjQ3MjcDAAAABjEwMDE4NwQAAAABMgYAAAABMAcAAAADMTYwCAAAAAEwCQAAAAExCgAAAAEwCwAAAAsxMDk5OTM0OTM0NgwAAAABNw0AAAAJOC8yNC8yMDE4EAAAAAk4LzIzLzIwMTjE/xsRNQnWCMT/GxE1CdYIFkNJUS4wLklRX1RSX1BDVF9TT1VHSFQFAAAAAAAAAAgAAAAYKEludmFsaWQgVHJhbnNhY3Rpb24gSWQpSVNHbzQJ1ggH4vCBNAnWCC1DSVEuTkFTREFRR1M6VFNSTy5JUV9ESVZJREVORF9ZSUVMRC43LzE2LzIwMTgBAAAAaNZYBgMAAAAAAEadGRE1CdYIEv5kEjUJ1gggQ0lRLklRNTQzMzkwNzUuSVFfQ09NUEFOWV9USUNLRVIBAAAAAyY9AwMAAAANTmFzZGFxR1M6RVBaTQCys0lvNAnWCCTCmm80CdYIPENJUS5OQVNEQVFHUzpDVE1YLklRX0VCSVREQV9FU1QuQ1kyMDIwLjcvMTYvMjAxOC5DT04uRi5VU0QuSAEAAADcOJsDAwAAAAAAxP8bETUJ1gjCm2ISNQnWCDdDSVEuTkFTREFRR1M6UEJZSS5JUV9QUkVGX0VRVUlUWS4uOS8xNS8yMDE3LkxGUi5GLlVT</t>
  </si>
  <si>
    <t>RC5IAQAAAAJqrAcDAAAAAADE/xsRNQnWCBL+ZBI1CdYILkNJUS5OQVNEQVFHUzpHVEhYLklRX01BUktFVENBUC43LzMxLzIwMTguVVNELkgBAAAAZTRpCAIAAAALMTY4NC45NTgwMjUBBgAAAAUAAAABMQEAAAAKMTg4NjM2NzQxMAMAAAADMTYwAgAAAAYxMDAwNTQEAAAAATAHAAAACTcvMzEvMjAxOJwL1TgICdYIJMKabzQJ1gg+Q0lRLk5BU0RBUUdNOkxQVFguSVFfVE9UQUxfRVFVSVRZLkNZMjAxNi43LzE2LzIwMTguTEZSLkYuVVNELkgBAAAADDYJBwIAAAAFLTI5LjcBCAAAAAUAAAABMQEAAAAKMTg3NTU1OTkzOQMAAAADMTYwAgAAAAQxMjc1BAAAAAEwBwAAAAk3LzE2LzIwMTgIAAAACjEyLzMxLzIwMTYJAAAAATApHJQQNQnWCDDXXRI1CdYIPUNJUS5OQVNEQVFHTTpBUlFMLklRX1JFVkVOVUVfRVNULkNZMjAyMS43LzMxLzIwMTguQ09OLkYuVVNELkgBAAAA9mEAAAIAAAAGMzkuMTkxAQ4AAAAFAAAAAjExAQAAAAEwAgAAAAoxMDAyNjc5NTU3AwAAAAYxMDAxODAEAAAAATIGAAAAATAHAAAAAzE2MAgAAAABMAkAAAABMQoAAAABMAsAAAALMTA5NDY2MjIxNjYMAAAAATcNAAAACDgvMS8yMDE4EAAAAAk3LzMxLzIwMTjWjBE4CAnWCHMknW80CdYIN0NJUS5OQVNEQVFHTTpJTU1VLklRX0VCSVRfTUFSR0lOLi43LzE2LzIwMTguTEZSLkYuVVNELkgBAAAAIEMEAAMAAAACTk0BCAAAAAUAAAABMQEAAAAK</t>
  </si>
  <si>
    <t>MTg4ODUyMzM4NAMAAAADMTYwAgAAAAQ0MDUzBAAAAAEwBwAAAAk3LzE2LzIwMTgIAAAACTMvMzEvMjAxOAkAAAABMMT/GxE1CdYIEv5kEjUJ1ggtQ0lRLk5BU0RBUUdTOk1HTlguSVFfRElWSURFTkRfWUlFTEQuNy8xNi8yMDE4AQAAAE8rCQADAAAAAABGnRkRNQnWCMKbYhI1CdYIMUNJUS5OQVNEQVFHUzpTR0VOLklRX0RBX0NGLi43LzE2LzIwMTguTEZSLkYuVVNELkgBAAAAYYUAAAIAAAAGMjYuNDk1AQgAAAAFAAAAATEBAAAACjE4ODQ4OTI4NTIDAAAAAzE2MAIAAAAEMjE2MAQAAAABMAcAAAAJNy8xNi8yMDE4CAAAAAkzLzMxLzIwMTgJAAAAATDE/xsRNQnWCGhgZxI1CdYIOUNJUS5OQVNEQVFHUzpGUFJYLklRX05JX01BUkdJTi4yMDAwLjcvMzEvMjAxOC5MRlIuRi5VU0QuSAEAAAA3XTMAAgAAAAktMjIxLjc0NDYBCAAAAAUAAAABMQEAAAAKMTg4NzQwMjIyNwMAAAADMTYwAgAAAAQ0MDk0BAAAAAEwBwAAAAk3LzMxLzIwMTgIAAAACTMvMzEvMjAxOAkAAAABMNaMETgICdYIGemhbzQJ1ggtQ0lRLk5BU0RBUUNNOlNSTkUuSVFfRElWSURFTkRfWUlFTEQuNy8zMS8yMDE4AQAAAElDlAMDAAAAAADWjBE4CAnWCHMknW80CdYIP0NJUS5OQVNEQVFDTTpTUk5FLklRX05FVF9XT1JLSU5HX0NBUC4yMDAwLjcvMzEvMjAxOC5MRlIuRi5VU0QuSAEAAABJQ5QDAgAAAActMzguMDU3AQgAAAAFAAAAATEBAAAA</t>
  </si>
  <si>
    <t>CjE4ODc5ODk4MzEDAAAAAzE2MAIAAAAEMTMxMQQAAAABMAcAAAAJNy8zMS8yMDE4CAAAAAkzLzMxLzIwMTgJAAAAATDWjBE4CAnWCHMknW80CdYIQ0NJUS5OQVNEQVFHTTpMUFRYLklRX01JTk9SSVRZX0lOVEVSRVNUX1RPVEFMLi45LzE1LzIwMTcuTEZSLkYuVVNELkgBAAAADDYJBwMAAAAAACkclBA1CdYIMNddEjUJ1gg7Q0lRLk5BU0RBUUdNOkFSUUwuSVFfVE9UQUxfUkVWLkNZMjAxNi43LzMxLzIwMTguTEZSLkYuVVNELkgBAAAA9mEAAAIAAAAFNC43MDkBCAAAAAUAAAABMQEAAAAKMTg3ODUwODY5NQMAAAADMTYwAgAAAAIyOAQAAAABMAcAAAAJNy8zMS8yMDE4CAAAAAoxMi8zMS8yMDE2CQAAAAEw1owROAgJ1ghzJJ1vNAnWCC5DSVEuSVFUUjQwOTk1MTg4Ni5JUV9UUl9UQVJHRVRfU1RPQ0tQUkVNSVVNXzFNAQAAAI5ebxgCAAAAAAAMbRAONQnWCMDbgg41CdYIMkNJUS5OQVNEQVFHUzpBTkFCLklRX0VCSVREQS4uNy8xNi8yMDE4LkxGUi5GLlVTRC5IAQAAACFMsgECAAAABy0zNC4zNTIBCAAAAAUAAAABMQEAAAAKMTg4NzQwMDA0MwMAAAADMTYwAgAAAAQ0MDUxBAAAAAEwBwAAAAk3LzE2LzIwMTgIAAAACTMvMzEvMjAxOAkAAAABMMT/GxE1CdYIwptiEjUJ1ggxQ0lRLk5BU0RBUUdTOkNBTEEuSVFfQ0FQRVguLjcvMTYvMjAxOC5MRlIuRi5VU0QuSAEAAAClJ4EGAgAAAAYtMS4yMDUBCAAAAAUA</t>
  </si>
  <si>
    <t>AAABMQEAAAAKMTg4Nzk4MDMwNQMAAAADMTYwAgAAAAQyMDIxBAAAAAEwBwAAAAk3LzE2LzIwMTgIAAAACTMvMzEvMjAxOAkAAAABMCkclBA1CdYI5HRbEjUJ1gg7Q0lRLk5BU0RBUUdTOkNUTVguSVFfVE9UQUxfUkVWLkNZMjAxNy43LzE2LzIwMTguTEZSLkYuVVNELkgBAAAA3DibAwIAAAAGNzEuNjIzAQgAAAAFAAAAATEBAAAACjE4NzczMTY3NjkDAAAAAzE2MAIAAAACMjgEAAAAATAHAAAACTcvMTYvMjAxOAgAAAAKMTIvMzEvMjAxNwkAAAABMMT/GxE1CdYIwptiEjUJ1gg8Q0lRLk5BU0RBUUdTOkJHTkUuSVFfVE9UQUxfRVFVSVRZLjE5OTYuNy8zMS8yMDE4LkxGUi5GLlVTRC5IAQAAAODk3QYCAAAABzMwOC40MTcBCAAAAAUAAAABMQEAAAAKMTg4NzY4ODU4MwMAAAADMTYwAgAAAAQxMjc1BAAAAAEwBwAAAAk3LzMxLzIwMTgIAAAACTMvMzEvMjAxNwkAAAABMJwL1TgICdYIgf2VbzQJ1ggdQ0lRLjAuSVFfQlVTSU5FU1NfREVTQ1JJUFRJT04BAAAAVYR3AwMAAAAAALKzSW80CdYIB+LwgTQJ1gglQ0lRLklRVFI1NDI4MDY2ODYuSVFfUFJJTUFSWV9JTkRVU1RSWQEAAACZUdECAwAAAA1CaW90ZWNobm9sb2d5AElTR280CdYIgf2VbzQJ1gghQ0lRLk5BU0RBUUNNOkNLUFQuSVFfQ09NUEFOWV9OQU1FAQAAALhRFhEDAAAAHUNoZWNrcG9pbnQgVGhlcmFwZXV0aWNzLCBJbmMuACkclBA1CdYIMNddEjUJ</t>
  </si>
  <si>
    <t>1ggvQ0lRLklRVFI0MDM3OTE3NjcuSVFfVFJfVEFSR0VUX1RPVEFMX1JFVi4uVVNELkgBAAAAl18RGAIAAAAAAFjPEg41CdYIwNuCDjUJ1ggdQ0lRLk5BU0RBUUdTOk1HTlguSVFfRVhDSEFOR0UBAAAATysJAAMAAAAITmFzZGFxR1MARp0ZETUJ1gjCm2ISNQnWCChDSVEuLklRX0RBX0NGLjIwMDAuNy8zMS8yMDE4LkxGUi5GLlVTRC5IBQAAAAEAAAAIAAAAFChJbnZhbGlkIElkZW50aWZpZXIp9YQyRzQJ1gj1hDJHNAnWCCVDSVEuSVFUUjMwMjg2NjYyNy5JUV9UUl9NQUpfTUlOX1NUQUtFAQAAAMNgDRIDAAAACE1ham9yaXR5AFjPEg41CdYIDD6FDjUJ1gg8Q0lRLk5BU0RBUUdTOk1SU04uSVFfRUJJVERBX0VTVC5DWTIwMjAuNy8xNi8yMDE4LkNPTi5GLlVTRC5IAQAAAObFGAACAAAABy03My45NTUBDgAAAAUAAAACMTEBAAAAATACAAAACjEwMDM4MDMyODUDAAAABjEwMDE4NwQAAAABMgYAAAABMAcAAAADMTYwCAAAAAEwCQAAAAExCgAAAAEwCwAAAAsxMDg4MzgzMTM0MAwAAAABNw0AAAAJNy8xNy8yMDE4EAAAAAk3LzE2LzIwMTjE/xsRNQnWCHM5YBI1CdYIOkNJUS5OQVNEQVFHTTpJTU1VLklRX0VBUk5JTkdfQ08uMjAwMC43LzMxLzIwMTguTEZSLkYuVVNELkgBAAAAIEMEAAIAAAALLTIxMC4xMTY0MzcBCAAAAAUAAAABMQEAAAAKMTg4ODUyMzM4NAMAAAADMTYwAgAAAAE3BAAAAAEwBwAAAAk3LzMx</t>
  </si>
  <si>
    <t>LzIwMTgIAAAACTMvMzEvMjAxOAkAAAABMJwL1TgICdYI1F+YbzQJ1ggvQ0lRLklRVFI1MzU3MTk5OTguSVFfVFJfVEFSR0VUX1RPVEFMX1JFVi4uVVNELkgBAAAAPnDuHwIAAAAGMzIuMTM2AQYAAAAFAAAAAjM3AQAAAAoxODUyNTU4MjI4AgAAAAIyOAMAAAADMTYwBAAAAAEwBwAAAAgxLzEvMTkwMLKzSW80CdYIgf2VbzQJ1ghBQ0lRLihJTlZBTElEIElERU5USUZJRVIpLklRX0NBU0hfU1RfSU5WRVNULi43LzE2LzIwMTguTEZSLkYuVVNELkgFAAAAAAAAAAgAAAAUKEludmFsaWQgSWRlbnRpZmllcinep34QNQnWCJgSWRI1CdYIOENJUS5OQVNEQVFHUzpOSy5JUV9UT1RBTF9ERUJULjIwMDAuNy8zMS8yMDE4LkxGUi5GLlVTRC5IAQAAAA19oQ8CAAAABTcuMDIzAQgAAAAFAAAAATEBAAAACjE4ODcxMTg3OTEDAAAAAzE2MAIAAAAENDE3MwQAAAABMAcAAAAJNy8zMS8yMDE4CAAAAAkzLzMxLzIwMTgJAAAAATDWjBE4CAnWCMOGn280CdYIJENJUS4oSU5WQUxJRCBJREVOVElGSUVSKS5JUV9FWENIQU5HRQUAAAAAAAAACAAAABQoSW52YWxpZCBJZGVudGlmaWVyKcgwsjcICdYIQsWtDjUJ1ggpQ0lRLklRMzYxODM4MjUuSVFfTEFTVFNBTEVQUklDRS43LzE2LzIwMTgBAAAAER8oAgIAAAAEMi41OQAMbRAONQnWCAw+hQ41CdYIP0NJUS5OQVNEQVFHUzpUU1JPLklRX0VCSVREQV8yWVJfQU5OX0NBR1IuLjcv</t>
  </si>
  <si>
    <t>MTYvMjAxOC5MRlIuRi5VU0QuSAEAAABo1lgGAwAAAAJOTQEIAAAABQAAAAExAQAAAAoxODg2MzM3NDY2AwAAAAMxNjACAAAABDQyMDkEAAAAATAHAAAACTcvMTYvMjAxOAgAAAAJMy8zMS8yMDE4CQAAAAEwxP8bETUJ1ggS/mQSNQnWCDFDSVEuTkFTREFRR1M6VFNSTy5JUV9DQVBFWC4uNy8xNi8yMDE4LkxGUi5GLlVTRC5IAQAAAGjWWAYCAAAABi01LjgwNwEIAAAABQAAAAExAQAAAAoxODg2MzM3NDY2AwAAAAMxNjACAAAABDIwMjEEAAAAATAHAAAACTcvMTYvMjAxOAgAAAAJMy8zMS8yMDE4CQAAAAEwxP8bETUJ1ggS/mQSNQnWCDhDSVEuWFRSQTpNT1IuSVFfQ0FTSF9TVF9JTlZFU1QuMjAwMC41LzUvMjAxNy5MRlIuRi5VU0QuSAEAAADfEQIAAgAAAAoyOTMuOTYyODg1AQgAAAAFAAAAATEBAAAACjE4Mzk5NDA3MjEDAAAAAzE2MAIAAAAEMTAwMgQAAAABMAcAAAAINS81LzIwMTcIAAAACTMvMzEvMjAxNwkAAAABMJwL1TgICdYI1F+YbzQJ1ggrQ0lRLklRVFI0MDM3OTE3NjcuSVFfVFJfSU1QTElFRF9FVl9FQklUX0ZXRAEAAACXXxEYAgAAAAAAWM8SDjUJ1gjA24IONQnWCCBDSVEuSVEyODQ2MjExMy5JUV9DT01QQU5ZX1RJQ0tFUgEAAAAhTLIBAwAAAA1OYXNkYXFHUzpBTkFCAAxtEA41CdYIW8eODjUJ1gguQ0lRLklRVFI0MzE4NDE1ODEuSVFfVFJfVEFSR0VUX1NUT0NLUFJFTUlVTV8xTQEAAAAt</t>
  </si>
  <si>
    <t>Yb0ZAgAAAAAADG0QDjUJ1ggMPoUONQnWCCtDSVEuT1RDUEs6TUJWWC5JUV9NQVJLRVRDQVAuNy8xNi8yMDE4LlVTRC5IAQAAANhEiwICAAAACDcuNDgzMTM2AQYAAAAFAAAAATEBAAAACjE4ODEyMTMyMzUDAAAAAzE2MAIAAAAGMTAwMDU0BAAAAAEwBwAAAAk3LzE2LzIwMTjep34QNQnWCJgSWRI1CdYIPENJUS5OQVNEQVFDTTpDS1BULklRX0VCSVREQV9FU1QuQ1kyMDE5LjcvMTYvMjAxOC5DT04uRi5VU0QuSAEAAAC4URYRAgAAAAUtNDEuNgEOAAAABQAAAAIxMQEAAAABMAIAAAAKMTAwMzY2NTYwMgMAAAAGMTAwMTg3BAAAAAEyBgAAAAEwBwAAAAMxNjAIAAAAATAJAAAAATEKAAAAATALAAAACzEwODc4NzAwNDkyDAAAAAE3DQAAAAk3LzE3LzIwMTgQAAAACTcvMTYvMjAxOCkclBA1CdYI5HRbEjUJ1gg2Q0lRLkFTWDpJTVUuSVFfRUFSTklOR19DTy5DWTIwMTcuNy8xNi8yMDE4LkxGUi5GLlVTRC5IAQAAAJiTqQACAAAACS0yLjA2NzU4MQEIAAAABQAAAAExAQAAAAoxODc3MzA1MzIwAwAAAAMxNjACAAAAATcEAAAAATAHAAAACTcvMTYvMjAxOAgAAAAKMTIvMzEvMjAxNwkAAAABMCkclBA1CdYIMNddEjUJ1gguQ0lRLklRVFIzNzE3MTUxMTkuSVFfVFJfVEFSR0VUX1NUT0NLUFJFTUlVTV8xVwEAAAAv7CcWAgAAAAAAWM8SDjUJ1gjA24IONQnWCBhDSVEuLklRX1RSX0lNUExJRURfRVFfQlYFAAAAAAAA</t>
  </si>
  <si>
    <t>AAgAAAAUKEludmFsaWQgSWRlbnRpZmllcimcC9U4CAnWCHd5gA41CdYIJ0NJUS5OQVNEQVFHUzpDVE1YLklRX0JFVEFfMllSLjcvMTYvMjAxOAEAAADcOJsDAgAAABEwLjc0NTQ1MTc4NTk3NzE3MQDE/xsRNQnWCMKbYhI1CdYIL0NJUS5JUVRSNDIyODg3NzAxLklRX1RSX1RBUkdFVF9UT1RBTF9SRVYuLlVTRC5IAQAAABXBNBkCAAAAAAAMbRAONQnWCMDbgg41CdYIOkNJUS4uSVFfTUlOT1JJVFlfSU5URVJFU1RfVE9UQUwuMjAwMC43LzMxLzIwMTguTEZSLkYuVVNELkgFAAAAAQAAAAgAAAAUKEludmFsaWQgSWRlbnRpZmllcin1hDJHNAnWCPWEMkc0CdYIQ0NJUS5OQVNEQVFHTTpDUlZTLklRX0VCSVREQV8zWVJfQU5OX0NBR1IuMjAwMC43LzMxLzIwMTguTEZSLkYuVVNELkgBAAAA9LCmEAMAAAAAANaMETgICdYIGemhbzQJ1gg5Q0lRLk5BU0RBUUdNOkNSVlMuSVFfVE9UQUxfREVCVC4yMDAwLjUvNS8yMDE3LkxGUi5GLlVTRC5IAQAAAPSwphACAAAAATABCAAAAAUAAAABMQEAAAAKMTg0MDExNjE3MwMAAAADMTYwAgAAAAQ0MTczBAAAAAEwBwAAAAg1LzUvMjAxNwgAAAAJMy8zMS8yMDE3CQAAAAEw1owROAgJ1ggZ6aFvNAnWCD1DSVEuTkFTREFRR006TFBUWC5JUV9SRVZFTlVFX0VTVC5DWTIwMjEuNy8xNi8yMDE4LkNPTi5GLlVTRC5IAQAAAAw2CQcCAAAAATABDgAAAAUAAAACMTEBAAAAATACAAAA</t>
  </si>
  <si>
    <t>CjEwMDM2Mzk1NjIDAAAABjEwMDE4MAQAAAABMgYAAAABMAcAAAADMTYwCAAAAAEwCQAAAAExCgAAAAEwCwAAAAsxMDg4MjAyMDQ4MwwAAAABNw0AAAAJNy8xNy8yMDE4EAAAAAk3LzE2LzIwMTgpHJQQNQnWCDDXXRI1CdYILkNJUS5OQVNEQVFHTTpBUlFMLklRX01BUktFVENBUC43LzMxLzIwMTguVVNELkgBAAAA9mEAAAIAAAAKNDk2Ljg4MTEyOAEGAAAABQAAAAExAQAAAAoxODg4Nzg3NDUyAwAAAAMxNjACAAAABjEwMDA1NAQAAAABMAcAAAAJNy8zMS8yMDE41owROAgJ1ghzJJ1vNAnWCDZDSVEuTkFTREFRR1M6RlBSWC5JUV9FQVJOSU5HX0NPLi43LzE2LzIwMTguTEZSLkYuVVNELkgBAAAAN10zAAIAAAAILTEzNy4xNjkBCAAAAAUAAAABMQEAAAAKMTg4NzQwMjIyNwMAAAADMTYwAgAAAAE3BAAAAAEwBwAAAAk3LzE2LzIwMTgIAAAACTMvMzEvMjAxOAkAAAABMCkclBA1CdYIczlgEjUJ1gg3Q0lRLk5BU0RBUUdNOkFSUUwuSVFfUEVSSU9EREFURV9JUy4yMDAwLjcvMzEvMjAxOC5MRlIuRgEAAAD2YQAABQAAAAkzLzMxLzIwMTgA1owROAgJ1ghzJJ1vNAnWCBtDSVEuQVNYOklNVS5JUV9DT01QQU5ZX05BTUUBAAAAmJOpAAMAAAAPSW11Z2VuZSBMaW1pdGVkACkclBA1CdYIMNddEjUJ1ggkQ0lRLk5BU0RBUUdTOkpOQ0UuSVFfRUZGRUNUX1RBWF9SQVRFAQAAAOJ5ng0DAAAAAk5NAQgAAAAFAAAAATEB</t>
  </si>
  <si>
    <t>AAAACjE4OTk2MTkxODIDAAAAAzE2MAIAAAAENDM3NgQAAAABMAcAAAAJOC8yMy8yMDE4CAAAAAk2LzMwLzIwMTgJAAAAATDep34QNQnWCJgSWRI1CdYIOkNJUS5OQVNEQVFHTTpJTU1VLklRX0NBU0hfU1RfSU5WRVNULi45LzE1LzIwMTcuTEZSLkYuVVNELkgBAAAAIEMEAAIAAAAKMTU0LjkwMTc5NQEIAAAABQAAAAExAQAAAAoxODU0MzgyMzE0AwAAAAMxNjACAAAABDEwMDIEAAAAATAHAAAACTkvMTUvMjAxNwgAAAAJNi8zMC8yMDE3CQAAAAEwxP8bETUJ1ggS/mQSNQnWCDBDSVEuTkFTREFRR1M6QkdORS5JUV9MQVNUU0FMRVBSSUNFLjcvMzEvMjAxOC5VU0QBAAAA4OTdBgIAAAAGMTg5LjY2AJwL1TgICdYIgf2VbzQJ1ggjQ0lRLklRVFI1NDc0MjM2ODAuSVFfVFJfVE9UQUxfU1RPQ0sBAAAAwAWhIAIAAAAAAAxtEA41CdYIwNuCDjUJ1gg2Q0lRLkFTWDpJTVUuSVFfRUFSTklOR19DTy5DWTIwMTYuNy8xNi8yMDE4LkxGUi5GLlVTRC5IAQAAAJiTqQACAAAACS0yLjMwNzEzOAEIAAAABQAAAAExAQAAAAoxODc3MzA1ODczAwAAAAMxNjACAAAAATcEAAAAATAHAAAACTcvMTYvMjAxOAgAAAAKMTIvMzEvMjAxNgkAAAABMCkclBA1CdYIMNddEjUJ1ggrQ0lRLk5BU0RBUUdNOklNTVUuSVFfTEFTVFNBTEVQUklDRS41LzUvMjAxNwEAAAAgQwQAAgAAAAQ2LjM2AJwL1TgICdYI1F+YbzQJ1ggvQ0lRLklRVFIy</t>
  </si>
  <si>
    <t>NzM1MDcxODUuSVFfVFJfVEFSR0VUX1RPVEFMX1JFVi4uVVNELkgBAAAAcWNNEAIAAAAFOS4wMTIBBgAAAAUAAAACMzcBAAAACjE2OTE3NjgyNjQCAAAAAjI4AwAAAAMxNjAEAAAAATAHAAAACDEvMS8xOTAwsrNJbzQJ1giB/ZVvNAnWCEZDSVEuTkFTREFRR1M6Q0FMQS5JUV9UT1RBTF9SRVZfM1lSX0FOTl9DQUdSLjIwMDAuNy8zMS8yMDE4LkxGUi5GLlVTRC5IAQAAAKUngQYDAAAAAADIMLI3CAnWCN1LpG80CdYIPENJUS5OQVNEQVFHUzpQQllJLklRX0VCSVREQV9FU1QuQ1kyMDE5LjcvMTYvMjAxOC5DT04uRi5VU0QuSAEAAAACaqwHAgAAAAc4NS45NTM3AQ4AAAAFAAAAAjExAQAAAAEwAgAAAAoxMDAxNTEzMDc5AwAAAAYxMDAxODcEAAAAATIGAAAAATAHAAAAAzE2MAgAAAABMAkAAAABMQoAAAABMAsAAAALMTA5NDIwNzQ4MTQMAAAAATcNAAAACTcvMTcvMjAxOBAAAAAJNy8xNi8yMDE4xP8bETUJ1ggS/mQSNQnWCD1DSVEuTkFTREFRR1M6TVJTTi5JUV9SRVZFTlVFX0VTVC5DWTIwMTguNy8xNi8yMDE4LkNPTi5GLlVTRC5IAQAAAObFGAACAAAABjE1LjQyOQEOAAAABQAAAAIxMQEAAAABMAIAAAAKMTAwMzgwMzI3NQMAAAAGMTAwMTgwBAAAAAEyBgAAAAEwBwAAAAMxNjAIAAAAATAJAAAAATEKAAAAATALAAAACzExMDQxNzgzODA3DAAAAAE3DQAAAAk3LzE3LzIwMTgQAAAACTcvMTYvMjAxOMT/GxE1</t>
  </si>
  <si>
    <t>CdYIczlgEjUJ1gg8Q0lRLk5BU0RBUUdNOklNTVUuSVFfRUJJVERBX0VTVC5DWTIwMTguNy8zMS8yMDE4LkNPTi5GLlVTRC5IAQAAACBDBAADAAAAAACcC9U4CAnWCNRfmG80CdYIIUNJUS5JUTI4Mjc3NDQ1Ni5JUV9DT01QQU5ZX1RJQ0tFUgEAAAC4y9oQAwAAAA1OYXNkYXFHUzpLVVJBALKzSW80CdYIcySdbzQJ1gg0Q0lRLihJTlZBTElEIElERU5USUZJRVIpLklRX01BUktFVENBUC41LzUvMjAxNy5VU0QuSAUAAAAAAAAACAAAABQoSW52YWxpZCBJZGVudGlmaWVyKcgwsjcICdYI7TawbzQJ1ggzQ0lRLk5BU0RBUUdTOkNUTVguSVFfUEVSSU9EREFURV9JUy4uNy8xNi8yMDE4LkxGUi5GAQAAANw4mwMFAAAACTMvMzEvMjAxOADE/xsRNQnWCMKbYhI1CdYIOUNJUS5OQVNEQVFHUzpBVE5YLklRX1RPVEFMX1JFVi4xOTkyLjcvMzEvMjAxOC5MRlIuRi5VU0QuSAEAAADcmWsBAgAAAAUxLjIxMQEIAAAABQAAAAExAQAAAAoxODQyNDkwMjczAwAAAAMxNjACAAAAAjI4BAAAAAEwBwAAAAk3LzMxLzIwMTgIAAAACjEyLzMxLzIwMTQJAAAAATDWjBE4CAnWCCTCmm80CdYIN0NJUS5PVENQSzpOV0JPLklRX0NBU0hfU1RfSU5WRVNULi45LzE1LzIwMTcuTEZSLkYuVVNELkgBAAAAo3oUAAIAAAAFMC4wMjIBCAAAAAUAAAABMQEAAAAKMTg1NTMyNjM3MQMAAAADMTYwAgAAAAQxMDAyBAAAAAEwBwAAAAk5LzE1LzIw</t>
  </si>
  <si>
    <t>MTcIAAAACTYvMzAvMjAxNwkAAAABMCkclBA1CdYIMNddEjUJ1gglQ0lRLkVOWFRQQTpJUEguSVFfVEVWLjcvMTYvMjAxOC5VU0QuSAEAAACZgAYAAgAAAAoxODAuNzM4NjI0AQYAAAAFAAAAATEBAAAACjE4ODk1NTIxNjIDAAAAAzE2MAIAAAAGMTAwMDYwBAAAAAEwBwAAAAk3LzE2LzIwMTgpHJQQNQnWCHM5YBI1CdYIJUNJUS5JUVRSNTUxMTY2MjkyLklRX1RSX0lNUExJRURfRVFfQlYBAAAAVCHaIAIAAAAINS4wNjc1ODMBBgAAAAUAAAACNTQBAAAABjEwMjA5NwIAAAAJNTUxMTY2MjkyAwAAAAk1NTExNzMzNzUEAAAAAzE2MAYAAAAFRmFsc2UMbRAONQnWCMDbgg41CdYIMENJUS4uSVFfQ0FTSF9TVF9JTlZFU1QuMjAwMC41LzUvMjAxNy5MRlIuRi5VU0QuSAUAAAABAAAACAAAABQoSW52YWxpZCBJZGVudGlmaWVyKfWEMkc0CdYI9YQyRzQJ1gg7Q0lRLk5BU0RBUUdTOkVQWk0uSVFfVE9UQUxfUkVWLkNZMjAxNy43LzMxLzIwMTguTEZSLkYuVVNELkgBAAAAAyY9AwIAAAACMTABCAAAAAUAAAABMQEAAAAKMTg3ODA4MTA2NAMAAAADMTYwAgAAAAIyOAQAAAABMAcAAAAJNy8zMS8yMDE4CAAAAAoxMi8zMS8yMDE3CQAAAAEw1owROAgJ1ghzJJ1vNAnWCDFDSVEuSVFUUjQwODI5MTM5NS5JUV9UUl9UQVJHRVRfUkVWRU5VRV9FU1QuLlVTRC5IAQAAAEMIVhgCAAAAAABYzxIONQnWCMDbgg41CdYINkNJUS5O</t>
  </si>
  <si>
    <t>QVNEQVFHUzpDQUxBLklRX1RPVEFMX0RFQlQuLjkvMTUvMjAxNy5MRlIuRi5VU0QuSAEAAAClJ4EGAgAAAAEwAQgAAAAFAAAAATEBAAAACjE4NTI0NzUwNzkDAAAAAzE2MAIAAAAENDE3MwQAAAABMAcAAAAJOS8xNS8yMDE3CAAAAAk2LzMwLzIwMTcJAAAAATApHJQQNQnWCOR0WxI1CdYIHENJUS4uSVFfQlVTSU5FU1NfREVTQ1JJUFRJT04FAAAAAAAAAAgAAAAUKEludmFsaWQgSWRlbnRpZmllcimcC9U4CAnWCHd5gA41CdYIL0NJUS5JUVRSNTQ4MzM4MDIwLklRX1RSX1RBUkdFVF9UT1RBTF9SRVYuLlVTRC5IAQAAAGT5riACAAAAAAAMbRAONQnWCMDbgg41CdYIO0NJUS5OQVNEQVFHTTpBRk1ELklRX1RPVEFMX1JFVi5DWTIwMTYuNy8xNi8yMDE4LkxGUi5GLlVTRC5IAQAAANv3DAACAAAACDYuODE4MzI2AQgAAAAFAAAAATEBAAAACjE4NzkxNDc2NjIDAAAAAzE2MAIAAAACMjgEAAAAATAHAAAACTcvMTYvMjAxOAgAAAAKMTIvMzEvMjAxNgkAAAABMCkclBA1CdYIMNddEjUJ1gg2Q0lRLk5BU0RBUUdTOkJHTkUuSVFfRUFSTklOR19DTy4uNy8xNi8yMDE4LkxGUi5GLlVTRC5IAQAAAODk3QYCAAAACC0xNDcuNzkyAQgAAAAFAAAAATEBAAAACjE4ODc2ODg1ODgDAAAAAzE2MAIAAAABNwQAAAABMAcAAAAJNy8xNi8yMDE4CAAAAAkzLzMxLzIwMTgJAAAAATDE/xsRNQnWCGhgZxI1CdYIQkNJUS4oSU5WQUxJ</t>
  </si>
  <si>
    <t>RCBJREVOVElGSUVSKS5JUV9UT1RBTF9SRVYuQ1kyMDE2LjcvMzEvMjAxOC5MRlIuRi5VU0QuSAUAAAAAAAAACAAAABQoSW52YWxpZCBJZGVudGlmaWVyKcgwsjcICdYI7TawbzQJ1gg6Q0lRLk5BU0RBUUNNOk1URU0uSVFfRUFSTklOR19DTy4xOTkyLjcvMzEvMjAxOC5MRlIuRi5VU0QuSAEAAACZm6kBAwAAAAAAyDCyNwgJ1ggZ6aFvNAnWCDFDSVEuLklRX1RPVEFMX0VRVUlUWS5DWTIwMTYuNy8zMS8yMDE4LkxGUi5GLlVTRC5IBQAAAAEAAAAIAAAAFChJbnZhbGlkIElkZW50aWZpZXIp9YQyRzQJ1gj1hDJHNAnWCDZDSVEuTkFTREFRR1M6Q0FMQS5JUV9FQklUREEuMTk5Mi43LzMxLzIwMTguTEZSLkYuVVNELkgBAAAApSeBBgIAAAAHLTM0LjIyOQEIAAAABQAAAAExAQAAAAoxODQwOTgyNjQ2AwAAAAMxNjACAAAABDQwNTEEAAAAATAHAAAACTcvMzEvMjAxOAgAAAAJMy8zMS8yMDE2CQAAAAEwyDCyNwgJ1gjdS6RvNAnWCB5DSVEuSVEzNjE4MzgyMi5JUV9DT01QQU5ZX05BTUUBAAAADh8oAgMAAAAxVW5pdGVkIFN0YXRlcyBUcmVhc3VyeSBDb25zdGFudCBNYXR1cml0eSAtIDEgWWVhcgAMbRAONQnWCHd5gA41CdYIJ0NJUS5OQVNEQVFHUzpCR05FLklRX0JFVEFfMllSLjcvMzEvMjAxOAEAAADg5N0GAgAAABEwLjg3MDE4NzE3MTEyNTEzOQCcC9U4CAnWCIH9lW80CdYIIkNJUS5JUVRSNTUzNTQ4MDI1</t>
  </si>
  <si>
    <t>LklRX1RSX1RPVEFMX0NBU0gBAAAA+Xj+IAIAAAAKMzgxLjM5MTAyMQEGAAAABQAAAAI1NAEAAAAGMTAxMDU2AgAAAAk1NTM1NDgwMjUDAAAACTU1MzU2NDk3MQQAAAADMTYwBgAAAAVGYWxzZbKzSW80CdYIgf2VbzQJ1gg1Q0lRLk5BU0RBUUNNOkFWRU8uSVFfVE9UQUxfUkVWLi43LzE2LzIwMTguTEZSLkYuVVNELkgBAAAA9BYdAAIAAAAFNi4wNzMBCAAAAAUAAAABMQEAAAAKMTg4NzIzNDI5NQMAAAADMTYwAgAAAAIyOAQAAAABMAcAAAAJNy8xNi8yMDE4CAAAAAkzLzMxLzIwMTgJAAAAATDE/xsRNQnWCMKbYhI1CdYIGkNJUS5PVENQSzpNQlZYLklRX0VYQ0hBTkdFAQAAANhEiwIDAAAABU9UQ1BLAN6nfhA1CdYImBJZEjUJ1gg8Q0lRLk5BU0RBUUdNOkNSVlMuSVFfRUJJVERBX0VTVC5DWTIwMjAuNy8zMS8yMDE4LkNPTi5GLlVTRC5IAQAAAPSwphACAAAABy05My41MzkBDgAAAAUAAAACMTEBAAAAATACAAAACjEwMDMzNzAzNTcDAAAABjEwMDE4NwQAAAABMgYAAAABMAcAAAADMTYwCAAAAAEwCQAAAAExCgAAAAEwCwAAAAsxMDk1NTQ2MTgwNQwAAAABNw0AAAAIOC8xLzIwMTgQAAAACTcvMzEvMjAxONaMETgICdYIGemhbzQJ1gg9Q0lRLk5BU0RBUUdNOkNSVlMuSVFfUkVWRU5VRV9FU1QuQ1kyMDIxLjcvMzEvMjAxOC5DT04uRi5VU0QuSAEAAAD0sKYQAgAAAAY1LjA4ODUBDgAAAAUAAAACMTEBAAAA</t>
  </si>
  <si>
    <t>ATACAAAACjEwMDMzNzAzNTgDAAAABjEwMDE4MAQAAAABMgYAAAABMAcAAAADMTYwCAAAAAEwCQAAAAExCgAAAAEwCwAAAAsxMDk1NTQ2MTc3NQwAAAABNw0AAAAIOC8xLzIwMTgQAAAACTcvMzEvMjAxONaMETgICdYIGemhbzQJ1gg6Q0lRLk5BU0RBUUdNOkFSUlkuSVFfUFJFRl9FUVVJVFkuMjAwMC41LzUvMjAxNy5MRlIuRi5VU0QuSAEAAAD4YQAAAwAAAAAAnAvVOAgJ1ggkwppvNAnWCDxDSVEuTkFTREFRR1M6QVROWC5JUV9UT1RBTF9FUVVJVFkuMTk5Ni43LzMxLzIwMTguTEZSLkYuVVNELkgBAAAA3JlrAQIAAAAGLTMuNjE3AQgAAAAFAAAAATEBAAAACjE4ODg3MDI5NzYDAAAAAzE2MAIAAAAEMTI3NQQAAAABMAcAAAAJNy8zMS8yMDE4CAAAAAkzLzMxLzIwMTcJAAAAATDWjBE4CAnWCCTCmm80CdYILENJUS5JUVRSMzEyMTIyNTA0LklRX1RSX1RPVEFMX0dST1NTX1RWLlVTRC5IBQAAAAAAAAAIAAAAGihJbnZhbGlkIEN1cnJlbmN5IFJlcXVlc3QpDG0QDjUJ1gjA24IONQnWCDtDSVEuTkFTREFRR1M6Sk5DRS5JUV9ORVRfV09SS0lOR19DQVAuLjcvMTYvMjAxOC5MRlIuRi5VU0QuSAEAAADieZ4NAgAAAActNTAuNTI1AQgAAAAFAAAAATEBAAAACjE4ODgxODYzNzQDAAAAAzE2MAIAAAAEMTMxMQQAAAABMAcAAAAJNy8xNi8yMDE4CAAAAAkzLzMxLzIwMTgJAAAAATApHJQQNQnWCJgSWRI1CdYIPUNJ</t>
  </si>
  <si>
    <t>US5OQVNEQVFHUzpDQUxBLklRX1JFVkVOVUVfRVNULkNZMjAyMS43LzMxLzIwMTguQ09OLkYuVVNELkgBAAAApSeBBgIAAAAHMjM1LjYzMQEOAAAABQAAAAIxMQEAAAABMAIAAAAKMTAwMjg5NjQzMwMAAAAGMTAwMTgwBAAAAAEyBgAAAAEwBwAAAAMxNjAIAAAAATAJAAAAATEKAAAAATALAAAACzEwOTEzMjc4NDQ5DAAAAAE3DQAAAAg4LzEvMjAxOBAAAAAJNy8zMS8yMDE4yDCyNwgJ1gjdS6RvNAnWCDlDSVEuWFRSQTpNT1IuSVFfVE9UQUxfRVFVSVRZLkNZMjAxNy43LzMxLzIwMTguTEZSLkYuVVNELkgBAAAA3xECAAIAAAAKNDMwLjY4MDg4MwEIAAAABQAAAAExAQAAAAoxODc4MzIzMTU3AwAAAAMxNjACAAAABDEyNzUEAAAAATAHAAAACTcvMzEvMjAxOAgAAAAKMTIvMzEvMjAxNwkAAAABMJwL1TgICdYI1F+YbzQJ1gg6Q0lRLk5BU0RBUUdTOkNBTEEuSVFfRUFSTklOR19DTy4xOTkyLjcvMzEvMjAxOC5MRlIuRi5VU0QuSAEAAAClJ4EGAgAAAActMzQuMzY4AQgAAAAFAAAAATEBAAAACjE4NDA5ODI2NDYDAAAAAzE2MAIAAAABNwQAAAABMAcAAAAJNy8zMS8yMDE4CAAAAAkzLzMxLzIwMTYJAAAAATDIMLI3CAnWCN1LpG80CdYIKUNJUS5JUVRSNTMzMzg1NzQ0LklRX0JVU0lORVNTX0RFU0NSSVBUSU9OAQAAAMx26BUDAAAAjwRJRk0gVGhlcmFwZXV0aWNzLCBJbmMuLCBhIGJpb3BoYXJtYWNldXRpY2Fs</t>
  </si>
  <si>
    <t>IGNvbXBhbnksIGRldmVsb3BzIGEgcG9ydGZvbGlvIG9mIHNtYWxsIG1vbGVjdWxlcyB0YXJnZXRpbmcgdGhlIGlubmF0ZSBpbW11bmUgc3lzdGVtIGZvciB0aGUgdHJlYXRtZW50IG9mIGNhbmNlciBhbmQgaW5mbGFtbWF0b3J5IGRpc29yZGVycy4gSXQgZm9jdXNlcyBvbiB0cmFuc2Zvcm1hdGl2ZSB0aGVyYXBpZXMgdG8gaW1wcm92ZSB0aGUgbGl2ZXMgb2YgcGF0aWVudHMgd2l0aCBzZXJpb3VzIGFuZCBsaWZlIHRocmVhdGVuaW5nIGRpc2Vhc2VzLiBUaGUgY29tcGFueSB3YXMgaW5jb3Jwb3JhdGVkIGluIDIwMTUgYW5kIGlzIGhlYWRxdWFydGVyZWQgaW4gQ2FtYnJpZGdlLCBNYXNzYWNodXNldHRzIHdpdGggYSBzdWJzaWRpYXJ5IGluIEJvbm4sIEdlcm1hbnkuIEFzIG9mIFNlcHRlbWJlciA3LCAyMDE3LCBJRk0gVGhlcmFwZXV0aWNzLCBJbmMuIG9wZXJhdGVzIGFzIGEgc3Vic2lkaWFyeSBvZiBCcmlzdG9sLU15ZXJzIFNxdWliYiBDb21wYW55LgAMbRAONQnWCMDbgg41CdYIQkNJUS5OQVNEQVFDTTpBVkVPLklRX1RPVEFMX1JFVl81WVJfQU5OX0NBR1IuLjcvMTYvMjAxOC5MRlIuRi5VU0QuSAEAAAD0Fh0AAgAAAAgtMjAuMTg0OQEIAAAABQAAAAExAQAAAAoxODg3MjM0Mjk1AwAAAAMxNjACAAAABDQyMzMEAAAAATAHAAAACTcvMTYvMjAxOAgAAAAJMy8zMS8yMDE4CQAAAAEwxP8bETUJ1ghz</t>
  </si>
  <si>
    <t>OWASNQnWCCxDSVEuLklRX1RPVEFMX0RFQlQuMjAwMC41LzUvMjAxNy5MRlIuRi5VU0QuSAUAAAABAAAACAAAABQoSW52YWxpZCBJZGVudGlmaWVyKfWEMkc0CdYI9YQyRzQJ1gg1Q0lRLk5BU0RBUUdTOk5LLklRX1BFUklPRERBVEVfSVMuMjAwMC43LzMxLzIwMTguTEZSLkYBAAAADX2hDwUAAAAJMy8zMS8yMDE4ANaMETgICdYIw4afbzQJ1ggpQ0lRLklRVFI1NjE2MDYzNjUuSVFfVFJfSU1QTElFRF9FUV9OSV9MVE0BAAAA3W55IQIAAAAAALKzSW80CdYINZuTbzQJ1gglQ0lRLk5BU0RBUUdTOk5LLklRX0JFVEFfNVlSLjcvMzEvMjAxOAEAAAANfaEPAgAAABAyLjg3NDA3NTM3MzMyMzcxANaMETgICdYIGemhbzQJ1ggvQ0lRLklRVFIzNzE3MTUxMTkuSVFfVFJfSU1QTElFRF9FVl9GSU5BTC4uVVNELkgBAAAAL+wnFgIAAAADNTIwAQYAAAAFAAAAAjU0AQAAAAYxMDIwNDUCAAAACTM3MTcxNTExOQMAAAAJMzcxNzI0MTQ2BAAAAAMxNjAGAAAABUZhbHNlWM8SDjUJ1gjA24IONQnWCDNDSVEuTkFTREFRR1M6Q0FMQS5JUV9QRVJJT0REQVRFX0lTLi43LzE2LzIwMTguTEZSLkYBAAAApSeBBgUAAAAJMy8zMS8yMDE4ACkclBA1CdYI5HRbEjUJ1ggkQ0lRLk5BU0RBUUdNOkZBVEUuSVFfRUZGRUNUX1RBWF9SQVRFAQAAAGgxVwIDAAAAAADWjBE4CAnWCMu2tYs0CdYIJUNJUS5JUVRSNDA3NzYwNjkyLklRX1BS</t>
  </si>
  <si>
    <t>SU1BUllfSU5EVVNUUlkBAAAAt+4qAAMAAAANQmlvdGVjaG5vbG9neQAMbRAONQnWCAw+hQ41CdYIKENJUS5OQVNEQVFHUzpQQllJLklRX1RFVi43LzE2LzIwMTguVVNELkgBAAAAAmqsBwIAAAALMTk1Ny4wMDQxNTgBBgAAAAUAAAABMQEAAAAKMTg4ODY2NzExNQMAAAADMTYwAgAAAAYxMDAwNjAEAAAAATAHAAAACTcvMTYvMjAxOEadGRE1CdYIEv5kEjUJ1ghDQ0lRLihJTlZBTElEIElERU5USUZJRVIpLklRX0dST1NTX01BUkdJTi4yMDAwLjcvMzEvMjAxOC5MRlIuRi5VU0QuSAUAAAAAAAAACAAAABQoSW52YWxpZCBJZGVudGlmaWVyKcgwsjcICdYI7TawbzQJ1gg/Q0lRLk5BU0RBUUdNOklNTVUuSVFfTkVUX1dPUktJTkdfQ0FQLjE5OTYuNy8zMS8yMDE4LkxGUi5GLlVTRC5IAQAAACBDBAACAAAACi04Mi40Njc4NTgBCAAAAAUAAAABMQEAAAAKMTg4ODUyMzM5MgMAAAADMTYwAgAAAAQxMzExBAAAAAEwBwAAAAk3LzMxLzIwMTgIAAAACTMvMzEvMjAxNwkAAAABMJwL1TgICdYI1F+YbzQJ1ghDQ0lRLk5BU0RBUUdTOlBCWUkuSVFfTUlOT1JJVFlfSU5URVJFU1RfVE9UQUwuLjkvMTUvMjAxNy5MRlIuRi5VU0QuSAEAAAACaqwHAwAAAAAAxP8bETUJ1ggS/mQSNQnWCBRDSVEuLklRX1RSX0JVWUVSTkFNRQUAAAAAAAAACAAAABQoSW52YWxpZCBJZGVudGlmaWVyKZwL1TgICdYId3mADjUJ1ggdQ0lRLk5B</t>
  </si>
  <si>
    <t>U0RBUUdNOklNTVUuSVFfRVhDSEFOR0UBAAAAIEMEAAMAAAAITmFzZGFxR00AnAvVOAgJ1gioAooONQnWCD1DSVEuTkFTREFRQ006WklPUC5JUV9SRVZFTlVFX0VTVC5DWTIwMjAuNy8zMS8yMDE4LkNPTi5GLlVTRC5IAQAAALNRsgACAAAABTkuMzQ2AQ4AAAAFAAAAAjExAQAAAAEwAgAAAAoxMDAwODk4MDc2AwAAAAYxMDAxODAEAAAAATIGAAAAATAHAAAAAzE2MAgAAAABMAkAAAABMQoAAAABMAsAAAALMTA5MzE1MzM1ODEMAAAAATcNAAAACDgvMS8yMDE4EAAAAAk3LzMxLzIwMTjWjBE4CAnWCMOGn280CdYIIENJUS5JUTM2MTgzODQwLklRX0xBU1RTQUxFUFJJQ0UuAQAAACAfKAICAAAABDIuOTEAnAvVOAgJ1gh3eYAONQnWCENDSVEuTkFTREFRR1M6U0dFTi5JUV9NSU5PUklUWV9JTlRFUkVTVF9UT1RBTC4uOS8xNS8yMDE3LkxGUi5GLlVTRC5IAQAAAGGFAAADAAAAAADE/xsRNQnWCGhgZxI1CdYIOENJUS5OQVNEQVFHTTpDUlZTLklRX0VCSVREQS5DWTIwMTcuNy8zMS8yMDE4LkxGUi5GLlVTRC5IAQAAAPSwphACAAAABy01NS42ODIBCAAAAAUAAAABMQEAAAAKMTg3NzIyMDgwNQMAAAADMTYwAgAAAAQ0MDUxBAAAAAEwBwAAAAk3LzMxLzIwMTgIAAAACjEyLzMxLzIwMTcJAAAAATDWjBE4CAnWCBnpoW80CdYIPENJUS5OQVNEQVFHTTpGQVRFLklRX0VBUk5JTkdfQ08uQ1kyMDE2LjcvMzEvMjAxOC5M</t>
  </si>
  <si>
    <t>RlIuRi5VU0QuSAEAAABoMVcCAgAAAActMzMuNDYyAQgAAAAFAAAAATEBAAAACjE4NzcwNjkwNjcDAAAAAzE2MAIAAAABNwQAAAABMAcAAAAJNy8zMS8yMDE4CAAAAAoxMi8zMS8yMDE2CQAAAAEw1owROAgJ1gjDhp9vNAnWCCdDSVEuTkFTREFRR1M6RVBaTS5JUV9CRVRBXzVZUi43LzMxLzIwMTgBAAAAAyY9AwIAAAAQMi4wMDI1NDQ0NTYzODE1OQDWjBE4CAnWCHMknW80CdYIN0NJUS5OQVNEQVFDTTpDS1BULklRX0VCSVRfTUFSR0lOLi43LzE2LzIwMTguTEZSLkYuVVNELkgBAAAAuFEWEQMAAAACTk0BCAAAAAUAAAABMQEAAAAKMTg4ODAwNzIyMwMAAAADMTYwAgAAAAQ0MDUzBAAAAAEwBwAAAAk3LzE2LzIwMTgIAAAACTMvMzEvMjAxOAkAAAABMCkclBA1CdYI5HRbEjUJ1ggpQ0lRLklRVFI0MTE4NzEwODIuSVFfQlVTSU5FU1NfREVTQ1JJUFRJT04BAAAAVKOvAwMAAAD9BUFjZXR5bG9uIFBoYXJtYWNldXRpY2FscywgSW5jLiBlbmdhZ2VzIGluIHRoZSBkZXZlbG9wbWVudCBvZiBzbWFsbCBtb2xlY3VsZSBkcnVncyB0YXJnZXRpbmcgZXBpZ2VuZXRpYyBtZWNoYW5pc21zIGZvciB0aGUgZW5oYW5jZW1lbnQgb2YgdGhlcmFwZXV0aWMgb3V0Y29tZXMgaW4gY2FuY2VyIGFuZCBvdGhlciBjcml0aWNhbCBodW1hbiBkaXNlYXNlcy4gVGhlIGNvbXBhbnnigJlzIGVwaWdlbmV0aWMgZHJ1ZyBkaXNjb3Zl</t>
  </si>
  <si>
    <t>cnkgcGxhdGZvcm0gaGFzIHlpZWxkZWQgYSBwcm9wcmlldGFyeSBwb3J0Zm9saW8gb2Ygb3B0aW1pemVkIENsYXNzIEkgYW5kIENsYXNzIElJIGhpc3RvbmUgZGVhY2V0eWxhc2Ugc2VsZWN0aXZlIGNvbXBvdW5kcyBmb3Igb3JhbCBhZG1pbmlzdHJhdGlvbi4gSXQgb2ZmZXJzIEFDWS0xMjE1IGFuZCBBQ1ktMjQxIGxlYWQgZHJ1ZyBjYW5kaWRhdGVzIHRoYXQgYXJlIHNlbGVjdGl2ZSBIREFDNiBpbmhpYml0b3JzIGN1cnJlbnRseSBpbiBQaGFzZSAyIGFuZCBQaGFzZSAxYiBjbGluaWNhbCBkZXZlbG9wbWVudCBmb3IgdGhlIHRyZWF0bWVudCBvZiBtdWx0aXBsZSBteWVsb21hLiBBY2V0eWxvbiBQaGFybWFjZXV0aWNhbHMsIEluYy4gd2FzIGZvdW5kZWQgaW4gMjAwOCBhbmQgaXMgYmFzZWQgaW4gQm9zdG9uLCBNYXNzYWNodXNldHRzLiBBcyBvZiBEZWNlbWJlciAxNiwgMjAxNiwgQWNldHlsb24gUGhhcm1hY2V1dGljYWxzLCBJbmMuIG9wZXJhdGVzIGFzIGEgc3Vic2lkaWFyeSBvZiBDZWxnZW5lIENvcnBvcmF0aW9uLgCys0lvNAnWCDWbk280CdYILENJUS5JUVRSMzA3ODYzOTg0LklRX1RSX1RPVEFMX0dST1NTX1RWLlVTRC5IBQAAAAAAAAAIAAAAGihJbnZhbGlkIEN1cnJlbmN5IFJlcXVlc3QpDG0QDjUJ1gjA24IONQnWCD9DSVEuTkFTREFRQ006WklPUC5JUV9ORVRfV09SS0lOR19DQVAuMjAw</t>
  </si>
  <si>
    <t>MC43LzMxLzIwMTguTEZSLkYuVVNELkgBAAAAs1GyAAIAAAAGMTAuOTQ1AQgAAAAFAAAAATEBAAAACjE4ODc5NzIzNTkDAAAAAzE2MAIAAAAEMTMxMQQAAAABMAcAAAAJNy8zMS8yMDE4CAAAAAkzLzMxLzIwMTgJAAAAATDWjBE4CAnWCMOGn280CdYIN0NJUS5OQVNEQVFHUzpOSy5JUV9UT1RBTF9SRVYuMTk5Ni43LzMxLzIwMTguTEZSLkYuVVNELkgBAAAADX2hDwIAAAAFMC4wNDkBCAAAAAUAAAABMQEAAAAKMTg4NzExODc2NwMAAAADMTYwAgAAAAIyOAQAAAABMAcAAAAJNy8zMS8yMDE4CAAAAAkzLzMxLzIwMTcJAAAAATDWjBE4CAnWCMOGn280CdYIOUNJUS5PVENQSzpOV0JPLklRX0VCSVREQV9FU1QuQ1kyMDIwLjcvMTYvMjAxOC5DT04uRi5VU0QuSAEAAACjehQAAwAAAAAAKRyUEDUJ1ghzOWASNQnWCCtDSVEuTkFTREFRR006Q1JWUy5JUV9MQVNUU0FMRVBSSUNFLjUvNS8yMDE3AQAAAPSwphACAAAABDkuOTkA1owROAgJ1ggZ6aFvNAnWCBBDSVEuLklRX0VYQ0hBTkdFBQAAAAAAAAAIAAAAFChJbnZhbGlkIElkZW50aWZpZXIp9YQyRzQJ1gjm5Qv3NAnWCDZDSVEuTkFTREFRR1M6QU5BQi5JUV9UT1RBTF9ERUJULi43LzE2LzIwMTguTEZSLkYuVVNELkgBAAAAIUyyAQIAAAAGMTMuMzM0AQgAAAAFAAAAATEBAAAACjE4ODc0MDAwNDMDAAAAAzE2MAIAAAAENDE3MwQAAAABMAcAAAAJNy8xNi8yMDE4</t>
  </si>
  <si>
    <t>CAAAAAkzLzMxLzIwMTgJAAAAATDE/xsRNQnWCBL+ZBI1CdYIOkNJUS5OQVNEQVFDTTpBVkVPLklRX0NBU0hfU1RfSU5WRVNULi45LzE1LzIwMTcuTEZSLkYuVVNELkgBAAAA9BYdAAIAAAAGNDAuMTI3AQgAAAAFAAAAATEBAAAACjE4NTI1NzM3MTADAAAAAzE2MAIAAAAEMTAwMgQAAAABMAcAAAAJOS8xNS8yMDE3CAAAAAk2LzMwLzIwMTcJAAAAATDE/xsRNQnWCHM5YBI1CdYIRkNJUS5OQVNEQVFHUzpCR05FLklRX1RPVEFMX1JFVl8yWVJfQU5OX0NBR1IuMjAwMC43LzMxLzIwMTguTEZSLkYuVVNELkgBAAAA4OTdBgIAAAAINDc3Ljg0NTYBCAAAAAUAAAABMQEAAAAKMTg4NzY4ODU4OAMAAAADMTYwAgAAAAQ0MjA3BAAAAAEwBwAAAAk3LzMxLzIwMTgIAAAACTMvMzEvMjAxOAkAAAABMJwL1TgICdYI1F+YbzQJ1gglQ0lRLk5BU0RBUUNNOlNSTkUuSVFfRklSU1RQUklDSU5HREFURQEAAABJQ5QDBQAAAAk5LzIyLzIwMDkA1owROAgJ1ghzJJ1vNAnWCDxDSVEuTkFTREFRR1M6RVBaTS5JUV9FQklUREFfRVNULkNZMjAxOS43LzMxLzIwMTguQ09OLkYuVVNELkgBAAAAAyY9AwMAAAAAANaMETgICdYIcySdbzQJ1gg1Q0lRLk9UQ1BLOk1CVlguSVFfR1JPU1NfTUFSR0lOLi43LzE2LzIwMTguTEZSLkYuVVNELkgBAAAA2ESLAgMAAAAAAN6nfhA1CdYImBJZEjUJ1ggwQ0lRLi5JUV9SRVZFTlVFX0VTVC5DWTIw</t>
  </si>
  <si>
    <t>MjEuNy8zMS8yMDE4LkNPTi5GLlVTRC5IBQAAAAEAAAAIAAAAFChJbnZhbGlkIElkZW50aWZpZXIpliQwRzQJ1giWJDBHNAnWCDdDSVEuRU5YVFBBOklQSC5JUV9DQVNIX1NUX0lOVkVTVC4uNy8xNi8yMDE4LkxGUi5GLlVTRC5IAQAAAJmABgACAAAACTEzOS40MjEyMwEIAAAABQAAAAExAQAAAAoxODg5NTUyMTY0AwAAAAMxNjACAAAABDEwMDIEAAAAATAHAAAACTcvMTYvMjAxOAgAAAAKMTIvMzEvMjAxNwkAAAABMCkclBA1CdYIczlgEjUJ1gg8Q0lRLk5BU0RBUUdTOk1SU04uSVFfRUFSTklOR19DTy5DWTIwMTYuNy8xNi8yMDE4LkxGUi5GLlVTRC5IAQAAAObFGAACAAAABS0xMy43AQgAAAAFAAAAATEBAAAACjE4ODA1NDczODMDAAAAAzE2MAIAAAABNwQAAAABMAcAAAAJNy8xNi8yMDE4CAAAAAoxMi8zMS8yMDE2CQAAAAEwKRyUEDUJ1ghzOWASNQnWCCtDSVEuLklRX0VCSVREQS5DWTIwMTcuNy8zMS8yMDE4LkxGUi5GLlVTRC5IBQAAAAEAAAAIAAAAFChJbnZhbGlkIElkZW50aWZpZXIp9YQyRzQJ1gj1hDJHNAnWCDFDSVEuSVFUUjQwNzc2MDY5Mi5JUV9UUl9UQVJHRVRfUkVWRU5VRV9FU1QuLlVTRC5IAQAAADTvTRgCAAAAAABYzxIONQnWCAw+hQ41CdYIOUNJUS5OQVNEQVFDTTpaSU9QLklRX1RPVEFMX1JFVi4xOTkyLjcvMzEvMjAxOC5MRlIuRi5VU0QuSAEAAACzUbIAAgAAAAU2LjAyOQEIAAAA</t>
  </si>
  <si>
    <t>BQAAAAExAQAAAAoxODM5MzQxMDY3AwAAAAMxNjACAAAAAjI4BAAAAAEwBwAAAAk3LzMxLzIwMTgIAAAACTMvMzEvMjAxNgkAAAABMNaMETgICdYIw4afbzQJ1ggnQ0lRLk5BU0RBUUNNOkNLUFQuSVFfQkVUQV8xWVIuNy8xNi8yMDE4AQAAALhRFhECAAAAEjAuMDkyNDgwOTYzNzE2OTA4OQApHJQQNQnWCOR0WxI1CdYIN0NJUS5OQVNEQVFHTTpYTkNSLklRX0VCSVRfTUFSR0lOLi43LzE2LzIwMTguTEZSLkYuVVNELkgBAAAAploLAAIAAAAJLTIwOS40MTkxAQgAAAAFAAAAATEBAAAACjE4ODcxMjU4NTUDAAAAAzE2MAIAAAAENDA1MwQAAAABMAcAAAAJNy8xNi8yMDE4CAAAAAkzLzMxLzIwMTgJAAAAATDE/xsRNQnWCBL+ZBI1CdYIPENJUS5OQVNEQVFDTTpNVEVNLklRX1RPVEFMX0VRVUlUWS4xOTkyLjcvMzEvMjAxOC5MRlIuRi5VU0QuSAEAAACZm6kBAwAAAAAAyDCyNwgJ1ggZ6aFvNAnWCDpDSVEuT1RDUEs6TldCTy5JUV9SRVZFTlVFX0VTVC5DWTIwMTkuNy8xNi8yMDE4LkNPTi5GLlVTRC5IAQAAAKN6FAADAAAAAAApHJQQNQnWCHM5YBI1CdYILkNJUS5OQVNEQVFHTTpDUlZTLklRX01BUktFVENBUC43LzMxLzIwMTguVVNELkgBAAAA9LCmEAIAAAAKMjg4LjE0MDgzMgEGAAAABQAAAAExAQAAAAoxODg2MzY3Mjg0AwAAAAMxNjACAAAABjEwMDA1NAQAAAABMAcAAAAJNy8zMS8yMDE41owROAgJ1ggZ</t>
  </si>
  <si>
    <t>6aFvNAnWCCRDSVEuTkFTREFRR1M6TUdOWC5JUV9FRkZFQ1RfVEFYX1JBVEUBAAAATysJAAMAAAAAAMT/GxE1CdYIwptiEjUJ1gg8Q0lRLk5BU0RBUUdTOkpOQ0UuSVFfRUFSTklOR19DTy5DWTIwMTYuNy8xNi8yMDE4LkxGUi5GLlVTRC5IAQAAAOJ5ng0CAAAABy0xMy43MDMBCAAAAAUAAAABMQEAAAAKMTg3NzcxNjQ5MgMAAAADMTYwAgAAAAE3BAAAAAEwBwAAAAk3LzE2LzIwMTgIAAAACjEyLzMxLzIwMTYJAAAAATDep34QNQnWCJgSWRI1CdYILkNJUS5PVENQSzpNQlZYLklRX0RBX0NGLi43LzE2LzIwMTguTEZSLkYuVVNELkgBAAAA2ESLAgIAAAAIMC4xNTk4NDIBCAAAAAUAAAABMQEAAAAKMTg4MTIxMzI0NQMAAAADMTYwAgAAAAQyMTYwBAAAAAEwBwAAAAk3LzE2LzIwMTgIAAAACjEyLzMxLzIwMTcJAAAAATDep34QNQnWCGhgZxI1CdYIMkNJUS5YVFJBOk1PUi5JUV9QRVJJT0REQVRFX0lTLjIwMDAuNy8zMS8yMDE4LkxGUi5GAQAAAN8RAgAFAAAACTMvMzEvMjAxOACcC9U4CAnWCNRfmG80CdYIOkNJUS5OQVNEQVFHUzpBVE5YLklRX0VBUk5JTkdfQ08uMjAwMC43LzMxLzIwMTguTEZSLkYuVVNELkgBAAAA3JlrAQIAAAAGLTk3LjcxAQgAAAAFAAAAATEBAAAACjE4ODg3MDI5ODIDAAAAAzE2MAIAAAABNwQAAAABMAcAAAAJNy8zMS8yMDE4CAAAAAkzLzMxLzIwMTgJAAAAATDWjBE4CAnWCCTCmm80</t>
  </si>
  <si>
    <t>CdYIPENJUS5OQVNEQVFDTTpNVEVNLklRX1RPVEFMX0VRVUlUWS4xOTk2LjcvMzEvMjAxOC5MRlIuRi5VU0QuSAEAAACZm6kBAgAAAAotMTUuMDUwOTE4AQgAAAAFAAAAATEBAAAACjE4ODg3MzMwMDIDAAAAAzE2MAIAAAAEMTI3NQQAAAABMAcAAAAJNy8zMS8yMDE4CAAAAAkzLzMxLzIwMTcJAAAAATDIMLI3CAnWCBnpoW80CdYII0NJUS5JUVRSNDIyODg3NzAxLklRX1RSX1RPVEFMX1NUT0NLAQAAABXBNBkCAAAACDEuMDI0OTEzAQYAAAAFAAAAAjU0AQAAAAYxMDEwNTcCAAAACTQyMjg4NzcwMQMAAAAJNDMwNDA2MzQzBAAAAAMxNjAGAAAABUZhbHNlDG0QDjUJ1gjA24IONQnWCD5DSVEuTkFTREFRR1M6R1RIWC5JUV9DQVNIX1NUX0lOVkVTVC4yMDAwLjcvMzEvMjAxOC5MRlIuRi5VU0QuSAEAAABlNGkIAgAAAAcxOTQuMzg3AQgAAAAFAAAAATEBAAAACjE4ODYzNjc2NjcDAAAAAzE2MAIAAAAEMTAwMgQAAAABMAcAAAAJNy8zMS8yMDE4CAAAAAkzLzMxLzIwMTgJAAAAATCcC9U4CAnWCCTCmm80CdYIOUNJUS5OQVNEQVFHUzpOSy5JUV9UT1RBTF9SRVYuQ1kyMDE2LjcvMzEvMjAxOC5MRlIuRi5VU0QuSAEAAAANfaEPAgAAAAUwLjA0NAEIAAAABQAAAAExAQAAAAoxODc4MDEyNTc4AwAAAAMxNjACAAAAAjI4BAAAAAEwBwAAAAk3LzMxLzIwMTgIAAAACjEyLzMxLzIwMTYJAAAAATDWjBE4CAnWCMOGn280</t>
  </si>
  <si>
    <t>CdYIMENJUS5OQVNEQVFHUzpBRFhTLklRX0xBU1RTQUxFUFJJQ0UuNy8xNi8yMDE4LlVTRAEAAACe7HgAAgAAAAQxLjQ0ACkclBA1CdYI5HRbEjUJ1gg2Q0lRLk5BU0RBUUdNOkFGTUQuSVFfVE9UQUxfREVCVC4uOS8xNS8yMDE3LkxGUi5GLlVTRC5IAQAAANv3DAACAAAABjguMDI1MQEIAAAABQAAAAExAQAAAAoxODUxMTcwNDYyAwAAAAMxNjACAAAABDQxNzMEAAAAATAHAAAACTkvMTUvMjAxNwgAAAAJNi8zMC8yMDE3CQAAAAEwKRyUEDUJ1ggw110SNQnWCDVDSVEuRU5YVFBBOklQSC5JUV9UT1RBTF9FUVVJVFkuLjcvMTYvMjAxOC5MRlIuRi5VU0QuSAEAAACZgAYAAgAAAAoxMDMuMjEzMjU2AQgAAAAFAAAAATEBAAAACjE4ODk1NTIxNjQDAAAAAzE2MAIAAAAEMTI3NQQAAAABMAcAAAAJNy8xNi8yMDE4CAAAAAoxMi8zMS8yMDE3CQAAAAEwKRyUEDUJ1ghzOWASNQnWCB9DSVEuSVE5MjA2Njc3LklRX0NPTVBBTllfVElDS0VSAQAAAJV7jAADAAAADU5hc2RhcUdNOk5MTksADG0QDjUJ1gjMspoONQnWCChDSVEuTkFTREFRR006Q1JWUy5JUV9URVYuNy8zMS8yMDE4LlVTRC5IAQAAAPSwphACAAAACjE0NC4yMDc4MzIBBgAAAAUAAAABMQEAAAAKMTg4NjM2NzI4NAMAAAADMTYwAgAAAAYxMDAwNjAEAAAAATAHAAAACTcvMzEvMjAxONaMETgICdYIGemhbzQJ1ggrQ0lRLklRVFI1NTM1NDgwMjUuSVFfVFJf</t>
  </si>
  <si>
    <t>VE9UQUxfR1JPU1NfVFYuLlVTRAEAAAD5eP4gAgAAAAozOTMuNTE0NDg2AQYAAAAFAAAAAjU0AQAAAAYxMDIwODgCAAAACTU1MzU0ODAyNQMAAAAJNTUzNTY0OTcxBAAAAAMxNjAGAAAABUZhbHNlsrNJbzQJ1giB/ZVvNAnWCCpDSVEuT1RDUEs6TUJWWC5JUV9ESVZJREVORF9ZSUVMRC43LzE2LzIwMTgBAAAA2ESLAgMAAAAAAN6nfhA1CdYImBJZEjUJ1gg1Q0lRLk5BU0RBUUdTOlNHRU4uSVFfVE9UQUxfRVFVSVRZLkNZMjAxNi4uTEZSLkYuVVNELkgBAAAAYYUAAAIAAAAHNjM0LjA4NwEIAAAABQAAAAExAQAAAAoxODc0Njk2MTk2AwAAAAMxNjACAAAABDEyNzUEAAAAATAHAAAACTgvMjMvMjAxOAgAAAAKMTIvMzEvMjAxNgkAAAABMMT/GxE1CdYIxP8bETUJ1gglQ0lRLk5BU0RBUUdTOkJHTkUuSVFfRklSU1RQUklDSU5HREFURQEAAADg5N0GBQAAAAgyLzMvMjAxNgCcC9U4CAnWCKgCig41CdYIOkNJUS5OQVNEQVFHUzpOSy5JUV9HUk9TU19NQVJHSU4uMjAwMC43LzMxLzIwMTguTEZSLkYuVVNELkgBAAAADX2hDwIAAAADMTAwAQgAAAAFAAAAATEBAAAACjE4ODcxMTg3OTEDAAAAAzE2MAIAAAAENDA3NAQAAAABMAcAAAAJNy8zMS8yMDE4CAAAAAkzLzMxLzIwMTgJAAAAATDWjBE4CAnWCMOGn280CdYILkNJUS5PVENQSzpNQlZYLklRX0NBUEVYLi43LzE2LzIwMTguTEZSLkYuVVNELkgBAAAA2ESLAgIA</t>
  </si>
  <si>
    <t>AAAJLTAuMDIxMDcyAQgAAAAFAAAAATEBAAAACjE4ODEyMTMyNDUDAAAAAzE2MAIAAAAEMjAyMQQAAAABMAcAAAAJNy8xNi8yMDE4CAAAAAoxMi8zMS8yMDE3CQAAAAEw3qd+EDUJ1giYElkSNQnWCDdDSVEuTkFTREFRR1M6Q1RNWC5JUV9FQklUX01BUkdJTi4uNy8xNi8yMDE4LkxGUi5GLlVTRC5IAQAAANw4mwMCAAAACC03MS44NDM3AQgAAAAFAAAAATEBAAAACjE4ODc2NzUzMTYDAAAAAzE2MAIAAAAENDA1MwQAAAABMAcAAAAJNy8xNi8yMDE4CAAAAAkzLzMxLzIwMTgJAAAAATDE/xsRNQnWCMKbYhI1CdYIOENJUS5OQVNEQVFHTTpBUlJZLklRX0VCSVREQS5DWTIwMTYuNy8zMS8yMDE4LkxGUi5GLlVTRC5IAQAAAPhhAAACAAAABi04NC40OAEIAAAABQAAAAExAQAAAAoxODczMjAzNzk1AwAAAAMxNjACAAAABDQwNTEEAAAAATAHAAAACTcvMzEvMjAxOAgAAAAKMTIvMzEvMjAxNgkAAAABMJwL1TgICdYI1F+YbzQJ1ghKQ0lRLihJTlZBTElEIElERU5USUZJRVIpLklRX01JTk9SSVRZX0lOVEVSRVNUX1RPVEFMLi43LzE2LzIwMTguTEZSLkYuVVNELkgFAAAAAAAAAAgAAAAUKEludmFsaWQgSWRlbnRpZmllcinep34QNQnWCJgSWRI1CdYINkNJUS5BU1g6SU1VLklRX0VCSVREQV9FU1QuQ1kyMDIwLjcvMTYvMjAxOC5DT04uRi5VU0QuSAEAAACYk6kAAwAAAAAAKRyUEDUJ1ggw110SNQnWCDlDSVEuTkFT</t>
  </si>
  <si>
    <t>REFRQ006U1JORS5JUV9UT1RBTF9SRVYuMTk5Mi43LzMxLzIwMTguTEZSLkYuVVNELkgBAAAASUOUAwIAAAAFNC42MDEBCAAAAAUAAAABMQEAAAAKMTg0MjI1MTEyMwMAAAADMTYwAgAAAAIyOAQAAAABMAcAAAAJNy8zMS8yMDE4CAAAAAkzLzMxLzIwMTYJAAAAATDWjBE4CAnWCHMknW80CdYIL0NJUS5JUVRSMjYzNzE4NjQ3LklRX1RSX1RBUkdFVF9UT1RBTF9SRVYuLlVTRC5IAQAAAPcGuA8CAAAAAACys0lvNAnWCIH9lW80CdYIPENJUS5OQVNEQVFHUzpUU1JPLklRX0VBUk5JTkdfQ08uQ1kyMDE3LjcvMzEvMjAxOC5MRlIuRi5VU0QuSAEAAABo1lgGAgAAAAgtNDk2LjEyNgEIAAAABQAAAAExAQAAAAoxODc3MjI2MzAxAwAAAAMxNjACAAAAATcEAAAAATAHAAAACTcvMzEvMjAxOAgAAAAKMTIvMzEvMjAxNwkAAAABMJwL1TgICdYIJMKabzQJ1ggjQ0lRLk5BU0RBUUdNOklNTVUuSVFfUEVSSU9EREFURV9JUy4BAAAAIEMEAAUAAAAJMy8zMS8yMDE4AMT/GxE1CdYIaGBnEjUJ1gg8Q0lRLk5BU0RBUUdTOkFUTlguSVFfRUJJVERBX0VTVC5DWTIwMTguNy8zMS8yMDE4LkNPTi5GLlVTRC5IAQAAANyZawECAAAACS05My41ODEzMgEOAAAABQAAAAIxMQEAAAABMAIAAAAKMTAwMzc3ODM2NAMAAAAGMTAwMTg3BAAAAAEyBgAAAAEwBwAAAAMxNjAIAAAAATAJAAAAATEKAAAAATALAAAACzExMDQxNzMzNDcyDAAA</t>
  </si>
  <si>
    <t>AAE3DQAAAAg4LzEvMjAxOBAAAAAJNy8zMS8yMDE41owROAgJ1ggkwppvNAnWCERDSVEuKElOVkFMSUQgSURFTlRJRklFUikuSVFfUkVWRU5VRV9FU1QuQ1kyMDE5LjcvMzEvMjAxOC5DT04uRi5VU0QuSAUAAAAAAAAACAAAABQoSW52YWxpZCBJZGVudGlmaWVyKcgwsjcICdYI7TawbzQJ1ggpQ0lRLk5BU0RBUUdNOkFGTUQuSVFfQlVTSU5FU1NfREVTQ1JJUFRJT04BAAAA2/cMAAMAAACCDUFmZmltZWQgTi5WLiwgYSBjbGluaWNhbC1zdGFnZSBiaW9waGFybWFjZXV0aWNhbCBjb21wYW55LCBmb2N1c2VzIG9uIGRpc2NvdmVyaW5nIGFuZCBkZXZlbG9waW5nIGNhbmNlciBpbW11bm90aGVyYXBpZXMgaW4gdGhlIFVuaXRlZCBTdGF0ZXMsIEV1cm9wZSwgYW5kIEdlcm1hbnkuIEl0cyBsZWFkIGNhbmRpZGF0ZSBpcyBBRk0xMywgYSBuYXR1cmFsIGtpbGxlciBjZWxsIChOSy1jZWxsKSBUYW5kQWIsIHdoaWNoIGlzIGluIFBoYXNlIDJhIGNsaW5pY2FsIHN0dWR5IG9mIHJlbGFwc2VkIENEMzAtcG9zaXRpdmUgbHltcGhvbWEgYW5kIFBoYXNlIDFiIGNsaW5pY2FsIHN0dWR5IG9mIGFudGktUEQtMSBhbnRpYm9keSBLZXl0cnVkYSAocGVtYnJvbGl6dW1hYikgaW4gcGF0aWVudHMgd2l0aCByZWxhcHNlZCBIb2Rna2luIGx5bXBob21hLiBUaGUgY29tcGFueeKAmXMgcHJvZHVjdHMgaW5jbHVkZSBBRk0yNCwg</t>
  </si>
  <si>
    <t>YSBOSy1jZWxsIGJpc3BlY2lmaWMgYW50aWJvZHkgdGFyZ2V0cyBFR0ZSLXdpbGQgdHlwZSByZXByZXNlbnRzIGEgdmFsaWRhdGVkIGFudGlnZW4gZXhwcmVzc2VkIGJ5IHZhcmlvdXMgc29saWQgdHVtb3JzOyBBRk0yNiwgd2hpY2ggYmluZHMgdG8gQiBjZWxsIG1hdHVyYXRpb24gYW50aWdlbiAoQkNNQSkgZm9yIHRoZSB0cmVhdG1lbnQgb2YgbXVsdGlwbGUgbXllbG9tYTsgYW5kIFRyaXNwZWNpZmljIEFicyBmb3IgdGhlIHRyZWF0bWVudCBvZiBtdWx0aXBsZSBteWVsb21hLiBJdHMgcHJvZHVjdHMgYWxzbyBjb21wcmlzZSBBRk0xMSwgYSBUIGNlbGwgVGFuZEFiLCB3aGljaCBpcyBpbiBQaGFzZSAxIGNsaW5pY2FsIHRyaWFsIGluIHBhdGllbnRzIHdpdGggcmVsYXBzZWQgQ0QxOSsgQiBjZWxsIG1hbGlnbmFuY2llcywgaW5jbHVkaW5nIG5vbi1Ib2Rna2luIEx5bXBob21hIGFuZCBhY3V0ZSBseW1waG9jeXRpYyBsZXVrZW1pYSAoQU1MKTsgYW5kIEFNVjU2NCwgYSBDRDMzL0NEMy1zcGVjaWZpYyBULWNlbGwgVGFuZEFiIGlzIGluIFBoYXNlIDEgY2xpbmljYWwgc3R1ZHkgb2YgcmVmcmFjdG9yeSBBTUwuIFRoZSBjb21wYW55IGhhcyBsaWNlbnNlIGFncmVlbWVudHMgd2l0aCBBbXBoaXZlbmEgVGhlcmFwZXV0aWNzLCBJbmMuLCBEZXV0c2NoZXMgS3JlYnNmb3JzY2h1bmdzemVudHJ1bSwgYW5k</t>
  </si>
  <si>
    <t>IFhvbWEgSXJlbGFuZCBMaW1pdGVkOyByZXNlYXJjaCBmdW5kaW5nIGFncmVlbWVudCB3aXRoIFRoZSBMZXVrZW1pYSAmIEx5bXBob21hIFNvY2lldHk7IGFuZCBjb2xsYWJvcmF0aW9uIHdpdGggTWVyY2sgU2hhcnAgJiBEb2htZSBCLlYuIEl0IGFsc28gaGFzIGEgY2xpbmljYWwgZGV2ZWxvcG1lbnQgYW5kIGNvbW1lcmNpYWxpemF0aW9uIGNvbGxhYm9yYXRpb24gd2l0aCBUaGUgVW5pdmVyc2l0eSBvZiBUZXhhcyBNRCBBbmRlcnNvbiBDYW5jZXIgQ2VudGVyIHRvIGV2YWx1YXRlIEFGTTEzIGluIGNvbWJpbmF0aW9uIHdpdGggTUQgQW5kZXJzb27igJlzIE5LLWNlbGwgcHJvZHVjdC4gVGhlIGNvbXBhbnkgd2FzIGZvcm1lcmx5IGtub3duIGFzIEFmZmltZWQgVGhlcmFwZXV0aWNzIEIuVi4gYW5kIGNoYW5nZWQgaXRzIG5hbWUgdG8gQWZmaW1lZCBOLlYuIGluIE9jdG9iZXIgMjAxNC4gQWZmaW1lZCBOLlYuIHdhcyBmb3VuZGVkIGluIDIwMDAgYW5kIGlzIGhlYWRxdWFydGVyZWQgaW4gSGVpZGVsYmVyZywgR2VybWFueS4AKRyUEDUJ1ggw110SNQnWCCdDSVEuTkFTREFRR1M6S1VSQS5JUV9CRVRBXzVZUi43LzMxLzIwMTgBAAAAuMvaEAIAAAAQNC4yNDMxMTE3MDQ1ODc3NQDWjBE4CAnWCHMknW80CdYIMUNJUS5OQVNEQVFHUzpNR05YLklRX0RBX0NGLi43LzE2LzIwMTguTEZSLkYuVVNELkgBAAAA</t>
  </si>
  <si>
    <t>TysJAAIAAAAFNi41ODgBCAAAAAUAAAABMQEAAAAKMTg4NzExNDk0NQMAAAADMTYwAgAAAAQyMTYwBAAAAAEwBwAAAAk3LzE2LzIwMTgIAAAACTMvMzEvMjAxOAkAAAABMMT/GxE1CdYIwptiEjUJ1gg9Q0lRLk5BU0RBUUdTOkFEWFMuSVFfUkVWRU5VRV9FU1QuQ1kyMDIwLjcvMTYvMjAxOC5DT04uRi5VU0QuSAEAAACe7HgAAgAAAAYxNC4yNzUBDgAAAAUAAAACMTEBAAAAATACAAAACTY1MDY1NTA1NwMAAAAGMTAwMTgwBAAAAAEyBgAAAAEwBwAAAAMxNjAIAAAAATAJAAAAATEKAAAAATALAAAACzEwOTI0MTAwOTI5DAAAAAE3DQAAAAk3LzE3LzIwMTgQAAAACTcvMTYvMjAxOCkclBA1CdYI5HRbEjUJ1ghFQ0lRLihJTlZBTElEIElERU5USUZJRVIpLklRX1RPVEFMX0VRVUlUWS5DWTIwMTYuNy8xNi8yMDE4LkxGUi5GLlVTRC5IBQAAAAAAAAAIAAAAFChJbnZhbGlkIElkZW50aWZpZXIp3qd+EDUJ1giYElkSNQnWCCNDSVEuSVFUUjUzMzM4NTc0NC5JUV9UUl9DTE9TRURfREFURQEAAAAQ0sofBQAAAAg5LzcvMjAxNwAMbRAONQnWCHd5gA41CdYIPENJUS5OQVNEQVFHUzpOSy5JUV9UT1RBTF9FUVVJVFkuQ1kyMDE2LjcvMzEvMjAxOC5MRlIuRi5VU0QuSAEAAAANfaEPAgAAAAcyOTMuNDE4AQgAAAAFAAAAATEBAAAACjE4NzgwMTI1NzgDAAAAAzE2MAIAAAAEMTI3NQQAAAABMAcAAAAJNy8zMS8yMDE4CAAA</t>
  </si>
  <si>
    <t>AAoxMi8zMS8yMDE2CQAAAAEw1owROAgJ1ggZ6aFvNAnWCD5DSVEuTkFTREFRR1M6QVROWC5JUV9UT1RBTF9FUVVJVFkuQ1kyMDE2LjcvMzEvMjAxOC5MRlIuRi5VU0QuSAEAAADcmWsBAgAAAAYzNC42NjkBCAAAAAUAAAABMQEAAAAKMTg3OTkwNzYxOQMAAAADMTYwAgAAAAQxMjc1BAAAAAEwBwAAAAk3LzMxLzIwMTgIAAAACjEyLzMxLzIwMTYJAAAAATDWjBE4CAnWCCTCmm80CdYIO0NJUS5OQVNEQVFHUzpQQllJLklRX05FVF9XT1JLSU5HX0NBUC4uNy8xNi8yMDE4LkxGUi5GLlVTRC5IAQAAAAJqrAcCAAAABy0yNS40ODQBCAAAAAUAAAABMQEAAAAKMTg4ODY2Nzc0MwMAAAADMTYwAgAAAAQxMzExBAAAAAEwBwAAAAk3LzE2LzIwMTgIAAAACTMvMzEvMjAxOAkAAAABMMT/GxE1CdYIEv5kEjUJ1gg5Q0lRLk5BU0RBUUdTOktVUkEuSVFfVE9UQUxfUkVWLjE5OTYuNy8zMS8yMDE4LkxGUi5GLlVTRC5IAQAAALjL2hADAAAAAADWjBE4CAnWCHMknW80CdYIOkNJUS5PVENQSzpNQlZYLklRX1JFVkVOVUVfRVNULkNZMjAxOS43LzE2LzIwMTguQ09OLkYuVVNELkgBAAAA2ESLAgMAAAAAAN6nfhA1CdYImBJZEjUJ1gg/Q0lRLk5BU0RBUUdTOlBCWUkuSVFfRUJJVERBXzNZUl9BTk5fQ0FHUi4uNy8xNi8yMDE4LkxGUi5GLlVTRC5IAQAAAAJqrAcDAAAAAk5NAQgAAAAFAAAAATEBAAAACjE4ODg2Njc3NDMDAAAA</t>
  </si>
  <si>
    <t>AzE2MAIAAAAENDIyMgQAAAABMAcAAAAJNy8xNi8yMDE4CAAAAAkzLzMxLzIwMTgJAAAAATDE/xsRNQnWCBL+ZBI1CdYINUNJUS5OQVNEQVFHUzpUU1JPLklRX0NBUEVYLjE5OTYuNy8zMS8yMDE4LkxGUi5GLlVTRC5IAQAAAGjWWAYCAAAABi00LjMwNQEIAAAABQAAAAExAQAAAAoxODg2MzM3NDUxAwAAAAMxNjACAAAABDIwMjEEAAAAATAHAAAACTcvMzEvMjAxOAgAAAAJMy8zMS8yMDE3CQAAAAEwnAvVOAgJ1ggkwppvNAnWCCVDSVEuTkFTREFRR1M6U0dFTi5JUV9NQVJLRVRDQVAuLlVTRC5IAQAAAGGFAAACAAAADDEyMDQ5LjA5NzY1NAEGAAAABQAAAAExAQAAAAoxODk3MjMzMjUxAwAAAAMxNjACAAAABjEwMDA1NAQAAAABMAcAAAAJOC8yMi8yMDE4Rp0ZETUJ1ghGnRkRNQnWCDdDSVEuTkFTREFRR1M6QkdORS5JUV9QRVJJT0REQVRFX0lTLjIwMDAuNy8zMS8yMDE4LkxGUi5GAQAAAODk3QYFAAAACTMvMzEvMjAxOACcC9U4CAnWCIH9lW80CdYIIkNJUS5JUVRSNTMzNjM5NTAxLklRX1RSX1RBUkdFVE5BTUUBAAAATbHOHwMAAAAWR2FsZW5hIEJpb3BoYXJtYSwgSW5jLgAMbRAONQnWCMDbgg41CdYIOUNJUS5PVENQSzpNQlZYLklRX0VCSVREQV9FU1QuQ1kyMDIwLjcvMTYvMjAxOC5DT04uRi5VU0QuSAEAAADYRIsCAwAAAAAA3qd+EDUJ1giYElkSNQnWCClDSVEuSVFUUjQyNDM0MjA0Ni5JUV9UUl9J</t>
  </si>
  <si>
    <t>TVBMSUVEX0VRX05JX0xUTQEAAAAe8koZAgAAAAAADG0QDjUJ1gjA24IONQnWCCJDSVEuSVFUUjU1MDI1OTM5Ny5JUV9UUl9UT1RBTF9DQVNIAQAAAMVKzCACAAAACzkwODguOTIyNTM4AQYAAAAFAAAAAjU0AQAAAAYxMDEwNTYCAAAACTU1MDI1OTM5NwMAAAAJNTUwMjY0NTY0BAAAAAMxNjAGAAAABUZhbHNlDG0QDjUJ1gh3eYAONQnWCChDSVEuTkFTREFRR006RkFURS5JUV9URVYuNy8zMS8yMDE4LlVTRC5IAQAAAGgxVwICAAAACjM5OC4yMjE5MjIBBgAAAAUAAAABMQEAAAAKMTg4ODQ5Nzg5MgMAAAADMTYwAgAAAAYxMDAwNjAEAAAAATAHAAAACTcvMzEvMjAxONaMETgICdYIw4afbzQJ1ggrQ0lRLklRVFIzMjE4NjUyOTcuSVFfVFJfVE9UQUxfR1JPU1NfVFYuLlVTRAEAAABRRi8TAgAAAAAAWM8SDjUJ1ggMPoUONQnWCC9DSVEuTkFTREFRR1M6QkdORS5JUV9FQklUREEuQ1kyMDE3Li5MRlIuRi5VU0QuSAEAAADg5N0GAgAAAActNzcuMzkyAQgAAAAFAAAAATEBAAAACjE4OTk4ODExOTQDAAAAAzE2MAIAAAAENDA1MQQAAAABMAcAAAAJOC8yMy8yMDE4CAAAAAoxMi8zMS8yMDE3CQAAAAEwnAvVOAgJ1gicC9U4CAnWCD1DSVEuTkFTREFRR006Q1JWUy5JUV9DQVNIX1NUX0lOVkVTVC4yMDAwLjUvNS8yMDE3LkxGUi5GLlVTRC5IAQAAAPSwphACAAAABzEyMi4wNjQBCAAAAAUAAAABMQEAAAAKMTg0MDEx</t>
  </si>
  <si>
    <t>NjE3MwMAAAADMTYwAgAAAAQxMDAyBAAAAAEwBwAAAAg1LzUvMjAxNwgAAAAJMy8zMS8yMDE3CQAAAAEw1owROAgJ1ggZ6aFvNAnWCENDSVEuKElOVkFMSUQgSURFTlRJRklFUikuSVFfVE9UQUxfRVFVSVRZLjIwMDAuNy8zMS8yMDE4LkxGUi5GLlVTRC5IBQAAAAAAAAAIAAAAFChJbnZhbGlkIElkZW50aWZpZXIpyDCyNwgJ1gjtNrBvNAnWCCxDSVEuSVFUUjQwODI5MTM5NS5JUV9UUl9UQVJHRVRfRUJJVERBLi5VU0QuSAEAAABDCFYYAgAAAAYtMjkuNDgBBgAAAAUAAAACMzcBAAAACjE4MjY3NTIzNTkCAAAABTIxNjc3AwAAAAMxNjAEAAAAATAHAAAACDEvMS8xOTAwWM8SDjUJ1gjA24IONQnWCDFDSVEuTkFTREFRR1M6TUdOWC5JUV9DQVBFWC4uNy8xNi8yMDE4LkxGUi5GLlVTRC5IAQAAAE8rCQACAAAABi00Mi40MwEIAAAABQAAAAExAQAAAAoxODg3MTE0OTQ1AwAAAAMxNjACAAAABDIwMjEEAAAAATAHAAAACTcvMTYvMjAxOAgAAAAJMy8zMS8yMDE4CQAAAAEwxP8bETUJ1gjCm2ISNQnWCDFDSVEuSVFUUjU2MzkxOTA0OS5JUV9UUl9UQVJHRVRfUkVWRU5VRV9FU1QuLlVTRC5IAQAAAMm4nCECAAAAAAAMbRAONQnWCMDbgg41CdYILkNJUS5JUVRSMjYzNzE4NjQ3LklRX1RSX1RBUkdFVF9TVE9DS1BSRU1JVU1fMU0BAAAA9wa4DwIAAAAAALKzSW80CdYIgf2VbzQJ1gg3Q0lRLk5BU0RBUUNNOlNSTkUu</t>
  </si>
  <si>
    <t>SVFfUEVSSU9EREFURV9JUy4yMDAwLjcvMzEvMjAxOC5MRlIuRgEAAABJQ5QDBQAAAAkzLzMxLzIwMTgA1owROAgJ1ghzJJ1vNAnWCCJDSVEuSVFUUjM3MTcxNTExOS5JUV9UUl9QQ1RfU09VR0hUAQAAAC/sJxYCAAAAAzEwMABYzxIONQnWCMDbgg41CdYIOUNJUS4oSU5WQUxJRCBJREVOVElGSUVSKS5JUV9FQklUREEuLjcvMTYvMjAxOC5MRlIuRi5VU0QuSAUAAAAAAAAACAAAABQoSW52YWxpZCBJZGVudGlmaWVyKd6nfhA1CdYImBJZEjUJ1ggvQ0lRLk5BU0RBUUdTOlNHRU4uSVFfVE9UQUxfRVFVSVRZLi4uTEZSLkYuVVNELkgBAAAAYYUAAAIAAAAIMTM4Mi40MzkBCAAAAAUAAAABMQEAAAAKMTg5NzIzMzUxOAMAAAADMTYwAgAAAAQxMjc1BAAAAAEwBwAAAAk4LzIzLzIwMTgIAAAACTYvMzAvMjAxOAkAAAABMMT/GxE1CdYIxP8bETUJ1ggeQ0lRLklRMTM1NjQ3LklRX0NPTVBBTllfVElDS0VSAQAAAN8RAgADAAAACFhUUkE6TU9SALKzSW80CdYI1F+YbzQJ1gg6Q0lRLk5BU0RBUUdTOkJHTkUuSVFfRUFSTklOR19DTy4xOTk2LjcvMzEvMjAxOC5MRlIuRi5VU0QuSAEAAADg5N0GAgAAAAgtMTQ3LjgzOQEIAAAABQAAAAExAQAAAAoxODg3Njg4NTgzAwAAAAMxNjACAAAAATcEAAAAATAHAAAACTcvMzEvMjAxOAgAAAAJMy8zMS8yMDE3CQAAAAEwnAvVOAgJ1giB/ZVvNAnWCCxDSVEuSVFUUjMxNDgyOTIz</t>
  </si>
  <si>
    <t>Ni5JUV9UUl9UT1RBTF9HUk9TU19UVi5VU0QuSAUAAAAAAAAACAAAABooSW52YWxpZCBDdXJyZW5jeSBSZXF1ZXN0KQxtEA41CdYIwNuCDjUJ1gg6Q0lRLk5BU0RBUUdTOkNBTEEuSVFfUFJFRl9FUVVJVFkuMjAwMC41LzUvMjAxNy5MRlIuRi5VU0QuSAEAAAClJ4EGAwAAAAAAyDCyNwgJ1gjdS6RvNAnWCDpDSVEuTkFTREFRR1M6Sk5DRS5JUV9DQVNIX1NUX0lOVkVTVC4uOS8xNS8yMDE3LkxGUi5GLlVTRC5IAQAAAOJ5ng0CAAAABzI3MC44MDMBCAAAAAUAAAABMQEAAAAKMTg1Mjc5NjIwNwMAAAADMTYwAgAAAAQxMDAyBAAAAAEwBwAAAAk5LzE1LzIwMTcIAAAACTYvMzAvMjAxNwkAAAABMN6nfhA1CdYImBJZEjUJ1gg8Q0lRLk9UQ1BLOk5XQk8uSVFfRUJJVERBXzNZUl9BTk5fQ0FHUi4uNy8xNi8yMDE4LkxGUi5GLlVTRC5IAQAAAKN6FAADAAAAAk5NAQgAAAAFAAAAATEBAAAACjE4ODkzMDI4MjQDAAAAAzE2MAIAAAAENDIyMgQAAAABMAcAAAAJNy8xNi8yMDE4CAAAAAkzLzMxLzIwMTgJAAAAATApHJQQNQnWCDDXXRI1CdYIQ0NJUS5OQVNEQVFHUzpUU1JPLklRX0VCSVREQV8zWVJfQU5OX0NBR1IuMjAwMC43LzMxLzIwMTguTEZSLkYuVVNELkgBAAAAaNZYBgMAAAACTk0BCAAAAAUAAAABMQEAAAAKMTg4NjMzNzQ2NgMAAAADMTYwAgAAAAQ0MjIyBAAAAAEwBwAAAAk3LzMxLzIwMTgIAAAACTMvMzEv</t>
  </si>
  <si>
    <t>MjAxOAkAAAABMJwL1TgICdYIJMKabzQJ1gglQ0lRLklRVFI0MTM5NTM2NjEuSVFfUFJJTUFSWV9JTkRVU1RSWQEAAADxrVMMAwAAAA1CaW90ZWNobm9sb2d5ALKzSW80CdYIgf2VbzQJ1ggrQ0lRLlhUUkE6TU9SLklRX0xBU1RTQUxFUFJJQ0UuNy8zMS8yMDE4LlVTRAEAAADfEQIAAgAAAAoxMzEuNTM4OTEyAJwL1TgICdYI1F+YbzQJ1ggxQ0lRLklRVFI1NTM1NDgwMjUuSVFfVFJfVEFSR0VUX1JFVkVOVUVfRVNULi5VU0QuSAEAAAD5eP4gAgAAAAg0LjU5OTc4MQCys0lvNAnWCIH9lW80CdYILUNJUS5OQVNEQVFHUzpBTkFCLklRX0RJVklERU5EX1lJRUxELjcvMTYvMjAxOAEAAAAhTLIBAwAAAAAARp0ZETUJ1gjCm2ISNQnWCB1DSVEuTkFTREFRR006QUZNRC5JUV9FWENIQU5HRQEAAADb9wwAAwAAAAhOYXNkYXFHTQApHJQQNQnWCDDXXRI1CdYIO0NJUS5OQVNEQVFHTTpJTU1VLklRX1RPVEFMX1JFVi5DWTIwMTYuNy8xNi8yMDE4LkxGUi5GLlVTRC5IAQAAACBDBAACAAAACDIuOTU3MjQxAQgAAAAFAAAAATEBAAAACjE4NzM0OTM0OTEDAAAAAzE2MAIAAAACMjgEAAAAATAHAAAACTcvMTYvMjAxOAgAAAAKMTIvMzEvMjAxNgkAAAABMMT/GxE1CdYIaGBnEjUJ1gghQ0lRLklRVFI0MzE4NDE1ODEuSVFfVFJfQlVZRVJOQU1FAQAAAC1hvRkDAAAAD0Jpb3ZlcmF0aXYgSW5jLgAMbRAONQnWCAw+hQ41CdYI</t>
  </si>
  <si>
    <t>LENJUS5OQVNEQVFHTTpYTkNSLklRX0xBU1RTQUxFUFJJQ0UuOS8xNS8yMDE3AQAAAKZaCwACAAAABTIxLjczAEadGRE1CdYIEv5kEjUJ1ggwQ0lRLk5BU0RBUUdTOkpOQ0UuSVFfTEFTVFNBTEVQUklDRS43LzE2LzIwMTguVVNEAQAAAOJ5ng0CAAAABDcuODMAKRyUEDUJ1gjkdFsSNQnWCCNDSVEuSVFUUjU1MDI1OTM5Ny5JUV9UUl9UT1RBTF9TVE9DSwEAAADFSswgAgAAAAAADG0QDjUJ1gh3eYAONQnWCCVDSVEuTkFTREFRR1M6UEJZSS5JUV9GSVJTVFBSSUNJTkdEQVRFAQAAAAJqrAcFAAAACTQvMTgvMjAxMgBGnRkRNQnWCBL+ZBI1CdYIJENJUS5PVENQSzpOV0JPLklRX0JFVEFfMllSLjcvMTYvMjAxOAEAAACjehQAAgAAABEwLjk1NDIxNjkyNzY5MzI3MwApHJQQNQnWCDDXXRI1CdYIIUNJUS5JUTIyODQ4OTY5OC5JUV9DT01QQU5ZX1RJQ0tFUgEAAADieZ4NAwAAAA1OYXNkYXFHUzpKTkNFAAxtEA41CdYIHxWdDjUJ1ggpQ0lRLk9UQ1BLOk5XQk8uSVFfTEFTVFNBTEVQUklDRS45LzE1LzIwMTcBAAAAo3oUAAIAAAAGMC4xODc1ACkclBA1CdYIMNddEjUJ1gggQ0lRLklRVFI0MDgyOTEzOTUuSVFfVFJfRUFSTk9VVFMBAAAAQwhWGAIAAAAFMTcyLjUBBgAAAAUAAAACNTQBAAAABjEwMTQwMwIAAAAJNDA4MjkxMzk1AwAAAAk0MDgzMDQwMTMEAAAAAzE2MAYAAAAFRmFsc2VYzxIONQnWCMDbgg41CdYI</t>
  </si>
  <si>
    <t>MkNJUS4uSVFfTkVUX1dPUktJTkdfQ0FQLjIwMDAuNy8zMS8yMDE4LkxGUi5GLlVTRC5IBQAAAAEAAAAIAAAAFChJbnZhbGlkIElkZW50aWZpZXIp9YQyRzQJ1gj1hDJHNAnWCCxDSVEuSVFUUjI3MzUwNzE4NS5JUV9UUl9UT1RBTF9HUk9TU19UVi5VU0QuSAUAAAAAAAAACAAAABooSW52YWxpZCBDdXJyZW5jeSBSZXF1ZXN0KUlTR280CdYIgf2VbzQJ1gg3Q0lRLk5BU0RBUUdTOkpOQ0UuSVFfUFJFRl9FUVVJVFkuLjkvMTUvMjAxNy5MRlIuRi5VU0QuSAEAAADieZ4NAwAAAAAA3qd+EDUJ1giYElkSNQnWCD9DSVEuKElOVkFMSUQgSURFTlRJRklFUikuSVFfVE9UQUxfRVFVSVRZLi43LzE2LzIwMTguTEZSLkYuVVNELkgFAAAAAAAAAAgAAAAUKEludmFsaWQgSWRlbnRpZmllcinep34QNQnWCJgSWRI1CdYIOUNJUS5OQVNEQVFHUzpOSy5JUV9FQklUX01BUkdJTi4yMDAwLjcvMzEvMjAxOC5MRlIuRi5VU0QuSAEAAAANfaEPAwAAAAJOTQEIAAAABQAAAAExAQAAAAoxODg3MTE4NzkxAwAAAAMxNjACAAAABDQwNTMEAAAAATAHAAAACTcvMzEvMjAxOAgAAAAJMy8zMS8yMDE4CQAAAAEw1owROAgJ1gjDhp9vNAnWCCNDSVEuSVFUUjMwNzg2Mzk4NC5JUV9UUl9DTE9TRURfREFURQEAAACwoVkSBQAAAAk3LzMxLzIwMTUAWM8SDjUJ1gjA24IONQnWCDxDSVEuTkFTREFRR1M6TUdOWC5JUV9FQVJOSU5HX0NPLkNZ</t>
  </si>
  <si>
    <t>MjAxNy43LzE2LzIwMTguTEZSLkYuVVNELkgBAAAATysJAAIAAAAHLTE5LjYyNgEIAAAABQAAAAExAQAAAAoxODc2MTM1MTcyAwAAAAMxNjACAAAAATcEAAAAATAHAAAACTcvMTYvMjAxOAgAAAAKMTIvMzEvMjAxNwkAAAABMMT/GxE1CdYIwptiEjUJ1ggkQ0lRLk5BU0RBUUdNOlhOQ1IuSVFfRUZGRUNUX1RBWF9SQVRFAQAAAKZaCwADAAAAAk5NAQgAAAAFAAAAATEBAAAACjE4OTkxMTc5MTEDAAAAAzE2MAIAAAAENDM3NgQAAAABMAcAAAAJOC8yMy8yMDE4CAAAAAk2LzMwLzIwMTgJAAAAATDE/xsRNQnWCBL+ZBI1CdYIMUNJUS5JUVRSNDA4NDA3ODIyLklRX1RSX1RBUkdFVF9SRVZFTlVFX0VTVC4uVVNELkgBAAAADs9XGAIAAAAAALKzSW80CdYIgf2VbzQJ1gguQ0lRLklRVFI1MzM2Mzk1MDEuSVFfVFJfVEFSR0VUX1NUT0NLUFJFTUlVTV8xTQEAAABNsc4fAgAAAAAADG0QDjUJ1gjA24IONQnWCDVDSVEuT1RDUEs6TUJWWC5JUV9FQklUREEuQ1kyMDE3LjcvMTYvMjAxOC5MRlIuRi5VU0QuSAEAAADYRIsCAgAAAAktMTcuOTEwNjIBCAAAAAUAAAABMQEAAAAKMTg4MTIxMzI0NQMAAAADMTYwAgAAAAQ0MDUxBAAAAAEwBwAAAAk3LzE2LzIwMTgIAAAACjEyLzMxLzIwMTcJAAAAATDep34QNQnWCJgSWRI1CdYIMENJUS5JUVRSNTYxNjA2MzY1LklRX1RSX1RBUkdFVF9FQklUREFfRVNULi5VU0QuSAEAAADd</t>
  </si>
  <si>
    <t>bnkhAgAAAAAAsrNJbzQJ1gg1m5NvNAnWCENDSVEuKElOVkFMSUQgSURFTlRJRklFUikuSVFfRUJJVERBX0VTVC5DWTIwMjAuNy8xNi8yMDE4LkNPTi5GLlVTRC5IBQAAAAAAAAAIAAAAFChJbnZhbGlkIElkZW50aWZpZXIpIAqBEDUJ1giYElkSNQnWCCtDSVEuSVFUUjMxMjEyMjUwNC5JUV9UUl9JTVBMSUVEX0VWX0VCSVRfRldEAQAAAIicmhICAAAAAABYzxIONQnWCMDbgg41CdYIPUNJUS5OQVNEQVFDTTpNVEVNLklRX1JFVkVOVUVfRVNULkNZMjAxOS43LzMxLzIwMTguQ09OLkYuVVNELkgBAAAAmZupAQIAAAABMAEOAAAABQAAAAIxMQEAAAABMAIAAAAKMTAwMzgxNjU5OQMAAAAGMTAwMTgwBAAAAAEyBgAAAAEwBwAAAAMxNjAIAAAAATAJAAAAATEKAAAAATALAAAACzEwODg3MzM2Mzk0DAAAAAE3DQAAAAg4LzEvMjAxOBAAAAAJNy8zMS8yMDE4yDCyNwgJ1ggZ6aFvNAnWCD9DSVEuTkFTREFRR006Q1JJUy5JUV9ORVRfV09SS0lOR19DQVAuMTk5Ni43LzMxLzIwMTguTEZSLkYuVVNELkgBAAAAF2oAAAIAAAAGLTMuOTEyAQgAAAAFAAAAATEBAAAACjE4ODYyNDczOTUDAAAAAzE2MAIAAAAEMTMxMQQAAAABMAcAAAAJNy8zMS8yMDE4CAAAAAkzLzMxLzIwMTcJAAAAATDIMLI3CAnWCN1LpG80CdYIQ0NJUS5OQVNEQVFHUzpGUFJYLklRX01JTk9SSVRZX0lOVEVSRVNUX1RPVEFMLi45LzE1LzIwMTcuTEZS</t>
  </si>
  <si>
    <t>LkYuVVNELkgBAAAAN10zAAMAAAAAACkclBA1CdYIczlgEjUJ1gg8Q0lRLk5BU0RBUUdNOkZBVEUuSVFfRUJJVERBX0VTVC5DWTIwMjAuNy8zMS8yMDE4LkNPTi5GLlVTRC5IAQAAAGgxVwIDAAAAAADWjBE4CAnWCMOGn280CdYINkNJUS5OQVNEQVFHTTpMUFRYLklRX1RPVEFMX0RFQlQuLjkvMTUvMjAxNy5MRlIuRi5VU0QuSAEAAAAMNgkHAgAAAAEwAQgAAAAFAAAAATEBAAAACjE4NTMxNzIxODUDAAAAAzE2MAIAAAAENDE3MwQAAAABMAcAAAAJOS8xNS8yMDE3CAAAAAk2LzMwLzIwMTcJAAAAATApHJQQNQnWCDDXXRI1CdYILENJUS5JUVRSNDAzNzkxNzY3LklRX1RSX1RPVEFMX0dST1NTX1RWLlVTRC5IBQAAAAAAAAAIAAAAGihJbnZhbGlkIEN1cnJlbmN5IFJlcXVlc3QpDG0QDjUJ1gjA24IONQnWCC5DSVEuKElOVkFMSUQgSURFTlRJRklFUikuSVFfQkVUQV8yWVIuNy8xNi8yMDE4BQAAAAAAAAAIAAAAFChJbnZhbGlkIElkZW50aWZpZXIpIAqBEDUJ1giYElkSNQnWCDxDSVEuTkFTREFRR1M6U0dFTi5JUV9FQVJOSU5HX0NPLkNZMjAxNy43LzE2LzIwMTguTEZSLkYuVVNELkgBAAAAYYUAAAIAAAAHLTEyNS41MwEIAAAABQAAAAExAQAAAAoxODc0Njk2MjIwAwAAAAMxNjACAAAAATcEAAAAATAHAAAACTcvMTYvMjAxOAgAAAAKMTIvMzEvMjAxNwkAAAABMMT/GxE1CdYIaGBnEjUJ1ggwQ0lRLk5BU0RB</t>
  </si>
  <si>
    <t>UUdTOkdUSFguSVFfTEFTVFNBTEVQUklDRS43LzMxLzIwMTguVVNEAQAAAGU0aQgCAAAABTUxLjM1AJwL1TgICdYIJMKabzQJ1ghCQ0lRLihJTlZBTElEIElERU5USUZJRVIpLklRX1RPVEFMX1JFVi5DWTIwMTcuNy8xNi8yMDE4LkxGUi5GLlVTRC5IBQAAAAAAAAAIAAAAFChJbnZhbGlkIElkZW50aWZpZXIp3qd+EDUJ1giYElkSNQnWCDxDSVEuTkFTREFRR1M6TVJTTi5JUV9UT1RBTF9FUVVJVFkuMjAwMC43LzMxLzIwMTguTEZSLkYuVVNELkgBAAAA5sUYAAIAAAAGNTYuNTQ3AQgAAAAFAAAAATEBAAAACjE4ODkwOTY2NTMDAAAAAzE2MAIAAAAEMTI3NQQAAAABMAcAAAAJNy8zMS8yMDE4CAAAAAkzLzMxLzIwMTgJAAAAATDWjBE4CAnWCMOGn280CdYIRkNJUS5OQVNEQVFHTTpGQVRFLklRX01JTk9SSVRZX0lOVEVSRVNUX1RPVEFMLjIwMDAuNS81LzIwMTcuTEZSLkYuVVNELkgBAAAAaDFXAgMAAAAAANaMETgICdYIw4afbzQJ1ggiQ0lRLlhUUkE6TU9SLklRX0JFVEFfMVlSLjcvMzEvMjAxOAEAAADfEQIAAgAAABEwLjgwNDg4NTc1MTMxMjA0NgCcC9U4CAnWCNRfmG80CdYIP0NJUS5OQVNEQVFHTTpJTU1VLklRX05FVF9XT1JLSU5HX0NBUC4xOTkyLjcvMzEvMjAxOC5MRlIuRi5VU0QuSAEAAAAgQwQAAgAAAAotMTAuOTM2ODcxAQgAAAAFAAAAATEBAAAACjE4NDExNzEyMjQDAAAAAzE2MAIAAAAEMTMx</t>
  </si>
  <si>
    <t>MQQAAAABMAcAAAAJNy8zMS8yMDE4CAAAAAkzLzMxLzIwMTYJAAAAATCcC9U4CAnWCNRfmG80CdYIP0NJUS5OQVNEQVFHTTpDUklTLklRX05FVF9XT1JLSU5HX0NBUC4yMDAwLjcvMzEvMjAxOC5MRlIuRi5VU0QuSAEAAAAXagAAAgAAAAYtMy43MDIBCAAAAAUAAAABMQEAAAAKMTg4NjI0NzQyMAMAAAADMTYwAgAAAAQxMzExBAAAAAEwBwAAAAk3LzMxLzIwMTgIAAAACTMvMzEvMjAxOAkAAAABMMgwsjcICdYI3UukbzQJ1ggzQ0lRLk5BU0RBUUdTOkJHTkUuSVFfVE9UQUxfRVFVSVRZLjE5OTYuLkxGUi5GLlVTRC5IAQAAAODk3QYCAAAABzI3MC4xNzIBCAAAAAUAAAABMQEAAAAKMTg5OTkwMDYxOAMAAAADMTYwAgAAAAQxMjc1BAAAAAEwBwAAAAk4LzIzLzIwMTgIAAAACTYvMzAvMjAxNwkAAAABMJwL1TgICdYInAvVOAgJ1ggkQ0lRLk5BU0RBUUdNOkFSUlkuSVFfRUZGRUNUX1RBWF9SQVRFAQAAAPhhAAADAAAAAk5NAQgAAAAFAAAAATEBAAAACjE5MDA1MjQ0MjkDAAAAAzE2MAIAAAAENDM3NgQAAAABMAcAAAAJOC8yMy8yMDE4CAAAAAk2LzMwLzIwMTgJAAAAATCcC9U4CAnWCCTCmm80CdYIOUNJUS5OQVNEQVFHTTpJTU1VLklRX1RPVEFMX1JFVi4xOTk2LjcvMzEvMjAxOC5MRlIuRi5VU0QuSAEAAAAgQwQAAgAAAAgzLjM4MTYwMQEIAAAABQAAAAExAQAAAAoxODg4NTIzMzkyAwAAAAMxNjACAAAAAjI4</t>
  </si>
  <si>
    <t>BAAAAAEwBwAAAAk3LzMxLzIwMTgIAAAACTMvMzEvMjAxNwkAAAABMJwL1TgICdYI1F+YbzQJ1ggiQ0lRLklRVFI0MDk5NTE4ODYuSVFfVFJfVEFSR0VUTkFNRQEAAACOXm8YAwAAABhWaXJ0dHUgQmlvbG9naWNzIExpbWl0ZWQADG0QDjUJ1gjA24IONQnWCEZDSVEuTkFTREFRR1M6S1VSQS5JUV9UT1RBTF9SRVZfMllSX0FOTl9DQUdSLjIwMDAuNy8zMS8yMDE4LkxGUi5GLlVTRC5IAQAAALjL2hADAAAAAADWjBE4CAnWCHMknW80CdYIKkNJUS5JUVRSNTUwMjU5Mzk3LklRX1RSX1RBUkdFVF9FQklULi5VU0QuSAEAAADFSswgAgAAAAgtNDQzLjc3NgEGAAAABQAAAAIzNwEAAAAKMTg3NjU2NTUyOAIAAAAFMjE2NzUDAAAAAzE2MAQAAAABMAcAAAAIMS8xLzE5MDAMbRAONQnWCHd5gA41CdYIJ0NJUS5OQVNEQVFHUzpNR05YLklRX0JFVEFfMllSLjcvMTYvMjAxOAEAAABPKwkAAgAAABAxLjUxMzY0MzcxMjY4MDc2AMT/GxE1CdYIwptiEjUJ1gg5Q0lRLk5BU0RBUUdTOktVUkEuSVFfVE9UQUxfUkVWLjE5OTIuNy8zMS8yMDE4LkxGUi5GLlVTRC5IAQAAALjL2hADAAAAAADWjBE4CAnWCHMknW80CdYIKENJUS5OQVNEQVFHUzpGUFJYLklRX1RFVi43LzE2LzIwMTguVVNELkgBAAAAN10zAAIAAAAKMjE4LjI4NjMyOAEGAAAABQAAAAExAQAAAAoxODg3NDAyMTYwAwAAAAMxNjACAAAABjEwMDA2MAQAAAABMAcA</t>
  </si>
  <si>
    <t>AAAJNy8xNi8yMDE4KRyUEDUJ1ghzOWASNQnWCDxDSVEuTkFTREFRR1M6RlBSWC5JUV9FQklUREFfRVNULkNZMjAxOS43LzE2LzIwMTguQ09OLkYuVVNELkgBAAAAN10zAAIAAAAILTE0My42NDcBDgAAAAUAAAACMTEBAAAAATACAAAACjEwMDE5NTYzNDkDAAAABjEwMDE4NwQAAAABMgYAAAABMAcAAAADMTYwCAAAAAEwCQAAAAExCgAAAAEwCwAAAAsxMDkyNzk4MDU0NwwAAAABNw0AAAAJNy8xNy8yMDE4EAAAAAk3LzE2LzIwMTgpHJQQNQnWCHM5YBI1CdYIRkNJUS5OQVNEQVFHTTpBUlJZLklRX1RPVEFMX1JFVl8zWVJfQU5OX0NBR1IuMjAwMC43LzMxLzIwMTguTEZSLkYuVVNELkgBAAAA+GEAAAIAAAAHMjQuMjY0MwEIAAAABQAAAAExAQAAAAoxODg4NDcwNjc2AwAAAAMxNjACAAAABDQyMjAEAAAAATAHAAAACTcvMzEvMjAxOAgAAAAJMy8zMS8yMDE4CQAAAAEwnAvVOAgJ1ggkwppvNAnWCD9DSVEuTkFTREFRR006QVJRTC5JUV9ORVRfV09SS0lOR19DQVAuMTk5Mi43LzMxLzIwMTguTEZSLkYuVVNELkgBAAAA9mEAAAIAAAAGLTguMDEzAQgAAAAFAAAAATEBAAAACjE4NDE5OTI1NjkDAAAAAzE2MAIAAAAEMTMxMQQAAAABMAcAAAAJNy8zMS8yMDE4CAAAAAkzLzMxLzIwMTYJAAAAATDWjBE4CAnWCHMknW80CdYIPENJUS5OQVNEQVFHUzpHVEhYLklRX0VCSVREQV9FU1QuQ1kyMDIwLjcvMzEvMjAxOC5D</t>
  </si>
  <si>
    <t>T04uRi5VU0QuSAEAAABlNGkIAgAAAAotMTQ5Ljg1MTYxAQ4AAAAFAAAAAjExAQAAAAEwAgAAAAoxMDAzNzUyODI5AwAAAAYxMDAxODcEAAAAATIGAAAAATAHAAAAAzE2MAgAAAABMAkAAAABMQoAAAABMAsAAAALMTA4Nzg2MTg1MjkMAAAAATcNAAAACDgvMS8yMDE4EAAAAAk3LzMxLzIwMTicC9U4CAnWCCTCmm80CdYIQkNJUS4oSU5WQUxJRCBJREVOVElGSUVSKS5JUV9UT1RBTF9SRVYuQ1kyMDE2LjcvMTYvMjAxOC5MRlIuRi5VU0QuSAUAAAAAAAAACAAAABQoSW52YWxpZCBJZGVudGlmaWVyKd6nfhA1CdYImBJZEjUJ1gg5Q0lRLk5BU0RBUUdTOktVUkEuSVFfTklfTUFSR0lOLjIwMDAuNy8zMS8yMDE4LkxGUi5GLlVTRC5IAQAAALjL2hADAAAAAADWjBE4CAnWCHMknW80CdYIPkNJUS5OQVNEQVFHUzpCR05FLklRX1RPVEFMX0VRVUlUWS5DWTIwMTYuNy8xNi8yMDE4LkxGUi5GLlVTRC5IAQAAAODk3QYCAAAABzM1Mi45MDcBCAAAAAUAAAABMQEAAAAKMTg3NjM1NzQzNgMAAAADMTYwAgAAAAQxMjc1BAAAAAEwBwAAAAk3LzE2LzIwMTgIAAAACjEyLzMxLzIwMTYJAAAAATDE/xsRNQnWCGhgZxI1CdYIRkNJUS5OQVNEQVFHTTpDUklTLklRX1RPVEFMX1JFVl8zWVJfQU5OX0NBR1IuMjAwMC43LzMxLzIwMTguTEZSLkYuVVNELkgBAAAAF2oAAAIAAAAGMC4wNTgxAQgAAAAFAAAAATEBAAAACjE4ODYyNDc0</t>
  </si>
  <si>
    <t>MjADAAAAAzE2MAIAAAAENDIyMAQAAAABMAcAAAAJNy8zMS8yMDE4CAAAAAkzLzMxLzIwMTgJAAAAATDIMLI3CAnWCN1LpG80CdYIL0NJUS5JUVRSMzEyMTIyNTA0LklRX1RSX1RBUkdFVF9UT1RBTF9SRVYuLlVTRC5IAQAAAIicmhICAAAABTYuNTU1AFjPEg41CdYIwNuCDjUJ1gg3Q0lRLlhUUkE6TU9SLklRX0VBUk5JTkdfQ08uQ1kyMDE3LjcvMzEvMjAxOC5MRlIuRi5VU0QuSAEAAADfEQIAAgAAAAotODMuODQ1NDI0AQgAAAAFAAAAATEBAAAACjE4NzgzMjMxNTcDAAAAAzE2MAIAAAABNwQAAAABMAcAAAAJNy8zMS8yMDE4CAAAAAoxMi8zMS8yMDE3CQAAAAEwnAvVOAgJ1gjUX5hvNAnWCClDSVEuSVFUUjQwODI5MTM5NS5JUV9UUl9JTVBMSUVEX0VRX05JX0xUTQEAAABDCFYYAwAAAAJOTQBYzxIONQnWCMDbgg41CdYINENJUS5YVFJBOk1PUi5JUV9UT1RBTF9SRVYuMjAwMC43LzMxLzIwMTguTEZSLkYuVVNELkgBAAAA3xECAAIAAAAJNzEuMTQ2NDUyAQgAAAAFAAAAATEBAAAACjE4ODYxNTE2NDgDAAAAAzE2MAIAAAACMjgEAAAAATAHAAAACTcvMzEvMjAxOAgAAAAJMy8zMS8yMDE4CQAAAAEwnAvVOAgJ1gjUX5hvNAnWCCJDSVEuSVFUUjQyNDM0MjA0Ni5JUV9UUl9UQVJHRVROQU1FAQAAAB7yShkDAAAAEkFnYWxpbW11bmUgTGltaXRlZAAMbRAONQnWCMDbgg41CdYIPkNJUS5OQVNEQVFHUzpTR0VO</t>
  </si>
  <si>
    <t>LklRX1RPVEFMX0VRVUlUWS5DWTIwMTcuNy8xNi8yMDE4LkxGUi5GLlVTRC5IAQAAAGGFAAACAAAABzY3Ny41NjkBCAAAAAUAAAABMQEAAAAKMTg3NDY5NjIyMAMAAAADMTYwAgAAAAQxMjc1BAAAAAEwBwAAAAk3LzE2LzIwMTgIAAAACjEyLzMxLzIwMTcJAAAAATDE/xsRNQnWCGhgZxI1CdYIJ0NJUS5OQVNEQVFHTTpMUFRYLklRX0JFVEFfNVlSLjcvMTYvMjAxOAEAAAAMNgkHAwAAAAAAKRyUEDUJ1ggw110SNQnWCENDSVEuTkFTREFRR1M6QkdORS5JUV9FQklUREFfMllSX0FOTl9DQUdSLjIwMDAuNy8zMS8yMDE4LkxGUi5GLlVTRC5IAQAAAODk3QYDAAAAAk5NAQgAAAAFAAAAATEBAAAACjE4ODc2ODg1ODgDAAAAAzE2MAIAAAAENDIwOQQAAAABMAcAAAAJNy8zMS8yMDE4CAAAAAkzLzMxLzIwMTgJAAAAATCcC9U4CAnWCNRfmG80CdYIL0NJUS5JUVRSNTQ4MzM4MDIwLklRX1RSX0lNUExJRURfRVZfRklOQUwuLlVTRC5IAQAAAGT5riACAAAAAzEyOQEGAAAABQAAAAI1NAEAAAAGMTAyMDQ1AgAAAAk1NDgzMzgwMjADAAAACTU0ODM0MDk4NQQAAAADMTYwBgAAAAVGYWxzZQxtEA41CdYIwNuCDjUJ1ggZQ0lRLjAuSVFfVFJfTUFKX01JTl9TVEFLRQUAAAAAAAAACAAAABgoSW52YWxpZCBUcmFuc2FjdGlvbiBJZClJU0dvNAnWCAfi8IE0CdYIPENJUS5OQVNEQVFHTTpDUklTLklRX0VBUk5JTkdfQ08uQ1ky</t>
  </si>
  <si>
    <t>MDE3LjcvMzEvMjAxOC5MRlIuRi5VU0QuSAEAAAAXagAAAgAAAActNTMuMzE3AQgAAAAFAAAAATEBAAAACjE4NzgwMTE2NTcDAAAAAzE2MAIAAAABNwQAAAABMAcAAAAJNy8zMS8yMDE4CAAAAAoxMi8zMS8yMDE3CQAAAAEwyDCyNwgJ1gjdS6RvNAnWCEZDSVEuTkFTREFRR006SU1NVS5JUV9UT1RBTF9SRVZfNVlSX0FOTl9DQUdSLjIwMDAuNy8zMS8yMDE4LkxGUi5GLlVTRC5IAQAAACBDBAACAAAACC0xMS45NzI2AQgAAAAFAAAAATEBAAAACjE4ODg1MjMzODQDAAAAAzE2MAIAAAAENDIzMwQAAAABMAcAAAAJNy8zMS8yMDE4CAAAAAkzLzMxLzIwMTgJAAAAATCcC9U4CAnWCNRfmG80CdYIMkNJUS5OQVNEQVFHTTpOTE5LLklRX0VCSVREQS4uNy8xNi8yMDE4LkxGUi5GLlVTRC5IAQAAAJV7jAACAAAABy02Ny4zMDgBCAAAAAUAAAABMQEAAAAKMTg4ODM1NDIwNwMAAAADMTYwAgAAAAQ0MDUxBAAAAAEwBwAAAAk3LzE2LzIwMTgIAAAACTMvMzEvMjAxOAkAAAABMCkclBA1CdYI5HRbEjUJ1gg8Q0lRLk5BU0RBUUdNOkNSVlMuSVFfRUFSTklOR19DTy5DWTIwMTcuNy8zMS8yMDE4LkxGUi5GLlVTRC5IAQAAAPSwphACAAAABy01NS42NjMBCAAAAAUAAAABMQEAAAAKMTg3NzIyMDgwNQMAAAADMTYwAgAAAAE3BAAAAAEwBwAAAAk3LzMxLzIwMTgIAAAACjEyLzMxLzIwMTcJAAAAATDWjBE4CAnWCBnpoW80CdYI</t>
  </si>
  <si>
    <t>IUNJUS5JUVRSNDA3NzYwNjkyLklRX1RSX0JVWUVSTkFNRQEAAAA0700YAwAAABRBc3RlbGxhcyBQaGFybWEgSW5jLgAMbRAONQnWCAw+hQ41CdYIPENJUS5OQVNEQVFHTTpJTU1VLklRX0VBUk5JTkdfQ08uQ1kyMDE2LjcvMTYvMjAxOC5MRlIuRi5VU0QuSAEAAAAgQwQAAgAAAAotNzAuNjI0MTExAQgAAAAFAAAAATEBAAAACjE4NzM0OTM0OTEDAAAAAzE2MAIAAAABNwQAAAABMAcAAAAJNy8xNi8yMDE4CAAAAAoxMi8zMS8yMDE2CQAAAAEwxP8bETUJ1ggS/mQSNQnWCC1DSVEuT1RDUEs6TUJWWC5JUV9MQVNUU0FMRVBSSUNFLjcvMTYvMjAxOC5VU0QBAAAA2ESLAgIAAAAFMC44MzUA3qd+EDUJ1giYElkSNQnWCD5DSVEuTkFTREFRR006QUZNRC5JUV9UT1RBTF9FUVVJVFkuQ1kyMDE3LjcvMTYvMjAxOC5MRlIuRi5VU0QuSAEAAADb9wwAAgAAAAkzNy45MTkwNjgBCAAAAAUAAAABMQEAAAAKMTg3OTE0NzY5NgMAAAADMTYwAgAAAAQxMjc1BAAAAAEwBwAAAAk3LzE2LzIwMTgIAAAACjEyLzMxLzIwMTcJAAAAATApHJQQNQnWCDDXXRI1CdYII0NJUS5OQVNEQVFHUzpOSy5JUV9GSVJTVFBSSUNJTkdEQVRFAQAAAA19oQ8FAAAACTcvMjgvMjAxNQDWjBE4CAnWCIjN/IE0CdYIQ0NJUS5OQVNEQVFHTTpBRk1ELklRX01JTk9SSVRZX0lOVEVSRVNUX1RPVEFMLi43LzE2LzIwMTguTEZSLkYuVVNELkgBAAAA2/cM</t>
  </si>
  <si>
    <t>AAMAAAAAACkclBA1CdYIMNddEjUJ1gg2Q0lRLk5BU0RBUUdTOkZQUlguSVFfVE9UQUxfREVCVC4uNy8xNi8yMDE4LkxGUi5GLlVTRC5IAQAAADddMwACAAAAATABCAAAAAUAAAABMQEAAAAKMTg4NzQwMjIyNwMAAAADMTYwAgAAAAQ0MTczBAAAAAEwBwAAAAk3LzE2LzIwMTgIAAAACTMvMzEvMjAxOAkAAAABMCkclBA1CdYIczlgEjUJ1ghAQ0lRLkVOWFRQQTpJUEguSVFfTUlOT1JJVFlfSU5URVJFU1RfVE9UQUwuLjcvMTYvMjAxOC5MRlIuRi5VU0QuSAEAAACZgAYAAwAAAAAAKRyUEDUJ1ghzOWASNQnWCDpDSVEuTkFTREFRQ006U1JORS5JUV9QUkVGX0VRVUlUWS4yMDAwLjUvNS8yMDE3LkxGUi5GLlVTRC5IAQAAAElDlAMDAAAAAADWjBE4CAnWCHMknW80CdYIK0NJUS5OQVNEQVFHUzpUU1JPLklRX0xBU1RTQUxFUFJJQ0UuNS81LzIwMTcBAAAAaNZYBgIAAAAGMTQ1LjEzAJwL1TgICdYIJMKabzQJ1gg6Q0lRLk5BU0RBUUdNOlhOQ1IuSVFfQ0FTSF9TVF9JTlZFU1QuLjkvMTUvMjAxNy5MRlIuRi5VU0QuSAEAAACmWgsAAgAAAAcxODguNDg5AQgAAAAFAAAAATEBAAAACjE4NTIyNDIzOTADAAAAAzE2MAIAAAAEMTAwMgQAAAABMAcAAAAJOS8xNS8yMDE3CAAAAAk2LzMwLzIwMTcJAAAAATDE/xsRNQnWCBL+ZBI1CdYIPkNJUS5OQVNEQVFDTTpNVEVNLklRX1RPVEFMX0VRVUlUWS5DWTIwMTYuNy8zMS8y</t>
  </si>
  <si>
    <t>MDE4LkxGUi5GLlVTRC5IAQAAAJmbqQECAAAABy0xMy44ODUBCAAAAAUAAAABMQEAAAAKMTg4MTExODc0NAMAAAADMTYwAgAAAAQxMjc1BAAAAAEwBwAAAAk3LzMxLzIwMTgIAAAACjEyLzMxLzIwMTYJAAAAATDIMLI3CAnWCBnpoW80CdYIPUNJUS5OQVNEQVFHUzpBTkFCLklRX1JFVkVOVUVfRVNULkNZMjAxOS43LzE2LzIwMTguQ09OLkYuVVNELkgBAAAAIUyyAQIAAAAEMjMuMgEOAAAABQAAAAIxMQEAAAABMAIAAAAKMTAwMzYyOTM3OQMAAAAGMTAwMTgwBAAAAAEyBgAAAAEwBwAAAAMxNjAIAAAAATAJAAAAATEKAAAAATALAAAACzEwODg3NTEzMzcyDAAAAAE3DQAAAAk3LzE3LzIwMTgQAAAACTcvMTYvMjAxOMT/GxE1CdYIwptiEjUJ1gg9Q0lRLk5BU0RBUUdNOk5MTksuSVFfUkVWRU5VRV9FU1QuQ1kyMDIxLjcvMTYvMjAxOC5DT04uRi5VU0QuSAEAAACVe4wAAgAAAAE4AQ4AAAAFAAAAAjExAQAAAAEwAgAAAAoxMDAxNDI2MDc4AwAAAAYxMDAxODAEAAAAATIGAAAAATAHAAAAAzE2MAgAAAABMAkAAAABMQoAAAABMAsAAAALMTA5NDk2NDIyMDQMAAAAATcNAAAACTcvMTcvMjAxOBAAAAAJNy8xNi8yMDE4KRyUEDUJ1gjkdFsSNQnWCDdDSVEuTkFTREFRR006QUZNRC5JUV9FQklUX01BUkdJTi4uNy8xNi8yMDE4LkxGUi5GLlVTRC5IAQAAANv3DAADAAAAAk5NAQgAAAAFAAAAATEBAAAACjE4ODk4NjYw</t>
  </si>
  <si>
    <t>NDkDAAAAAjUwAgAAAAQ0MDUzBAAAAAEwBwAAAAk3LzE2LzIwMTgIAAAACTMvMzEvMjAxOAkAAAABMCkclBA1CdYIMNddEjUJ1ggmQ0lRLk9UQ1BLOk5XQk8uSVFfQlVTSU5FU1NfREVTQ1JJUFRJT04BAAAAo3oUAAMAAACABU5vcnRod2VzdCBCaW90aGVyYXBldXRpY3MsIEluYy4sIGEgYmlvdGVjaG5vbG9neSBjb21wYW55LCBkaXNjb3ZlcnMgYW5kIGRldmVsb3BzIHBlcnNvbmFsaXplZCBpbW11bmUgdGhlcmFwaWVzIGZvciBjYW5jZXIgaW4gdGhlIFVuaXRlZCBTdGF0ZXMgYW5kIGludGVybmF0aW9uYWxseS4gVGhlIGNvbXBhbnkgZGV2ZWxvcHMgaXRzIHByb2R1Y3RzIGJhc2VkIG9uIERDVmF4LCBhIHBsYXRmb3JtIHRlY2hub2xvZ3kgdGhhdCB1c2VzIGFjdGl2YXRlZCBkZW5kcml0aWMgY2VsbHMgdG8gbW9iaWxpemUgYSBwYXRpZW504oCZcyBvd24gaW1tdW5lIHN5c3RlbSB0byBhdHRhY2sgY2FuY2VyLiBJdCBpcyBkZXZlbG9waW5nIERDVmF4LUwsIGEgcHJvZHVjdCBpbiBQaGFzZSBJSUkgY2xpbmljYWwgdHJpYWxzIHRvIHRyZWF0IEdsaW9ibGFzdG9tZSBtdWx0aWZvcm1lLCBhIGJyYWluIGNhbmNlcjsgYW5kIERDVmF4LURpcmVjdCwgYSBwcm9kdWN0IGluIFBoYXNlIEkvSUkgY2xpbmljYWwgdHJpYWxzIHRvIHRyZWF0IHZhcmlvdXMgdHlwZXMgb2YgaW5vcGVyYWJsZSBzb2xpZCB0dW1v</t>
  </si>
  <si>
    <t>ciBjYW5jZXJzLiBUaGUgY29tcGFueSB3YXMgZm91bmRlZCBpbiAxOTk2IGFuZCBpcyBoZWFkcXVhcnRlcmVkIGluIEJldGhlc2RhLCBNYXJ5bGFuZC4AKRyUEDUJ1ggw110SNQnWCDhDSVEuTkFTREFRR1M6TVJTTi5JUV9FQklUREEuQ1kyMDE2LjcvMTYvMjAxOC5MRlIuRi5VU0QuSAEAAADmxRgAAgAAAActMTMuMTY2AQgAAAAFAAAAATEBAAAACjE4ODA1NDczODMDAAAAAzE2MAIAAAAENDA1MQQAAAABMAcAAAAJNy8xNi8yMDE4CAAAAAoxMi8zMS8yMDE2CQAAAAEwxP8bETUJ1ghzOWASNQnWCENDSVEuTkFTREFRR006QVJRTC5JUV9FQklUREFfNVlSX0FOTl9DQUdSLjIwMDAuNy8zMS8yMDE4LkxGUi5GLlVTRC5IAQAAAPZhAAADAAAAAk5NAQgAAAAFAAAAATEBAAAACjE4ODg3ODg3NzADAAAAAzE2MAIAAAAENDIzNQQAAAABMAcAAAAJNy8zMS8yMDE4CAAAAAkzLzMxLzIwMTgJAAAAATDWjBE4CAnWCMOGn280CdYIQ0NJUS5OQVNEQVFHUzpCR05FLklRX0VCSVREQV8zWVJfQU5OX0NBR1IuMjAwMC43LzMxLzIwMTguTEZSLkYuVVNELkgBAAAA4OTdBgMAAAACTk0BCAAAAAUAAAABMQEAAAAKMTg4NzY4ODU4OAMAAAADMTYwAgAAAAQ0MjIyBAAAAAEwBwAAAAk3LzMxLzIwMTgIAAAACTMvMzEvMjAxOAkAAAABMJwL1TgICdYI1F+YbzQJ1gg8Q0lRLk5BU0RBUUdNOklNTVUuSVFfRUFSTklOR19DTy5DWTIw</t>
  </si>
  <si>
    <t>MTcuNy8xNi8yMDE4LkxGUi5GLlVTRC5IAQAAACBDBAACAAAACy0yMzMuODc4NjcyAQgAAAAFAAAAATEBAAAACjE4NzM0OTM1MjgDAAAAAzE2MAIAAAABNwQAAAABMAcAAAAJNy8xNi8yMDE4CAAAAAoxMi8zMS8yMDE3CQAAAAEwxP8bETUJ1ggS/mQSNQnWCDRDSVEuT1RDUEs6TUJWWC5JUV9FQklUX01BUkdJTi4uNy8xNi8yMDE4LkxGUi5GLlVTRC5IAQAAANhEiwIDAAAAAADep34QNQnWCJgSWRI1CdYIPUNJUS5BU1g6SU1VLklRX01JTk9SSVRZX0lOVEVSRVNUX1RPVEFMLi43LzE2LzIwMTguTEZSLkYuVVNELkgBAAAAmJOpAAMAAAAAACkclBA1CdYIMNddEjUJ1gg2Q0lRLk5BU0RBUUdTOktVUkEuSVFfRUJJVERBLjE5OTIuNy8zMS8yMDE4LkxGUi5GLlVTRC5IAQAAALjL2hACAAAABy0yNi4xOTIBCAAAAAUAAAABMQEAAAAKMTg0MjI4MDcxNwMAAAADMTYwAgAAAAQ0MDUxBAAAAAEwBwAAAAk3LzMxLzIwMTgIAAAACTMvMzEvMjAxNgkAAAABMNaMETgICdYIcySdbzQJ1ggjQ0lRLklRVFI0MTE4NzEwODIuSVFfVFJfVE9UQUxfU1RPQ0sBAAAAaqeMGAIAAAAAALKzSW80CdYINZuTbzQJ1ggxQ0lRLk5BU0RBUUdTOkJHTkUuSVFfRUFSTklOR19DTy4yMDAwLi5MRlIuRi5VU0QuSAEAAADg5N0GAgAAAAgtMjQ3LjM5NQEIAAAABQAAAAExAQAAAAoxODk5OTAwNjMxAwAAAAMxNjACAAAAATcEAAAAATAHAAAA</t>
  </si>
  <si>
    <t>CTgvMjMvMjAxOAgAAAAJNi8zMC8yMDE4CQAAAAEwnAvVOAgJ1gicC9U4CAnWCC1DSVEuTkFTREFRR1M6VFNSTy5JUV9ESVZJREVORF9ZSUVMRC43LzMxLzIwMTgBAAAAaNZYBgMAAAAAAJwL1TgICdYIJMKabzQJ1ggnQ0lRLk5BU0RBUUdTOlNHRU4uSVFfQkVUQV8yWVIuNy8xNi8yMDE4AQAAAGGFAAACAAAAEDEuNjg3MTkzNTkxNjIxNTgAxP8bETUJ1ghoYGcSNQnWCD5DSVEuTkFTREFRR1M6Sk5DRS5JUV9UT1RBTF9FUVVJVFkuQ1kyMDE2LjcvMTYvMjAxOC5MRlIuRi5VU0QuSAEAAADieZ4NAgAAAAU2OS45NQEIAAAABQAAAAExAQAAAAoxODc3NzE2NDkyAwAAAAMxNjACAAAABDEyNzUEAAAAATAHAAAACTcvMTYvMjAxOAgAAAAKMTIvMzEvMjAxNgkAAAABMN6nfhA1CdYImBJZEjUJ1ggXQ0lRLjAuSVFfVFJfQ0xPU0VEX0RBVEUFAAAAAAAAAAgAAAAYKEludmFsaWQgVHJhbnNhY3Rpb24gSWQpSVNHbzQJ1ggH4vCBNAnWCD1DSVEuTkFTREFRR1M6S1VSQS5JUV9SRVZFTlVFX0VTVC5DWTIwMjAuNy8zMS8yMDE4LkNPTi5GLlVTRC5IAQAAALjL2hACAAAABTM3Ny4zAQ4AAAAFAAAAAjExAQAAAAEwAgAAAAoxMDAzMTg0OTkxAwAAAAYxMDAxODAEAAAAATIGAAAAATAHAAAAAzE2MAgAAAABMAkAAAABMQoAAAABMAsAAAALMTEwMzMzODAzMjUMAAAAATcNAAAACDgvMS8yMDE4EAAAAAk3LzMxLzIwMTjWjBE4</t>
  </si>
  <si>
    <t>CAnWCHMknW80CdYIG0NJUS5OQVNEQVFHUzpOSy5JUV9FWENIQU5HRQEAAAANfaEPAwAAAAhOYXNkYXFHUwDWjBE4CAnWCEVr+oE0CdYIQ0NJUS5OQVNEQVFHUzpBVE5YLklRX0VCSVREQV8yWVJfQU5OX0NBR1IuMjAwMC43LzMxLzIwMTguTEZSLkYuVVNELkgBAAAA3JlrAQMAAAAAANaMETgICdYIJMKabzQJ1ggvQ0lRLklRVFI0MDM3OTE3NjcuSVFfVFJfSU1QTElFRF9FVl9GSU5BTC4uVVNELkgBAAAAl18RGAIAAAALMzA5Mi4xODIzODkBBgAAAAUAAAACNTQBAAAABjEwMjA0NQIAAAAJNDAzNzkxNzY3AwAAAAk0MDM3OTIxMDkEAAAAAzE2MAYAAAAFRmFsc2VYzxIONQnWCMDbgg41CdYIKUNJUS5JUTM2MTgzODE2LklRX0xBU1RTQUxFUFJJQ0UuNy8zMS8yMDE4AQAAAAgfKAICAAAABDIuMDMASVNHbzQJ1giB/ZVvNAnWCEZDSVEuTkFTREFRQ006U1JORS5JUV9UT1RBTF9SRVZfM1lSX0FOTl9DQUdSLjIwMDAuNy8zMS8yMDE4LkxGUi5GLlVTRC5IAQAAAElDlAMCAAAACDI0Mi4xMzUyAQgAAAAFAAAAATEBAAAACjE4ODc5ODk4MzEDAAAAAzE2MAIAAAAENDIyMAQAAAABMAcAAAAJNy8zMS8yMDE4CAAAAAkzLzMxLzIwMTgJAAAAATDWjBE4CAnWCHMknW80CdYIOUNJUS5BU1g6SU1VLklRX0VCSVREQV8zWVJfQU5OX0NBR1IuLjcvMTYvMjAxOC5MRlIuRi5VU0QuSAEAAACYk6kAAwAAAAAAKRyUEDUJ1ggw</t>
  </si>
  <si>
    <t>110SNQnWCCJDSVEuSVFUUjUzMzM4NTc0NC5JUV9UUl9UT1RBTF9DQVNIAQAAABDSyh8CAAAAAzMwMAEGAAAABQAAAAI1NAEAAAAGMTAxMDU2AgAAAAk1MzMzODU3NDQDAAAACTUzMzM4NTgyNAQAAAADMTYwBgAAAAVGYWxzZQxtEA41CdYIwNuCDjUJ1gg4Q0lRLk5BU0RBUUdTOkZQUlguSVFfRUJJVERBLkNZMjAxNy43LzMxLzIwMTguTEZSLkYuVVNELkgBAAAAN10zAAIAAAAILTE0OC44ODkBCAAAAAUAAAABMQEAAAAKMTg3NjEzNTk5MQMAAAADMTYwAgAAAAQ0MDUxBAAAAAEwBwAAAAk3LzMxLzIwMTgIAAAACjEyLzMxLzIwMTcJAAAAATDWjBE4CAnWCBnpoW80CdYIIUNJUS5OQVNEQVFHUzpNUlNOLklRX0NPTVBBTllfTkFNRQEAAADmxRgAAwAAABpNZXJzYW5hIFRoZXJhcGV1dGljcywgSW5jLgDWjBE4CAnWCOOLkw41CdYIOUNJUS5OQVNEQVFHTTpJTU1VLklRX05JX01BUkdJTi4yMDAwLjcvMzEvMjAxOC5MRlIuRi5VU0QuSAEAAAAgQwQAAwAAAAJOTQEIAAAABQAAAAExAQAAAAoxODg4NTIzMzg0AwAAAAMxNjACAAAABDQwOTQEAAAAATAHAAAACTcvMzEvMjAxOAgAAAAJMy8zMS8yMDE4CQAAAAEwnAvVOAgJ1gjUX5hvNAnWCDxDSVEuTkFTREFRR1M6QkdORS5JUV9UT1RBTF9FUVVJVFkuMjAwMC43LzMxLzIwMTguTEZSLkYuVVNELkgBAAAA4OTdBgIAAAAIMTM1OC43MjIBCAAAAAUAAAABMQEAAAAK</t>
  </si>
  <si>
    <t>MTg4NzY4ODU4OAMAAAADMTYwAgAAAAQxMjc1BAAAAAEwBwAAAAk3LzMxLzIwMTgIAAAACTMvMzEvMjAxOAkAAAABMJwL1TgICdYIgf2VbzQJ1gg5Q0lRLk5BU0RBUUdTOlRTUk8uSVFfVE9UQUxfUkVWLjE5OTYuNy8zMS8yMDE4LkxGUi5GLlVTRC5IAQAAAGjWWAYCAAAABjYwLjc5MQEIAAAABQAAAAExAQAAAAoxODg2MzM3NDUxAwAAAAMxNjACAAAAAjI4BAAAAAEwBwAAAAk3LzMxLzIwMTgIAAAACTMvMzEvMjAxNwkAAAABMJwL1TgICdYIJMKabzQJ1ggpQ0lRLk5BU0RBUUdNOklNTVUuSVFfQlVTSU5FU1NfREVTQ1JJUFRJT04BAAAAIEMEAAMAAACODkltbXVub21lZGljcywgSW5jLiwgYSBjbGluaWNhbC1zdGFnZSBiaW9waGFybWFjZXV0aWNhbCBjb21wYW55LCBmb2N1c2VzIG9uIHRoZSBkZXZlbG9wbWVudCBvZiBtb25vY2xvbmFsIGFudGlib2R5LWJhc2VkIHByb2R1Y3RzIGZvciB0aGUgdGFyZ2V0ZWQgdHJlYXRtZW50IG9mIGNhbmNlciwgYXV0b2ltbXVuZSBkaXNvcmRlcnMsIGFuZCBvdGhlciBkaXNlYXNlcy4gVGhlIGNvbXBhbnkgZW5nYWdlcyBpbiBkZXZlbG9waW5nIGFudGlib2R5LWRydWcgY29uanVnYXRlIChBREMpIHByb2R1Y3RzIGNvbXByaXNpbmcgSU1NVS0xMzIsIGFuIEFEQyB0aGF0IGNvbnRhaW5zIFNOLTM4LCB3aGljaCBpcyBpbiBQaGFzZSBJSSB0cmlhbHMgdXNlZCBmb3Ig</t>
  </si>
  <si>
    <t>dGhlIHRyZWF0bWVudCBvZiBwYXRpZW50cyB3aXRoIG1ldGFzdGF0aWMgdHJpcGxlLW5lZ2F0aXZlIGJyZWFzdCBjYW5jZXIsIGFuZCBzbWFsbC1jZWxsIGFuZCBub24tc21hbGwtY2VsbCBsdW5nIGNhbmNlcnM7IElNTVUtMTMwLCBhbiBhbnRpLUNFQUNBTjUtU04tMzggQURDIHRoYXQgaXMgaW4gUGhhc2UgSUkgdHJpYWxzIGZvciB0aGUgdHJlYXRtZW50IG9mIHNvbGlkIHR1bW9ycyBhbmQgbWV0YXN0YXRpYyBjb2xvcmVjdGFsIGNhbmNlcjsgYW5kIElNTVUtMTQwIHRoYXQgdGFyZ2V0cyBITEEtRFIgZm9yIHRoZSBwb3RlbnRpYWwgdHJlYXRtZW50IG9mIGxpcXVpZCBjYW5jZXJzLiBJdCBhbHNvIGRldmVsb3BzIHByb2R1Y3RzIGZvciB0aGUgdHJlYXRtZW50IG9mIGNhbmNlciBhbmQgYXV0b2ltbXVuZSBkaXNlYXNlcywgaW5jbHVkaW5nIGVwcmF0dXp1bWFiLCBhbnRpLUNEMjIgYW50aWJvZHk7IHZlbHR1enVtYWIsIGFudGktQ0QyMCBhbnRpYm9keTsgbWlsYXR1enVtYWIsIGFudGktQ0Q3NCBhbnRpYm9keTsgYW5kIElNTVUtMTE0LCBhIGh1bWFuaXplZCBhbnRpLUhMQS1EUiBhbnRpYm9keS4gVGhlIGNvbXBhbnkgYWxzbyBwcm92aWRlcyBMZXVrb1NjYW4sIGEgZGlhZ25vc3RpYyBpbWFnaW5nIHByb2R1Y3QgdG8gZGV0ZXJtaW5lIHRoZSBsb2NhdGlvbiBhbmQgZXh0ZW50IG9mIGluZmVjdGlv</t>
  </si>
  <si>
    <t>bi9pbmZsYW1tYXRpb24gaW4gYm9uZS4gSW4gYWRkaXRpb24sIGl0IG9mZmVycyBvdGhlciBwcm9kdWN0IGNhbmRpZGF0ZXMgZm9yIHRoZSB0cmVhdG1lbnQgb2Ygc29saWQgdHVtb3JzIGFuZCBoZW1hdG9sb2dpYyBtYWxpZ25hbmNpZXMsIGFzIHdlbGwgYXMgb3RoZXIgZGlzZWFzZXMsIHdoaWNoIGFyZSBpbiB2YXJpb3VzIHN0YWdlcyBvZiBjbGluaWNhbCBhbmQgcHJlLWNsaW5pY2FsIGRldmVsb3BtZW50LiBUaGUgY29tcGFueSBoYXMgYSByZXNlYXJjaCBjb2xsYWJvcmF0aW9uIHdpdGggVGhlIEJheWVyIEdyb3VwIHRvIHN0dWR5IGVwcmF0dXp1bWFiIGFzIGEgdGhvcml1bS0yMjctbGFiZWxlZCBhbnRpYm9keTsgYSBjb2xsYWJvcmF0aW9uIGFncmVlbWVudCB3aXRoIFVuaXZlcnNpdHkgb2YgV2lzY29uc2luIENhcmJvbmUgQ2FuY2VyIENlbnRlciB0byBleHBhbmQgSU1NVS0xMzIgaW50byBwcm9zdGF0ZSBjYW5jZXI7IGFuZCBhIGNvbGxhYm9yYXRpb24gYWdyZWVtZW50IHdpdGggWWFsZSBDYW5jZXIgQ2VudGVyIHRvIGV2YWx1YXRlIGl0cyBBREMgcHJvZHVjdCBhcyBhIHNpbmdsZSBhZ2VudCBpbiB0d28gcGhhc2UgSUkgc3R1ZGllcyBpbiBwYXRpZW50cyB3aXRoIHBlcnNpc3RlbnQgb3IgcmVjdXJyZW50IGVuZG9tZXRyaWFsIGFuZCBjZXJ2aWNhbCBjYW5jZXJzLiBJbW11bm9tZWRpY3Ms</t>
  </si>
  <si>
    <t>IEluYy4gd2FzIGZvdW5kZWQgaW4gMTk4MiBhbmQgaXMgaGVhZHF1YXJ0ZXJlZCBpbiBNb3JyaXMgUGxhaW5zLCBOZXcgSmVyc2V5LgCcC9U4CAnWCA9ljA41CdYINUNJUS5OQVNEQVFHTTpDUlZTLklRX0NBUEVYLjE5OTYuNy8zMS8yMDE4LkxGUi5GLlVTRC5IAQAAAPSwphACAAAABi0xLjY5NgEIAAAABQAAAAExAQAAAAoxODg2MzY3NTc5AwAAAAMxNjACAAAABDIwMjEEAAAAATAHAAAACTcvMzEvMjAxOAgAAAAJMy8zMS8yMDE3CQAAAAEw1owROAgJ1ggZ6aFvNAnWCCVDSVEuTkFTREFRR1M6TUdOWC5JUV9GSVJTVFBSSUNJTkdEQVRFAQAAAE8rCQAFAAAACjEwLzEwLzIwMTMARp0ZETUJ1gjCm2ISNQnWCCpDSVEuSVFUUjU2MTYwNjM2NS5JUV9UUl9UQVJHRVRfRUJJVC4uVVNELkgBAAAA3W55IQIAAAAAALKzSW80CdYINZuTbzQJ1gglQ0lRLklRVFI1MzMzODU3NDQuSVFfVFJfSU1QTElFRF9FUV9CVgEAAAAQ0sofAgAAAAAADG0QDjUJ1gjA24IONQnWCDZDSVEuTkFTREFRQ006WklPUC5JUV9FQklUREEuMjAwMC43LzMxLzIwMTguTEZSLkYuVVNELkgBAAAAs1GyAAIAAAAHLTU1LjMxNwEIAAAABQAAAAExAQAAAAoxODg3OTcyMzU5AwAAAAMxNjACAAAABDQwNTEEAAAAATAHAAAACTcvMzEvMjAxOAgAAAAJMy8zMS8yMDE4CQAAAAEw1owROAgJ1gjDhp9vNAnWCD1DSVEuTkFTREFRR1M6QVROWC5JUV9F</t>
  </si>
  <si>
    <t>QklUREFfTUFSR0lOLjIwMDAuNy8zMS8yMDE4LkxGUi5GLlVTRC5IAQAAANyZawECAAAACS0xMTEuNzcxNwEIAAAABQAAAAExAQAAAAoxODg4NzAyOTgyAwAAAAMxNjACAAAABDQwNDcEAAAAATAHAAAACTcvMzEvMjAxOAgAAAAJMy8zMS8yMDE4CQAAAAEw1owROAgJ1ggkwppvNAnWCCVDSVEuSVFUUjQxMzk1MzY2MS5JUV9UUl9JTVBMSUVEX0VRX0JWAQAAAH1urBgDAAAAAk5NALKzSW80CdYIgf2VbzQJ1gg9Q0lRLk5BU0RBUUdNOkFSUlkuSVFfUkVWRU5VRV9FU1QuQ1kyMDE5LjcvMzEvMjAxOC5DT04uRi5VU0QuSAEAAAD4YQAAAgAAAAgyNzQuMzMyOAEOAAAABQAAAAIxMQEAAAABMAIAAAAJMjU4MzgwODk0AwAAAAYxMDAxODAEAAAAATIGAAAAATAHAAAAAzE2MAgAAAABMAkAAAABMQoAAAABMAsAAAALMTA5ODQwOTMyMzEMAAAAATcNAAAACDgvMS8yMDE4EAAAAAk3LzMxLzIwMTicC9U4CAnWCNRfmG80CdYIM0NJUS5OQVNEQVFHUzpBTkFCLklRX1BFUklPRERBVEVfSVMuLjcvMTYvMjAxOC5MRlIuRgEAAAAhTLIBBQAAAAkzLzMxLzIwMTgAxP8bETUJ1ggS/mQSNQnWCCNDSVEuSVFUUjQxMzk1MzY2MS5JUV9UUl9UT1RBTF9TVE9DSwEAAAB9bqwYAgAAAAAAsrNJbzQJ1giB/ZVvNAnWCDhDSVEuTkFTREFRQ006QVZFTy5JUV9FQklUREEuQ1kyMDE3LjcvMTYvMjAxOC5MRlIuRi5VU0QuSAEAAAD0Fh0A</t>
  </si>
  <si>
    <t>AgAAAActMjYuNzA4AQgAAAAFAAAAATEBAAAACjE4NzgwODI2NTMDAAAAAzE2MAIAAAAENDA1MQQAAAABMAcAAAAJNy8xNi8yMDE4CAAAAAoxMi8zMS8yMDE3CQAAAAEwxP8bETUJ1gjCm2ISNQnWCDBDSVEuWFRSQTpNT1IuSVFfQ0FQRVguMjAwMC43LzMxLzIwMTguTEZSLkYuVVNELkgBAAAA3xECAAIAAAAJLTEuNTY2OTc5AQgAAAAFAAAAATEBAAAACjE4ODYxNTE2NDgDAAAAAzE2MAIAAAAEMjAyMQQAAAABMAcAAAAJNy8zMS8yMDE4CAAAAAkzLzMxLzIwMTgJAAAAATCcC9U4CAnWCNRfmG80CdYINUNJUS5OQVNEQVFHTTpDUlZTLklRX0NBUEVYLjE5OTIuNy8zMS8yMDE4LkxGUi5GLlVTRC5IAQAAAPSwphACAAAABi0yLjAzNwEIAAAABQAAAAExAQAAAAoxODQwMTE2MTU0AwAAAAMxNjACAAAABDIwMjEEAAAAATAHAAAACTcvMzEvMjAxOAgAAAAJMy8zMS8yMDE2CQAAAAEw1owROAgJ1ggZ6aFvNAnWCDVDSVEuTkFTREFRR006Q1JWUy5JUV9EQV9DRi4yMDAwLjcvMzEvMjAxOC5MRlIuRi5VU0QuSAEAAAD0sKYQAgAAAAUwLjg1NwEIAAAABQAAAAExAQAAAAoxODg2MzY3NTkxAwAAAAMxNjACAAAABDIxNjAEAAAAATAHAAAACTcvMzEvMjAxOAgAAAAJMy8zMS8yMDE4CQAAAAEw1owROAgJ1ggZ6aFvNAnWCDRDSVEuT1RDUEs6TUJWWC5JUV9QUkVGX0VRVUlUWS4uNy8xNi8yMDE4LkxGUi5GLlVTRC5IAQAA</t>
  </si>
  <si>
    <t>ANhEiwICAAAACDAuMDA5OTc4AQgAAAAFAAAAATEBAAAACjE4ODEyMTMyNDUDAAAAAzE2MAIAAAAEMTAwNQQAAAABMAcAAAAJNy8xNi8yMDE4CAAAAAoxMi8zMS8yMDE3CQAAAAEw3qd+EDUJ1giYElkSNQnWCDxDSVEuRU5YVFBBOklQSC5JUV9FQklUREFfMllSX0FOTl9DQUdSLi43LzE2LzIwMTguTEZSLkYuVVNELkgBAAAAmYAGAAMAAAACTk0BCAAAAAUAAAABMQEAAAAKMTg4OTU1MjE2NAMAAAACNTACAAAABDQyMDkEAAAAATAHAAAACTcvMTYvMjAxOAgAAAAKMTIvMzEvMjAxNwkAAAABMCkclBA1CdYIczlgEjUJ1gg9Q0lRLk5BU0RBUUdTOlRTUk8uSVFfRUJJVERBX01BUkdJTi4yMDAwLjcvMzEvMjAxOC5MRlIuRi5VU0QuSAEAAABo1lgGAgAAAAktMTc2Ljc3OTkBCAAAAAUAAAABMQEAAAAKMTg4NjMzNzQ2NgMAAAADMTYwAgAAAAQ0MDQ3BAAAAAEwBwAAAAk3LzMxLzIwMTgIAAAACTMvMzEvMjAxOAkAAAABMJwL1TgICdYIJMKabzQJ1ghDQ0lRLk5BU0RBUUdNOlhOQ1IuSVFfTUlOT1JJVFlfSU5URVJFU1RfVE9UQUwuLjkvMTUvMjAxNy5MRlIuRi5VU0QuSAEAAACmWgsAAwAAAAAAxP8bETUJ1ggS/mQSNQnWCCJDSVEuSVFUUjQwOTk1MTg4Ni5JUV9UUl9UT1RBTF9DQVNIAQAAAI5ebxgCAAAAAAAMbRAONQnWCMDbgg41CdYIMUNJUS5BU1g6SU1VLklRX1BSRUZfRVFVSVRZLi45LzE1LzIwMTcuTEZS</t>
  </si>
  <si>
    <t>LkYuVVNELkgBAAAAmJOpAAMAAAAAACkclBA1CdYIMNddEjUJ1gg3Q0lRLlhUUkE6TU9SLklRX0dST1NTX01BUkdJTi4yMDAwLjcvMzEvMjAxOC5MRlIuRi5VU0QuSAEAAADfEQIAAgAAAAMxMDABCAAAAAUAAAABMQEAAAAKMTg4NjE1MTY0OAMAAAACNTACAAAABDQwNzQEAAAAATAHAAAACTcvMzEvMjAxOAgAAAAJMy8zMS8yMDE4CQAAAAEwnAvVOAgJ1gjUX5hvNAnWCENDSVEuTkFTREFRQ006TVRFTS5JUV9FQklUREFfNVlSX0FOTl9DQUdSLjIwMDAuNy8zMS8yMDE4LkxGUi5GLlVTRC5IAQAAAJmbqQEDAAAAAADIMLI3CAnWCN1LpG80CdYINkNJUS5OQVNEQVFDTTpBVkVPLklRX0VBUk5JTkdfQ08uLjcvMTYvMjAxOC5MRlIuRi5VU0QuSAEAAAD0Fh0AAgAAAActNjUuMTczAQgAAAAFAAAAATEBAAAACjE4ODcyMzQyOTUDAAAAAzE2MAIAAAABNwQAAAABMAcAAAAJNy8xNi8yMDE4CAAAAAkzLzMxLzIwMTgJAAAAATDE/xsRNQnWCMKbYhI1CdYINUNJUS5YVFJBOk1PUi5JUV9FQVJOSU5HX0NPLjE5OTIuNy8zMS8yMDE4LkxGUi5GLlVTRC5IAQAAAN8RAgACAAAACi0zNy43NjY0NDgBCAAAAAUAAAABMQEAAAAKMTgzOTk0MDY5MAMAAAADMTYwAgAAAAE3BAAAAAEwBwAAAAk3LzMxLzIwMTgIAAAACTMvMzEvMjAxNgkAAAABMJwL1TgICdYI1F+YbzQJ1gglQ0lRLklRVFIyNjM3MTg2NDcuSVFfVFJfSU1QTElF</t>
  </si>
  <si>
    <t>RF9FUV9CVgEAAAD3BrgPAgAAAAAAsrNJbzQJ1giB/ZVvNAnWCClDSVEuT1RDUEs6TUJWWC5JUV9MQVNUU0FMRVBSSUNFLjkvMTUvMjAxNwEAAADYRIsCAgAAAAgyLjEwMDAwMgDep34QNQnWCJgSWRI1CdYIPENJUS5OQVNEQVFDTTpaSU9QLklRX1RPVEFMX0VRVUlUWS4xOTkyLjcvMzEvMjAxOC5MRlIuRi5VU0QuSAEAAACzUbIAAgAAAAY3Ny44MTMBCAAAAAUAAAABMQEAAAAKMTgzOTM0MTA2NwMAAAADMTYwAgAAAAQxMjc1BAAAAAEwBwAAAAk3LzMxLzIwMTgIAAAACTMvMzEvMjAxNgkAAAABMNaMETgICdYIw4afbzQJ1gg4Q0lRLk5BU0RBUUdNOklNTVUuSVFfVE9UQUxfRVFVSVRZLi43LzE2LzIwMTguTEZSLkYuVVNELkgBAAAAIEMEAAIAAAAJNzEuODE5NDM2AQgAAAAFAAAAATEBAAAACjE4ODg1MjMzODQDAAAAAzE2MAIAAAAEMTI3NQQAAAABMAcAAAAJNy8xNi8yMDE4CAAAAAkzLzMxLzIwMTgJAAAAATDE/xsRNQnWCBL+ZBI1CdYIKUNJUS5OQVNEQVFHUzpFUFpNLklRX0JVU0lORVNTX0RFU0NSSVBUSU9OAQAAAAMmPQMDAAAAlAxFcGl6eW1lLCBJbmMuLCBhIGNsaW5pY2FsIHN0YWdlIGJpb3BoYXJtYWNldXRpY2FsIGNvbXBhbnksIGRpc2NvdmVycyBhbmQgZGV2ZWxvcHMgbm92ZWwgZXBpZ2VuZXRpYyBtZWRpY2luZXMgZm9yIHBhdGllbnRzIHdpdGggY2FuY2VyIGFuZCBvdGhlciBkaXNlYXNl</t>
  </si>
  <si>
    <t>cyBpbiB0aGUgVW5pdGVkIFN0YXRlcy4gSXRzIHByb2R1Y3QgY2FuZGlkYXRlcyBpbmNsdWRlIHRhemVtZXRvc3RhdCwgYW4gaW5oaWJpdG9yIG9mIHRoZSBFWkgyLCB3aGljaCBpcyBpbiBQaGFzZSBJSSBjbGluaWNhbCB0cmlhbCBmb3IgcGF0aWVudHMgd2l0aCByZWxhcHNlZCBvciByZWZyYWN0b3J5IG5vbi1ob2Rna2luIGx5bXBob21hIChOSEwpOyBQaGFzZSBJSSBjbGluaWNhbCB0cmlhbCBmb3IgcmVsYXBzZWQgb3IgcmVmcmFjdG9yeSBwYXRpZW50cyB3aXRoIG1lc290aGVsaW9tYTsgUGhhc2UgSSBkb3NlLWVzY2FsYXRpb24gYW5kIGV4cGFuc2lvbiBzdHVkeSBmb3IgY2hpbGRyZW4gd2l0aCBJTkkxLW5lZ2F0aXZlIHNvbGlkIHR1bW9yczsgUGhhc2UgSUkgY2xpbmljYWwgdHJpYWxzIGZvciBwYXRpZW50cyB3aXRoIHJlbGFwc2VkIG9yIHJlZnJhY3RvcnkgZGlmZnVzZSBsYXJnZSBCLWNlbGwgbHltcGhvbWEgKERMQkNMKTsgUGhhc2UgSWIvSUkgY2xpbmljYWwgdHJpYWwgaW4gZWxkZXJseSBwYXRpZW50cyB3aXRoIERMQkNMOyBhbmQgUGhhc2UgSUkgY2xpbmljYWwgdHJpYWwgZm9yIHJlbGFwc2VkIG9yIHJlZnJhY3RvcnkgcGF0aWVudHMgd2l0aCBtZXNvdGhlbGlvbWEgY2hhcmFjdGVyaXplZCBieSBCQVAxIGxvc3Mtb2YtZnVuY3Rpb24sOyBhbmQgUGhhc2UgSWIvSUkgY2xpbmljYWwg</t>
  </si>
  <si>
    <t>dHJpYWwgZm9yIHRoZSB0cmVhdG1lbnQgb2YgcGF0aWVudHMgd2l0aCByZWxhcHNlZCBvciByZWZyYWN0b3J5IG1ldGFzdGF0aWMgbm9uLXNtYWxsIGNlbGwgbHVuZyBjYW5jZXIsIGFzIHdlbGwgYXMgUGhhc2UgSUkgY2xpbmljYWwgdHJpYWwgaW4gYWR1bHQgcGF0aWVudHMgd2l0aCBvdmFyaWFuIGNhbmNlci4gVGhlIGNvbXBhbnkgaXMgYWxzbyBkZXZlbG9waW5nIGFkZGl0aW9uYWwgcHJvZ3JhbXMsIHN1Y2ggYXMgcGlub21ldG9zdGF0LCBhbiBpbnRyYXZlbm91c2x5IGFkbWluaXN0ZXJlZCBzbWFsbCBtb2xlY3VsZSBpbmhpYml0b3Igb2YgRE9UMUwgZm9yIHRoZSB0cmVhdG1lbnQgb2YgYWN1dGUgbGV1a2VtaWFzOyBhbmQgUFJNVDUgaW5oaWJpdG9yIHRoYXQgaXMgaW4gUGhhc2UgSSBjbGluaWNhbCB0cmlhbCBmb3IgcGF0aWVudHMgd2l0aCBzb2xpZCB0dW1vcnMgYW5kIE5ITC4gSXQgaGFzIGNvbGxhYm9yYXRpb24gYWdyZWVtZW50cyB3aXRoIENlbGdlbmUgQ29ycG9yYXRpb24sIEdlbmVudGVjaCBJbmMuLCBhbmQgR2xheG8gR3JvdXAgTGltaXRlZCwgYXMgd2VsbCBhcyB3aXRoIFJvY2hlIE1vbGVjdWxhciBTeXN0ZW1zLCBJbmMuLCBFaXNhaSBDby4gTHRkLiwgYW5kIEx5bXBob21hIFN0dWR5IEFzc29jaWF0aW9uLiBFcGl6eW1lLCBJbmMuIHdhcyBmb3VuZGVkIGluIDIwMDcgYW5kIGlz</t>
  </si>
  <si>
    <t>IGhlYWRxdWFydGVyZWQgaW4gQ2FtYnJpZGdlLCBNYXNzYWNodXNldHRzLgDWjBE4CAnWCHMknW80CdYIKUNJUS5OQVNEQVFHUzpTR0VOLklRX0VCSVREQS4uLkxGUi5GLlVTRC5IAQAAAGGFAAACAAAACC0xNjQuOTM1AQgAAAAFAAAAATEBAAAACjE4OTcyMzM1MTgDAAAAAzE2MAIAAAAENDA1MQQAAAABMAcAAAAJOC8yMy8yMDE4CAAAAAk2LzMwLzIwMTgJAAAAATBGnRkRNQnWCEadGRE1CdYIOUNJUS5OQVNEQVFDTTpNVEVNLklRX1RPVEFMX1JFVi4xOTkyLjcvMzEvMjAxOC5MRlIuRi5VU0QuSAEAAACZm6kBAwAAAAAAyDCyNwgJ1ggZ6aFvNAnWCD1DSVEuTkFTREFRR006QVJRTC5JUV9DQVNIX1NUX0lOVkVTVC4yMDAwLjUvNS8yMDE3LkxGUi5GLlVTRC5IAQAAAPZhAAACAAAABTM3LjU0AQgAAAAFAAAAATEBAAAACjE4NDE5OTI1MTIDAAAAAzE2MAIAAAAEMTAwMgQAAAABMAcAAAAINS81LzIwMTcIAAAACTMvMzEvMjAxNwkAAAABMNaMETgICdYIw4afbzQJ1ggiQ0lRLklRVFI0MDc3NjA2OTIuSVFfVFJfVE9UQUxfQ0FTSAEAAAA0700YAgAAAAo0NjEuMzUzNDQ5AQYAAAAFAAAAAjU0AQAAAAYxMDEwNTYCAAAACTQwNzc2MDY5MgMAAAAJNDA3Nzg1MzIwBAAAAAMxNjAGAAAABUZhbHNlDG0QDjUJ1ggMPoUONQnWCDZDSVEuTkFTREFRR1M6UEJZSS5JUV9UT1RBTF9ERUJULi45LzE1LzIwMTcuTEZSLkYu</t>
  </si>
  <si>
    <t>VVNELkgBAAAAAmqsBwIAAAABMAEIAAAABQAAAAExAQAAAAoxODUyOTk0MTc2AwAAAAMxNjACAAAABDQxNzMEAAAAATAHAAAACTkvMTUvMjAxNwgAAAAJNi8zMC8yMDE3CQAAAAEwxP8bETUJ1ggS/mQSNQnWCDhDSVEuTkFTREFRR006QUZNRC5JUV9HUk9TU19NQVJHSU4uLjcvMTYvMjAxOC5MRlIuRi5VU0QuSAEAAADb9wwAAgAAAAMxMDABCAAAAAUAAAABMQEAAAAKMTg4OTg2NjA0OQMAAAACNTACAAAABDQwNzQEAAAAATAHAAAACTcvMTYvMjAxOAgAAAAJMy8zMS8yMDE4CQAAAAEwKRyUEDUJ1ggw110SNQnWCDdDSVEuWFRSQTpNT1IuSVFfRUJJVERBX0VTVC5DWTIwMTkuNy8zMS8yMDE4LkNPTi5GLlVTRC5IAQAAAN8RAgACAAAAES05MS4wNDQ1NjQxMDE0NjM3AQ4AAAAFAAAAAjExAQAAAAEwAgAAAAoxMDAwODAyMDE1AwAAAAYxMDAxODcEAAAAATMGAAAAATAHAAAAAzE2MAgAAAABMAkAAAABMQoAAAABMAsAAAALMTEwMDEzMTUyNTQMAAAAATcNAAAACDgvMS8yMDE4EAAAAAk3LzMxLzIwMTicC9U4CAnWCNRfmG80CdYIO0NJUS5OQVNEQVFDTTpNVEVNLklRX0VCSVRfTUFSR0lOLjIwMDAuNy8zMS8yMDE4LkxGUi5GLlVTRC5IAQAAAJmbqQEDAAAAAk5NAQgAAAAFAAAAATEBAAAACjE4ODg3MzMwMDQDAAAAAzE2MAIAAAAENDA1MwQAAAABMAcAAAAJNy8zMS8yMDE4CAAAAAkzLzMxLzIwMTgJAAAAATDI</t>
  </si>
  <si>
    <t>MLI3CAnWCBnpoW80CdYIN0NJUS5OQVNEQVFHUzpOSy5JUV9UT1RBTF9ERUJULjIwMDAuNS81LzIwMTcuTEZSLkYuVVNELkgBAAAADX2hDwIAAAAEOC4yMQEIAAAABQAAAAExAQAAAAoxODMxOTg3OTM3AwAAAAMxNjACAAAABDQxNzMEAAAAATAHAAAACDUvNS8yMDE3CAAAAAoxMi8zMS8yMDE2CQAAAAEw1owROAgJ1ggZ6aFvNAnWCCJDSVEuSVFUUjU1MTE2NjI5Mi5JUV9UUl9QQ1RfU09VR0hUAQAAAFQh2iACAAAAAzEwMAEGAAAABQAAAAI1NAEAAAAGMTAxMDI0AgAAAAk1NTExNjYyOTIDAAAACTU1MTE3MzM3NQQAAAADMTYwBgAAAARUcnVlDG0QDjUJ1gjA24IONQnWCD1DSVEuTkFTREFRR1M6R1RIWC5JUV9FQklUREFfTUFSR0lOLjIwMDAuNy8zMS8yMDE4LkxGUi5GLlVTRC5IAQAAAGU0aQgDAAAAAACcC9U4CAnWCCTCmm80CdYIJUNJUS5JUVRSNDExODcxMDgyLklRX1BSSU1BUllfSU5EVVNUUlkBAAAAVKOvAwMAAAAPUGhhcm1hY2V1dGljYWxzALKzSW80CdYINZuTbzQJ1ggnQ0lRLk5BU0RBUUdTOk1SU04uSVFfQkVUQV8yWVIuNy8xNi8yMDE4AQAAAObFGAACAAAAETAuNjE2MDY5NzcwNjEzMjExACkclBA1CdYIczlgEjUJ1ggyQ0lRLi5JUV9ORVRfV09SS0lOR19DQVAuMTk5Mi43LzMxLzIwMTguTEZSLkYuVVNELkgFAAAAAQAAAAgAAAAUKEludmFsaWQgSWRlbnRpZmllcin1hDJHNAnWCPWEMkc0</t>
  </si>
  <si>
    <t>CdYIOkNJUS5OQVNEQVFHTTpOTE5LLklRX0NBU0hfU1RfSU5WRVNULi45LzE1LzIwMTcuTEZSLkYuVVNELkgBAAAAlXuMAAIAAAAHMTA3Ljc3NwEIAAAABQAAAAExAQAAAAoxODUxODk2OTUzAwAAAAMxNjACAAAABDEwMDIEAAAAATAHAAAACTkvMTUvMjAxNwgAAAAJNi8zMC8yMDE3CQAAAAEwKRyUEDUJ1gjkdFsSNQnWCDRDSVEuTkFTREFRR1M6U0dFTi5JUV9SRVZFTlVFX0VTVC5DWTIwMTkuLkNPTi5GLlVTRC5IAQAAAGGFAAACAAAACTg0My42NDE0NQEOAAAABQAAAAIxMQEAAAABMAIAAAAKMTAwMDEyNDcyNwMAAAAGMTAwMTgwBAAAAAEyBgAAAAEwBwAAAAMxNjAIAAAAATAJAAAAATEKAAAAATALAAAACzExMDUyMTUwNjM1DAAAAAE3DQAAAAk4LzI0LzIwMTgQAAAACTgvMjMvMjAxOMT/GxE1CdYIxP8bETUJ1gg+Q0lRLk5BU0RBUUdTOlRTUk8uSVFfVE9UQUxfRVFVSVRZLkNZMjAxNi43LzMxLzIwMTguTEZSLkYuVVNELkgBAAAAaNZYBgIAAAAHNjI4LjExOAEIAAAABQAAAAExAQAAAAoxODc3MjI2Mjg0AwAAAAMxNjACAAAABDEyNzUEAAAAATAHAAAACTcvMzEvMjAxOAgAAAAKMTIvMzEvMjAxNgkAAAABMJwL1TgICdYIJMKabzQJ1ggiQ0lRLklRVFI0MzE4NDE1ODEuSVFfVFJfVEFSR0VUTkFNRQEAAAAtYb0ZAwAAAB1UcnVlIE5vcnRoIFRoZXJhcGV1dGljcywgSW5jLgAMbRAONQnWCAw+hQ41CdYI</t>
  </si>
  <si>
    <t>J0NJUS5OQVNEQVFHTTpGQVRFLklRX0JFVEFfNVlSLjcvMzEvMjAxOAEAAABoMVcCAgAAAA8xLjU2NDMxMTIzNjI3ODUA1owROAgJ1gjDhp9vNAnWCC9DSVEuTkFTREFRR1M6U0dFTi5JUV9FQklUREEuQ1kyMDE2Li5MRlIuRi5VU0QuSAEAAABhhQAAAgAAAAgtMTI0LjY5MQEIAAAABQAAAAExAQAAAAoxODc0Njk2MTk2AwAAAAMxNjACAAAABDQwNTEEAAAAATAHAAAACTgvMjMvMjAxOAgAAAAKMTIvMzEvMjAxNgkAAAABMEadGRE1CdYIRp0ZETUJ1ggcQ0lRLi5JUV9UUl9JTVBMSUVEX0VRX05JX0xUTQUAAAAAAAAACAAAABQoSW52YWxpZCBJZGVudGlmaWVyKZwL1TgICdYId3mADjUJ1gg1Q0lRLk5BU0RBUUdTOkJHTkUuSVFfVE9UQUxfUkVWLi43LzE2LzIwMTguTEZSLkYuVVNELkgBAAAA4OTdBgIAAAAHMjcwLjkzMQEIAAAABQAAAAExAQAAAAoxODg3Njg4NTg4AwAAAAMxNjACAAAAAjI4BAAAAAEwBwAAAAk3LzE2LzIwMTgIAAAACTMvMzEvMjAxOAkAAAABMMT/GxE1CdYIaGBnEjUJ1gg3Q0lRLk5BU0RBUUNNOkFWRU8uSVFfUFJFRl9FUVVJVFkuLjcvMTYvMjAxOC5MRlIuRi5VU0QuSAEAAAD0Fh0AAwAAAAAAxP8bETUJ1gjCm2ISNQnWCDBDSVEuQVNYOklNVS5JUV9UT1RBTF9ERUJULi45LzE1LzIwMTcuTEZSLkYuVVNELkgBAAAAmJOpAAIAAAABMAEIAAAABQAAAAExAQAAAAoxODU2ODUxMjM4AwAA</t>
  </si>
  <si>
    <t>AAMxNjACAAAABDQxNzMEAAAAATAHAAAACTkvMTUvMjAxNwgAAAAJNi8zMC8yMDE3CQAAAAEwKRyUEDUJ1ggw110SNQnWCCBDSVEuT1RDUEs6TUJWWC5JUV9QRVJJT0REQVRFX0lTLgEAAADYRIsCBQAAAAoxMi8zMS8yMDE3AN6nfhA1CdYImBJZEjUJ1gg+Q0lRLk5BU0RBUUdTOkVQWk0uSVFfVE9UQUxfRVFVSVRZLkNZMjAxNy43LzMxLzIwMTguTEZSLkYuVVNELkgBAAAAAyY9AwIAAAAHMjM1LjM3MQEIAAAABQAAAAExAQAAAAoxODc4MDgxMDY0AwAAAAMxNjACAAAABDEyNzUEAAAAATAHAAAACTcvMzEvMjAxOAgAAAAKMTIvMzEvMjAxNwkAAAABMNaMETgICdYIcySdbzQJ1ghGQ0lRLk5BU0RBUUdNOkNSSVMuSVFfVE9UQUxfUkVWXzJZUl9BTk5fQ0FHUi4yMDAwLjcvMzEvMjAxOC5MRlIuRi5VU0QuSAEAAAAXagAAAgAAAAcxMy40OTU1AQgAAAAFAAAAATEBAAAACjE4ODYyNDc0MjADAAAAAzE2MAIAAAAENDIwNwQAAAABMAcAAAAJNy8zMS8yMDE4CAAAAAkzLzMxLzIwMTgJAAAAATDIMLI3CAnWCN1LpG80CdYIIkNJUS5JUVRSMzEyMTIyNTA0LklRX1RSX1BDVF9TT1VHSFQBAAAAiJyaEgIAAAADMTAwAFjPEg41CdYIwNuCDjUJ1ggoQ0lRLk5BU0RBUUdNOkFSUUwuSVFfVEVWLjcvMzEvMjAxOC5VU0QuSAEAAAD2YQAAAgAAAAo0ODEuMTM5MTI4AQYAAAAFAAAAATEBAAAACjE4ODg3ODc0NTIDAAAAAzE2</t>
  </si>
  <si>
    <t>MAIAAAAGMTAwMDYwBAAAAAEwBwAAAAk3LzMxLzIwMTjWjBE4CAnWCHMknW80CdYIPENJUS5OQVNEQVFHUzpDQUxBLklRX0VBUk5JTkdfQ08uQ1kyMDE2LjcvMTYvMjAxOC5MRlIuRi5VU0QuSAEAAAClJ4EGAgAAAActMzguMDA0AQgAAAAFAAAAATEBAAAACjE4Nzc5NTU2MDEDAAAAAzE2MAIAAAABNwQAAAABMAcAAAAJNy8xNi8yMDE4CAAAAAoxMi8zMS8yMDE2CQAAAAEwKRyUEDUJ1gjkdFsSNQnWCDVDSVEuQVNYOklNVS5JUV9UT1RBTF9SRVYuQ1kyMDE2LjcvMTYvMjAxOC5MRlIuRi5VU0QuSAEAAACYk6kAAgAAAAgxLjIyNzEzOQEIAAAABQAAAAExAQAAAAoxODc3MzA1ODczAwAAAAMxNjACAAAAAjI4BAAAAAEwBwAAAAk3LzE2LzIwMTgIAAAACjEyLzMxLzIwMTYJAAAAATApHJQQNQnWCDDXXRI1CdYIOkNJUS5OQVNEQVFHUzpOSy5JUV9UT1RBTF9FUVVJVFkuMTk5Mi43LzMxLzIwMTguTEZSLkYuVVNELkgBAAAADX2hDwIAAAAFMzQ0LjUBCAAAAAUAAAABMQEAAAAKMTg0MDc0MTg1NwMAAAADMTYwAgAAAAQxMjc1BAAAAAEwBwAAAAk3LzMxLzIwMTgIAAAACTMvMzEvMjAxNgkAAAABMNaMETgICdYIGemhbzQJ1gghQ0lRLk5BU0RBUUdNOkFSUlkuSVFfQ09NUEFOWV9OQU1FAQAAAPhhAAADAAAAFEFycmF5IEJpb1BoYXJtYSBJbmMuAJwL1TgICdYI1F+YbzQJ1ggWQ0lRLi5JUV9DT01QQU5ZX1RJQ0tF</t>
  </si>
  <si>
    <t>UgUAAAAAAAAACAAAABQoSW52YWxpZCBJZGVudGlmaWVyKQxtEA41CdYId3mADjUJ1ggnQ0lRLk5BU0RBUUdTOkFUTlguSVFfQkVUQV8xWVIuNy8zMS8yMDE4AQAAANyZawECAAAAETAuODkxMTY1MTQ4MTAzNjQ3ANaMETgICdYIJMKabzQJ1ggpQ0lRLklRVFI0MzE4NDE1ODEuSVFfVFJfSU1QTElFRF9FUV9OSV9MVE0BAAAALWG9GQIAAAAAAAxtEA41CdYIDD6FDjUJ1ggqQ0lRLklRVFI0MjI4ODc3MDEuSVFfVFJfVEFSR0VUX0VCSVQuLlVTRC5IAQAAABXBNBkCAAAACDAuNjg3MDM3AAxtEA41CdYIwNuCDjUJ1gg7Q0lRLk5BU0RBUUdNOkxQVFguSVFfVE9UQUxfUkVWLkNZMjAxNi43LzE2LzIwMTguTEZSLkYuVVNELkgBAAAADDYJBwMAAAAAACkclBA1CdYIMNddEjUJ1gglQ0lRLk5BU0RBUUdNOk5MTksuSVFfRklSU1RQUklDSU5HREFURQEAAACVe4wABQAAAAoxMS8xNC8yMDExACkclBA1CdYI5HRbEjUJ1ggpQ0lRLklRVFI1NDgzMzgwMjAuSVFfVFJfSU1QTElFRF9FUV9OSV9MVE0BAAAAZPmuIAIAAAAAAAxtEA41CdYIwNuCDjUJ1gg5Q0lRLk5BU0RBUUdTOkFUTlguSVFfVE9UQUxfREVCVC4yMDAwLjUvNS8yMDE3LkxGUi5GLlVTRC5IAQAAANyZawECAAAABjMzLjAxMgEIAAAABQAAAAExAQAAAAoxODQyNDkwMjgxAwAAAAMxNjACAAAABDQxNzMEAAAAATAHAAAACDUvNS8yMDE3CAAAAAoxMi8zMS8y</t>
  </si>
  <si>
    <t>MDE2CQAAAAEw1owROAgJ1ggkwppvNAnWCD5DSVEuTkFTREFRR1M6TUdOWC5JUV9UT1RBTF9FUVVJVFkuQ1kyMDE3LjcvMTYvMjAxOC5MRlIuRi5VU0QuSAEAAABPKwkAAgAAAAcyOTkuMjM4AQgAAAAFAAAAATEBAAAACjE4NzYxMzUxNzIDAAAAAzE2MAIAAAAEMTI3NQQAAAABMAcAAAAJNy8xNi8yMDE4CAAAAAoxMi8zMS8yMDE3CQAAAAEwxP8bETUJ1gjCm2ISNQnWCDpDSVEuTkFTREFRR1M6R1RIWC5JUV9QUkVGX0VRVUlUWS4yMDAwLjUvNS8yMDE3LkxGUi5GLlVTRC5IAQAAAGU0aQgCAAAACjExMi4wNDgxODEBCAAAAAUAAAABMQEAAAAKMTgzODE3NzQwMAMAAAADMTYwAgAAAAQxMDA1BAAAAAEwBwAAAAg1LzUvMjAxNwgAAAAJMy8zMS8yMDE3CQAAAAEw1owROAgJ1ggkwppvNAnWCDlDSVEuTkFTREFRR1M6QkdORS5JUV9OSV9NQVJHSU4uMjAwMC43LzMxLzIwMTguTEZSLkYuVVNELkgBAAAA4OTdBgIAAAAILTU0LjI4NjEBCAAAAAUAAAABMQEAAAAKMTg4NzY4ODU4OAMAAAADMTYwAgAAAAQ0MDk0BAAAAAEwBwAAAAk3LzMxLzIwMTgIAAAACTMvMzEvMjAxOAkAAAABMJwL1TgICdYIgf2VbzQJ1gg8Q0lRLkFTWDpJTVUuSVFfVE9UQUxfUkVWXzNZUl9BTk5fQ0FHUi4uNy8xNi8yMDE4LkxGUi5GLlVTRC5IAQAAAJiTqQACAAAABjMuNjU1NAEIAAAABQAAAAExAQAAAAoxODc3MzA1MzIwAwAAAAE5AgAA</t>
  </si>
  <si>
    <t>AAQ0MjIwBAAAAAEwBwAAAAk3LzE2LzIwMTgIAAAACjEyLzMxLzIwMTcJAAAAATApHJQQNQnWCDDXXRI1CdYIKUNJUS5JUVRSMzIxODY1Mjk3LklRX1RSX0lNUExJRURfRVFfTklfTFRNAQAAAFFGLxMCAAAAAABYzxIONQnWCAw+hQ41CdYINkNJUS5OQVNEQVFHTTpBUlFMLklRX0VCSVREQS4xOTkyLjcvMzEvMjAxOC5MRlIuRi5VU0QuSAEAAAD2YQAAAgAAAActMTQuMjExAQgAAAAFAAAAATEBAAAACjE4NDE5OTI1NjkDAAAAAzE2MAIAAAAENDA1MQQAAAABMAcAAAAJNy8zMS8yMDE4CAAAAAkzLzMxLzIwMTYJAAAAATDWjBE4CAnWCHMknW80CdYIP0NJUS5OQVNEQVFHUzpDQUxBLklRX0VCSVREQV8yWVJfQU5OX0NBR1IuLjcvMTYvMjAxOC5MRlIuRi5VU0QuSAEAAAClJ4EGAwAAAAJOTQEIAAAABQAAAAExAQAAAAoxODg3OTgwMzA1AwAAAAMxNjACAAAABDQyMDkEAAAAATAHAAAACTcvMTYvMjAxOAgAAAAJMy8zMS8yMDE4CQAAAAEwKRyUEDUJ1gjkdFsSNQnWCC5DSVEuSVFUUjI1Mzk1NDQ3My5JUV9UUl9UQVJHRVRfU1RPQ0tQUkVNSVVNXzFXAQAAAKkJIw8CAAAAAACys0lvNAnWCDWbk280CdYILENJUS5OQVNEQVFHUzpUU1JPLklRX0xBU1RTQUxFUFJJQ0UuOS8xNS8yMDE3AQAAAGjWWAYCAAAABjExNy4xNgBGnRkRNQnWCBL+ZBI1CdYIIkNJUS5JUVRSNDAzNzkxNzY3LklRX1RSX1RBUkdFVE5BTUUB</t>
  </si>
  <si>
    <t>AAAAl18RGAMAAAAJRW5nTWFiIEFHAFjPEg41CdYIwNuCDjUJ1gg2Q0lRLkFTWDpJTVUuSVFfRUJJVERBX0VTVC5DWTIwMTkuNy8xNi8yMDE4LkNPTi5GLlVTRC5IAQAAAJiTqQADAAAAAAApHJQQNQnWCDDXXRI1CdYIPUNJUS5OQVNEQVFHUzpGUFJYLklRX1JFVkVOVUVfRVNULkNZMjAxOS43LzE2LzIwMTguQ09OLkYuVVNELkgBAAAAN10zAAIAAAAINjAuNTAxNzgBDgAAAAUAAAACMTEBAAAAATACAAAACjEwMDE5NTYzNDkDAAAABjEwMDE4MAQAAAABMgYAAAABMAcAAAADMTYwCAAAAAEwCQAAAAExCgAAAAEwCwAAAAsxMDk0NTU3NTA1NAwAAAABNw0AAAAJNy8xNy8yMDE4EAAAAAk3LzE2LzIwMTgpHJQQNQnWCHM5YBI1CdYIPkNJUS5OQVNEQVFHUzpDQUxBLklRX1RPVEFMX0VRVUlUWS5DWTIwMTcuNy8xNi8yMDE4LkxGUi5GLlVTRC5IAQAAAKUngQYCAAAABzE1MC4zMDcBCAAAAAUAAAABMQEAAAAKMTg3Nzk1NTcwNwMAAAADMTYwAgAAAAQxMjc1BAAAAAEwBwAAAAk3LzE2LzIwMTgIAAAACjEyLzMxLzIwMTcJAAAAATApHJQQNQnWCOR0WxI1CdYINUNJUS5OQVNEQVFDTTpBVkVPLklRX05JX01BUkdJTi4uNy8xNi8yMDE4LkxGUi5GLlVTRC5IAQAAAPQWHQADAAAAAk5NAQgAAAAFAAAAATEBAAAACjE4ODcyMzQyOTUDAAAAAzE2MAIAAAAENDA5NAQAAAABMAcAAAAJNy8xNi8yMDE4CAAAAAkzLzMxLzIw</t>
  </si>
  <si>
    <t>MTgJAAAAATDE/xsRNQnWCMKbYhI1CdYIK0NJUS5JUVRSNTYxNjA2MzY1LklRX1RSX0lNUExJRURfRVZfRUJJVF9GV0QBAAAA3W55IQIAAAAAALKzSW80CdYINZuTbzQJ1gg6Q0lRLk5BU0RBUUdTOkZQUlguSVFfUFJFRl9FUVVJVFkuMjAwMC41LzUvMjAxNy5MRlIuRi5VU0QuSAEAAAA3XTMAAwAAAAAAyDCyNwgJ1ggZ6aFvNAnWCC5DSVEuTkFTREFRR006SU1NVS5JUV9NQVJLRVRDQVAuOS8xNS8yMDE3LlVTRC5IAQAAACBDBAACAAAACzEyNTYuMzQwOTI2AQYAAAAFAAAAATEBAAAACjE4NTQzODI1NTEDAAAAAzE2MAIAAAAGMTAwMDU0BAAAAAEwBwAAAAk5LzE1LzIwMTdGnRkRNQnWCBL+ZBI1CdYII0NJUS5JUVRSMjUzOTU0NDczLklRX1RSX0NMT1NFRF9EQVRFAQAAAKkJIw8FAAAACDEvOS8yMDE0ALKzSW80CdYINZuTbzQJ1gg2Q0lRLk5BU0RBUUdTOkNUTVguSVFfVE9UQUxfREVCVC4uOS8xNS8yMDE3LkxGUi5GLlVTRC5IAQAAANw4mwMCAAAAATABCAAAAAUAAAABMQEAAAAKMTg1MjM1OTcyMgMAAAADMTYwAgAAAAQ0MTczBAAAAAEwBwAAAAk5LzE1LzIwMTcIAAAACTYvMzAvMjAxNwkAAAABMMT/GxE1CdYIwptiEjUJ1ggyQ0lRLk5BU0RBUUdNOkxQVFguSVFfRUJJVERBLi43LzE2LzIwMTguTEZSLkYuVVNELkgBAAAADDYJBwIAAAAHLTI2LjQ4OQEIAAAABQAAAAExAQAAAAoxODkwMTYzOTM2AwAA</t>
  </si>
  <si>
    <t>AAMxNjACAAAABDQwNTEEAAAAATAHAAAACTcvMTYvMjAxOAgAAAAJMy8zMS8yMDE4CQAAAAEwKRyUEDUJ1ggw110SNQnWCDhDSVEuTkFTREFRR1M6Q1RNWC5JUV9FQklUREEuQ1kyMDE3LjcvMTYvMjAxOC5MRlIuRi5VU0QuSAEAAADcOJsDAgAAAActNDQuNzE0AQgAAAAFAAAAATEBAAAACjE4NzczMTY3NjkDAAAAAzE2MAIAAAAENDA1MQQAAAABMAcAAAAJNy8xNi8yMDE4CAAAAAoxMi8zMS8yMDE3CQAAAAEwxP8bETUJ1gjCm2ISNQnWCCVDSVEuSVFUUjQyNDM0MjA0Ni5JUV9UUl9JTVBMSUVEX0VRX0JWAQAAAB7yShkCAAAAAAAMbRAONQnWCMDbgg41CdYIH0NJUS5JUTE5MDY0MjAuSVFfQ09NUEFOWV9USUNLRVIBAAAA9BYdAAMAAAANTmFzZGFxQ006QVZFTwAMbRAONQnWCKEpkQ41CdYIPkNJUS5OQVNEQVFHTTpBUlFMLklRX0NBU0hfU1RfSU5WRVNULjIwMDAuNy8zMS8yMDE4LkxGUi5GLlVTRC5IAQAAAPZhAAACAAAABjQyLjg4NAEIAAAABQAAAAExAQAAAAoxODg4Nzg4NzcwAwAAAAMxNjACAAAABDEwMDIEAAAAATAHAAAACTcvMzEvMjAxOAgAAAAJMy8zMS8yMDE4CQAAAAEw1owROAgJ1ghzJJ1vNAnWCDpDSVEuTkFTREFRR1M6QkdORS5JUV9FQVJOSU5HX0NPLjIwMDAuNy8zMS8yMDE4LkxGUi5GLlVTRC5IAQAAAODk3QYCAAAACC0xNDcuNzkyAQgAAAAFAAAAATEBAAAACjE4ODc2ODg1ODgDAAAA</t>
  </si>
  <si>
    <t>AzE2MAIAAAABNwQAAAABMAcAAAAJNy8zMS8yMDE4CAAAAAkzLzMxLzIwMTgJAAAAATCcC9U4CAnWCIH9lW80CdYIHUNJUS5OQVNEQVFHUzpFUFpNLklRX0VYQ0hBTkdFAQAAAAMmPQMDAAAACE5hc2RhcUdTANaMETgICdYIJMKabzQJ1ghCQ0lRLk5BU0RBUUdTOkFEWFMuSVFfVE9UQUxfUkVWXzNZUl9BTk5fQ0FHUi4uNy8xNi8yMDE4LkxGUi5GLlVTRC5IAQAAAJ7seAADAAAAAAApHJQQNQnWCOR0WxI1CdYIQkNJUS5OQVNEQVFHTTpJTU1VLklRX1RPVEFMX1JFVl81WVJfQU5OX0NBR1IuLjcvMTYvMjAxOC5MRlIuRi5VU0QuSAEAAAAgQwQAAgAAAAgtMTEuOTcyNgEIAAAABQAAAAExAQAAAAoxODg4NTIzMzg0AwAAAAMxNjACAAAABDQyMzMEAAAAATAHAAAACTcvMTYvMjAxOAgAAAAJMy8zMS8yMDE4CQAAAAEwxP8bETUJ1ggS/mQSNQnWCD5DSVEuTkFTREFRR1M6Q0FMQS5JUV9UT1RBTF9FUVVJVFkuQ1kyMDE2LjcvMTYvMjAxOC5MRlIuRi5VU0QuSAEAAAClJ4EGAgAAAAY0OS45MDYBCAAAAAUAAAABMQEAAAAKMTg3Nzk1NTYwMQMAAAADMTYwAgAAAAQxMjc1BAAAAAEwBwAAAAk3LzE2LzIwMTgIAAAACjEyLzMxLzIwMTYJAAAAATApHJQQNQnWCOR0WxI1CdYIQ0NJUS5OQVNEQVFHUzpBVE5YLklRX0VCSVREQV8zWVJfQU5OX0NBR1IuMjAwMC43LzMxLzIwMTguTEZSLkYuVVNELkgBAAAA3JlrAQMAAAAA</t>
  </si>
  <si>
    <t>ANaMETgICdYIJMKabzQJ1gg/Q0lRLk5BU0RBUUNNOk1URU0uSVFfTkVUX1dPUktJTkdfQ0FQLjE5OTYuNy8zMS8yMDE4LkxGUi5GLlVTRC5IAQAAAJmbqQECAAAACS0yLjY4ODQ2OQEIAAAABQAAAAExAQAAAAoxODg4NzMzMDAyAwAAAAMxNjACAAAABDEzMTEEAAAAATAHAAAACTcvMzEvMjAxOAgAAAAJMy8zMS8yMDE3CQAAAAEwyDCyNwgJ1ggZ6aFvNAnWCDdDSVEuTkFTREFRR1M6Sk5DRS5JUV9FQklUX01BUkdJTi4uNy8xNi8yMDE4LkxGUi5GLlVTRC5IAQAAAOJ5ng0CAAAACC01Mi4zMzczAQgAAAAFAAAAATEBAAAACjE4ODgxODYzNzQDAAAAAzE2MAIAAAAENDA1MwQAAAABMAcAAAAJNy8xNi8yMDE4CAAAAAkzLzMxLzIwMTgJAAAAATApHJQQNQnWCJgSWRI1CdYIMENJUS5JUVRSNTMzNjM5NTAxLklRX1RSX1RBUkdFVF9FQklUREFfRVNULi5VU0QuSAEAAABNsc4fAgAAAAAADG0QDjUJ1gjA24IONQnWCDNDSVEuTkFTREFRR1M6QkdORS5JUV9UT1RBTF9FUVVJVFkuMTk5Mi4uTEZSLkYuVVNELkgBAAAA4OTdBgIAAAAHMjIwLjA0NwEIAAAABQAAAAExAQAAAAoxODUyNzAwNTIxAwAAAAMxNjACAAAABDEyNzUEAAAAATAHAAAACTgvMjMvMjAxOAgAAAAJNi8zMC8yMDE2CQAAAAEwnAvVOAgJ1gicC9U4CAnWCDZDSVEuTkFTREFRR1M6Q0FMQS5JUV9FQklUREEuMTk5Ni43LzMxLzIwMTguTEZSLkYuVVNE</t>
  </si>
  <si>
    <t>LkgBAAAApSeBBgIAAAAHLTMzLjg0MQEIAAAABQAAAAExAQAAAAoxODg3OTgwMjc3AwAAAAMxNjACAAAABDQwNTEEAAAAATAHAAAACTcvMzEvMjAxOAgAAAAJMy8zMS8yMDE3CQAAAAEwyDCyNwgJ1gjdS6RvNAnWCC5DSVEuSVFUUjU0ODMzODAyMC5JUV9UUl9UQVJHRVRfU1RPQ0tQUkVNSVVNXzFXAQAAAGT5riACAAAAAAAMbRAONQnWCMDbgg41CdYIH0NJUS5JUTEzNDIxMTUuSVFfQ09NUEFOWV9USUNLRVIBAAAAo3oUAAMAAAAKT1RDUEs6TldCTwAMbRAONQnWCDbulQ41CdYIO0NJUS5OQVNEQVFDTTpTUk5FLklRX1BSRUZfRVFVSVRZLjIwMDAuNy8zMS8yMDE4LkxGUi5GLlVTRC5IAQAAAElDlAMDAAAAAADWjBE4CAnWCHMknW80CdYIH0NJUS5YVFJBOk1PUi5JUV9FRkZFQ1RfVEFYX1JBVEUBAAAA3xECAAMAAAACTk0BCAAAAAUAAAABMQEAAAAKMTg5ODA4MDYzMAMAAAACNTACAAAABDQzNzYEAAAAATAHAAAACTgvMjMvMjAxOAgAAAAJNi8zMC8yMDE4CQAAAAEwnAvVOAgJ1gjUX5hvNAnWCDFDSVEuSVFUUjQyNDM0MjA0Ni5JUV9UUl9UQVJHRVRfUkVWRU5VRV9FU1QuLlVTRC5IAQAAAB7yShkCAAAAAAAMbRAONQnWCMDbgg41CdYIN0NJUS5OQVNEQVFHTTpBRk1ELklRX1BSRUZfRVFVSVRZLi45LzE1LzIwMTcuTEZSLkYuVVNELkgBAAAA2/cMAAMAAAAAACkclBA1CdYIMNddEjUJ1gg7Q0lRLk5BU0RB</t>
  </si>
  <si>
    <t>UUdNOkFSUlkuSVFfVE9UQUxfUkVWLkNZMjAxNy43LzMxLzIwMTguTEZSLkYuVVNELkgBAAAA+GEAAAIAAAAGNTAuNTA3AQgAAAAFAAAAATEBAAAACjE4NzMyMDM3OTgDAAAAAzE2MAIAAAACMjgEAAAAATAHAAAACTcvMzEvMjAxOAgAAAAKMTIvMzEvMjAxNwkAAAABMJwL1TgICdYI1F+YbzQJ1ggvQ0lRLklRVFI0MzE4NDE1ODEuSVFfVFJfSU1QTElFRF9FVl9GSU5BTC4uVVNELkgBAAAALWG9GQIAAAADODI1AQYAAAAFAAAAAjU0AQAAAAYxMDIwNDUCAAAACTQzMTg0MTU4MQMAAAAJNDMxODQyMzg2BAAAAAMxNjAGAAAABUZhbHNlDG0QDjUJ1ggMPoUONQnWCDhDSVEuQVNYOklNVS5JUV9UT1RBTF9FUVVJVFkuQ1kyMDE3LjcvMTYvMjAxOC5MRlIuRi5VU0QuSAEAAACYk6kAAgAAAAkxMy45MzUwNjgBCAAAAAUAAAABMQEAAAAKMTg3NzMwNTMyMAMAAAADMTYwAgAAAAQxMjc1BAAAAAEwBwAAAAk3LzE2LzIwMTgIAAAACjEyLzMxLzIwMTcJAAAAATApHJQQNQnWCDDXXRI1CdYIIUNJUS5OQVNEQVFDTTpNVEVNLklRX0NPTVBBTllfTkFNRQEAAACZm6kBAwAAABlNb2xlY3VsYXIgVGVtcGxhdGVzLCBJbmMuAMgwsjcICdYIGemhbzQJ1ggdQ0lRLklRMjcxNTkuSVFfQ09NUEFOWV9USUNLRVIBAAAAF2oAAAMAAAANTmFzZGFxR006Q1JJUwCys0lvNAnWCN1LpG80CdYIJUNJUS5JUVRSMzcxNzE1MTE5LklRX1RS</t>
  </si>
  <si>
    <t>X0lNUExJRURfRVFfQlYBAAAAL+wnFgIAAAAAAFjPEg41CdYIwNuCDjUJ1gg7Q0lRLk5BU0RBUUNNOlpJT1AuSVFfRUJJVF9NQVJHSU4uMjAwMC43LzMxLzIwMTguTEZSLkYuVVNELkgBAAAAs1GyAAMAAAACTk0BCAAAAAUAAAABMQEAAAAKMTg4Nzk3MjM1OQMAAAADMTYwAgAAAAQ0MDUzBAAAAAEwBwAAAAk3LzMxLzIwMTgIAAAACTMvMzEvMjAxOAkAAAABMNaMETgICdYIw4afbzQJ1gg1Q0lRLk5BU0RBUUdTOktVUkEuSVFfQ0FQRVguMTk5Ni43LzMxLzIwMTguTEZSLkYuVVNELkgBAAAAuMvaEAMAAAAAANaMETgICdYIcySdbzQJ1gg7Q0lRLk5BU0RBUUdTOk5LLklRX1JFVkVOVUVfRVNULkNZMjAyMC43LzMxLzIwMTguQ09OLkYuVVNELkgBAAAADX2hDwIAAAADMC4xAQ4AAAAFAAAAAjExAQAAAAEwAgAAAAoxMDAzMTY0ODExAwAAAAYxMDAxODAEAAAAATIGAAAAATAHAAAAAzE2MAgAAAABMAkAAAABMQoAAAABMAsAAAALMTA3ODc5MDc2MjEMAAAAATcNAAAACDgvMS8yMDE4EAAAAAk3LzMxLzIwMTjWjBE4CAnWCMOGn280CdYIPUNJUS5OQVNEQVFHUzpGUFJYLklRX1JFVkVOVUVfRVNULkNZMjAyMC43LzMxLzIwMTguQ09OLkYuVVNELkgBAAAAN10zAAIAAAAINzUuNTEwMjkBDgAAAAUAAAACMTEBAAAAATACAAAACjEwMDE5NTYzNTQDAAAABjEwMDE4MAQAAAABMgYAAAABMAcAAAADMTYwCAAAAAEwCQAA</t>
  </si>
  <si>
    <t>AAExCgAAAAEwCwAAAAsxMDk0NTU3NTAwNgwAAAABNw0AAAAIOC8xLzIwMTgQAAAACTcvMzEvMjAxONaMETgICdYIGemhbzQJ1ggxQ0lRLk5BU0RBUUdTOk1SU04uSVFfQ0FQRVguLjcvMTYvMjAxOC5MRlIuRi5VU0QuSAEAAADmxRgAAgAAAAYtMC45MzkBCAAAAAUAAAABMQEAAAAKMTg4OTA5NjY1MwMAAAADMTYwAgAAAAQyMDIxBAAAAAEwBwAAAAk3LzE2LzIwMTgIAAAACTMvMzEvMjAxOAkAAAABMCkclBA1CdYIczlgEjUJ1gg4Q0lRLk5BU0RBUUdNOkZBVEUuSVFfRUJJVERBLkNZMjAxNi43LzMxLzIwMTguTEZSLkYuVVNELkgBAAAAaDFXAgIAAAAHLTMxLjA4MgEIAAAABQAAAAExAQAAAAoxODc3MDY5MDY3AwAAAAMxNjACAAAABDQwNTEEAAAAATAHAAAACTcvMzEvMjAxOAgAAAAKMTIvMzEvMjAxNgkAAAABMNaMETgICdYIw4afbzQJ1ggkQ0lRLk5BU0RBUUdNOkNSVlMuSVFfRUZGRUNUX1RBWF9SQVRFAQAAAPSwphADAAAAAADWjBE4CAnWCBnpoW80CdYIOUNJUS5OQVNEQVFHUzpFUFpNLklRX1RPVEFMX0RFQlQuMjAwMC41LzUvMjAxNy5MRlIuRi5VU0QuSAEAAAADJj0DAgAAAAQwLjczAQgAAAAFAAAAATEBAAAACjE4MzE3Mjg3NjADAAAAAzE2MAIAAAAENDE3MwQAAAABMAcAAAAINS81LzIwMTcIAAAACjEyLzMxLzIwMTYJAAAAATDWjBE4CAnWCHMknW80CdYINkNJUS5OQVNEQVFHUzpLVVJBLklR</t>
  </si>
  <si>
    <t>X0VCSVREQS4yMDAwLjcvMzEvMjAxOC5MRlIuRi5VU0QuSAEAAAC4y9oQAgAAAActNDMuMzg4AQgAAAAFAAAAATEBAAAACjE4ODczODI5MzcDAAAAAzE2MAIAAAAENDA1MQQAAAABMAcAAAAJNy8zMS8yMDE4CAAAAAkzLzMxLzIwMTgJAAAAATDWjBE4CAnWCHMknW80CdYIIENJUS5PVENQSzpOV0JPLklRX1BFUklPRERBVEVfSVMuAQAAAKN6FAAFAAAACTYvMzAvMjAxOAApHJQQNQnWCHM5YBI1CdYIKkNJUS4oSU5WQUxJRCBJREVOVElGSUVSKS5JUV9QRVJJT0REQVRFX0lTLgUAAAAAAAAACAAAABQoSW52YWxpZCBJZGVudGlmaWVyKd6nfhA1CdYImBJZEjUJ1ggpQ0lRLk5BU0RBUUdTOkFEWFMuSVFfQlVTSU5FU1NfREVTQ1JJUFRJT04BAAAAnux4AAMAAACxC0FkdmF4aXMsIEluYy4sIGEgY2xpbmljYWwgc3RhZ2UgYmlvdGVjaG5vbG9neSBjb21wYW55LCBmb2N1c2VzIG9uIHRoZSBkaXNjb3ZlcnksIGRldmVsb3BtZW50LCBhbmQgY29tbWVyY2lhbGl6YXRpb24gb2YgTGlzdGVyaWEgbW9ub2N5dG9nZW5lcyAoTG0pIHRlY2hub2xvZ3kgYmFzZWQgaW1tdW5vdGhlcmFwaWVzIGluIHRoZSBVbml0ZWQgU3RhdGVzLiBJdCBpcyBkZXZlbG9waW5nIEF4YWxpbW9nZW5lIGZpbG9saXNiYWMgYW5kIEFEWFMtRHVhbCB0aGF0IGFyZSBMbS1MTE8gaW1tdW5vdGhlcmFweSBwcm9kdWN0IGNhbmRpZGF0ZXMgZm9y</t>
  </si>
  <si>
    <t>IHRoZSB0cmVhdG1lbnQgb2YgaHVtYW4gcGFwaWxsb21hIHZpcnVzIGFzc29jaWF0ZWQgY2FuY2VycywgaW5jbHVkaW5nIGNlcnZpY2FsLCBhbmQgaGVhZCBhbmQgbmVjayBjYW5jZXJzLiBUaGUgY29tcGFueSBpcyBhbHNvIGRldmVsb3BpbmcgQXhhbGltb2dlbmUgZmlsb2xpc2JhYyBmb3IgdGhlIHRyZWF0bWVudCBvZiBhbmFsIGNhbmNlcjsgQURYUy1QU0EsIGFuIExtLUxMTyBpbW11bm90aGVyYXB5IHByb2R1Y3QgY2FuZGlkYXRlLCB3aGljaCBpcyBkZXNpZ25lZCB0byB0YXJnZXQgdGhlIHByb3N0YXRlIHNwZWNpZmljIGFudGlnZW4gYXNzb2NpYXRlZCB3aXRoIHByb3N0YXRlIGNhbmNlcjsgYW5kIEFEWFMtTkVPLCBhbiBpbmRpdmlkdWFsaXplZCBMbSB0ZWNobm9sb2d5IGFudGlnZW4gZGVsaXZlcnkgcHJvZHVjdCBjYW5kaWRhdGUgdGhhdCBpcyBkZXNpZ25lZCB0byBjcmVhdGUgaW5kaXZpZHVhbGl6ZWQgdGhlcmFwaWVzIGJ5IGFjdGl2YXRpbmcgdGhlIHBhdGllbnTigJlzIGltbXVuZSBzeXN0ZW0gdG8gcmVzcG9uZCBhZ2FpbnN0IG11bHRpcGxlIG11dGF0aW9ucyBvciBuZW9hbnRpZ2Vucy4gSW4gYWRkaXRpb24sIGl0IGlzIGRldmVsb3BpbmcgQURYUy1IT1QgZm9yIGdlbmVyYXRpbmcgcG90ZW50IGFudGktY2FuY2VyIGltbXVuaXR5OyBhbmQgQURYUy1IRVIyLCBhbiBMbSB0ZWNobm9s</t>
  </si>
  <si>
    <t>b2d5IGFudGlnZW4gZGVsaXZlcnkgcHJvZHVjdCBjYW5kaWRhdGUgdGhhdCBpcyBkZXNpZ25lZCB0byB0YXJnZXQgSEVSMiBleHByZXNzaW5nIHNvbGlkIHR1bW9ycywgaW5jbHVkaW5nIGh1bWFuIGFuZCBjYW5pbmUgb3N0ZW9zYXJjb21hLiBUaGUgY29tcGFueSBoYXMgY29sbGFib3JhdGlvbiBhbmQgbGljZW5zaW5nIGFncmVlbWVudHMgd2l0aCBCcmlzdG9sLU15ZXJzIFNxdWliYiBDb21wYW55OyBBbWdlbiBJbmMuOyBTZWxsYXMgTGlmZSBTY2llbmNlIEdyb3VwOyBNZXJjayAmIENvLiwgSW5jLjsgTWVkSW1tdW5lL0FzdHJhWmVuZWNhIFBMQzsgRXNwZWNpZmljb3MgU3RlbmRoYWwgU0EgZGUgQ1Y7IEFyYXRhbmEgVGhlcmFwZXV0aWNzIEluYy47IGFuZCBHbG9iYWwgQmlvUGhhcm1hIEluYy4gQWR2YXhpcywgSW5jLiB3YXMgZm91bmRlZCBpbiAyMDAyIGFuZCBpcyBiYXNlZCBpbiBQcmluY2V0b24sIE5ldyBKZXJzZXkuACkclBA1CdYI5HRbEjUJ1ggnQ0lRLk5BU0RBUUdNOkFSUUwuSVFfQkVUQV81WVIuNy8zMS8yMDE4AQAAAPZhAAACAAAAETAuODE2ODU2MjE4OTMzNzM5ANaMETgICdYIcySdbzQJ1gg5Q0lRLkFTWDpJTVUuSVFfRUJJVERBXzVZUl9BTk5fQ0FHUi4uNy8xNi8yMDE4LkxGUi5GLlVTRC5IAQAAAJiTqQADAAAAAk5NAQgAAAAFAAAAATEBAAAACjE4NzczMDUzMjADAAAAATkCAAAA</t>
  </si>
  <si>
    <t>BDQyMzUEAAAAATAHAAAACTcvMTYvMjAxOAgAAAAKMTIvMzEvMjAxNwkAAAABMCkclBA1CdYIMNddEjUJ1gg6Q0lRLk5BU0RBUUdTOkdUSFguSVFfVE9UQUxfREVCVC4yMDAwLjcvMzEvMjAxOC5MRlIuRi5VU0QuSAEAAABlNGkIAgAAAAEwAQgAAAAFAAAAATEBAAAACjE4ODYzNjc2NjcDAAAAAzE2MAIAAAAENDE3MwQAAAABMAcAAAAJNy8zMS8yMDE4CAAAAAkzLzMxLzIwMTgJAAAAATCcC9U4CAnWCCTCmm80CdYIPUNJUS5OQVNEQVFHUzpUU1JPLklRX0NBU0hfU1RfSU5WRVNULjIwMDAuNS81LzIwMTcuTEZSLkYuVVNELkgBAAAAaNZYBgIAAAAHNzg1Ljg3NwEIAAAABQAAAAExAQAAAAoxODI5OTg4NTQzAwAAAAMxNjACAAAABDEwMDIEAAAAATAHAAAACDUvNS8yMDE3CAAAAAoxMi8zMS8yMDE2CQAAAAEwnAvVOAgJ1ggkwppvNAnWCDVDSVEuTkFTREFRQ006U1JORS5JUV9DQVBFWC4xOTkyLjcvMzEvMjAxOC5MRlIuRi5VU0QuSAEAAABJQ5QDAgAAAAUtMy45NgEIAAAABQAAAAExAQAAAAoxODQyMjUxMTIzAwAAAAMxNjACAAAABDIwMjEEAAAAATAHAAAACTcvMzEvMjAxOAgAAAAJMy8zMS8yMDE2CQAAAAEw1owROAgJ1ghzJJ1vNAnWCCVDSVEuSVFUUjQxMzk1MzY2MS5JUV9UUl9NQUpfTUlOX1NUQUtFAQAAAH1urBgDAAAACE1ham9yaXR5ALKzSW80CdYIgf2VbzQJ1ggkQ0lRLkVOWFRQQTpJUEguSVFf</t>
  </si>
  <si>
    <t>QkVUQV81WVIuNy8xNi8yMDE4AQAAAJmABgACAAAADzEuNjQzNzMwNTU5ODYyMgApHJQQNQnWCHM5YBI1CdYIJ0NJUS5OQVNEQVFDTTpDS1BULklRX0JFVEFfMllSLjcvMTYvMjAxOAEAAAC4URYRAgAAABEwLjg0MzQ5NDU3OTM1NDk1MwApHJQQNQnWCOR0WxI1CdYIIkNJUS5JUVRSMjQ1ODMxMDA3LklRX1RSX1RBUkdFVE5BTUUBAAAAXxWnDgMAAAAbQXN0ZXggUGhhcm1hY2V1dGljYWxzLCBJbmMuALKzSW80CdYIgf2VbzQJ1ghDQ0lRLk5BU0RBUUdNOkFSUlkuSVFfRUJJVERBXzJZUl9BTk5fQ0FHUi4yMDAwLjcvMzEvMjAxOC5MRlIuRi5VU0QuSAEAAAD4YQAAAwAAAAJOTQEIAAAABQAAAAExAQAAAAoxODg4NDcwNjc2AwAAAAMxNjACAAAABDQyMDkEAAAAATAHAAAACTcvMzEvMjAxOAgAAAAJMy8zMS8yMDE4CQAAAAEwnAvVOAgJ1ggkwppvNAnWCDxDSVEuTkFTREFRR1M6VFNSTy5JUV9FQklUREFfRVNULkNZMjAyMC43LzMxLzIwMTguQ09OLkYuVVNELkgBAAAAaNZYBgIAAAAELTMwMAEOAAAABQAAAAIxMQEAAAABMAIAAAAKMTAwMTU4MDM1MAMAAAAGMTAwMTg3BAAAAAEyBgAAAAEwBwAAAAMxNjAIAAAAATAJAAAAATEKAAAAATALAAAACzEwODY5NTI1NDU0DAAAAAE3DQAAAAg4LzEvMjAxOBAAAAAJNy8zMS8yMDE4nAvVOAgJ1ggkwppvNAnWCCNDSVEuSVFUUjQwODI5MTM5NS5JUV9UUl9UT1RBTF9T</t>
  </si>
  <si>
    <t>VE9DSwEAAABDCFYYAgAAAAk2MC41Mzk2OTIBBgAAAAUAAAACNTQBAAAABjEwMTA1NwIAAAAJNDA4MjkxMzk1AwAAAAk0MDgzMDQwMTMEAAAAAzE2MAYAAAAFRmFsc2VYzxIONQnWCMDbgg41CdYILkNJUS5OQVNEQVFHUzpCR05FLklRX01BUktFVENBUC45LzE1LzIwMTcuVVNELkgBAAAA4OTdBgIAAAALMzQyMS45MDQwNzQBBgAAAAUAAAABMQEAAAAKMTg1MjY5OTYzOAMAAAADMTYwAgAAAAYxMDAwNTQEAAAAATAHAAAACTkvMTUvMjAxN0adGRE1CdYIaGBnEjUJ1gg1Q0lRLk5BU0RBUUdNOklNTVUuSVFfREFfQ0YuMjAwMC43LzMxLzIwMTguTEZSLkYuVVNELkgBAAAAIEMEAAIAAAAIMS4yMzA1NDEBCAAAAAUAAAABMQEAAAAKMTg4ODUyMzM4NAMAAAADMTYwAgAAAAQyMTYwBAAAAAEwBwAAAAk3LzMxLzIwMTgIAAAACTMvMzEvMjAxOAkAAAABMJwL1TgICdYI1F+YbzQJ1gg9Q0lRLk5BU0RBUUdNOklNTVUuSVFfUkVWRU5VRV9FU1QuQ1kyMDE4LjcvMTYvMjAxOC5DT04uRi5VU0QuSAEAAAAgQwQAAgAAAAcxMS4zNDg5AQ4AAAAFAAAAAjExAQAAAAEwAgAAAAkyODQ0MzQwMjQDAAAABjEwMDE4MAQAAAABMgYAAAABMAcAAAADMTYwCAAAAAEwCQAAAAExCgAAAAEwCwAAAAsxMDk1ODY3NjAyMwwAAAABNw0AAAAJNy8xNy8yMDE4EAAAAAk3LzE2LzIwMTjE/xsRNQnWCGhgZxI1CdYIPENJUS5OQVNEQVFHUzpN</t>
  </si>
  <si>
    <t>UlNOLklRX0dST1NTX01BUkdJTi4yMDAwLjcvMzEvMjAxOC5MRlIuRi5VU0QuSAEAAADmxRgAAgAAAAktMTk5LjM0NDMBCAAAAAUAAAABMQEAAAAKMTg4OTA5NjY1MwMAAAADMTYwAgAAAAQ0MDc0BAAAAAEwBwAAAAk3LzMxLzIwMTgIAAAACTMvMzEvMjAxOAkAAAABMNaMETgICdYIw4afbzQJ1gg1Q0lRLlhUUkE6TU9SLklRX1BSRUZfRVFVSVRZLjIwMDAuNS81LzIwMTcuTEZSLkYuVVNELkgBAAAA3xECAAMAAAAAAJwL1TgICdYI1F+YbzQJ1ggiQ0lRLklRVFIzMDc4NjM5ODQuSVFfVFJfUENUX1NPVUdIVAEAAACwoVkSAgAAAAMxMDAAWM8SDjUJ1gjA24IONQnWCBVDSVEuMC5JUV9UUl9CVVlFUk5BTUUFAAAAAAAAAAgAAAAYKEludmFsaWQgVHJhbnNhY3Rpb24gSWQpSVNHbzQJ1ggH4vCBNAnWCDtDSVEuTkFTREFRR006QVJRTC5JUV9FQklUX01BUkdJTi4yMDAwLjcvMzEvMjAxOC5MRlIuRi5VU0QuSAEAAAD2YQAAAwAAAAJOTQEIAAAABQAAAAExAQAAAAoxODg4Nzg4NzcwAwAAAAMxNjACAAAABDQwNTMEAAAAATAHAAAACTcvMzEvMjAxOAgAAAAJMy8zMS8yMDE4CQAAAAEw1owROAgJ1ghzJJ1vNAnWCDhDSVEuTkFTREFRR1M6TUdOWC5JUV9FQklUREEuQ1kyMDE3LjcvMTYvMjAxOC5MRlIuRi5VU0QuSAEAAABPKwkAAgAAAActMTQuOTE1AQgAAAAFAAAAATEBAAAACjE4NzYxMzUxNzIDAAAAAzE2MAIA</t>
  </si>
  <si>
    <t>AAAENDA1MQQAAAABMAcAAAAJNy8xNi8yMDE4CAAAAAoxMi8zMS8yMDE3CQAAAAEwxP8bETUJ1gjCm2ISNQnWCDpDSVEuTkFTREFRR1M6QVROWC5JUV9FQVJOSU5HX0NPLjE5OTYuNy8zMS8yMDE4LkxGUi5GLlVTRC5IAQAAANyZawECAAAACC0xMTguMjgxAQgAAAAFAAAAATEBAAAACjE4ODg3MDI5NzYDAAAAAzE2MAIAAAABNwQAAAABMAcAAAAJNy8zMS8yMDE4CAAAAAkzLzMxLzIwMTcJAAAAATDWjBE4CAnWCCTCmm80CdYIK0NJUS5JUVRSNTQ3NDIzNjgwLklRX1RSX1RPVEFMX0dST1NTX1RWLi5VU0QBAAAAwAWhIAIAAAALMTk2OC41ODk0MTUBBgAAAAUAAAACNTQBAAAABjEwMjA4OAIAAAAJNTQ3NDIzNjgwAwAAAAk1NDc0MzMwNjUEAAAAAzE2MAYAAAAFRmFsc2UMbRAONQnWCMDbgg41CdYIL0NJUS4oSU5WQUxJRCBJREVOVElGSUVSKS5JUV9URVYuNy8zMS8yMDE4LlVTRC5IBQAAAAAAAAAIAAAAFChJbnZhbGlkIElkZW50aWZpZXIpyDCyNwgJ1gjtNrBvNAnWCDxDSVEuTkFTREFRR1M6RlBSWC5JUV9UT1RBTF9FUVVJVFkuMTk5Ni43LzMxLzIwMTguTEZSLkYuVVNELkgBAAAAN10zAAIAAAAHMzU3LjA0OQEIAAAABQAAAAExAQAAAAoxODg3NDAyMjI0AwAAAAMxNjACAAAABDEyNzUEAAAAATAHAAAACTcvMzEvMjAxOAgAAAAJMy8zMS8yMDE3CQAAAAEwyDCyNwgJ1ggZ6aFvNAnWCC9DSVEuSVFUUjU1</t>
  </si>
  <si>
    <t>MDI1OTM5Ny5JUV9UUl9UQVJHRVRfVE9UQUxfUkVWLi5VU0QuSAEAAADFSswgAgAAAAcxMTEuODcxAQYAAAAFAAAAAjM3AQAAAAoxODc2NTY1NTI4AgAAAAIyOAMAAAADMTYwBAAAAAEwBwAAAAgxLzEvMTkwMAxtEA41CdYId3mADjUJ1gg1Q0lRLk5BU0RBUUdNOkFSUUwuSVFfQ0FQRVguMjAwMC43LzMxLzIwMTguTEZSLkYuVVNELkgBAAAA9mEAAAMAAAAAANaMETgICdYIcySdbzQJ1ggvQ0lRLklRVFI1NDc0MjM2ODAuSVFfVFJfSU1QTElFRF9FVl9GSU5BTC4uVVNELkgBAAAAwAWhIAIAAAALMTgyMy43ODA0MTUBBgAAAAUAAAACNTQBAAAABjEwMjA0NQIAAAAJNTQ3NDIzNjgwAwAAAAk1NDc0MzMwNjUEAAAAAzE2MAYAAAAFRmFsc2UMbRAONQnWCMDbgg41CdYIK0NJUS5JUVRSNTMzMzg1NzQ0LklRX1RSX0lNUExJRURfRVZfRUJJVF9GV0QBAAAAENLKHwIAAAAAAAxtEA41CdYIwNuCDjUJ1gg8Q0lRLk5BU0RBUUdNOkFSUlkuSVFfRUFSTklOR19DTy5DWTIwMTcuNy8zMS8yMDE4LkxGUi5GLlVTRC5IAQAAAPhhAAACAAAACC0xMzYuOTU2AQgAAAAFAAAAATEBAAAACjE4NzMyMDM3OTgDAAAAAzE2MAIAAAABNwQAAAABMAcAAAAJNy8zMS8yMDE4CAAAAAoxMi8zMS8yMDE3CQAAAAEwnAvVOAgJ1ggkwppvNAnWCDFDSVEuSVFUUjUzNTcxOTk5OC5JUV9UUl9UQVJHRVRfUkVWRU5VRV9FU1QuLlVTRC5IAQAA</t>
  </si>
  <si>
    <t>AD5w7h8CAAAABzg3LjgxMjQAsrNJbzQJ1giB/ZVvNAnWCDJDSVEuTkFTREFRR1M6QkdORS5JUV9FQklUREEuLjcvMTYvMjAxOC5MRlIuRi5VU0QuSAEAAADg5N0GAgAAAAgtMTUxLjU4NgEIAAAABQAAAAExAQAAAAoxODg3Njg4NTg4AwAAAAMxNjACAAAABDQwNTEEAAAAATAHAAAACTcvMTYvMjAxOAgAAAAJMy8zMS8yMDE4CQAAAAEwxP8bETUJ1ghoYGcSNQnWCDhDSVEuTkFTREFRR1M6TVJTTi5JUV9HUk9TU19NQVJHSU4uLjcvMTYvMjAxOC5MRlIuRi5VU0QuSAEAAADmxRgAAgAAAAktMTk5LjM0NDMBCAAAAAUAAAABMQEAAAAKMTg4OTA5NjY1MwMAAAADMTYwAgAAAAQ0MDc0BAAAAAEwBwAAAAk3LzE2LzIwMTgIAAAACTMvMzEvMjAxOAkAAAABMMT/GxE1CdYIczlgEjUJ1gg/Q0lRLk5BU0RBUUdTOkFEWFMuSVFfRUJJVERBXzNZUl9BTk5fQ0FHUi4uNy8xNi8yMDE4LkxGUi5GLlVTRC5IAQAAAJ7seAADAAAAAk5NAQgAAAAFAAAAATEBAAAACjE4OTI3ODg1NDgDAAAAAzE2MAIAAAAENDIyMgQAAAABMAcAAAAJNy8xNi8yMDE4CAAAAAk0LzMwLzIwMTgJAAAAATApHJQQNQnWCOR0WxI1CdYIPENJUS5OQVNEQVFDTTpaSU9QLklRX0VBUk5JTkdfQ08uQ1kyMDE3LjcvMzEvMjAxOC5MRlIuRi5VU0QuSAEAAACzUbIAAgAAAActNTQuMzIzAQgAAAAFAAAAATEBAAAACjE4NzcyMDQ0NjYDAAAAAzE2MAIAAAAB</t>
  </si>
  <si>
    <t>NwQAAAABMAcAAAAJNy8zMS8yMDE4CAAAAAoxMi8zMS8yMDE3CQAAAAEw1owROAgJ1gjDhp9vNAnWCDBDSVEuTkFTREFRR1M6RlBSWC5JUV9MQVNUU0FMRVBSSUNFLjcvMzEvMjAxOC5VU0QBAAAAN10zAAIAAAAEMTQuOQDWjBE4CAnWCBnpoW80CdYILkNJUS5JUVRSNDEzOTUzNjYxLklRX1RSX1RBUkdFVF9TVE9DS1BSRU1JVU1fMU0BAAAAfW6sGAIAAAAAALKzSW80CdYIgf2VbzQJ1gg1Q0lRLlhUUkE6TU9SLklRX0VBUk5JTkdfQ08uMjAwMC43LzMxLzIwMTguTEZSLkYuVVNELkgBAAAA3xECAAIAAAAKLTkxLjUwMjc5NAEIAAAABQAAAAExAQAAAAoxODg2MTUxNjQ4AwAAAAMxNjACAAAAATcEAAAAATAHAAAACTcvMzEvMjAxOAgAAAAJMy8zMS8yMDE4CQAAAAEwnAvVOAgJ1gjUX5hvNAnWCDZDSVEuTkFTREFRR1M6U0dFTi5JUV9FQVJOSU5HX0NPLi43LzE2LzIwMTguTEZSLkYuVVNELkgBAAAAYYUAAAIAAAAILTE3Ny4yNTUBCAAAAAUAAAABMQEAAAAKMTg4NDg5Mjg1MgMAAAADMTYwAgAAAAE3BAAAAAEwBwAAAAk3LzE2LzIwMTgIAAAACTMvMzEvMjAxOAkAAAABMMT/GxE1CdYIaGBnEjUJ1ggjQ0lRLk5BU0RBUUdTOkNUTVguSVFfUEVSSU9EREFURV9JUy4BAAAA3DibAwUAAAAJNi8zMC8yMDE4AMT/GxE1CdYIwptiEjUJ1ghDQ0lRLk5BU0RBUUdTOlRTUk8uSVFfTUlOT1JJVFlfSU5URVJFU1RfVE9U</t>
  </si>
  <si>
    <t>QUwuLjcvMTYvMjAxOC5MRlIuRi5VU0QuSAEAAABo1lgGAwAAAAAAxP8bETUJ1ggS/mQSNQnWCC1DSVEuTkFTREFRR1M6U0dFTi5JUV9UT1RBTF9ERUJULi4uTEZSLkYuVVNELkgBAAAAYYUAAAIAAAABMAEIAAAABQAAAAExAQAAAAoxODk3MjMzNTE4AwAAAAMxNjACAAAABDQxNzMEAAAAATAHAAAACTgvMjMvMjAxOAgAAAAJNi8zMC8yMDE4CQAAAAEwRp0ZETUJ1ghGnRkRNQnWCDJDSVEuTkFTREFRR1M6TVJTTi5JUV9FQklUREEuLjcvMTYvMjAxOC5MRlIuRi5VU0QuSAEAAADmxRgAAgAAAActNDMuMjkxAQgAAAAFAAAAATEBAAAACjE4ODkwOTY2NTMDAAAAAzE2MAIAAAAENDA1MQQAAAABMAcAAAAJNy8xNi8yMDE4CAAAAAkzLzMxLzIwMTgJAAAAATDE/xsRNQnWCHM5YBI1CdYIPkNJUS5OQVNEQVFDTTpTUk5FLklRX1RPVEFMX0VRVUlUWS5DWTIwMTcuNy8zMS8yMDE4LkxGUi5GLlVTRC5IAQAAAElDlAMCAAAABjIwNi42MQEIAAAABQAAAAExAQAAAAoxODc4Njc3NDU2AwAAAAMxNjACAAAABDEyNzUEAAAAATAHAAAACTcvMzEvMjAxOAgAAAAKMTIvMzEvMjAxNwkAAAABMNaMETgICdYIcySdbzQJ1gg/Q0lRLk5BU0RBUUdTOkpOQ0UuSVFfRUJJVERBXzVZUl9BTk5fQ0FHUi4uNy8xNi8yMDE4LkxGUi5GLlVTRC5IAQAAAOJ5ng0DAAAAAADep34QNQnWCJgSWRI1CdYIKUNJUS5JUVRSNTQ4MzM4MDIwLklR</t>
  </si>
  <si>
    <t>X0JVU0lORVNTX0RFU0NSSVBUSU9OAQAAANz4riADAAAAjANBcyBvZiBKYW51YXJ5IDMsIDIwMTgsIEdsb2JhbCBDb21tZXJjaWFsIFJpZ2h0cyBmb3IgVmFybGl0aW5pYiBvZiBBcnJheSBCaW9QaGFybWEgd2FzIGFjcXVpcmVkIGJ5IEFTTEFOIFBoYXJtYWNldXRpY2FscyBMaW1pdGVkLiBHbG9iYWwgQ29tbWVyY2lhbCBSaWdodHMgZm9yIFZhcmxpdGluaWIgb2YgQXJyYXkgQmlvUGhhcm1hIGNvbXByaXNlcyByaWdodHMgdG8gZGV2ZWxvcCwgbWFudWZhY3R1cmUgYW5kIGNvbW1lcmNpYWxpc2UgdmFybGl0aW5pYiB3aGljaCBpcyBhIG1vbGVjdWxlIHBhbi1IRVIgaW5oaWJpdG9yIHRoYXQgdGFyZ2V0cyB0aGUgaHVtYW4gZXBpZGVybWFsIGdyb3d0aCBmYWN0b3IgcmVjZXB0b3JzLiBUaGUgYXNzZXQgaXMgbG9jYXRlZCBpbiB0aGUgVW5pdGVkIFN0YXRlcy4ADG0QDjUJ1gjA24IONQnWCD1DSVEuTkFTREFRR1M6RVBaTS5JUV9SRVZFTlVFX0VTVC5DWTIwMjEuNy8zMS8yMDE4LkNPTi5GLlVTRC5IAQAAAAMmPQMCAAAABzI2Ny4zMDEBDgAAAAUAAAACMTEBAAAAATACAAAACjEwMDE4NjQ2MDADAAAABjEwMDE4MAQAAAABMgYAAAABMAcAAAADMTYwCAAAAAEwCQAAAAExCgAAAAEwCwAAAAsxMDk4NzE0NzY5MAwAAAABNw0AAAAIOC8xLzIwMTgQAAAACTcvMzEvMjAxONaMETgICdYIcySdbzQJ1ghGQ0lR</t>
  </si>
  <si>
    <t>Lk5BU0RBUUNNOk1URU0uSVFfVE9UQUxfUkVWXzVZUl9BTk5fQ0FHUi4yMDAwLjcvMzEvMjAxOC5MRlIuRi5VU0QuSAEAAACZm6kBAwAAAAAAyDCyNwgJ1gjdS6RvNAnWCDxDSVEuKElOVkFMSUQgSURFTlRJRklFUikuSVFfVE9UQUxfUkVWLi43LzE2LzIwMTguTEZSLkYuVVNELkgFAAAAAAAAAAgAAAAUKEludmFsaWQgSWRlbnRpZmllcinep34QNQnWCJgSWRI1CdYIPENJUS4oSU5WQUxJRCBJREVOVElGSUVSKS5JUV9OSV9NQVJHSU4uLjcvMTYvMjAxOC5MRlIuRi5VU0QuSAUAAAAAAAAACAAAABQoSW52YWxpZCBJZGVudGlmaWVyKd6nfhA1CdYImBJZEjUJ1gg9Q0lRLk5BU0RBUUdTOk5LLklRX05FVF9XT1JLSU5HX0NBUC4xOTkyLjcvMzEvMjAxOC5MRlIuRi5VU0QuSAEAAAANfaEPAgAAAAYtNC4wODIBCAAAAAUAAAABMQEAAAAKMTg0MDc0MTg1NwMAAAADMTYwAgAAAAQxMzExBAAAAAEwBwAAAAk3LzMxLzIwMTgIAAAACTMvMzEvMjAxNgkAAAABMNaMETgICdYIw4afbzQJ1ggnQ0lRLk5BU0RBUUNNOlpJT1AuSVFfQkVUQV8xWVIuNy8zMS8yMDE4AQAAALNRsgACAAAADzEuMTM3Njk3NjIxNjE5MwDWjBE4CAnWCMOGn280CdYIJ0NJUS5OQVNEQVFHTTpDUlZTLklRX0JFVEFfNVlSLjcvMzEvMjAxOAEAAAD0sKYQAgAAABEtMi4yODIwMDYyOTU3MzM0OADWjBE4CAnWCBnpoW80CdYIPENJUS5OQVNEQVFH</t>
  </si>
  <si>
    <t>UzpDVE1YLklRX0VCSVREQV9FU1QuQ1kyMDE5LjcvMTYvMjAxOC5DT04uRi5VU0QuSAEAAADcOJsDAgAAAAktNzcuNjk1MDkBDgAAAAUAAAACMTEBAAAAATACAAAACjEwMDMyMTU5NzMDAAAABjEwMDE4NwQAAAABMgYAAAABMAcAAAADMTYwCAAAAAEwCQAAAAExCgAAAAEwCwAAAAsxMDg3NDU0MDA0NQwAAAABNw0AAAAJNy8xNy8yMDE4EAAAAAk3LzE2LzIwMTjE/xsRNQnWCMKbYhI1CdYINENJUS5YVFJBOk1PUi5JUV9UT1RBTF9SRVYuMTk5Mi43LzMxLzIwMTguTEZSLkYuVVNELkgBAAAA3xECAAIAAAAJNTQuNTU3MTAyAQgAAAAFAAAAATEBAAAACjE4Mzk5NDA2OTADAAAAAzE2MAIAAAACMjgEAAAAATAHAAAACTcvMzEvMjAxOAgAAAAJMy8zMS8yMDE2CQAAAAEwnAvVOAgJ1gjUX5hvNAnWCDpDSVEuTkFTREFRR1M6QVROWC5JUV9QUkVGX0VRVUlUWS4yMDAwLjUvNS8yMDE3LkxGUi5GLlVTRC5IAQAAANyZawEDAAAAAADWjBE4CAnWCCTCmm80CdYIK0NJUS5JUVRSMzE0ODI5MjM2LklRX1RSX0lNUExJRURfRVZfRUJJVF9GV0QBAAAAtOnDEgIAAAAAAFjPEg41CdYIwNuCDjUJ1ghCQ0lRLk5BU0RBUUdNOklNTVUuSVFfVE9UQUxfUkVWXzNZUl9BTk5fQ0FHUi4uNy8xNi8yMDE4LkxGUi5GLlVTRC5IAQAAACBDBAACAAAACC0xOC40MzQxAQgAAAAFAAAAATEBAAAACjE4ODg1MjMzODQDAAAAAzE2MAIAAAAE</t>
  </si>
  <si>
    <t>NDIyMAQAAAABMAcAAAAJNy8xNi8yMDE4CAAAAAkzLzMxLzIwMTgJAAAAATDE/xsRNQnWCBL+ZBI1CdYIIkNJUS5JUVRSNTUwMjU5Mzk3LklRX1RSX1BDVF9TT1VHSFQBAAAAxUrMIAIAAAAJOTAuMjkyNzY3AAxtEA41CdYId3mADjUJ1ggdQ0lRLk5BU0RBUUdTOkFUTlguSVFfRVhDSEFOR0UBAAAA3JlrAQMAAAAITmFzZGFxR1MA1owROAgJ1ggkwppvNAnWCCxDSVEuTkFTREFRR1M6QU5BQi5JUV9MQVNUU0FMRVBSSUNFLjkvMTUvMjAxNwEAAAAhTLIBAgAAAAUzMi4wNwBGnRkRNQnWCMKbYhI1CdYINUNJUS5OQVNEQVFHUzpQQllJLklRX05JX01BUkdJTi4uNy8xNi8yMDE4LkxGUi5GLlVTRC5IAQAAAAJqrAcCAAAACS0yNTguNDIwOAEIAAAABQAAAAExAQAAAAoxODg4NjY3NzQzAwAAAAMxNjACAAAABDQwOTQEAAAAATAHAAAACTcvMTYvMjAxOAgAAAAJMy8zMS8yMDE4CQAAAAEwxP8bETUJ1ggS/mQSNQnWCB1DSVEuTkFTREFRQ006WklPUC5JUV9FWENIQU5HRQEAAACzUbIAAwAAAAhOYXNkYXFDTQDWjBE4CAnWCMOGn280CdYIJENJUS5OQVNEQVFHUzpBRFhTLklRX0VGRkVDVF9UQVhfUkFURQEAAACe7HgAAwAAAAJOTQEIAAAABQAAAAExAQAAAAoxODkyNzg4NTQ4AwAAAAMxNjACAAAABDQzNzYEAAAAATAHAAAACTgvMjMvMjAxOAgAAAAJNC8zMC8yMDE4CQAAAAEwKRyUEDUJ1gjkdFsSNQnWCC9DSVEu</t>
  </si>
  <si>
    <t>SVFUUjQyNDM0MjA0Ni5JUV9UUl9JTVBMSUVEX0VWX0ZJTkFMLi5VU0QuSAEAAAAe8koZAgAAAAg1Ljg0NDI5MwEGAAAABQAAAAI1NAEAAAAGMTAyMDQ1AgAAAAk0MjQzNDIwNDYDAAAACTQyNDM0MjY1OAQAAAADMTYwBgAAAAVGYWxzZQxtEA41CdYIwNuCDjUJ1gg4Q0lRLk5BU0RBUUdTOkFUTlguSVFfRUJJVERBLkNZMjAxNi43LzMxLzIwMTguTEZSLkYuVVNELkgBAAAA3JlrAQIAAAAHLTgzLjI3NAEIAAAABQAAAAExAQAAAAoxODc5OTA3NjE5AwAAAAMxNjACAAAABDQwNTEEAAAAATAHAAAACTcvMzEvMjAxOAgAAAAKMTIvMzEvMjAxNgkAAAABMNaMETgICdYIJMKabzQJ1gg1Q0lRLk5BU0RBUUdTOk1SU04uSVFfREFfQ0YuMjAwMC43LzMxLzIwMTguTEZSLkYuVVNELkgBAAAA5sUYAAIAAAAFMC45NzcBCAAAAAUAAAABMQEAAAAKMTg4OTA5NjY1MwMAAAADMTYwAgAAAAQyMTYwBAAAAAEwBwAAAAk3LzMxLzIwMTgIAAAACTMvMzEvMjAxOAkAAAABMNaMETgICdYIw4afbzQJ1ggoQ0lRLkFTWDpJTVUuSVFfTUFSS0VUQ0FQLjkvMTUvMjAxNy5VU0QuSAEAAACYk6kAAgAAAAgzMC4zMzEyOQEGAAAABQAAAAExAQAAAAoxODU2ODUxMjE1AwAAAAMxNjACAAAABjEwMDA1NAQAAAABMAcAAAAJOS8xNS8yMDE3KRyUEDUJ1ggw110SNQnWCCJDSVEuSVFUUjQxMTg3MTA4Mi5JUV9UUl9UQVJHRVROQU1FAQAAAGqn</t>
  </si>
  <si>
    <t>jBgDAAAAHkFjZXR5bG9uIFBoYXJtYWNldXRpY2FscywgSW5jLgCys0lvNAnWCDWbk280CdYIIENJUS5JUVRSMzE0ODI5MjM2LklRX1RSX0VBUk5PVVRTAQAAALTpwxICAAAAAzExOABYzxIONQnWCMDbgg41CdYIJUNJUS5JUVRSMzE0ODI5MjM2LklRX1RSX01BSl9NSU5fU1RBS0UBAAAAtOnDEgMAAAAITWFqb3JpdHkAWM8SDjUJ1gjA24IONQnWCClDSVEuSVFUUjMxNDgyOTIzNi5JUV9CVVNJTkVTU19ERVNDUklQVElPTgEAAABE5sMSAwAAAIoDQWRtdW5lIFRoZXJhcGV1dGljcyBMTEMsIGEgY2xpbmljYWwtc3RhZ2UgYmlvdGVjaCBjb21wYW55LCBkZXZlbG9wcyBhbmQgZGVsaXZlcnMgY3l0b2tpbmUgdGhlcmFweSBkcnVncyBmb3IgdGhlIHRyZWF0bWVudCBvZiB2YXJpb3VzIGNhbmNlcnMuIEl0IGZvY3VzZXMgb24gaGV0ZXJvZGltZXJpYyBJTC0xNSwgYW4gSUwtMTUgYWdvbmlzdCBmb3IgdmFyaW91cyBhcHBsaWNhdGlvbnMgaW4gY2FuY2VyIGltbXVub3RoZXJhcHkuIFRoZSBjb21wYW55IGlzIGJhc2VkIGluIERhbnZlcnMsIE1hc3NhY2h1c2V0dHMuIEFzIG9mIE9jdG9iZXIgMTYsIDIwMTUsIEFkbXVuZSBUaGVyYXBldXRpY3MgTExDIG9wZXJhdGVzIGFzIGEgc3Vic2lkaWFyeSBvZiBOb3ZhcnRpcyBJbnRlcm5hdGlvbmFsIEFHLgAMbRAONQnWCMDbgg41CdYIJUNJUS5JUVRSMjczNTA3MTg1</t>
  </si>
  <si>
    <t>LklRX1RSX01BSl9NSU5fU1RBS0UBAAAAcWNNEAMAAAAITWFqb3JpdHkAsrNJbzQJ1giB/ZVvNAnWCDdDSVEuTkFTREFRR1M6TksuSVFfVE9UQUxfUkVWLjE5OTIuNy8zMS8yMDE4LkxGUi5GLlVTRC5IAQAAAA19oQ8CAAAABTAuMTIyAQgAAAAFAAAAATEBAAAACjE4NDA3NDE4NTcDAAAAAzE2MAIAAAACMjgEAAAAATAHAAAACTcvMzEvMjAxOAgAAAAJMy8zMS8yMDE2CQAAAAEw1owROAgJ1gjDhp9vNAnWCDtDSVEuTkFTREFRR1M6Sk5DRS5JUV9UT1RBTF9SRVYuQ1kyMDE2LjcvMTYvMjAxOC5MRlIuRi5VU0QuSAEAAADieZ4NAgAAAAYzNy4xOTcBCAAAAAUAAAABMQEAAAAKMTg3NzcxNjQ5MgMAAAADMTYwAgAAAAIyOAQAAAABMAcAAAAJNy8xNi8yMDE4CAAAAAoxMi8zMS8yMDE2CQAAAAEwKRyUEDUJ1gjkdFsSNQnWCBZDSVEuLklRX1RSX0NMT1NFRF9EQVRFBQAAAAAAAAAIAAAAFChJbnZhbGlkIElkZW50aWZpZXIpDG0QDjUJ1gh3eYAONQnWCDdDSVEuTkFTREFRR1M6UEJZSS5JUV9QUkVGX0VRVUlUWS4uNy8xNi8yMDE4LkxGUi5GLlVTRC5IAQAAAAJqrAcDAAAAAADE/xsRNQnWCBL+ZBI1CdYIK0NJUS5JUVRSNDA4MjkxMzk1LklRX1RSX0lNUExJRURfRVZfRUJJVF9GV0QBAAAAQwhWGAIAAAAAAFjPEg41CdYIwNuCDjUJ1gg8Q0lRLk5BU0RBUUNNOkNLUFQuSVFfRUJJVERBX0VTVC5DWTIwMjAuNy8x</t>
  </si>
  <si>
    <t>Ni8yMDE4LkNPTi5GLlVTRC5IAQAAALhRFhECAAAABS00OS41AQ4AAAAFAAAAAjExAQAAAAEwAgAAAAoxMDAzNjY1NjA3AwAAAAYxMDAxODcEAAAAATIGAAAAATAHAAAAAzE2MAgAAAABMAkAAAABMQoAAAABMAsAAAALMTA4Nzg3MDQzNDYMAAAAATcNAAAACTcvMTcvMjAxOBAAAAAJNy8xNi8yMDE4KRyUEDUJ1gjkdFsSNQnWCCpDSVEuSVFUUjU1MzU0ODAyNS5JUV9UUl9UQVJHRVRfRUJJVC4uVVNELkgBAAAA+Xj+IAIAAAAJLTkuNDA0Mjk0AQcAAAAFAAAAAjM3AQAAAAoxODc3MDA1MjU3AgAAAAUyMTY3NQMAAAADMTYwBAAAAAEwBwAAAAgxLzEvMTkwMAYAAAAJMi8yMS8yMDE4srNJbzQJ1giB/ZVvNAnWCDRDSVEuT1RDUEs6TldCTy5JUV9QUkVGX0VRVUlUWS4uOS8xNS8yMDE3LkxGUi5GLlVTRC5IAQAAAKN6FAADAAAAAAApHJQQNQnWCDDXXRI1CdYIOkNJUS5OQVNEQVFHTTpDUklTLklRX0VBUk5JTkdfQ08uMTk5Ni43LzMxLzIwMTguTEZSLkYuVVNELkgBAAAAF2oAAAIAAAAHLTY2LjcxMQEIAAAABQAAAAExAQAAAAoxODg2MjQ3Mzk1AwAAAAMxNjACAAAAATcEAAAAATAHAAAACTcvMzEvMjAxOAgAAAAJMy8zMS8yMDE3CQAAAAEwyDCyNwgJ1gjdS6RvNAnWCChDSVEuLklRX0NBUEVYLjIwMDAuNy8zMS8yMDE4LkxGUi5GLlVTRC5IBQAAAAEAAAAIAAAAFChJbnZhbGlkIElkZW50aWZpZXIp9YQyRzQJ</t>
  </si>
  <si>
    <t>1gj1hDJHNAnWCBlDSVEuMC5JUV9UUl9JTVBMSUVEX0VRX0JWBQAAAAAAAAAIAAAAGChJbnZhbGlkIFRyYW5zYWN0aW9uIElkKUlTR280CdYIB+LwgTQJ1gg7Q0lRLk5BU0RBUUdTOlRTUk8uSVFfVE9UQUxfUkVWLkNZMjAxNy43LzE2LzIwMTguTEZSLkYuVVNELkgBAAAAaNZYBgIAAAAHMjIzLjMyNgEIAAAABQAAAAExAQAAAAoxODc3MjI2MzAxAwAAAAMxNjACAAAAAjI4BAAAAAEwBwAAAAk3LzE2LzIwMTgIAAAACjEyLzMxLzIwMTcJAAAAATDE/xsRNQnWCBL+ZBI1CdYIPkNJUS5OQVNEQVFHUzpDQUxBLklRX1RPVEFMX0VRVUlUWS5DWTIwMTYuNy8zMS8yMDE4LkxGUi5GLlVTRC5IAQAAAKUngQYCAAAABjQ5LjkwNgEIAAAABQAAAAExAQAAAAoxODc3OTU1NjAxAwAAAAMxNjACAAAABDEyNzUEAAAAATAHAAAACTcvMzEvMjAxOAgAAAAKMTIvMzEvMjAxNgkAAAABMMgwsjcICdYI3UukbzQJ1gg3Q0lRLk5BU0RBUUdNOkNSVlMuSVFfUEVSSU9EREFURV9JUy4yMDAwLjcvMzEvMjAxOC5MRlIuRgEAAAD0sKYQBQAAAAkzLzMxLzIwMTgA1owROAgJ1ggZ6aFvNAnWCCVDSVEuSVFUUjQwOTk1MTg4Ni5JUV9UUl9NQUpfTUlOX1NUQUtFAQAAAI5ebxgDAAAACE1ham9yaXR5AAxtEA41CdYIwNuCDjUJ1gg8Q0lRLk5BU0RBUUNNOk1URU0uSVFfRUFSTklOR19DTy5DWTIwMTYuNy8zMS8yMDE4LkxGUi5GLlVTRC5I</t>
  </si>
  <si>
    <t>AQAAAJmbqQECAAAABy0xMS4wMjgBCAAAAAUAAAABMQEAAAAKMTg4MTExODc0NAMAAAADMTYwAgAAAAE3BAAAAAEwBwAAAAk3LzMxLzIwMTgIAAAACjEyLzMxLzIwMTYJAAAAATDIMLI3CAnWCBnpoW80CdYIJUNJUS5JUVRSMjczNTA3MTg1LklRX1RSX0lNUExJRURfRVFfQlYBAAAAcWNNEAIAAAAINi42MjUzNDEBBgAAAAUAAAACNTQBAAAABjEwMjA5NwIAAAAJMjczNTA3MTg1AwAAAAkyNzM1MDc3ODcEAAAAAzE2MAYAAAAFRmFsc2Wys0lvNAnWCIH9lW80CdYIPkNJUS5OQVNEQVFHTTpJTU1VLklRX1RPVEFMX0VRVUlUWS5DWTIwMTYuNy8xNi8yMDE4LkxGUi5GLlVTRC5IAQAAACBDBAACAAAACi03NS4xODIyMzYBCAAAAAUAAAABMQEAAAAKMTg3MzQ5MzQ5MQMAAAADMTYwAgAAAAQxMjc1BAAAAAEwBwAAAAk3LzE2LzIwMTgIAAAACjEyLzMxLzIwMTYJAAAAATDE/xsRNQnWCBL+ZBI1CdYIOENJUS5OQVNEQVFHUzpDQUxBLklRX0dST1NTX01BUkdJTi4uNy8xNi8yMDE4LkxGUi5GLlVTRC5IAQAAAKUngQYCAAAABy05Mi44MDIBCAAAAAUAAAABMQEAAAAKMTg4Nzk4MDMwNQMAAAADMTYwAgAAAAQ0MDc0BAAAAAEwBwAAAAk3LzE2LzIwMTgIAAAACTMvMzEvMjAxOAkAAAABMCkclBA1CdYI5HRbEjUJ1gg+Q0lRLk5BU0RBUUNNOkNLUFQuSVFfVE9UQUxfRVFVSVRZLkNZMjAxNi43LzE2LzIwMTguTEZSLkYu</t>
  </si>
  <si>
    <t>VVNELkgBAAAAuFEWEQIAAAAGMzIuMzA1AQgAAAAFAAAAATEBAAAACjE4Nzg3ODQ1NzUDAAAAAzE2MAIAAAAEMTI3NQQAAAABMAcAAAAJNy8xNi8yMDE4CAAAAAoxMi8zMS8yMDE2CQAAAAEwKRyUEDUJ1gjkdFsSNQnWCD1DSVEuTkFTREFRR1M6QkdORS5JUV9SRVZFTlVFX0VTVC5DWTIwMjAuNy8xNi8yMDE4LkNPTi5GLlVTRC5IAQAAAODk3QYCAAAACTIzMy42NjY2NwEOAAAABQAAAAIxMQEAAAABMAIAAAAKMTAwMzMyNjI3NwMAAAAGMTAwMTgwBAAAAAEyBgAAAAEwBwAAAAMxNjAIAAAAATAJAAAAATEKAAAAATALAAAACzExMDMyMzY1OTIyDAAAAAE3DQAAAAk3LzE3LzIwMTgQAAAACTcvMTYvMjAxOMT/GxE1CdYIaGBnEjUJ1ghKQ0lRLihJTlZBTElEIElERU5USUZJRVIpLklRX0VCSVREQV8zWVJfQU5OX0NBR1IuMjAwMC43LzMxLzIwMTguTEZSLkYuVVNELkgFAAAAAAAAAAgAAAAUKEludmFsaWQgSWRlbnRpZmllcinIMLI3CAnWCO02sG80CdYIO0NJUS5OQVNEQVFHUzpNUlNOLklRX0VCSVRfTUFSR0lOLjIwMDAuNy8zMS8yMDE4LkxGUi5GLlVTRC5IAQAAAObFGAACAAAACS0yNzEuMjY2NgEIAAAABQAAAAExAQAAAAoxODg5MDk2NjUzAwAAAAMxNjACAAAABDQwNTMEAAAAATAHAAAACTcvMzEvMjAxOAgAAAAJMy8zMS8yMDE4CQAAAAEw1owROAgJ1gjDhp9vNAnWCB9DSVEuLklRX1RSX1RPVEFMX0dS</t>
  </si>
  <si>
    <t>T1NTX1RWLlVTRC5IBQAAAAAAAAAIAAAAFChJbnZhbGlkIElkZW50aWZpZXIpnAvVOAgJ1gh3eYAONQnWCCdDSVEuTkFTREFRR1M6QURYUy5JUV9CRVRBXzFZUi43LzE2LzIwMTgBAAAAnux4AAIAAAARMC44OTM2NDM2OTUyMTE1MjIAKRyUEDUJ1gjkdFsSNQnWCDlDSVEuTkFTREFRR1M6TVJTTi5JUV9OSV9NQVJHSU4uMjAwMC43LzMxLzIwMTguTEZSLkYuVVNELkgBAAAA5sUYAAIAAAAJLTI2My43OTY4AQgAAAAFAAAAATEBAAAACjE4ODkwOTY2NTMDAAAAAzE2MAIAAAAENDA5NAQAAAABMAcAAAAJNy8zMS8yMDE4CAAAAAkzLzMxLzIwMTgJAAAAATDWjBE4CAnWCMOGn280CdYIIUNJUS5JUTE0MTExMjQyMS5JUV9DT01QQU5ZX1RJQ0tFUgEAAABlNGkIAwAAAA1OYXNkYXFHUzpHVEhYALKzSW80CdYIJMKabzQJ1gguQ0lRLklRVFIzMDI4NjY2MjcuSVFfVFJfVEFSR0VUX1NUT0NLUFJFTUlVTV8xVwEAAADDYA0SAgAAAAAAWM8SDjUJ1ggMPoUONQnWCC5DSVEuTkFTREFRR1M6TVJTTi5JUV9NQVJLRVRDQVAuOS8xNS8yMDE3LlVTRC5IAQAAAObFGAACAAAACTM2Ny45NDQ1OQEGAAAABQAAAAExAQAAAAoxODUzMzUyMTI0AwAAAAMxNjACAAAABjEwMDA1NAQAAAABMAcAAAAJOS8xNS8yMDE3KRyUEDUJ1ghzOWASNQnWCC9DSVEuTkFTREFRR1M6T1ZJRC5JUV9DQVNIX0VRVUlWLi41LzQvMjAxNy4uLlVTRAEA</t>
  </si>
  <si>
    <t>AAAg0DcRAgAAAAk1MS45Mzk2NjEBCAAAAAUAAAABMQEAAAAKMTgzNTk1MzcxNgMAAAADMTYwAgAAAAQxMDk2BAAAAAEwBwAAAAg1LzQvMjAxNwgAAAAKMTIvMzEvMjAxNgkAAAABMLKzSW80CdYIr6jWgTQJ1gg7Q0lRLk5BU0RBUUdNOkFGTUQuSVFfTkVUX1dPUktJTkdfQ0FQLi43LzE2LzIwMTguTEZSLkYuVVNELkgBAAAA2/cMAAIAAAAJLTMuNTQxOTQ5AQgAAAAFAAAAATEBAAAACjE4ODk4NjYwNDkDAAAAAzE2MAIAAAAEMTMxMQQAAAABMAcAAAAJNy8xNi8yMDE4CAAAAAkzLzMxLzIwMTgJAAAAATApHJQQNQnWCDDXXRI1CdYIRkNJUS5OQVNEQVFHUzpUU1JPLklRX01JTk9SSVRZX0lOVEVSRVNUX1RPVEFMLjIwMDAuNS81LzIwMTcuTEZSLkYuVVNELkgBAAAAaNZYBgMAAAAAAJwL1TgICdYIJMKabzQJ1ggnQ0lRLk5BU0RBUUdNOkxQVFguSVFfQkVUQV8yWVIuNy8xNi8yMDE4AQAAAAw2CQcCAAAAETAuMjYxMDY5OTA5OTE3OTM4ACkclBA1CdYIMNddEjUJ1gg8Q0lRLk5BU0RBUUdNOk5MTksuSVFfRUFSTklOR19DTy5DWTIwMTcuNy8xNi8yMDE4LkxGUi5GLlVTRC5IAQAAAJV7jAACAAAABy03MS45NTEBCAAAAAUAAAABMQEAAAAKMTg3NzI5ODgxMwMAAAADMTYwAgAAAAE3BAAAAAEwBwAAAAk3LzE2LzIwMTgIAAAACjEyLzMxLzIwMTcJAAAAATApHJQQNQnWCOR0WxI1CdYIJ0NJUS5OQVNEQVFHUzpB</t>
  </si>
  <si>
    <t>RFhTLklRX0JFVEFfMllSLjcvMTYvMjAxOAEAAACe7HgAAgAAABAxLjcyMzkwOTA4OTk0MjI2ACkclBA1CdYI5HRbEjUJ1ghDQ0lRLk5BU0RBUUdTOk1SU04uSVFfRUJJVERBXzVZUl9BTk5fQ0FHUi4yMDAwLjcvMzEvMjAxOC5MRlIuRi5VU0QuSAEAAADmxRgAAwAAAAAA1owROAgJ1gjDhp9vNAnWCDtDSVEuTkFTREFRR1M6TVJTTi5JUV9UT1RBTF9SRVYuQ1kyMDE2LjcvMTYvMjAxOC5MRlIuRi5VU0QuSAEAAADmxRgAAgAAAAYyNS4xNzEBCAAAAAUAAAABMQEAAAAKMTg4MDU0NzM4MwMAAAADMTYwAgAAAAIyOAQAAAABMAcAAAAJNy8xNi8yMDE4CAAAAAoxMi8zMS8yMDE2CQAAAAEwxP8bETUJ1ghzOWASNQnWCDdDSVEuTkFTREFRR1M6QU5BQi5JUV9QUkVGX0VRVUlUWS4uNy8xNi8yMDE4LkxGUi5GLlVTRC5IAQAAACFMsgEDAAAAAADE/xsRNQnWCMKbYhI1CdYIJUNJUS5JUVRSNTM1NzE5OTk4LklRX1BSSU1BUllfSU5EVVNUUlkBAAAAP8ykBwMAAAANQmlvdGVjaG5vbG9neQCys0lvNAnWCIH9lW80CdYIOUNJUS5OQVNEQVFHTTpBUlFMLklRX1RPVEFMX1JFVi4xOTkyLjcvMzEvMjAxOC5MRlIuRi5VU0QuSAEAAAD2YQAAAgAAAAU5LjY4MQEIAAAABQAAAAExAQAAAAoxODQxOTkyNTY5AwAAAAMxNjACAAAAAjI4BAAAAAEwBwAAAAk3LzMxLzIwMTgIAAAACTMvMzEvMjAxNgkAAAABMNaMETgICdYIcySd</t>
  </si>
  <si>
    <t>bzQJ1ggpQ0lRLklRVFIzNzE3MTUxMTkuSVFfQlVTSU5FU1NfREVTQ1JJUFRJT04BAAAAv/prDAMAAACwAkNvcm1vcmFudCBQaGFybWFjZXV0aWNhbHMgQUIgZGV2ZWxvcHMgdGhlcmFwZXV0aWNzIGluY2x1ZGluZyBIdU1heC1JTDggYW50aWJvZHkgcHJvZ3JhbSBmb3IgdGhlIHRyZWF0bWVudCBvZiBjYW5jZXIgYW5kIHJhcmUgZGlzZWFzZXMuIFRoZSBjb21wYW55IHdhcyBmb3VuZGVkIGluIDIwMTAgYW5kIGlzIGJhc2VkIGluIFNvbG5hLCBTd2VkZW4uIEFzIG9mIEp1bHkgNSwgMjAxNiwgQ29ybW9yYW50IFBoYXJtYWNldXRpY2FscyBBQiBvcGVyYXRlcyBhcyBhIHN1YnNpZGlhcnkgb2YgQnJpc3RvbC1NeWVycyBTcXVpYmIgQ29tcGFueS4ADG0QDjUJ1gjA24IONQnWCC5DSVEuSVFUUjQxMTg3MTA4Mi5JUV9UUl9UQVJHRVRfU1RPQ0tQUkVNSVVNXzFNAQAAAGqnjBgCAAAAAACys0lvNAnWCDWbk280CdYIK0NJUS5JUVRSNTQyODA2Njg2LklRX1RSX0lNUExJRURfRVZfRUJJVF9GV0QBAAAAnpJaIAIAAAAAALKzSW80CdYIgf2VbzQJ1ggiQ0lRLklRVFI1NDI4MDY2ODYuSVFfVFJfVEFSR0VUTkFNRQEAAACeklogAwAAABxHbHljb3RvcGUgQmlvdGVjaG5vbG9neSBHbWJIALKzSW80CdYIgf2VbzQJ1gg9Q0lRLihJTlZBTElEIElERU5USUZJRVIpLklRX0VCSVREQS4xOTk2LjcvMzEvMjAxOC5MRlIu</t>
  </si>
  <si>
    <t>Ri5VU0QuSAUAAAAAAAAACAAAABQoSW52YWxpZCBJZGVudGlmaWVyKcgwsjcICdYI7TawbzQJ1gghQ0lRLk5BU0RBUUdTOk1HTlguSVFfQ09NUEFOWV9OQU1FAQAAAE8rCQADAAAAEU1hY3JvR2VuaWNzLCBJbmMuAEadGRE1CdYIwptiEjUJ1ggrQ0lRLklRVFIzMjE4NjUyOTcuSVFfVFJfSU1QTElFRF9FVl9FQklUX0ZXRAEAAABRRi8TAgAAAAAAWM8SDjUJ1ggMPoUONQnWCC5DSVEuTkFTREFRR1M6VFNSTy5JUV9NQVJLRVRDQVAuOS8xNS8yMDE3LlVTRC5IAQAAAGjWWAYCAAAACzYzNDcuODQyOTE0AQYAAAAFAAAAATEBAAAACjE4NTI2NjA1ODMDAAAAAzE2MAIAAAAGMTAwMDU0BAAAAAEwBwAAAAk5LzE1LzIwMTdGnRkRNQnWCBL+ZBI1CdYIQ0NJUS5OQVNEQVFHUzpDQUxBLklRX0VCSVREQV81WVJfQU5OX0NBR1IuMjAwMC43LzMxLzIwMTguTEZSLkYuVVNELkgBAAAApSeBBgMAAAAAAMgwsjcICdYI3UukbzQJ1gg8Q0lRLk5BU0RBUUdNOk5MTksuSVFfRUFSTklOR19DTy5DWTIwMTYuNy8xNi8yMDE4LkxGUi5GLlVTRC5IAQAAAJV7jAACAAAABy04NS4xNTUBCAAAAAUAAAABMQEAAAAKMTg3NzI5ODcwNQMAAAADMTYwAgAAAAE3BAAAAAEwBwAAAAk3LzE2LzIwMTgIAAAACjEyLzMxLzIwMTYJAAAAATApHJQQNQnWCOR0WxI1CdYINkNJUS5OQVNEQVFHTTpBUlFMLklRX0VCSVREQS4xOTk2LjcvMzEvMjAx</t>
  </si>
  <si>
    <t>OC5MRlIuRi5VU0QuSAEAAAD2YQAAAgAAAActMjUuMDUxAQgAAAAFAAAAATEBAAAACjE4ODg3ODg3MzcDAAAAAzE2MAIAAAAENDA1MQQAAAABMAcAAAAJNy8zMS8yMDE4CAAAAAkzLzMxLzIwMTcJAAAAATDWjBE4CAnWCHMknW80CdYIIkNJUS5JUVRSNTYzOTE5MDQ5LklRX1RSX1RBUkdFVE5BTUUBAAAAybicIQMAAAAWQVJNTyBCaW9TY2llbmNlcywgSW5jLgAMbRAONQnWCMDbgg41CdYIJ0NJUS5OQVNEQVFHUzpNR05YLklRX0JFVEFfMVlSLjcvMTYvMjAxOAEAAABPKwkAAgAAABEwLjUwMjgxOTU0MjM5Njk3NADE/xsRNQnWCMKbYhI1CdYIPENJUS5OQVNEQVFHTTpBUlFMLklRX0VCSVREQV9FU1QuQ1kyMDIwLjcvMzEvMjAxOC5DT04uRi5VU0QuSAEAAAD2YQAAAwAAAAAA1owROAgJ1ghzJJ1vNAnWCClDSVEuSVFUUjQxMzk1MzY2MS5JUV9UUl9JTVBMSUVEX0VRX05JX0xUTQEAAAB9bqwYAwAAAAJOTQCys0lvNAnWCIH9lW80CdYIP0NJUS4oSU5WQUxJRCBJREVOVElGSUVSKS5JUV9FQklUREEuQ1kyMDE3LjcvMzEvMjAxOC5MRlIuRi5VU0QuSAUAAAAAAAAACAAAABQoSW52YWxpZCBJZGVudGlmaWVyKcgwsjcICdYI7TawbzQJ1ggiQ0lRLklRVFIzMDc4NjM5ODQuSVFfVFJfVE9UQUxfQ0FTSAEAAACwoVkSAgAAAAI5NQEGAAAABQAAAAI1NAEAAAAGMTAxMDU2AgAAAAkzMDc4NjM5ODQDAAAACTMwNzg2</t>
  </si>
  <si>
    <t>NDI4MAQAAAADMTYwBgAAAAVGYWxzZVjPEg41CdYIwNuCDjUJ1gg3Q0lRLk5BU0RBUUdTOkNBTEEuSVFfRUJJVF9NQVJHSU4uLjcvMTYvMjAxOC5MRlIuRi5VU0QuSAEAAAClJ4EGAgAAAAktMTQwLjAzNDEBCAAAAAUAAAABMQEAAAAKMTg4Nzk4MDMwNQMAAAADMTYwAgAAAAQ0MDUzBAAAAAEwBwAAAAk3LzE2LzIwMTgIAAAACTMvMzEvMjAxOAkAAAABMCkclBA1CdYI5HRbEjUJ1ggrQ0lRLklRVFI0MDc3NjA2OTIuSVFfVFJfVE9UQUxfR1JPU1NfVFYuLlVTRAEAAAA0700YAgAAAAsxNDAxLjU1MjQyMgEGAAAABQAAAAI1NAEAAAAGMTAyMDg4AgAAAAk0MDc3NjA2OTIDAAAACTQwNzc4NTMyMAQAAAADMTYwBgAAAAVGYWxzZQxtEA41CdYIDD6FDjUJ1gg0Q0lRLk5BU0RBUUdTOk5LLklRX0VCSVREQS4yMDAwLjcvMzEvMjAxOC5MRlIuRi5VU0QuSAEAAAANfaEPAgAAAActOTUuOTEzAQgAAAAFAAAAATEBAAAACjE4ODcxMTg3OTEDAAAAAzE2MAIAAAAENDA1MQQAAAABMAcAAAAJNy8zMS8yMDE4CAAAAAkzLzMxLzIwMTgJAAAAATDWjBE4CAnWCMOGn280CdYINUNJUS5OQVNEQVFHTTpJTU1VLklRX0NBUEVYLjE5OTYuNy8zMS8yMDE4LkxGUi5GLlVTRC5IAQAAACBDBAACAAAACS0xLjYyNDgyMgEIAAAABQAAAAExAQAAAAoxODg4NTIzMzkyAwAAAAMxNjACAAAABDIwMjEEAAAAATAHAAAACTcvMzEvMjAxOAgA</t>
  </si>
  <si>
    <t>AAAJMy8zMS8yMDE3CQAAAAEwnAvVOAgJ1gjUX5hvNAnWCCFDSVEuSVFUUjU1MTE2NjI5Mi5JUV9UUl9CVVlFUk5BTUUBAAAAVCHaIAMAAAAWU2VhdHRsZSBHZW5ldGljcywgSW5jLgAMbRAONQnWCMDbgg41CdYIRkNJUS5OQVNEQVFHUzpFUFpNLklRX1RPVEFMX1JFVl8yWVJfQU5OX0NBR1IuMjAwMC43LzMxLzIwMTguTEZSLkYuVVNELkgBAAAAAyY9AwIAAAAIMTE3LjEzNDkBCAAAAAUAAAABMQEAAAAKMTg4NzI0NjA3NwMAAAADMTYwAgAAAAQ0MjA3BAAAAAEwBwAAAAk3LzMxLzIwMTgIAAAACTMvMzEvMjAxOAkAAAABMNaMETgICdYIcySdbzQJ1gggQ0lRLklRVFI1MzMzODU3NDQuSVFfVFJfRUFSTk9VVFMBAAAAENLKHwIAAAAEMjAyMAEGAAAABQAAAAI1NAEAAAAGMTAxNDAzAgAAAAk1MzMzODU3NDQDAAAACTUzMzM4NTgyNAQAAAADMTYwBgAAAAVGYWxzZQxtEA41CdYIwNuCDjUJ1gguQ0lRLihJTlZBTElEIElERU5USUZJRVIpLklRX0JFVEFfNVlSLjcvMzEvMjAxOAUAAAAAAAAACAAAABQoSW52YWxpZCBJZGVudGlmaWVyKcgwsjcICdYI7TawbzQJ1ggyQ0lRLihJTlZBTElEIElERU5USUZJRVIpLklRX0xBU1RTQUxFUFJJQ0UuNS81LzIwMTcFAAAAAAAAAAgAAAAUKEludmFsaWQgSWRlbnRpZmllcinIMLI3CAnWCO02sG80CdYIPUNJUS5OQVNEQVFHTTpBUlJZLklRX1JFVkVOVUVfRVNULkNZMjAx</t>
  </si>
  <si>
    <t>OC43LzMxLzIwMTguQ09OLkYuVVNELkgBAAAA+GEAAAIAAAAIMTg4LjYzMzgBDgAAAAUAAAACMTEBAAAAATACAAAACTI1ODM4MDg5MwMAAAAGMTAwMTgwBAAAAAEyBgAAAAEwBwAAAAMxNjAIAAAAATAJAAAAATEKAAAAATALAAAACzEwOTk0NjE3OTIxDAAAAAE3DQAAAAg4LzEvMjAxOBAAAAAJNy8zMS8yMDE4nAvVOAgJ1gjUX5hvNAnWCDFDSVEuSVFUUjQwOTk1MTg4Ni5JUV9UUl9UQVJHRVRfUkVWRU5VRV9FU1QuLlVTRC5IAQAAAI5ebxgCAAAAAAAMbRAONQnWCMDbgg41CdYIKUNJUS5OQVNEQVFDTTpNVEVNLklRX0JVU0lORVNTX0RFU0NSSVBUSU9OAQAAAJmbqQEDAAAAmQVNb2xlY3VsYXIgVGVtcGxhdGVzLCBJbmMuLCBhIGNsaW5pY2FsIHN0YWdlIGJpb3BoYXJtYWNldXRpY2FsIGNvbXBhbnksIGZvY3VzZXMgb24gdGhlIGRpc2NvdmVyeSBhbmQgZGV2ZWxvcG1lbnQgb2YgYmlvbG9naWMgdGhlcmFwZXV0aWNzIGZvciB0aGUgdHJlYXRtZW50IG9mIGNhbmNlciBhbmQgb3RoZXIgZGlzZWFzZXMuIFRoZSBjb21wYW55IHByaW1hcmlseSBkZXZlbG9wcyBhIHBpcGVsaW5lIG9mIGVuZ2luZWVyZWQgdG94aW4gYm9kaWVzLiBJdHMgbGVhZCBkcnVnIGNhbmRpZGF0ZSBpcyBNVC0zNzI0IHRoYXQgaXMgaW4gYSBQaGFzZSBJIGNsaW5pY2FsIHRyaWFsIGZvciB0aGUgdHJlYXRtZW50IG9mIHJlbGFwc2Vk</t>
  </si>
  <si>
    <t>L3JlZnJhY3Rvcnkgbm9uLUhvZGdraW7igJlzIGx5bXBob21hIGFuZCBCLWNlbGwgbHltcGhvbWEuIFRoZSBjb21wYW55IGFsc28gZGV2ZWxvcHMgTVQtNDAxOSwgYSBwcmVjbGluaWNhbCBkcnVnIGNhbmRpZGF0ZSB0YXJnZXRpbmcgQ0QzODsgYW5kIG90aGVyIGNhbmRpZGF0ZXMgdGhhdCBhcmUgaW4gcHJlLWNsaW5pY2FsIGRldmVsb3BtZW50IGZvciB0aGUgdHJlYXRtZW50IG9mIHNvbGlkIGFuZCBoZW1hdG9sb2dpY2FsIGNhbmNlcnMuIE1vbGVjdWxhciBUZW1wbGF0ZXMsIEluYy4gaXMgaGVhZHF1YXJ0ZXJlZCBpbiBBdXN0aW4sIFRleGFzLgDIMLI3CAnWCBnpoW80CdYIK0NJUS5JUVRSMjQ1ODMxMDA3LklRX1RSX1RPVEFMX0dST1NTX1RWLi5VU0QBAAAAXxWnDgIAAAAKODgyLjA5NjYxNwCys0lvNAnWCIH9lW80CdYIOUNJUS4uSVFfVE9UQUxfUkVWXzNZUl9BTk5fQ0FHUi4yMDAwLjcvMzEvMjAxOC5MRlIuRi5VU0QuSAUAAAABAAAACAAAABQoSW52YWxpZCBJZGVudGlmaWVyKfWEMkc0CdYI9YQyRzQJ1ggjQ0lRLk5BU0RBUUdTOkpOQ0UuSVFfUEVSSU9EREFURV9JUy4BAAAA4nmeDQUAAAAJNi8zMC8yMDE4ACkclBA1CdYI5HRbEjUJ1ggnQ0lRLk5BU0RBUUNNOkNLUFQuSVFfQkVUQV81WVIuNy8xNi8yMDE4AQAAALhRFhEDAAAAAAApHJQQNQnWCOR0WxI1CdYIQ0NJUS4oSU5WQUxJRCBJREVO</t>
  </si>
  <si>
    <t>VElGSUVSKS5JUV9FQVJOSU5HX0NPLkNZMjAxNi43LzMxLzIwMTguTEZSLkYuVVNELkgFAAAAAAAAAAgAAAAUKEludmFsaWQgSWRlbnRpZmllcinIMLI3CAnWCO02sG80CdYIPUNJUS5OQVNEQVFHUzpBTkFCLklRX1JFVkVOVUVfRVNULkNZMjAyMS43LzE2LzIwMTguQ09OLkYuVVNELkgBAAAAIUyyAQIAAAAGMjIuMTc0AQ4AAAAFAAAAAjExAQAAAAEwAgAAAAoxMDAzNjI5NDQ0AwAAAAYxMDAxODAEAAAAATIGAAAAATAHAAAAAzE2MAgAAAABMAkAAAABMQoAAAABMAsAAAALMTA4ODc1MTMzNDEMAAAAATcNAAAACTcvMTcvMjAxOBAAAAAJNy8xNi8yMDE4xP8bETUJ1gjCm2ISNQnWCENDSVEuTkFTREFRR1M6TVJTTi5JUV9FQklUREFfM1lSX0FOTl9DQUdSLjIwMDAuNy8zMS8yMDE4LkxGUi5GLlVTRC5IAQAAAObFGAADAAAAAADWjBE4CAnWCMOGn280CdYIIkNJUS4uSVFfVFJfVEFSR0VUX1RPVEFMX1JFVi4uVVNELkgFAAAAAAAAAAgAAAAUKEludmFsaWQgSWRlbnRpZmllcimcC9U4CAnWCHd5gA41CdYIOkNJUS5OQVNEQVFDTTpNVEVNLklRX0VBUk5JTkdfQ08uMTk5Ni43LzMxLzIwMTguTEZSLkYuVVNELkgBAAAAmZupAQIAAAAJLTkuODg3Mjg4AQgAAAAFAAAAATEBAAAACjE4ODg3MzMwMDIDAAAAAzE2MAIAAAABNwQAAAABMAcAAAAJNy8zMS8yMDE4CAAAAAkzLzMxLzIwMTcJAAAAATDIMLI3CAnWCBnp</t>
  </si>
  <si>
    <t>oW80CdYIJUNJUS5JUVRSNTYzOTE5MDQ5LklRX1RSX01BSl9NSU5fU1RBS0UBAAAAybicIQMAAAAITWFqb3JpdHkADG0QDjUJ1gjA24IONQnWCC5DSVEuKElOVkFMSUQgSURFTlRJRklFUikuSVFfQkVUQV8xWVIuNy8xNi8yMDE4BQAAAAAAAAAIAAAAFChJbnZhbGlkIElkZW50aWZpZXIpIAqBEDUJ1giYElkSNQnWCD1DSVEuTkFTREFRR1M6TksuSVFfTkVUX1dPUktJTkdfQ0FQLjIwMDAuNy8zMS8yMDE4LkxGUi5GLlVTRC5IAQAAAA19oQ8CAAAABy0xMy44MjIBCAAAAAUAAAABMQEAAAAKMTg4NzExODc5MQMAAAADMTYwAgAAAAQxMzExBAAAAAEwBwAAAAk3LzMxLzIwMTgIAAAACTMvMzEvMjAxOAkAAAABMNaMETgICdYIw4afbzQJ1ggxQ0lRLk5BU0RBUUdTOkNUTVguSVFfREFfQ0YuLjcvMTYvMjAxOC5MRlIuRi5VU0QuSAEAAADcOJsDAgAAAAUxLjU2MgEIAAAABQAAAAExAQAAAAoxODg3Njc1MzE2AwAAAAMxNjACAAAABDIxNjAEAAAAATAHAAAACTcvMTYvMjAxOAgAAAAJMy8zMS8yMDE4CQAAAAEwxP8bETUJ1gjCm2ISNQnWCD9DSVEuTkFTREFRR1M6Q1RNWC5JUV9FQklUREFfM1lSX0FOTl9DQUdSLi43LzE2LzIwMTguTEZSLkYuVVNELkgBAAAA3DibAwMAAAACTk0BCAAAAAUAAAABMQEAAAAKMTg4NzY3NTMxNgMAAAADMTYwAgAAAAQ0MjIyBAAAAAEwBwAAAAk3LzE2LzIwMTgIAAAACTMvMzEvMjAx</t>
  </si>
  <si>
    <t>OAkAAAABMMT/GxE1CdYIwptiEjUJ1ggpQ0lRLklRVFI0MDc3NjA2OTIuSVFfQlVTSU5FU1NfREVTQ1JJUFRJT04BAAAAt+4qAAMAAAC6CUdhbnltZWQgUGhhcm1hY2V1dGljYWxzIEFHIG9wZXJhdGVzIGFzIGEgYmlvcGhhcm1hY2V1dGljYWwgY29tcGFueSB0aGF0IGZvY3VzZXMgb24gdGhlIGRldmVsb3BtZW50IG9mIHRoZXJhcGV1dGljIGRydWdzIGZvciB0aGUgdHJlYXRtZW50IG9mIHNvbGlkIGNhbmNlcnMuIEl0IGZvY3VzZXMgb24gZGV2ZWxvcGluZyBpZGVhbCBtb25vY2xvbmFsIGFudGlib2RpZXMgKElNQUJzKSB0aGF0IGluY2x1ZGUgY2FuY2VyLXNlbGVjdGl2ZSB0YXJnZXRzIGZvciBtYXhpbWFsIGhpZ2gtcHJlY2lzaW9uIGFudGljYW5jZXIgcG90ZW5jeSwgYXMgd2VsbCBhcyBtaXRpZ2F0ZXMgdGhlIHRocmVhdCBvZiB0b3hpY2l0eS4gVGhlIGNvbXBhbnnigJlzIHBpcGVsaW5lIGluY2x1ZGVzIElNQUIzNjIsIGFuIGFudGlib2R5IGRydWcgY2FuZGlkYXRlIGZvciB0aGUgdHJlYXRtZW50IG9mIGdhc3Ryb2Vzb3BoYWdlYWwgY2FuY2VyOyBJTUFCMDI3LCBhIG1vbm9jbG9uYWwgYW50aWJvZHkgc2VsZWN0aXZlbHkgYmluZGluZyB0byB0aGUgY2VsbCBzdXJmYWNlIHByb3RlaW4gY2xhdWRpbi02IHRoYXQgaXMgcHJlc2VudCBpbiBhIHJhbmdlIG9mIGNhbmNlcnMsIGluY2x1ZGluZyB0</t>
  </si>
  <si>
    <t>ZXN0aWN1bGFyLCBvdmFyaWFuLCB1dGVyaW5lLCBhbmQgbHVuZyBjYW5jZXJzOyBzZWNvbmQgZ2VuZXJhdGlvbiBvZiBhbnRpYm9kaWVzIHNlbGVjdGl2ZSBhZ2FpbnN0IENMRE4xOC4yIGFuZCBDTERONiBiYXNlZCBvbiBhbnRpYm9keSBkcnVnIGNvbmp1Z2F0ZXMgYW5kIGJpc3BlY2lmaWMgYW50aWJvZHkgdGVjaG5vbG9naWVzOyBHVDQ2OCwgYSBjZWxsIHN1cmZhY2UgcHJvdGVpbjsgYW5kIEdUMzUyIGFuZCBHVDM1MyBjZWxsLXN1cmZhY2UgbW9sZWN1bGVzLiBJdCBhbHNvIGRldmVsb3BzIENsYXVkZXRlY3QxOC4yLCBhIENFIG1hcmtlZCBpbiB2aXRybyBkaWFnbm9zdGljIHRlc3QgdG8gYXNzZXNzIHRoZSBleHByZXNzaW9uIGxldmVscyBvZiBjbGF1ZGluLTE4LjIgaW4gZ2FzdHJvZXNvcGhhZ2VhbCwgcGFuY3JlYXRpYywgbHVuZywgYW5kIG90aGVyIHNvbGlkIHR1bW9ycy4gVGhlIGNvbXBhbnkgd2FzIGZvdW5kZWQgaW4gMjAwMSBhbmQgaXMgYmFzZWQgaW4gTWFpbnosIEdlcm1hbnkuIEFzIG9mIERlY2VtYmVyIDIwLCAyMDE2LCBHYW55bWVkIFBoYXJtYWNldXRpY2FscyBBRyBvcGVyYXRlcyBhcyBhIHN1YnNpZGlhcnkgb2YgQXN0ZWxsYXMgUGhhcm1hIEluYy4ADG0QDjUJ1ggMPoUONQnWCCtDSVEuQVNYOklNVS5JUV9EQV9DRi4uNy8xNi8yMDE4LkxGUi5GLlVTRC5IAQAAAJiTqQACAAAA</t>
  </si>
  <si>
    <t>CDAuMDAxNzA1AQgAAAAFAAAAATEBAAAACjE4NzczMDUzMjADAAAAAzE2MAIAAAAEMjE2MAQAAAABMAcAAAAJNy8xNi8yMDE4CAAAAAoxMi8zMS8yMDE3CQAAAAEwKRyUEDUJ1ggw110SNQnWCDVDSVEuTkFTREFRR1M6U0dFTi5JUV9UT1RBTF9SRVYuLjcvMTYvMjAxOC5MRlIuRi5VU0QuSAEAAABhhQAAAgAAAAc1MTMuNzA5AQgAAAAFAAAAATEBAAAACjE4ODQ4OTI4NTIDAAAAAzE2MAIAAAACMjgEAAAAATAHAAAACTcvMTYvMjAxOAgAAAAJMy8zMS8yMDE4CQAAAAEwxP8bETUJ1ghoYGcSNQnWCBtDSVEuLklRX0dQLi43LzE2LzIwMTguLi5VU0QFAAAAAQAAAAgAAAAUKEludmFsaWQgSWRlbnRpZmllcilGnRkRNQnWCEadGRE1CdYIL0NJUS5JUVRSNTMzMzg1NzQ0LklRX1RSX0lNUExJRURfRVZfRklOQUwuLlVTRC5IAQAAABDSyh8CAAAABDIzMjABBgAAAAUAAAACNTQBAAAABjEwMjA0NQIAAAAJNTMzMzg1NzQ0AwAAAAk1MzMzODU4MjQEAAAAAzE2MAYAAAAFRmFsc2UMbRAONQnWCHd5gA41CdYILUNJUS5OQVNEQVFHUzpTR0VOLklRX0VBUk5JTkdfQ08uLi5MRlIuRi5VU0QuSAEAAABhhQAAAgAAAActNDQuNjIyAQgAAAAFAAAAATEBAAAACjE4OTcyMzM1MTgDAAAAAzE2MAIAAAABNwQAAAABMAcAAAAJOC8yMy8yMDE4CAAAAAk2LzMwLzIwMTgJAAAAATBGnRkRNQnWCEadGRE1CdYIPENJUS4oSU5WQUxJ</t>
  </si>
  <si>
    <t>RCBJREVOVElGSUVSKS5JUV9DQVBFWC4xOTkyLjcvMzEvMjAxOC5MRlIuRi5VU0QuSAUAAAAAAAAACAAAABQoSW52YWxpZCBJZGVudGlmaWVyKcgwsjcICdYI7TawbzQJ1gg4Q0lRLk5BU0RBUUdNOk5MTksuSVFfR1JPU1NfTUFSR0lOLi43LzE2LzIwMTguTEZSLkYuVVNELkgBAAAAlXuMAAIAAAAJLTEwNi4wMTExAQgAAAAFAAAAATEBAAAACjE4ODgzNTQyMDcDAAAAAzE2MAIAAAAENDA3NAQAAAABMAcAAAAJNy8xNi8yMDE4CAAAAAkzLzMxLzIwMTgJAAAAATApHJQQNQnWCOR0WxI1CdYIPUNJUS5OQVNEQVFHUzpLVVJBLklRX1JFVkVOVUVfRVNULkNZMjAxOC43LzMxLzIwMTguQ09OLkYuVVNELkgBAAAAuMvaEAIAAAABMAEOAAAABQAAAAIxMQEAAAABMAIAAAAKMTAwMzE4NDk4OQMAAAAGMTAwMTgwBAAAAAEyBgAAAAEwBwAAAAMxNjAIAAAAATAJAAAAATEKAAAAATALAAAACzExMDIzMTA0NjY1DAAAAAE3DQAAAAg4LzEvMjAxOBAAAAAJNy8zMS8yMDE41owROAgJ1ghzJJ1vNAnWCCVDSVEuSVFUUjQwODI5MTM5NS5JUV9UUl9NQUpfTUlOX1NUQUtFAQAAAEMIVhgDAAAACE1ham9yaXR5AFjPEg41CdYIwNuCDjUJ1gg8Q0lRLk5BU0RBUUdTOlRTUk8uSVFfRUJJVERBX0VTVC5DWTIwMTguNy8xNi8yMDE4LkNPTi5GLlVTRC5IAQAAAGjWWAYCAAAACi01MTUuNzAyMjIBDgAAAAUAAAACMTEBAAAAATACAAAA</t>
  </si>
  <si>
    <t>CjEwMDE1ODAzNDADAAAABjEwMDE4NwQAAAABMgYAAAABMAcAAAADMTYwCAAAAAEwCQAAAAExCgAAAAEwCwAAAAsxMDk0MDUwNjk2MwwAAAABNw0AAAAJNy8xNy8yMDE4EAAAAAk3LzE2LzIwMTjE/xsRNQnWCBL+ZBI1CdYIIkNJUS4wLklRX1RSX1RBUkdFVF9TVE9DS1BSRU1JVU1fMU0FAAAAAAAAAAgAAAAYKEludmFsaWQgVHJhbnNhY3Rpb24gSWQpSVNHbzQJ1ggH4vCBNAnWCDlDSVEuTkFTREFRR006QVJSWS5JUV9OSV9NQVJHSU4uMjAwMC43LzMxLzIwMTguTEZSLkYuVVNELkgBAAAA+GEAAAIAAAAJLTE0Ni41ODI5AQgAAAAFAAAAATEBAAAACjE4ODg0NzA2NzYDAAAAAzE2MAIAAAAENDA5NAQAAAABMAcAAAAJNy8zMS8yMDE4CAAAAAkzLzMxLzIwMTgJAAAAATCcC9U4CAnWCNRfmG80CdYIP0NJUS5OQVNEQVFHTTpDUlZTLklRX05FVF9XT1JLSU5HX0NBUC4xOTkyLjcvMzEvMjAxOC5MRlIuRi5VU0QuSAEAAAD0sKYQAgAAAAYtMS42MTEBCAAAAAUAAAABMQEAAAAKMTg0MDExNjE1NAMAAAADMTYwAgAAAAQxMzExBAAAAAEwBwAAAAk3LzMxLzIwMTgIAAAACTMvMzEvMjAxNgkAAAABMNaMETgICdYIGemhbzQJ1gg3Q0lRLk5BU0RBUUdTOkFOQUIuSVFfRUJJVF9NQVJHSU4uLjcvMTYvMjAxOC5MRlIuRi5VU0QuSAEAAAAhTLIBAwAAAAJOTQEIAAAABQAAAAExAQAAAAoxODg3NDAwMDQzAwAAAAMxNjAC</t>
  </si>
  <si>
    <t>AAAABDQwNTMEAAAAATAHAAAACTcvMTYvMjAxOAgAAAAJMy8zMS8yMDE4CQAAAAEwxP8bETUJ1gjCm2ISNQnWCCRDSVEuTkFTREFRR006QUZNRC5JUV9FRkZFQ1RfVEFYX1JBVEUBAAAA2/cMAAMAAAACTk0BCAAAAAUAAAABMQEAAAAKMTg5OTE5NzU4MgMAAAACNTACAAAABDQzNzYEAAAAATAHAAAACTgvMjMvMjAxOAgAAAAJNi8zMC8yMDE4CQAAAAEwKRyUEDUJ1ggw110SNQnWCD9DSVEuTkFTREFRR1M6QkdORS5JUV9ORVRfV09SS0lOR19DQVAuMjAwMC43LzMxLzIwMTguTEZSLkYuVVNELkgBAAAA4OTdBgIAAAAHLTEwLjY0NAEIAAAABQAAAAExAQAAAAoxODg3Njg4NTg4AwAAAAMxNjACAAAABDEzMTEEAAAAATAHAAAACTcvMzEvMjAxOAgAAAAJMy8zMS8yMDE4CQAAAAEwnAvVOAgJ1giB/ZVvNAnWCDBDSVEuTkFTREFRQ006U1JORS5JUV9MQVNUU0FMRVBSSUNFLjcvMzEvMjAxOC5VU0QBAAAASUOUAwIAAAADNS42ANaMETgICdYIcySdbzQJ1gg8Q0lRLk5BU0RBUUdTOkJHTkUuSVFfRUJJVERBX0VTVC5DWTIwMTkuNy8xNi8yMDE4LkNPTi5GLlVTRC5IAQAAAODk3QYCAAAACS0zMDQuMjAyNQEOAAAABQAAAAIxMQEAAAABMAIAAAAKMTAwMzMyNjI3MgMAAAAGMTAwMTg3BAAAAAEyBgAAAAEwBwAAAAMxNjAIAAAAATAJAAAAATEKAAAAATALAAAACzEwOTY3MTM5MDk2DAAAAAE3DQAAAAk3LzE3LzIwMTgQ</t>
  </si>
  <si>
    <t>AAAACTcvMTYvMjAxOMT/GxE1CdYIaGBnEjUJ1ggrQ0lRLklRVFIyNDU4MzEwMDcuSVFfVFJfSU1QTElFRF9FVl9FQklUX0ZXRAEAAABfFacOAwAAAAJOTQCys0lvNAnWCIH9lW80CdYIO0NJUS5OQVNEQVFHTTpJTU1VLklRX1BSRUZfRVFVSVRZLjIwMDAuNy8zMS8yMDE4LkxGUi5GLlVTRC5IAQAAACBDBAADAAAAAACcC9U4CAnWCNRfmG80CdYIOkNJUS5OQVNEQVFHTTpDUlZTLklRX0VBUk5JTkdfQ08uMjAwMC43LzMxLzIwMTguTEZSLkYuVVNELkgBAAAA9LCmEAIAAAAHLTUzLjkyOAEIAAAABQAAAAExAQAAAAoxODg2MzY3NTkxAwAAAAMxNjACAAAAATcEAAAAATAHAAAACTcvMzEvMjAxOAgAAAAJMy8zMS8yMDE4CQAAAAEw1owROAgJ1ggZ6aFvNAnWCCVDSVEuSVFUUjI2MzcxODY0Ny5JUV9UUl9NQUpfTUlOX1NUQUtFAQAAAPcGuA8DAAAACE1ham9yaXR5ALKzSW80CdYINZuTbzQJ1ghGQ0lRLk5BU0RBUUdNOkFSUlkuSVFfTUlOT1JJVFlfSU5URVJFU1RfVE9UQUwuMjAwMC41LzUvMjAxNy5MRlIuRi5VU0QuSAEAAAD4YQAAAwAAAAAAnAvVOAgJ1ggkwppvNAnWCD9DSVEuT1RDUEs6TldCTy5JUV9UT1RBTF9SRVZfM1lSX0FOTl9DQUdSLi43LzE2LzIwMTguTEZSLkYuVVNELkgBAAAAo3oUAAIAAAAILTM3LjYyMTYBCAAAAAUAAAABMQEAAAAKMTg4OTMwMjgyNAMAAAADMTYwAgAAAAQ0MjIwBAAAAAEw</t>
  </si>
  <si>
    <t>BwAAAAk3LzE2LzIwMTgIAAAACTMvMzEvMjAxOAkAAAABMCkclBA1CdYIMNddEjUJ1ggwQ0lRLlhUUkE6TU9SLklRX0NBUEVYLjE5OTIuNy8zMS8yMDE4LkxGUi5GLlVTRC5IAQAAAN8RAgACAAAACS0xLjU0OTcwOQEIAAAABQAAAAExAQAAAAoxODM5OTQwNjkwAwAAAAMxNjACAAAABDIwMjEEAAAAATAHAAAACTcvMzEvMjAxOAgAAAAJMy8zMS8yMDE2CQAAAAEwnAvVOAgJ1gjUX5hvNAnWCC5DSVEuSVFUUjU1MTE2NjI5Mi5JUV9UUl9UQVJHRVRfU1RPQ0tQUkVNSVVNXzFXAQAAAFQh2iACAAAACDExNS45ODI3AQYAAAAFAAAAAjU0AQAAAAYxMDEwNTQCAAAACTU1MTE2NjI5MgMAAAAJNTUxMTczMzc1BAAAAAMxNjAGAAAABUZhbHNlDG0QDjUJ1gjA24IONQnWCD9DSVEuTkFTREFRQ006U1JORS5JUV9ORVRfV09SS0lOR19DQVAuMTk5Mi43LzMxLzIwMTguTEZSLkYuVVNELkgBAAAASUOUAwIAAAAHLTE4Ljc0MgEIAAAABQAAAAExAQAAAAoxODQyMjUxMTIzAwAAAAMxNjACAAAABDEzMTEEAAAAATAHAAAACTcvMzEvMjAxOAgAAAAJMy8zMS8yMDE2CQAAAAEw1owROAgJ1ghzJJ1vNAnWCDZDSVEuTkFTREFRR1M6R1RIWC5JUV9FQklUREEuMTk5Ni43LzMxLzIwMTguTEZSLkYuVVNELkgBAAAAZTRpCAIAAAAKLTM2Ljc1NjA2NQEIAAAABQAAAAExAQAAAAoxODg2MzY3NjQ4AwAAAAMxNjACAAAABDQwNTEEAAAA</t>
  </si>
  <si>
    <t>ATAHAAAACTcvMzEvMjAxOAgAAAAJMy8zMS8yMDE3CQAAAAEwnAvVOAgJ1ggkwppvNAnWCC5DSVEuTkFTREFRR1M6U0dFTi5JUV9NQVJLRVRDQVAuOS8xNS8yMDE3LlVTRC5IAQAAAGGFAAACAAAACzc2OTMuNDMzNjI2AQYAAAAFAAAAATEBAAAACjE4NTEyODEyMDgDAAAAAzE2MAIAAAAGMTAwMDU0BAAAAAEwBwAAAAk5LzE1LzIwMTdGnRkRNQnWCGhgZxI1CdYIOENJUS5OQVNEQVFDTTpaSU9QLklRX0VCSVREQS5DWTIwMTcuNy8zMS8yMDE4LkxGUi5GLlVTRC5IAQAAALNRsgACAAAABy01My4xMjQBCAAAAAUAAAABMQEAAAAKMTg3NzIwNDQ2NgMAAAADMTYwAgAAAAQ0MDUxBAAAAAEwBwAAAAk3LzMxLzIwMTgIAAAACjEyLzMxLzIwMTcJAAAAATDWjBE4CAnWCMOGn280CdYIRkNJUS5OQVNEQVFHUzpFUFpNLklRX1RPVEFMX1JFVl81WVJfQU5OX0NBR1IuMjAwMC43LzMxLzIwMTguTEZSLkYuVVNELkgBAAAAAyY9AwIAAAAILTI3LjA2NDEBCAAAAAUAAAABMQEAAAAKMTg4NzI0NjA3NwMAAAADMTYwAgAAAAQ0MjMzBAAAAAEwBwAAAAk3LzMxLzIwMTgIAAAACTMvMzEvMjAxOAkAAAABMNaMETgICdYIcySdbzQJ1ggZQ0lRLjAuSVFfUFJJTUFSWV9JTkRVU1RSWQEAAABVhHcDAwAAAAAAsrNJbzQJ1ggH4vCBNAnWCCJDSVEuSVFUUjM3MTcxNTExOS5JUV9UUl9UQVJHRVROQU1FAQAAAC/sJxYDAAAAHENvcm1v</t>
  </si>
  <si>
    <t>cmFudCBQaGFybWFjZXV0aWNhbHMgQUIAWM8SDjUJ1gjA24IONQnWCCtDSVEuT1RDUEs6TldCTy5JUV9NQVJLRVRDQVAuNy8xNi8yMDE4LlVTRC5IAQAAAKN6FAACAAAACTk3LjkwOTA4OQEGAAAABQAAAAExAQAAAAoxODg5Mjk5NTQxAwAAAAMxNjACAAAABjEwMDA1NAQAAAABMAcAAAAJNy8xNi8yMDE4KRyUEDUJ1ghzOWASNQnWCCNDSVEuSVFUUjU2MzkxOTA0OS5JUV9UUl9DTE9TRURfREFURQEAAADJuJwhBQAAAAk2LzIxLzIwMTgADG0QDjUJ1gjA24IONQnWCClDSVEuSVEzNjE4MzgxNi5JUV9MQVNUU0FMRVBSSUNFLjcvMTYvMjAxOAEAAAAIHygCAgAAAAQyLjAxAAxtEA41CdYIDD6FDjUJ1gg8Q0lRLk5BU0RBUUdNOkFGTUQuSVFfRUFSTklOR19DTy5DWTIwMTYuNy8xNi8yMDE4LkxGUi5GLlVTRC5IAQAAANv3DAACAAAACi0zNC4wMDgyMzQBCAAAAAUAAAABMQEAAAAKMTg3OTE0NzY2MgMAAAADMTYwAgAAAAE3BAAAAAEwBwAAAAk3LzE2LzIwMTgIAAAACjEyLzMxLzIwMTYJAAAAATApHJQQNQnWCDDXXRI1CdYINkNJUS5OQVNEQVFHUzpKTkNFLklRX1RPVEFMX0RFQlQuLjkvMTUvMjAxNy5MRlIuRi5VU0QuSAEAAADieZ4NAgAAAAEwAQgAAAAFAAAAATEBAAAACjE4NTI3OTYyMDcDAAAAAzE2MAIAAAAENDE3MwQAAAABMAcAAAAJOS8xNS8yMDE3CAAAAAk2LzMwLzIwMTcJAAAAATDep34QNQnWCJgS</t>
  </si>
  <si>
    <t>WRI1CdYILkNJUS5JUVRSNTM1NzE5OTk4LklRX1RSX1RBUkdFVF9TVE9DS1BSRU1JVU1fMVcBAAAAPnDuHwIAAAAHMzQuNDE4NgEGAAAABQAAAAI1NAEAAAAGMTAxMDU0AgAAAAk1MzU3MTk5OTgDAAAACTUzNTcyNDgxMwQAAAADMTYwBgAAAAVGYWxzZbKzSW80CdYIgf2VbzQJ1ggoQ0lRLk5BU0RBUUdTOkdUSFguSVFfVEVWLjcvMzEvMjAxOC5VU0QuSAEAAABlNGkIAgAAAAsxNDkwLjU3MTAyNQEGAAAABQAAAAExAQAAAAoxODg2MzY3NDEwAwAAAAMxNjACAAAABjEwMDA2MAQAAAABMAcAAAAJNy8zMS8yMDE4nAvVOAgJ1ggkwppvNAnWCCNDSVEuSVFUUjM3MTcxNTExOS5JUV9UUl9DTE9TRURfREFURQEAAAAv7CcWBQAAAAg3LzUvMjAxNgBYzxIONQnWCMDbgg41CdYIKkNJUS5JUVRSNDAzNzkxNzY3LklRX1RSX1RBUkdFVF9FQklULi5VU0QuSAEAAACXXxEYAgAAAAAAWM8SDjUJ1gjA24IONQnWCDhDSVEuTkFTREFRR1M6TUdOWC5JUV9FQklUREEuQ1kyMDE2LjcvMTYvMjAxOC5MRlIuRi5VU0QuSAEAAABPKwkAAgAAAActNTIuNDM0AQgAAAAFAAAAATEBAAAACjE4NzYxMzUxNTcDAAAAAzE2MAIAAAAENDA1MQQAAAABMAcAAAAJNy8xNi8yMDE4CAAAAAoxMi8zMS8yMDE2CQAAAAEwxP8bETUJ1gjCm2ISNQnWCDNDSVEuTkFTREFRR1M6TVJTTi5JUV9QRVJJT0REQVRFX0lTLi43LzE2LzIwMTguTEZSLkYB</t>
  </si>
  <si>
    <t>AAAA5sUYAAUAAAAJMy8zMS8yMDE4AMT/GxE1CdYIczlgEjUJ1ggnQ0lRLk5BU0RBUUdTOktVUkEuSVFfQkVUQV8yWVIuNy8zMS8yMDE4AQAAALjL2hACAAAAEDEuODk5NTkyNzQ5ODYzNjEA1owROAgJ1ghzJJ1vNAnWCClDSVEuSVFUUjQwODI5MTM5NS5JUV9CVVNJTkVTU19ERVNDUklQVElPTgEAAACyTxoDAwAAAJkGS29sbHRhbiBQaGFybWFjZXV0aWNhbHMsIEluYy4gZGlzY292ZXJzIGFuZCBkZXZlbG9wcyBub3ZlbCBhbnRpYm9keS1iYXNlZCBkcnVncyB0YXJnZXRpbmcgcmVjZXB0b3IgdHlyb3NpbmUga2luYXNlcyAoUlRLKSBmb3IgdGhlIHRyZWF0bWVudCBvZiBjYW5jZXIgYW5kIG90aGVyIGRpc2Vhc2VzLiBJdHMgbGVhZCBwcm9kdWN0IGNhbmRpZGF0ZSBpbmNsdWRlcyBLVE4zMzc5LCBhbiBhbnRpYm9keSB0YXJnZXRpbmcgdGhlIEVyYkIzIFJUSywgd2hpY2ggaXMgaW4gUGhhc2UgSSBjbGluaWNhbCB0cmlhbHMgZm9yIGFkdWx0IHBhdGllbnRzIHdpdGggYWR2YW5jZWQgc29saWQgdHVtb3JzLiBUaGUgY29tcGFueSBpcyBhbHNvIGRldmVsb3BpbmcgS1ROMDE1OCwgYSBLSVQgUlRLIGluaGliaXRvciBmb3IgdGhlIHRyZWF0bWVudCBvZiBuZXVyb2ZpYnJvbWF0b3NpcyB0eXBlIDEgYW5kIG90aGVyIGluZmxhbW1hdG9yeSBkaXNlYXNlczsgYW5kIEtJVC1BREMsIGFuIGFudGlib2R5IGRy</t>
  </si>
  <si>
    <t>dWcgY29uanVnYXRlIGZvciBvbmNvbG9neSB0cmVhdG1lbnQsIGFzIHdlbGwgYXMgYSByYW5nZSBvZiByZXNlYXJjaCBwcm9ncmFtcyB0YXJnZXRpbmcgUlRLcy4gS29sbHRhbiBQaGFybWFjZXV0aWNhbHMsIEluYy4gd2FzIGZvdW5kZWQgaW4gMjAwNyBhbmQgaXMgYmFzZWQgaW4gTmV3IEhhdmVuLCBDb25uZWN0aWN1dC4gQXMgb2YgTm92ZW1iZXIgMjksIDIwMTYsIEtvbGx0YW4gUGhhcm1hY2V1dGljYWxzLCBJbmMuIG9wZXJhdGVzIGFzIGEgc3Vic2lkaWFyeSBvZiBDZWxsZGV4IFRoZXJhcGV1dGljcywgSW5jLgAMbRAONQnWCMDbgg41CdYILUNJUS5OQVNEQVFHUzpKTkNFLklRX0RJVklERU5EX1lJRUxELjcvMTYvMjAxOAEAAADieZ4NAwAAAAAA3qd+EDUJ1giYElkSNQnWCDpDSVEuTkFTREFRR1M6TksuSVFfRUJJVERBX0VTVC5DWTIwMTkuNy8zMS8yMDE4LkNPTi5GLlVTRC5IAQAAAA19oQ8DAAAAAADWjBE4CAnWCMOGn280CdYIN0NJUS5YVFJBOk1PUi5JUV9UT1RBTF9FUVVJVFkuMjAwMC43LzMxLzIwMTguTEZSLkYuVVNELkgBAAAA3xECAAIAAAAKNDE5LjYyNzU0MQEIAAAABQAAAAExAQAAAAoxODg2MTUxNjQ4AwAAAAMxNjACAAAABDEyNzUEAAAAATAHAAAACTcvMzEvMjAxOAgAAAAJMy8zMS8yMDE4CQAAAAEwnAvVOAgJ1gjUX5hvNAnWCDxDSVEuTkFTREFRR006SU1NVS5JUV9UT1RBTF9F</t>
  </si>
  <si>
    <t>UVVJVFkuMjAwMC43LzMxLzIwMTguTEZSLkYuVVNELkgBAAAAIEMEAAIAAAAJNzEuODE5NDM2AQgAAAAFAAAAATEBAAAACjE4ODg1MjMzODQDAAAAAzE2MAIAAAAEMTI3NQQAAAABMAcAAAAJNy8zMS8yMDE4CAAAAAkzLzMxLzIwMTgJAAAAATCcC9U4CAnWCNRfmG80CdYIK0NJUS5JUVRSNDA4MjkxMzk1LklRX1RSX1RPVEFMX0dST1NTX1RWLi5VU0QBAAAAQwhWGAIAAAAKMzczLjI5MTg0MgEGAAAABQAAAAI1NAEAAAAGMTAyMDg4AgAAAAk0MDgyOTEzOTUDAAAACTQwODMwNDAxMwQAAAADMTYwBgAAAAVGYWxzZVjPEg41CdYIwNuCDjUJ1gg5Q0lRLk5BU0RBUUdNOkFSUlkuSVFfVE9UQUxfREVCVC4yMDAwLjUvNS8yMDE3LkxGUi5GLlVTRC5IAQAAAPhhAAACAAAABzEyOC4zNDQBCAAAAAUAAAABMQEAAAAKMTgyNjgzODI1NgMAAAADMTYwAgAAAAQ0MTczBAAAAAEwBwAAAAg1LzUvMjAxNwgAAAAKMTIvMzEvMjAxNgkAAAABMJwL1TgICdYIJMKabzQJ1gg6Q0lRLk5BU0RBUUdTOlNHRU4uSVFfQ0FTSF9TVF9JTlZFU1QuLjkvMTUvMjAxNy5MRlIuRi5VU0QuSAEAAABhhQAAAgAAAAc0NTIuNDExAQgAAAAFAAAAATEBAAAACjE4NTEyODE1ODcDAAAAAzE2MAIAAAAEMTAwMgQAAAABMAcAAAAJOS8xNS8yMDE3CAAAAAk2LzMwLzIwMTcJAAAAATDE/xsRNQnWCGhgZxI1CdYILENJUS4uSVFfVE9UQUxfUkVWLjIw</t>
  </si>
  <si>
    <t>MDAuNy8zMS8yMDE4LkxGUi5GLlVTRC5IBQAAAAEAAAAIAAAAFChJbnZhbGlkIElkZW50aWZpZXIp9YQyRzQJ1gj1hDJHNAnWCCJDSVEuSVFUUjI2MzcxODY0Ny5JUV9UUl9UT1RBTF9DQVNIAQAAAPcGuA8CAAAAAACys0lvNAnWCDWbk280CdYIIkNJUS5JUVRSNTYxNjA2MzY1LklRX1RSX1RPVEFMX0NBU0gBAAAA3W55IQIAAAAAALKzSW80CdYINZuTbzQJ1gg5Q0lRLk5BU0RBUUdTOlRTUk8uSVFfVE9UQUxfUkVWLjE5OTIuNy8zMS8yMDE4LkxGUi5GLlVTRC5IAQAAAGjWWAYCAAAABTAuNjE3AQgAAAAFAAAAATEBAAAACjE4NDA5MzQ2NjMDAAAAAzE2MAIAAAACMjgEAAAAATAHAAAACTcvMzEvMjAxOAgAAAAJMy8zMS8yMDE2CQAAAAEwnAvVOAgJ1ggkwppvNAnWCDxDSVEuTkFTREFRR006Q1JWUy5JUV9FQklUREFfRVNULkNZMjAxOC43LzMxLzIwMTguQ09OLkYuVVNELkgBAAAA9LCmEAIAAAAHLTc2LjA1NAEOAAAABQAAAAIxMQEAAAABMAIAAAAKMTAwMzM3MDM1NAMAAAAGMTAwMTg3BAAAAAEyBgAAAAEwBwAAAAMxNjAIAAAAATAJAAAAATEKAAAAATALAAAACzEwOTU1NDYxODgzDAAAAAE3DQAAAAg4LzEvMjAxOBAAAAAJNy8zMS8yMDE41owROAgJ1ggZ6aFvNAnWCDpDSVEuTkFTREFRQ006TVRFTS5JUV9UT1RBTF9ERUJULjIwMDAuNy8zMS8yMDE4LkxGUi5GLlVTRC5IAQAAAJmbqQECAAAABTIuOTk5</t>
  </si>
  <si>
    <t>AQgAAAAFAAAAATEBAAAACjE4ODg3MzMwMDQDAAAAAzE2MAIAAAAENDE3MwQAAAABMAcAAAAJNy8zMS8yMDE4CAAAAAkzLzMxLzIwMTgJAAAAATDIMLI3CAnWCBnpoW80CdYIPUNJUS5OQVNEQVFHUzpDQUxBLklRX1JFVkVOVUVfRVNULkNZMjAyMC43LzE2LzIwMTguQ09OLkYuVVNELkgBAAAApSeBBgIAAAAFODUuMTUBDgAAAAUAAAACMTEBAAAAATACAAAACjEwMDI4OTY0MjgDAAAABjEwMDE4MAQAAAABMgYAAAABMAcAAAADMTYwCAAAAAEwCQAAAAExCgAAAAEwCwAAAAsxMDkxMzI3ODQ1NQwAAAABNw0AAAAJNy8xNy8yMDE4EAAAAAk3LzE2LzIwMTgpHJQQNQnWCOR0WxI1CdYIPENJUS5OQVNEQVFHTTpBUlFMLklRX0VBUk5JTkdfQ08uQ1kyMDE3LjcvMzEvMjAxOC5MRlIuRi5VU0QuSAEAAAD2YQAAAgAAAActMjkuMjAzAQgAAAAFAAAAATEBAAAACjE4Nzg1MDg2OTgDAAAAAzE2MAIAAAABNwQAAAABMAcAAAAJNy8zMS8yMDE4CAAAAAoxMi8zMS8yMDE3CQAAAAEw1owROAgJ1ghzJJ1vNAnWCD1DSVEuTkFTREFRR1M6Q0FMQS5JUV9SRVZFTlVFX0VTVC5DWTIwMTkuNy8zMS8yMDE4LkNPTi5GLlVTRC5IAQAAAKUngQYCAAAABzIwLjIwMjUBDgAAAAUAAAACMTEBAAAAATACAAAACjEwMDI4OTY0MjMDAAAABjEwMDE4MAQAAAABMgYAAAABMAcAAAADMTYwCAAAAAEwCQAAAAExCgAAAAEwCwAAAAsxMDkxMzI3</t>
  </si>
  <si>
    <t>ODQ3MwwAAAABNw0AAAAIOC8xLzIwMTgQAAAACTcvMzEvMjAxOMgwsjcICdYI3UukbzQJ1gg5Q0lRLi5JUV9UT1RBTF9SRVZfNVlSX0FOTl9DQUdSLjIwMDAuNy8zMS8yMDE4LkxGUi5GLlVTRC5IBQAAAAEAAAAIAAAAFChJbnZhbGlkIElkZW50aWZpZXIp9YQyRzQJ1gj1hDJHNAnWCCxDSVEuSVFUUjQyMjg4NzcwMS5JUV9UUl9UQVJHRVRfRUJJVERBLi5VU0QuSAEAAAAVwTQZAgAAAAAADG0QDjUJ1gjA24IONQnWCDxDSVEuTkFTREFRR1M6VFNSTy5JUV9UT1RBTF9FUVVJVFkuMTk5Ni43LzMxLzIwMTguTEZSLkYuVVNELkgBAAAAaNZYBgIAAAAHNTEzLjIwOAEIAAAABQAAAAExAQAAAAoxODg2MzM3NDUxAwAAAAMxNjACAAAABDEyNzUEAAAAATAHAAAACTcvMzEvMjAxOAgAAAAJMy8zMS8yMDE3CQAAAAEwnAvVOAgJ1ggkwppvNAnWCDhDSVEuTkFTREFRQ006QVZFTy5JUV9UT1RBTF9FUVVJVFkuLjcvMTYvMjAxOC5MRlIuRi5VU0QuSAEAAAD0Fh0AAgAAAActNTAuMjQ1AQgAAAAFAAAAATEBAAAACjE4ODcyMzQyOTUDAAAAAzE2MAIAAAAEMTI3NQQAAAABMAcAAAAJNy8xNi8yMDE4CAAAAAkzLzMxLzIwMTgJAAAAATDE/xsRNQnWCMKbYhI1CdYIIkNJUS5JUVRSMjQ1ODMxMDA3LklRX1RSX1RPVEFMX0NBU0gBAAAAXxWnDgIAAAAKODA3LjU1ODc5NQCys0lvNAnWCIH9lW80CdYIPENJUS5OQVNEQVFHTTpB</t>
  </si>
  <si>
    <t>Rk1ELklRX0VCSVREQV9FU1QuQ1kyMDIwLjcvMTYvMjAxOC5DT04uRi5VU0QuSAEAAADb9wwAAwAAAAAAKRyUEDUJ1ggw110SNQnWCDtDSVEuTkFTREFRR006Q1JJUy5JUV9UT1RBTF9SRVYuQ1kyMDE2LjcvMzEvMjAxOC5MRlIuRi5VU0QuSAEAAAAXagAAAgAAAAU3LjUyNwEIAAAABQAAAAExAQAAAAoxODc4MDExNjU0AwAAAAMxNjACAAAAAjI4BAAAAAEwBwAAAAk3LzMxLzIwMTgIAAAACjEyLzMxLzIwMTYJAAAAATDIMLI3CAnWCN1LpG80CdYIQ0NJUS5OQVNEQVFHTTpOTE5LLklRX01JTk9SSVRZX0lOVEVSRVNUX1RPVEFMLi45LzE1LzIwMTcuTEZSLkYuVVNELkgBAAAAlXuMAAMAAAAAACkclBA1CdYI5HRbEjUJ1ggvQ0lRLklRVFI1NTAyNTkzOTcuSVFfVFJfSU1QTElFRF9FVl9GSU5BTC4uVVNELkgBAAAAxUrMIAIAAAALOTU1Ni4zNTAzNjYBBgAAAAUAAAACNTQBAAAABjEwMjA0NQIAAAAJNTUwMjU5Mzk3AwAAAAk1NTAyNjQ1NjQEAAAAAzE2MAYAAAAFRmFsc2UMbRAONQnWCHd5gA41CdYINUNJUS5FTlhUUEE6SVBILklRX0dST1NTX01BUkdJTi4uNy8xNi8yMDE4LkxGUi5GLlVTRC5IAQAAAJmABgACAAAACC01Mi4xNTg2AQgAAAAFAAAAATEBAAAACjE4ODk1NTIxNjQDAAAAAjUwAgAAAAQ0MDc0BAAAAAEwBwAAAAk3LzE2LzIwMTgIAAAACjEyLzMxLzIwMTcJAAAAATApHJQQNQnWCHM5YBI1CdYI</t>
  </si>
  <si>
    <t>LkNJUS5PVENQSzpOV0JPLklRX0NBUEVYLi43LzE2LzIwMTguTEZSLkYuVVNELkgBAAAAo3oUAAIAAAAGLTAuMDA4AQgAAAAFAAAAATEBAAAACjE4ODkzMDI4MjQDAAAAAzE2MAIAAAAEMjAyMQQAAAABMAcAAAAJNy8xNi8yMDE4CAAAAAkzLzMxLzIwMTgJAAAAATApHJQQNQnWCDDXXRI1CdYIIkNJUS5JUVRSNTUwMjU5Mzk3LklRX1RSX1RBUkdFVE5BTUUBAAAAxUrMIAMAAAAXSnVubyBUaGVyYXBldXRpY3MsIEluYy4ADG0QDjUJ1gh3eYAONQnWCCFDSVEuQVNYOklNVS5JUV9CRVRBXzVZUi43LzE2LzIwMTgBAAAAmJOpAAIAAAARMC44ODI3ODgxMTg5NTQ2NTcAKRyUEDUJ1ggw110SNQnWCDhDSVEuWFRSQTpNT1IuSVFfUkVWRU5VRV9FU1QuQ1kyMDE5LjcvMzEvMjAxOC5DT04uRi5VU0QuSAEAAADfEQIAAgAAABA2NC40MDM0NTIzMzE3NDEyAQ4AAAAFAAAAAjExAQAAAAEwAgAAAAoxMDAwODAyMDE1AwAAAAYxMDAxODAEAAAAATMGAAAAATAHAAAAAzE2MAgAAAABMAkAAAABMQoAAAABMAsAAAALMTEwMDEzMTUyNjAMAAAAATcNAAAACDgvMS8yMDE4EAAAAAk3LzMxLzIwMTicC9U4CAnWCNRfmG80CdYIOUNJUS5OQVNEQVFHUzpNUlNOLklRX1RPVEFMX1JFVi4xOTkyLjcvMzEvMjAxOC5MRlIuRi5VU0QuSAEAAADmxRgAAwAAAAAA1owROAgJ1gjDhp9vNAnWCEJDSVEuTkFTREFRR1M6Sk5DRS5JUV9UT1RB</t>
  </si>
  <si>
    <t>TF9SRVZfNVlSX0FOTl9DQUdSLi43LzE2LzIwMTguTEZSLkYuVVNELkgBAAAA4nmeDQMAAAAAAN6nfhA1CdYImBJZEjUJ1ggeQ0lRLklRMzYxODM4MzEuSVFfQ09NUEFOWV9OQU1FAQAAABcfKAIDAAAAMVVuaXRlZCBTdGF0ZXMgVHJlYXN1cnkgQ29uc3RhbnQgTWF0dXJpdHkgLSA1IFllYXIADG0QDjUJ1gh3eYAONQnWCDhDSVEuTkFTREFRR1M6RVBaTS5JUV9FQklUREEuQ1kyMDE2LjcvMzEvMjAxOC5MRlIuRi5VU0QuSAEAAAADJj0DAgAAAAgtMTEwLjIzNwEIAAAABQAAAAExAQAAAAoxODc4MDgxMDYxAwAAAAMxNjACAAAABDQwNTEEAAAAATAHAAAACTcvMzEvMjAxOAgAAAAKMTIvMzEvMjAxNgkAAAABMNaMETgICdYIcySdbzQJ1gguQ0lRLk5BU0RBUUdTOkNBTEEuSVFfTUFSS0VUQ0FQLjcvMTYvMjAxOC5VU0QuSAEAAAClJ4EGAgAAAAoxNjguNDcwMDI0AQYAAAAFAAAAATEBAAAACjE4ODc5Nzk3MDcDAAAAAzE2MAIAAAAGMTAwMDU0BAAAAAEwBwAAAAk3LzE2LzIwMTgpHJQQNQnWCOR0WxI1CdYINUNJUS5OQVNEQVFHUzpUU1JPLklRX1RPVEFMX1JFVi4uNy8xNi8yMDE4LkxGUi5GLlVTRC5IAQAAAGjWWAYCAAAABzI2OS45OTUBCAAAAAUAAAABMQEAAAAKMTg4NjMzNzQ2NgMAAAADMTYwAgAAAAIyOAQAAAABMAcAAAAJNy8xNi8yMDE4CAAAAAkzLzMxLzIwMTgJAAAAATDE/xsRNQnWCBL+ZBI1CdYI</t>
  </si>
  <si>
    <t>KUNJUS5JUVRSMzA3ODYzOTg0LklRX0JVU0lORVNTX0RFU0NSSVBUSU9OAQAAAL+j8AwDAAAAugRjQ0FNIEJpb3RoZXJhcGV1dGljcyBMdGQuLCBhIGNsaW5pY2FsIHN0YWdlIGNvbXBhbnksIGVuZ2FnZXMgaW4gdGhlIGRpc2NvdmVyeSBhbmQgZGV2ZWxvcG1lbnQgb2Ygbm92ZWwgaW1tdW5vdGhlcmFwaWVzIHRvIHRyZWF0IGNhbmNlci4gSXQgb2ZmZXJzIENNLTI0LCBhIGh1bWFuaXplZCBhbnRpIENFQUNBTTEgbW9ub2Nsb25hbCBhbnRpYm9keSB0aGF0IGluaGliaXRzIHRoZSBpbW11bm9zdXBwcmVzc2l2ZSBlZmZlY3Qgb2YgQ0VBQyBBTTEgZm9yIHRoZSB0cmVhdG1lbnQgb2YgYWR2YW5jZWQgb3IgcmVjdXJyZW50IG1hbGlnbmFuY2llcywgaW5jbHVkaW5nIG1lbGFub21hLCBub24tc21hbGwtY2VsbCBsdW5nLCBibGFkZGVyLCBnYXN0cmljLCBjb2xvcmVjdGFsLCBhbmQgb3ZhcmlhbiBjYW5jZXJzLiBjQ0FNIEJpb3RoZXJhcGV1dGljcyBMdGQuIHdhcyBmb3VuZGVkIGluIDIwMTAgYW5kIGlzIGJhc2VkIGluIE1pc2dhdiwgSXNyYWVsLiBBcyBvZiBKdWx5IDMxLCAyMDE1LCBjQ0FNIEJpb3RoZXJhcGV1dGljcyBMdGQgb3BlcmF0ZXMgYXMgYSBzdWJzaWRpYXJ5IG9mIE1lcmNrICYgQ28uIEluYy4ADG0QDjUJ1gjA24IONQnWCD1DSVEuTkFTREFRR1M6S1VSQS5JUV9FQklUREFfTUFSR0lOLjIw</t>
  </si>
  <si>
    <t>MDAuNy8zMS8yMDE4LkxGUi5GLlVTRC5IAQAAALjL2hADAAAAAADWjBE4CAnWCHMknW80CdYIKUNJUS5JUTM2MTgzODM0LklRX0xBU1RTQUxFUFJJQ0UuNy8zMS8yMDE4AQAAABofKAICAAAABDIuOTIASVNHbzQJ1giB/ZVvNAnWCClDSVEuSVFUUjU0MjgwNjY4Ni5JUV9CVVNJTkVTU19ERVNDUklQVElPTgEAAACZUdECAwAAAOwFR2x5Y290b3BlIEJpb3RlY2hub2xvZ3kgR21iSCBkZXZlbG9wcyBhbmQgbWFudWZhY3R1cmVzIGltbXVuZS1vbmNvbG9naWNhbCBwcm9kdWN0cyBmb3IgdGhlIHRyZWF0bWVudCBvZiB2YXJpb3VzIGNhbmNlciB0eXBlcy4gSXQgb2ZmZXJzIFBhbmtvTWFiLUdFWCwgYW4gYW50aWJvZHkgYWdhaW5zdCB0aGUgdHVtb3Itc3BlY2lmaWMgY2FyYm9oeWRyYXRlLXByb3RlaW4gZXBpdG9wZSBUQS1NVUMxIGVwaXRvcGUgZXhwcmVzc2VkIG9uIHR1bW9yIGNlbGxzIGluIHZhcmlvdXMgY2FuY2VyczsgQ2V0dUdFWCwgYSBub3ZlbCBnbHljby1vcHRpbWl6ZWQgYW50aS1lcGlkZXJtYWwgZ3Jvd3RoIGZhY3RvciByZWNlcHRvciBtb25vY2xvbmFsIGFudGlib2R5IHRoYXQgc2hvd2VkIHRoZXJhcGV1dGljIGFjdGl2aXR5IHRvIHZhcmlvdXMgc29saWQgdHVtb3JzOyBhbmQgVHJhc0dFWCwgYSBub3ZlbCBnbHljby1vcHRpbWl6ZWQgYW50aS1IZXIyIHJlY2VwdG9yIG1BYiB0aGF0IGhh</t>
  </si>
  <si>
    <t>cyBiZWVuIHRlc3RlZCBpbiBhIHR1bW9ycyB3aG9zZSBkaXNlYXNlIHByb2dyZXNzZWQgZm9sbG93aW5nIHRyZWF0bWVudCB3aXRoIHN0YW5kYXJkIHRoZXJhcGllcy4gVGhlIGNvbXBhbnkgd2FzIGZvdW5kZWQgaW4gMjAwMSBpcyBiYXNlZCBpbiBIZWlkZWxiZXJnLCBHZXJtYW55LiBBcyBvZiBOb3ZlbWJlciAzLCAyMDE3LCBHbHljb3RvcGUgQmlvdGVjaG5vbG9neSBHbWJIIG9wZXJhdGVzIGFzIGEgc3Vic2lkaWFyeSBvZiBDZWxvbmljIEFHLgCys0lvNAnWCIH9lW80CdYIO0NJUS5OQVNEQVFHTTpDUklTLklRX0VCSVRfTUFSR0lOLjIwMDAuNy8zMS8yMDE4LkxGUi5GLlVTRC5IAQAAABdqAAADAAAAAk5NAQgAAAAFAAAAATEBAAAACjE4ODYyNDc0MjADAAAAAzE2MAIAAAAENDA1MwQAAAABMAcAAAAJNy8zMS8yMDE4CAAAAAkzLzMxLzIwMTgJAAAAATDIMLI3CAnWCN1LpG80CdYILENJUS5OQVNEQVFDTTpDS1BULklRX0xBU1RTQUxFUFJJQ0UuOS8xNS8yMDE3AQAAALhRFhECAAAABDguODUAKRyUEDUJ1gjkdFsSNQnWCD1DSVEuTkFTREFRR1M6RlBSWC5JUV9SRVZFTlVFX0VTVC5DWTIwMTguNy8xNi8yMDE4LkNPTi5GLlVTRC5IAQAAADddMwACAAAACDc1LjI0NDc1AQ4AAAAFAAAAAjExAQAAAAEwAgAAAAoxMDAxOTU2MzQ0AwAAAAYxMDAxODAEAAAAATIGAAAAATAHAAAAAzE2MAgAAAABMAkAAAAB</t>
  </si>
  <si>
    <t>MQoAAAABMAsAAAALMTA5NDU1NzUyNzAMAAAAATcNAAAACTcvMTcvMjAxOBAAAAAJNy8xNi8yMDE4KRyUEDUJ1ghzOWASNQnWCDxDSVEuTkFTREFRR006WE5DUi5JUV9FQVJOSU5HX0NPLkNZMjAxNy43LzE2LzIwMTguTEZSLkYuVVNELkgBAAAAploLAAIAAAAHLTQ4LjkyNQEIAAAABQAAAAExAQAAAAoxODc2OTg0NTUyAwAAAAMxNjACAAAAATcEAAAAATAHAAAACTcvMTYvMjAxOAgAAAAKMTIvMzEvMjAxNwkAAAABMMT/GxE1CdYIEv5kEjUJ1ggwQ0lRLk5BU0RBUUdNOkNSSVMuSVFfTEFTVFNBTEVQUklDRS43LzMxLzIwMTguVVNEAQAAABdqAAACAAAABDEuNTcAyDCyNwgJ1gjdS6RvNAnWCD9DSVEuRU5YVFBBOklQSC5JUV9UT1RBTF9SRVZfNVlSX0FOTl9DQUdSLi43LzE2LzIwMTguTEZSLkYuVVNELkgBAAAAmYAGAAIAAAAHMjUuMjU1OAEIAAAABQAAAAExAQAAAAoxODg5NTUyMTY0AwAAAAI1MAIAAAAENDIzMwQAAAABMAcAAAAJNy8xNi8yMDE4CAAAAAoxMi8zMS8yMDE3CQAAAAEwKRyUEDUJ1ghzOWASNQnWCEVDSVEuKElOVkFMSUQgSURFTlRJRklFUikuSVFfVE9UQUxfRVFVSVRZLkNZMjAxNi43LzMxLzIwMTguTEZSLkYuVVNELkgFAAAAAAAAAAgAAAAUKEludmFsaWQgSWRlbnRpZmllcinIMLI3CAnWCO02sG80CdYIL0NJUS5JUVRSMzAyODY2NjI3LklRX1RSX0lNUExJRURfRVZfRklOQUwuLlVT</t>
  </si>
  <si>
    <t>RC5IAQAAAMNgDRICAAAACTQyLjYyMjg0MwEGAAAABQAAAAI1NAEAAAAGMTAyMDQ1AgAAAAkzMDI4NjY2MjcDAAAACTMwMjg2NzE1MQQAAAADMTYwBgAAAAVGYWxzZVjPEg41CdYIDD6FDjUJ1ghGQ0lRLk5BU0RBUUdNOkNSVlMuSVFfVE9UQUxfUkVWXzVZUl9BTk5fQ0FHUi4yMDAwLjcvMzEvMjAxOC5MRlIuRi5VU0QuSAEAAAD0sKYQAwAAAAAA1owROAgJ1ggZ6aFvNAnWCCBDSVEuSVFUUjU2MTYwNjM2NS5JUV9UUl9FQVJOT1VUUwEAAADdbnkhAgAAAAAAsrNJbzQJ1gg1m5NvNAnWCD9DSVEuTkFTREFRR1M6RVBaTS5JUV9ORVRfV09SS0lOR19DQVAuMjAwMC43LzMxLzIwMTguTEZSLkYuVVNELkgBAAAAAyY9AwIAAAAHLTE1LjY5NAEIAAAABQAAAAExAQAAAAoxODg3MjQ2MDc3AwAAAAMxNjACAAAABDEzMTEEAAAAATAHAAAACTcvMzEvMjAxOAgAAAAJMy8zMS8yMDE4CQAAAAEw1owROAgJ1ghzJJ1vNAnWCDVDSVEuT1RDUEs6TUJWWC5JUV9FQklUREEuQ1kyMDE2LjcvMTYvMjAxOC5MRlIuRi5VU0QuSAEAAADYRIsCAgAAAAotMTYuNTY2NTY2AQgAAAAFAAAAATEBAAAACjE4ODEyMTMyMjADAAAAAzE2MAIAAAAENDA1MQQAAAABMAcAAAAJNy8xNi8yMDE4CAAAAAoxMi8zMS8yMDE2CQAAAAEw3qd+EDUJ1giYElkSNQnWCDdDSVEuTkFTREFRR1M6Q0FMQS5JUV9QUkVGX0VRVUlUWS4uOS8xNS8yMDE3LkxG</t>
  </si>
  <si>
    <t>Ui5GLlVTRC5IAQAAAKUngQYDAAAAAAApHJQQNQnWCOR0WxI1CdYIIkNJUS5JUVRSNDEzOTUzNjYxLklRX1RSX1RBUkdFVE5BTUUBAAAAfW6sGAMAAAAcVG9sZXJvIFBoYXJtYWNldXRpY2FscywgSW5jLgCys0lvNAnWCIH9lW80CdYIP0NJUS5OQVNEQVFDTTpaSU9QLklRX05FVF9XT1JLSU5HX0NBUC4xOTkyLjcvMzEvMjAxOC5MRlIuRi5VU0QuSAEAAACzUbIAAgAAAAYtMS43MzEBCAAAAAUAAAABMQEAAAAKMTgzOTM0MTA2NwMAAAADMTYwAgAAAAQxMzExBAAAAAEwBwAAAAk3LzMxLzIwMTgIAAAACTMvMzEvMjAxNgkAAAABMNaMETgICdYIw4afbzQJ1ggdQ0lRLk5BU0RBUUdNOlhOQ1IuSVFfRVhDSEFOR0UBAAAAploLAAMAAAAITmFzZGFxR00ARp0ZETUJ1ggS/mQSNQnWCENDSVEuTkFTREFRR006TkxOSy5JUV9NSU5PUklUWV9JTlRFUkVTVF9UT1RBTC4uNy8xNi8yMDE4LkxGUi5GLlVTRC5IAQAAAJV7jAADAAAAAAApHJQQNQnWCOR0WxI1CdYIIkNJUS5JUVRSNDIyODg3NzAxLklRX1RSX1RBUkdFVE5BTUUBAAAAFcE0GQMAAAAaUGVsaWNhbiBUaGVyYXBldXRpY3MsIEluYy4ADG0QDjUJ1gjA24IONQnWCCFDSVEuTkFTREFRQ006WklPUC5JUV9DT01QQU5ZX05BTUUBAAAAs1GyAAMAAAAXWklPUEhBUk0gT25jb2xvZ3ksIEluYy4A1owROAgJ1gjDhp9vNAnWCDFDSVEuWFRSQTpNT1IuSVFfRUJJVERB</t>
  </si>
  <si>
    <t>LjE5OTYuNy8zMS8yMDE4LkxGUi5GLlVTRC5IAQAAAN8RAgACAAAACi01NS43Mjk1MTkBCAAAAAUAAAABMQEAAAAKMTg4NjE1MTY0NwMAAAADMTYwAgAAAAQ0MDUxBAAAAAEwBwAAAAk3LzMxLzIwMTgIAAAACTMvMzEvMjAxNwkAAAABMJwL1TgICdYI1F+YbzQJ1ghCQ0lRLk5BU0RBUUNNOkFWRU8uSVFfVE9UQUxfUkVWXzJZUl9BTk5fQ0FHUi4uNy8xNi8yMDE4LkxGUi5GLlVTRC5IAQAAAPQWHQACAAAACC00NS4wMjMzAQgAAAAFAAAAATEBAAAACjE4ODcyMzQyOTUDAAAAAzE2MAIAAAAENDIwNwQAAAABMAcAAAAJNy8xNi8yMDE4CAAAAAkzLzMxLzIwMTgJAAAAATDE/xsRNQnWCHM5YBI1CdYIP0NJUS5OQVNEQVFHUzpNR05YLklRX0VCSVREQV81WVJfQU5OX0NBR1IuLjcvMTYvMjAxOC5MRlIuRi5VU0QuSAEAAABPKwkAAwAAAAJOTQEIAAAABQAAAAExAQAAAAoxODg3MTE0OTQ1AwAAAAMxNjACAAAABDQyMzUEAAAAATAHAAAACTcvMTYvMjAxOAgAAAAJMy8zMS8yMDE4CQAAAAEwxP8bETUJ1gjCm2ISNQnWCC5DSVEuSVFUUjUzMzM4NTc0NC5JUV9UUl9UQVJHRVRfU1RPQ0tQUkVNSVVNXzFNAQAAABDSyh8CAAAAAAAMbRAONQnWCMDbgg41CdYIIUNJUS5JUTI3OTM1OTczMi5JUV9DT01QQU5ZX1RJQ0tFUgEAAAD0sKYQAwAAAA1OYXNkYXFHTTpDUlZTALKzSW80CdYIGemhbzQJ1ggwQ0lRLk5BU0RBUUdT</t>
  </si>
  <si>
    <t>OkZQUlguSVFfTEFTVFNBTEVQUklDRS43LzE2LzIwMTguVVNEAQAAADddMwACAAAABTE3LjI2ACkclBA1CdYIczlgEjUJ1ggdQ0lRLk5BU0RBUUdNOkNSSVMuSVFfRVhDSEFOR0UBAAAAF2oAAAMAAAAITmFzZGFxR00AyDCyNwgJ1gjdS6RvNAnWCDBDSVEuT1RDUEs6TUJWWC5JUV9QRVJJT0REQVRFX0lTLi43LzE2LzIwMTguTEZSLkYBAAAA2ESLAgUAAAAKMTIvMzEvMjAxNwDep34QNQnWCJgSWRI1CdYIOENJUS5OQVNEQVFHUzpKTkNFLklRX1RPVEFMX0VRVUlUWS4uNy8xNi8yMDE4LkxGUi5GLlVTRC5IAQAAAOJ5ng0CAAAABzExMC4yODYBCAAAAAUAAAABMQEAAAAKMTg4ODE4NjM3NAMAAAADMTYwAgAAAAQxMjc1BAAAAAEwBwAAAAk3LzE2LzIwMTgIAAAACTMvMzEvMjAxOAkAAAABMN6nfhA1CdYImBJZEjUJ1ggjQ0lRLklRVFIzMTQ4MjkyMzYuSVFfVFJfVE9UQUxfU1RPQ0sBAAAAtOnDEgIAAAAAAFjPEg41CdYIwNuCDjUJ1ggrQ0lRLklRVFI1NjE2MDYzNjUuSVFfVFJfVE9UQUxfR1JPU1NfVFYuLlVTRAEAAADdbnkhAgAAAAQxMDQwAQYAAAAFAAAAAjU0AQAAAAYxMDIwODgCAAAACTU2MTYwNjM2NQMAAAAJNTYxNjA5MTk3BAAAAAMxNjAGAAAABUZhbHNlsrNJbzQJ1gg1m5NvNAnWCDBDSVEuTkFTREFRR006QVJRTC5JUV9MQVNUU0FMRVBSSUNFLjcvMzEvMjAxOC5VU0QBAAAA9mEAAAIAAAAENC45</t>
  </si>
  <si>
    <t>OADWjBE4CAnWCHMknW80CdYIOUNJUS5PVENQSzpNQlZYLklRX0VCSVREQV9FU1QuQ1kyMDE5LjcvMTYvMjAxOC5DT04uRi5VU0QuSAEAAADYRIsCAwAAAAAA3qd+EDUJ1giYElkSNQnWCDVDSVEuKElOVkFMSUQgSURFTlRJRklFUikuSVFfTUFSS0VUQ0FQLjcvMzEvMjAxOC5VU0QuSAUAAAAAAAAACAAAABQoSW52YWxpZCBJZGVudGlmaWVyKcgwsjcICdYITnKrbzQJ1gglQ0lRLk5BU0RBUUdNOkxQVFguSVFfRklSU1RQUklDSU5HREFURQEAAAAMNgkHBQAAAAkxLzI1LzIwMTcAKRyUEDUJ1ggw110SNQnWCDNDSVEuTkFTREFRR1M6Sk5DRS5JUV9QRVJJT0REQVRFX0lTLi43LzE2LzIwMTguTEZSLkYBAAAA4nmeDQUAAAAJMy8zMS8yMDE4ACkclBA1CdYI5HRbEjUJ1ghCQ0lRLk5BU0RBUUNNOkNLUFQuSVFfVE9UQUxfUkVWXzJZUl9BTk5fQ0FHUi4uNy8xNi8yMDE4LkxGUi5GLlVTRC5IAQAAALhRFhECAAAABzkzLjU2MTIBCAAAAAUAAAABMQEAAAAKMTg4ODAwNzIyMwMAAAADMTYwAgAAAAQ0MjA3BAAAAAEwBwAAAAk3LzE2LzIwMTgIAAAACTMvMzEvMjAxOAkAAAABMCkclBA1CdYI5HRbEjUJ1gg4Q0lRLk5BU0RBUUdNOkNSSVMuSVFfRUJJVERBLkNZMjAxNi43LzMxLzIwMTguTEZSLkYuVVNELkgBAAAAF2oAAAIAAAAHLTM5Ljg1NwEIAAAABQAAAAExAQAAAAoxODc4MDExNjU0AwAAAAMxNjACAAAABDQw</t>
  </si>
  <si>
    <t>NTEEAAAAATAHAAAACTcvMzEvMjAxOAgAAAAKMTIvMzEvMjAxNgkAAAABMMgwsjcICdYI3UukbzQJ1ggzQ0lRLk5BU0RBUUdTOkJHTkUuSVFfRUJJVERBX0VTVC5DWTIwMTguLkNPTi5GLlVTRC5IAQAAAODk3QYCAAAACi01MTEuNjY3NjUBDgAAAAUAAAACMTEBAAAAATACAAAACjEwMDMzMjYyNjMDAAAABjEwMDE4NwQAAAABMgYAAAABMAcAAAADMTYwCAAAAAEwCQAAAAExCgAAAAEwCwAAAAsxMTA1MTEyMDM2NgwAAAABNw0AAAAJOC8yNC8yMDE4EAAAAAk4LzIzLzIwMTicC9U4CAnWCJwL1TgICdYIPENJUS5OQVNEQVFHUzpGUFJYLklRX0VBUk5JTkdfQ08uQ1kyMDE2LjcvMTYvMjAxOC5MRlIuRi5VU0QuSAEAAAA3XTMAAgAAAActNjUuNjk3AQgAAAAFAAAAATEBAAAACjE4NzYxMzU5ODgDAAAAAzE2MAIAAAABNwQAAAABMAcAAAAJNy8xNi8yMDE4CAAAAAoxMi8zMS8yMDE2CQAAAAEwKRyUEDUJ1ghzOWASNQnWCClDSVEuSVFUUjU2MzkxOTA0OS5JUV9UUl9JTVBMSUVEX0VRX05JX0xUTQEAAADJuJwhAwAAAAJOTQAMbRAONQnWCMDbgg41CdYIPENJUS5OQVNEQVFHUzpBTkFCLklRX0VBUk5JTkdfQ08uQ1kyMDE3LjcvMTYvMjAxOC5MRlIuRi5VU0QuSAEAAAAhTLIBAgAAAAYtMzAuMDcBCAAAAAUAAAABMQEAAAAKMTg3NzA2NTIzMQMAAAADMTYwAgAAAAE3BAAAAAEwBwAAAAk3LzE2LzIwMTgIAAAACjEy</t>
  </si>
  <si>
    <t>LzMxLzIwMTcJAAAAATDE/xsRNQnWCMKbYhI1CdYIK0NJUS5OQVNEQVFHTTpGQVRFLklRX0xBU1RTQUxFUFJJQ0UuNS81LzIwMTcBAAAAaDFXAgIAAAAENC4zNADWjBE4CAnWCMOGn280CdYIPUNJUS5OQVNEQVFDTTpDS1BULklRX1JFVkVOVUVfRVNULkNZMjAxOC43LzE2LzIwMTguQ09OLkYuVVNELkgBAAAAuFEWEQIAAAAFMS41ODYBDgAAAAUAAAACMTEBAAAAATACAAAACjEwMDM2NjU1OTcDAAAABjEwMDE4MAQAAAABMgYAAAABMAcAAAADMTYwCAAAAAEwCQAAAAExCgAAAAEwCwAAAAsxMDg3ODI1NDk5NgwAAAABNw0AAAAJNy8xNy8yMDE4EAAAAAk3LzE2LzIwMTgpHJQQNQnWCDDXXRI1CdYIJ0NJUS5OQVNEQVFHTTpJTU1VLklRX0JFVEFfMVlSLjcvMzEvMjAxOAEAAAAgQwQAAgAAABAxLjQ1OTg3NTM3MjUxMjkxAJwL1TgICdYI1F+YbzQJ1gg+Q0lRLk5BU0RBUUdNOkFSUlkuSVFfVE9UQUxfRVFVSVRZLkNZMjAxNy43LzMxLzIwMTguTEZSLkYuVVNELkgBAAAA+GEAAAIAAAAHMjQyLjE4MgEIAAAABQAAAAExAQAAAAoxODczMjAzNzk4AwAAAAMxNjACAAAABDEyNzUEAAAAATAHAAAACTcvMzEvMjAxOAgAAAAKMTIvMzEvMjAxNwkAAAABMJwL1TgICdYIJMKabzQJ1ggjQ0lRLklRVFI1NTM1NDgwMjUuSVFfVFJfQ0xPU0VEX0RBVEUBAAAA+Xj+IAUAAAAJNi8yMC8yMDE4ALKzSW80CdYIgf2VbzQJ1gg/</t>
  </si>
  <si>
    <t>Q0lRLk5BU0RBUUdNOkFSUUwuSVFfTkVUX1dPUktJTkdfQ0FQLjE5OTYuNy8zMS8yMDE4LkxGUi5GLlVTRC5IAQAAAPZhAAACAAAABi02LjUzNAEIAAAABQAAAAExAQAAAAoxODg4Nzg4NzM3AwAAAAMxNjACAAAABDEzMTEEAAAAATAHAAAACTcvMzEvMjAxOAgAAAAJMy8zMS8yMDE3CQAAAAEw1owROAgJ1ghzJJ1vNAnWCDpDSVEuTkFTREFRR1M6R1RIWC5JUV9FQVJOSU5HX0NPLjE5OTYuNy8zMS8yMDE4LkxGUi5GLlVTRC5IAQAAAGU0aQgCAAAACi0zNi42ODE5MTQBCAAAAAUAAAABMQEAAAAKMTg4NjM2NzY0OAMAAAADMTYwAgAAAAE3BAAAAAEwBwAAAAk3LzMxLzIwMTgIAAAACTMvMzEvMjAxNwkAAAABMNaMETgICdYIJMKabzQJ1gglQ0lRLklRVFI1NjM5MTkwNDkuSVFfUFJJTUFSWV9JTkRVU1RSWQEAAAD2Q2wNAwAAAA1CaW90ZWNobm9sb2d5AAxtEA41CdYIwNuCDjUJ1ggyQ0lRLk5BU0RBUUdTOkJHTkUuSVFfVE9UQUxfUkVWLkNZMjAxNy4uTEZSLkYuVVNELkgBAAAA4OTdBgIAAAAHMjU0LjY5NAEIAAAABQAAAAExAQAAAAoxODk5ODgxMTk0AwAAAAMxNjACAAAAAjI4BAAAAAEwBwAAAAk4LzIzLzIwMTgIAAAACjEyLzMxLzIwMTcJAAAAATCcC9U4CAnWCJwL1TgICdYILkNJUS5JUVRSMjQ1ODMxMDA3LklRX1RSX1RBUkdFVF9TVE9DS1BSRU1JVU1fMVcBAAAAXxWnDgIAAAAHMjMuNzI2MwCys0lv</t>
  </si>
  <si>
    <t>NAnWCIH9lW80CdYIIUNJUS5JUVRSNTMzNjM5NTAxLklRX1RSX0JVWUVSTkFNRQEAAABNsc4fAwAAAERTRUxMQVMgTGlmZSBTY2llbmNlcyBHcm91cCBBRyAobmthOlNFTExBUyBMaWZlIFNjaWVuY2VzIEdyb3VwLCBJbmMuKQAMbRAONQnWCMDbgg41CdYIKkNJUS5JUVRSNTQyODA2Njg2LklRX1RSX1RBUkdFVF9FQklULi5VU0QuSAEAAACeklogAgAAAAAAsrNJbzQJ1giB/ZVvNAnWCCxDSVEuSVFUUjM3MTcxNTExOS5JUV9UUl9UQVJHRVRfRUJJVERBLi5VU0QuSAEAAAAv7CcWAgAAAAAAWM8SDjUJ1gjA24IONQnWCCBDSVEuSVFUUjQwODQwNzgyMi5JUV9UUl9FQVJOT1VUUwEAAAAOz1cYAgAAAAMxNTMBBgAAAAUAAAACNTQBAAAABjEwMTQwMwIAAAAJNDA4NDA3ODIyAwAAAAk0MDg0MTA1NDEEAAAAAzE2MAYAAAAFRmFsc2Wys0lvNAnWCIH9lW80CdYIOUNJUS5OQVNEQVFHTTpBUlFMLklRX1RPVEFMX0RFQlQuMjAwMC41LzUvMjAxNy5MRlIuRi5VU0QuSAEAAAD2YQAAAgAAAAYxNC4zMzcBCAAAAAUAAAABMQEAAAAKMTg0MTk5MjUxMgMAAAADMTYwAgAAAAQ0MTczBAAAAAEwBwAAAAg1LzUvMjAxNwgAAAAJMy8zMS8yMDE3CQAAAAEw1owROAgJ1ghzJJ1vNAnWCCVDSVEuSVFUUjU1MzU0ODAyNS5JUV9UUl9NQUpfTUlOX1NUQUtFAQAAAPl4/iADAAAACE1ham9yaXR5ALKzSW80CdYIgf2VbzQJ1gg9Q0lR</t>
  </si>
  <si>
    <t>Lk5BU0RBUUdNOkZBVEUuSVFfQ0FTSF9TVF9JTlZFU1QuMjAwMC41LzUvMjAxNy5MRlIuRi5VU0QuSAEAAABoMVcCAgAAAAY5Mi4xMTIBCAAAAAUAAAABMQEAAAAKMTgzMjE2Nzg5NgMAAAADMTYwAgAAAAQxMDAyBAAAAAEwBwAAAAg1LzUvMjAxNwgAAAAKMTIvMzEvMjAxNgkAAAABMNaMETgICdYIw4afbzQJ1ggwQ0lRLk5BU0RBUUdTOk1SU04uSVFfTEFTVFNBTEVQUklDRS43LzMxLzIwMTguVVNEAQAAAObFGAACAAAABDExLjgA1owROAgJ1gjDhp9vNAnWCCNDSVEuMC5JUV9UUl9JTVBMSUVEX0VWX0ZJTkFMLi5VU0QuSAUAAAAAAAAACAAAABgoSW52YWxpZCBUcmFuc2FjdGlvbiBJZClJU0dvNAnWCAfi8IE0CdYIOENJUS5OQVNEQVFHUzpKTkNFLklRX0VCSVREQS5DWTIwMTYuNy8xNi8yMDE4LkxGUi5GLlVTRC5IAQAAAOJ5ng0CAAAABy0xMi41MjIBCAAAAAUAAAABMQEAAAAKMTg3NzcxNjQ5MgMAAAADMTYwAgAAAAQ0MDUxBAAAAAEwBwAAAAk3LzE2LzIwMTgIAAAACjEyLzMxLzIwMTYJAAAAATApHJQQNQnWCJgSWRI1CdYILkNJUS5JUVRSNTMzMzg1NzQ0LklRX1RSX1RBUkdFVF9TVE9DS1BSRU1JVU1fMVcBAAAAENLKHwIAAAAAAAxtEA41CdYIwNuCDjUJ1gg4Q0lRLk5BU0RBUUdTOkFEWFMuSVFfVE9UQUxfRVFVSVRZLi43LzE2LzIwMTguTEZSLkYuVVNELkgBAAAAnux4AAIAAAAJNDUuNDU1MzE4</t>
  </si>
  <si>
    <t>AQgAAAAFAAAAATEBAAAACjE4OTI3ODg1NDgDAAAAAzE2MAIAAAAEMTI3NQQAAAABMAcAAAAJNy8xNi8yMDE4CAAAAAk0LzMwLzIwMTgJAAAAATApHJQQNQnWCOR0WxI1CdYIIkNJUS5JUVRSNDA3NzYwNjkyLklRX1RSX1BDVF9TT1VHSFQBAAAANO9NGAIAAAADMTAwAQYAAAAFAAAAAjU0AQAAAAYxMDEwMjQCAAAACTQwNzc2MDY5MgMAAAAJNDA3Nzg1MzIwBAAAAAMxNjAGAAAABFRydWUMbRAONQnWCAw+hQ41CdYILkNJUS5JUVRSNTYxNjA2MzY1LklRX1RSX1RBUkdFVF9TVE9DS1BSRU1JVU1fMU0BAAAA3W55IQIAAAAAALKzSW80CdYINZuTbzQJ1ggsQ0lRLk5BU0RBUUdNOkxQVFguSVFfTEFTVFNBTEVQUklDRS45LzE1LzIwMTcBAAAADDYJBwIAAAAENS43NAApHJQQNQnWCDDXXRI1CdYIO0NJUS5OQVNEQVFHUzpFUFpNLklRX1RPVEFMX1JFVi5DWTIwMTYuNy8zMS8yMDE4LkxGUi5GLlVTRC5IAQAAAAMmPQMCAAAABTguMDA3AQgAAAAFAAAAATEBAAAACjE4NzgwODEwNjEDAAAAAzE2MAIAAAACMjgEAAAAATAHAAAACTcvMzEvMjAxOAgAAAAKMTIvMzEvMjAxNgkAAAABMNaMETgICdYIJMKabzQJ1gguQ0lRLklRVFIyNTM5NTQ0NzMuSVFfVFJfVEFSR0VUX1NUT0NLUFJFTUlVTV8xTQEAAACpCSMPAgAAAAAAsrNJbzQJ1gg1m5NvNAnWCChDSVEuTkFTREFRR1M6Sk5DRS5JUV9URVYuNy8xNi8yMDE4LlVT</t>
  </si>
  <si>
    <t>RC5IAQAAAOJ5ng0CAAAACDE3LjE3MDM1AQYAAAAFAAAAATEBAAAACjE4ODgxODYwMzUDAAAAAzE2MAIAAAAGMTAwMDYwBAAAAAEwBwAAAAk3LzE2LzIwMTgpHJQQNQnWCOR0WxI1CdYIJUNJUS5OQVNEQVFDTTpNVEVNLklRX0ZJUlNUUFJJQ0lOR0RBVEUBAAAAmZupAQUAAAAIOC8zLzIwMTcAyDCyNwgJ1ggZ6aFvNAnWCEZDSVEuTkFTREFRR1M6R1RIWC5JUV9UT1RBTF9SRVZfNVlSX0FOTl9DQUdSLjIwMDAuNy8zMS8yMDE4LkxGUi5GLlVTRC5IAQAAAGU0aQgDAAAAAADWjBE4CAnWCCTCmm80CdYIM0NJUS5FTlhUUEE6SVBILklRX1RPVEFMX0RFQlQuLjkvMTUvMjAxNy5MRlIuRi5VU0QuSAEAAACZgAYAAgAAAAg1LjYyMzM1MQEIAAAABQAAAAExAQAAAAoxODM3OTYyMjQyAwAAAAMxNjACAAAABDQxNzMEAAAAATAHAAAACTkvMTUvMjAxNwgAAAAKMTIvMzEvMjAxNgkAAAABMCkclBA1CdYIczlgEjUJ1gg1Q0lRLk5BU0RBUUdTOktVUkEuSVFfQ0FQRVguMjAwMC43LzMxLzIwMTguTEZSLkYuVVNELkgBAAAAuMvaEAMAAAAAANaMETgICdYIcySdbzQJ1gg3Q0lRLk5BU0RBUUdNOkFGTUQuSVFfUFJFRl9FUVVJVFkuLjcvMTYvMjAxOC5MRlIuRi5VU0QuSAEAAADb9wwAAwAAAAAAKRyUEDUJ1ggw110SNQnWCDhDSVEuTkFTREFRR1M6Sk5DRS5JUV9FQklUREEuQ1kyMDE3LjcvMTYvMjAxOC5MRlIuRi5VU0Qu</t>
  </si>
  <si>
    <t>SAEAAADieZ4NAgAAAActMTQuNzkzAQgAAAAFAAAAATEBAAAACjE4Nzc3MTY2MTMDAAAAAzE2MAIAAAAENDA1MQQAAAABMAcAAAAJNy8xNi8yMDE4CAAAAAoxMi8zMS8yMDE3CQAAAAEwKRyUEDUJ1giYElkSNQnWCD1DSVEuTkFTREFRR1M6TVJTTi5JUV9FQklUREFfTUFSR0lOLjIwMDAuNy8zMS8yMDE4LkxGUi5GLlVTRC5IAQAAAObFGAACAAAACS0yNjUuMjc5NwEIAAAABQAAAAExAQAAAAoxODg5MDk2NjUzAwAAAAMxNjACAAAABDQwNDcEAAAAATAHAAAACTcvMzEvMjAxOAgAAAAJMy8zMS8yMDE4CQAAAAEw1owROAgJ1gjDhp9vNAnWCCdDSVEuTkFTREFRR1M6QkdORS5JUV9CRVRBXzVZUi43LzMxLzIwMTgBAAAA4OTdBgIAAAARMC44NDgxNzA1NzQ2MTgyNDQAnAvVOAgJ1giB/ZVvNAnWCEZDSVEuTkFTREFRR1M6Q0FMQS5JUV9UT1RBTF9SRVZfMllSX0FOTl9DQUdSLjIwMDAuNy8zMS8yMDE4LkxGUi5GLlVTRC5IAQAAAKUngQYDAAAAAADIMLI3CAnWCN1LpG80CdYILkNJUS5OQVNEQVFHUzpGUFJYLklRX01BUktFVENBUC43LzMxLzIwMTguVVNELkgBAAAAN10zAAIAAAAKNTI0LjYxODQwNgEGAAAABQAAAAExAQAAAAoxODg3NDAyMTYwAwAAAAMxNjACAAAABjEwMDA1NAQAAAABMAcAAAAJNy8zMS8yMDE41owROAgJ1ggZ6aFvNAnWCDVDSVEuTkFTREFRR006Q1JWUy5JUV9DQVBFWC4yMDAwLjcvMzEv</t>
  </si>
  <si>
    <t>MjAxOC5MRlIuRi5VU0QuSAEAAAD0sKYQAgAAAAYtMC4xNjEBCAAAAAUAAAABMQEAAAAKMTg4NjM2NzU5MQMAAAADMTYwAgAAAAQyMDIxBAAAAAEwBwAAAAk3LzMxLzIwMTgIAAAACTMvMzEvMjAxOAkAAAABMNaMETgICdYIGemhbzQJ1gg3Q0lRLk5BU0RBUUdTOlBCWUkuSVFfRUJJVF9NQVJHSU4uLjcvMTYvMjAxOC5MRlIuRi5VU0QuSAEAAAACaqwHAgAAAAktMjU3LjUxNTMBCAAAAAUAAAABMQEAAAAKMTg4ODY2Nzc0MwMAAAADMTYwAgAAAAQ0MDUzBAAAAAEwBwAAAAk3LzE2LzIwMTgIAAAACTMvMzEvMjAxOAkAAAABMMT/GxE1CdYIEv5kEjUJ1gg9Q0lRLk5BU0RBUUdTOkdUSFguSVFfUkVWRU5VRV9FU1QuQ1kyMDIwLjcvMzEvMjAxOC5DT04uRi5VU0QuSAEAAABlNGkIAgAAAAcwLjU4MDgyAQ4AAAAFAAAAAjExAQAAAAEwAgAAAAoxMDAzNzUyODI5AwAAAAYxMDAxODAEAAAAATIGAAAAATAHAAAAAzE2MAgAAAABMAkAAAABMQoAAAABMAsAAAALMTEwMjk4NTU3NDIMAAAAATcNAAAACDgvMS8yMDE4EAAAAAk3LzMxLzIwMTicC9U4CAnWCCTCmm80CdYII0NJUS5JUVRSNTQ3NDIzNjgwLklRX1RSX0NMT1NFRF9EQVRFAQAAAMAFoSAFAAAACDIvNy8yMDE4AAxtEA41CdYIwNuCDjUJ1gglQ0lRLklRVFI1NDgzMzgwMjAuSVFfUFJJTUFSWV9JTkRVU1RSWQEAAADc+K4gAwAAAA1CaW90ZWNobm9sb2d5AAxt</t>
  </si>
  <si>
    <t>EA41CdYIwNuCDjUJ1gguQ0lRLklRVFI1NTM1NDgwMjUuSVFfVFJfVEFSR0VUX1NUT0NLUFJFTUlVTV8xTQEAAAD5eP4gAgAAAAgxNTEuNzk4NgEGAAAABQAAAAI1NAEAAAAGMTAxMDU1AgAAAAk1NTM1NDgwMjUDAAAACTU1MzU2NDk3MQQAAAADMTYwBgAAAAVGYWxzZbKzSW80CdYIgf2VbzQJ1ggxQ0lRLklRVFIyNjM3MTg2NDcuSVFfVFJfVEFSR0VUX1JFVkVOVUVfRVNULi5VU0QuSAEAAAD3BrgPAgAAAAAAsrNJbzQJ1giB/ZVvNAnWCD9DSVEuTkFTREFRR006SU1NVS5JUV9FQklUREFfMllSX0FOTl9DQUdSLi43LzE2LzIwMTguTEZSLkYuVVNELkgBAAAAIEMEAAMAAAACTk0BCAAAAAUAAAABMQEAAAAKMTg4ODUyMzM4NAMAAAADMTYwAgAAAAQ0MjA5BAAAAAEwBwAAAAk3LzE2LzIwMTgIAAAACTMvMzEvMjAxOAkAAAABMMT/GxE1CdYIEv5kEjUJ1gg+Q0lRLk5BU0RBUUdNOklNTVUuSVFfVE9UQUxfRVFVSVRZLkNZMjAxNy43LzMxLzIwMTguTEZSLkYuVVNELkgBAAAAIEMEAAIAAAAJMTYuNDQ5MTg3AQgAAAAFAAAAATEBAAAACjE4NzM0OTM1MjgDAAAAAzE2MAIAAAAEMTI3NQQAAAABMAcAAAAJNy8zMS8yMDE4CAAAAAoxMi8zMS8yMDE3CQAAAAEwnAvVOAgJ1gjUX5hvNAnWCD5DSVEuTkFTREFRR1M6TVJTTi5JUV9UT1RBTF9FUVVJVFkuQ1kyMDE2LjcvMzEvMjAxOC5MRlIuRi5VU0QuSAEAAADmxRgA</t>
  </si>
  <si>
    <t>AgAAAAYzOC44MzEBCAAAAAUAAAABMQEAAAAKMTg4MDU0NzM4MwMAAAADMTYwAgAAAAQxMjc1BAAAAAEwBwAAAAk3LzMxLzIwMTgIAAAACjEyLzMxLzIwMTYJAAAAATDWjBE4CAnWCMOGn280CdYIL0NJUS5JUVRSNDIyODg3NzAxLklRX1RSX0lNUExJRURfRVZfRklOQUwuLlVTRC5IAQAAABXBNBkCAAAACTQ4LjkwNjE0MQEGAAAABQAAAAI1NAEAAAAGMTAyMDQ1AgAAAAk0MjI4ODc3MDEDAAAACTQzMDQwNjM0MwQAAAADMTYwBgAAAAVGYWxzZQxtEA41CdYIwNuCDjUJ1ggvQ0lRLi5JUV9HUk9TU19NQVJHSU4uMjAwMC43LzMxLzIwMTguTEZSLkYuVVNELkgFAAAAAQAAAAgAAAAUKEludmFsaWQgSWRlbnRpZmllcin1hDJHNAnWCPWEMkc0CdYIP0NJUS5OQVNEQVFHUzpGUFJYLklRX0VCSVREQV8zWVJfQU5OX0NBR1IuLjcvMTYvMjAxOC5MRlIuRi5VU0QuSAEAAAA3XTMAAwAAAAJOTQEIAAAABQAAAAExAQAAAAoxODg3NDAyMjI3AwAAAAMxNjACAAAABDQyMjIEAAAAATAHAAAACTcvMTYvMjAxOAgAAAAJMy8zMS8yMDE4CQAAAAEwKRyUEDUJ1ghzOWASNQnWCDdDSVEuTkFTREFRR1M6VFNSTy5JUV9QRVJJT0REQVRFX0lTLjIwMDAuNy8zMS8yMDE4LkxGUi5GAQAAAGjWWAYFAAAACTMvMzEvMjAxOACcC9U4CAnWCCTCmm80CdYIHkNJUS5JUTM2MTgzODQzLklRX0NPTVBBTllfTkFNRQEAAAAjHygCAwAAADJV</t>
  </si>
  <si>
    <t>bml0ZWQgU3RhdGVzIFRyZWFzdXJ5IENvbnN0YW50IE1hdHVyaXR5IC0gMzAgWWVhcgAMbRAONQnWCHd5gA41CdYINkNJUS5OQVNEQVFHTTpOTE5LLklRX1RPVEFMX0RFQlQuLjcvMTYvMjAxOC5MRlIuRi5VU0QuSAEAAACVe4wAAgAAAAUwLjIwMgEIAAAABQAAAAExAQAAAAoxODg4MzU0MjA3AwAAAAMxNjACAAAABDQxNzMEAAAAATAHAAAACTcvMTYvMjAxOAgAAAAJMy8zMS8yMDE4CQAAAAEwKRyUEDUJ1gjkdFsSNQnWCD1DSVEuTkFTREFRR1M6QkdORS5JUV9SRVZFTlVFX0VTVC5DWTIwMjAuNy8zMS8yMDE4LkNPTi5GLlVTRC5IAQAAAODk3QYCAAAACTI1MC44MDc3NQEOAAAABQAAAAIxMQEAAAABMAIAAAAKMTAwMzMyNjI3NwMAAAAGMTAwMTgwBAAAAAEyBgAAAAEwBwAAAAMxNjAIAAAAATAJAAAAATEKAAAAATALAAAACzEwOTc3NzIzODA1DAAAAAE3DQAAAAg4LzEvMjAxOBAAAAAJNy8zMS8yMDE4nAvVOAgJ1giB/ZVvNAnWCClDSVEuSVFUUjUzNTcxOTk5OC5JUV9CVVNJTkVTU19ERVNDUklQVElPTgEAAAA/zKQHAwAAAJIPS2l0ZSBQaGFybWEsIEluYy4sIGEgY2xpbmljYWwtc3RhZ2UgYmlvcGhhcm1hY2V1dGljYWwgY29tcGFueSwgZm9jdXNlcyBvbiB0aGUgZGV2ZWxvcG1lbnQgYW5kIGNvbW1lcmNpYWxpemF0aW9uIG9mIG5vdmVsIGNhbmNlciBpbW11bm90aGVyYXB5IHByb2R1Y3RzLiBUaGUg</t>
  </si>
  <si>
    <t>Y29tcGFueSBpcyBkZXZlbG9waW5nIGEgcGlwZWxpbmUgb2YgZW5naW5lZXJlZCBhdXRvbG9nb3VzIGNlbGwgdGhlcmFweS1iYXNlZCBwcm9kdWN0IGNhbmRpZGF0ZXMgZm9yIHRoZSB0cmVhdG1lbnQgb2Ygc29saWQgYW5kIGhlbWF0b2xvZ2ljYWwgbWFsaWduYW5jaWVzLiBJdHMgbGVhZCBwcm9kdWN0IGNhbmRpZGF0ZSBpcyBLVEUtQzE5LCBhIGNoaW1lcmljIGFudGlnZW4gcmVjZXB0b3IgKENBUiktYmFzZWQgdGhlcmFweSB0aGF0IGlzIGluIFBoYXNlIDIgY2xpbmljYWwgdHJpYWxzIGZvciBwYXRpZW50cyB3aXRoIHJlbGFwc2VkIG9yIHJlZnJhY3RvcnkgYWdncmVzc2l2ZSBkaWZmdXNlIGxhcmdlIEIgY2VsbCBseW1waG9tYSwgcHJpbWFyeSBtZWRpYXN0aW5hbCBCIGNlbGwgbHltcGhvbWEsIGFuZCB0cmFuc2Zvcm1lZCBmb2xsaWN1bGFyIGx5bXBob21hLiBUaGUgY29tcGFueSBpcyBhbHNvIGNvbmR1Y3RpbmcgYSBQaGFzZSAyIGNsaW5pY2FsIHRyaWFsIG9mIEtURS1DMTkgb24gcGF0aWVudHMgd2l0aCByZWxhcHNlZC9yZWZyYWN0b3J5IG1hbnRsZSBjZWxsIGx5bXBob21hOyBhIFBoYXNlIDEtMiBjbGluaWNhbCB0cmlhbCBvZiBLVEUtQzE5IG9uIGFkdWx0IHBhdGllbnRzIHdpdGggcmVsYXBzZWQvcmVmcmFjdG9yeSBhY3V0ZSBseW1waG9ibGFzdGljIGxldWtlbWlhOyBhbmQgYSBQaGFz</t>
  </si>
  <si>
    <t>ZSAxLTIgY2xpbmljYWwgdHJpYWwgb2YgS1RFLUMxOSBpbiBwZWRpYXRyaWMgcGF0aWVudHMgd2l0aCByZWxhcHNlZC9yZWZyYWN0b3J5LCBhcyB3ZWxsIGFzIFBoYXNlIDFiLzIgY2xpbmljYWwgdHJpYWwgb2YgS1RFLUMxOSBpbiBjb21iaW5hdGlvbiB3aXRoIEdlbmVudGVjaOKAmXMgYXRlem9saXp1bWFiIGluIHBhdGllbnRzIHdpdGggcmVmcmFjdG9yeSBETEJDTC4gSW4gYWRkaXRpb24sIGl0IGVuZ2FnZXMgaW4gZGV2ZWxvcGluZyBUIGNlbGwgcmVjZXB0b3JzLWJhc2VkIHRoZXJhcGllcywgd2hpY2ggdGFyZ2V0cyBzZWxmLWFudGlnZW5zLCB2aXJhbCBhbnRpZ2VucywgYW5kIG5lby1hbnRpZ2Vucy4gVGhlIGNvbXBhbnkgaGFzIGEgcmVzZWFyY2ggY29sbGFib3JhdGlvbiBhbmQgbGljZW5zZSBhZ3JlZW1lbnQgd2l0aCBBbWdlbiBJbmMuIHRvIGRldmVsb3AgYW5kIGNvbW1lcmNpYWxpemUgdmFyaW91cyBDQVItYmFzZWQgcHJvZHVjdCBjYW5kaWRhdGVzOyBjb29wZXJhdGl2ZSByZXNlYXJjaCBhbmQgZGV2ZWxvcG1lbnQgYWdyZWVtZW50cyB3aXRoIHRoZSBVLlMuIERlcGFydG1lbnQgb2YgSGVhbHRoIGFuZCBIdW1hbiBTZXJ2aWNlczsgYSBsaWNlbnNlIGFncmVlbWVudCB3aXRoIENhYmFyZXQgQmlvdGVjaCBMdGQuIGFuZCBOYXRpb25hbCBJbnN0aXR1dGVzIG9mIEhlYWx0aDsgYSBsaWNl</t>
  </si>
  <si>
    <t>bnNlIGFuZCByZXNlYXJjaCBhZ3JlZW1lbnQgd2l0aCBBbHBpbmUgSW1tdW5lIFNjaWVuY2VzLCBJbmMuOyBhIHJlc2VhcmNoIGNvbGxhYm9yYXRpb24gYW5kIGxpY2Vuc2UgYWdyZWVtZW50IHdpdGggQ2VsbCBEZXNpZ24gTGFicywgSW5jLjsgYW5kIGEgc3RyYXRlZ2ljIGNvbGxhYm9yYXRpb24gd2l0aCBHYWRldGEgQi5WLiB0byBkZXZlbG9wIGdhbW1hIGRlbHRhIFRDUiB0aGVyYXBpZXMgaW4gdmFyaW91cyBjYW5jZXJzLiBLaXRlIFBoYXJtYSwgSW5jLiB3YXMgZm91bmRlZCBpbiAyMDA5IGFuZCBpcyBoZWFkcXVhcnRlcmVkIGluIFNhbnRhIE1vbmljYSwgQ2FsaWZvcm5pYS4gQXMgb2YgT2N0b2JlciAyLCAyMDE3LCBLaXRlIFBoYXJtYSwgSW5jLiBvcGVyYXRlcyBhcyBhIHN1YnNpZGlhcnkgb2YgR2lsZWFkIFNjaWVuY2VzLCBJbmMuALKzSW80CdYIgf2VbzQJ1ggsQ0lRLklRVFIzNzE3MTUxMTkuSVFfVFJfVE9UQUxfR1JPU1NfVFYuVVNELkgFAAAAAAAAAAgAAAAaKEludmFsaWQgQ3VycmVuY3kgUmVxdWVzdCkMbRAONQnWCMDbgg41CdYIPkNJUS5OQVNEQVFHTTpGQVRFLklRX0NBU0hfU1RfSU5WRVNULjIwMDAuNy8zMS8yMDE4LkxGUi5GLlVTRC5IAQAAAGgxVwICAAAABjg4LjYzNAEIAAAABQAAAAExAQAAAAoxODg4NTAwNTI3AwAAAAMxNjACAAAABDEwMDIEAAAAATAHAAAACTcvMzEvMjAx</t>
  </si>
  <si>
    <t>OAgAAAAJMy8zMS8yMDE4CQAAAAEw1owROAgJ1gjDhp9vNAnWCD1DSVEuTkFTREFRQ006WklPUC5JUV9SRVZFTlVFX0VTVC5DWTIwMjEuNy8zMS8yMDE4LkNPTi5GLlVTRC5IAQAAALNRsgACAAAABTYuMzkyAQ4AAAAFAAAAAjExAQAAAAEwAgAAAAoxMDAwODk4MDc3AwAAAAYxMDAxODAEAAAAATIGAAAAATAHAAAAAzE2MAgAAAABMAkAAAABMQoAAAABMAsAAAALMTA5MzEzMDUwMjUMAAAAATcNAAAACDgvMS8yMDE4EAAAAAk3LzMxLzIwMTjWjBE4CAnWCMOGn280CdYIJUNJUS5JUVRSNTUwMjU5Mzk3LklRX1BSSU1BUllfSU5EVVNUUlkBAAAATgoMDwMAAAANQmlvdGVjaG5vbG9neQAMbRAONQnWCHd5gA41CdYIHUNJUS5OQVNEQVFHUzpKTkNFLklRX0VYQ0hBTkdFAQAAAOJ5ng0DAAAACE5hc2RhcUdTACkclBA1CdYI5HRbEjUJ1ghDQ0lRLk5BU0RBUUdNOkNSVlMuSVFfRUJJVERBXzVZUl9BTk5fQ0FHUi4yMDAwLjcvMzEvMjAxOC5MRlIuRi5VU0QuSAEAAAD0sKYQAwAAAAAA1owROAgJ1ggZ6aFvNAnWCCBDSVEuMC5JUV9UUl9UT1RBTF9HUk9TU19UVi5VU0QuSAUAAAAAAAAACAAAABgoSW52YWxpZCBUcmFuc2FjdGlvbiBJZClJU0dvNAnWCAfi8IE0CdYIO0NJUS5OQVNEQVFHUzpCR05FLklRX1RPVEFMX1JFVi5DWTIwMTcuNy8zMS8yMDE4LkxGUi5GLlVTRC5IAQAAAODk3QYCAAAABzI1NC42OTQBCAAA</t>
  </si>
  <si>
    <t>AAUAAAABMQEAAAAKMTg5OTg4MTE5NAMAAAADMTYwAgAAAAIyOAQAAAABMAcAAAAJNy8zMS8yMDE4CAAAAAoxMi8zMS8yMDE3CQAAAAEwnAvVOAgJ1giB/ZVvNAnWCChDSVEuTkFTREFRR1M6QURYUy5JUV9URVYuNy8xNi8yMDE4LlVTRC5IAQAAAJ7seAACAAAACTE3LjkwOTQ1NQEGAAAABQAAAAExAQAAAAoxODkyNzg4NDU0AwAAAAMxNjACAAAABjEwMDA2MAQAAAABMAcAAAAJNy8xNi8yMDE4KRyUEDUJ1gjkdFsSNQnWCD1DSVEuTkFTREFRR1M6Q0FMQS5JUV9SRVZFTlVFX0VTVC5DWTIwMjAuNy8zMS8yMDE4LkNPTi5GLlVTRC5IAQAAAKUngQYCAAAABTg1LjE1AQ4AAAAFAAAAAjExAQAAAAEwAgAAAAoxMDAyODk2NDI4AwAAAAYxMDAxODAEAAAAATIGAAAAATAHAAAAAzE2MAgAAAABMAkAAAABMQoAAAABMAsAAAALMTA5MTMyNzg0NTUMAAAAATcNAAAACDgvMS8yMDE4EAAAAAk3LzMxLzIwMTjIMLI3CAnWCN1LpG80CdYIPUNJUS5OQVNEQVFHUzpUU1JPLklRX1JFVkVOVUVfRVNULkNZMjAyMC43LzE2LzIwMTguQ09OLkYuVVNELkgBAAAAaNZYBgIAAAAJNjcwLjM4ODkyAQ4AAAAFAAAAAjExAQAAAAEwAgAAAAoxMDAxNTgwMzUwAwAAAAYxMDAxODAEAAAAATIGAAAAATAHAAAAAzE2MAgAAAABMAkAAAABMQoAAAABMAsAAAALMTA5NjcyMTU4MjYMAAAAATcNAAAACTcvMTcvMjAxOBAAAAAJNy8xNi8yMDE4</t>
  </si>
  <si>
    <t>xP8bETUJ1ggS/mQSNQnWCDhDSVEuTkFTREFRR1M6QkdORS5JUV9FQklUREEuQ1kyMDE3LjcvMzEvMjAxOC5MRlIuRi5VU0QuSAEAAADg5N0GAgAAAActNzcuMzkyAQgAAAAFAAAAATEBAAAACjE4OTk4ODExOTQDAAAAAzE2MAIAAAAENDA1MQQAAAABMAcAAAAJNy8zMS8yMDE4CAAAAAoxMi8zMS8yMDE3CQAAAAEwnAvVOAgJ1giB/ZVvNAnWCDpDSVEuTkFTREFRR006QVJSWS5JUV9UT1RBTF9ERUJULjIwMDAuNy8zMS8yMDE4LkxGUi5GLlVTRC5IAQAAAPhhAAACAAAABzEwNy4zNTUBCAAAAAUAAAABMQEAAAAKMTg4ODQ3MDY3NgMAAAADMTYwAgAAAAQ0MTczBAAAAAEwBwAAAAk3LzMxLzIwMTgIAAAACTMvMzEvMjAxOAkAAAABMJwL1TgICdYI1F+YbzQJ1gg2Q0lRLk5BU0RBUUdTOlRTUk8uSVFfVE9UQUxfREVCVC4uNy8xNi8yMDE4LkxGUi5GLlVTRC5IAQAAAGjWWAYCAAAABzQ0MC40MTcBCAAAAAUAAAABMQEAAAAKMTg4NjMzNzQ2NgMAAAADMTYwAgAAAAQ0MTczBAAAAAEwBwAAAAk3LzE2LzIwMTgIAAAACTMvMzEvMjAxOAkAAAABMMT/GxE1CdYIEv5kEjUJ1gg3Q0lRLk9UQ1BLOk1CVlguSVFfQ0FTSF9TVF9JTlZFU1QuLjkvMTUvMjAxNy5MRlIuRi5VU0QuSAEAAADYRIsCAgAAAAgxLjg0NjkwNgEIAAAABQAAAAExAQAAAAoxODU0MjY1NzYzAwAAAAMxNjACAAAABDEwMDIEAAAAATAHAAAACTkvMTUv</t>
  </si>
  <si>
    <t>MjAxNwgAAAAJNi8zMC8yMDE3CQAAAAEw3qd+EDUJ1giYElkSNQnWCDpDSVEuTkFTREFRR1M6TVJTTi5JUV9FQVJOSU5HX0NPLjIwMDAuNy8zMS8yMDE4LkxGUi5GLlVTRC5IAQAAAObFGAACAAAABy00My4wNDkBCAAAAAUAAAABMQEAAAAKMTg4OTA5NjY1MwMAAAADMTYwAgAAAAE3BAAAAAEwBwAAAAk3LzMxLzIwMTgIAAAACTMvMzEvMjAxOAkAAAABMNaMETgICdYIw4afbzQJ1ggvQ0lRLklRVFI1NjM5MTkwNDkuSVFfVFJfVEFSR0VUX1RPVEFMX1JFVi4uVVNELkgBAAAAybicIQIAAAAAAAxtEA41CdYIwNuCDjUJ1gguQ0lRLk5BU0RBUUdTOk1SU04uSVFfTUFSS0VUQ0FQLjcvMzEvMjAxOC5VU0QuSAEAAADmxRgAAgAAAAoyNzAuMjQxODY1AQYAAAAFAAAAATEBAAAACjE4ODkwOTQxMDADAAAAAzE2MAIAAAAGMTAwMDU0BAAAAAEwBwAAAAk3LzMxLzIwMTjWjBE4CAnWCMOGn280CdYINkNJUS5OQVNEQVFHTTpOTE5LLklRX1RPVEFMX0RFQlQuLjkvMTUvMjAxNy5MRlIuRi5VU0QuSAEAAACVe4wAAgAAAAUwLjM5NQEIAAAABQAAAAExAQAAAAoxODUxODk2OTUzAwAAAAMxNjACAAAABDQxNzMEAAAAATAHAAAACTkvMTUvMjAxNwgAAAAJNi8zMC8yMDE3CQAAAAEwKRyUEDUJ1gjkdFsSNQnWCCJDSVEuSVFUUjM3MTcxNTExOS5JUV9UUl9UT1RBTF9DQVNIAQAAAC/sJxYCAAAAAABYzxIONQnWCMDbgg41CdYI</t>
  </si>
  <si>
    <t>OkNJUS5OQVNEQVFHTTpBUlFMLklRX0VBUk5JTkdfQ08uMjAwMC43LzMxLzIwMTguTEZSLkYuVVNELkgBAAAA9mEAAAIAAAAHLTI4LjE1OQEIAAAABQAAAAExAQAAAAoxODg4Nzg4NzcwAwAAAAMxNjACAAAAATcEAAAAATAHAAAACTcvMzEvMjAxOAgAAAAJMy8zMS8yMDE4CQAAAAEw1owROAgJ1ghzJJ1vNAnWCCFDSVEuLklRX1RSX1RBUkdFVF9TVE9DS1BSRU1JVU1fMVcFAAAAAAAAAAgAAAAUKEludmFsaWQgSWRlbnRpZmllcimcC9U4CAnWCHd5gA41CdYILkNJUS5OQVNEQVFHUzpTR0VOLklRX01BUktFVENBUC43LzE2LzIwMTguVVNELkgBAAAAYYUAAAIAAAAMMTA5MTUuOTAzMjg4AQYAAAAFAAAAATEBAAAACjE4ODQ4OTExNTcDAAAAAzE2MAIAAAAGMTAwMDU0BAAAAAEwBwAAAAk3LzE2LzIwMThGnRkRNQnWCGhgZxI1CdYIJUNJUS5OQVNEQVFHTTpBRk1ELklRX0ZJUlNUUFJJQ0lOR0RBVEUBAAAA2/cMAAUAAAAJOS8xMi8yMDE0ACkclBA1CdYIMNddEjUJ1ggdQ0lRLk5BU0RBUUdTOkdUSFguSVFfRVhDSEFOR0UBAAAAZTRpCAMAAAAITmFzZGFxR1MAnAvVOAgJ1ggkwppvNAnWCDhDSVEuWFRSQTpNT1IuSVFfRUJJVERBX01BUkdJTi4yMDAwLjcvMzEvMjAxOC5MRlIuRi5VU0QuSAEAAADfEQIAAgAAAAktMTAwLjI3ODMBCAAAAAUAAAABMQEAAAAKMTg4NjE1MTY0OAMAAAACNTACAAAABDQwNDcEAAAA</t>
  </si>
  <si>
    <t>ATAHAAAACTcvMzEvMjAxOAgAAAAJMy8zMS8yMDE4CQAAAAEwnAvVOAgJ1gjUX5hvNAnWCDlDSVEuTkFTREFRR1M6TksuSVFfUFJFRl9FUVVJVFkuMjAwMC43LzMxLzIwMTguTEZSLkYuVVNELkgBAAAADX2hDwMAAAAAANaMETgICdYIw4afbzQJ1gg5Q0lRLlhUUkE6TU9SLklRX0NBU0hfU1RfSU5WRVNULjIwMDAuNy8zMS8yMDE4LkxGUi5GLlVTRC5IAQAAAN8RAgACAAAACjM1Mi4wNTExNzYBCAAAAAUAAAABMQEAAAAKMTg4NjE1MTY0OAMAAAADMTYwAgAAAAQxMDAyBAAAAAEwBwAAAAk3LzMxLzIwMTgIAAAACTMvMzEvMjAxOAkAAAABMJwL1TgICdYI1F+YbzQJ1ggvQ0lRLklRVFI1NDI4MDY2ODYuSVFfVFJfSU1QTElFRF9FVl9GSU5BTC4uVVNELkgBAAAAnpJaIAIAAAAAALKzSW80CdYIgf2VbzQJ1gggQ0lRLklRVFI1NTAyNTkzOTcuSVFfVFJfRUFSTk9VVFMBAAAAxUrMIAIAAAAAAAxtEA41CdYId3mADjUJ1gg1Q0lRLk5BU0RBUUdTOlBCWUkuSVFfVE9UQUxfUkVWLi43LzE2LzIwMTguTEZSLkYuVVNELkgBAAAAAmqsBwIAAAAGOTQuMjAxAQgAAAAFAAAAATEBAAAACjE4ODg2Njc3NDMDAAAAAzE2MAIAAAACMjgEAAAAATAHAAAACTcvMTYvMjAxOAgAAAAJMy8zMS8yMDE4CQAAAAEwxP8bETUJ1ggS/mQSNQnWCDVDSVEuTkFTREFRR1M6Q0FMQS5JUV9DQVBFWC4xOTkyLjcvMzEvMjAxOC5MRlIuRi5V</t>
  </si>
  <si>
    <t>U0QuSAEAAAClJ4EGAgAAAAYtMC41NDIBCAAAAAUAAAABMQEAAAAKMTg0MDk4MjY0NgMAAAADMTYwAgAAAAQyMDIxBAAAAAEwBwAAAAk3LzMxLzIwMTgIAAAACTMvMzEvMjAxNgkAAAABMMgwsjcICdYI3UukbzQJ1gg7Q0lRLk5BU0RBUUdNOk5MTksuSVFfTkVUX1dPUktJTkdfQ0FQLi43LzE2LzIwMTguTEZSLkYuVVNELkgBAAAAlXuMAAIAAAAGLTMuNTk4AQgAAAAFAAAAATEBAAAACjE4ODgzNTQyMDcDAAAAAzE2MAIAAAAEMTMxMQQAAAABMAcAAAAJNy8xNi8yMDE4CAAAAAkzLzMxLzIwMTgJAAAAATApHJQQNQnWCOR0WxI1CdYIPUNJUS5OQVNEQVFHUzpBVE5YLklRX1JFVkVOVUVfRVNULkNZMjAxOS43LzMxLzIwMTguQ09OLkYuVVNELkgBAAAA3JlrAQIAAAAIOTUuNTc4MjMBDgAAAAUAAAACMTEBAAAAATACAAAACjEwMDM3NzgzNjkDAAAABjEwMDE4MAQAAAABMgYAAAABMAcAAAADMTYwCAAAAAEwCQAAAAExCgAAAAEwCwAAAAsxMDk5NTQyMzM5MwwAAAABNw0AAAAIOC8xLzIwMTgQAAAACTcvMzEvMjAxONaMETgICdYIJMKabzQJ1gg+Q0lRLk5BU0RBUUdNOkZBVEUuSVFfVE9UQUxfRVFVSVRZLkNZMjAxNy43LzMxLzIwMTguTEZSLkYuVVNELkgBAAAAaDFXAgIAAAAGNzcuMTg5AQgAAAAFAAAAATEBAAAACjE4NzcwNjkwOTADAAAAAzE2MAIAAAAEMTI3NQQAAAABMAcAAAAJNy8zMS8yMDE4CAAAAAox</t>
  </si>
  <si>
    <t>Mi8zMS8yMDE3CQAAAAEw1owROAgJ1gjDhp9vNAnWCDZDSVEuTkFTREFRQ006U1JORS5JUV9FQklUREEuMjAwMC43LzMxLzIwMTguTEZSLkYuVVNELkgBAAAASUOUAwIAAAAGNjMuMDcxAQgAAAAFAAAAATEBAAAACjE4ODc5ODk4MzEDAAAAAzE2MAIAAAAENDA1MQQAAAABMAcAAAAJNy8zMS8yMDE4CAAAAAkzLzMxLzIwMTgJAAAAATDWjBE4CAnWCHMknW80CdYIIUNJUS5OQVNEQVFHUzpLVVJBLklRX0NPTVBBTllfTkFNRQEAAAC4y9oQAwAAABNLdXJhIE9uY29sb2d5LCBJbmMuANaMETgICdYIcySdbzQJ1gghQ0lRLk5BU0RBUUdTOkFEWFMuSVFfQ09NUEFOWV9OQU1FAQAAAJ7seAADAAAADUFkdmF4aXMsIEluYy4AKRyUEDUJ1gjkdFsSNQnWCDhDSVEuTkFTREFRR006TkxOSy5JUV9FQklUREEuQ1kyMDE2LjcvMTYvMjAxOC5MRlIuRi5VU0QuSAEAAACVe4wAAgAAAActNzcuMDc0AQgAAAAFAAAAATEBAAAACjE4NzcyOTg3MDUDAAAAAzE2MAIAAAAENDA1MQQAAAABMAcAAAAJNy8xNi8yMDE4CAAAAAoxMi8zMS8yMDE2CQAAAAEwKRyUEDUJ1gjkdFsSNQnWCChDSVEuTkFTREFRR006WE5DUi5JUV9URVYuNy8xNi8yMDE4LlVTRC5IAQAAAKZaCwACAAAACzE3OTAuOTU5NjQxAQYAAAAFAAAAATEBAAAACjE4ODcxMjQ5OTADAAAAAzE2MAIAAAAGMTAwMDYwBAAAAAEwBwAAAAk3LzE2LzIwMThGnRkRNQnWCBL+</t>
  </si>
  <si>
    <t>ZBI1CdYIPENJUS5OQVNEQVFDTTpaSU9QLklRX0VCSVREQV9FU1QuQ1kyMDE5LjcvMzEvMjAxOC5DT04uRi5VU0QuSAEAAACzUbIAAgAAAAMtNjUBDgAAAAUAAAACMTEBAAAAATACAAAACjEwMDA4OTgwNzUDAAAABjEwMDE4NwQAAAABMgYAAAABMAcAAAADMTYwCAAAAAEwCQAAAAExCgAAAAEwCwAAAAsxMDkzMTUzMzY0NwwAAAABNw0AAAAIOC8xLzIwMTgQAAAACTcvMzEvMjAxONaMETgICdYIw4afbzQJ1gg9Q0lRLk5BU0RBUUdNOklNTVUuSVFfUkVWRU5VRV9FU1QuQ1kyMDIwLjcvMTYvMjAxOC5DT04uRi5VU0QuSAEAAAAgQwQAAgAAAAgyNTQuNDMzMwEOAAAABQAAAAIxMQEAAAABMAIAAAAJMzcwMDgxMzk2AwAAAAYxMDAxODAEAAAAATIGAAAAATAHAAAAAzE2MAgAAAABMAkAAAABMQoAAAABMAsAAAALMTA5NTg2NzYxNDMMAAAAATcNAAAACTcvMTcvMjAxOBAAAAAJNy8xNi8yMDE4xP8bETUJ1ggS/mQSNQnWCDBDSVEuSVFUUjI3MzUwNzE4NS5JUV9UUl9UQVJHRVRfRUJJVERBX0VTVC4uVVNELkgBAAAAcWNNEAIAAAAAALKzSW80CdYIgf2VbzQJ1gg2Q0lRLkVOWFRQQTpJUEguSVFfRUJJVERBX01BUkdJTi4uNy8xNi8yMDE4LkxGUi5GLlVTRC5IAQAAAJmABgACAAAACC04MC44MjM0AQgAAAAFAAAAATEBAAAACjE4ODk1NTIxNjQDAAAAAjUwAgAAAAQ0MDQ3BAAAAAEwBwAAAAk3LzE2LzIwMTgIAAAA</t>
  </si>
  <si>
    <t>CjEyLzMxLzIwMTcJAAAAATApHJQQNQnWCHM5YBI1CdYIO0NJUS5OQVNEQVFHUzpHVEhYLklRX0VCSVRfTUFSR0lOLjIwMDAuNy8zMS8yMDE4LkxGUi5GLlVTRC5IAQAAAGU0aQgDAAAAAACcC9U4CAnWCCTCmm80CdYIIENJUS5JUTM2MTgzODE2LklRX0xBU1RTQUxFUFJJQ0UuAQAAAAgfKAICAAAABDIuMDkAnAvVOAgJ1gh3eYAONQnWCCVDSVEuTkFTREFRR006WE5DUi5JUV9GSVJTVFBSSUNJTkdEQVRFAQAAAKZaCwAFAAAACTEyLzMvMjAxMwBGnRkRNQnWCBL+ZBI1CdYIKUNJUS5JUVRSNTQyODA2Njg2LklRX1RSX0lNUExJRURfRVFfTklfTFRNAQAAAJ6SWiACAAAAAACys0lvNAnWCIH9lW80CdYIMUNJUS5JUVRSNTQ3NDIzNjgwLklRX1RSX1RBUkdFVF9SRVZFTlVFX0VTVC4uVVNELkgBAAAAwAWhIAIAAAAAAAxtEA41CdYIwNuCDjUJ1gg4Q0lRLk5BU0RBUUdTOktVUkEuSVFfRUJJVERBLkNZMjAxNy43LzMxLzIwMTguTEZSLkYuVVNELkgBAAAAuMvaEAIAAAAHLTM2LjA0NwEIAAAABQAAAAExAQAAAAoxODc4MDEyNDc4AwAAAAMxNjACAAAABDQwNTEEAAAAATAHAAAACTcvMzEvMjAxOAgAAAAKMTIvMzEvMjAxNwkAAAABMNaMETgICdYIcySdbzQJ1gg9Q0lRLk5BU0RBUUNNOlNSTkUuSVFfRUJJVERBX01BUkdJTi4yMDAwLjcvMzEvMjAxOC5MRlIuRi5VU0QuSAEAAABJQ5QDAgAAAAc0MS4xNjE1AQgA</t>
  </si>
  <si>
    <t>AAAFAAAAATEBAAAACjE4ODc5ODk4MzEDAAAAAzE2MAIAAAAENDA0NwQAAAABMAcAAAAJNy8zMS8yMDE4CAAAAAkzLzMxLzIwMTgJAAAAATDWjBE4CAnWCHMknW80CdYIOENJUS5OQVNEQVFHTTpBUlJZLklRX0VCSVREQS5DWTIwMTcuNy8zMS8yMDE4LkxGUi5GLlVTRC5IAQAAAPhhAAACAAAACC0xMTcuMjYyAQgAAAAFAAAAATEBAAAACjE4NzMyMDM3OTgDAAAAAzE2MAIAAAAENDA1MQQAAAABMAcAAAAJNy8zMS8yMDE4CAAAAAoxMi8zMS8yMDE3CQAAAAEwnAvVOAgJ1gjUX5hvNAnWCDxDSVEuTkFTREFRR1M6TVJTTi5JUV9FQklUREFfRVNULkNZMjAxOS43LzE2LzIwMTguQ09OLkYuVVNELkgBAAAA5sUYAAIAAAAHLTY5LjU2OAEOAAAABQAAAAIxMQEAAAABMAIAAAAKMTAwMzgwMzI4MAMAAAAGMTAwMTg3BAAAAAEyBgAAAAEwBwAAAAMxNjAIAAAAATAJAAAAATEKAAAAATALAAAACzEwODgzODMxMzk0DAAAAAE3DQAAAAk3LzE3LzIwMTgQAAAACTcvMTYvMjAxOMT/GxE1CdYIczlgEjUJ1gg5Q0lRLk5BU0RBUUdNOkNSVlMuSVFfVE9UQUxfUkVWLjE5OTYuNy8zMS8yMDE4LkxGUi5GLlVTRC5IAQAAAPSwphADAAAAAADWjBE4CAnWCBnpoW80CdYIQkNJUS5OQVNEQVFHTTpYTkNSLklRX1RPVEFMX1JFVl8yWVJfQU5OX0NBR1IuLjcvMTYvMjAxOC5MRlIuRi5VU0QuSAEAAACmWgsAAgAAAActMS45NzY0AQgA</t>
  </si>
  <si>
    <t>AAAFAAAAATEBAAAACjE4ODcxMjU4NTUDAAAAAzE2MAIAAAAENDIwNwQAAAABMAcAAAAJNy8xNi8yMDE4CAAAAAkzLzMxLzIwMTgJAAAAATDE/xsRNQnWCBL+ZBI1CdYIP0NJUS5OQVNEQVFHTTpGQVRFLklRX05FVF9XT1JLSU5HX0NBUC4xOTk2LjcvMzEvMjAxOC5MRlIuRi5VU0QuSAEAAABoMVcCAgAAAAUtOC4xNAEIAAAABQAAAAExAQAAAAoxODg4NTAwMzMzAwAAAAMxNjACAAAABDEzMTEEAAAAATAHAAAACTcvMzEvMjAxOAgAAAAJMy8zMS8yMDE3CQAAAAEw1owROAgJ1gjDhp9vNAnWCDtDSVEuTkFTREFRR006Q1JWUy5JUV9UT1RBTF9SRVYuQ1kyMDE2LjcvMzEvMjAxOC5MRlIuRi5VU0QuSAEAAAD0sKYQAwAAAAAA1owROAgJ1ggZ6aFvNAnWCDtDSVEuTkFTREFRR006TFBUWC5JUV9ORVRfV09SS0lOR19DQVAuLjcvMTYvMjAxOC5MRlIuRi5VU0QuSAEAAAAMNgkHAgAAAAYtNC41NTgBCAAAAAUAAAABMQEAAAAKMTg5MDE2MzkzNgMAAAADMTYwAgAAAAQxMzExBAAAAAEwBwAAAAk3LzE2LzIwMTgIAAAACTMvMzEvMjAxOAkAAAABMCkclBA1CdYIMNddEjUJ1gg5Q0lRLk9UQ1BLOk1CVlguSVFfRUFSTklOR19DTy5DWTIwMTYuNy8xNi8yMDE4LkxGUi5GLlVTRC5IAQAAANhEiwICAAAACi0xNy42NjA0ODMBCAAAAAUAAAABMQEAAAAKMTg4MTIxMzIyMAMAAAADMTYwAgAAAAE3BAAAAAEwBwAAAAk3LzE2</t>
  </si>
  <si>
    <t>LzIwMTgIAAAACjEyLzMxLzIwMTYJAAAAATDep34QNQnWCJgSWRI1CdYINENJUS5PVENQSzpNQlZYLklRX1BSRUZfRVFVSVRZLi45LzE1LzIwMTcuTEZSLkYuVVNELkgBAAAA2ESLAgIAAAAIMC4wMzc2NjMBCAAAAAUAAAABMQEAAAAKMTg1NDI2NTc2MwMAAAADMTYwAgAAAAQxMDA1BAAAAAEwBwAAAAk5LzE1LzIwMTcIAAAACTYvMzAvMjAxNwkAAAABMN6nfhA1CdYImBJZEjUJ1gg6Q0lRLk5BU0RBUUdTOktVUkEuSVFfRUFSTklOR19DTy4xOTkyLjcvMzEvMjAxOC5MRlIuRi5VU0QuSAEAAAC4y9oQAgAAAActMjQuNzc1AQgAAAAFAAAAATEBAAAACjE4NDIyODA3MTcDAAAAAzE2MAIAAAABNwQAAAABMAcAAAAJNy8zMS8yMDE4CAAAAAkzLzMxLzIwMTYJAAAAATDWjBE4CAnWCHMknW80CdYIJUNJUS5JUVRSNDA4MjkxMzk1LklRX1RSX0lNUExJRURfRVFfQlYBAAAAQwhWGAMAAAACTk0AWM8SDjUJ1gjA24IONQnWCC9DSVEuSVFUUjQxMTg3MTA4Mi5JUV9UUl9JTVBMSUVEX0VWX0ZJTkFMLi5VU0QuSAEAAABqp4wYAgAAAAsxNzI4LjI1NTgxNAEGAAAABQAAAAI1NAEAAAAGMTAyMDQ1AgAAAAk0MTE4NzEwODIDAAAACTQxMTg3MTI5MQQAAAADMTYwBgAAAAVGYWxzZbKzSW80CdYINZuTbzQJ1ggrQ0lRLkFTWDpJTVUuSVFfQ0FQRVguLjcvMTYvMjAxOC5MRlIuRi5VU0QuSAEAAACYk6kAAgAAAAktMC4wMDI2</t>
  </si>
  <si>
    <t>MDEBCAAAAAUAAAABMQEAAAAKMTg3NzMwNTMyMAMAAAADMTYwAgAAAAQyMDIxBAAAAAEwBwAAAAk3LzE2LzIwMTgIAAAACjEyLzMxLzIwMTcJAAAAATApHJQQNQnWCDDXXRI1CdYIPENJUS5OQVNEQVFHUzpOSy5JUV9UT1RBTF9FUVVJVFkuQ1kyMDE3LjcvMzEvMjAxOC5MRlIuRi5VU0QuSAEAAAANfaEPAgAAAAcyMTguODQ0AQgAAAAFAAAAATEBAAAACjE4NzgwMTI1OTcDAAAAAzE2MAIAAAAEMTI3NQQAAAABMAcAAAAJNy8zMS8yMDE4CAAAAAoxMi8zMS8yMDE3CQAAAAEw1owROAgJ1ggZ6aFvNAnWCDFDSVEuTkFTREFRR1M6UEJZSS5JUV9DQVBFWC4uNy8xNi8yMDE4LkxGUi5GLlVTRC5IAQAAAAJqrAcCAAAABi0wLjM0NwEIAAAABQAAAAExAQAAAAoxODg4NjY3NzQzAwAAAAMxNjACAAAABDIwMjEEAAAAATAHAAAACTcvMTYvMjAxOAgAAAAJMy8zMS8yMDE4CQAAAAEwxP8bETUJ1ggS/mQSNQnWCDZDSVEuTkFTREFRR1M6QkdORS5JUV9FQklUREEuMjAwMC43LzMxLzIwMTguTEZSLkYuVVNELkgBAAAA4OTdBgIAAAAILTE1MS41ODYBCAAAAAUAAAABMQEAAAAKMTg4NzY4ODU4OAMAAAADMTYwAgAAAAQ0MDUxBAAAAAEwBwAAAAk3LzMxLzIwMTgIAAAACTMvMzEvMjAxOAkAAAABMJwL1TgICdYIgf2VbzQJ1ggiQ0lRLklRVFI1NTExNjYyOTIuSVFfVFJfVE9UQUxfQ0FTSAEAAABUIdogAgAAAAk1NTIuNTQ4</t>
  </si>
  <si>
    <t>OTYBBgAAAAUAAAACNTQBAAAABjEwMTA1NgIAAAAJNTUxMTY2MjkyAwAAAAk1NTExNzMzNzUEAAAAAzE2MAYAAAAFRmFsc2UMbRAONQnWCMDbgg41CdYIPENJUS5OQVNEQVFHUzpCR05FLklRX0VCSVREQV9FU1QuQ1kyMDE5LjcvMzEvMjAxOC5DT04uRi5VU0QuSAEAAADg5N0GAgAAAAotMzQxLjUzOTY3AQ4AAAAFAAAAAjExAQAAAAEwAgAAAAoxMDAzMzI2MjcyAwAAAAYxMDAxODcEAAAAATIGAAAAATAHAAAAAzE2MAgAAAABMAkAAAABMQoAAAABMAsAAAALMTA5ODY2NjQ5NDkMAAAAATcNAAAACDgvMS8yMDE4EAAAAAk3LzMxLzIwMTicC9U4CAnWCIH9lW80CdYIJ0NJUS5OQVNEQVFHUzpBTkFCLklRX0JFVEFfMllSLjcvMTYvMjAxOAEAAAAhTLIBAgAAABEwLjc5MDM1NjgyMDE5NTA0NADE/xsRNQnWCMKbYhI1CdYIOUNJUS5PVENQSzpNQlZYLklRX0VBUk5JTkdfQ08uQ1kyMDE3LjcvMTYvMjAxOC5MRlIuRi5VU0QuSAEAAADYRIsCAgAAAAotMTkuMDIwNjc5AQgAAAAFAAAAATEBAAAACjE4ODEyMTMyNDUDAAAAAzE2MAIAAAABNwQAAAABMAcAAAAJNy8xNi8yMDE4CAAAAAoxMi8zMS8yMDE3CQAAAAEw3qd+EDUJ1giYElkSNQnWCDBDSVEuSVFUUjU1MTE2NjI5Mi5JUV9UUl9UQVJHRVRfRUJJVERBX0VTVC4uVVNELkgBAAAAVCHaIAIAAAAAAAxtEA41CdYIwNuCDjUJ1gghQ0lRLklRMjg2Njc1Mzg0LklR</t>
  </si>
  <si>
    <t>X0NPTVBBTllfVElDS0VSAQAAALhRFhEDAAAADU5hc2RhcUNNOkNLUFQADG0QDjUJ1gh/UJgONQnWCBhDSVEuLklRX1RSX01BSl9NSU5fU1RBS0UFAAAAAAAAAAgAAAAUKEludmFsaWQgSWRlbnRpZmllcimcC9U4CAnWCHd5gA41CdYIK0NJUS5JUVRSMzAyODY2NjI3LklRX1RSX1RPVEFMX0dST1NTX1RWLi5VU0QBAAAAw2ANEgIAAAAJNDIuODExNzI4AQYAAAAFAAAAAjU0AQAAAAYxMDIwODgCAAAACTMwMjg2NjYyNwMAAAAJMzAyODY3MTUxBAAAAAMxNjAGAAAABUZhbHNlWM8SDjUJ1ggMPoUONQnWCDdDSVEuTkFTREFRR006TkxOSy5JUV9QUkVGX0VRVUlUWS4uOS8xNS8yMDE3LkxGUi5GLlVTRC5IAQAAAJV7jAADAAAAAAApHJQQNQnWCOR0WxI1CdYIQ0NJUS5OQVNEQVFHUzpDQUxBLklRX0VCSVREQV8yWVJfQU5OX0NBR1IuMjAwMC43LzMxLzIwMTguTEZSLkYuVVNELkgBAAAApSeBBgMAAAACTk0BCAAAAAUAAAABMQEAAAAKMTg4Nzk4MDMwNQMAAAADMTYwAgAAAAQ0MjA5BAAAAAEwBwAAAAk3LzMxLzIwMTgIAAAACTMvMzEvMjAxOAkAAAABMMgwsjcICdYI3UukbzQJ1ggeQ0lRLklRODQ5ODgzLklRX0NPTVBBTllfVElDS0VSAQAAANv3DAADAAAADU5hc2RhcUdNOkFGTUQADG0QDjUJ1gh/UJgONQnWCDVDSVEuTkFTREFRR1M6QURYUy5JUV9OSV9NQVJHSU4uLjcvMTYvMjAxOC5MRlIuRi5VU0QuSAEA</t>
  </si>
  <si>
    <t>AACe7HgAAwAAAAJOTQEIAAAABQAAAAExAQAAAAoxODkyNzg4NTQ4AwAAAAMxNjACAAAABDQwOTQEAAAAATAHAAAACTcvMTYvMjAxOAgAAAAJNC8zMC8yMDE4CQAAAAEwKRyUEDUJ1gjkdFsSNQnWCD9DSVEuT1RDUEs6TldCTy5JUV9UT1RBTF9SRVZfNVlSX0FOTl9DQUdSLi43LzE2LzIwMTguTEZSLkYuVVNELkgBAAAAo3oUAAIAAAAILTE1LjE0MDcBCAAAAAUAAAABMQEAAAAKMTg4OTMwMjgyNAMAAAADMTYwAgAAAAQ0MjMzBAAAAAEwBwAAAAk3LzE2LzIwMTgIAAAACTMvMzEvMjAxOAkAAAABMCkclBA1CdYIMNddEjUJ1gg9Q0lRLk5BU0RBUUdTOk1SU04uSVFfUkVWRU5VRV9FU1QuQ1kyMDE5LjcvMzEvMjAxOC5DT04uRi5VU0QuSAEAAADmxRgAAgAAAAYyMC41MjQBDgAAAAUAAAACMTEBAAAAATACAAAACjEwMDM4MDMyODADAAAABjEwMDE4MAQAAAABMgYAAAABMAcAAAADMTYwCAAAAAEwCQAAAAExCgAAAAEwCwAAAAsxMTA0MzU4MTUzOAwAAAABNw0AAAAIOC8xLzIwMTgQAAAACTcvMzEvMjAxONaMETgICdYIw4afbzQJ1ghDQ0lRLk5BU0RBUUdTOkpOQ0UuSVFfTUlOT1JJVFlfSU5URVJFU1RfVE9UQUwuLjcvMTYvMjAxOC5MRlIuRi5VU0QuSAEAAADieZ4NAwAAAAAAKRyUEDUJ1gjkdFsSNQnWCDZDSVEuTkFTREFRR1M6TUdOWC5JUV9UT1RBTF9ERUJULi43LzE2LzIwMTguTEZSLkYuVVNELkgBAAAA</t>
  </si>
  <si>
    <t>TysJAAIAAAABMAEIAAAABQAAAAExAQAAAAoxODg3MTE0OTQ1AwAAAAMxNjACAAAABDQxNzMEAAAAATAHAAAACTcvMTYvMjAxOAgAAAAJMy8zMS8yMDE4CQAAAAEwxP8bETUJ1gjCm2ISNQnWCDlDSVEuTkFTREFRR006RkFURS5JUV9UT1RBTF9ERUJULjIwMDAuNS81LzIwMTcuTEZSLkYuVVNELkgBAAAAaDFXAgIAAAAGMTAuNjg4AQgAAAAFAAAAATEBAAAACjE4MzIxNjc4OTYDAAAAAzE2MAIAAAAENDE3MwQAAAABMAcAAAAINS81LzIwMTcIAAAACjEyLzMxLzIwMTYJAAAAATDWjBE4CAnWCMOGn280CdYIM0NJUS5OQVNEQVFHUzpOSy5JUV9DQVBFWC4xOTkyLjcvMzEvMjAxOC5MRlIuRi5VU0QuSAEAAAANfaEPAgAAAAUtMy4yNwEIAAAABQAAAAExAQAAAAoxODQwNzQxODU3AwAAAAMxNjACAAAABDIwMjEEAAAAATAHAAAACTcvMzEvMjAxOAgAAAAJMy8zMS8yMDE2CQAAAAEw1owROAgJ1ggZ6aFvNAnWCD1DSVEuTkFTREFRR1M6Q0FMQS5JUV9SRVZFTlVFX0VTVC5DWTIwMTkuNy8xNi8yMDE4LkNPTi5GLlVTRC5IAQAAAKUngQYCAAAABzIwLjIwMjUBDgAAAAUAAAACMTEBAAAAATACAAAACjEwMDI4OTY0MjMDAAAABjEwMDE4MAQAAAABMgYAAAABMAcAAAADMTYwCAAAAAEwCQAAAAExCgAAAAEwCwAAAAsxMDkxMzI3ODQ3MwwAAAABNw0AAAAJNy8xNy8yMDE4EAAAAAk3LzE2LzIwMTgpHJQQNQnWCOR0WxI1</t>
  </si>
  <si>
    <t>CdYIPUNJUS5OQVNEQVFHUzpCR05FLklRX1JFVkVOVUVfRVNULkNZMjAyMS43LzE2LzIwMTguQ09OLkYuVVNELkgBAAAA4OTdBgIAAAAJODAwLjI4MzY3AQ4AAAAFAAAAAjExAQAAAAEwAgAAAAoxMDAzMzI2MjgyAwAAAAYxMDAxODAEAAAAATIGAAAAATAHAAAAAzE2MAgAAAABMAkAAAABMQoAAAABMAsAAAALMTA5NTEyNDA1NDEMAAAAATcNAAAACTcvMTcvMjAxOBAAAAAJNy8xNi8yMDE4xP8bETUJ1ghoYGcSNQnWCDpDSVEuTkFTREFRQ006TVRFTS5JUV9FQVJOSU5HX0NPLjIwMDAuNy8zMS8yMDE4LkxGUi5GLlVTRC5IAQAAAJmbqQECAAAABy0zMC42NTkBCAAAAAUAAAABMQEAAAAKMTg4ODczMzAwNAMAAAADMTYwAgAAAAE3BAAAAAEwBwAAAAk3LzMxLzIwMTgIAAAACTMvMzEvMjAxOAkAAAABMMgwsjcICdYIGemhbzQJ1ggwQ0lRLk5BU0RBUUdTOk1SU04uSVFfTEFTVFNBTEVQUklDRS43LzE2LzIwMTguVVNEAQAAAObFGAACAAAABTE1LjQyAEadGRE1CdYIczlgEjUJ1gg4Q0lRLk5BU0RBUUdTOlNHRU4uSVFfRUJJVERBLkNZMjAxNy43LzE2LzIwMTguTEZSLkYuVVNELkgBAAAAYYUAAAIAAAAILTE3MS41MzIBCAAAAAUAAAABMQEAAAAKMTg3NDY5NjIyMAMAAAADMTYwAgAAAAQ0MDUxBAAAAAEwBwAAAAk3LzE2LzIwMTgIAAAACjEyLzMxLzIwMTcJAAAAATDE/xsRNQnWCGhgZxI1CdYIK0NJUS5OWVNF</t>
  </si>
  <si>
    <t>OkJIVk4uSVFfQ0FTSF9FUVVJVi4uNS8zLzIwMTcuLi5VU0QBAAAA3GcgDwIAAAAGMjMuNTY1AQgAAAAFAAAAATEBAAAACjE4MzU3ODk3MTADAAAAAzE2MAIAAAAEMTA5NgQAAAABMAcAAAAINS8zLzIwMTcIAAAACjEyLzMxLzIwMTYJAAAAATCys0lvNAnWCK+o1oE0CdYIKENJUS5OQVNEQVFHUzpGUFJYLklRX1RFVi43LzMxLzIwMTguVVNELkgBAAAAN10zAAIAAAAKMTM1LjE5MjQwNgEGAAAABQAAAAExAQAAAAoxODg3NDAyMTYwAwAAAAMxNjACAAAABjEwMDA2MAQAAAABMAcAAAAJNy8zMS8yMDE41owROAgJ1ggZ6aFvNAnWCDxDSVEuTkFTREFRR1M6QU5BQi5JUV9FQVJOSU5HX0NPLkNZMjAxNi43LzE2LzIwMTguTEZSLkYuVVNELkgBAAAAIUyyAQIAAAAGLTQuMjU5AQgAAAAFAAAAATEBAAAACjE4NzcwNjUxOTYDAAAAAzE2MAIAAAABNwQAAAABMAcAAAAJNy8xNi8yMDE4CAAAAAoxMi8zMS8yMDE2CQAAAAEwxP8bETUJ1gjCm2ISNQnWCCRDSVEuTkFTREFRR1M6RVBaTS5JUV9FRkZFQ1RfVEFYX1JBVEUBAAAAAyY9AwMAAAACTk0BCAAAAAUAAAABMQEAAAAKMTg5ODE3MzI1NAMAAAADMTYwAgAAAAQ0Mzc2BAAAAAEwBwAAAAk4LzIzLzIwMTgIAAAACTYvMzAvMjAxOAkAAAABMNaMETgICdYIcySdbzQJ1gg8Q0lRLk5BU0RBUUdNOklNTVUuSVFfRUFSTklOR19DTy5DWTIwMTYuNy8zMS8yMDE4LkxGUi5G</t>
  </si>
  <si>
    <t>LlVTRC5IAQAAACBDBAACAAAACi03MC42MjQxMTEBCAAAAAUAAAABMQEAAAAKMTg3MzQ5MzQ5MQMAAAADMTYwAgAAAAE3BAAAAAEwBwAAAAk3LzMxLzIwMTgIAAAACjEyLzMxLzIwMTYJAAAAATCcC9U4CAnWCNRfmG80CdYIJUNJUS5JUVRSMzA3ODYzOTg0LklRX1RSX0lNUExJRURfRVFfQlYBAAAAsKFZEgIAAAAAAFjPEg41CdYIwNuCDjUJ1gg8Q0lRLk5BU0RBUUdTOlRTUk8uSVFfRUJJVERBX0VTVC5DWTIwMTkuNy8xNi8yMDE4LkNPTi5GLlVTRC5IAQAAAGjWWAYCAAAACi0zOTkuMTQ1NDMBDgAAAAUAAAACMTEBAAAAATACAAAACjEwMDE1ODAzNDUDAAAABjEwMDE4NwQAAAABMgYAAAABMAcAAAADMTYwCAAAAAEwCQAAAAExCgAAAAEwCwAAAAsxMDk0MDUwNzEyNgwAAAABNw0AAAAJNy8xNy8yMDE4EAAAAAk3LzE2LzIwMTjE/xsRNQnWCBL+ZBI1CdYIJ0NJUS5OQVNEQVFHUzpUU1JPLklRX0JFVEFfNVlSLjcvMzEvMjAxOAEAAABo1lgGAgAAAA8xLjA2NTQzNTQxNDY1MDcAnAvVOAgJ1ggkwppvNAnWCDlDSVEuTkFTREFRR1M6RVBaTS5JUV9UT1RBTF9SRVYuMTk5Ni43LzMxLzIwMTguTEZSLkYuVVNELkgBAAAAAyY9AwIAAAAFNy41MzUBCAAAAAUAAAABMQEAAAAKMTg4NzI0NjA0OQMAAAADMTYwAgAAAAIyOAQAAAABMAcAAAAJNy8zMS8yMDE4CAAAAAkzLzMxLzIwMTcJAAAAATDWjBE4CAnWCCTCmm80</t>
  </si>
  <si>
    <t>CdYIQkNJUS5OQVNEQVFHUzpDQUxBLklRX1RPVEFMX1JFVl8yWVJfQU5OX0NBR1IuLjcvMTYvMjAxOC5MRlIuRi5VU0QuSAEAAAClJ4EGAwAAAAAAKRyUEDUJ1gjkdFsSNQnWCCdDSVEuTkFTREFRQ006WklPUC5JUV9QRVJJT0REQVRFX0lTLjEwMDABAAAAs1GyAAUAAAAKMTIvMzEvMjAxNwDWjBE4CAnWCMOGn280CdYIJUNJUS5JUVRSMzA3ODYzOTg0LklRX1BSSU1BUllfSU5EVVNUUlkBAAAAv6PwDAMAAAANQmlvdGVjaG5vbG9neQAMbRAONQnWCMDbgg41CdYIN0NJUS5OQVNEQVFDTTpDS1BULklRX1BSRUZfRVFVSVRZLi43LzE2LzIwMTguTEZSLkYuVVNELkgBAAAAuFEWEQMAAAAAACkclBA1CdYIMNddEjUJ1gg1Q0lRLk5BU0RBUUdTOkFUTlguSVFfQ0FQRVguMTk5Ni43LzMxLzIwMTguTEZSLkYuVVNELkgBAAAA3JlrAQIAAAAGLTIuODgzAQgAAAAFAAAAATEBAAAACjE4ODg3MDI5NzYDAAAAAzE2MAIAAAAEMjAyMQQAAAABMAcAAAAJNy8zMS8yMDE4CAAAAAkzLzMxLzIwMTcJAAAAATDWjBE4CAnWCCTCmm80CdYIOENJUS5PVENQSzpOV0JPLklRX05FVF9XT1JLSU5HX0NBUC4uNy8xNi8yMDE4LkxGUi5GLlVTRC5IAQAAAKN6FAACAAAABy04MC4xNDMBCAAAAAUAAAABMQEAAAAKMTg4OTMwMjgyNAMAAAADMTYwAgAAAAQxMzExBAAAAAEwBwAAAAk3LzE2LzIwMTgIAAAACTMvMzEvMjAxOAkAAAABMCkc</t>
  </si>
  <si>
    <t>lBA1CdYIczlgEjUJ1ggxQ0lRLklRVFIzMDI4NjY2MjcuSVFfVFJfVEFSR0VUX1JFVkVOVUVfRVNULi5VU0QuSAEAAADDYA0SAgAAAAAAWM8SDjUJ1ggMPoUONQnWCCtDSVEuSVFUUjQyMjg4NzcwMS5JUV9UUl9JTVBMSUVEX0VWX0VCSVRfRldEAQAAABXBNBkCAAAAAAAMbRAONQnWCMDbgg41CdYIQ0NJUS5OQVNEQVFHTTpBUlJZLklRX0VCSVREQV8zWVJfQU5OX0NBR1IuMjAwMC43LzMxLzIwMTguTEZSLkYuVVNELkgBAAAA+GEAAAMAAAACTk0BCAAAAAUAAAABMQEAAAAKMTg4ODQ3MDY3NgMAAAADMTYwAgAAAAQ0MjIyBAAAAAEwBwAAAAk3LzMxLzIwMTgIAAAACTMvMzEvMjAxOAkAAAABMJwL1TgICdYIJMKabzQJ1ggiQ0lRLkVOWFRQQTpJUEguSVFfRklSU1RQUklDSU5HREFURQEAAACZgAYABQAAAAkxMS8xLzIwMDYAKRyUEDUJ1ghzOWASNQnWCDVDSVEuTkFTREFRR1M6R1RIWC5JUV9DQVBFWC4xOTkyLjcvMzEvMjAxOC5MRlIuRi5VU0QuSAEAAABlNGkIAwAAAAAAnAvVOAgJ1ggkwppvNAnWCDhDSVEuKElOVkFMSUQgSURFTlRJRklFUikuSVFfREFfQ0YuLjcvMTYvMjAxOC5MRlIuRi5VU0QuSAUAAAAAAAAACAAAABQoSW52YWxpZCBJZGVudGlmaWVyKd6nfhA1CdYImBJZEjUJ1gg4Q0lRLk5BU0RBUUdTOk1SU04uSVFfRUJJVERBLkNZMjAxNi43LzMxLzIwMTguTEZSLkYuVVNELkgBAAAA5sUYAAIA</t>
  </si>
  <si>
    <t>AAAHLTEzLjE2NgEIAAAABQAAAAExAQAAAAoxODgwNTQ3MzgzAwAAAAMxNjACAAAABDQwNTEEAAAAATAHAAAACTcvMzEvMjAxOAgAAAAKMTIvMzEvMjAxNgkAAAABMNaMETgICdYIw4afbzQJ1ggnQ0lRLk5BU0RBUUdTOkZQUlguSVFfQkVUQV81WVIuNy8xNi8yMDE4AQAAADddMwACAAAAEDMuNDQ1MDQ2ODc2Mjg4OTIAKRyUEDUJ1ghzOWASNQnWCD9DSVEuTkFTREFRR006TkxOSy5JUV9FQklUREFfNVlSX0FOTl9DQUdSLi43LzE2LzIwMTguTEZSLkYuVVNELkgBAAAAlXuMAAMAAAACTk0BCAAAAAUAAAABMQEAAAAKMTg4ODM1NDIwNwMAAAADMTYwAgAAAAQ0MjM1BAAAAAEwBwAAAAk3LzE2LzIwMTgIAAAACTMvMzEvMjAxOAkAAAABMCkclBA1CdYI5HRbEjUJ1ggYQ0lRLlhUUkE6TU9SLklRX0VYQ0hBTkdFAQAAAN8RAgADAAAABFhUUkEAnAvVOAgJ1gjUX5hvNAnWCCxDSVEuSVFUUjQxMTg3MTA4Mi5JUV9UUl9UQVJHRVRfRUJJVERBLi5VU0QuSAEAAABqp4wYAgAAAAAAsrNJbzQJ1gg1m5NvNAnWCDpDSVEuTkFTREFRR1M6UEJZSS5JUV9DQVNIX1NUX0lOVkVTVC4uOS8xNS8yMDE3LkxGUi5GLlVTRC5IAQAAAAJqrAcCAAAABzE1MS42NDkBCAAAAAUAAAABMQEAAAAKMTg1Mjk5NDE3NgMAAAADMTYwAgAAAAQxMDAyBAAAAAEwBwAAAAk5LzE1LzIwMTcIAAAACTYvMzAvMjAxNwkAAAABMMT/GxE1CdYIEv5k</t>
  </si>
  <si>
    <t>EjUJ1gg7Q0lRLk5BU0RBUUdTOkdUSFguSVFfVE9UQUxfUkVWLkNZMjAxNy43LzMxLzIwMTguTEZSLkYuVVNELkgBAAAAZTRpCAMAAAAAAJwL1TgICdYIJMKabzQJ1gg6Q0lRLk5BU0RBUUNNOlpJT1AuSVFfVE9UQUxfREVCVC4yMDAwLjcvMzEvMjAxOC5MRlIuRi5VU0QuSAEAAACzUbIAAgAAAAEwAQgAAAAFAAAAATEBAAAACjE4ODc5NzIzNTkDAAAAAzE2MAIAAAAENDE3MwQAAAABMAcAAAAJNy8zMS8yMDE4CAAAAAkzLzMxLzIwMTgJAAAAATDWjBE4CAnWCMOGn280CdYIL0NJUS5BU1g6SU1VLklRX05JX01BUkdJTi4uNy8xNi8yMDE4LkxGUi5GLlVTRC5IAQAAAJiTqQACAAAACS0yMzQuNTAyMQEIAAAABQAAAAExAQAAAAoxODc3MzA1MzIwAwAAAAE5AgAAAAQ0MDk0BAAAAAEwBwAAAAk3LzE2LzIwMTgIAAAACjEyLzMxLzIwMTcJAAAAATApHJQQNQnWCDDXXRI1CdYIQENJUS4oSU5WQUxJRCBJREVOVElGSUVSKS5JUV9UT1RBTF9SRVYuMTk5Ni43LzMxLzIwMTguTEZSLkYuVVNELkgFAAAAAAAAAAgAAAAUKEludmFsaWQgSWRlbnRpZmllcinIMLI3CAnWCO02sG80CdYIIkNJUS5JUVRSMzAyODY2NjI3LklRX1RSX1BDVF9TT1VHSFQBAAAAw2ANEgIAAAADMTAwAFjPEg41CdYIDD6FDjUJ1ggnQ0lRLk5BU0RBUUdTOlRTUk8uSVFfQkVUQV8yWVIuNy8zMS8yMDE4AQAAAGjWWAYCAAAAEDEuMDI1MTcyMzEy</t>
  </si>
  <si>
    <t>NjMyMzUAnAvVOAgJ1ggkwppvNAnWCDdDSVEuTkFTREFRQ006QVZFTy5JUV9FQklUX01BUkdJTi4uNy8xNi8yMDE4LkxGUi5GLlVTRC5IAQAAAPQWHQADAAAAAk5NAQgAAAAFAAAAATEBAAAACjE4ODcyMzQyOTUDAAAAAzE2MAIAAAAENDA1MwQAAAABMAcAAAAJNy8xNi8yMDE4CAAAAAkzLzMxLzIwMTgJAAAAATDE/xsRNQnWCMKbYhI1CdYINUNJUS5OQVNEQVFHUzpBTkFCLklRX1RPVEFMX1JFVi4uNy8xNi8yMDE4LkxGUi5GLlVTRC5IAQAAACFMsgECAAAAAjEwAQgAAAAFAAAAATEBAAAACjE4ODc0MDAwNDMDAAAAAzE2MAIAAAACMjgEAAAAATAHAAAACTcvMTYvMjAxOAgAAAAJMy8zMS8yMDE4CQAAAAEwxP8bETUJ1gjCm2ISNQnWCD5DSVEuWFRSQTpNT1IuSVFfRUJJVERBXzVZUl9BTk5fQ0FHUi4yMDAwLjcvMzEvMjAxOC5MRlIuRi5VU0QuSAEAAADfEQIAAwAAAAJOTQEIAAAABQAAAAExAQAAAAoxODg2MTUxNjQ4AwAAAAI1MAIAAAAENDIzNQQAAAABMAcAAAAJNy8zMS8yMDE4CAAAAAkzLzMxLzIwMTgJAAAAATCcC9U4CAnWCNRfmG80CdYINkNJUS5OQVNEQVFHTTpMUFRYLklRX0VBUk5JTkdfQ08uLjcvMTYvMjAxOC5MRlIuRi5VU0QuSAEAAAAMNgkHAgAAAActMzAuOTM1AQgAAAAFAAAAATEBAAAACjE4OTAxNjM5MzYDAAAAAzE2MAIAAAABNwQAAAABMAcAAAAJNy8xNi8yMDE4CAAAAAkzLzMxLzIw</t>
  </si>
  <si>
    <t>MTgJAAAAATApHJQQNQnWCDDXXRI1CdYIIENJUS5JUVRSNTQyODA2Njg2LklRX1RSX0VBUk5PVVRTAQAAAJ6SWiACAAAAAACys0lvNAnWCIH9lW80CdYIPkNJUS5OQVNEQVFHTTpDUklTLklRX0NBU0hfU1RfSU5WRVNULjIwMDAuNy8zMS8yMDE4LkxGUi5GLlVTRC5IAQAAABdqAAACAAAABjQ4LjQ1MwEIAAAABQAAAAExAQAAAAoxODg2MjQ3NDIwAwAAAAMxNjACAAAABDEwMDIEAAAAATAHAAAACTcvMzEvMjAxOAgAAAAJMy8zMS8yMDE4CQAAAAEwyDCyNwgJ1gjdS6RvNAnWCB1DSVEuTkFTREFRR1M6S1VSQS5JUV9FWENIQU5HRQEAAAC4y9oQAwAAAAhOYXNkYXFHUwDWjBE4CAnWCHMknW80CdYIOUNJUS5OQVNEQVFHUzpDQUxBLklRX1RPVEFMX1JFVi4yMDAwLjcvMzEvMjAxOC5MRlIuRi5VU0QuSAEAAAClJ4EGAgAAAAYyNi45NTIBCAAAAAUAAAABMQEAAAAKMTg4Nzk4MDMwNQMAAAADMTYwAgAAAAIyOAQAAAABMAcAAAAJNy8zMS8yMDE4CAAAAAkzLzMxLzIwMTgJAAAAATDIMLI3CAnWCN1LpG80CdYIJ0NJUS5OQVNEQVFHUzpQQllJLklRX0JFVEFfMllSLjcvMTYvMjAxOAEAAAACaqwHAgAAABAxLjk2ODQ2NjM0MDg4Mjk5AMT/GxE1CdYIEv5kEjUJ1gg6Q0lRLk5BU0RBUUdTOktVUkEuSVFfVE9UQUxfREVCVC4yMDAwLjcvMzEvMjAxOC5MRlIuRi5VU0QuSAEAAAC4y9oQAgAAAAU3LjE1NQEIAAAABQAA</t>
  </si>
  <si>
    <t>AAExAQAAAAoxODg3MzgyOTM3AwAAAAMxNjACAAAABDQxNzMEAAAAATAHAAAACTcvMzEvMjAxOAgAAAAJMy8zMS8yMDE4CQAAAAEw1owROAgJ1ghzJJ1vNAnWCENDSVEuTkFTREFRR006SU1NVS5JUV9FQklUREFfMllSX0FOTl9DQUdSLjIwMDAuNy8zMS8yMDE4LkxGUi5GLlVTRC5IAQAAACBDBAADAAAAAk5NAQgAAAAFAAAAATEBAAAACjE4ODg1MjMzODQDAAAAAzE2MAIAAAAENDIwOQQAAAABMAcAAAAJNy8zMS8yMDE4CAAAAAkzLzMxLzIwMTgJAAAAATCcC9U4CAnWCNRfmG80CdYIIENJUS5JUVRSMzA3ODYzOTg0LklRX1RSX0VBUk5PVVRTAQAAALChWRICAAAAAzUxMAEGAAAABQAAAAI1NAEAAAAGMTAxNDAzAgAAAAkzMDc4NjM5ODQDAAAACTMwNzg2NDI4MAQAAAADMTYwBgAAAAVGYWxzZVjPEg41CdYIwNuCDjUJ1ggxQ0lRLk5BU0RBUUdTOkJHTkUuSVFfRUFSTklOR19DTy4xOTkyLi5MRlIuRi5VU0QuSAEAAADg5N0GAgAAAActODcuMzc0AQgAAAAFAAAAATEBAAAACjE4NTI3MDA1MjEDAAAAAzE2MAIAAAABNwQAAAABMAcAAAAJOC8yMy8yMDE4CAAAAAk2LzMwLzIwMTYJAAAAATCcC9U4CAnWCJwL1TgICdYINENJUS5YVFJBOk1PUi5JUV9OSV9NQVJHSU4uMjAwMC43LzMxLzIwMTguTEZSLkYuVVNELkgBAAAA3xECAAIAAAAJLTEyOC42MTE4AQgAAAAFAAAAATEBAAAACjE4ODYxNTE2NDgDAAAAAjUw</t>
  </si>
  <si>
    <t>AgAAAAQ0MDk0BAAAAAEwBwAAAAk3LzMxLzIwMTgIAAAACTMvMzEvMjAxOAkAAAABMJwL1TgICdYI1F+YbzQJ1ggkQ0lRLk5BU0RBUUdTOkdUSFguSVFfRUZGRUNUX1RBWF9SQVRFAQAAAGU0aQgDAAAAAADWjBE4CAnWCCTCmm80CdYIPENJUS5OQVNEQVFHTTpBUlFMLklRX0VCSVREQV9FU1QuQ1kyMDE4LjcvMzEvMjAxOC5DT04uRi5VU0QuSAEAAAD2YQAAAwAAAAAA1owROAgJ1ghzJJ1vNAnWCCtDSVEuTkFTREFRR1M6RlBSWC5JUV9MQVNUU0FMRVBSSUNFLjUvNS8yMDE3AQAAADddMwACAAAABTI5Ljc5AMgwsjcICdYIGemhbzQJ1gg5Q0lRLk5BU0RBUUdNOklNTVUuSVFfVE9UQUxfUkVWLjIwMDAuNy8zMS8yMDE4LkxGUi5GLlVTRC5IAQAAACBDBAACAAAACDIuNDExODM1AQgAAAAFAAAAATEBAAAACjE4ODg1MjMzODQDAAAAAzE2MAIAAAACMjgEAAAAATAHAAAACTcvMzEvMjAxOAgAAAAJMy8zMS8yMDE4CQAAAAEwnAvVOAgJ1gjUX5hvNAnWCEZDSVEuTkFTREFRR1M6QVROWC5JUV9UT1RBTF9SRVZfM1lSX0FOTl9DQUdSLjIwMDAuNy8zMS8yMDE4LkxGUi5GLlVTRC5IAQAAANyZawEDAAAAAADWjBE4CAnWCCTCmm80CdYIJUNJUS5JUVRSMjUzOTU0NDczLklRX1BSSU1BUllfSU5EVVNUUlkBAAAApQgjDwMAAAAPUGhhcm1hY2V1dGljYWxzALKzSW80CdYINZuTbzQJ1gg4Q0lRLk5BU0RBUUdNOkxQVFgu</t>
  </si>
  <si>
    <t>SVFfRUJJVERBLkNZMjAxNy43LzE2LzIwMTguTEZSLkYuVVNELkgBAAAADDYJBwIAAAAHLTMwLjU4OQEIAAAABQAAAAExAQAAAAoxODc1NTU5OTYzAwAAAAMxNjACAAAABDQwNTEEAAAAATAHAAAACTcvMTYvMjAxOAgAAAAKMTIvMzEvMjAxNwkAAAABMCkclBA1CdYIMNddEjUJ1gg6Q0lRLk5BU0RBUUdTOkZQUlguSVFfQ0FTSF9TVF9JTlZFU1QuLjkvMTUvMjAxNy5MRlIuRi5VU0QuSAEAAAA3XTMAAgAAAAczNTAuNzE4AQgAAAAFAAAAATEBAAAACjE4NTI0NzUwNzIDAAAAAzE2MAIAAAAEMTAwMgQAAAABMAcAAAAJOS8xNS8yMDE3CAAAAAk2LzMwLzIwMTcJAAAAATApHJQQNQnWCHM5YBI1CdYINENJUS5OQVNEQVFHUzpCR05FLklRX1JFVkVOVUVfRVNULkNZMjAxOC4uQ09OLkYuVVNELkgBAAAA4OTdBgIAAAAJMTg3LjYzMTI5AQ4AAAAFAAAAAjExAQAAAAEwAgAAAAoxMDAzMzI2MjYzAwAAAAYxMDAxODAEAAAAATIGAAAAATAHAAAAAzE2MAgAAAABMAkAAAABMQoAAAABMAsAAAALMTEwNTExMjAzODQMAAAAATcNAAAACTgvMjQvMjAxOBAAAAAJOC8yMy8yMDE4nAvVOAgJ1gicC9U4CAnWCC5DSVEuSVFUUjQwODQwNzgyMi5JUV9UUl9UQVJHRVRfU1RPQ0tQUkVNSVVNXzFNAQAAAA7PVxgCAAAAAACys0lvNAnWCIH9lW80CdYIKkNJUS5JUVRSNTQ3NDIzNjgwLklRX1RSX1RBUkdFVF9FQklULi5VU0QuSAEA</t>
  </si>
  <si>
    <t>AADABaEgAgAAAAgtMTIyLjg4MQEGAAAABQAAAAIzNwEAAAAKMTg2NDQ2NDE4NAIAAAAFMjE2NzUDAAAAAzE2MAQAAAABMAcAAAAIMS8xLzE5MDAMbRAONQnWCMDbgg41CdYIN0NJUS5OQVNEQVFHTTpGQVRFLklRX1BFUklPRERBVEVfSVMuMjAwMC43LzMxLzIwMTguTEZSLkYBAAAAaDFXAgUAAAAJMy8zMS8yMDE4ANaMETgICdYIw4afbzQJ1gg4Q0lRLk5BU0RBUUdTOkNUTVguSVFfRUJJVERBLkNZMjAxNi43LzE2LzIwMTguTEZSLkYuVVNELkgBAAAA3DibAwIAAAAHLTU3Ljg1MwEIAAAABQAAAAExAQAAAAoxODc3MzE2NzM0AwAAAAMxNjACAAAABDQwNTEEAAAAATAHAAAACTcvMTYvMjAxOAgAAAAKMTIvMzEvMjAxNgkAAAABMMT/GxE1CdYIwptiEjUJ1gg6Q0lRLk5BU0RBUUdTOlNHRU4uSVFfQ0FTSF9TVF9JTlZFU1QuLjcvMTYvMjAxOC5MRlIuRi5VU0QuSAEAAABhhQAAAgAAAAczOTkuOTE2AQgAAAAFAAAAATEBAAAACjE4ODQ4OTI4NTIDAAAAAzE2MAIAAAAEMTAwMgQAAAABMAcAAAAJNy8xNi8yMDE4CAAAAAkzLzMxLzIwMTgJAAAAATDE/xsRNQnWCGhgZxI1CdYIHkNJUS5JUTM2MTgzODEzLklRX0NPTVBBTllfTkFNRQEAAAAFHygCAwAAADJVbml0ZWQgU3RhdGVzIFRyZWFzdXJ5IENvbnN0YW50IE1hdHVyaXR5IC0gMSBNb250aAAMbRAONQnWCHd5gA41CdYIO0NJUS5OQVNEQVFHUzpNUlNOLklR</t>
  </si>
  <si>
    <t>X1BSRUZfRVFVSVRZLjIwMDAuNy8zMS8yMDE4LkxGUi5GLlVTRC5IAQAAAObFGAADAAAAAADWjBE4CAnWCMOGn280CdYIQ0NJUS5OQVNEQVFDTTpaSU9QLklRX0VCSVREQV8zWVJfQU5OX0NBR1IuMjAwMC43LzMxLzIwMTguTEZSLkYuVVNELkgBAAAAs1GyAAMAAAACTk0BCAAAAAUAAAABMQEAAAAKMTg4Nzk3MjM1OQMAAAADMTYwAgAAAAQ0MjIyBAAAAAEwBwAAAAk3LzMxLzIwMTgIAAAACTMvMzEvMjAxOAkAAAABMNaMETgICdYIw4afbzQJ1ghDQ0lRLk5BU0RBUUdNOkFSUUwuSVFfRUJJVERBXzNZUl9BTk5fQ0FHUi4yMDAwLjcvMzEvMjAxOC5MRlIuRi5VU0QuSAEAAAD2YQAAAwAAAAJOTQEIAAAABQAAAAExAQAAAAoxODg4Nzg4NzcwAwAAAAMxNjACAAAABDQyMjIEAAAAATAHAAAACTcvMzEvMjAxOAgAAAAJMy8zMS8yMDE4CQAAAAEw1owROAgJ1gjDhp9vNAnWCDVDSVEuTkFTREFRR1M6QkdORS5JUV9EQV9DRi4yMDAwLjcvMzEvMjAxOC5MRlIuRi5VU0QuSAEAAADg5N0GAgAAAAU2LjEzOAEIAAAABQAAAAExAQAAAAoxODg3Njg4NTg4AwAAAAMxNjACAAAABDIxNjAEAAAAATAHAAAACTcvMzEvMjAxOAgAAAAJMy8zMS8yMDE4CQAAAAEwnAvVOAgJ1gjUX5hvNAnWCDxDSVEuTkFTREFRQ006QVZFTy5JUV9FQklUREFfRVNULkNZMjAyMC43LzE2LzIwMTguQ09OLkYuVVNELkgBAAAA9BYdAAMAAAAAAMT/</t>
  </si>
  <si>
    <t>GxE1CdYIwptiEjUJ1ggpQ0lRLklRVFIzMTIxMjI1MDQuSVFfQlVTSU5FU1NfREVTQ1JJUFRJT04BAAAAtIk4DAMAAACUBkFkdXJvIEJpb3RlY2ggRXVyb3BlLCBhIGNsaW5pY2FsLXN0YWdlIGNhbmNlciBpbW11bm90aGVyYXB5IGNvbXBhbnksIGlzIGVuZ2FnZWQgaW4gdGhlIGRpc2NvdmVyeSwgZGV2ZWxvcG1lbnQsIGFuZCBjb21tZXJjaWFsaXphdGlvbiBvZiBhIHBpcGVsaW5lIG9mIG5vdmVsIGltbXVub3RoZXJhcGllcyBmb3IgdmFyaW91cyBjYW5jZXIgdHlwZXMuIEl0IGRldmVsb3BzIGxpdmUsIGF0dGVudWF0ZWQsIGFuZCBkb3VibGUtZGVsZXRlZCBMaXN0ZXJpYSBtb25vbmN5dG9nZW5lczsgYW5kIFNUSU5HLXRhcmdldGVkIEN5Y2xpYyBkaW51Y2xlb3RpZGVzIHBsYXRmb3JtcywgYW5kIEItc2VsZWN0IG1vbm9jbG9uYWwgYW50aWJvZGllcy4gVGhlIGNvbXBhbnkgYWxzbyBwcm92aWRlcyBHVkFYIFBhbmNyZWFzIGZvciBwYXRpZW50cyB3aXRoIG1ldGFzdGF0aWMgcGFuY3JlYXRpYyBjYW5jZXIuIEFkdXJvIEJpb3RlY2ggRXVyb3BlIHdhcyBmb3JtZXJseSBrbm93biBhcyBCaW9Ob3Zpb24gQi5WLiBhbmQgY2hhbmdlZCBpdHMgbmFtZSB0byBBZHVybyBCaW90ZWNoIEV1cm9wZS4gQXMgYSByZXN1bHQgb2YgdGhlIGFjcXVpc2l0aW9uIEJpb05vdmlvbiBoYXMgYmVlbiByZW5hbWVkIGFz</t>
  </si>
  <si>
    <t>IEFkdXJvIEJpb3RlY2ggRXVyb3BlLiBUaGUgY29tcGFueSBpcyBiYXNlZCBpbiBPc3MsIHRoZSBOZXRoZXJsYW5kcy4gQXMgb2YgT2N0b2JlciAzMCwgMjAxNSwgQWR1cm8gQmlvdGVjaCBFdXJvcGUgb3BlcmF0ZXMgYXMgYSBzdWJzaWRpYXJ5IG9mIEFkdXJvIE5ldGhlcmxhbmRzIENvw7ZwZXJhdGllZiBVLkEuAAxtEA41CdYIwNuCDjUJ1gg3Q0lRLlhUUkE6TU9SLklRX0VCSVREQV9FU1QuQ1kyMDE4LjcvMzEvMjAxOC5DT04uRi5VU0QuSAEAAADfEQIAAgAAABEtMTA4LjYyOTM5NzM0Mjg1NwEOAAAABQAAAAIxMQEAAAABMAIAAAAKMTAwMDgwMjAxMAMAAAAGMTAwMTg3BAAAAAEzBgAAAAEwBwAAAAMxNjAIAAAAATAJAAAAATEKAAAAATALAAAACzExMDAxMzE1MzI2DAAAAAE3DQAAAAg4LzEvMjAxOBAAAAAJNy8zMS8yMDE4nAvVOAgJ1gjUX5hvNAnWCCNDSVEuTkFTREFRR1M6TVJTTi5JUV9QRVJJT0REQVRFX0lTLgEAAADmxRgABQAAAAk2LzMwLzIwMTgAxP8bETUJ1ghzOWASNQnWCDxDSVEuTkFTREFRR1M6S1VSQS5JUV9FQklUREFfRVNULkNZMjAyMC43LzMxLzIwMTguQ09OLkYuVVNELkgBAAAAuMvaEAMAAAAAANaMETgICdYIcySdbzQJ1ghDQ0lRLk5BU0RBUUNNOlNSTkUuSVFfRUJJVERBXzVZUl9BTk5fQ0FHUi4yMDAwLjcvMzEvMjAxOC5MRlIuRi5VU0QuSAEAAABJQ5QDAwAAAAJOTQEIAAAA</t>
  </si>
  <si>
    <t>BQAAAAExAQAAAAoxODg3OTg5ODMxAwAAAAMxNjACAAAABDQyMzUEAAAAATAHAAAACTcvMzEvMjAxOAgAAAAJMy8zMS8yMDE4CQAAAAEw1owROAgJ1ghzJJ1vNAnWCDZDSVEuTkFTREFRR1M6UEJZSS5JUV9FQVJOSU5HX0NPLi43LzE2LzIwMTguTEZSLkYuVVNELkgBAAAAAmqsBwIAAAAILTI0My40MzUBCAAAAAUAAAABMQEAAAAKMTg4ODY2Nzc0MwMAAAADMTYwAgAAAAE3BAAAAAEwBwAAAAk3LzE2LzIwMTgIAAAACTMvMzEvMjAxOAkAAAABMMT/GxE1CdYIEv5kEjUJ1gg+Q0lRLk5BU0RBUUNNOk1URU0uSVFfVE9UQUxfRVFVSVRZLkNZMjAxNy43LzMxLzIwMTguTEZSLkYuVVNELkgBAAAAmZupAQIAAAAGNzcuMjg5AQgAAAAFAAAAATEBAAAACjE4ODExMTg4MTADAAAAAzE2MAIAAAAEMTI3NQQAAAABMAcAAAAJNy8zMS8yMDE4CAAAAAoxMi8zMS8yMDE3CQAAAAEwyDCyNwgJ1ggZ6aFvNAnWCCdDSVEuTkFTREFRR006SU1NVS5JUV9CRVRBXzJZUi43LzMxLzIwMTgBAAAAIEMEAAIAAAAQMS44NTE1ODE2MzI1MDM3NwCcC9U4CAnWCNRfmG80CdYIKUNJUS5JUVRSNDIyODg3NzAxLklRX0JVU0lORVNTX0RFU0NSSVBUSU9OAQAAAP3m1g8DAAAAjQdQZWxpY2FuIFRoZXJhcGV1dGljcywgSW5jLiBkZXZlbG9wcyBiaW9sb2dpYyBhZ2VudHMgdGhhdCByZXByZXNlbnQgdGhlIG5leHQgZ2VuZXJhdGlvbiBvZiBU</t>
  </si>
  <si>
    <t>TkYgYmFzZWQgaW1tdW5vdGhlcmFweS4gSXQgb2ZmZXJzIFBUWC0yNSwgYSBodW1hbml6ZWQgbW9ub2Nsb25hbCBhbnRpYm9keSB0aGF0IGlzIGEgZnVuY3Rpb25hbCBhZ29uaXN0IG9mIGh1bWFuIFRORlJTRjI1LCBhbmQgcHJvdmlkZXMgc2VsZWN0aXZlIGFuZCBwb3RlbnQgc3RpbXVsYXRpb24gb2Yg4oCYbWVtb3J54oCZIENEOCsgY3l0b3RveGljIFQgY2VsbHMsIHdoaWNoIGVsaW1pbmF0ZXMgdHVtb3IgY2VsbHMgaW4gcGF0aWVudHMuIFRoZSBjb21wYW55IGFsc28gcHJvdmlkZXMgUFRYLTE1LCBhIGh1bWFuIFRMMUEtSWcgZnVzaW9uIHByb3RlaW4gdGhhdCBjYW4gYmUgdXNlZCB0byBjYXVzZSBwcm9saWZlcmF0aW9uIG9mIHJlZ3VsYXRvcnkgVCBjZWxscyBpbiBwYXRpZW50cywgd2hpY2ggbGVhZHMgdG8gZXhwYW5zaW9uIGFuZCBsb25nLXRlcm0gdG9sZXJhbmNlIHRvd2FyZCBhbGxvZ2VuZWljIGJvbmUgbWFycm93IHRyYW5zcGxhbnRhdGlvbiwgaGVhcnQgdHJhbnNwbGFudGF0aW9uLCBhbmQgaXNsZXQgdHJhbnNwbGFudGF0aW9uIGluIHRoZSBhYnNlbmNlIG9mIG1haW50ZW5hbmNlIGltbXVub3N1cHByZXNzaW9uLiBQZWxpY2FuIFRoZXJhcGV1dGljcywgSW5jLiB3YXMgZm9ybWVybHkga25vd24gYXMgSGVhdCBCaW9sb2dpY3MgSUksIEluYy4gVGhlIGNvbXBhbnkgd2FzIGZvdW5kZWQg</t>
  </si>
  <si>
    <t>aW4gMjAwOSBhbmQgaXMgYmFzZWQgaW4gQXVzdGluLCBUZXhhcy4gQXMgb2YgQXByaWwgMjgsIDIwMTcsIFBlbGljYW4gVGhlcmFwZXV0aWNzLCBJbmMuIG9wZXJhdGVzIGFzIGEgc3Vic2lkaWFyeSBvZiBIZWF0IEJpb2xvZ2ljcywgSW5jLi4ADG0QDjUJ1gjA24IONQnWCDpDSVEuTkFTREFRQ006U1JORS5JUV9FQVJOSU5HX0NPLjIwMDAuNy8zMS8yMDE4LkxGUi5GLlVTRC5IAQAAAElDlAMCAAAABTEuMzY0AQgAAAAFAAAAATEBAAAACjE4ODc5ODk4MzEDAAAAAzE2MAIAAAABNwQAAAABMAcAAAAJNy8zMS8yMDE4CAAAAAkzLzMxLzIwMTgJAAAAATDWjBE4CAnWCHMknW80CdYIJUNJUS5JUVRSMjczNTA3MTg1LklRX1BSSU1BUllfSU5EVVNUUlkBAAAAfQwUAAMAAAANQmlvdGVjaG5vbG9neQCys0lvNAnWCIH9lW80CdYILUNJUS5OQVNEQVFHUzpCR05FLklRX0VCSVREQS4yMDAwLi5MRlIuRi5VU0QuSAEAAADg5N0GAgAAAAgtMjM4LjUxMQEIAAAABQAAAAExAQAAAAoxODk5OTAwNjMxAwAAAAMxNjACAAAABDQwNTEEAAAAATAHAAAACTgvMjMvMjAxOAgAAAAJNi8zMC8yMDE4CQAAAAEwnAvVOAgJ1gicC9U4CAnWCClDSVEuSVEzNjE4MzgzNy5JUV9MQVNUU0FMRVBSSUNFLjcvMTYvMjAxOAEAAAAdHygCAgAAAAQyLjg1AAxtEA41CdYIDD6FDjUJ1gg5Q0lRLk5BU0RBUUdNOk5MTksuSVFfRUJJVERBX01B</t>
  </si>
  <si>
    <t>UkdJTi4uNy8xNi8yMDE4LkxGUi5GLlVTRC5IAQAAAJV7jAACAAAACS0xODcuNzQ4OQEIAAAABQAAAAExAQAAAAoxODg4MzU0MjA3AwAAAAMxNjACAAAABDQwNDcEAAAAATAHAAAACTcvMTYvMjAxOAgAAAAJMy8zMS8yMDE4CQAAAAEwKRyUEDUJ1gjkdFsSNQnWCD9DSVEuTkFTREFRR1M6Sk5DRS5JUV9FQklUREFfM1lSX0FOTl9DQUdSLi43LzE2LzIwMTguTEZSLkYuVVNELkgBAAAA4nmeDQMAAAACTk0BCAAAAAUAAAABMQEAAAAKMTg4ODE4NjM3NAMAAAADMTYwAgAAAAQ0MjIyBAAAAAEwBwAAAAk3LzE2LzIwMTgIAAAACTMvMzEvMjAxOAkAAAABMN6nfhA1CdYImBJZEjUJ1ggrQ0lRLk5BU0RBUUNNOlNSTkUuSVFfTEFTVFNBTEVQUklDRS41LzUvMjAxNwEAAABJQ5QDAgAAAAMxLjgA1owROAgJ1ghzJJ1vNAnWCDdDSVEuTkFTREFRR1M6TUdOWC5JUV9QUkVGX0VRVUlUWS4uOS8xNS8yMDE3LkxGUi5GLlVTRC5IAQAAAE8rCQADAAAAAADE/xsRNQnWCMKbYhI1CdYIOkNJUS5OQVNEQVFDTTpaSU9QLklRX1BSRUZfRVFVSVRZLjIwMDAuNS81LzIwMTcuTEZSLkYuVVNELkgBAAAAs1GyAAIAAAAHMTI5LjQ0MgEIAAAABQAAAAExAQAAAAoxODM5MzQxMTk0AwAAAAMxNjACAAAABDEwMDUEAAAAATAHAAAACDUvNS8yMDE3CAAAAAkzLzMxLzIwMTcJAAAAATDWjBE4CAnWCMOGn280CdYIJENJUS5OQVNEQVFDTTpN</t>
  </si>
  <si>
    <t>VEVNLklRX0VGRkVDVF9UQVhfUkFURQEAAACZm6kBAwAAAAAAyDCyNwgJ1ggZ6aFvNAnWCEZDSVEuTkFTREFRR1M6RVBaTS5JUV9UT1RBTF9SRVZfM1lSX0FOTl9DQUdSLjIwMDAuNy8zMS8yMDE4LkxGUi5GLlVTRC5IAQAAAAMmPQMCAAAACC0yOS44MjAzAQgAAAAFAAAAATEBAAAACjE4ODcyNDYwNzcDAAAAAzE2MAIAAAAENDIyMAQAAAABMAcAAAAJNy8zMS8yMDE4CAAAAAkzLzMxLzIwMTgJAAAAATDWjBE4CAnWCHMknW80CdYILkNJUS5JUVRSNTUxMTY2MjkyLklRX1RSX1RBUkdFVF9TVE9DS1BSRU1JVU1fMU0BAAAAVCHaIAIAAAAIMTcwLjI3MDMBBgAAAAUAAAACNTQBAAAABjEwMTA1NQIAAAAJNTUxMTY2MjkyAwAAAAk1NTExNzMzNzUEAAAAAzE2MAYAAAAFRmFsc2UMbRAONQnWCMDbgg41CdYIJUNJUS5JUVRSNTYxNjA2MzY1LklRX1RSX01BSl9NSU5fU1RBS0UBAAAA3W55IQMAAAAITWFqb3JpdHkAsrNJbzQJ1gg1m5NvNAnWCD1DSVEuTkFTREFRR1M6QkdORS5JUV9SRVZFTlVFX0VTVC5DWTIwMTguNy8zMS8yMDE4LkNPTi5GLlVTRC5IAQAAAODk3QYCAAAACTEwOC45MDg4MwEOAAAABQAAAAIxMQEAAAABMAIAAAAKMTAwMzMyNjI2MwMAAAAGMTAwMTgwBAAAAAEyBgAAAAEwBwAAAAMxNjAIAAAAATAJAAAAATEKAAAAATALAAAACzEwOTg2NjY0OTkxDAAAAAE3DQAAAAg4LzEvMjAxOBAAAAAJNy8z</t>
  </si>
  <si>
    <t>MS8yMDE4nAvVOAgJ1giB/ZVvNAnWCC5DSVEuTkFTREFRR1M6RlBSWC5JUV9NQVJLRVRDQVAuNy8xNi8yMDE4LlVTRC5IAQAAADddMwACAAAACjYwNy43MTIzMjgBBgAAAAUAAAABMQEAAAAKMTg4NzQwMjE2MAMAAAADMTYwAgAAAAYxMDAwNTQEAAAAATAHAAAACTcvMTYvMjAxOCkclBA1CdYIczlgEjUJ1gg6Q0lRLk5BU0RBUUdNOkFSUlkuSVFfRUFSTklOR19DTy4yMDAwLjcvMzEvMjAxOC5MRlIuRi5VU0QuSAEAAAD4YQAAAgAAAActMTI0LjQ5AQgAAAAFAAAAATEBAAAACjE4ODg0NzA2NzYDAAAAAzE2MAIAAAABNwQAAAABMAcAAAAJNy8zMS8yMDE4CAAAAAkzLzMxLzIwMTgJAAAAATCcC9U4CAnWCCTCmm80CdYIMENJUS5OQVNEQVFDTTpDS1BULklRX0xBU1RTQUxFUFJJQ0UuNy8xNi8yMDE4LlVTRAEAAAC4URYRAgAAAAQyLjU4ACkclBA1CdYIMNddEjUJ1gglQ0lRLk5BU0RBUUdNOkZBVEUuSVFfRklSU1RQUklDSU5HREFURQEAAABoMVcCBQAAAAkxMC8xLzIwMTMA1owROAgJ1ggiu+mBNAnWCDlDSVEuTkFTREFRR006Q1JJUy5JUV9OSV9NQVJHSU4uMjAwMC43LzMxLzIwMTguTEZSLkYuVVNELkgBAAAAF2oAAAMAAAACTk0BCAAAAAUAAAABMQEAAAAKMTg4NjI0NzQyMAMAAAADMTYwAgAAAAQ0MDk0BAAAAAEwBwAAAAk3LzMxLzIwMTgIAAAACTMvMzEvMjAxOAkAAAABMMgwsjcICdYI3UukbzQJ1gg5</t>
  </si>
  <si>
    <t>Q0lRLk5BU0RBUUdTOkZQUlguSVFfRUJJVERBX01BUkdJTi4uNy8xNi8yMDE4LkxGUi5GLlVTRC5IAQAAADddMwACAAAACS0yMTkuMzQ3MgEIAAAABQAAAAExAQAAAAoxODg3NDAyMjI3AwAAAAMxNjACAAAABDQwNDcEAAAAATAHAAAACTcvMTYvMjAxOAgAAAAJMy8zMS8yMDE4CQAAAAEwKRyUEDUJ1ghzOWASNQnWCDdDSVEuTkFTREFRR1M6R1RIWC5JUV9QRVJJT0REQVRFX0lTLjIwMDAuNy8zMS8yMDE4LkxGUi5GAQAAAGU0aQgFAAAACTMvMzEvMjAxOACcC9U4CAnWCCTCmm80CdYIOUNJUS5OQVNEQVFDTTpTUk5FLklRX05JX01BUkdJTi4yMDAwLjcvMzEvMjAxOC5MRlIuRi5VU0QuSAEAAABJQ5QDAgAAAActMC4yNDY2AQgAAAAFAAAAATEBAAAACjE4ODc5ODk4MzEDAAAAAzE2MAIAAAAENDA5NAQAAAABMAcAAAAJNy8zMS8yMDE4CAAAAAkzLzMxLzIwMTgJAAAAATDWjBE4CAnWCHMknW80CdYILkNJUS5JUVRSNTM1NzE5OTk4LklRX1RSX1RBUkdFVF9TVE9DS1BSRU1JVU1fMU0BAAAAPnDuHwIAAAAHNjEuNTM2NAEGAAAABQAAAAI1NAEAAAAGMTAxMDU1AgAAAAk1MzU3MTk5OTgDAAAACTUzNTcyNDgxMwQAAAADMTYwBgAAAAVGYWxzZbKzSW80CdYIgf2VbzQJ1gg3Q0lRLk5BU0RBUUdTOlNHRU4uSVFfUFJFRl9FUVVJVFkuLjkvMTUvMjAxNy5MRlIuRi5VU0QuSAEAAABhhQAAAwAAAAAAxP8bETUJ1gho</t>
  </si>
  <si>
    <t>YGcSNQnWCClDSVEuSVEzNjE4MzgyMi5JUV9MQVNUU0FMRVBSSUNFLjcvMzEvMjAxOAEAAAAOHygCAgAAAAQyLjQ0AElTR280CdYIgf2VbzQJ1gg1Q0lRLihJTlZBTElEIElERU5USUZJRVIpLklRX01BUktFVENBUC45LzE1LzIwMTcuVVNELkgFAAAAAAAAAAgAAAAUKEludmFsaWQgSWRlbnRpZmllcinep34QNQnWCJgSWRI1CdYIK0NJUS5JUVRSNDExODcxMDgyLklRX1RSX0lNUExJRURfRVZfRUJJVF9GV0QBAAAAaqeMGAIAAAAAALKzSW80CdYINZuTbzQJ1ggjQ0lRLklRVFIzNzE3MTUxMTkuSVFfVFJfVE9UQUxfU1RPQ0sBAAAAL+wnFgIAAAAAAFjPEg41CdYIwNuCDjUJ1ggzQ0lRLk5BU0RBUUdNOklNTVUuSVFfUEVSSU9EREFURV9JUy4uNy8xNi8yMDE4LkxGUi5GAQAAACBDBAAFAAAACTMvMzEvMjAxOADE/xsRNQnWCGhgZxI1CdYIKUNJUS5OQVNEQVFHUzpGUFJYLklRX0JVU0lORVNTX0RFU0NSSVBUSU9OAQAAADddMwADAAAA3gxGaXZlIFByaW1lIFRoZXJhcGV1dGljcywgSW5jLiwgYSBjbGluaWNhbC1zdGFnZSBiaW90ZWNobm9sb2d5IGNvbXBhbnksIGZvY3VzZXMgb24gdGhlIGRpc2NvdmVyeSBhbmQgZGV2ZWxvcG1lbnQgb2YgaW1tdW5vLW9uY29sb2d5IHByb3RlaW4gdGhlcmFwZXV0aWNzLiBUaGUgY29tcGFueeKAmXMgcHJvZHVjdCBjYW5kaWRhdGVzIGluY2x1ZGUgQ2FiaXJhbGl6dW1h</t>
  </si>
  <si>
    <t>YiwgYW4gYW50aWJvZHkgdGhhdCBpbmhpYml0cyBjb2xvbnkgc3RpbXVsYXRpbmcgZmFjdG9yLTEgcmVjZXB0b3IgdGhhdCBpcyBpbiBQaGFzZSBJYS9JYiBjbGluaWNhbCB0cmlhbHMgZm9yIHRoZSB0cmVhdG1lbnQgb2YgdmFyaW91cyBjYW5jZXJzIGluIGNvbWJpbmF0aW9uIHdpdGggbml2b2x1bWFiOyBhbmQgaXMgaW4gUGhhc2UgSS9JSSBjbGluaWNhbCB0cmlhbHMgZm9yIHRoZSB0cmVhdG1lbnQgb2YgcGlnbWVudGVkIHZpbGxvbm9kdWxhciBzeW5vdml0aXMgdHVtb3IuIEl0cyBwcm9kdWN0IGNhbmRpZGF0ZXMgYWxzbyBjb21wcmlzZSBCZW1hcml0dXp1bWFiLCBhbiBhbnRpYm9keSB0aGF0IGluaGliaXRzIGZpYnJvYmxhc3QgZ3Jvd3RoIGZhY3RvciByZWNlcHRvciBJSWIsIHdoaWNoIGlzIGluIFBoYXNlIEkgY2xpbmljYWwgdHJpYWxzIHRvIHRyZWF0IHBhdGllbnRzIHdpdGggZ2FzdHJpYyBvciBnYXN0cm9lc29waGFnZWFsIGp1bmN0aW9uIGFuZCBibGFkZGVyIGNhbmNlcjsgYW5kIEZQQTE1MCwgYSBDRDggVCBjZWxsIGNoZWNrcG9pbnQgaW5oaWJpdG9yIGFudGlib2R5IHRoYXQgdGFyZ2V0cyBCNy1INCBhcyBhIG1vbm90aGVyYXB5IGluIHZhcmlvdXMgY2FuY2Vycy4gVGhlIGNvbXBhbnnigJlzIEZQLTEwMzkgaXMgaW4gUGhhc2UgSWIgY2xpbmljYWwgdHJpYWxzIHRvIHRyZWF0IHBh</t>
  </si>
  <si>
    <t>dGllbnRzIHdpdGggbWFsaWduYW50IHBsZXVyYWwgbWVzb3RoZWxpb21hLiBJdHMgcHJlY2xpbmljYWwgcHJvZHVjdCBjYW5kaWRhdGVzIGluY2x1ZGUgRlBBMTUwLCBhIENEOCBUIGNlbGwgY2hlY2twb2ludCBpbmhpYml0b3IgYW50aWJvZHk7IEZQQTE1NCwgYSB0ZXRyYXZhbGVudCBhZ29uaXN0aWMgYW50aWJvZHkgdGhhdCBhY3RpdmF0ZXMgZ2x1Y29jb3J0aWNvaWQtaW5kdWNlZCB0dW1vciBuZWNyb3NpcyBmYWN0b3IgcmVjZXB0b3I7IGFuZCBGUFQxNTUsIGEgQ0Q4MC1GYyBmdXNpb24gcHJvdGVpbiwgd2hpY2ggbW9kdWxhdGVzIHNpZ25hbGluZyBwYXRod2F5cy4gVGhlIGNvbXBhbnkgaGFzIGxpY2Vuc2UgYW5kIGNvbGxhYm9yYXRpb24gYWdyZWVtZW50cyB3aXRoIEJyaXN0b2wtTXllcnMgU3F1aWJiIENvbXBhbnksIEdsYXhvU21pdGhLbGluZSBMTEMsIElOQlJYIDExMCBMUCwgVUNCIFBoYXJtYSBTLkEuLCBhbmQgWmFpIExhYiAoU2hhbmdoYWkpIENvLiwgTHRkLjsgY29sbGFib3JhdGlvbiBhZ3JlZW1lbnQgd2l0aCBSb2NoZTsgYW5kIGxpY2Vuc2UgYWdyZWVtZW50cyB3aXRoIGJsdWViaXJkIGJpbywgSW5jLiwgR2FsYXh5IEJpb3RlY2gsIExMQywgQmlvV2EsIEluYy4gYW5kIExvbnphIFNhbGVzIEFHLiBGaXZlIFByaW1lIFRoZXJhcGV1dGljcywgSW5jLiB3YXMgZm91bmRlZCBpbiAy</t>
  </si>
  <si>
    <t>MDAxIGFuZCBpcyBoZWFkcXVhcnRlcmVkIGluIFNvdXRoIFNhbiBGcmFuY2lzY28sIENhbGlmb3JuaWEuANaMETgICdYINu6VDjUJ1gg6Q0lRLk5BU0RBUUdTOk5LLklRX0VCSVREQV9FU1QuQ1kyMDE4LjcvMzEvMjAxOC5DT04uRi5VU0QuSAEAAAANfaEPAwAAAAAA1owROAgJ1gjDhp9vNAnWCCVDSVEuSVFUUjQyMjg4NzcwMS5JUV9UUl9JTVBMSUVEX0VRX0JWAQAAABXBNBkDAAAAAk5NAAxtEA41CdYIwNuCDjUJ1gg0Q0lRLk9UQ1BLOk5XQk8uSVFfUFJFRl9FUVVJVFkuLjcvMTYvMjAxOC5MRlIuRi5VU0QuSAEAAACjehQAAgAAAAYxNy43OTgBCAAAAAUAAAABMQEAAAAKMTg4OTMwMjgyNAMAAAADMTYwAgAAAAQxMDA1BAAAAAEwBwAAAAk3LzE2LzIwMTgIAAAACTMvMzEvMjAxOAkAAAABMCkclBA1CdYIczlgEjUJ1gg8Q0lRLkVOWFRQQTpJUEguSVFfRUJJVERBXzNZUl9BTk5fQ0FHUi4uNy8xNi8yMDE4LkxGUi5GLlVTRC5IAQAAAJmABgADAAAAAk5NAQgAAAAFAAAAATEBAAAACjE4ODk1NTIxNjQDAAAAAjUwAgAAAAQ0MjIyBAAAAAEwBwAAAAk3LzE2LzIwMTgIAAAACjEyLzMxLzIwMTcJAAAAATApHJQQNQnWCHM5YBI1CdYIOkNJUS5OQVNEQVFHUzpTR0VOLklRX01JTk9SSVRZX0lOVEVSRVNUX1RPVEFMLi4uTEZSLkYuVVNELkgBAAAAYYUAAAMAAAAAAEadGRE1CdYIRp0ZETUJ1gglQ0lRLklRVFIz</t>
  </si>
  <si>
    <t>MTIxMjI1MDQuSVFfVFJfTUFKX01JTl9TVEFLRQEAAACInJoSAwAAAAhNYWpvcml0eQBYzxIONQnWCMDbgg41CdYIPUNJUS5OQVNEQVFDTTpTUk5FLklRX1JFVkVOVUVfRVNULkNZMjAxOS43LzMxLzIwMTguQ09OLkYuVVNELkgBAAAASUOUAwIAAAAINDAuMTkxMzMBDgAAAAUAAAACMTEBAAAAATACAAAACjEwMDI0ODE5MzIDAAAABjEwMDE4MAQAAAABMgYAAAABMAcAAAADMTYwCAAAAAEwCQAAAAExCgAAAAEwCwAAAAsxMDk1NjA1Njc4NgwAAAABNw0AAAAIOC8xLzIwMTgQAAAACTcvMzEvMjAxONaMETgICdYIcySdbzQJ1gggQ0lRLklRVFI1MzM2Mzk1MDEuSVFfVFJfRUFSTk9VVFMBAAAATbHOHwIAAAAAAAxtEA41CdYIwNuCDjUJ1gg+Q0lRLk5BU0RBUUdNOkNSVlMuSVFfVE9UQUxfRVFVSVRZLkNZMjAxNi43LzMxLzIwMTguTEZSLkYuVVNELkgBAAAA9LCmEAIAAAAHMTMyLjgwMQEIAAAABQAAAAExAQAAAAoxODc3MjIwNzkzAwAAAAMxNjACAAAABDEyNzUEAAAAATAHAAAACTcvMzEvMjAxOAgAAAAKMTIvMzEvMjAxNgkAAAABMNaMETgICdYIGemhbzQJ1ggjQ0lRLk5BU0RBUUNNOkNLUFQuSVFfUEVSSU9EREFURV9JUy4BAAAAuFEWEQUAAAAJNi8zMC8yMDE4ACkclBA1CdYIMNddEjUJ1gg+Q0lRLk5BU0RBUUNNOlpJT1AuSVFfVE9UQUxfRVFVSVRZLkNZMjAxNy43LzMxLzIwMTguTEZSLkYuVVNELkgB</t>
  </si>
  <si>
    <t>AAAAs1GyAAIAAAAGNDcuMTg2AQgAAAAFAAAAATEBAAAACjE4NzcyMDQ0NjYDAAAAAzE2MAIAAAAEMTI3NQQAAAABMAcAAAAJNy8zMS8yMDE4CAAAAAoxMi8zMS8yMDE3CQAAAAEw1owROAgJ1gjDhp9vNAnWCDpDSVEuTkFTREFRR1M6VFNSTy5JUV9FQVJOSU5HX0NPLjE5OTIuNy8zMS8yMDE4LkxGUi5GLlVTRC5IAQAAAGjWWAYCAAAACC0yOTMuODgyAQgAAAAFAAAAATEBAAAACjE4NDA5MzQ2NjMDAAAAAzE2MAIAAAABNwQAAAABMAcAAAAJNy8zMS8yMDE4CAAAAAkzLzMxLzIwMTYJAAAAATCcC9U4CAnWCCTCmm80CdYIJ0NJUS5OQVNEQVFDTTpNVEVNLklRX1BFUklPRERBVEVfSVMuMTAwMAEAAACZm6kBBQAAAAoxMi8zMS8yMDE3AMgwsjcICdYIGemhbzQJ1ggvQ0lRLklRVFI0MDc3NjA2OTIuSVFfVFJfSU1QTElFRF9FVl9GSU5BTC4uVVNELkgBAAAANO9NGAIAAAALMTMzMC4wMTM0ODcBBgAAAAUAAAACNTQBAAAABjEwMjA0NQIAAAAJNDA3NzYwNjkyAwAAAAk0MDc3ODUzMjAEAAAAAzE2MAYAAAAFRmFsc2UMbRAONQnWCAw+hQ41CdYIIUNJUS5JUVRSMzA3ODYzOTg0LklRX1RSX0JVWUVSTkFNRQEAAACwoVkSAwAAABFNZXJjayAmIENvLiwgSW5jLgBYzxIONQnWCMDbgg41CdYIJUNJUS5JUVRSMzEyMTIyNTA0LklRX1RSX0lNUExJRURfRVFfQlYBAAAAiJyaEgIAAAAJMjkuMDMzNDc2AFjPEg41CdYI</t>
  </si>
  <si>
    <t>wNuCDjUJ1gg5Q0lRLk5BU0RBUUdNOkNSVlMuSVFfTklfTUFSR0lOLjIwMDAuNy8zMS8yMDE4LkxGUi5GLlVTRC5IAQAAAPSwphADAAAAAADWjBE4CAnWCBnpoW80CdYIIUNJUS5JUVRSNTM1NzE5OTk4LklRX1RSX0JVWUVSTkFNRQEAAAA+cO4fAwAAABVHaWxlYWQgU2NpZW5jZXMsIEluYy4AsrNJbzQJ1giB/ZVvNAnWCC9DSVEuRU5YVFBBOklQSC5JUV9FQklUREEuLjcvMTYvMjAxOC5MRlIuRi5VU0QuSAEAAACZgAYAAgAAAAktNDIuNzM0MTUBCAAAAAUAAAABMQEAAAAKMTg4OTU1MjE2NAMAAAADMTYwAgAAAAQ0MDUxBAAAAAEwBwAAAAk3LzE2LzIwMTgIAAAACjEyLzMxLzIwMTcJAAAAATApHJQQNQnWCHM5YBI1CdYINkNJUS5PVENQSzpNQlZYLklRX0VCSVREQV9NQVJHSU4uLjcvMTYvMjAxOC5MRlIuRi5VU0QuSAEAAADYRIsCAwAAAAAA3qd+EDUJ1giYElkSNQnWCDxDSVEuTkFTREFRR1M6VFNSTy5JUV9FQklUREFfRVNULkNZMjAxOS43LzMxLzIwMTguQ09OLkYuVVNELkgBAAAAaNZYBgIAAAAKLTM5OS4xNDU0MwEOAAAABQAAAAIxMQEAAAABMAIAAAAKMTAwMTU4MDM0NQMAAAAGMTAwMTg3BAAAAAEyBgAAAAEwBwAAAAMxNjAIAAAAATAJAAAAATEKAAAAATALAAAACzEwOTQwNTA3MTI2DAAAAAE3DQAAAAg4LzEvMjAxOBAAAAAJNy8zMS8yMDE4nAvVOAgJ1ggkwppvNAnWCDZDSVEuTkFTREFRR1M6</t>
  </si>
  <si>
    <t>RVBaTS5JUV9FQklUREEuMTk5Ni43LzMxLzIwMTguTEZSLkYuVVNELkgBAAAAAyY9AwIAAAAILTEyMC4wNjUBCAAAAAUAAAABMQEAAAAKMTg4NzI0NjA0OQMAAAADMTYwAgAAAAQ0MDUxBAAAAAEwBwAAAAk3LzMxLzIwMTgIAAAACTMvMzEvMjAxNwkAAAABMNaMETgICdYIcySdbzQJ1gg+Q0lRLlhUUkE6TU9SLklRX0VCSVREQV8yWVJfQU5OX0NBR1IuMjAwMC43LzMxLzIwMTguTEZSLkYuVVNELkgBAAAA3xECAAMAAAACTk0BCAAAAAUAAAABMQEAAAAKMTg4NjE1MTY0OAMAAAACNTACAAAABDQyMDkEAAAAATAHAAAACTcvMzEvMjAxOAgAAAAJMy8zMS8yMDE4CQAAAAEwnAvVOAgJ1gjUX5hvNAnWCEJDSVEuTkFTREFRR1M6Q1RNWC5JUV9UT1RBTF9SRVZfNVlSX0FOTl9DQUdSLi43LzE2LzIwMTguTEZSLkYuVVNELkgBAAAA3DibAwMAAAAAAMT/GxE1CdYIwptiEjUJ1gg7Q0lRLk5BU0RBUUdTOktVUkEuSVFfVE9UQUxfUkVWLkNZMjAxNy43LzMxLzIwMTguTEZSLkYuVVNELkgBAAAAuMvaEAMAAAAAANaMETgICdYIcySdbzQJ1ggsQ0lRLklRVFI1MzU3MTk5OTguSVFfVFJfVEFSR0VUX0VCSVREQS4uVVNELkgBAAAAPnDuHwIAAAAHLTM0Mi4wNQEGAAAABQAAAAIzNwEAAAAKMTg1MjU1ODIyOAIAAAAFMjE2NzcDAAAAAzE2MAQAAAABMAcAAAAIMS8xLzE5MDCys0lvNAnWCIH9lW80CdYILENJUS5JUVRSNDA3</t>
  </si>
  <si>
    <t>NzYwNjkyLklRX1RSX1RBUkdFVF9FQklUREEuLlVTRC5IAQAAADTvTRgCAAAAAAAMbRAONQnWCAw+hQ41CdYIN0NJUS5OQVNEQVFDTTpNVEVNLklRX1BFUklPRERBVEVfSVMuMjAwMC43LzMxLzIwMTguTEZSLkYBAAAAmZupAQUAAAAJMy8zMS8yMDE4AMgwsjcICdYIGemhbzQJ1gg2Q0lRLk5BU0RBUUdNOkFSUlkuSVFfRUJJVERBLjE5OTIuNy8zMS8yMDE4LkxGUi5GLlVTRC5IAQAAAPhhAAACAAAABy03OS4zNDEBCAAAAAUAAAABMQEAAAAKMTg0MTA5NTAyNgMAAAADMTYwAgAAAAQ0MDUxBAAAAAEwBwAAAAk3LzMxLzIwMTgIAAAACTMvMzEvMjAxNgkAAAABMJwL1TgICdYI1F+YbzQJ1gg6Q0lRLk5BU0RBUUdTOlRTUk8uSVFfQ0FTSF9TVF9JTlZFU1QuLjcvMTYvMjAxOC5MRlIuRi5VU0QuSAEAAABo1lgGAgAAAAY0OTguOTgBCAAAAAUAAAABMQEAAAAKMTg4NjMzNzQ2NgMAAAADMTYwAgAAAAQxMDAyBAAAAAEwBwAAAAk3LzE2LzIwMTgIAAAACTMvMzEvMjAxOAkAAAABMMT/GxE1CdYIEv5kEjUJ1gg2Q0lRLk5BU0RBUUdNOkFSUUwuSVFfRUJJVERBLjIwMDAuNy8zMS8yMDE4LkxGUi5GLlVTRC5IAQAAAPZhAAACAAAABy0yMy43MjIBCAAAAAUAAAABMQEAAAAKMTg4ODc4ODc3MAMAAAADMTYwAgAAAAQ0MDUxBAAAAAEwBwAAAAk3LzMxLzIwMTgIAAAACTMvMzEvMjAxOAkAAAABMNaMETgICdYIcySdbzQJ</t>
  </si>
  <si>
    <t>1gg8Q0lRLk5BU0RBUUdNOkFSUlkuSVFfVE9UQUxfRVFVSVRZLjIwMDAuNy8zMS8yMDE4LkxGUi5GLlVTRC5IAQAAAPhhAAACAAAABjI2NS4xNQEIAAAABQAAAAExAQAAAAoxODg4NDcwNjc2AwAAAAMxNjACAAAABDEyNzUEAAAAATAHAAAACTcvMzEvMjAxOAgAAAAJMy8zMS8yMDE4CQAAAAEwnAvVOAgJ1ggkwppvNAnWCDpDSVEuTkFTREFRR1M6VFNSTy5JUV9DQVNIX1NUX0lOVkVTVC4uOS8xNS8yMDE3LkxGUi5GLlVTRC5IAQAAAGjWWAYCAAAABzUwNy45NDEBCAAAAAUAAAABMQEAAAAKMTg1MjY2MjU1MwMAAAADMTYwAgAAAAQxMDAyBAAAAAEwBwAAAAk5LzE1LzIwMTcIAAAACTYvMzAvMjAxNwkAAAABMMT/GxE1CdYIEv5kEjUJ1ggnQ0lRLk5BU0RBUUdTOlNHRU4uSVFfQkVUQV81WVIuNy8xNi8yMDE4AQAAAGGFAAACAAAAEDEuNjg2MDE3NTAyNDE0MTIAxP8bETUJ1ghoYGcSNQnWCDFDSVEuTkFTREFRR006TFBUWC5JUV9DQVBFWC4uNy8xNi8yMDE4LkxGUi5GLlVTRC5IAQAAAAw2CQcCAAAABTAuMDAxAQgAAAAFAAAAATEBAAAACjE4OTAxNjM5MzYDAAAAAzE2MAIAAAAEMjAyMQQAAAABMAcAAAAJNy8xNi8yMDE4CAAAAAkzLzMxLzIwMTgJAAAAATApHJQQNQnWCDDXXRI1CdYII0NJUS5JUVRSMjczNTA3MTg1LklRX1RSX0NMT1NFRF9EQVRFAQAAAHFjTRAFAAAACjExLzEwLzIwMTQAsrNJbzQJ1giB</t>
  </si>
  <si>
    <t>/ZVvNAnWCDZDSVEuTkFTREFRR006RkFURS5JUV9FQklUREEuMjAwMC43LzMxLzIwMTguTEZSLkYuVVNELkgBAAAAaDFXAgIAAAAHLTQ1LjE1NwEIAAAABQAAAAExAQAAAAoxODg4NTAwNTI3AwAAAAMxNjACAAAABDQwNTEEAAAAATAHAAAACTcvMzEvMjAxOAgAAAAJMy8zMS8yMDE4CQAAAAEw1owROAgJ1gjDhp9vNAnWCD1DSVEuTkFTREFRR1M6TksuSVFfTkVUX1dPUktJTkdfQ0FQLjE5OTYuNy8zMS8yMDE4LkxGUi5GLlVTRC5IAQAAAA19oQ8CAAAABi04LjY3MgEIAAAABQAAAAExAQAAAAoxODg3MTE4NzY3AwAAAAMxNjACAAAABDEzMTEEAAAAATAHAAAACTcvMzEvMjAxOAgAAAAJMy8zMS8yMDE3CQAAAAEw1owROAgJ1gjDhp9vNAnWCDVDSVEuTkFTREFRR1M6RlBSWC5JUV9DQVBFWC4xOTkyLjcvMzEvMjAxOC5MRlIuRi5VU0QuSAEAAAA3XTMAAgAAAAYtMi44MTMBCAAAAAUAAAABMQEAAAAKMTg0MDU2NTc5NAMAAAADMTYwAgAAAAQyMDIxBAAAAAEwBwAAAAk3LzMxLzIwMTgIAAAACTMvMzEvMjAxNgkAAAABMNaMETgICdYIGemhbzQJ1ggjQ0lRLklRVFI0MjI4ODc3MDEuSVFfVFJfQ0xPU0VEX0RBVEUBAAAAFcE0GQUAAAAJNC8yOC8yMDE3AAxtEA41CdYIwNuCDjUJ1ggjQ0lRLklRVFI0MjQzNDIwNDYuSVFfVFJfQ0xPU0VEX0RBVEUBAAAAHvJKGQUAAAAJMy8yMy8yMDE3AAxtEA41CdYIwNuCDjUJ</t>
  </si>
  <si>
    <t>1ghDQ0lRLk5BU0RBUUNNOk1URU0uSVFfRUJJVERBXzNZUl9BTk5fQ0FHUi4yMDAwLjcvMzEvMjAxOC5MRlIuRi5VU0QuSAEAAACZm6kBAwAAAAAAyDCyNwgJ1gjdS6RvNAnWCD1DSVEuTkFTREFRR1M6QURYUy5JUV9SRVZFTlVFX0VTVC5DWTIwMjEuNy8xNi8yMDE4LkNPTi5GLlVTRC5IAQAAAJ7seAACAAAABTIxLjk1AQ4AAAAFAAAAAjExAQAAAAEwAgAAAAk2NTA2NTUwNTgDAAAABjEwMDE4MAQAAAABMgYAAAABMAcAAAADMTYwCAAAAAEwCQAAAAExCgAAAAEwCwAAAAsxMDkyNDEwMDkzMwwAAAABNw0AAAAJNy8xNy8yMDE4EAAAAAk3LzE2LzIwMTgpHJQQNQnWCOR0WxI1CdYIJ0NJUS5OQVNEQVFDTTpNVEVNLklRX0JFVEFfMllSLjcvMzEvMjAxOAEAAACZm6kBAgAAABEwLjk4OTM1Mjk4NDIyMTczMwDIMLI3CAnWCBnpoW80CdYIJ0NJUS5OQVNEQVFHUzpCR05FLklRX0JFVEFfMllSLjcvMTYvMjAxOAEAAADg5N0GAgAAABEwLjg2ODkwMTcwMDIzNjUxOQDE/xsRNQnWCGhgZxI1CdYIMENJUS5JUVRSNDI0MzQyMDQ2LklRX1RSX1RBUkdFVF9FQklUREFfRVNULi5VU0QuSAEAAAAe8koZAgAAAAAADG0QDjUJ1gjA24IONQnWCCxDSVEuTkFTREFRR1M6U0dFTi5JUV9OSV9NQVJHSU4uLi5MRlIuRi5VU0QuSAEAAABhhQAAAgAAAActNy43NTE0AQgAAAAFAAAAATEBAAAACjE4OTcyMzM1MTgDAAAAAzE2MAIA</t>
  </si>
  <si>
    <t>AAAENDA5NAQAAAABMAcAAAAJOC8yMy8yMDE4CAAAAAk2LzMwLzIwMTgJAAAAATBGnRkRNQnWCEadGRE1CdYIJUNJUS5OQVNEQVFHUzpUU1JPLklRX0ZJUlNUUFJJQ0lOR0RBVEUBAAAAaNZYBgUAAAAJNi8yOC8yMDEyAJwL1TgICdYID2WMDjUJ1ggiQ0lRLklRVFI1NDc0MjM2ODAuSVFfVFJfUENUX1NPVUdIVAEAAADABaEgAgAAAAMxMDABBgAAAAUAAAACNTQBAAAABjEwMTAyNAIAAAAJNTQ3NDIzNjgwAwAAAAk1NDc0MzMwNjUEAAAAAzE2MAYAAAAEVHJ1ZQxtEA41CdYIwNuCDjUJ1gg1Q0lRLk5BU0RBUUdNOkFSUUwuSVFfQ0FQRVguMTk5Ni43LzMxLzIwMTguTEZSLkYuVVNELkgBAAAA9mEAAAIAAAAGLTAuMDE1AQgAAAAFAAAAATEBAAAACjE4ODg3ODg3MzcDAAAAAzE2MAIAAAAEMjAyMQQAAAABMAcAAAAJNy8zMS8yMDE4CAAAAAkzLzMxLzIwMTcJAAAAATDWjBE4CAnWCHMknW80CdYINkNJUS5OQVNEQVFHUzpBVE5YLklRX0VCSVREQS4xOTk2LjcvMzEvMjAxOC5MRlIuRi5VU0QuSAEAAADcmWsBAgAAAAgtMTA2LjY5NwEIAAAABQAAAAExAQAAAAoxODg4NzAyOTc2AwAAAAMxNjACAAAABDQwNTEEAAAAATAHAAAACTcvMzEvMjAxOAgAAAAJMy8zMS8yMDE3CQAAAAEw1owROAgJ1ggkwppvNAnWCEJDSVEuTkFTREFRR1M6Q0FMQS5JUV9UT1RBTF9SRVZfNVlSX0FOTl9DQUdSLi43LzE2LzIwMTguTEZS</t>
  </si>
  <si>
    <t>LkYuVVNELkgBAAAApSeBBgMAAAAAACkclBA1CdYI5HRbEjUJ1gg6Q0lRLkVOWFRQQTpJUEguSVFfUkVWRU5VRV9FU1QuQ1kyMDIwLjcvMTYvMjAxOC5DT04uRi5VU0QuSAEAAACZgAYAAgAAAA83NC43NDg4NTg0NzEwMjcBDgAAAAUAAAACMTEBAAAAATACAAAACjEwMDE2NDMzOTMDAAAABjEwMDE4MAQAAAABMwYAAAABMAcAAAADMTYwCAAAAAEwCQAAAAExCgAAAAEwCwAAAAsxMDk1Mzg0MjMyOQwAAAABNw0AAAAJNy8xNy8yMDE4EAAAAAk3LzE2LzIwMTgpHJQQNQnWCHM5YBI1CdYIOkNJUS5OQVNEQVFHUzpLVVJBLklRX1BSRUZfRVFVSVRZLjIwMDAuNS81LzIwMTcuTEZSLkYuVVNELkgBAAAAuMvaEAMAAAAAANaMETgICdYIcySdbzQJ1ghHQ0lRLk5BU0RBUUdNOkFSUlkuSVFfTUlOT1JJVFlfSU5URVJFU1RfVE9UQUwuMjAwMC43LzMxLzIwMTguTEZSLkYuVVNELkgBAAAA+GEAAAMAAAAAAJwL1TgICdYI1F+YbzQJ1ggrQ0lRLklRVFI1MzU3MTk5OTguSVFfVFJfVE9UQUxfR1JPU1NfVFYuLlVTRAEAAAA+cO4fAgAAAAsxMTIyNS41ODAxMwEGAAAABQAAAAI1NAEAAAAGMTAyMDg4AgAAAAk1MzU3MTk5OTgDAAAACTUzNTcyNDgxMwQAAAADMTYwBgAAAAVGYWxzZbKzSW80CdYIgf2VbzQJ1gg9Q0lRLk5BU0RBUUdNOkFSUUwuSVFfUkVWRU5VRV9FU1QuQ1kyMDE4LjcvMzEvMjAxOC5DT04uRi5VU0QuSAEA</t>
  </si>
  <si>
    <t>AAD2YQAAAgAAAAYxNy42ODIBDgAAAAUAAAACMTEBAAAAATACAAAACjEwMDE2Njg2NjYDAAAABjEwMDE4MAQAAAABMgYAAAABMAcAAAADMTYwCAAAAAEwCQAAAAExCgAAAAEwCwAAAAsxMTAxMDEwNTM0MQwAAAABNw0AAAAIOC8xLzIwMTgQAAAACTcvMzEvMjAxONaMETgICdYIcySdbzQJ1gglQ0lRLklRVFIyNDU4MzEwMDcuSVFfUFJJTUFSWV9JTkRVU1RSWQEAAAB2iAAAAwAAAA1CaW90ZWNobm9sb2d5ALKzSW80CdYIgf2VbzQJ1gg8Q0lRLk5BU0RBUUdTOkZQUlguSVFfRUFSTklOR19DTy5DWTIwMTYuNy8zMS8yMDE4LkxGUi5GLlVTRC5IAQAAADddMwACAAAABy02NS42OTcBCAAAAAUAAAABMQEAAAAKMTg3NjEzNTk4OAMAAAADMTYwAgAAAAE3BAAAAAEwBwAAAAk3LzMxLzIwMTgIAAAACjEyLzMxLzIwMTYJAAAAATDIMLI3CAnWCBnpoW80CdYIIkNJUS5JUVRSMjczNTA3MTg1LklRX1RSX1BDVF9TT1VHSFQBAAAAcWNNEAIAAAADMTAwALKzSW80CdYIgf2VbzQJ1gguQ0lRLklRVFI1NjM5MTkwNDkuSVFfVFJfVEFSR0VUX1NUT0NLUFJFTUlVTV8xTQEAAADJuJwhAgAAAAc1NS45MDg5AQYAAAAFAAAAAjU0AQAAAAYxMDEwNTUCAAAACTU2MzkxOTA0OQMAAAAJNTYzOTQwMDQyBAAAAAMxNjAGAAAABUZhbHNlDG0QDjUJ1gjA24IONQnWCDVDSVEuTkFTREFRR006RkFURS5JUV9DQVBFWC4xOTk2LjcvMzEv</t>
  </si>
  <si>
    <t>MjAxOC5MRlIuRi5VU0QuSAEAAABoMVcCAgAAAAYtMC40MzQBCAAAAAUAAAABMQEAAAAKMTg4ODUwMDMzMwMAAAADMTYwAgAAAAQyMDIxBAAAAAEwBwAAAAk3LzMxLzIwMTgIAAAACTMvMzEvMjAxNwkAAAABMNaMETgICdYIw4afbzQJ1gg+Q0lRLk5BU0RBUUdTOkFOQUIuSVFfVE9UQUxfRVFVSVRZLkNZMjAxNy43LzE2LzIwMTguTEZSLkYuVVNELkgBAAAAIUyyAQIAAAAHMzA3LjU4MQEIAAAABQAAAAExAQAAAAoxODc3MDY1MjMxAwAAAAMxNjACAAAABDEyNzUEAAAAATAHAAAACTcvMTYvMjAxOAgAAAAKMTIvMzEvMjAxNwkAAAABMMT/GxE1CdYIwptiEjUJ1ggxQ0lRLk5BU0RBUUdTOkFOQUIuSVFfREFfQ0YuLjcvMTYvMjAxOC5MRlIuRi5VU0QuSAEAAAAhTLIBAgAAAAUwLjE5OAEIAAAABQAAAAExAQAAAAoxODg3NDAwMDQzAwAAAAMxNjACAAAABDIxNjAEAAAAATAHAAAACTcvMTYvMjAxOAgAAAAJMy8zMS8yMDE4CQAAAAEwxP8bETUJ1gjCm2ISNQnWCCBDSVEuSVFUUjUzNTcxOTk5OC5JUV9UUl9FQVJOT1VUUwEAAAA+cO4fAgAAAAAAsrNJbzQJ1giB/ZVvNAnWCDtDSVEuTkFTREFRR006QUZNRC5JUV9UT1RBTF9SRVYuQ1kyMDE3LjcvMTYvMjAxOC5MRlIuRi5VU0QuSAEAAADb9wwAAgAAAAgyLjY1OTcwMgEIAAAABQAAAAExAQAAAAoxODc5MTQ3Njk2AwAAAAMxNjACAAAAAjI4BAAAAAEwBwAAAAk3</t>
  </si>
  <si>
    <t>LzE2LzIwMTgIAAAACjEyLzMxLzIwMTcJAAAAATApHJQQNQnWCDDXXRI1CdYIKUNJUS5OQVNEQVFHTTpYTkNSLklRX0JVU0lORVNTX0RFU0NSSVBUSU9OAQAAAKZaCwADAAAAyg9YZW5jb3IsIEluYy4sIGEgY2xpbmljYWwgc3RhZ2UgYmlvcGhhcm1hY2V1dGljYWwgY29tcGFueSwgZm9jdXNlcyBvbiB0aGUgZGlzY292ZXJ5IGFuZCBkZXZlbG9wbWVudCBvZiBlbmdpbmVlcmVkIG1vbm9jbG9uYWwgYW50aWJvZHkgdGhlcmFwZXV0aWNzIHRvIHRyZWF0IHNldmVyZSBhbmQgbGlmZSB0aHJlYXRlbmluZyBkaXNlYXNlcyB3aXRoIHVubWV0IG1lZGljYWwgbmVlZHMuIEl0IGRldmVsb3BzIGl0cyBhbnRpYm9keSBwcm9kdWN0IGNhbmRpZGF0ZXMgdG8gdHJlYXQgYXV0b2ltbXVuZSBhbmQgYWxsZXJnaWMgZGlzZWFzZXMsIGNhbmNlciwgYW5kIG90aGVyIGNvbmRpdGlvbnMuIFRoZSBjb21wYW554oCZcyBwcm9kdWN0IGNhbmRpZGF0ZXMgaW5jbHVkZSBYbUFiNTg3MSwgYW4gaW1tdW5lIGluaGliaXRvciwgd2hpY2ggaXMgaW4gUGhhc2UgSUkgY2xpbmljYWwgdHJpYWwgZm9yIHRoZSB0cmVhdG1lbnQgb2YgYXV0b2ltbXVuZSBkaXNlYXNlczsgYW5kIFhtQWI3MTk1LCBhbiBpbW11bmUgaW5oaWJpdG9yIHRoYXQgaGFzIGJlZW4gY29tcGxldGVkIFBoYXNlIEkgY2xpbmljYWwgdHJpYWwgZm9yIGFzdGhtYSBh</t>
  </si>
  <si>
    <t>bmQgYWxsZXJnaWMgZGlzZWFzZXMuIEl0cyBwcm9kdWN0IGNhbmRpZGF0ZXMgYWxzbyBjb21wcmlzZSBYbUFiMTQwNDUsIGEgYmlzcGVjaWZpYyBvbmNvbG9neSBjYW5kaWRhdGUsIHdoaWNoIGlzIGluIFBoYXNlIEkgY2xpbmljYWwgdHJpYWwgZm9yIHRoZSB0cmVhdG1lbnQgb2YgYWN1dGUgbXllbG9pZCBsZXVrZW1pYTsgWG1BYjEzNjc2IHRoYXQgaXMgaW4gUGhhc2UgSSBjbGluaWNhbCB0cmlhbCB0byB0cmVhdCBCLWNlbGwgbWFsaWduYW5jaWVzOyBhbmQgWG1BYjE4MDg3LCB3aGljaCBpcyBpbiBQaGFzZSBJIGNsaW5pY2FsIHRyaWFsIGZvciBuZXVyb2VuZG9jcmluZSB0dW1vcnMgYW5kIGdhc3Ryb2ludGVzdGluYWwgc3Ryb21hbCB0dW1vcnMuIEluIGFkZGl0aW9uLCB0aGUgY29tcGFueSBvZmZlcnMgTU9SMjA4LCBhbiBhbnRpYm9keSBkcnVnLCB0aGF0IGluIFBoYXNlIElJSSBjbGluaWNhbCB0cmlhbCB0byB0cmVhdCBub24tSG9kZ2tpbiBseW1waG9tYXMsIGFzIHdlbGwgYXMgaW4gUGhhc2UgSUkgY2xpbmljYWwgdHJpYWwgZm9yIGNocm9uaWMgbHltcGhvY3l0aWMgbGV1a2VtaWE7IGFuZCBBTUc0MjQsIGEgYmlzcGVjaWZpYyBDRDM4IHggQ0QzIHByZWNsaW5pY2FsIGNhbmRpZGF0ZSBmb3IgdmFyaW91cyBteWVsb21hLiBGdXJ0aGVyLCBpdCBpcyBkZXZlbG9waW5nIGJpc3BlY2lmaWMg</t>
  </si>
  <si>
    <t>YW50aWJvZGllcyB0byB0cmVhdCB2YXJpb3VzIGNhbmNlcnMsIHN1Y2ggYXMgWG1BYjIwNzE3LCBYbUFiMjI4NDEsIGFuZCBYbUFiMjMxMDQsIHdoaWNoIGFyZSBpbiBwcmVjbGluaWNhbCBQaGFzZS4gVGhlIGNvbXBhbnkgaGFzIGNvbGxhYm9yYXRpb24gYW5kIGxpY2Vuc2UgYWdyZWVtZW50IHdpdGggTm92YXJ0aXMgSW5zdGl0dXRlcyBmb3IgQmlvTWVkaWNhbCBSZXNlYXJjaCwgSW5jLiB0byBkZXZlbG9wIGFuZCBjb21tZXJjaWFsaXplIGJpc3BlY2lmaWMgYW5kIG90aGVyIEZjIGVuZ2luZWVyZWQgYW50aWJvZHkgZHJ1ZyBjYW5kaWRhdGVzIHVzaW5nIGl0cyBwcm9wcmlldGFyeSBYbUFiIHRlY2hub2xvZ2llcyBhbmQgZHJ1ZyBjYW5kaWRhdGVzLCBhcyB3ZWxsIGFzIE1vcnBob1N5cyBBZyB0byBkZXZlbG9wIGFuZCBjb21tZXJjaWFsaXplIGJpc3BlY2lmaWMgYW50aWJvZHkgcHJvZHVjdCBjYW5kaWRhdGVzOyBsaWNlbnNlIGFncmVlbWVudCB3aXRoIEFtZ2VuIEluYy4gdG8gZGV2ZWxvcCBhbmQgY29tbWVyY2lhbGl6ZSBiaXNwZWNpZmljIGFudGlib2R5IHByb2R1Y3QgY2FuZGlkYXRlczsgYW5kIGRldmVsb3BtZW50IGFuZCBtYW51ZmFjdHVyaW5nIHNlcnZpY2VzIGFncmVlbWVudCB3aXRoIENhdGFsZW50IFBoYXJtYSBTb2x1dGlvbnMgTExDLiBYZW5jb3IsIEluYy53YXMgZm91bmRlZCBp</t>
  </si>
  <si>
    <t>biAxOTk3IGFuZCBpcyBoZWFkcXVhcnRlcmVkIGluIE1vbnJvdmlhLCBDYWxpZm9ybmlhLgBGnRkRNQnWCBL+ZBI1CdYIPENJUS5OQVNEQVFHUzpBVE5YLklRX0VCSVREQV9FU1QuQ1kyMDIwLjcvMzEvMjAxOC5DT04uRi5VU0QuSAEAAADcmWsBAgAAAAktMTYuOTA0MTgBDgAAAAUAAAACMTEBAAAAATACAAAACjEwMDM3NzgzNzQDAAAABjEwMDE4NwQAAAABMgYAAAABMAcAAAADMTYwCAAAAAEwCQAAAAExCgAAAAEwCwAAAAsxMDkxMzE4NDc2OAwAAAABNw0AAAAIOC8xLzIwMTgQAAAACTcvMzEvMjAxONaMETgICdYIJMKabzQJ1gg/Q0lRLk5BU0RBUUdTOkNBTEEuSVFfRUJJVERBXzNZUl9BTk5fQ0FHUi4uNy8xNi8yMDE4LkxGUi5GLlVTRC5IAQAAAKUngQYDAAAAAk5NAQgAAAAFAAAAATEBAAAACjE4ODc5ODAzMDUDAAAAAzE2MAIAAAAENDIyMgQAAAABMAcAAAAJNy8xNi8yMDE4CAAAAAkzLzMxLzIwMTgJAAAAATApHJQQNQnWCOR0WxI1CdYILUNJUS5OQVNEQVFHUzpNUlNOLklRX0RJVklERU5EX1lJRUxELjcvMzEvMjAxOAEAAADmxRgAAwAAAAAA1owROAgJ1gjDhp9vNAnWCCNDSVEuSVFUUjI2MzcxODY0Ny5JUV9UUl9UT1RBTF9TVE9DSwEAAAD3BrgPAgAAAAAAsrNJbzQJ1giB/ZVvNAnWCDBDSVEuSVFUUjI0NTgzMTAwNy5JUV9UUl9UQVJHRVRfRUJJVERBX0VTVC4uVVNELkgBAAAAXxWnDgIAAAAI</t>
  </si>
  <si>
    <t>LTM3LjI4MjUAsrNJbzQJ1giB/ZVvNAnWCEJDSVEuTkFTREFRR1M6U0dFTi5JUV9UT1RBTF9SRVZfNVlSX0FOTl9DQUdSLi43LzE2LzIwMTguTEZSLkYuVVNELkgBAAAAYYUAAAIAAAAHMTguNDk1MQEIAAAABQAAAAExAQAAAAoxODg0ODkyODUyAwAAAAMxNjACAAAABDQyMzMEAAAAATAHAAAACTcvMTYvMjAxOAgAAAAJMy8zMS8yMDE4CQAAAAEwxP8bETUJ1ghoYGcSNQnWCCVDSVEuSVFUUjU2MzkxOTA0OS5JUV9UUl9JTVBMSUVEX0VRX0JWAQAAAMm4nCECAAAACDkuNjkxNjc1AQYAAAAFAAAAAjU0AQAAAAYxMDIwOTcCAAAACTU2MzkxOTA0OQMAAAAJNTYzOTQwMDQyBAAAAAMxNjAGAAAABUZhbHNlDG0QDjUJ1gjA24IONQnWCCJDSVEuSVFUUjMyMTg2NTI5Ny5JUV9UUl9UQVJHRVROQU1FAQAAAFFGLxMDAAAAEUlPbWV0IFBoYXJtYSBMdGQuAFjPEg41CdYIDD6FDjUJ1ggvQ0lRLklRVFI1NTExNjYyOTIuSVFfVFJfSU1QTElFRF9FVl9GSU5BTC4uVVNELkgBAAAAVCHaIAIAAAAKNTI5LjgxMTU3MQEGAAAABQAAAAI1NAEAAAAGMTAyMDQ1AgAAAAk1NTExNjYyOTIDAAAACTU1MTE3MzM3NQQAAAADMTYwBgAAAAVGYWxzZQxtEA41CdYIwNuCDjUJ1ggoQ0lRLk5BU0RBUUNNOkFWRU8uSVFfVEVWLjcvMTYvMjAxOC5VU0QuSAEAAAD0Fh0AAgAAAAozMzAuMzY1MjkyAQYAAAAFAAAAATEBAAAACjE4ODcyMzM5</t>
  </si>
  <si>
    <t>MTADAAAAAzE2MAIAAAAGMTAwMDYwBAAAAAEwBwAAAAk3LzE2LzIwMThGnRkRNQnWCMKbYhI1CdYIMUNJUS5OQVNEQVFHUzpBRFhTLklRX0NBUEVYLi43LzE2LzIwMTguTEZSLkYuVVNELkgBAAAAnux4AAIAAAAJLTIuMzgzNDA4AQgAAAAFAAAAATEBAAAACjE4OTI3ODg1NDgDAAAAAzE2MAIAAAAEMjAyMQQAAAABMAcAAAAJNy8xNi8yMDE4CAAAAAk0LzMwLzIwMTgJAAAAATApHJQQNQnWCOR0WxI1CdYIJUNJUS5JUVRSNTMzNjM5NTAxLklRX1RSX01BSl9NSU5fU1RBS0UBAAAATbHOHwMAAAAITWFqb3JpdHkADG0QDjUJ1gjA24IONQnWCB5DSVEuSVEzNjE4MzgyOC5JUV9DT01QQU5ZX05BTUUBAAAAFB8oAgMAAAAxVW5pdGVkIFN0YXRlcyBUcmVhc3VyeSBDb25zdGFudCBNYXR1cml0eSAtIDMgWWVhcgAMbRAONQnWCHd5gA41CdYIR0NJUS5OQVNEQVFHUzpGUFJYLklRX01JTk9SSVRZX0lOVEVSRVNUX1RPVEFMLjIwMDAuNy8zMS8yMDE4LkxGUi5GLlVTRC5IAQAAADddMwADAAAAAADWjBE4CAnWCBnpoW80CdYIOkNJUS5OQVNEQVFHUzpBTkFCLklRX0NBU0hfU1RfSU5WRVNULi45LzE1LzIwMTcuTEZSLkYuVVNELkgBAAAAIUyyAQIAAAAHMTA2LjM1OQEIAAAABQAAAAExAQAAAAoxODUzMDI0OTcyAwAAAAMxNjACAAAABDEwMDIEAAAAATAHAAAACTkvMTUvMjAxNwgAAAAJNi8zMC8yMDE3CQAAAAEwxP8b</t>
  </si>
  <si>
    <t>ETUJ1gjCm2ISNQnWCDxDSVEuTkFTREFRR1M6R1RIWC5JUV9UT1RBTF9FUVVJVFkuMjAwMC43LzMxLzIwMTguTEZSLkYuVVNELkgBAAAAZTRpCAIAAAAHMTgzLjE1NQEIAAAABQAAAAExAQAAAAoxODg2MzY3NjY3AwAAAAMxNjACAAAABDEyNzUEAAAAATAHAAAACTcvMzEvMjAxOAgAAAAJMy8zMS8yMDE4CQAAAAEw1owROAgJ1ggkwppvNAnWCDdDSVEuTkFTREFRR1M6Q0FMQS5JUV9QRVJJT0REQVRFX0lTLjIwMDAuNy8zMS8yMDE4LkxGUi5GAQAAAKUngQYFAAAACTMvMzEvMjAxOADIMLI3CAnWCN1LpG80CdYIN0NJUS5OQVNEQVFHTTpMUFRYLklRX1BSRUZfRVFVSVRZLi45LzE1LzIwMTcuTEZSLkYuVVNELkgBAAAADDYJBwMAAAAAACkclBA1CdYIMNddEjUJ1gg/Q0lRLk5BU0RBUUNNOk1URU0uSVFfTkVUX1dPUktJTkdfQ0FQLjIwMDAuNy8zMS8yMDE4LkxGUi5GLlVTRC5IAQAAAJmbqQECAAAABi02LjQ4NgEIAAAABQAAAAExAQAAAAoxODg4NzMzMDA0AwAAAAMxNjACAAAABDEzMTEEAAAAATAHAAAACTcvMzEvMjAxOAgAAAAJMy8zMS8yMDE4CQAAAAEwyDCyNwgJ1ggZ6aFvNAnWCD9DSVEuTkFTREFRQ006U1JORS5JUV9ORVRfV09SS0lOR19DQVAuMTk5Ni43LzMxLzIwMTguTEZSLkYuVVNELkgBAAAASUOUAwIAAAAHLTY0LjkyNAEIAAAABQAAAAExAQAAAAoxODg3OTg5ODI4AwAAAAMxNjACAAAABDEz</t>
  </si>
  <si>
    <t>MTEEAAAAATAHAAAACTcvMzEvMjAxOAgAAAAJMy8zMS8yMDE3CQAAAAEw1owROAgJ1ghzJJ1vNAnWCD9DSVEuTkFTREFRR1M6QU5BQi5JUV9FQklUREFfMllSX0FOTl9DQUdSLi43LzE2LzIwMTguTEZSLkYuVVNELkgBAAAAIUyyAQMAAAACTk0BCAAAAAUAAAABMQEAAAAKMTg4NzQwMDA0MwMAAAADMTYwAgAAAAQ0MjA5BAAAAAEwBwAAAAk3LzE2LzIwMTgIAAAACTMvMzEvMjAxOAkAAAABMMT/GxE1CdYIwptiEjUJ1ggjQ0lRLk5BU0RBUUdTOkFOQUIuSVFfUEVSSU9EREFURV9JUy4BAAAAIUyyAQUAAAAJNi8zMC8yMDE4AMT/GxE1CdYIEv5kEjUJ1ghCQ0lRLk5BU0RBUUdTOk1SU04uSVFfVE9UQUxfUkVWXzVZUl9BTk5fQ0FHUi4uNy8xNi8yMDE4LkxGUi5GLlVTRC5IAQAAAObFGAADAAAAAAApHJQQNQnWCHM5YBI1CdYIO0NJUS5OQVNEQVFHUzpKTkNFLklRX1RPVEFMX1JFVi5DWTIwMTcuNy8xNi8yMDE4LkxGUi5GLlVTRC5IAQAAAOJ5ng0CAAAABjcxLjY0NAEIAAAABQAAAAExAQAAAAoxODc3NzE2NjEzAwAAAAMxNjACAAAAAjI4BAAAAAEwBwAAAAk3LzE2LzIwMTgIAAAACjEyLzMxLzIwMTcJAAAAATApHJQQNQnWCOR0WxI1CdYIPENJUS5OQVNEQVFHUzpGUFJYLklRX0VCSVREQV9FU1QuQ1kyMDE5LjcvMzEvMjAxOC5DT04uRi5VU0QuSAEAAAA3XTMAAgAAAAgtMTQzLjY0NwEOAAAABQAAAAIxMQEA</t>
  </si>
  <si>
    <t>AAABMAIAAAAKMTAwMTk1NjM0OQMAAAAGMTAwMTg3BAAAAAEyBgAAAAEwBwAAAAMxNjAIAAAAATAJAAAAATEKAAAAATALAAAACzEwOTI3OTgwNTQ3DAAAAAE3DQAAAAg4LzEvMjAxOBAAAAAJNy8zMS8yMDE41owROAgJ1ggZ6aFvNAnWCENDSVEuTkFTREFRR1M6R1RIWC5JUV9FQklUREFfMllSX0FOTl9DQUdSLjIwMDAuNy8zMS8yMDE4LkxGUi5GLlVTRC5IAQAAAGU0aQgDAAAAAADWjBE4CAnWCCTCmm80CdYIN0NJUS5YVFJBOk1PUi5JUV9FQklUREFfRVNULkNZMjAyMC43LzMxLzIwMTguQ09OLkYuVVNELkgBAAAA3xECAAIAAAARLTY2Ljc1MjcwOTIwNzg1MjkBDgAAAAUAAAACMTEBAAAAATACAAAACjEwMDA5ODkwMDcDAAAABjEwMDE4NwQAAAABMwYAAAABMAcAAAADMTYwCAAAAAEwCQAAAAExCgAAAAEwCwAAAAsxMTA1MjI5NTAyNQwAAAABNw0AAAAIOC8xLzIwMTgQAAAACTcvMzEvMjAxOJwL1TgICdYI1F+YbzQJ1gg/Q0lRLk5BU0RBUUdNOkFSUlkuSVFfTkVUX1dPUktJTkdfQ0FQLjIwMDAuNy8zMS8yMDE4LkxGUi5GLlVTRC5IAQAAAPhhAAACAAAABy0yMi45MDkBCAAAAAUAAAABMQEAAAAKMTg4ODQ3MDY3NgMAAAADMTYwAgAAAAQxMzExBAAAAAEwBwAAAAk3LzMxLzIwMTgIAAAACTMvMzEvMjAxOAkAAAABMJwL1TgICdYI1F+YbzQJ1gg5Q0lRLk5BU0RBUUdTOk1SU04uSVFfVE9UQUxfUkVWLjE5</t>
  </si>
  <si>
    <t>OTYuNy8zMS8yMDE4LkxGUi5GLlVTRC5IAQAAAObFGAACAAAABjI1Ljc2NAEIAAAABQAAAAExAQAAAAoxODg5MDk2NTk3AwAAAAMxNjACAAAAAjI4BAAAAAEwBwAAAAk3LzMxLzIwMTgIAAAACTMvMzEvMjAxNwkAAAABMNaMETgICdYIw4afbzQJ1gg6Q0lRLk5BU0RBUUdTOk1SU04uSVFfRUFSTklOR19DTy4xOTkyLjcvMzEvMjAxOC5MRlIuRi5VU0QuSAEAAADmxRgAAwAAAAAA1owROAgJ1gjDhp9vNAnWCCNDSVEuSVFUUjQxMzk1MzY2MS5JUV9UUl9DTE9TRURfREFURQEAAAB9bqwYBQAAAAkxLzI1LzIwMTcAsrNJbzQJ1giB/ZVvNAnWCD1DSVEuTkFTREFRR1M6TUdOWC5JUV9SRVZFTlVFX0VTVC5DWTIwMjAuNy8xNi8yMDE4LkNPTi5GLlVTRC5IAQAAAE8rCQACAAAACDYwLjUxNzgxAQ4AAAAFAAAAAjExAQAAAAEwAgAAAAoxMDAxOTcyOTMxAwAAAAYxMDAxODAEAAAAATIGAAAAATAHAAAAAzE2MAgAAAABMAkAAAABMQoAAAABMAsAAAALMTEwMzM2MzMxNDQMAAAAATcNAAAACTcvMTcvMjAxOBAAAAAJNy8xNi8yMDE4xP8bETUJ1gjCm2ISNQnWCDxDSVEuTkFTREFRR1M6S1VSQS5JUV9FQklUREFfRVNULkNZMjAxOS43LzMxLzIwMTguQ09OLkYuVVNELkgBAAAAuMvaEAMAAAAAANaMETgICdYIcySdbzQJ1gg9Q0lRLk5BU0RBUUdTOk1HTlguSVFfUkVWRU5VRV9FU1QuQ1kyMDIxLjcvMTYvMjAxOC5DT04u</t>
  </si>
  <si>
    <t>Ri5VU0QuSAEAAABPKwkAAgAAAAkyMzAuMzE1NjcBDgAAAAUAAAACMTEBAAAAATACAAAACjEwMDE5NzI5MzIDAAAABjEwMDE4MAQAAAABMgYAAAABMAcAAAADMTYwCAAAAAEwCQAAAAExCgAAAAEwCwAAAAsxMTAzMzYzMzA5NgwAAAABNw0AAAAJNy8xNy8yMDE4EAAAAAk3LzE2LzIwMTjE/xsRNQnWCMKbYhI1CdYIO0NJUS5PVENQSzpOV0JPLklRX1RPVEFMX0VRVUlUWS5DWTIwMTcuNy8xNi8yMDE4LkxGUi5GLlVTRC5IAQAAAKN6FAACAAAABy00Ny4yOTMBCAAAAAUAAAABMQEAAAAKMTg4MzI0OTA4NgMAAAADMTYwAgAAAAQxMjc1BAAAAAEwBwAAAAk3LzE2LzIwMTgIAAAACjEyLzMxLzIwMTcJAAAAATApHJQQNQnWCDDXXRI1CdYIPENJUS5OQVNEQVFHUzpUU1JPLklRX1RPVEFMX0VRVUlUWS4yMDAwLjcvMzEvMjAxOC5MRlIuRi5VU0QuSAEAAABo1lgGAgAAAAcxMTcuNzI4AQgAAAAFAAAAATEBAAAACjE4ODYzMzc0NjYDAAAAAzE2MAIAAAAEMTI3NQQAAAABMAcAAAAJNy8zMS8yMDE4CAAAAAkzLzMxLzIwMTgJAAAAATCcC9U4CAnWCCTCmm80CdYIPkNJUS5OQVNEQVFDTTpDS1BULklRX1RPVEFMX0VRVUlUWS5DWTIwMTcuNy8xNi8yMDE4LkxGUi5GLlVTRC5IAQAAALhRFhECAAAABjE1LjA0MQEIAAAABQAAAAExAQAAAAoxODc4Nzg0NTc4AwAAAAMxNjACAAAABDEyNzUEAAAAATAHAAAACTcvMTYvMjAx</t>
  </si>
  <si>
    <t>OAgAAAAKMTIvMzEvMjAxNwkAAAABMCkclBA1CdYI5HRbEjUJ1gghQ0lRLk5BU0RBUUdNOk5MTksuSVFfQ09NUEFOWV9OQU1FAQAAAJV7jAADAAAAHE5ld0xpbmsgR2VuZXRpY3MgQ29ycG9yYXRpb24AKRyUEDUJ1gjkdFsSNQnWCDhDSVEuTkFTREFRR1M6U0dFTi5JUV9FQklUREEuQ1kyMDE2LjcvMTYvMjAxOC5MRlIuRi5VU0QuSAEAAABhhQAAAgAAAAgtMTI0LjY5MQEIAAAABQAAAAExAQAAAAoxODc0Njk2MTk2AwAAAAMxNjACAAAABDQwNTEEAAAAATAHAAAACTcvMTYvMjAxOAgAAAAKMTIvMzEvMjAxNgkAAAABMMT/GxE1CdYIaGBnEjUJ1ggsQ0lRLklRVFIyNzM1MDcxODUuSVFfVFJfVEFSR0VUX0VCSVREQS4uVVNELkgBAAAAcWNNEAIAAAAHLTI3LjgwNwEGAAAABQAAAAIzNwEAAAAKMTY5MTc2ODI2NAIAAAAFMjE2NzcDAAAAAzE2MAQAAAABMAcAAAAIMS8xLzE5MDCys0lvNAnWCIH9lW80CdYIP0NJUS5OQVNEQVFDTTpDS1BULklRX0VCSVREQV81WVJfQU5OX0NBR1IuLjcvMTYvMjAxOC5MRlIuRi5VU0QuSAEAAAC4URYRAwAAAAAAKRyUEDUJ1gjkdFsSNQnWCD1DSVEuTkFTREFRR006Q1JWUy5JUV9SRVZFTlVFX0VTVC5DWTIwMjAuNy8zMS8yMDE4LkNPTi5GLlVTRC5IAQAAAPSwphACAAAAATABDgAAAAUAAAACMTEBAAAAATACAAAACjEwMDMzNzAzNTcDAAAABjEwMDE4MAQAAAABMgYAAAABMAcA</t>
  </si>
  <si>
    <t>AAADMTYwCAAAAAEwCQAAAAExCgAAAAEwCwAAAAsxMDk1NTQ2MTgxMQwAAAABNw0AAAAIOC8xLzIwMTgQAAAACTcvMzEvMjAxONaMETgICdYIGemhbzQJ1gg8Q0lRLk5BU0RBUUNNOlNSTkUuSVFfRUJJVERBX0VTVC5DWTIwMTkuNy8zMS8yMDE4LkNPTi5GLlVTRC5IAQAAAElDlAMCAAAABy05Ni4yNTQBDgAAAAUAAAACMTEBAAAAATACAAAACjEwMDI0ODE5MzIDAAAABjEwMDE4NwQAAAABMgYAAAABMAcAAAADMTYwCAAAAAEwCQAAAAExCgAAAAEwCwAAAAsxMDk0NTYyNjU4MQwAAAABNw0AAAAIOC8xLzIwMTgQAAAACTcvMzEvMjAxONaMETgICdYIcySdbzQJ1gg1Q0lRLk5BU0RBUUdTOkNBTEEuSVFfREFfQ0YuMjAwMC43LzMxLzIwMTguTEZSLkYuVVNELkgBAAAApSeBBgIAAAAFMC40MDkBCAAAAAUAAAABMQEAAAAKMTg4Nzk4MDMwNQMAAAADMTYwAgAAAAQyMTYwBAAAAAEwBwAAAAk3LzMxLzIwMTgIAAAACTMvMzEvMjAxOAkAAAABMMgwsjcICdYI3UukbzQJ1gg6Q0lRLk5BU0RBUUdTOkNBTEEuSVFfQ0FTSF9TVF9JTlZFU1QuLjkvMTUvMjAxNy5MRlIuRi5VU0QuSAEAAAClJ4EGAgAAAAcxNjYuMjMxAQgAAAAFAAAAATEBAAAACjE4NTI0NzUwNzkDAAAAAzE2MAIAAAAEMTAwMgQAAAABMAcAAAAJOS8xNS8yMDE3CAAAAAk2LzMwLzIwMTcJAAAAATApHJQQNQnWCOR0WxI1CdYILUNJUS5OQVNEQVFHTTpJ</t>
  </si>
  <si>
    <t>TU1VLklRX0RJVklERU5EX1lJRUxELjcvMTYvMjAxOAEAAAAgQwQAAwAAAAAARp0ZETUJ1ggS/mQSNQnWCClDSVEuSVFUUjQxMzk1MzY2MS5JUV9CVVNJTkVTU19ERVNDUklQVElPTgEAAADxrVMMAwAAAKwIVG9sZXJvIFBoYXJtYWNldXRpY2FscywgSW5jLiwgYSBiaW9waGFybWFjZXV0aWNhbCBjb21wYW55LCBkaXNjb3ZlcnMgYW5kIGRldmVsb3BzIG5vdmVsIHRoZXJhcGV1dGljcyB0byB0cmVhdCBjYW5jZXIgYW5kIG90aGVyIGh1bWFuIGRpc2Vhc2VzIGluIHRoZSBVbml0ZWQgU3RhdGVzLiBUaGUgY29tcGFueSBkZXZlbG9wcyBBbHZvY2lkaWIsIGEgY3ljbGluLWRlcGVuZGVudCBraW5hc2Ugc21hbGwgbW9sZWN1bGUgaW5oaWJpdG9yOyBhbmQgVFAtMDQxMyB0aGF0IHRhcmdldHMgYSBzaWduYWxpbmcgcGF0aHdheSBjb21wbGljYXRlZCBpbiB0aGUgcmVndWxhdGlvbiBvZiBzZXJ1bSBpcm9uIGxldmVscyBmb3IgaW5kaXZpZHVhbHMgc3VmZmVyaW5nIHdpdGggY2hyb25pYyBpbmZsYW1tYXRvcnkgZGlzZWFzZXMsIHN1Y2ggYXMgY2FuY2VyIGFuZCByaGV1bWF0b2lkIGFydGhyaXRpcy4gSXQgYWxzbyBkZXZlbG9wcyBUUC0wOTAzLCBhbiBhbnRpLWNhbmNlciBhbmQgZHVhbC10YXJnZXRlZCBhZ2VudCB0aGF0IGluaGliaXRzIHR3byBzaWduYWxpbmcgcGF0aHdheXMgZm9yIHBhbmNyZWF0aWMg</t>
  </si>
  <si>
    <t>Y2FuY2VyIGNlbGwgZ3Jvd3RoIGFuZCBzdXJ2aXZhbCwgYW5kIGZvciB0aGUgbWFpbnRlbmFuY2Ugb2YgdGhlIHR1bW9yIHN0cm9tYWwgY2VsbHM7IGFuZCBUUC0zNjU0IFBJTSBpbmhpYml0b3Igc2lnbmFsaW5nIHBhdGh3YXkgdGhhdCBhbGxvd3MgdHVtb3IgY2VsbHMgdG8gcmVzcG9uZCB0byBub3JtYWwgY2VsbCBkZWF0aCBzaWduYWxzLCBhbmQgc2hvd3MgdG8gaW5kdWNlIGFwb3B0b3NpcyBpbiBleHBlcmltZW50YWwgc3lzdGVtcyBmb3IgcHJvc3RhdGUgY2FuY2VyLCBhY3V0ZSBteWVsb2lkIGxldWtlbWlhLCBhbmQgbHltcGhvbWEgbW9kZWxzLiBUaGUgY29tcGFueSB3YXMgZm91bmRlZCBpbiAyMDExIGFuZCBpcyBiYXNlZCBpbiBMZWhpLCBVdGFoLiBBcyBvZiBKYW51YXJ5IDI1LCAyMDE3LCBUb2xlcm8gUGhhcm1hY2V1dGljYWxzLCBJbmMuIG9wZXJhdGVzIGFzIGEgc3Vic2lkaWFyeSBvZiBEYWluaXBwb24gU3VtaXRvbW8gUGhhcm1hIEFtZXJpY2EgSG9sZGluZ3MsIEluYy4uALKzSW80CdYIgf2VbzQJ1gg9Q0lRLk5BU0RBUUdNOkNSSVMuSVFfQ0FTSF9TVF9JTlZFU1QuMjAwMC41LzUvMjAxNy5MRlIuRi5VU0QuSAEAAAAXagAAAgAAAAY2MC44MDIBCAAAAAUAAAABMQEAAAAKMTg0MDUwMTExOQMAAAADMTYwAgAAAAQxMDAyBAAAAAEwBwAAAAg1LzUvMjAxNwgAAAAJMy8zMS8yMDE3CQAA</t>
  </si>
  <si>
    <t>AAEwyDCyNwgJ1gjdS6RvNAnWCDxDSVEuTkFTREFRR1M6QVROWC5JUV9FQVJOSU5HX0NPLkNZMjAxNy43LzMxLzIwMTguTEZSLkYuVVNELkgBAAAA3JlrAQIAAAAILTEzMS4zOTYBCAAAAAUAAAABMQEAAAAKMTg3OTkwNzYzNQMAAAADMTYwAgAAAAE3BAAAAAEwBwAAAAk3LzMxLzIwMTgIAAAACjEyLzMxLzIwMTcJAAAAATDWjBE4CAnWCCTCmm80CdYIJ0NJUS5OQVNEQVFHTTpMUFRYLklRX0JFVEFfMVlSLjcvMTYvMjAxOAEAAAAMNgkHAgAAABEwLjMxODEzMTIyOTc1MDI2OQApHJQQNQnWCDDXXRI1CdYIP0NJUS5OQVNEQVFHUzpHVEhYLklRX05FVF9XT1JLSU5HX0NBUC4xOTkyLjcvMzEvMjAxOC5MRlIuRi5VU0QuSAEAAABlNGkIAwAAAAAAnAvVOAgJ1ggkwppvNAnWCDtDSVEuTkFTREFRR1M6UEJZSS5JUV9UT1RBTF9SRVYuQ1kyMDE3LjcvMTYvMjAxOC5MRlIuRi5VU0QuSAEAAAACaqwHAgAAAAYyNy42ODUBCAAAAAUAAAABMQEAAAAKMTg3ODA2MzM0NAMAAAADMTYwAgAAAAIyOAQAAAABMAcAAAAJNy8xNi8yMDE4CAAAAAoxMi8zMS8yMDE3CQAAAAEwxP8bETUJ1ggS/mQSNQnWCDlDSVEuRU5YVFBBOklQSC5JUV9FQVJOSU5HX0NPLkNZMjAxNy43LzE2LzIwMTguTEZSLkYuVVNELkgBAAAAmYAGAAIAAAAKLTU4LjA5OTE4MwEIAAAABQAAAAExAQAAAAoxODg5NTUyMTY0AwAAAAMxNjACAAAAATcEAAAA</t>
  </si>
  <si>
    <t>ATAHAAAACTcvMTYvMjAxOAgAAAAKMTIvMzEvMjAxNwkAAAABMCkclBA1CdYIczlgEjUJ1ggxQ0lRLk5BU0RBUUdTOkFEWFMuSVFfREFfQ0YuLjcvMTYvMjAxOC5MRlIuRi5VU0QuSAEAAACe7HgAAgAAAAgxLjM2MzQ3NwEIAAAABQAAAAExAQAAAAoxODkyNzg4NTQ4AwAAAAMxNjACAAAABDIxNjAEAAAAATAHAAAACTcvMTYvMjAxOAgAAAAJNC8zMC8yMDE4CQAAAAEwKRyUEDUJ1gjkdFsSNQnWCC5DSVEuSVFUUjMwNzg2Mzk4NC5JUV9UUl9UQVJHRVRfU1RPQ0tQUkVNSVVNXzFNAQAAALChWRICAAAAAABYzxIONQnWCMDbgg41CdYIIkNJUS5JUVRSNDIyODg3NzAxLklRX1RSX1BDVF9TT1VHSFQBAAAAFcE0GQIAAAACODABBgAAAAUAAAACNTQBAAAABjEwMTAyNAIAAAAJNDIyODg3NzAxAwAAAAk0MzA0MDYzNDMEAAAAAzE2MAYAAAAEVHJ1ZQxtEA41CdYIwNuCDjUJ1gg6Q0lRLk5BU0RBUUdTOlBCWUkuSVFfQ0FTSF9TVF9JTlZFU1QuLjcvMTYvMjAxOC5MRlIuRi5VU0QuSAEAAAACaqwHAgAAAAY3OC41NTIBCAAAAAUAAAABMQEAAAAKMTg4ODY2Nzc0MwMAAAADMTYwAgAAAAQxMDAyBAAAAAEwBwAAAAk3LzE2LzIwMTgIAAAACTMvMzEvMjAxOAkAAAABMMT/GxE1CdYIEv5kEjUJ1ggnQ0lRLk5BU0RBUUNNOk1URU0uSVFfQkVUQV8xWVIuNy8zMS8yMDE4AQAAAJmbqQECAAAAETAuOTg5MzUyOTg0MjIxNzMz</t>
  </si>
  <si>
    <t>AMgwsjcICdYIGemhbzQJ1ggpQ0lRLk5BU0RBUUdNOkFSUlkuSVFfQlVTSU5FU1NfREVTQ1JJUFRJT04BAAAA+GEAAAMAAAC5DkFycmF5IEJpb1BoYXJtYSBJbmMuLCBhIGJpb3BoYXJtYWNldXRpY2FsIGNvbXBhbnksIGZvY3VzZXMgb24gdGhlIGRpc2NvdmVyeSwgZGV2ZWxvcG1lbnQsIGFuZCBjb21tZXJjaWFsaXphdGlvbiBvZiBzbWFsbCBtb2xlY3VsZSBkcnVncyB0byB0cmVhdCBwYXRpZW50cyB3aXRoIGNhbmNlciBhbmQgb3RoZXIgZGlzZWFzZXMgaW4gTm9ydGggQW1lcmljYSwgRXVyb3BlLCBhbmQgdGhlIEFzaWEgUGFjaWZpYy4gSXQgcHJvdmlkZXMgQlJBRlRPVklUTSAoZW5jb3JhZmVuaWIpIGNhcHN1bGVzIGluIGNvbWJpbmF0aW9uIHdpdGggTUVLVE9WSSAoYmluaW1ldGluaWIpIHRhYmxldHMgZm9yIHRoZSB0cmVhdG1lbnQgb2YgcGF0aWVudHMgd2l0aCB1bnJlc2VjdGFibGUgb3IgbWV0YXN0YXRpYyBtZWxhbm9tYSB3aXRoIGEgQlJBRiBtdXRhdGlvbi4gVGhlIGNvbXBhbnnigJlzIGxlYWQgY2xpbmljYWwgcHJvZ3JhbXMgaW5jbHVkZSBlbmNvcmFmZW5pYiBhbmQgYmluaW1ldGluaWIgdGhhdCBhcmUgaW52ZXN0aWdhdGVkIGluIGFwcHJveGltYXRlbHkgMzAgY2xpbmljYWwgdHJpYWxzIGZvciB2YXJpb3VzIHNvbGlkIHR1bW9yIGluZGljYXRpb25zLCBpbmNsdWRpbmcgYSBQaGFz</t>
  </si>
  <si>
    <t>ZSBJSUkgdHJpYWwgaW4gQlJBRi1tdXRhbnQgY29sb3JlY3RhbCBjYW5jZXIuIEl0cyBwcm9kdWN0IHBpcGVsaW5lIGFsc28gaW5jbHVkZXMgaXBhdGFzZXJ0aWIsIGFuIEFLVCBpbmhpYml0b3IgdGhhdCBpcyBpbiBQaGFzZSBJSUkgdHJpYWwgdG8gdHJlYXQgcHJvc3RhdGUgb3IgYnJlYXN0IGNhbmNlcnM7IHNlbHVtZXRpbmliLCBhIE1FSyBpbmhpYml0b3IgZm9yIGNhbmNlcjsgbGFyb3RyZWN0aW5pYiwgYSBQYW5UcmsgaW5oaWJpdG9yIHRoYXQgaXMgaW4gYSBQaGFzZSBJSS9yZWdpc3RyYXRpb24gY2xpbmljYWwgdHJpYWwgZm9yIGNhbmNlcjsgdHVjYXRpbmliLCBhIEhFUjIgaW5oaWJpdG9yIGZvciBicmVhc3QgY2FuY2VyLCB3aGljaCBpcyBpbiBQaGFzZSBJSS9yZWdpc3RyYXRpb24gdHJpYWw7IGFuZCBBUlJZLTc5NyB0aGF0IGlzIGluIFBoYXNlIElJSSBjbGluaWNhbCB0cmlhbCBmb3IgTGFtaW4gQS9DLXJlbGF0ZWQgZGlsYXRlZCBjYXJkaW9teW9wYXRoeS4gSW4gYWRkaXRpb24sIHRoZSBjb21wYW55IGlzIGRldmVsb3BpbmcgdmFybGl0aW5pYi9BU0xBTjAwMSwgYSBQYW4tSEVSMiBpbmhpYml0b3IgZm9yIGdhc3RyaWMgY2FuY2VyOyBBUlJZLTM4MiwgYSBDU0YxUiBpbmhpYml0b3IgdGhhdCBpcyBpbiBQaGFzZSBJSSBjbGluaWNhbCB0cmlhbCB0byB0cmVhdCBjYW5jZXI7IG1vdG9s</t>
  </si>
  <si>
    <t>aW1vZC9WVFgtMjMzNywgYSBUb2xsLWxpa2UgcmVjZXB0b3IgdGhhdCBpcyBpbiBQaGFzZSBJSSBjbGluaWNhbCB0cmlhbCBmb3IgY2FuY2VyOyBhbmQgcHJleGFzZXJ0aWIvTFkyNjA2MzY4LCBhIENISy0xIGluaGliaXRvciwgd2hpY2ggaXMgaW4gbXVsdGlwbGUgUGhhc2UgSSBvciBJSSBjbGluaWNhbCB0cmlhbHMgZm9yIGNhbmNlci4gRnVydGhlciwgaXRzIGRydWcgY2FuZGlkYXRlcyBpbiBQaGFzZSBJIGNsaW5pY2FsIHRyaWFscyBpbmNsdWRlIEdEQy0wNTc1LCBhIENISy0xIGluaGliaXRvciBmb3IgY2FuY2VyOyBMT1hPLTI5MiwgYSBSRVQgaW5oaWJpdG9yIHRvIHRyZWF0IGNhbmNlcjsgYW5kIExPWE8tMTk1LCBhIFRyayBpbmhpYml0b3IgZm9yIGNhbmNlci4gQWRkaXRpb25hbGx5LCBpdHMgZHJ1ZyBjYW5kaWRhdGVzIGluY2x1ZGUgR2Fub3ZvL2Rhbm9wcmV2aXIsIGEgcHJvdGVhc2UgaW5oaWJpdG9yIGZvciBoZXBhdGl0aXMgQyB2aXJ1cy4gVGhlIGNvbXBhbnkgd2FzIGZvdW5kZWQgaW4gMTk5OCBhbmQgaXMgaGVhZHF1YXJ0ZXJlZCBpbiBCb3VsZGVyLCBDb2xvcmFkby4AnAvVOAgJ1gjUX5hvNAnWCDhDSVEuTkFTREFRR006RkFURS5JUV9FQklUREEuQ1kyMDE3LjcvMzEvMjAxOC5MRlIuRi5VU0QuSAEAAABoMVcCAgAAAActNDEuMTU0AQgAAAAFAAAAATEBAAAACjE4NzcwNjkwOTAD</t>
  </si>
  <si>
    <t>AAAAAzE2MAIAAAAENDA1MQQAAAABMAcAAAAJNy8zMS8yMDE4CAAAAAoxMi8zMS8yMDE3CQAAAAEw1owROAgJ1gjDhp9vNAnWCDBDSVEuQVNYOklNVS5JUV9UT1RBTF9ERUJULi43LzE2LzIwMTguTEZSLkYuVVNELkgBAAAAmJOpAAIAAAABMAEIAAAABQAAAAExAQAAAAoxODc3MzA1MzIwAwAAAAMxNjACAAAABDQxNzMEAAAAATAHAAAACTcvMTYvMjAxOAgAAAAKMTIvMzEvMjAxNwkAAAABMCkclBA1CdYIMNddEjUJ1ghCQ0lRLk5BU0RBUUdTOkpOQ0UuSVFfVE9UQUxfUkVWXzJZUl9BTk5fQ0FHUi4uNy8xNi8yMDE4LkxGUi5GLlVTRC5IAQAAAOJ5ng0DAAAAAADep34QNQnWCJgSWRI1CdYILUNJUS5OQVNEQVFHUzpLVVJBLklRX0RJVklERU5EX1lJRUxELjcvMzEvMjAxOAEAAAC4y9oQAwAAAAAA1owROAgJ1ghzJJ1vNAnWCDlDSVEuTkFTREFRR006SU1NVS5JUV9FQklUREFfTUFSR0lOLi43LzE2LzIwMTguTEZSLkYuVVNELkgBAAAAIEMEAAMAAAACTk0BCAAAAAUAAAABMQEAAAAKMTg4ODUyMzM4NAMAAAADMTYwAgAAAAQ0MDQ3BAAAAAEwBwAAAAk3LzE2LzIwMTgIAAAACTMvMzEvMjAxOAkAAAABMMT/GxE1CdYIEv5kEjUJ1gg1Q0lRLk5BU0RBUUdTOkZQUlguSVFfQ0FQRVguMjAwMC43LzMxLzIwMTguTEZSLkYuVVNELkgBAAAAN10zAAIAAAAGLTMuOTU3AQgAAAAFAAAAATEBAAAACjE4ODc0MDIyMjcD</t>
  </si>
  <si>
    <t>AAAAAzE2MAIAAAAEMjAyMQQAAAABMAcAAAAJNy8zMS8yMDE4CAAAAAkzLzMxLzIwMTgJAAAAATDWjBE4CAnWCBnpoW80CdYILkNJUS5OQVNEQVFHUzpOSy5JUV9MQVNUU0FMRVBSSUNFLjcvMzEvMjAxOC5VU0QBAAAADX2hDwIAAAADMy41ANaMETgICdYIw4afbzQJ1gg4Q0lRLk5BU0RBUUNNOk1URU0uSVFfRUJJVERBLkNZMjAxNy43LzMxLzIwMTguTEZSLkYuVVNELkgBAAAAmZupAQIAAAAHLTE1LjY5MgEIAAAABQAAAAExAQAAAAoxODgxMTE4ODEwAwAAAAMxNjACAAAABDQwNTEEAAAAATAHAAAACTcvMzEvMjAxOAgAAAAKMTIvMzEvMjAxNwkAAAABMMgwsjcICdYIGemhbzQJ1gg2Q0lRLk5BU0RBUUdTOlNHRU4uSVFfVE9UQUxfREVCVC4uOS8xNS8yMDE3LkxGUi5GLlVTRC5IAQAAAGGFAAACAAAAATABCAAAAAUAAAABMQEAAAAKMTg1MTI4MTU4NwMAAAADMTYwAgAAAAQ0MTczBAAAAAEwBwAAAAk5LzE1LzIwMTcIAAAACTYvMzAvMjAxNwkAAAABMMT/GxE1CdYIaGBnEjUJ1gg4Q0lRLk5BU0RBUUdNOklNTVUuSVFfRUJJVERBLkNZMjAxNi43LzMxLzIwMTguTEZSLkYuVVNELkgBAAAAIEMEAAIAAAAKLTU4LjY0NzQ0OAEIAAAABQAAAAExAQAAAAoxODczNDkzNDkxAwAAAAMxNjACAAAABDQwNTEEAAAAATAHAAAACTcvMzEvMjAxOAgAAAAKMTIvMzEvMjAxNgkAAAABMJwL1TgICdYI1F+YbzQJ1ggzQ0lR</t>
  </si>
  <si>
    <t>LkVOWFRQQTpJUEguSVFfVE9UQUxfREVCVC4uNy8xNi8yMDE4LkxGUi5GLlVTRC5IAQAAAJmABgACAAAACDcuMDQxMzA2AQgAAAAFAAAAATEBAAAACjE4ODk1NTIxNjQDAAAAAzE2MAIAAAAENDE3MwQAAAABMAcAAAAJNy8xNi8yMDE4CAAAAAoxMi8zMS8yMDE3CQAAAAEwKRyUEDUJ1ghzOWASNQnWCEZDSVEuTkFTREFRR006QVJSWS5JUV9UT1RBTF9SRVZfNVlSX0FOTl9DQUdSLjIwMDAuNy8zMS8yMDE4LkxGUi5GLlVTRC5IAQAAAPhhAAACAAAABjUuNTQ5NQEIAAAABQAAAAExAQAAAAoxODg4NDcwNjc2AwAAAAMxNjACAAAABDQyMzMEAAAAATAHAAAACTcvMzEvMjAxOAgAAAAJMy8zMS8yMDE4CQAAAAEwnAvVOAgJ1ggkwppvNAnWCCFDSVEuSVExMjg3Mzk4NDIuSVFfQ09NUEFOWV9USUNLRVIBAAAAAmqsBwMAAAANTmFzZGFxR1M6UEJZSQAMbRAONQnWCFvHjg41CdYIKkNJUS5JUVRSMjYzNzE4NjQ3LklRX1RSX1RBUkdFVF9FQklULi5VU0QuSAEAAAD3BrgPAgAAAAYtNC4zNjMBBgAAAAUAAAACMzcBAAAACjE2Nzc3OTQ1MDECAAAABTIxNjc1AwAAAAMxNjAEAAAAATAHAAAACDEvMS8xOTAwsrNJbzQJ1giB/ZVvNAnWCC1DSVEuTkFTREFRR006QUZNRC5JUV9ESVZJREVORF9ZSUVMRC43LzE2LzIwMTgBAAAA2/cMAAMAAAAAACkclBA1CdYIMNddEjUJ1ggoQ0lRLklRMjY2ODY0Mi5JUV9MQVNUU0FMRVBS</t>
  </si>
  <si>
    <t>SUNFLjcvMzEvMjAxOAEAAABiuCgAAgAAAAQ0Ljc5AElTR280CdYIgf2VbzQJ1ggxQ0lRLk5BU0RBUUNNOkNLUFQuSVFfQ0FQRVguLjcvMTYvMjAxOC5MRlIuRi5VU0QuSAEAAAC4URYRAwAAAAAAKRyUEDUJ1gjkdFsSNQnWCDpDSVEuTkFTREFRR1M6QkdORS5JUV9QUkVGX0VRVUlUWS4yMDAwLjUvNS8yMDE3LkxGUi5GLlVTRC5IAQAAAODk3QYDAAAAAACcC9U4CAnWCIH9lW80CdYIN0NJUS5OQVNEQVFHTTpBUlJZLklRX1BFUklPRERBVEVfSVMuMjAwMC43LzMxLzIwMTguTEZSLkYBAAAA+GEAAAUAAAAJMy8zMS8yMDE4AJwL1TgICdYI1F+YbzQJ1ggwQ0lRLklRVFIyNjM3MTg2NDcuSVFfVFJfVEFSR0VUX0VCSVREQV9FU1QuLlVTRC5IAQAAAPcGuA8CAAAAAACys0lvNAnWCIH9lW80CdYIQ0NJUS5OQVNEQVFDTTpDS1BULklRX01JTk9SSVRZX0lOVEVSRVNUX1RPVEFMLi43LzE2LzIwMTguTEZSLkYuVVNELkgBAAAAuFEWEQMAAAAAACkclBA1CdYIMNddEjUJ1gg9Q0lRLk5BU0RBUUdTOkZQUlguSVFfRUJJVERBX01BUkdJTi4yMDAwLjcvMzEvMjAxOC5MRlIuRi5VU0QuSAEAAAA3XTMAAgAAAAktMjE5LjM0NzIBCAAAAAUAAAABMQEAAAAKMTg4NzQwMjIyNwMAAAADMTYwAgAAAAQ0MDQ3BAAAAAEwBwAAAAk3LzMxLzIwMTgIAAAACTMvMzEvMjAxOAkAAAABMNaMETgICdYIGemhbzQJ1gg6Q0lRLk5BU0RB</t>
  </si>
  <si>
    <t>UUdTOlRTUk8uSVFfUFJFRl9FUVVJVFkuMjAwMC41LzUvMjAxNy5MRlIuRi5VU0QuSAEAAABo1lgGAwAAAAAAnAvVOAgJ1ggkwppvNAnWCCxDSVEuSVFUUjMyMTg2NTI5Ny5JUV9UUl9UT1RBTF9HUk9TU19UVi5VU0QuSAUAAAAAAAAACAAAABooSW52YWxpZCBDdXJyZW5jeSBSZXF1ZXN0KQxtEA41CdYIDD6FDjUJ1gg8Q0lRLk5BU0RBUUdTOkNBTEEuSVFfRUJJVERBX0VTVC5DWTIwMTguNy8zMS8yMDE4LkNPTi5GLlVTRC5IAQAAAKUngQYDAAAAAADIMLI3CAnWCN1LpG80CdYIP0NJUS5OQVNEQVFHUzpBVE5YLklRX05FVF9XT1JLSU5HX0NBUC4xOTk2LjcvMzEvMjAxOC5MRlIuRi5VU0QuSAEAAADcmWsBAgAAAActMjMuMjE2AQgAAAAFAAAAATEBAAAACjE4ODg3MDI5NzYDAAAAAzE2MAIAAAAEMTMxMQQAAAABMAcAAAAJNy8zMS8yMDE4CAAAAAkzLzMxLzIwMTcJAAAAATDWjBE4CAnWCCTCmm80CdYIMkNJUS5OQVNEQVFHUzpTR0VOLklRX1RPVEFMX1JFVi5DWTIwMTcuLkxGUi5GLlVTRC5IAQAAAGGFAAACAAAABjQ4Mi4yNQEIAAAABQAAAAExAQAAAAoxODc0Njk2MjIwAwAAAAMxNjACAAAAAjI4BAAAAAEwBwAAAAk4LzIzLzIwMTgIAAAACjEyLzMxLzIwMTcJAAAAATBGnRkRNQnWCEadGRE1CdYIPUNJUS5OQVNEQVFHTTpDUlZTLklRX1JFVkVOVUVfRVNULkNZMjAxOS43LzMxLzIwMTguQ09OLkYuVVNE</t>
  </si>
  <si>
    <t>LkgBAAAA9LCmEAIAAAABMAEOAAAABQAAAAIxMQEAAAABMAIAAAAKMTAwMzM3MDM1NgMAAAAGMTAwMTgwBAAAAAEyBgAAAAEwBwAAAAMxNjAIAAAAATAJAAAAATEKAAAAATALAAAACzEwOTU1NDYxODQ3DAAAAAE3DQAAAAg4LzEvMjAxOBAAAAAJNy8zMS8yMDE41owROAgJ1ggZ6aFvNAnWCDxDSVEuTkFTREFRR006Q1JJUy5JUV9FQklUREFfRVNULkNZMjAxOC43LzMxLzIwMTguQ09OLkYuVVNELkgBAAAAF2oAAAMAAAAAAMgwsjcICdYI3UukbzQJ1ggpQ0lRLklRVFI1NTExNjYyOTIuSVFfVFJfSU1QTElFRF9FUV9OSV9MVE0BAAAAVCHaIAMAAAACTk0ADG0QDjUJ1gjA24IONQnWCD5DSVEuTkFTREFRR1M6UEJZSS5JUV9UT1RBTF9FUVVJVFkuQ1kyMDE3LjcvMTYvMjAxOC5MRlIuRi5VU0QuSAEAAAACaqwHAgAAAAY1My4zMDIBCAAAAAUAAAABMQEAAAAKMTg3ODA2MzM0NAMAAAADMTYwAgAAAAQxMjc1BAAAAAEwBwAAAAk3LzE2LzIwMTgIAAAACjEyLzMxLzIwMTcJAAAAATDE/xsRNQnWCBL+ZBI1CdYIPENJUS5OQVNEQVFDTTpTUk5FLklRX1RPVEFMX0VRVUlUWS4yMDAwLjcvMzEvMjAxOC5MRlIuRi5VU0QuSAEAAABJQ5QDAgAAAAcyNDAuODczAQgAAAAFAAAAATEBAAAACjE4ODc5ODk4MzEDAAAAAzE2MAIAAAAEMTI3NQQAAAABMAcAAAAJNy8zMS8yMDE4CAAAAAkzLzMxLzIwMTgJAAAAATDWjBE4CAnW</t>
  </si>
  <si>
    <t>CHMknW80CdYIIENJUS5JUVRSNDA3NzYwNjkyLklRX1RSX0VBUk5PVVRTAQAAADTvTRgCAAAACjk0MC4xOTg5NzIBBgAAAAUAAAACNTQBAAAABjEwMTQwMwIAAAAJNDA3NzYwNjkyAwAAAAk0MDc3ODUzMjAEAAAAAzE2MAYAAAAFRmFsc2UMbRAONQnWCAw+hQ41CdYISkNJUS4oSU5WQUxJRCBJREVOVElGSUVSKS5JUV9NSU5PUklUWV9JTlRFUkVTVF9UT1RBTC4uOS8xNS8yMDE3LkxGUi5GLlVTRC5IBQAAAAAAAAAIAAAAFChJbnZhbGlkIElkZW50aWZpZXIp3qd+EDUJ1giYElkSNQnWCD1DSVEuTkFTREFRR006QVJSWS5JUV9SRVZFTlVFX0VTVC5DWTIwMjEuNy8zMS8yMDE4LkNPTi5GLlVTRC5IAQAAAPhhAAACAAAABzgxMC4zMzMBDgAAAAUAAAACMTEBAAAAATACAAAACTY1NDYxNTIxMAMAAAAGMTAwMTgwBAAAAAEyBgAAAAEwBwAAAAMxNjAIAAAAATAJAAAAATEKAAAAATALAAAACzEwOTg0MDkzMzE3DAAAAAE3DQAAAAg4LzEvMjAxOBAAAAAJNy8zMS8yMDE4nAvVOAgJ1gjUX5hvNAnWCCJDSVEuSVFUUjQwODI5MTM5NS5JUV9UUl9QQ1RfU09VR0hUAQAAAEMIVhgCAAAAAzEwMABYzxIONQnWCMDbgg41CdYIQkNJUS5YVFJBOk1PUi5JUV9NSU5PUklUWV9JTlRFUkVTVF9UT1RBTC4yMDAwLjcvMzEvMjAxOC5MRlIuRi5VU0QuSAEAAADfEQIAAwAAAAAAnAvVOAgJ1gjUX5hvNAnWCENDSVEuKElOVkFMSUQg</t>
  </si>
  <si>
    <t>SURFTlRJRklFUikuSVFfRUFSTklOR19DTy5DWTIwMTcuNy8xNi8yMDE4LkxGUi5GLlVTRC5IBQAAAAAAAAAIAAAAFChJbnZhbGlkIElkZW50aWZpZXIp3qd+EDUJ1giYElkSNQnWCEBDSVEuT1RDUEs6TUJWWC5JUV9NSU5PUklUWV9JTlRFUkVTVF9UT1RBTC4uNy8xNi8yMDE4LkxGUi5GLlVTRC5IAQAAANhEiwIDAAAAAADep34QNQnWCJgSWRI1CdYIJUNJUS5JUVRSNDA4NDA3ODIyLklRX1RSX0lNUExJRURfRVFfQlYBAAAADs9XGAMAAAACTk0AsrNJbzQJ1giB/ZVvNAnWCC9DSVEuSVFUUjU0NzQyMzY4MC5JUV9UUl9UQVJHRVRfVE9UQUxfUkVWLi5VU0QuSAEAAADABaEgAgAAAAAADG0QDjUJ1gjA24IONQnWCDFDSVEuTkFTREFRR1M6Q1RNWC5JUV9DQVBFWC4uNy8xNi8yMDE4LkxGUi5GLlVTRC5IAQAAANw4mwMCAAAABi0xLjM2NgEIAAAABQAAAAExAQAAAAoxODg3Njc1MzE2AwAAAAMxNjACAAAABDIwMjEEAAAAATAHAAAACTcvMTYvMjAxOAgAAAAJMy8zMS8yMDE4CQAAAAEwxP8bETUJ1gjCm2ISNQnWCENDSVEuTkFTREFRR1M6S1VSQS5JUV9FQklUREFfNVlSX0FOTl9DQUdSLjIwMDAuNy8zMS8yMDE4LkxGUi5GLlVTRC5IAQAAALjL2hADAAAAAADWjBE4CAnWCHMknW80CdYIOUNJUS5OQVNEQVFHTTpJTU1VLklRX1RPVEFMX1JFVi4xOTkyLjcvMzEvMjAxOC5MRlIuRi5VU0QuSAEAAAAgQwQAAgAA</t>
  </si>
  <si>
    <t>AAg0LjY5NjY2NQEIAAAABQAAAAExAQAAAAoxODQxMTcxMjI0AwAAAAMxNjACAAAAAjI4BAAAAAEwBwAAAAk3LzMxLzIwMTgIAAAACTMvMzEvMjAxNgkAAAABMJwL1TgICdYI1F+YbzQJ1ghDQ0lRLk5BU0RBUUdTOkZQUlguSVFfRUJJVERBXzJZUl9BTk5fQ0FHUi4yMDAwLjcvMzEvMjAxOC5MRlIuRi5VU0QuSAEAAAA3XTMAAwAAAAJOTQEIAAAABQAAAAExAQAAAAoxODg3NDAyMjI3AwAAAAMxNjACAAAABDQyMDkEAAAAATAHAAAACTcvMzEvMjAxOAgAAAAJMy8zMS8yMDE4CQAAAAEwyDCyNwgJ1ggZ6aFvNAnWCDxDSVEuTkFTREFRQ006U1JORS5JUV9FQklUREFfRVNULkNZMjAxOC43LzMxLzIwMTguQ09OLkYuVVNELkgBAAAASUOUAwIAAAAHLTc4LjY1NgEOAAAABQAAAAIxMQEAAAABMAIAAAAKMTAwMjAzNDI1MAMAAAAGMTAwMTg3BAAAAAEyBgAAAAEwBwAAAAMxNjAIAAAAATAJAAAAATEKAAAAATALAAAACzEwOTQ1NjI2NjIzDAAAAAE3DQAAAAg4LzEvMjAxOBAAAAAJNy8zMS8yMDE41owROAgJ1ghzJJ1vNAnWCC9DSVEuSVFUUjU2MzkxOTA0OS5JUV9UUl9JTVBMSUVEX0VWX0ZJTkFMLi5VU0QuSAEAAADJuJwhAgAAAAsxNDYyLjYyMzI0MgEGAAAABQAAAAI1NAEAAAAGMTAyMDQ1AgAAAAk1NjM5MTkwNDkDAAAACTU2Mzk0MDA0MgQAAAADMTYwBgAAAAVGYWxzZQxtEA41CdYIwNuCDjUJ1gglQ0lRLklR</t>
  </si>
  <si>
    <t>VFI1MzMzODU3NDQuSVFfVFJfTUFKX01JTl9TVEFLRQEAAAAQ0sofAwAAAAhNYWpvcml0eQAMbRAONQnWCMDbgg41CdYIOkNJUS5OQVNEQVFHUzpUU1JPLklRX0VBUk5JTkdfQ08uMTk5Ni43LzMxLzIwMTguTEZSLkYuVVNELkgBAAAAaNZYBgIAAAAILTQxOS45NjkBCAAAAAUAAAABMQEAAAAKMTg4NjMzNzQ1MQMAAAADMTYwAgAAAAE3BAAAAAEwBwAAAAk3LzMxLzIwMTgIAAAACTMvMzEvMjAxNwkAAAABMJwL1TgICdYIJMKabzQJ1ggvQ0lRLklRVFIyNTM5NTQ0NzMuSVFfVFJfVEFSR0VUX1RPVEFMX1JFVi4uVVNELkgBAAAAqQkjDwIAAAAAALKzSW80CdYINZuTbzQJ1gg5Q0lRLk5BU0RBUUdTOkNUTVguSVFfRUJJVERBX01BUkdJTi4uNy8xNi8yMDE4LkxGUi5GLlVTRC5IAQAAANw4mwMCAAAACC02OS43MzczAQgAAAAFAAAAATEBAAAACjE4ODc2NzUzMTYDAAAAAzE2MAIAAAAENDA0NwQAAAABMAcAAAAJNy8xNi8yMDE4CAAAAAkzLzMxLzIwMTgJAAAAATDE/xsRNQnWCMKbYhI1CdYIM0NJUS5OQVNEQVFHUzpUU1JPLklRX1BFUklPRERBVEVfSVMuLjcvMTYvMjAxOC5MRlIuRgEAAABo1lgGBQAAAAkzLzMxLzIwMTgAxP8bETUJ1ggS/mQSNQnWCC5DSVEuTkFTREFRQ006QVZFTy5JUV9NQVJLRVRDQVAuNy8xNi8yMDE4LlVTRC5IAQAAAPQWHQACAAAACjMzOC43NzIyOTIBBgAAAAUAAAABMQEAAAAKMTg4</t>
  </si>
  <si>
    <t>NzIzMzkxMAMAAAADMTYwAgAAAAYxMDAwNTQEAAAAATAHAAAACTcvMTYvMjAxOEadGRE1CdYIwptiEjUJ1gg+Q0lRLk5BU0RBUUdTOkZQUlguSVFfVE9UQUxfRVFVSVRZLkNZMjAxNy43LzMxLzIwMTguTEZSLkYuVVNELkgBAAAAN10zAAIAAAAHMjY1LjIwMgEIAAAABQAAAAExAQAAAAoxODc2MTM1OTkxAwAAAAMxNjACAAAABDEyNzUEAAAAATAHAAAACTcvMzEvMjAxOAgAAAAKMTIvMzEvMjAxNwkAAAABMMgwsjcICdYIGemhbzQJ1gglQ0lRLk5BU0RBUUNNOlpJT1AuSVFfRklSU1RQUklDSU5HREFURQEAAACzUbIABQAAAAk5LzE2LzIwMDUA1owROAgJ1gjDhp9vNAnWCEFDSVEuKElOVkFMSUQgSURFTlRJRklFUikuSVFfUFJFRl9FUVVJVFkuMjAwMC41LzUvMjAxNy5MRlIuRi5VU0QuSAUAAAAAAAAACAAAABQoSW52YWxpZCBJZGVudGlmaWVyKcgwsjcICdYI7TawbzQJ1gg5Q0lRLk5BU0RBUUdNOkFSUUwuSVFfVE9UQUxfUkVWLjIwMDAuNy8zMS8yMDE4LkxGUi5GLlVTRC5IAQAAAPZhAAACAAAABTQuMTM4AQgAAAAFAAAAATEBAAAACjE4ODg3ODg3NzADAAAAAzE2MAIAAAACMjgEAAAAATAHAAAACTcvMzEvMjAxOAgAAAAJMy8zMS8yMDE4CQAAAAEw1owROAgJ1ghzJJ1vNAnWCEJDSVEuTkFTREFRR1M6RlBSWC5JUV9UT1RBTF9SRVZfM1lSX0FOTl9DQUdSLi43LzE2LzIwMTguTEZSLkYuVVNELkgBAAAA</t>
  </si>
  <si>
    <t>N10zAAIAAAAHNDUuNzY3NAEIAAAABQAAAAExAQAAAAoxODg3NDAyMjI3AwAAAAMxNjACAAAABDQyMjAEAAAAATAHAAAACTcvMTYvMjAxOAgAAAAJMy8zMS8yMDE4CQAAAAEwKRyUEDUJ1ghzOWASNQnWCCFDSVEuTkFTREFRR1M6RlBSWC5JUV9DT01QQU5ZX05BTUUBAAAAN10zAAMAAAAdRml2ZSBQcmltZSBUaGVyYXBldXRpY3MsIEluYy4A1owROAgJ1gjji5MONQnWCCFDSVEuSVExMTUyMDUzNDQuSVFfQ09NUEFOWV9USUNLRVIBAAAA4OTdBgMAAAANTmFzZGFxR1M6QkdORQAMbRAONQnWCAw+hQ41CdYIQkNJUS4oSU5WQUxJRCBJREVOVElGSUVSKS5JUV9UT1RBTF9SRVYuQ1kyMDE3LjcvMzEvMjAxOC5MRlIuRi5VU0QuSAUAAAAAAAAACAAAABQoSW52YWxpZCBJZGVudGlmaWVyKcgwsjcICdYI7TawbzQJ1gg2Q0lRLk5BU0RBUUdNOlhOQ1IuSVFfVE9UQUxfREVCVC4uNy8xNi8yMDE4LkxGUi5GLlVTRC5IAQAAAKZaCwACAAAAATABCAAAAAUAAAABMQEAAAAKMTg4NzEyNTg1NQMAAAADMTYwAgAAAAQ0MTczBAAAAAEwBwAAAAk3LzE2LzIwMTgIAAAACTMvMzEvMjAxOAkAAAABMMT/GxE1CdYIEv5kEjUJ1ghHQ0lRLk5BU0RBUUdTOkNBTEEuSVFfTUlOT1JJVFlfSU5URVJFU1RfVE9UQUwuMjAwMC43LzMxLzIwMTguTEZSLkYuVVNELkgBAAAApSeBBgMAAAAAAMgwsjcICdYI3UukbzQJ1gg1Q0lRLk5BU0RB</t>
  </si>
  <si>
    <t>UUdNOkxQVFguSVFfVE9UQUxfUkVWLi43LzE2LzIwMTguTEZSLkYuVVNELkgBAAAADDYJBwMAAAAAACkclBA1CdYIMNddEjUJ1gg8Q0lRLk5BU0RBUUdNOkNSSVMuSVFfVE9UQUxfRVFVSVRZLjE5OTIuNy8zMS8yMDE4LkxGUi5GLlVTRC5IAQAAABdqAAACAAAACTU1Ljk0MjQ2OQEIAAAABQAAAAExAQAAAAoxODQwNTAxMDk5AwAAAAMxNjACAAAABDEyNzUEAAAAATAHAAAACTcvMzEvMjAxOAgAAAAJMy8zMS8yMDE2CQAAAAEwyDCyNwgJ1gjdS6RvNAnWCDlDSVEuTkFTREFRR1M6VFNSTy5JUV9UT1RBTF9SRVYuMjAwMC43LzMxLzIwMTguTEZSLkYuVVNELkgBAAAAaNZYBgIAAAAHMjY5Ljk5NQEIAAAABQAAAAExAQAAAAoxODg2MzM3NDY2AwAAAAMxNjACAAAAAjI4BAAAAAEwBwAAAAk3LzMxLzIwMTgIAAAACTMvMzEvMjAxOAkAAAABMJwL1TgICdYIJMKabzQJ1gguQ0lRLk5BU0RBUUdTOkNUTVguSVFfTUFSS0VUQ0FQLjkvMTUvMjAxNy5VU0QuSAEAAADcOJsDAgAAAAo2MzguMTc0MTIzAQYAAAAFAAAAATEBAAAACjE4NTIzNTc4NTgDAAAAAzE2MAIAAAAGMTAwMDU0BAAAAAEwBwAAAAk5LzE1LzIwMTdGnRkRNQnWCMKbYhI1CdYILUNJUS5OQVNEQVFHUzpBRFhTLklRX0RJVklERU5EX1lJRUxELjcvMTYvMjAxOAEAAACe7HgAAwAAAAAAKRyUEDUJ1gjkdFsSNQnWCC1DSVEuLklRX0VBUk5JTkdfQ08uMjAw</t>
  </si>
  <si>
    <t>MC43LzMxLzIwMTguTEZSLkYuVVNELkgFAAAAAQAAAAgAAAAUKEludmFsaWQgSWRlbnRpZmllcin1hDJHNAnWCPWEMkc0CdYIPkNJUS5OQVNEQVFHUzpNUlNOLklRX1RPVEFMX0VRVUlUWS5DWTIwMTYuNy8xNi8yMDE4LkxGUi5GLlVTRC5IAQAAAObFGAACAAAABjM4LjgzMQEIAAAABQAAAAExAQAAAAoxODgwNTQ3MzgzAwAAAAMxNjACAAAABDEyNzUEAAAAATAHAAAACTcvMTYvMjAxOAgAAAAKMTIvMzEvMjAxNgkAAAABMCkclBA1CdYIczlgEjUJ1ghGQ0lRLk5BU0RBUUdNOkNSSVMuSVFfTUlOT1JJVFlfSU5URVJFU1RfVE9UQUwuMjAwMC41LzUvMjAxNy5MRlIuRi5VU0QuSAEAAAAXagAAAwAAAAAAyDCyNwgJ1gjdS6RvNAnWCD1DSVEuTkFTREFRR1M6Q0FMQS5JUV9SRVZFTlVFX0VTVC5DWTIwMjEuNy8xNi8yMDE4LkNPTi5GLlVTRC5IAQAAAKUngQYCAAAABzIzNS42MzEBDgAAAAUAAAACMTEBAAAAATACAAAACjEwMDI4OTY0MzMDAAAABjEwMDE4MAQAAAABMgYAAAABMAcAAAADMTYwCAAAAAEwCQAAAAExCgAAAAEwCwAAAAsxMDkxMzI3ODQ0OQwAAAABNw0AAAAJNy8xNy8yMDE4EAAAAAk3LzE2LzIwMTgpHJQQNQnWCOR0WxI1CdYIIENJUS5JUVRSNDIyODg3NzAxLklRX1RSX0VBUk5PVVRTAQAAABXBNBkCAAAAAjQ3AQYAAAAFAAAAAjU0AQAAAAYxMDE0MDMCAAAACTQyMjg4NzcwMQMAAAAJNDMwNDA2</t>
  </si>
  <si>
    <t>MzQzBAAAAAMxNjAGAAAABUZhbHNlDG0QDjUJ1gjA24IONQnWCC5DSVEuSVFUUjQwMzc5MTc2Ny5JUV9UUl9UQVJHRVRfU1RPQ0tQUkVNSVVNXzFXAQAAAJdfERgCAAAAAABYzxIONQnWCMDbgg41CdYIJUNJUS5JUVRSNDAzNzkxNzY3LklRX1RSX01BSl9NSU5fU1RBS0UBAAAAl18RGAMAAAAITWFqb3JpdHkAWM8SDjUJ1gjA24IONQnWCDlDSVEuTkFTREFRQ006QVZFTy5JUV9FQklUREFfTUFSR0lOLi43LzE2LzIwMTguTEZSLkYuVVNELkgBAAAA9BYdAAMAAAAAAMT/GxE1CdYIwptiEjUJ1gg8Q0lRLk5BU0RBUUdNOkFSUUwuSVFfVE9UQUxfRVFVSVRZLjE5OTIuNy8zMS8yMDE4LkxGUi5GLlVTRC5IAQAAAPZhAAACAAAABTQwLjEyAQgAAAAFAAAAATEBAAAACjE4NDE5OTI1NjkDAAAAAzE2MAIAAAAEMTI3NQQAAAABMAcAAAAJNy8zMS8yMDE4CAAAAAkzLzMxLzIwMTYJAAAAATDWjBE4CAnWCHMknW80CdYIIkNJUS5JUVRSNDExODcxMDgyLklRX1RSX1BDVF9TT1VHSFQBAAAAaqeMGAIAAAACODYBBgAAAAUAAAACNTQBAAAABjEwMTAyNAIAAAAJNDExODcxMDgyAwAAAAk0MTE4NzEyOTEEAAAAAzE2MAYAAAAEVHJ1ZbKzSW80CdYINZuTbzQJ1ggiQ0lRLklRVFIzMTQ4MjkyMzYuSVFfVFJfUENUX1NPVUdIVAEAAAC06cMSAgAAAAMxMDAAWM8SDjUJ1gjA24IONQnWCD9DSVEuTkFTREFRR1M6RlBSWC5JUV9O</t>
  </si>
  <si>
    <t>RVRfV09SS0lOR19DQVAuMjAwMC43LzMxLzIwMTguTEZSLkYuVVNELkgBAAAAN10zAAIAAAAHLTI3LjU0OQEIAAAABQAAAAExAQAAAAoxODg3NDAyMjI3AwAAAAMxNjACAAAABDEzMTEEAAAAATAHAAAACTcvMzEvMjAxOAgAAAAJMy8zMS8yMDE4CQAAAAEw1owROAgJ1ggZ6aFvNAnWCDBDSVEuTkFTREFRR006TkxOSy5JUV9MQVNUU0FMRVBSSUNFLjcvMTYvMjAxOC5VU0QBAAAAlXuMAAIAAAAENC42OAApHJQQNQnWCOR0WxI1CdYIPENJUS5OQVNEQVFHUzpCR05FLklRX0dST1NTX01BUkdJTi4yMDAwLjcvMzEvMjAxOC5MRlIuRi5VU0QuSAEAAADg5N0GAgAAAAgtMjcuNTExOAEIAAAABQAAAAExAQAAAAoxODg3Njg4NTg4AwAAAAMxNjACAAAABDQwNzQEAAAAATAHAAAACTcvMzEvMjAxOAgAAAAJMy8zMS8yMDE4CQAAAAEwnAvVOAgJ1giB/ZVvNAnWCDdDSVEuTkFTREFRR1M6Sk5DRS5JUV9QUkVGX0VRVUlUWS4uNy8xNi8yMDE4LkxGUi5GLlVTRC5IAQAAAOJ5ng0DAAAAAAApHJQQNQnWCOR0WxI1CdYILkNJUS5JUVRSMzE0ODI5MjM2LklRX1RSX1RBUkdFVF9TVE9DS1BSRU1JVU1fMVcBAAAAtOnDEgIAAAAAAFjPEg41CdYIwNuCDjUJ1gg9Q0lRLk5BU0RBUUdTOk1SU04uSVFfUkVWRU5VRV9FU1QuQ1kyMDIwLjcvMTYvMjAxOC5DT04uRi5VU0QuSAEAAADmxRgAAgAAAAYyNC43MzgBDgAAAAUAAAACMTEB</t>
  </si>
  <si>
    <t>AAAAATACAAAACjEwMDM4MDMyODUDAAAABjEwMDE4MAQAAAABMgYAAAABMAcAAAADMTYwCAAAAAEwCQAAAAExCgAAAAEwCwAAAAsxMTA0Mjc2ODYyOAwAAAABNw0AAAAJNy8xNy8yMDE4EAAAAAk3LzE2LzIwMTjE/xsRNQnWCHM5YBI1CdYIO0NJUS5OQVNEQVFHUzpNUlNOLklRX1RPVEFMX1JFVi5DWTIwMTcuNy8zMS8yMDE4LkxGUi5GLlVTRC5IAQAAAObFGAACAAAABjE3LjU0NQEIAAAABQAAAAExAQAAAAoxODgwNTQ3Mzk1AwAAAAMxNjACAAAAAjI4BAAAAAEwBwAAAAk3LzMxLzIwMTgIAAAACjEyLzMxLzIwMTcJAAAAATDWjBE4CAnWCMOGn280CdYINkNJUS5OQVNEQVFDTTpDS1BULklRX1RPVEFMX0RFQlQuLjkvMTUvMjAxNy5MRlIuRi5VU0QuSAEAAAC4URYRAgAAAAEwAQgAAAAFAAAAATEBAAAACjE4NTI3NTIxNTIDAAAAAzE2MAIAAAAENDE3MwQAAAABMAcAAAAJOS8xNS8yMDE3CAAAAAk2LzMwLzIwMTcJAAAAATApHJQQNQnWCOR0WxI1CdYIJ0NJUS5OQVNEQVFHUzpNUlNOLklRX0JFVEFfMVlSLjcvMTYvMjAxOAEAAADmxRgAAgAAABEwLjU4MTM3MzU5MTYxNjMxOAApHJQQNQnWCHM5YBI1CdYIHUNJUS5OQVNEQVFHUzpTR0VOLklRX0VYQ0hBTkdFAQAAAGGFAAADAAAACE5hc2RhcUdTAEadGRE1CdYIaGBnEjUJ1gglQ0lRLklRVFIzMjE4NjUyOTcuSVFfVFJfTUFKX01JTl9TVEFLRQEAAABRRi8T</t>
  </si>
  <si>
    <t>AwAAAAhNYWpvcml0eQBYzxIONQnWCAw+hQ41CdYILkNJUS5JUVRSNDA4MjkxMzk1LklRX1RSX1RBUkdFVF9TVE9DS1BSRU1JVU1fMU0BAAAAQwhWGAIAAAAAAFjPEg41CdYIwNuCDjUJ1gg4Q0lRLk5BU0RBUUdTOk1HTlguSVFfR1JPU1NfTUFSR0lOLi43LzE2LzIwMTguTEZSLkYuVVNELkgBAAAATysJAAIAAAAGMC4xNzUyAQgAAAAFAAAAATEBAAAACjE4ODcxMTQ5NDUDAAAAAzE2MAIAAAAENDA3NAQAAAABMAcAAAAJNy8xNi8yMDE4CAAAAAkzLzMxLzIwMTgJAAAAATDE/xsRNQnWCMKbYhI1CdYIJUNJUS5OQVNEQVFHTTpBUlJZLklRX0ZJUlNUUFJJQ0lOR0RBVEUBAAAA+GEAAAUAAAAKMTEvMTcvMjAwMACcC9U4CAnWCNRfmG80CdYIIUNJUS5BU1g6SU1VLklRX0JFVEFfMVlSLjcvMTYvMjAxOAEAAACYk6kAAgAAABEwLjE0NTkxNjI0NTUxNTc1MQApHJQQNQnWCDDXXRI1CdYIHUNJUS5JUTI1MDc4LklRX0NPTVBBTllfVElDS0VSAQAAAPZhAAADAAAADU5hc2RhcUdNOkFSUUwAsrNJbzQJ1ghzJJ1vNAnWCD9DSVEuTkFTREFRR1M6U0dFTi5JUV9FQklUREFfMllSX0FOTl9DQUdSLi43LzE2LzIwMTguTEZSLkYuVVNELkgBAAAAYYUAAAMAAAACTk0BCAAAAAUAAAABMQEAAAAKMTg4NDg5Mjg1MgMAAAADMTYwAgAAAAQ0MjA5BAAAAAEwBwAAAAk3LzE2LzIwMTgIAAAACTMvMzEvMjAxOAkAAAABMMT/GxE1</t>
  </si>
  <si>
    <t>CdYIaGBnEjUJ1ggyQ0lRLkVOWFRQQTpJUEguSVFfTklfTUFSR0lOLi43LzE2LzIwMTguTEZSLkYuVVNELkgBAAAAmYAGAAIAAAAJLTEwOS44ODM0AQgAAAAFAAAAATEBAAAACjE4ODk1NTIxNjQDAAAAAjUwAgAAAAQ0MDk0BAAAAAEwBwAAAAk3LzE2LzIwMTgIAAAACjEyLzMxLzIwMTcJAAAAATApHJQQNQnWCHM5YBI1CdYIOUNJUS5OQVNEQVFHUzpHVEhYLklRX1RPVEFMX0RFQlQuMjAwMC41LzUvMjAxNy5MRlIuRi5VU0QuSAEAAABlNGkIAgAAAAEwAQgAAAAFAAAAATEBAAAACjE4MzgxNzc0MDADAAAAAzE2MAIAAAAENDE3MwQAAAABMAcAAAAINS81LzIwMTcIAAAACTMvMzEvMjAxNwkAAAABMNaMETgICdYIJMKabzQJ1ggsQ0lRLklRVFI1NTM1NDgwMjUuSVFfVFJfVE9UQUxfR1JPU1NfVFYuVVNELkgFAAAAAAAAAAgAAAAaKEludmFsaWQgQ3VycmVuY3kgUmVxdWVzdClJU0dvNAnWCIH9lW80CdYIIkNJUS5JUVRSNDA3NzYwNjkyLklRX1RSX1RBUkdFVE5BTUUBAAAANO9NGAMAAAAaR2FueW1lZCBQaGFybWFjZXV0aWNhbHMgQUcADG0QDjUJ1ggMPoUONQnWCCFDSVEuQVNYOklNVS5JUV9CRVRBXzJZUi43LzE2LzIwMTgBAAAAmJOpAAIAAAARMC42NjM1NDkyMDQ0NTY4NjgAKRyUEDUJ1ggw110SNQnWCDhDSVEuTkFTREFRR006Q1JWUy5JUV9FQklUREEuQ1kyMDE2LjcvMzEvMjAxOC5MRlIuRi5VU0Qu</t>
  </si>
  <si>
    <t>SAEAAAD0sKYQAgAAAActMzYuMzgyAQgAAAAFAAAAATEBAAAACjE4NzcyMjA3OTMDAAAAAzE2MAIAAAAENDA1MQQAAAABMAcAAAAJNy8zMS8yMDE4CAAAAAoxMi8zMS8yMDE2CQAAAAEw1owROAgJ1ggZ6aFvNAnWCDtDSVEuTkFTREFRR006SU1NVS5JUV9UT1RBTF9SRVYuQ1kyMDE3LjcvMzEvMjAxOC5MRlIuRi5VU0QuSAEAAAAgQwQAAgAAAAgzLjI1MzA0OAEIAAAABQAAAAExAQAAAAoxODczNDkzNTI4AwAAAAMxNjACAAAAAjI4BAAAAAEwBwAAAAk3LzMxLzIwMTgIAAAACjEyLzMxLzIwMTcJAAAAATCcC9U4CAnWCNRfmG80CdYIP0NJUS5OQVNEQVFHTTpYTkNSLklRX0VCSVREQV81WVJfQU5OX0NBR1IuLjcvMTYvMjAxOC5MRlIuRi5VU0QuSAEAAACmWgsAAwAAAAJOTQEIAAAABQAAAAExAQAAAAoxODg3MTI1ODU1AwAAAAMxNjACAAAABDQyMzUEAAAAATAHAAAACTcvMTYvMjAxOAgAAAAJMy8zMS8yMDE4CQAAAAEwxP8bETUJ1ggS/mQSNQnWCC5DSVEuTkFTREFRR1M6TUdOWC5JUV9NQVJLRVRDQVAuOS8xNS8yMDE3LlVTRC5IAQAAAE8rCQACAAAACjY0Mi4xMzMyMTQBBgAAAAUAAAABMQEAAAAKMTg1MTQzMjAyNwMAAAADMTYwAgAAAAYxMDAwNTQEAAAAATAHAAAACTkvMTUvMjAxN0adGRE1CdYIwptiEjUJ1gg3Q0lRLk5BU0RBUUdNOk5MTksuSVFfRUJJVF9NQVJHSU4uLjcvMTYvMjAxOC5MRlIuRi5V</t>
  </si>
  <si>
    <t>U0QuSAEAAACVe4wAAgAAAAktMTkxLjYwMTEBCAAAAAUAAAABMQEAAAAKMTg4ODM1NDIwNwMAAAADMTYwAgAAAAQ0MDUzBAAAAAEwBwAAAAk3LzE2LzIwMTgIAAAACTMvMzEvMjAxOAkAAAABMCkclBA1CdYI5HRbEjUJ1ggVQ0lRLi5JUV9UUl9QQ1RfU09VR0hUBQAAAAAAAAAIAAAAFChJbnZhbGlkIElkZW50aWZpZXIpnAvVOAgJ1gh3eYAONQnWCDVDSVEuTkFTREFRR1M6VFNSTy5JUV9DQVBFWC4yMDAwLjcvMzEvMjAxOC5MRlIuRi5VU0QuSAEAAABo1lgGAgAAAAYtNS44MDcBCAAAAAUAAAABMQEAAAAKMTg4NjMzNzQ2NgMAAAADMTYwAgAAAAQyMDIxBAAAAAEwBwAAAAk3LzMxLzIwMTgIAAAACTMvMzEvMjAxOAkAAAABMJwL1TgICdYIJMKabzQJ1gg3Q0lRLk5BU0RBUUdTOk1SU04uSVFfRUJJVF9NQVJHSU4uLjcvMTYvMjAxOC5MRlIuRi5VU0QuSAEAAADmxRgAAgAAAAktMjcxLjI2NjYBCAAAAAUAAAABMQEAAAAKMTg4OTA5NjY1MwMAAAADMTYwAgAAAAQ0MDUzBAAAAAEwBwAAAAk3LzE2LzIwMTgIAAAACTMvMzEvMjAxOAkAAAABMMT/GxE1CdYIczlgEjUJ1ggzQ0lRLkVOWFRQQTpJUEguSVFfRUFSTklOR19DTy4uNy8xNi8yMDE4LkxGUi5GLlVTRC5IAQAAAJmABgACAAAACi01OC4wOTkxODMBCAAAAAUAAAABMQEAAAAKMTg4OTU1MjE2NAMAAAADMTYwAgAAAAE3BAAAAAEwBwAAAAk3LzE2LzIwMTgI</t>
  </si>
  <si>
    <t>AAAACjEyLzMxLzIwMTcJAAAAATApHJQQNQnWCHM5YBI1CdYIIkNJUS5JUVRSNDI0MzQyMDQ2LklRX1RSX1RPVEFMX0NBU0gBAAAAHvJKGQIAAAABMwEGAAAABQAAAAI1NAEAAAAGMTAxMDU2AgAAAAk0MjQzNDIwNDYDAAAACTQyNDM0MjY1OAQAAAADMTYwBgAAAAVGYWxzZQxtEA41CdYIwNuCDjUJ1gg2Q0lRLk5BU0RBUUNNOkFWRU8uSVFfVE9UQUxfREVCVC4uNy8xNi8yMDE4LkxGUi5GLlVTRC5IAQAAAPQWHQACAAAABjE4LjU4OAEIAAAABQAAAAExAQAAAAoxODg3MjM0Mjk1AwAAAAMxNjACAAAABDQxNzMEAAAAATAHAAAACTcvMTYvMjAxOAgAAAAJMy8zMS8yMDE4CQAAAAEwxP8bETUJ1gjCm2ISNQnWCClDSVEuTkFTREFRR1M6R1RIWC5JUV9CVVNJTkVTU19ERVNDUklQVElPTgEAAABlNGkIAwAAAK0GRzEgVGhlcmFwZXV0aWNzLCBJbmMuLCBhIGNsaW5pY2FsLXN0YWdlIGJpb3BoYXJtYWNldXRpY2FsIGNvbXBhbnksIGZvY3VzZXMgb24gdGhlIGRpc2NvdmVyeSwgZGV2ZWxvcG1lbnQsIGFuZCBjb21tZXJjaWFsaXphdGlvbiBvZiBub3ZlbCBzbWFsbCBtb2xlY3VsZSB0aGVyYXBldXRpY3MgZm9yIHRoZSB0cmVhdG1lbnQgb2YgcGF0aWVudHMgd2l0aCBjYW5jZXIgaW4gdGhlIFVuaXRlZCBTdGF0ZXMuIEl0IGlzIGRldmVsb3BpbmcgdHJpbGFjaWNsaWIsIGFuIGludHJhdmVub3VzIGN5Y2xpbi1k</t>
  </si>
  <si>
    <t>ZXBlbmRlbnQga2luYXNlcyAoQ0RLKSA0LzYgaW5oaWJpdG9yIHRoYXQgaXMgaW4gUGhhc2UgMWIvMmEgY2xpbmljYWwgdHJpYWxzIGZvciBwYXRpZW50cyB3aXRoIHNtYWxsIGNlbGwgbHVuZyBjYW5jZXIsIGFzIHdlbGwgYXMgUGhhc2UgMiBjbGluaWNhbCB0cmlhbCBmb3IgcGF0aWVudHMgd2l0aCBmaXJzdC0vc2Vjb25kLS90aGlyZC1saW5lIG1ldGFzdGF0aWMgdHJpcGxlLW5lZ2F0aXZlIGJyZWFzdCBjYW5jZXI7IEcxVDM4LCBhbiBvcmFsIENESzQvNiBpbmhpYml0b3IgdGhhdCBpcyBQaGFzZSAxYi8yYSBjbGluaWNhbCB0cmlhbHMgZm9yIHRoZSB0cmVhdG1lbnQgb2YgYnJlYXN0IGNhbmNlcjsgYW5kIEcxVDQ4LCBhbiBvcmFsIHNlbGVjdGl2ZSBlc3Ryb2dlbiByZWNlcHRvciBkZWdyYWRlciwgd2hpY2ggaXMgaW4gcHJlY2xpbmljYWwgZGV2ZWxvcG1lbnQuIFRoZSBjb21wYW55IHdhcyBmb3VuZGVkIGluIDIwMDggYW5kIGlzIGhlYWRxdWFydGVyZWQgaW4gUmVzZWFyY2ggVHJpYW5nbGUgUGFyaywgTm9ydGggQ2Fyb2xpbmEuAJwL1TgICdYIJMKabzQJ1ggnQ0lRLk5BU0RBUUdTOkpOQ0UuSVFfQkVUQV8yWVIuNy8xNi8yMDE4AQAAAOJ5ng0CAAAAEDEuNDI4MTU2MTY1MTUwNjMAKRyUEDUJ1giYElkSNQnWCEJDSVEuTkFTREFRR006TFBUWC5JUV9UT1RBTF9SRVZfMllSX0FOTl9DQUdSLi43</t>
  </si>
  <si>
    <t>LzE2LzIwMTguTEZSLkYuVVNELkgBAAAADDYJBwMAAAAAACkclBA1CdYIMNddEjUJ1ggaQ0lRLkVOWFRQQTpJUEguSVFfRVhDSEFOR0UBAAAAmYAGAAMAAAAGRU5YVFBBACkclBA1CdYIczlgEjUJ1ggfQ0lRLk5BU0RBUUdTOk5LLklRX0NPTVBBTllfTkFNRQEAAAANfaEPAwAAAA9OYW50S3dlc3QsIEluYy4A1owROAgJ1ghFa/qBNAnWCCNDSVEuSVFUUjMyMTg2NTI5Ny5JUV9UUl9UT1RBTF9TVE9DSwEAAABRRi8TAgAAAAAAWM8SDjUJ1ggMPoUONQnWCDlDSVEuTkFTREFRR006RkFURS5JUV9OSV9NQVJHSU4uMjAwMC43LzMxLzIwMTguTEZSLkYuVVNELkgBAAAAaDFXAgMAAAACTk0BCAAAAAUAAAABMQEAAAAKMTg4ODUwMDUyNwMAAAADMTYwAgAAAAQ0MDk0BAAAAAEwBwAAAAk3LzMxLzIwMTgIAAAACTMvMzEvMjAxOAkAAAABMNaMETgICdYIw4afbzQJ1gg2Q0lRLk5BU0RBUUdNOkxQVFguSVFfVE9UQUxfREVCVC4uNy8xNi8yMDE4LkxGUi5GLlVTRC5IAQAAAAw2CQcCAAAAATABCAAAAAUAAAABMQEAAAAKMTg5MDE2MzkzNgMAAAADMTYwAgAAAAQ0MTczBAAAAAEwBwAAAAk3LzE2LzIwMTgIAAAACTMvMzEvMjAxOAkAAAABMCkclBA1CdYIMNddEjUJ1ggtQ0lRLk5BU0RBUUdTOkJHTkUuSVFfRElWSURFTkRfWUlFTEQuNy8zMS8yMDE4AQAAAODk3QYDAAAAAACcC9U4CAnWCIH9lW80CdYIOkNJUS5OQVNE</t>
  </si>
  <si>
    <t>QVFHTTpBUlFMLklRX1RPVEFMX0RFQlQuMjAwMC43LzMxLzIwMTguTEZSLkYuVVNELkgBAAAA9mEAAAIAAAAGMTQuNTE3AQgAAAAFAAAAATEBAAAACjE4ODg3ODg3NzADAAAAAzE2MAIAAAAENDE3MwQAAAABMAcAAAAJNy8zMS8yMDE4CAAAAAkzLzMxLzIwMTgJAAAAATDWjBE4CAnWCHMknW80CdYILENJUS5OQVNEQVFHUzpDQUxBLklRX0xBU1RTQUxFUFJJQ0UuOS8xNS8yMDE3AQAAAKUngQYCAAAABTE1LjA1ACkclBA1CdYI5HRbEjUJ1gguQ0lRLklRVFI0MDM3OTE3NjcuSVFfVFJfVEFSR0VUX1NUT0NLUFJFTUlVTV8xTQEAAACXXxEYAgAAAAAAWM8SDjUJ1gjA24IONQnWCDBDSVEuSVFUUjMyMTg2NTI5Ny5JUV9UUl9UQVJHRVRfRUJJVERBX0VTVC4uVVNELkgBAAAAUUYvEwIAAAAAAFjPEg41CdYIDD6FDjUJ1gg2Q0lRLk5BU0RBUUdTOk1SU04uSVFfRUJJVERBLjE5OTIuNy8zMS8yMDE4LkxGUi5GLlVTRC5IAQAAAObFGAADAAAAAADWjBE4CAnWCMOGn280CdYIJ0NJUS5OQVNEQVFHUzpQQllJLklRX0JFVEFfMVlSLjcvMTYvMjAxOAEAAAACaqwHAgAAABEwLjYxMzU5MzA5OTc3Nzc3NADE/xsRNQnWCBL+ZBI1CdYILENJUS5OQVNEQVFHUzpNUlNOLklRX0xBU1RTQUxFUFJJQ0UuOS8xNS8yMDE3AQAAAObFGAACAAAABDE2LjIAKRyUEDUJ1ghzOWASNQnWCC1DSVEuLklRX0VBUk5JTkdfQ08uMTk5Mi43</t>
  </si>
  <si>
    <t>LzMxLzIwMTguTEZSLkYuVVNELkgFAAAAAQAAAAgAAAAUKEludmFsaWQgSWRlbnRpZmllcin1hDJHNAnWCPWEMkc0CdYIMUNJUS5JUVRSNTQyODA2Njg2LklRX1RSX1RBUkdFVF9SRVZFTlVFX0VTVC4uVVNELkgBAAAAnpJaIAIAAAAAALKzSW80CdYIgf2VbzQJ1ggyQ0lRLk5BU0RBUUdTOk1HTlguSVFfRUJJVERBLi43LzE2LzIwMTguTEZSLkYuVVNELkgBAAAATysJAAIAAAAHLTI3LjU1NwEIAAAABQAAAAExAQAAAAoxODg3MTE0OTQ1AwAAAAMxNjACAAAABDQwNTEEAAAAATAHAAAACTcvMTYvMjAxOAgAAAAJMy8zMS8yMDE4CQAAAAEwxP8bETUJ1gjCm2ISNQnWCB9DSVEuLklRX0dQLjIwMDAuNy8zMS8yMDE4Li4uVVNEBQAAAAAAAAAIAAAAFChJbnZhbGlkIElkZW50aWZpZXIpnAvVOAgJ1giB/ZVvNAnWCDtDSVEuTkFTREFRR1M6QU5BQi5JUV9ORVRfV09SS0lOR19DQVAuLjcvMTYvMjAxOC5MRlIuRi5VU0QuSAEAAAAhTLIBAgAAAAYtMy4wNjMBCAAAAAUAAAABMQEAAAAKMTg4NzQwMDA0MwMAAAADMTYwAgAAAAQxMzExBAAAAAEwBwAAAAk3LzE2LzIwMTgIAAAACTMvMzEvMjAxOAkAAAABMMT/GxE1CdYIwptiEjUJ1gg5Q0lRLk5BU0RBUUNNOk1URU0uSVFfVE9UQUxfREVCVC4yMDAwLjUvNS8yMDE3LkxGUi5GLlVTRC5IAQAAAJmbqQEDAAAAAADIMLI3CAnWCBnpoW80CdYIOUNJUS5OQVNEQVFHUzpN</t>
  </si>
  <si>
    <t>UlNOLklRX1RPVEFMX0RFQlQuMjAwMC41LzUvMjAxNy5MRlIuRi5VU0QuSAEAAADmxRgAAwAAAAAA1owROAgJ1gjDhp9vNAnWCD9DSVEuTkFTREFRR1M6QU5BQi5JUV9FQklUREFfNVlSX0FOTl9DQUdSLi43LzE2LzIwMTguTEZSLkYuVVNELkgBAAAAIUyyAQMAAAAAAMT/GxE1CdYIwptiEjUJ1ghGQ0lRLk5BU0RBUUdTOktVUkEuSVFfVE9UQUxfUkVWXzNZUl9BTk5fQ0FHUi4yMDAwLjcvMzEvMjAxOC5MRlIuRi5VU0QuSAEAAAC4y9oQAwAAAAAA1owROAgJ1ghzJJ1vNAnWCC5DSVEuTkFTREFRR1M6QURYUy5JUV9NQVJLRVRDQVAuNy8xNi8yMDE4LlVTRC5IAQAAAJ7seAACAAAACTc1Ljc3NDk0NgEGAAAABQAAAAExAQAAAAoxODkyNzg4NDU0AwAAAAMxNjACAAAABjEwMDA1NAQAAAABMAcAAAAJNy8xNi8yMDE4KRyUEDUJ1gjkdFsSNQnWCCFDSVEuSVFUUjQyNDM0MjA0Ni5JUV9UUl9CVVlFUk5BTUUBAAAAHvJKGQMAAAAOQmlvTGluZVJ4IEx0ZC4ADG0QDjUJ1gjA24IONQnWCCRDSVEuTkFTREFRR1M6S1VSQS5JUV9FRkZFQ1RfVEFYX1JBVEUBAAAAuMvaEAMAAAAAANaMETgICdYIcySdbzQJ1gg8Q0lRLk5BU0RBUUdNOkFSUUwuSVFfVE9UQUxfRVFVSVRZLjIwMDAuNy8zMS8yMDE4LkxGUi5GLlVTRC5IAQAAAPZhAAACAAAABjIyLjMxNwEIAAAABQAAAAExAQAAAAoxODg4Nzg4NzcwAwAAAAMxNjACAAAA</t>
  </si>
  <si>
    <t>BDEyNzUEAAAAATAHAAAACTcvMzEvMjAxOAgAAAAJMy8zMS8yMDE4CQAAAAEw1owROAgJ1ghzJJ1vNAnWCCdDSVEuTkFTREFRR006SU1NVS5JUV9CRVRBXzJZUi43LzE2LzIwMTgBAAAAIEMEAAIAAAAQMS44OTg1NjIyMzA3MzEwNwDE/xsRNQnWCBL+ZBI1CdYIQkNJUS5OQVNEQVFHUzpNR05YLklRX1RPVEFMX1JFVl8zWVJfQU5OX0NBR1IuLjcvMTYvMjAxOC5MRlIuRi5VU0QuSAEAAABPKwkAAgAAAAcxNS40MDE1AQgAAAAFAAAAATEBAAAACjE4ODcxMTQ5NDUDAAAAAzE2MAIAAAAENDIyMAQAAAABMAcAAAAJNy8xNi8yMDE4CAAAAAkzLzMxLzIwMTgJAAAAATDE/xsRNQnWCMKbYhI1CdYIK0NJUS5JUVRSMzcxNzE1MTE5LklRX1RSX0lNUExJRURfRVZfRUJJVF9GV0QBAAAAL+wnFgIAAAAAAFjPEg41CdYIwNuCDjUJ1ggiQ0lRLklRVFI1NjE2MDYzNjUuSVFfVFJfUENUX1NPVUdIVAEAAADdbnkhAgAAAAMxMDABBgAAAAUAAAACNTQBAAAABjEwMTAyNAIAAAAJNTYxNjA2MzY1AwAAAAk1NjE2MDkxOTcEAAAAAzE2MAYAAAAEVHJ1ZbKzSW80CdYINZuTbzQJ1gg3Q0lRLkFTWDpJTVUuSVFfUkVWRU5VRV9FU1QuQ1kyMDE4LjcvMTYvMjAxOC5DT04uRi5VU0QuSAEAAACYk6kAAwAAAAAAKRyUEDUJ1ggw110SNQnWCCVDSVEuSVFUUjU1MzU0ODAyNS5JUV9UUl9JTVBMSUVEX0VRX0JWAQAAAPl4/iACAAAACTE1</t>
  </si>
  <si>
    <t>LjYzODU4NQEGAAAABQAAAAI1NAEAAAAGMTAyMDk3AgAAAAk1NTM1NDgwMjUDAAAACTU1MzU2NDk3MQQAAAADMTYwBgAAAAVGYWxzZbKzSW80CdYIgf2VbzQJ1gghQ0lRLk5BU0RBUUdTOkpOQ0UuSVFfQ09NUEFOWV9OQU1FAQAAAOJ5ng0DAAAAGUpvdW5jZSBUaGVyYXBldXRpY3MsIEluYy4AKRyUEDUJ1gjkdFsSNQnWCEJDSVEuTkFTREFRR1M6VFNSTy5JUV9UT1RBTF9SRVZfNVlSX0FOTl9DQUdSLi43LzE2LzIwMTguTEZSLkYuVVNELkgBAAAAaNZYBgMAAAAAAMT/GxE1CdYIEv5kEjUJ1ggpQ0lRLklRVFIyNzM1MDcxODUuSVFfQlVTSU5FU1NfREVTQ1JJUFRJT04BAAAAfQwUAAMAAADkCkFtYml0IEJpb3NjaWVuY2VzIENvcnBvcmF0aW9uLCBhIGJpb3BoYXJtYWNldXRpY2FsIGNvbXBhbnksIGZvY3VzZXMgb24gdGhlIGRpc2NvdmVyeSwgZGV2ZWxvcG1lbnQsIGFuZCBjb21tZXJjaWFsaXphdGlvbiBvZiBkcnVncyBmb3IgdGhlIHRyZWF0bWVudCBvZiBvbmNvbG9neSwgYXV0b2ltbXVuZSwgYW5kIGluZmxhbW1hdG9yeSBkaXNlYXNlcyBpbiB0aGUgVW5pdGVkIFN0YXRlcy4gVGhlIGNvbXBhbnnigJlzIHByb2R1Y3RzIGluY2x1ZGUgcXVpemFydGluaWIsIGFuIG9yYWxseSBhZG1pbmlzdGVyZWQgRk1TLWxpa2UgdHlyb3NpbmUga2luYXNlIDMgaW5oaWJpdG9yIHRoYXQgaGFzIGNvbXBsZXRlZCBQ</t>
  </si>
  <si>
    <t>aGFzZSBJSSBjbGluaWNhbCB0cmlhbHMgZm9yIHRoZSB0cmVhdG1lbnQgb2YgcGF0aWVudHMgd2l0aCByZWxhcHNlZC9yZWZyYWN0b3J5IGFjdXRlIG15ZWxvaWQgbGV1a2VtaWEuIEl0cyBkcnVnIGNhbmRpZGF0ZXMgYWxzbyBjb21wcmlzZSBBQzQxMCwgYSBzbWFsbCBtb2xlY3VsZSBpbmhpYml0b3Igb2YgSmFudXMga2luYXNlIDIsIHdoaWNoIGlzIGluIFBoYXNlIDEgY2xpbmljYWwgdHJpYWxzOyBhbmQgQUM3MDgsIGEgcmVjZXB0b3IgdHlyb3NpbmUga2luYXNlIGluaGliaXRvciB0aGF0IGlzIGluIHByZS1jbGluaWNhbCBzdHVkaWVzIGZvciB0aGUgdHJlYXRtZW50IG9mIG9uY29sb2d5LCBhdXRvaW1tdW5lLCBhbmQgaW5mbGFtbWF0b3J5IGRpc2Vhc2VzLiBUaGUgY29tcGFueSBoYXMgY29sbGFib3JhdGlvbiBhZ3JlZW1lbnRzIHdpdGggQXN0ZWxsYXMgUGhhcm1hIEluYy4gdG8gcmVzZWFyY2gsIGRldmVsb3AsIGFuZCBjb21tZXJjaWFsaXplIHZhcmlvdXMgRkxUMyBraW5hc2UgaW5oaWJpdG9yczsgQ2VwaGFsb24sIEluYy4gdG8gaWRlbnRpZnkgYW5kIGRldmVsb3AgY2xpbmljYWwgY2FuZGlkYXRlcyB0aGF0IHRhcmdldCB0aGUgQlJBRiBraW5hc2UgYW5kIGEgc2Vjb25kIGtpbmFzZTsgYW5kIEdlbm9wdGl4LCBJbmMuIHRvIGRldmVsb3AgYSBsYWJvcmF0b3J5IGRpYWdub3N0aWMgdGVz</t>
  </si>
  <si>
    <t>dCB0byBpZGVudGlmeSBwYXRpZW50cyB0aGF0IGhhcmJvciBJVEQgbXV0YXRpb25zIGluIHRoZWlyIEZMVDMgcmVjZXB0b3IgdHlyb3NpbmUga2luYXNlLiBBbWJpdCBCaW9zY2llbmNlcyBDb3Jwb3JhdGlvbiwgZm9ybWVybHkga25vd24gYXMgQXZlbnRhIEJpb3NjaWVuY2VzIENvcnBvcmF0aW9uLCB3YXMgZm91bmRlZCBpbiAyMDAwIGFuZCBpcyBoZWFkcXVhcnRlcmVkIGluIFNhbiBEaWVnbywgQ2FsaWZvcm5pYS4gQXMgb2YgTm92ZW1iZXIgMTAsIDIwMTQsIEFtYml0IEJpb3NjaWVuY2VzIENvcnBvcmF0aW9uIG9wZXJhdGVzIGFzIGEgc3Vic2lkaWFyeSBvZiBEYWlpY2hpIFNhbmt5byBDb21wYW55LCBMaW1pdGVkLgCys0lvNAnWCIH9lW80CdYINUNJUS5YVFJBOk1PUi5JUV9UT1RBTF9ERUJULjIwMDAuNy8zMS8yMDE4LkxGUi5GLlVTRC5IAQAAAN8RAgACAAAABzAuMTA4MTUBCAAAAAUAAAABMQEAAAAKMTg4NjE1MTY0OAMAAAADMTYwAgAAAAQ0MTczBAAAAAEwBwAAAAk3LzMxLzIwMTgIAAAACTMvMzEvMjAxOAkAAAABMJwL1TgICdYI1F+YbzQJ1gg4Q0lRLk5BU0RBUUdNOklNTVUuSVFfR1JPU1NfTUFSR0lOLi43LzE2LzIwMTguTEZSLkYuVVNELkgBAAAAIEMEAAMAAAACTk0BCAAAAAUAAAABMQEAAAAKMTg4ODUyMzM4NAMAAAADMTYwAgAAAAQ0MDc0BAAAAAEwBwAAAAk3LzE2LzIwMTgIAAAA</t>
  </si>
  <si>
    <t>CTMvMzEvMjAxOAkAAAABMMT/GxE1CdYIEv5kEjUJ1ggnQ0lRLk5BU0RBUUdTOkFUTlguSVFfQkVUQV81WVIuNy8zMS8yMDE4AQAAANyZawEDAAAAAADWjBE4CAnWCCTCmm80CdYIL0NJUS5JUVRSMzA3ODYzOTg0LklRX1RSX0lNUExJRURfRVZfRklOQUwuLlVTRC5IAQAAALChWRICAAAAAzYwNQEGAAAABQAAAAI1NAEAAAAGMTAyMDQ1AgAAAAkzMDc4NjM5ODQDAAAACTMwNzg2NDI4MAQAAAADMTYwBgAAAAVGYWxzZVjPEg41CdYIwNuCDjUJ1gg7Q0lRLk5BU0RBUUNNOk1URU0uSVFfUFJFRl9FUVVJVFkuMjAwMC43LzMxLzIwMTguTEZSLkYuVVNELkgBAAAAmZupAQMAAAAAAMgwsjcICdYIGemhbzQJ1gg7Q0lRLk5BU0RBUUdTOlNHRU4uSVFfVE9UQUxfUkVWLkNZMjAxNy43LzE2LzIwMTguTEZSLkYuVVNELkgBAAAAYYUAAAIAAAAGNDgyLjI1AQgAAAAFAAAAATEBAAAACjE4NzQ2OTYyMjADAAAAAzE2MAIAAAACMjgEAAAAATAHAAAACTcvMTYvMjAxOAgAAAAKMTIvMzEvMjAxNwkAAAABMMT/GxE1CdYIaGBnEjUJ1ggyQ0lRLk5BU0RBUUdTOkpOQ0UuSVFfRUJJVERBLi43LzE2LzIwMTguTEZSLkYuVVNELkgBAAAA4nmeDQIAAAAHLTI4LjMzNAEIAAAABQAAAAExAQAAAAoxODg4MTg2Mzc0AwAAAAMxNjACAAAABDQwNTEEAAAAATAHAAAACTcvMTYvMjAxOAgAAAAJMy8zMS8yMDE4CQAAAAEwKRyUEDUJ1giY</t>
  </si>
  <si>
    <t>ElkSNQnWCDxDSVEuTkFTREFRR006QUZNRC5JUV9FQklUREFfRVNULkNZMjAxOC43LzE2LzIwMTguQ09OLkYuVVNELkgBAAAA2/cMAAMAAAAAACkclBA1CdYIMNddEjUJ1gg+Q0lRLk5BU0RBUUdTOkFUTlguSVFfQ0FTSF9TVF9JTlZFU1QuMjAwMC43LzMxLzIwMTguTEZSLkYuVVNELkgBAAAA3JlrAQIAAAAHMTA2LjQ3NgEIAAAABQAAAAExAQAAAAoxODg4NzAyOTgyAwAAAAMxNjACAAAABDEwMDIEAAAAATAHAAAACTcvMzEvMjAxOAgAAAAJMy8zMS8yMDE4CQAAAAEw1owROAgJ1ggkwppvNAnWCDtDSVEuTkFTREFRR1M6RlBSWC5JUV9ORVRfV09SS0lOR19DQVAuLjcvMTYvMjAxOC5MRlIuRi5VU0QuSAEAAAA3XTMAAgAAAActMjcuNTQ5AQgAAAAFAAAAATEBAAAACjE4ODc0MDIyMjcDAAAAAzE2MAIAAAAEMTMxMQQAAAABMAcAAAAJNy8xNi8yMDE4CAAAAAkzLzMxLzIwMTgJAAAAATApHJQQNQnWCHM5YBI1CdYIK0NJUS5JUVRSNTUzNTQ4MDI1LklRX1RSX0lNUExJRURfRVZfRUJJVF9GV0QBAAAA+Xj+IAIAAAAJNDEuNzc1NDI4AQYAAAAFAAAAAjU0AQAAAAYxMTMzOTYCAAAACTU1MzU0ODAyNQMAAAAJNTUzNTQ4MDI1BAAAAAMxNjAGAAAABUZhbHNlsrNJbzQJ1giB/ZVvNAnWCDhDSVEuKElOVkFMSUQgSURFTlRJRklFUikuSVFfQ0FQRVguLjcvMTYvMjAxOC5MRlIuRi5VU0QuSAUAAAAAAAAACAAAABQo</t>
  </si>
  <si>
    <t>SW52YWxpZCBJZGVudGlmaWVyKd6nfhA1CdYImBJZEjUJ1gg2Q0lRLk5BU0RBUUdTOk1HTlguSVFfVE9UQUxfREVCVC4uOS8xNS8yMDE3LkxGUi5GLlVTRC5IAQAAAE8rCQACAAAAATABCAAAAAUAAAABMQEAAAAKMTg1MTQzMjQ3NAMAAAADMTYwAgAAAAQ0MTczBAAAAAEwBwAAAAk5LzE1LzIwMTcIAAAACTYvMzAvMjAxNwkAAAABMMT/GxE1CdYIwptiEjUJ1ggrQ0lRLk5BU0RBUUdNOkNSSVMuSVFfTEFTVFNBTEVQUklDRS41LzUvMjAxNwEAAAAXagAAAgAAAAQ5LjQ1AMgwsjcICdYI3UukbzQJ1gg8Q0lRLk5BU0RBUUdNOkFSUlkuSVFfRUJJVERBX0VTVC5DWTIwMjAuNy8zMS8yMDE4LkNPTi5GLlVTRC5IAQAAAPhhAAADAAAAAACcC9U4CAnWCNRfmG80CdYIM0NJUS5OQVNEQVFHUzpNR05YLklRX1BFUklPRERBVEVfSVMuLjcvMTYvMjAxOC5MRlIuRgEAAABPKwkABQAAAAkzLzMxLzIwMTgAxP8bETUJ1gjCm2ISNQnWCC9DSVEuSVFUUjU1MzU0ODAyNS5JUV9UUl9UQVJHRVRfVE9UQUxfUkVWLi5VU0QuSAEAAAD5eP4gAgAAAAg4Ljk5MzY2OAEHAAAABQAAAAIzNwEAAAAKMTg3NzAwNTI1NwIAAAACMjgDAAAAAzE2MAQAAAABMAcAAAAIMS8xLzE5MDAGAAAACTIvMjEvMjAxOLKzSW80CdYIgf2VbzQJ1ggnQ0lRLk5BU0RBUUdNOkFGTUQuSVFfQkVUQV8yWVIuNy8xNi8yMDE4AQAAANv3DAACAAAAEi0wLjcw</t>
  </si>
  <si>
    <t>MDU0MDk5MzYzOTk2MwApHJQQNQnWCDDXXRI1CdYINUNJUS5OQVNEQVFHUzpTR0VOLklRX1RPVEFMX0VRVUlUWS5DWTIwMTcuLkxGUi5GLlVTRC5IAQAAAGGFAAACAAAABzY3Ny41NjkBCAAAAAUAAAABMQEAAAAKMTg3NDY5NjIyMAMAAAADMTYwAgAAAAQxMjc1BAAAAAEwBwAAAAk4LzIzLzIwMTgIAAAACjEyLzMxLzIwMTcJAAAAATDE/xsRNQnWCMT/GxE1CdYIP0NJUS5OQVNEQVFHUzpBVE5YLklRX05FVF9XT1JLSU5HX0NBUC4xOTkyLjcvMzEvMjAxOC5MRlIuRi5VU0QuSAEAAADcmWsBAgAAAAYtNC44OTIBCAAAAAUAAAABMQEAAAAKMTg0MjQ5MDI3MwMAAAADMTYwAgAAAAQxMzExBAAAAAEwBwAAAAk3LzMxLzIwMTgIAAAACjEyLzMxLzIwMTQJAAAAATDWjBE4CAnWCCTCmm80CdYIPUNJUS5OQVNEQVFHUzpCR05FLklRX1JFVkVOVUVfRVNULkNZMjAxOS43LzE2LzIwMTguQ09OLkYuVVNELkgBAAAA4OTdBgIAAAAJMTIyLjcwNDE0AQ4AAAAFAAAAAjExAQAAAAEwAgAAAAoxMDAzMzI2MjcyAwAAAAYxMDAxODAEAAAAATIGAAAAATAHAAAAAzE2MAgAAAABMAkAAAABMQoAAAABMAsAAAALMTEwMzI3ODkxNTAMAAAAATcNAAAACTcvMTcvMjAxOBAAAAAJNy8xNi8yMDE4xP8bETUJ1ghoYGcSNQnWCC9DSVEuSVFUUjQxMzk1MzY2MS5JUV9UUl9JTVBMSUVEX0VWX0ZJTkFMLi5VU0QuSAEAAAB9bqwYAgAAAAM3</t>
  </si>
  <si>
    <t>ODABBgAAAAUAAAACNTQBAAAABjEwMjA0NQIAAAAJNDEzOTUzNjYxAwAAAAk0MTM5NTc2NDAEAAAAAzE2MAYAAAAFRmFsc2Wys0lvNAnWCIH9lW80CdYIN0NJUS5OQVNEQVFHUzpNUlNOLklRX1BSRUZfRVFVSVRZLi45LzE1LzIwMTcuTEZSLkYuVVNELkgBAAAA5sUYAAIAAAAFOTQuNDUBCAAAAAUAAAABMQEAAAAKMTg1MzM1NDA1NgMAAAADMTYwAgAAAAQxMDA1BAAAAAEwBwAAAAk5LzE1LzIwMTcIAAAACTYvMzAvMjAxNwkAAAABMCkclBA1CdYIczlgEjUJ1ghCQ0lRLk5BU0RBUUdTOk1SU04uSVFfVE9UQUxfUkVWXzNZUl9BTk5fQ0FHUi4uNy8xNi8yMDE4LkxGUi5GLlVTRC5IAQAAAObFGAADAAAAAAApHJQQNQnWCHM5YBI1CdYIPUNJUS5OQVNEQVFHTTpMUFRYLklRX1JFVkVOVUVfRVNULkNZMjAyMC43LzE2LzIwMTguQ09OLkYuVVNELkgBAAAADDYJBwIAAAABMAEOAAAABQAAAAIxMQEAAAABMAIAAAAKMTAwMzYzOTU1NwMAAAAGMTAwMTgwBAAAAAEyBgAAAAEwBwAAAAMxNjAIAAAAATAJAAAAATEKAAAAATALAAAACzEwODgyMDIwNTA3DAAAAAE3DQAAAAk3LzE3LzIwMTgQAAAACTcvMTYvMjAxOCkclBA1CdYIMNddEjUJ1gg3Q0lRLk5BU0RBUUdNOk5MTksuSVFfUFJFRl9FUVVJVFkuLjcvMTYvMjAxOC5MRlIuRi5VU0QuSAEAAACVe4wAAwAAAAAAKRyUEDUJ1gjkdFsSNQnWCCdDSVEuTkFTREFRR1M6</t>
  </si>
  <si>
    <t>R1RIWC5JUV9QRVJJT0REQVRFX0lTLjEwMDABAAAAZTRpCAUAAAAKMTIvMzEvMjAxNwCcC9U4CAnWCCTCmm80CdYII0NJUS5JUVRSNDA5OTUxODg2LklRX1RSX1RPVEFMX1NUT0NLAQAAAI5ebxgCAAAAATUBBgAAAAUAAAACNTQBAAAABjEwMTA1NwIAAAAJNDA5OTUxODg2AwAAAAk0MDk5NTE5MzYEAAAAAzE2MAYAAAAFRmFsc2UMbRAONQnWCMDbgg41CdYII0NJUS5JUVRSNDI0MzQyMDQ2LklRX1RSX1RPVEFMX1NUT0NLAQAAAB7yShkCAAAAATMBBgAAAAUAAAACNTQBAAAABjEwMTA1NwIAAAAJNDI0MzQyMDQ2AwAAAAk0MjQzNDI2NTgEAAAAAzE2MAYAAAAFRmFsc2UMbRAONQnWCMDbgg41CdYIOUNJUS5OQVNEQVFHTTpDUklTLklRX1RPVEFMX1JFVi4yMDAwLjcvMzEvMjAxOC5MRlIuRi5VU0QuSAEAAAAXagAAAgAAAAYxMC4yMzUBCAAAAAUAAAABMQEAAAAKMTg4NjI0NzQyMAMAAAADMTYwAgAAAAIyOAQAAAABMAcAAAAJNy8zMS8yMDE4CAAAAAkzLzMxLzIwMTgJAAAAATDIMLI3CAnWCN1LpG80CdYIPkNJUS5OQVNEQVFHUzpDVE1YLklRX1RPVEFMX0VRVUlUWS5DWTIwMTcuNy8xNi8yMDE4LkxGUi5GLlVTRC5IAQAAANw4mwMCAAAABjY5Ljg5NgEIAAAABQAAAAExAQAAAAoxODc3MzE2NzY5AwAAAAMxNjACAAAABDEyNzUEAAAAATAHAAAACTcvMTYvMjAxOAgAAAAKMTIvMzEvMjAxNwkAAAABMMT/GxE1</t>
  </si>
  <si>
    <t>CdYIwptiEjUJ1gg2Q0lRLk5BU0RBUUNNOkNLUFQuSVFfVE9UQUxfREVCVC4uNy8xNi8yMDE4LkxGUi5GLlVTRC5IAQAAALhRFhECAAAAATABCAAAAAUAAAABMQEAAAAKMTg4ODAwNzIyMwMAAAADMTYwAgAAAAQ0MTczBAAAAAEwBwAAAAk3LzE2LzIwMTgIAAAACTMvMzEvMjAxOAkAAAABMCkclBA1CdYIMNddEjUJ1gg5Q0lRLk5BU0RBUUdTOlBCWUkuSVFfRUJJVERBX01BUkdJTi4uNy8xNi8yMDE4LkxGUi5GLlVTRC5IAQAAAAJqrAcCAAAACS0yNTMuNDAxNwEIAAAABQAAAAExAQAAAAoxODg4NjY3NzQzAwAAAAMxNjACAAAABDQwNDcEAAAAATAHAAAACTcvMTYvMjAxOAgAAAAJMy8zMS8yMDE4CQAAAAEwxP8bETUJ1ggS/mQSNQnWCDxDSVEuTkFTREFRR1M6Q0FMQS5JUV9UT1RBTF9FUVVJVFkuMTk5Mi43LzMxLzIwMTguTEZSLkYuVVNELkgBAAAApSeBBgIAAAAGNjcuMjY4AQgAAAAFAAAAATEBAAAACjE4NDA5ODI2NDYDAAAAAzE2MAIAAAAEMTI3NQQAAAABMAcAAAAJNy8zMS8yMDE4CAAAAAkzLzMxLzIwMTYJAAAAATDIMLI3CAnWCN1LpG80CdYIMkNJUS5OQVNEQVFHUzpBRFhTLklRX0VCSVREQS4uNy8xNi8yMDE4LkxGUi5GLlVTRC5IAQAAAJ7seAACAAAACi05Mi42NzgzMzIBCAAAAAUAAAABMQEAAAAKMTg5Mjc4ODU0OAMAAAADMTYwAgAAAAQ0MDUxBAAAAAEwBwAAAAk3LzE2LzIwMTgIAAAACTQv</t>
  </si>
  <si>
    <t>MzAvMjAxOAkAAAABMCkclBA1CdYI5HRbEjUJ1gg9Q0lRLk5BU0RBUUdTOkVQWk0uSVFfRUJJVERBX01BUkdJTi4yMDAwLjcvMzEvMjAxOC5MRlIuRi5VU0QuSAEAAAADJj0DAwAAAAJOTQEIAAAABQAAAAExAQAAAAoxODg3MjQ2MDc3AwAAAAMxNjACAAAABDQwNDcEAAAAATAHAAAACTcvMzEvMjAxOAgAAAAJMy8zMS8yMDE4CQAAAAEw1owROAgJ1ghzJJ1vNAnWCCJDSVEuSVFUUjI0NTgzMTAwNy5JUV9UUl9QQ1RfU09VR0hUAQAAAF8Vpw4CAAAAAzEwMACys0lvNAnWCIH9lW80CdYIK0NJUS5JUVRSMzA3ODYzOTg0LklRX1RSX0lNUExJRURfRVZfRUJJVF9GV0QBAAAAsKFZEgIAAAAAAFjPEg41CdYIwNuCDjUJ1ggkQ0lRLjAuSVFfVFJfVEFSR0VUX0VCSVREQV9FU1QuLlVTRC5IBQAAAAAAAAAIAAAAGChJbnZhbGlkIFRyYW5zYWN0aW9uIElkKUlTR280CdYIB+LwgTQJ1gg1Q0lRLk5BU0RBUUdNOkFSUlkuSVFfQ0FQRVguMjAwMC43LzMxLzIwMTguTEZSLkYuVVNELkgBAAAA+GEAAAIAAAAGLTEuMzM1AQgAAAAFAAAAATEBAAAACjE4ODg0NzA2NzYDAAAAAzE2MAIAAAAEMjAyMQQAAAABMAcAAAAJNy8zMS8yMDE4CAAAAAkzLzMxLzIwMTgJAAAAATCcC9U4CAnWCNRfmG80CdYIOENJUS5OQVNEQVFDTTpaSU9QLklRX0VCSVREQS5DWTIwMTYuNy8zMS8yMDE4LkxGUi5GLlVTRC5IAQAAALNRsgACAAAACC0x</t>
  </si>
  <si>
    <t>NjUuMDE3AQgAAAAFAAAAATEBAAAACjE4NzcyMDQ0MTYDAAAAAzE2MAIAAAAENDA1MQQAAAABMAcAAAAJNy8zMS8yMDE4CAAAAAoxMi8zMS8yMDE2CQAAAAEw1owROAgJ1gjDhp9vNAnWCBpDSVEuLklRX0JFVEFfMVlSLjcvMzEvMjAxOAUAAAABAAAACAAAABQoSW52YWxpZCBJZGVudGlmaWVyKZYkMEc0CdYIliQwRzQJ1gg8Q0lRLk5BU0RBUUNNOk1URU0uSVFfRUJJVERBX0VTVC5DWTIwMTguNy8zMS8yMDE4LkNPTi5GLlVTRC5IAQAAAJmbqQEDAAAAAADIMLI3CAnWCBnpoW80CdYIL0NJUS5OQVNEQVFHUzpTR0VOLklRX0dST1NTX01BUkdJTi4uLkxGUi5GLlVTRC5IAQAAAGGFAAACAAAABjEuOTU3NQEIAAAABQAAAAExAQAAAAoxODk3MjMzNTE4AwAAAAMxNjACAAAABDQwNzQEAAAAATAHAAAACTgvMjMvMjAxOAgAAAAJNi8zMC8yMDE4CQAAAAEwRp0ZETUJ1ghGnRkRNQnWCC9DSVEuSVFUUjI2MzcxODY0Ny5JUV9UUl9JTVBMSUVEX0VWX0ZJTkFMLi5VU0QuSAEAAAD3BrgPAgAAAAAAsrNJbzQJ1gg1m5NvNAnWCCFDSVEuSVFUUjQwMzc5MTc2Ny5JUV9UUl9CVVlFUk5BTUUBAAAAl18RGAMAAAATQ2VsZ2VuZSBDb3Jwb3JhdGlvbgBYzxIONQnWCMDbgg41CdYIJ0NJUS5OQVNEQVFDTTpTUk5FLklRX0JFVEFfMllSLjcvMzEvMjAxOAEAAABJQ5QDAgAAABAzLjU2NzAzNjE4NjY1NTg0ANaMETgICdYIcySd</t>
  </si>
  <si>
    <t>bzQJ1ggfQ0lRLjAuSVFfVFJfVE9UQUxfR1JPU1NfVFYuLlVTRAUAAAAAAAAACAAAABgoSW52YWxpZCBUcmFuc2FjdGlvbiBJZClJU0dvNAnWCAfi8IE0CdYIHkNJUS5JUTQyNjEzNy5JUV9DT01QQU5ZX1RJQ0tFUgEAAACZgAYAAwAAAApFTlhUUEE6SVBIAAxtEA41CdYINu6VDjUJ1ggpQ0lRLklRMzYxODM4MTkuSVFfTEFTVFNBTEVQUklDRS43LzMxLzIwMTgBAAAACx8oAgIAAAAEMi4yMQBJU0dvNAnWCIH9lW80CdYIJ0NJUS5OQVNEQVFHTTpJTU1VLklRX0JFVEFfNVlSLjcvMTYvMjAxOAEAAAAgQwQAAgAAABAxLjc0MzU1MzA2NTc5MDUzAMT/GxE1CdYIEv5kEjUJ1ggxQ0lRLk5BU0RBUUdTOkJHTkUuSVFfRUFSTklOR19DTy4xOTk2Li5MRlIuRi5VU0QuSAEAAADg5N0GAgAAAAgtMTg0LjM5NQEIAAAABQAAAAExAQAAAAoxODk5OTAwNjE4AwAAAAMxNjACAAAAATcEAAAAATAHAAAACTgvMjMvMjAxOAgAAAAJNi8zMC8yMDE3CQAAAAEwnAvVOAgJ1gicC9U4CAnWCDtDSVEuTkFTREFRR1M6QURYUy5JUV9UT1RBTF9SRVYuQ1kyMDE2LjcvMTYvMjAxOC5MRlIuRi5VU0QuSAEAAACe7HgAAgAAAAg3LjUzNTY5OAEIAAAABQAAAAExAQAAAAoxODc4MDEyNDI5AwAAAAMxNjACAAAAAjI4BAAAAAEwBwAAAAk3LzE2LzIwMTgIAAAACTEvMzEvMjAxNwkAAAABMCkclBA1CdYI5HRbEjUJ1gg8Q0lRLk5BU0RBUUdT</t>
  </si>
  <si>
    <t>OkNBTEEuSVFfRUFSTklOR19DTy5DWTIwMTYuNy8zMS8yMDE4LkxGUi5GLlVTRC5IAQAAAKUngQYCAAAABy0zOC4wMDQBCAAAAAUAAAABMQEAAAAKMTg3Nzk1NTYwMQMAAAADMTYwAgAAAAE3BAAAAAEwBwAAAAk3LzMxLzIwMTgIAAAACjEyLzMxLzIwMTYJAAAAATDIMLI3CAnWCN1LpG80CdYIOUNJUS5OQVNEQVFDTTpaSU9QLklRX1RPVEFMX0RFQlQuMjAwMC41LzUvMjAxNy5MRlIuRi5VU0QuSAEAAACzUbIAAgAAAAEwAQgAAAAFAAAAATEBAAAACjE4MzkzNDExOTQDAAAAAzE2MAIAAAAENDE3MwQAAAABMAcAAAAINS81LzIwMTcIAAAACTMvMzEvMjAxNwkAAAABMNaMETgICdYIw4afbzQJ1ggdQ0lRLk5BU0RBUUdNOkZBVEUuSVFfRVhDSEFOR0UBAAAAaDFXAgMAAAAITmFzZGFxR00A1owROAgJ1ggiu+mBNAnWCCNDSVEuSVFUUjUzMzM4NTc0NC5JUV9UUl9UT1RBTF9TVE9DSwEAAAAQ0sofAgAAAAAADG0QDjUJ1gjA24IONQnWCC5DSVEuTkFTREFRR1M6U0dFTi5JUV9FQklUX01BUkdJTi4uLkxGUi5GLlVTRC5IAQAAAGGFAAACAAAACC0zMy40OTU4AQgAAAAFAAAAATEBAAAACjE4OTcyMzM1MTgDAAAAAzE2MAIAAAAENDA1MwQAAAABMAcAAAAJOC8yMy8yMDE4CAAAAAk2LzMwLzIwMTgJAAAAATBGnRkRNQnWCEadGRE1CdYINUNJUS5OQVNEQVFHTTpDUklTLklRX0NBUEVYLjE5OTIuNy8zMS8yMDE4LkxG</t>
  </si>
  <si>
    <t>Ui5GLlVTRC5IAQAAABdqAAACAAAACS0wLjA0MTA0MwEIAAAABQAAAAExAQAAAAoxODQwNTAxMDk5AwAAAAMxNjACAAAABDIwMjEEAAAAATAHAAAACTcvMzEvMjAxOAgAAAAJMy8zMS8yMDE2CQAAAAEwyDCyNwgJ1gjdS6RvNAnWCD5DSVEuTkFTREFRR1M6QkdORS5JUV9UT1RBTF9FUVVJVFkuQ1kyMDE2LjcvMzEvMjAxOC5MRlIuRi5VU0QuSAEAAADg5N0GAgAAAAczNTIuOTA3AQgAAAAFAAAAATEBAAAACjE4OTk4ODEyMDQDAAAAAzE2MAIAAAAEMTI3NQQAAAABMAcAAAAJNy8zMS8yMDE4CAAAAAoxMi8zMS8yMDE2CQAAAAEwnAvVOAgJ1giB/ZVvNAnWCCRDSVEuTkFTREFRR1M6VFNSTy5JUV9FRkZFQ1RfVEFYX1JBVEUBAAAAaNZYBgMAAAACTk0BCAAAAAUAAAABMQEAAAAKMTg5ODQ5MTM0NAMAAAADMTYwAgAAAAQ0Mzc2BAAAAAEwBwAAAAk4LzIzLzIwMTgIAAAACTYvMzAvMjAxOAkAAAABMJwL1TgICdYID2WMDjUJ1ggoQ0lRLk5BU0RBUUdNOk5MTksuSVFfVEVWLjcvMTYvMjAxOC5VU0QuSAEAAACVe4wAAgAAAAkzMC4yNDM2NTgBBgAAAAUAAAABMQEAAAAKMTg4ODM1MjQ2MwMAAAADMTYwAgAAAAYxMDAwNjAEAAAAATAHAAAACTcvMTYvMjAxOCkclBA1CdYI5HRbEjUJ1ggyQ0lRLk5BU0RBUUdTOkNUTVguSVFfRUJJVERBLi43LzE2LzIwMTguTEZSLkYuVVNELkgBAAAA3DibAwIAAAAHLTUxLjcxMwEI</t>
  </si>
  <si>
    <t>AAAABQAAAAExAQAAAAoxODg3Njc1MzE2AwAAAAMxNjACAAAABDQwNTEEAAAAATAHAAAACTcvMTYvMjAxOAgAAAAJMy8zMS8yMDE4CQAAAAEwxP8bETUJ1gjCm2ISNQnWCD9DSVEuTkFTREFRR1M6RlBSWC5JUV9FQklUREFfNVlSX0FOTl9DQUdSLi43LzE2LzIwMTguTEZSLkYuVVNELkgBAAAAN10zAAMAAAACTk0BCAAAAAUAAAABMQEAAAAKMTg4NzQwMjIyNwMAAAADMTYwAgAAAAQ0MjM1BAAAAAEwBwAAAAk3LzE2LzIwMTgIAAAACTMvMzEvMjAxOAkAAAABMCkclBA1CdYIczlgEjUJ1gg1Q0lRLk5BU0RBUUdNOlhOQ1IuSVFfVE9UQUxfUkVWLi43LzE2LzIwMTguTEZSLkYuVVNELkgBAAAAploLAAIAAAAGMzIuMjExAQgAAAAFAAAAATEBAAAACjE4ODcxMjU4NTUDAAAAAzE2MAIAAAACMjgEAAAAATAHAAAACTcvMTYvMjAxOAgAAAAJMy8zMS8yMDE4CQAAAAEwxP8bETUJ1ggS/mQSNQnWCCVDSVEuTkFTREFRR1M6Sk5DRS5JUV9GSVJTVFBSSUNJTkdEQVRFAQAAAOJ5ng0FAAAACTEvMjcvMjAxNwApHJQQNQnWCOR0WxI1CdYIKUNJUS5JUTM2MTgzODQzLklRX0xBU1RTQUxFUFJJQ0UuNy8zMS8yMDE4AQAAACMfKAICAAAABDMuMDgASVNHbzQJ1giB/ZVvNAnWCDhDSVEuTkFTREFRR1M6VFNSTy5JUV9FQklUREEuQ1kyMDE2LjcvMTYvMjAxOC5MRlIuRi5VU0QuSAEAAABo1lgGAgAAAAgtMzM1LjY0OQEIAAAA</t>
  </si>
  <si>
    <t>BQAAAAExAQAAAAoxODc3MjI2Mjg0AwAAAAMxNjACAAAABDQwNTEEAAAAATAHAAAACTcvMTYvMjAxOAgAAAAKMTIvMzEvMjAxNgkAAAABMMT/GxE1CdYIEv5kEjUJ1ggxQ0lRLk5BU0RBUUdNOklNTVUuSVFfQ0FQRVguLjcvMTYvMjAxOC5MRlIuRi5VU0QuSAEAAAAgQwQAAgAAAAktNS45Mzc2MDcBCAAAAAUAAAABMQEAAAAKMTg4ODUyMzM4NAMAAAADMTYwAgAAAAQyMDIxBAAAAAEwBwAAAAk3LzE2LzIwMTgIAAAACTMvMzEvMjAxOAkAAAABMMT/GxE1CdYIEv5kEjUJ1gg4Q0lRLk5BU0RBUUdTOlRTUk8uSVFfRUJJVERBLkNZMjAxNy43LzMxLzIwMTguTEZSLkYuVVNELkgBAAAAaNZYBgIAAAAILTQ1OS45ODkBCAAAAAUAAAABMQEAAAAKMTg3NzIyNjMwMQMAAAADMTYwAgAAAAQ0MDUxBAAAAAEwBwAAAAk3LzMxLzIwMTgIAAAACjEyLzMxLzIwMTcJAAAAATCcC9U4CAnWCCTCmm80CdYIKUNJUS4uSVFfRUJJVERBLjE5OTIuNy8zMS8yMDE4LkxGUi5GLlVTRC5IBQAAAAEAAAAIAAAAFChJbnZhbGlkIElkZW50aWZpZXIp9YQyRzQJ1gj1hDJHNAnWCD1DSVEuTkFTREFRR1M6QkdORS5JUV9SRVZFTlVFX0VTVC5DWTIwMTkuNy8zMS8yMDE4LkNPTi5GLlVTRC5IAQAAAODk3QYCAAAACTEzMi44MjM1NwEOAAAABQAAAAIxMQEAAAABMAIAAAAKMTAwMzMyNjI3MgMAAAAGMTAwMTgwBAAAAAEyBgAAAAEwBwAAAAMx</t>
  </si>
  <si>
    <t>NjAIAAAAATAJAAAAATEKAAAAATALAAAACzEwOTc3NzIzODk2DAAAAAE3DQAAAAg4LzEvMjAxOBAAAAAJNy8zMS8yMDE4nAvVOAgJ1giB/ZVvNAnWCCtDSVEuTllTRTpCSFZOLklRX1RPVEFMX0RFQlQuLjUvMy8yMDE3Li4uVVNEAQAAANxnIA8CAAAABTQuODExAQgAAAAFAAAAATEBAAAACjE4MzU3ODk3MTADAAAAAzE2MAIAAAAENDE3MwQAAAABMAcAAAAINS8zLzIwMTcIAAAACjEyLzMxLzIwMTYJAAAAATCys0lvNAnWCK+o1oE0CdYIIUNJUS5JUTExODA0NDE3Mi5JUV9DT01QQU5ZX1RJQ0tFUgEAAAAMNgkHAwAAAA1OYXNkYXFHTTpMUFRYAAxtEA41CdYINu6VDjUJ1gg6Q0lRLk5BU0RBUUdNOkFSUUwuSVFfUFJFRl9FUVVJVFkuMjAwMC41LzUvMjAxNy5MRlIuRi5VU0QuSAEAAAD2YQAAAwAAAAAA1owROAgJ1ghzJJ1vNAnWCEJDSVEuTkFTREFRR1M6QkdORS5JUV9UT1RBTF9SRVZfNVlSX0FOTl9DQUdSLi43LzE2LzIwMTguTEZSLkYuVVNELkgBAAAA4OTdBgMAAAAAAMT/GxE1CdYIaGBnEjUJ1gg5Q0lRLk5BU0RBUUNNOk1URU0uSVFfTklfTUFSR0lOLjIwMDAuNy8zMS8yMDE4LkxGUi5GLlVTRC5IAQAAAJmbqQEDAAAAAk5NAQgAAAAFAAAAATEBAAAACjE4ODg3MzMwMDQDAAAAAzE2MAIAAAAENDA5NAQAAAABMAcAAAAJNy8zMS8yMDE4CAAAAAkzLzMxLzIwMTgJAAAAATDIMLI3CAnWCBnpoW80CdYI</t>
  </si>
  <si>
    <t>MkNJUS5OQVNEQVFHUzpCR05FLklRX1RPVEFMX1JFVi5DWTIwMTYuLkxGUi5GLlVTRC5IAQAAAODk3QYCAAAABDEuMDcBCAAAAAUAAAABMQEAAAAKMTg5OTg4MTIwNAMAAAADMTYwAgAAAAIyOAQAAAABMAcAAAAJOC8yMy8yMDE4CAAAAAoxMi8zMS8yMDE2CQAAAAEwnAvVOAgJ1gicC9U4CAnWCClDSVEuSVFUUjI0NTgzMTAwNy5JUV9UUl9JTVBMSUVEX0VRX05JX0xUTQEAAABfFacOAwAAAAJOTQCys0lvNAnWCIH9lW80CdYIM0NJUS5OQVNEQVFHUzpCR05FLklRX0VCSVREQV9FU1QuQ1kyMDE5Li5DT04uRi5VU0QuSAEAAADg5N0GAgAAAAotNDk3LjA0MDc3AQ4AAAAFAAAAAjExAQAAAAEwAgAAAAoxMDAzMzI2MjcyAwAAAAYxMDAxODcEAAAAATIGAAAAATAHAAAAAzE2MAgAAAABMAkAAAABMQoAAAABMAsAAAALMTEwNTExMjAyODIMAAAAATcNAAAACTgvMjQvMjAxOBAAAAAJOC8yMy8yMDE4nAvVOAgJ1gicC9U4CAnWCD9DSVEuTkFTREFRR1M6UEJZSS5JUV9FQklUREFfMllSX0FOTl9DQUdSLi43LzE2LzIwMTguTEZSLkYuVVNELkgBAAAAAmqsBwMAAAACTk0BCAAAAAUAAAABMQEAAAAKMTg4ODY2Nzc0MwMAAAADMTYwAgAAAAQ0MjA5BAAAAAEwBwAAAAk3LzE2LzIwMTgIAAAACTMvMzEvMjAxOAkAAAABMMT/GxE1CdYIEv5kEjUJ1gghQ0lRLk5BU0RBUUdTOlBCWUkuSVFfQ09NUEFOWV9OQU1FAQAAAAJq</t>
  </si>
  <si>
    <t>rAcDAAAAGFB1bWEgQmlvdGVjaG5vbG9neSwgSW5jLgBGnRkRNQnWCBL+ZBI1CdYILENJUS4uSVFfVE9UQUxfUkVWLjE5OTIuNy8zMS8yMDE4LkxGUi5GLlVTRC5IBQAAAAEAAAAIAAAAFChJbnZhbGlkIElkZW50aWZpZXIpliQwRzQJ1giWJDBHNAnWCDhDSVEuTkFTREFRR1M6VFNSTy5JUV9FQklUREEuQ1kyMDE3LjcvMTYvMjAxOC5MRlIuRi5VU0QuSAEAAABo1lgGAgAAAAgtNDU5Ljk4OQEIAAAABQAAAAExAQAAAAoxODc3MjI2MzAxAwAAAAMxNjACAAAABDQwNTEEAAAAATAHAAAACTcvMTYvMjAxOAgAAAAKMTIvMzEvMjAxNwkAAAABMMT/GxE1CdYIEv5kEjUJ1ggeQ0lRLkFTWDpJTVUuSVFfRUZGRUNUX1RBWF9SQVRFAQAAAJiTqQADAAAAAAApHJQQNQnWCDDXXRI1CdYIJENJUS5YVFJBOk1PUi5JUV9CVVNJTkVTU19ERVNDUklQVElPTgEAAADfEQIAAwAAAOwLTW9ycGhvU3lzIEFHLCB0b2dldGhlciB3aXRoIGl0cyBzdWJzaWRpYXJpZXMsIGVuZ2FnZXMgaW4gdGhlIHJlc2VhcmNoLCBkZXZlbG9wbWVudCwgYW5kIG9wdGltaXphdGlvbiBvZiB0aGVyYXBldXRpYyBhbnRpYm9keSBkcnVnIGNhbmRpZGF0ZXMgaW4gcGFydG5lcnNoaXAgd2l0aCBwaGFybWFjZXV0aWNhbCBhbmQgYmlvdGVjaG5vbG9neSBjb21wYW5pZXMuIFRoZSBjb21wYW55LCB0b2dldGhlciB3aXRoIGl0cyBwaGFybWFjZXV0aWNh</t>
  </si>
  <si>
    <t>bCBwYXJ0bmVycywgZGV2ZWxvcHMgYSB0aGVyYXBldXRpYyBwaXBlbGluZSBvZiBhcHByb3hpbWF0ZWx5IDEwMCBkcnVncyBmb3IgdGhlIHRyZWF0bWVudCBvZiBjYW5jZXIsIEFsemhlaW1lcidzIGRpc2Vhc2UsIGluZmVjdGlvdXMgZGlzZWFzZXMsIGNhcmRpb3Zhc2N1bGFyIGR5c2Z1bmN0aW9uLCBhbmQgaW5mbGFtbWF0aW9uLiBJdHMgcHJvZHVjdCBwaXBlbGluZSBpbmNsdWRlcyBNT1IyMDgsIGEgaHVtYW5pemVkIG1vbm9jbG9uYWwgYW50aWJvZHkgdGhhdCB0YXJnZXRzIHRoZSBhbnRpZ2VuIENEMTksIHdoaWNoIGlzIGluIFBoYXNlIElJSSBjbGluaWNhbCB0cmlhbCBmb3IgdGhlIHRyZWF0bWVudCBvZiBCIGNlbGwgbWFsaWduYW5jaWVzOyBhbmQgTU9SMjAyLCBhIGh1bWFuIG1vbm9jbG9uYWwgSHVDQUwgYW50aWJvZHkgZGlyZWN0ZWQgYWdhaW5zdCBDRDM4LCB3aGljaCBpcyBpbiBQaGFzZSBJSSB0cmlhbCBmb3IgdGhlIHRyZWF0bWVudCBvZiBtdWx0aXBsZSBteWVsb21hIGFuZCBvdGhlciBjYW5jZXJzLiBUaGUgY29tcGFueeKAmXMgcHJvZHVjdCBwaXBlbGluZSBhbHNvIGNvbXByaXNlcyBNT1IxMDMvR1NLMzE5NjE2NSwgYSBodW1hbiBIdUNBTCBhbnRpYm9keSBkaXJlY3RlZCBhZ2FpbnN0IGdyYW51bG9jeXRlLW1hY3JvcGhhZ2UgY29sb255LXN0aW11bGF0aW5nIGZhY3RvciB0aGF0</t>
  </si>
  <si>
    <t>IGlzIGluIFBoYXNlIElJIGNsaW5pY2FsIHRyaWFsIGZvciB0cmVhdGluZyByaGV1bWF0b2lkIGFydGhyaXRpcyBhbmQgaW5mbGFtbWF0b3J5IGhhbmQgb3N0ZW9hcnRocml0aXMuIEluIGFkZGl0aW9uLCBpdHMgcHJvZHVjdCBwaXBlbGluZSBpbmNsdWRlcyBNT1IxMDYsIGEgaHVtYW4gbW9ub2Nsb25hbCBhbnRpYm9keSBkaXJlY3RlZCBhZ2FpbnN0IElMLTE3Qywgd2hpY2ggaXMgaW4gUGhhc2UgSSBjbGluaWNhbCB0cmlhbCBmb3IgdGhlIHRyZWF0bWVudCBvZiBhdG9waWMgZGVybWF0aXRpczsgYW5kIE1PUjEwNyB0aGF0IGlzIGluIHByZWNsaW5pY2FsIGludmVzdGlnYXRpb24gd2l0aCBhIGZvY3VzIG9uIG9uY29sb2d5IGluZGljYXRpb25zLiBNb3JwaG9TeXMgQUcgaGFzIGEgcmVnaW9uYWwgbGljZW5zaW5nIGFncmVlbWVudCB3aXRoIEktTWFiIEJpb3BoYXJtYSB0byBkZXZlbG9wIGFuZCBjb21tZXJjaWFsaXplIE1PUjIwMiBpbiBDaGluYSwgVGFpd2FuLCBIb25nIEtvbmcsIGFuZCBNYWNhby4gVGhlIGNvbXBhbnkgd2FzIGZvdW5kZWQgaW4gMTk5MiBhbmQgaXMgaGVhZHF1YXJ0ZXJlZCBpbiBQbGFuZWdnLCBHZXJtYW55LgCcC9U4CAnWCNRfmG80CdYIP0NJUS5OQVNEQVFHUzpDVE1YLklRX0VCSVREQV81WVJfQU5OX0NBR1IuLjcvMTYvMjAxOC5MRlIuRi5VU0QuSAEAAADcOJsDAwAAAAAA</t>
  </si>
  <si>
    <t>xP8bETUJ1gjCm2ISNQnWCDZDSVEuTkFTREFRR006TkxOSy5JUV9FQVJOSU5HX0NPLi43LzE2LzIwMTguTEZSLkYuVVNELkgBAAAAlXuMAAIAAAAHLTY5LjM0OAEIAAAABQAAAAExAQAAAAoxODg4MzU0MjA3AwAAAAMxNjACAAAAATcEAAAAATAHAAAACTcvMTYvMjAxOAgAAAAJMy8zMS8yMDE4CQAAAAEwKRyUEDUJ1gjkdFsSNQnWCCdDSVEuTkFTREFRR006TkxOSy5JUV9CRVRBXzFZUi43LzE2LzIwMTgBAAAAlXuMAAIAAAARMC45MDIyMzUxNzg1MDY5ODEAKRyUEDUJ1gjkdFsSNQnWCDxDSVEuTkFTREFRR006Q1JWUy5JUV9HUk9TU19NQVJHSU4uMjAwMC43LzMxLzIwMTguTEZSLkYuVVNELkgBAAAA9LCmEAMAAAAAANaMETgICdYIGemhbzQJ1ghBQ0lRLlhUUkE6TU9SLklRX01JTk9SSVRZX0lOVEVSRVNUX1RPVEFMLjIwMDAuNS81LzIwMTcuTEZSLkYuVVNELkgBAAAA3xECAAMAAAAAAJwL1TgICdYI1F+YbzQJ1gg5Q0lRLk5BU0RBUUdNOkZBVEUuSVFfVE9UQUxfUkVWLjIwMDAuNy8zMS8yMDE4LkxGUi5GLlVTRC5IAQAAAGgxVwICAAAABTQuMTA1AQgAAAAFAAAAATEBAAAACjE4ODg1MDA1MjcDAAAAAzE2MAIAAAACMjgEAAAAATAHAAAACTcvMzEvMjAxOAgAAAAJMy8zMS8yMDE4CQAAAAEw1owROAgJ1gjDhp9vNAnWCDxDSVEuTkFTREFRQ006WklPUC5JUV9HUk9TU19NQVJHSU4uMjAwMC43LzMxLzIw</t>
  </si>
  <si>
    <t>MTguTEZSLkYuVVNELkgBAAAAs1GyAAMAAAACTk0BCAAAAAUAAAABMQEAAAAKMTg4Nzk3MjM1OQMAAAADMTYwAgAAAAQ0MDc0BAAAAAEwBwAAAAk3LzMxLzIwMTgIAAAACTMvMzEvMjAxOAkAAAABMNaMETgICdYIw4afbzQJ1ggrQ0lRLklRVFI1NTAyNTkzOTcuSVFfVFJfSU1QTElFRF9FVl9FQklUX0ZXRAEAAADFSswgAwAAAAJOTQAMbRAONQnWCHd5gA41CdYII0NJUS5JUVRSNTYxNjA2MzY1LklRX1RSX0NMT1NFRF9EQVRFAQAAAN1ueSEFAAAACTYvMTEvMjAxOACys0lvNAnWCDWbk280CdYIIENJUS5JUVRSNTQ3NDIzNjgwLklRX1RSX0VBUk5PVVRTAQAAAMAFoSACAAAAAAAMbRAONQnWCMDbgg41CdYIPENJUS5OQVNEQVFHUzpUU1JPLklRX0VCSVREQV9FU1QuQ1kyMDE4LjcvMzEvMjAxOC5DT04uRi5VU0QuSAEAAABo1lgGAgAAAAotNTE1LjcwMjIyAQ4AAAAFAAAAAjExAQAAAAEwAgAAAAoxMDAxNTgwMzQwAwAAAAYxMDAxODcEAAAAATIGAAAAATAHAAAAAzE2MAgAAAABMAkAAAABMQoAAAABMAsAAAALMTA5NDA1MDY5NjMMAAAAATcNAAAACDgvMS8yMDE4EAAAAAk3LzMxLzIwMTicC9U4CAnWCCTCmm80CdYIRkNJUS5OQVNEQVFHUzpCR05FLklRX1RPVEFMX1JFVl8zWVJfQU5OX0NBR1IuMjAwMC43LzMxLzIwMTguTEZSLkYuVVNELkgBAAAA4OTdBgIAAAAIMTgzLjk0MjMBCAAAAAUAAAABMQEAAAAK</t>
  </si>
  <si>
    <t>MTg4NzY4ODU4OAMAAAADMTYwAgAAAAQ0MjIwBAAAAAEwBwAAAAk3LzMxLzIwMTgIAAAACTMvMzEvMjAxOAkAAAABMJwL1TgICdYI1F+YbzQJ1gg8Q0lRLk5BU0RBUUdTOk5LLklRX0NBU0hfU1RfSU5WRVNULjIwMDAuNy8zMS8yMDE4LkxGUi5GLlVTRC5IAQAAAA19oQ8CAAAABzEyMS43ODkBCAAAAAUAAAABMQEAAAAKMTg4NzExODc5MQMAAAADMTYwAgAAAAQxMDAyBAAAAAEwBwAAAAk3LzMxLzIwMTgIAAAACTMvMzEvMjAxOAkAAAABMNaMETgICdYIw4afbzQJ1ggjQ0lRLklRVFIzMDI4NjY2MjcuSVFfVFJfQ0xPU0VEX0RBVEUBAAAAw2ANEgUAAAAINi8xLzIwMTUAWM8SDjUJ1ggMPoUONQnWCENDSVEuKElOVkFMSUQgSURFTlRJRklFUikuSVFfVE9UQUxfRVFVSVRZLjE5OTYuNy8zMS8yMDE4LkxGUi5GLlVTRC5IBQAAAAAAAAAIAAAAFChJbnZhbGlkIElkZW50aWZpZXIpyDCyNwgJ1gjtNrBvNAnWCDpDSVEuT1RDUEs6TUJWWC5JUV9SRVZFTlVFX0VTVC5DWTIwMTguNy8xNi8yMDE4LkNPTi5GLlVTRC5IAQAAANhEiwIDAAAAAADep34QNQnWCJgSWRI1CdYIPkNJUS5OQVNEQVFHUzpNR05YLklRX1RPVEFMX0VRVUlUWS5DWTIwMTYuNy8xNi8yMDE4LkxGUi5GLlVTRC5IAQAAAE8rCQACAAAABzI2OC43NTEBCAAAAAUAAAABMQEAAAAKMTg3NjEzNTE1NwMAAAADMTYwAgAAAAQxMjc1BAAAAAEwBwAAAAk3</t>
  </si>
  <si>
    <t>LzE2LzIwMTgIAAAACjEyLzMxLzIwMTYJAAAAATDE/xsRNQnWCMKbYhI1CdYIO0NJUS5OQVNEQVFDTTpaSU9QLklRX1RPVEFMX1JFVi5DWTIwMTcuNy8zMS8yMDE4LkxGUi5GLlVTRC5IAQAAALNRsgACAAAABTYuMzg5AQgAAAAFAAAAATEBAAAACjE4NzcyMDQ0NjYDAAAAAzE2MAIAAAACMjgEAAAAATAHAAAACTcvMzEvMjAxOAgAAAAKMTIvMzEvMjAxNwkAAAABMNaMETgICdYIw4afbzQJ1gg9Q0lRLk5BU0RBUUdNOklNTVUuSVFfRUJJVERBX01BUkdJTi4yMDAwLjcvMzEvMjAxOC5MRlIuRi5VU0QuSAEAAAAgQwQAAwAAAAJOTQEIAAAABQAAAAExAQAAAAoxODg4NTIzMzg0AwAAAAMxNjACAAAABDQwNDcEAAAAATAHAAAACTcvMzEvMjAxOAgAAAAJMy8zMS8yMDE4CQAAAAEwnAvVOAgJ1gjUX5hvNAnWCCtDSVEuSVFUUjUzMzYzOTUwMS5JUV9UUl9UT1RBTF9HUk9TU19UVi4uVVNEAQAAAE2xzh8CAAAAAAAMbRAONQnWCMDbgg41CdYIKUNJUS5OQVNEQVFHTTpDUlZTLklRX0JVU0lORVNTX0RFU0NSSVBUSU9OAQAAAPSwphADAAAAwQVDb3J2dXMgUGhhcm1hY2V1dGljYWxzLCBJbmMuLCBhIGNsaW5pY2FsIHN0YWdlIGJpb3BoYXJtYWNldXRpY2FsIGNvbXBhbnksIGZvY3VzZXMgb24gdGhlIGRldmVsb3BtZW50IGFuZCBjb21tZXJjaWFsaXphdGlvbiBvZiBpbW11bm8tb25jb2xvZ3kgdGhlcmFwaWVzIHRo</t>
  </si>
  <si>
    <t>YXQgYXJlIGRlc2lnbmVkIHRvIGhhcm5lc3MgdGhlIGltbXVuZSBzeXN0ZW0gdG8gYXR0YWNrIGNhbmNlciBjZWxscy4gSXRzIGxlYWQgcHJvZHVjdCBjYW5kaWRhdGUgaXMgQ1BJLTQ0NCwgYW4gb3JhbCwgc21hbGwgbW9sZWN1bGUgYW50YWdvbmlzdCBvZiB0aGUgQTJBIHJlY2VwdG9yIHRoYXQgaXMgaW4gUGhhc2UgSS9JYiBjbGluaWNhbCB0cmlhbCBmb3IgYWRlbm9zaW5lLCBhbiBpbW11bmUgY2hlY2twb2ludC4gVGhlIGNvbXBhbnkgaXMgYWxzbyBkZXZlbG9waW5nIGFuIGFudGktQ0Q3MyBtb25vY2xvbmFsIGFudGlib2R5IHRoYXQgaW5oaWJpdHMgdGhlIHByb2R1Y3Rpb24gb2YgYWRlbm9zaW5lOyBhbiBhbnRhZ29uaXN0IG9mIHRoZSBhZGVub3NpbmUgQTJCIHJlY2VwdG9yOyBhbmQgc21hbGwgbW9sZWN1bGUgY292YWxlbnQgaW5oaWJpdG9ycyBvZiBpbnRlcmxldWtpbi0yIGluZHVjaWJsZSBraW5hc2UuIENvcnZ1cyBQaGFybWFjZXV0aWNhbHMsIEluYy4gd2FzIGZvdW5kZWQgaW4gMjAxNCBhbmQgaXMgYmFzZWQgaW4gQnVybGluZ2FtZSwgQ2FsaWZvcm5pYS4A1owROAgJ1ggZ6aFvNAnWCCVDSVEuSVFUUjQwNzc2MDY5Mi5JUV9UUl9NQUpfTUlOX1NUQUtFAQAAADTvTRgDAAAACE1ham9yaXR5AAxtEA41CdYIDD6FDjUJ1ggxQ0lRLk5BU0RBUUdTOkpOQ0UuSVFfQ0FQRVguLjcvMTYvMjAx</t>
  </si>
  <si>
    <t>OC5MRlIuRi5VU0QuSAEAAADieZ4NAgAAAAUtOC4yNgEIAAAABQAAAAExAQAAAAoxODg4MTg2Mzc0AwAAAAMxNjACAAAABDIwMjEEAAAAATAHAAAACTcvMTYvMjAxOAgAAAAJMy8zMS8yMDE4CQAAAAEwKRyUEDUJ1giYElkSNQnWCENDSVEuTkFTREFRR1M6QU5BQi5JUV9NSU5PUklUWV9JTlRFUkVTVF9UT1RBTC4uNy8xNi8yMDE4LkxGUi5GLlVTRC5IAQAAACFMsgEDAAAAAADE/xsRNQnWCMKbYhI1CdYILkNJUS4oSU5WQUxJRCBJREVOVElGSUVSKS5JUV9QRVJJT0REQVRFX0lTLjEwMDAFAAAAAAAAAAgAAAAUKEludmFsaWQgSWRlbnRpZmllcinIMLI3CAnWCO02sG80CdYIQENJUS4oSU5WQUxJRCBJREVOVElGSUVSKS5JUV9OSV9NQVJHSU4uMjAwMC43LzMxLzIwMTguTEZSLkYuVVNELkgFAAAAAAAAAAgAAAAUKEludmFsaWQgSWRlbnRpZmllcinIMLI3CAnWCO02sG80CdYIP0NJUS5OQVNEQVFHUzpTR0VOLklRX0VCSVREQV81WVJfQU5OX0NBR1IuLjcvMTYvMjAxOC5MRlIuRi5VU0QuSAEAAABhhQAAAwAAAAJOTQEIAAAABQAAAAExAQAAAAoxODg0ODkyODUyAwAAAAMxNjACAAAABDQyMzUEAAAAATAHAAAACTcvMTYvMjAxOAgAAAAJMy8zMS8yMDE4CQAAAAEwxP8bETUJ1ghoYGcSNQnWCDxDSVEuTkFTREFRR006SU1NVS5JUV9HUk9TU19NQVJHSU4uMjAwMC43LzMxLzIwMTguTEZSLkYuVVNELkgBAAAA</t>
  </si>
  <si>
    <t>IEMEAAMAAAACTk0BCAAAAAUAAAABMQEAAAAKMTg4ODUyMzM4NAMAAAADMTYwAgAAAAQ0MDc0BAAAAAEwBwAAAAk3LzMxLzIwMTgIAAAACTMvMzEvMjAxOAkAAAABMJwL1TgICdYI1F+YbzQJ1ggjQ0lRLklRVFI0MzE4NDE1ODEuSVFfVFJfQ0xPU0VEX0RBVEUBAAAALWG9GQUAAAAJNi8yOC8yMDE3AAxtEA41CdYIDD6FDjUJ1ggnQ0lRLk5BU0RBUUdTOkJHTkUuSVFfQkVUQV8xWVIuNy8xNi8yMDE4AQAAAODk3QYCAAAAETAuOTY3MDY4NDg5NDY2NTY1AMT/GxE1CdYIaGBnEjUJ1ghCQ0lRLk5BU0RBUUNNOkNLUFQuSVFfVE9UQUxfUkVWXzNZUl9BTk5fQ0FHUi4uNy8xNi8yMDE4LkxGUi5GLlVTRC5IAQAAALhRFhEDAAAAAAApHJQQNQnWCOR0WxI1CdYIPUNJUS4oSU5WQUxJRCBJREVOVElGSUVSKS5JUV9UT1RBTF9ERUJULi45LzE1LzIwMTcuTEZSLkYuVVNELkgFAAAAAAAAAAgAAAAUKEludmFsaWQgSWRlbnRpZmllcinep34QNQnWCJgSWRI1CdYIJENJUS5OQVNEQVFHUzpNUlNOLklRX0VGRkVDVF9UQVhfUkFURQEAAADmxRgAAwAAAAAA1owROAgJ1gjji5MONQnWCDNDSVEuTkFTREFRR006QUZNRC5JUV9QRVJJT0REQVRFX0lTLi43LzE2LzIwMTguTEZSLkYBAAAA2/cMAAUAAAAJMy8zMS8yMDE4ACkclBA1CdYIMNddEjUJ1ggvQ0lRLklRVFI1NTExNjYyOTIuSVFfVFJfVEFSR0VUX1RPVEFMX1JFVi4u</t>
  </si>
  <si>
    <t>VVNELkgBAAAAVCHaIAIAAAAAAAxtEA41CdYIwNuCDjUJ1gg+Q0lRLihJTlZBTElEIElERU5USUZJRVIpLklRX0VCSVRfTUFSR0lOLi43LzE2LzIwMTguTEZSLkYuVVNELkgFAAAAAAAAAAgAAAAUKEludmFsaWQgSWRlbnRpZmllcinep34QNQnWCJgSWRI1CdYIOUNJUS5OQVNEQVFDTTpTUk5FLklRX1RPVEFMX1JFVi4xOTk2LjcvMzEvMjAxOC5MRlIuRi5VU0QuSAEAAABJQ5QDAgAAAAYxMi4wMzgBCAAAAAUAAAABMQEAAAAKMTg4Nzk4OTgyOAMAAAADMTYwAgAAAAIyOAQAAAABMAcAAAAJNy8zMS8yMDE4CAAAAAkzLzMxLzIwMTcJAAAAATDWjBE4CAnWCHMknW80CdYIH0NJUS5BU1g6SU1VLklRX0ZJUlNUUFJJQ0lOR0RBVEUBAAAAmJOpAAUAAAAIOS8yLzIwMDIAKRyUEDUJ1ggw110SNQnWCD1DSVEuTkFTREFRR006QVJRTC5JUV9SRVZFTlVFX0VTVC5DWTIwMTkuNy8zMS8yMDE4LkNPTi5GLlVTRC5IAQAAAPZhAAACAAAABDUuMjQBDgAAAAUAAAACMTEBAAAAATACAAAACjEwMDIzODE3NTUDAAAABjEwMDE4MAQAAAABMgYAAAABMAcAAAADMTYwCAAAAAEwCQAAAAExCgAAAAEwCwAAAAsxMDk0NjYyMzYyNAwAAAABNw0AAAAIOC8xLzIwMTgQAAAACTcvMzEvMjAxONaMETgICdYIcySdbzQJ1ggkQ0lRLk9UQ1BLOk1CVlguSVFfQkVUQV81WVIuNy8xNi8yMDE4AQAAANhEiwICAAAAEDEuNjY5Mzg5ODIzOTg3</t>
  </si>
  <si>
    <t>MjIAIAqBEDUJ1giYElkSNQnWCDZDSVEuTkFTREFRQ006WklPUC5JUV9FQklUREEuMTk5Ni43LzMxLzIwMTguTEZSLkYuVVNELkgBAAAAs1GyAAIAAAAILTE2Ni45MzUBCAAAAAUAAAABMQEAAAAKMTg4Nzk3MjM0OAMAAAADMTYwAgAAAAQ0MDUxBAAAAAEwBwAAAAk3LzMxLzIwMTgIAAAACTMvMzEvMjAxNwkAAAABMNaMETgICdYIw4afbzQJ1ggkQ0lRLk5BU0RBUUNNOkNLUFQuSVFfRUZGRUNUX1RBWF9SQVRFAQAAALhRFhEDAAAAAAApHJQQNQnWCOR0WxI1CdYINUNJUS5PVENQSzpOV0JPLklRX1RPVEFMX0VRVUlUWS4uNy8xNi8yMDE4LkxGUi5GLlVTRC5IAQAAAKN6FAACAAAABy02My4wMjUBCAAAAAUAAAABMQEAAAAKMTg4OTMwMjgyNAMAAAADMTYwAgAAAAQxMjc1BAAAAAEwBwAAAAk3LzE2LzIwMTgIAAAACTMvMzEvMjAxOAkAAAABMCkclBA1CdYIMNddEjUJ1gg5Q0lRLk5BU0RBUUdNOkNSSVMuSVFfVE9UQUxfUkVWLjE5OTYuNy8zMS8yMDE4LkxGUi5GLlVTRC5IAQAAABdqAAACAAAABTcuOTMyAQgAAAAFAAAAATEBAAAACjE4ODYyNDczOTUDAAAAAzE2MAIAAAACMjgEAAAAATAHAAAACTcvMzEvMjAxOAgAAAAJMy8zMS8yMDE3CQAAAAEwyDCyNwgJ1gjdS6RvNAnWCDVDSVEuTkFTREFRR006Q1JJUy5JUV9EQV9DRi4yMDAwLjcvMzEvMjAxOC5MRlIuRi5VU0QuSAEAAAAXagAAAgAAAAUwLjIzMwEI</t>
  </si>
  <si>
    <t>AAAABQAAAAExAQAAAAoxODg2MjQ3NDIwAwAAAAMxNjACAAAABDIxNjAEAAAAATAHAAAACTcvMzEvMjAxOAgAAAAJMy8zMS8yMDE4CQAAAAEwyDCyNwgJ1gjdS6RvNAnWCDdDSVEuTkFTREFRR1M6U0dFTi5JUV9FQklUX01BUkdJTi4uNy8xNi8yMDE4LkxGUi5GLlVTRC5IAQAAAGGFAAACAAAACC00My4xNzg1AQgAAAAFAAAAATEBAAAACjE4ODQ4OTI4NTIDAAAAAzE2MAIAAAAENDA1MwQAAAABMAcAAAAJNy8xNi8yMDE4CAAAAAkzLzMxLzIwMTgJAAAAATDE/xsRNQnWCGhgZxI1CdYIPUNJUS5OQVNEQVFDTTpDS1BULklRX1JFVkVOVUVfRVNULkNZMjAxOS43LzE2LzIwMTguQ09OLkYuVVNELkgBAAAAuFEWEQIAAAAFMS42MzYBDgAAAAUAAAACMTEBAAAAATACAAAACjEwMDM2NjU2MDIDAAAABjEwMDE4MAQAAAABMgYAAAABMAcAAAADMTYwCAAAAAEwCQAAAAExCgAAAAEwCwAAAAsxMDg3ODcwNzc2NgwAAAABNw0AAAAJNy8xNy8yMDE4EAAAAAk3LzE2LzIwMTgpHJQQNQnWCDDXXRI1CdYIM0NJUS5OQVNEQVFHUzpBRFhTLklRX1BFUklPRERBVEVfSVMuLjcvMTYvMjAxOC5MRlIuRgEAAACe7HgABQAAAAk0LzMwLzIwMTgAKRyUEDUJ1gjkdFsSNQnWCCBDSVEuSVFUUjU0ODMzODAyMC5JUV9UUl9FQVJOT1VUUwEAAABk+a4gAgAAAAMxMTcBBgAAAAUAAAACNTQBAAAABjEwMTQwMwIAAAAJNTQ4MzM4MDIwAwAA</t>
  </si>
  <si>
    <t>AAk1NDgzNDA5ODUEAAAAAzE2MAYAAAAFRmFsc2UMbRAONQnWCMDbgg41CdYIPENJUS5OQVNEQVFHTTpYTkNSLklRX0VCSVREQV9FU1QuQ1kyMDE5LjcvMTYvMjAxOC5DT04uRi5VU0QuSAEAAACmWgsAAgAAAAQtMTEyAQ4AAAAFAAAAAjExAQAAAAEwAgAAAAoxMDAyMDI1MjUyAwAAAAYxMDAxODcEAAAAATIGAAAAATAHAAAAAzE2MAgAAAABMAkAAAABMQoAAAABMAsAAAALMTA5MTU4MzI1NzkMAAAAATcNAAAACTcvMTcvMjAxOBAAAAAJNy8xNi8yMDE4xP8bETUJ1ggS/mQSNQnWCCFDSVEuSVExMDY0ODUzNTIuSVFfQ09NUEFOWV9USUNLRVIBAAAAaNZYBgMAAAANTmFzZGFxR1M6VFNSTwAMbRAONQnWCA9ljA41CdYIM0NJUS5PVENQSzpOV0JPLklRX1RPVEFMX0RFQlQuLjcvMTYvMjAxOC5MRlIuRi5VU0QuSAEAAACjehQAAgAAAAYzMS43MjkBCAAAAAUAAAABMQEAAAAKMTg4OTMwMjgyNAMAAAADMTYwAgAAAAQ0MTczBAAAAAEwBwAAAAk3LzE2LzIwMTgIAAAACTMvMzEvMjAxOAkAAAABMCkclBA1CdYIczlgEjUJ1gguQ0lRLk5BU0RBUUNNOlNSTkUuSVFfTUFSS0VUQ0FQLjcvMzEvMjAxOC5VU0QuSAEAAABJQ5QDAgAAAAo2MDguNTY3NTc0AQYAAAAFAAAAATEBAAAACjE4ODc5ODk3NjYDAAAAAzE2MAIAAAAGMTAwMDU0BAAAAAEwBwAAAAk3LzMxLzIwMTjWjBE4CAnWCHMknW80CdYIIUNJUS5OQVNEQVFH</t>
  </si>
  <si>
    <t>TTpYTkNSLklRX0NPTVBBTllfTkFNRQEAAACmWgsAAwAAAAxYZW5jb3IsIEluYy4ARp0ZETUJ1ggS/mQSNQnWCCFDSVEuTkFTREFRR1M6QVROWC5JUV9DT01QQU5ZX05BTUUBAAAA3JlrAQMAAAANQXRoZW5leCwgSW5jLgDWjBE4CAnWCCTCmm80CdYIJUNJUS5OQVNEQVFHUzpDVE1YLklRX0ZJUlNUUFJJQ0lOR0RBVEUBAAAA3DibAwUAAAAJMTAvOC8yMDE1AEadGRE1CdYIwptiEjUJ1gg2Q0lRLk5BU0RBUUdTOkZQUlguSVFfRUJJVERBLjIwMDAuNy8zMS8yMDE4LkxGUi5GLlVTRC5IAQAAADddMwACAAAACC0xMzUuNjg2AQgAAAAFAAAAATEBAAAACjE4ODc0MDIyMjcDAAAAAzE2MAIAAAAENDA1MQQAAAABMAcAAAAJNy8zMS8yMDE4CAAAAAkzLzMxLzIwMTgJAAAAATDWjBE4CAnWCBnpoW80CdYIJ0NJUS5OQVNEQVFHUzpDQUxBLklRX0JFVEFfMllSLjcvMzEvMjAxOAEAAAClJ4EGAgAAABAxLjc3NzQyMzc3ODUzMTIxAMgwsjcICdYI3UukbzQJ1gg9Q0lRLk5BU0RBUUdTOkZQUlguSVFfUkVWRU5VRV9FU1QuQ1kyMDE4LjcvMzEvMjAxOC5DT04uRi5VU0QuSAEAAAA3XTMAAgAAAAg3NS4yNDQ3NQEOAAAABQAAAAIxMQEAAAABMAIAAAAKMTAwMTk1NjM0NAMAAAAGMTAwMTgwBAAAAAEyBgAAAAEwBwAAAAMxNjAIAAAAATAJAAAAATEKAAAAATALAAAACzEwOTQ1NTc1MjcwDAAAAAE3DQAAAAg4LzEvMjAxOBAA</t>
  </si>
  <si>
    <t>AAAJNy8zMS8yMDE41owROAgJ1ggZ6aFvNAnWCCdDSVEuTkFTREFRR1M6QU5BQi5JUV9CRVRBXzFZUi43LzE2LzIwMTgBAAAAIUyyAQIAAAARMC42NjIwNDgwMTcyNzk5NTQAxP8bETUJ1gjCm2ISNQnWCDlDSVEuTkFTREFRR1M6VFNSTy5JUV9OSV9NQVJHSU4uMjAwMC43LzMxLzIwMTguTEZSLkYuVVNELkgBAAAAaNZYBgIAAAAJLTE5My40MTcyAQgAAAAFAAAAATEBAAAACjE4ODYzMzc0NjYDAAAAAzE2MAIAAAAENDA5NAQAAAABMAcAAAAJNy8zMS8yMDE4CAAAAAkzLzMxLzIwMTgJAAAAATCcC9U4CAnWCCTCmm80CdYIIUNJUS5JUVRSMzEyMTIyNTA0LklRX1RSX0JVWUVSTkFNRQEAAACInJoSAwAAACNBZHVybyBOZXRoZXJsYW5kcyBDb8O2cGVyYXRpZWYgVS5BLgBYzxIONQnWCMDbgg41CdYIPENJUS5OQVNEQVFDTTpBVkVPLklRX0VBUk5JTkdfQ08uQ1kyMDE2LjcvMTYvMjAxOC5MRlIuRi5VU0QuSAEAAAD0Fh0AAgAAAActMjYuODg3AQgAAAAFAAAAATEBAAAACjE4NzgwODI2NTADAAAAAzE2MAIAAAABNwQAAAABMAcAAAAJNy8xNi8yMDE4CAAAAAoxMi8zMS8yMDE2CQAAAAEwxP8bETUJ1gjCm2ISNQnWCCxDSVEuSVFUUjU1MTE2NjI5Mi5JUV9UUl9UT1RBTF9HUk9TU19UVi5VU0QuSAUAAAAAAAAACAAAABooSW52YWxpZCBDdXJyZW5jeSBSZXF1ZXN0KQxtEA41CdYIwNuCDjUJ1gglQ0lRLk5BU0RB</t>
  </si>
  <si>
    <t>UUdTOkZQUlguSVFfRklSU1RQUklDSU5HREFURQEAAAA3XTMABQAAAAk5LzE4LzIwMTMA1owROAgJ1gjji5MONQnWCDVDSVEuTkFTREFRR1M6QkdORS5JUV9DQVBFWC4xOTk2LjcvMzEvMjAxOC5MRlIuRi5VU0QuSAEAAADg5N0GAgAAAActMjUuMjY3AQgAAAAFAAAAATEBAAAACjE4ODc2ODg1ODMDAAAAAzE2MAIAAAAEMjAyMQQAAAABMAcAAAAJNy8zMS8yMDE4CAAAAAkzLzMxLzIwMTcJAAAAATCcC9U4CAnWCIH9lW80CdYINkNJUS5OQVNEQVFHUzpUU1JPLklRX0VCSVREQS4xOTk2LjcvMzEvMjAxOC5MRlIuRi5VU0QuSAEAAABo1lgGAgAAAAgtMzg1LjU3MgEIAAAABQAAAAExAQAAAAoxODg2MzM3NDUxAwAAAAMxNjACAAAABDQwNTEEAAAAATAHAAAACTcvMzEvMjAxOAgAAAAJMy8zMS8yMDE3CQAAAAEwnAvVOAgJ1ggkwppvNAnWCDZDSVEuTkFTREFRQ006TVRFTS5JUV9FQklUREEuMTk5Mi43LzMxLzIwMTguTEZSLkYuVVNELkgBAAAAmZupAQMAAAAAAMgwsjcICdYIGemhbzQJ1ggnQ0lRLk5BU0RBUUdNOkNSVlMuSVFfQkVUQV8yWVIuNy8zMS8yMDE4AQAAAPSwphACAAAAEDEuMTU5NjcxNDQ4OTE1MjUA1owROAgJ1ggZ6aFvNAnWCCVDSVEuTkFTREFRR1M6RVBaTS5JUV9GSVJTVFBSSUNJTkdEQVRFAQAAAAMmPQMFAAAACTUvMzEvMjAxMwDWjBE4CAnWCCTCmm80CdYIIUNJUS5JUVRSNTYxNjA2MzY1</t>
  </si>
  <si>
    <t>LklRX1RSX0JVWUVSTkFNRQEAAADdbnkhAwAAABVKYW5zc2VuIEJpb3RlY2gsIEluYy4AsrNJbzQJ1gg1m5NvNAnWCDhDSVEuTkFTREFRR1M6TksuSVFfRUFSTklOR19DTy4yMDAwLjcvMzEvMjAxOC5MRlIuRi5VU0QuSAEAAAANfaEPAgAAAActOTkuNDI3AQgAAAAFAAAAATEBAAAACjE4ODcxMTg3OTEDAAAAAzE2MAIAAAABNwQAAAABMAcAAAAJNy8zMS8yMDE4CAAAAAkzLzMxLzIwMTgJAAAAATDWjBE4CAnWCBnpoW80CdYIPkNJUS5OQVNEQVFDTTpaSU9QLklRX0NBU0hfU1RfSU5WRVNULjIwMDAuNy8zMS8yMDE4LkxGUi5GLlVTRC5IAQAAALNRsgACAAAABjUxLjEwOAEIAAAABQAAAAExAQAAAAoxODg3OTcyMzU5AwAAAAMxNjACAAAABDEwMDIEAAAAATAHAAAACTcvMzEvMjAxOAgAAAAJMy8zMS8yMDE4CQAAAAEw1owROAgJ1gjDhp9vNAnWCDxDSVEuTkFTREFRQ006WklPUC5JUV9FQklUREFfRVNULkNZMjAxOC43LzMxLzIwMTguQ09OLkYuVVNELkgBAAAAs1GyAAIAAAADLTYyAQ4AAAAFAAAAAjExAQAAAAEwAgAAAAoxMDAwNzY4ODI0AwAAAAYxMDAxODcEAAAAATIGAAAAATAHAAAAAzE2MAgAAAABMAkAAAABMQoAAAABMAsAAAALMTA5MzE1MzM5MzIMAAAAATcNAAAACDgvMS8yMDE4EAAAAAk3LzMxLzIwMTjWjBE4CAnWCMOGn280CdYIPUNJUS5OQVNEQVFHUzpHVEhYLklRX1JFVkVOVUVfRVNULkNZ</t>
  </si>
  <si>
    <t>MjAyMS43LzMxLzIwMTguQ09OLkYuVVNELkgBAAAAZTRpCAIAAAAIMzMuNzg2MjUBDgAAAAUAAAACMTEBAAAAATACAAAACjEwMDM3NTI4MzADAAAABjEwMDE4MAQAAAABMgYAAAABMAcAAAADMTYwCAAAAAEwCQAAAAExCgAAAAEwCwAAAAsxMDkxMTA5NzU0NwwAAAABNw0AAAAIOC8xLzIwMTgQAAAACTcvMzEvMjAxOJwL1TgICdYIJMKabzQJ1ggjQ0lRLklRVFI1NjM5MTkwNDkuSVFfVFJfVE9UQUxfU1RPQ0sBAAAAybicIQIAAAAAAAxtEA41CdYIwNuCDjUJ1gguQ0lRLklRVFI1NTAyNTkzOTcuSVFfVFJfVEFSR0VUX1NUT0NLUFJFTUlVTV8xVwEAAADFSswgAgAAAAc3OC40NjE1AQYAAAAFAAAAAjU0AQAAAAYxMDEwNTQCAAAACTU1MDI1OTM5NwMAAAAJNTUwMjY0NTY0BAAAAAMxNjAGAAAABUZhbHNlDG0QDjUJ1gh3eYAONQnWCDpDSVEuTkFTREFRQ006U1JORS5JUV9FQVJOSU5HX0NPLjE5OTYuNy8zMS8yMDE4LkxGUi5GLlVTRC5IAQAAAElDlAMCAAAABy03MC40NTMBCAAAAAUAAAABMQEAAAAKMTg4Nzk4OTgyOAMAAAADMTYwAgAAAAE3BAAAAAEwBwAAAAk3LzMxLzIwMTgIAAAACTMvMzEvMjAxNwkAAAABMNaMETgICdYIcySdbzQJ1gggQ0lRLklRVFI1NTExNjYyOTIuSVFfVFJfRUFSTk9VVFMBAAAAVCHaIAIAAAAAAAxtEA41CdYIwNuCDjUJ1gg2Q0lRLi5JUV9FQklUREFfM1lSX0FOTl9DQUdSLjIw</t>
  </si>
  <si>
    <t>MDAuNy8zMS8yMDE4LkxGUi5GLlVTRC5IBQAAAAEAAAAIAAAAFChJbnZhbGlkIElkZW50aWZpZXIp9YQyRzQJ1gj1hDJHNAnWCDxDSVEuTkFTREFRR1M6QkdORS5JUV9FQVJOSU5HX0NPLkNZMjAxNy43LzE2LzIwMTguTEZSLkYuVVNELkgBAAAA4OTdBgIAAAAHLTkzLjI5OQEIAAAABQAAAAExAQAAAAoxODc2MzU3NDQ5AwAAAAMxNjACAAAAATcEAAAAATAHAAAACTcvMTYvMjAxOAgAAAAKMTIvMzEvMjAxNwkAAAABMMT/GxE1CdYIaGBnEjUJ1gg7Q0lRLk5BU0RBUUNNOlNSTkUuSVFfVE9UQUxfUkVWLkNZMjAxNi43LzMxLzIwMTguTEZSLkYuVVNELkgBAAAASUOUAwIAAAAFOC4xNTIBCAAAAAUAAAABMQEAAAAKMTg3ODY3NzQ1MwMAAAADMTYwAgAAAAIyOAQAAAABMAcAAAAJNy8zMS8yMDE4CAAAAAoxMi8zMS8yMDE2CQAAAAEw1owROAgJ1ghzJJ1vNAnWCDxDSVEuTkFTREFRR1M6UEJZSS5JUV9FQVJOSU5HX0NPLkNZMjAxNy43LzE2LzIwMTguTEZSLkYuVVNELkgBAAAAAmqsBwIAAAAILTI5MS45NTUBCAAAAAUAAAABMQEAAAAKMTg3ODA2MzM0NAMAAAADMTYwAgAAAAE3BAAAAAEwBwAAAAk3LzE2LzIwMTgIAAAACjEyLzMxLzIwMTcJAAAAATDE/xsRNQnWCBL+ZBI1CdYINUNJUS5OQVNEQVFDTTpNVEVNLklRX0RBX0NGLjIwMDAuNy8zMS8yMDE4LkxGUi5GLlVTRC5IAQAAAJmbqQECAAAABTAuMjE3AQgA</t>
  </si>
  <si>
    <t>AAAFAAAAATEBAAAACjE4ODg3MzMwMDQDAAAAAzE2MAIAAAAEMjE2MAQAAAABMAcAAAAJNy8zMS8yMDE4CAAAAAkzLzMxLzIwMTgJAAAAATDIMLI3CAnWCN1LpG80CdYIK0NJUS5JUVRSMzAyODY2NjI3LklRX1RSX0lNUExJRURfRVZfRUJJVF9GV0QBAAAAw2ANEgIAAAAAAFjPEg41CdYIDD6FDjUJ1gg8Q0lRLk5BU0RBUUdNOklNTVUuSVFfRUJJVERBX0VTVC5DWTIwMTkuNy8zMS8yMDE4LkNPTi5GLlVTRC5IAQAAACBDBAADAAAAAACcC9U4CAnWCNRfmG80CdYIPkNJUS5OQVNEQVFHTTpJTU1VLklRX1RPVEFMX0VRVUlUWS5DWTIwMTYuNy8zMS8yMDE4LkxGUi5GLlVTRC5IAQAAACBDBAACAAAACi03NS4xODIyMzYBCAAAAAUAAAABMQEAAAAKMTg3MzQ5MzQ5MQMAAAADMTYwAgAAAAQxMjc1BAAAAAEwBwAAAAk3LzMxLzIwMTgIAAAACjEyLzMxLzIwMTYJAAAAATCcC9U4CAnWCNRfmG80CdYILUNJUS5OQVNEQVFHTTpBUlJZLklRX0RJVklERU5EX1lJRUxELjcvMzEvMjAxOAEAAAD4YQAAAwAAAAAAnAvVOAgJ1ggkwppvNAnWCDhDSVEuTkFTREFRR006QUZNRC5JUV9UT1RBTF9FUVVJVFkuLjcvMTYvMjAxOC5MRlIuRi5VU0QuSAEAAADb9wwAAgAAAAk2Ni44NDk4MjEBCAAAAAUAAAABMQEAAAAKMTg4OTg2NjA0OQMAAAADMTYwAgAAAAQxMjc1BAAAAAEwBwAAAAk3LzE2LzIwMTgIAAAACTMvMzEvMjAxOAkA</t>
  </si>
  <si>
    <t>AAABMCkclBA1CdYIMNddEjUJ1gg+Q0lRLk5BU0RBUUdTOkVQWk0uSVFfQ0FTSF9TVF9JTlZFU1QuMjAwMC43LzMxLzIwMTguTEZSLkYuVVNELkgBAAAAAyY9AwIAAAAHMjQ3LjkyMwEIAAAABQAAAAExAQAAAAoxODg3MjQ2MDc3AwAAAAMxNjACAAAABDEwMDIEAAAAATAHAAAACTcvMzEvMjAxOAgAAAAJMy8zMS8yMDE4CQAAAAEw1owROAgJ1ggkwppvNAnWCD5DSVEuTkFTREFRR1M6TVJTTi5JUV9UT1RBTF9FUVVJVFkuQ1kyMDE3LjcvMzEvMjAxOC5MRlIuRi5VU0QuSAEAAADmxRgAAgAAAAY2OS45OTQBCAAAAAUAAAABMQEAAAAKMTg4MDU0NzM5NQMAAAADMTYwAgAAAAQxMjc1BAAAAAEwBwAAAAk3LzMxLzIwMTgIAAAACjEyLzMxLzIwMTcJAAAAATDWjBE4CAnWCMOGn280CdYIO0NJUS5OQVNEQVFDTTpDS1BULklRX05FVF9XT1JLSU5HX0NBUC4uNy8xNi8yMDE4LkxGUi5GLlVTRC5IAQAAALhRFhECAAAABi01Ljk2NAEIAAAABQAAAAExAQAAAAoxODg4MDA3MjIzAwAAAAMxNjACAAAABDEzMTEEAAAAATAHAAAACTcvMTYvMjAxOAgAAAAJMy8zMS8yMDE4CQAAAAEwKRyUEDUJ1gjkdFsSNQnWCChDSVEuSVEyNjY4NjQyLklRX0xBU1RTQUxFUFJJQ0UuNy8xNi8yMDE4AQAAAGK4KAACAAAABDQuNzYADG0QDjUJ1ggMPoUONQnWCC1DSVEuTkFTREFRQ006QVZFTy5JUV9ESVZJREVORF9ZSUVMRC43LzE2LzIw</t>
  </si>
  <si>
    <t>MTgBAAAA9BYdAAMAAAAAAEadGRE1CdYIwptiEjUJ1gg1Q0lRLk5BU0RBUUdTOkNUTVguSVFfVE9UQUxfUkVWLi43LzE2LzIwMTguTEZSLkYuVVNELkgBAAAA3DibAwIAAAAGNzQuMTU0AQgAAAAFAAAAATEBAAAACjE4ODc2NzUzMTYDAAAAAzE2MAIAAAACMjgEAAAAATAHAAAACTcvMTYvMjAxOAgAAAAJMy8zMS8yMDE4CQAAAAEwxP8bETUJ1gjCm2ISNQnWCEZDSVEuTkFTREFRR1M6S1VSQS5JUV9UT1RBTF9SRVZfNVlSX0FOTl9DQUdSLjIwMDAuNy8zMS8yMDE4LkxGUi5GLlVTRC5IAQAAALjL2hADAAAAAADWjBE4CAnWCHMknW80CdYIJENJUS5OQVNEQVFHTTpJTU1VLklRX0VGRkVDVF9UQVhfUkFURQEAAAAgQwQAAwAAAAJOTQEIAAAABQAAAAExAQAAAAoxODg4NTIzMzg0AwAAAAMxNjACAAAABDQzNzYEAAAAATAHAAAACTgvMjMvMjAxOAgAAAAJMy8zMS8yMDE4CQAAAAEwnAvVOAgJ1ggPZYwONQnWCDxDSVEuTkFTREFRR006Q1JJUy5JUV9FQklUREFfRVNULkNZMjAyMC43LzMxLzIwMTguQ09OLkYuVVNELkgBAAAAF2oAAAMAAAAAAMgwsjcICdYI3UukbzQJ1ggsQ0lRLklRVFI1NDI4MDY2ODYuSVFfVFJfVE9UQUxfR1JPU1NfVFYuVVNELkgFAAAAAAAAAAgAAAAaKEludmFsaWQgQ3VycmVuY3kgUmVxdWVzdClJU0dvNAnWCIH9lW80CdYIPENJUS5OQVNEQVFHUzpFUFpNLklRX0VBUk5JTkdfQ08uQ1ky</t>
  </si>
  <si>
    <t>MDE2LjcvMzEvMjAxOC5MRlIuRi5VU0QuSAEAAAADJj0DAgAAAAgtMTEwLjIxMgEIAAAABQAAAAExAQAAAAoxODc4MDgxMDYxAwAAAAMxNjACAAAAATcEAAAAATAHAAAACTcvMzEvMjAxOAgAAAAKMTIvMzEvMjAxNgkAAAABMNaMETgICdYIcySdbzQJ1ggvQ0lRLi5JUV9UT1RBTF9FUVVJVFkuMjAwMC43LzMxLzIwMTguTEZSLkYuVVNELkgFAAAAAQAAAAgAAAAUKEludmFsaWQgSWRlbnRpZmllcin1hDJHNAnWCPWEMkc0CdYIPENJUS5OQVNEQVFHUzpCR05FLklRX0VBUk5JTkdfQ08uQ1kyMDE3LjcvMzEvMjAxOC5MRlIuRi5VU0QuSAEAAADg5N0GAgAAAActOTUuODY3AQgAAAAFAAAAATEBAAAACjE4OTk4ODExOTQDAAAAAzE2MAIAAAABNwQAAAABMAcAAAAJNy8zMS8yMDE4CAAAAAoxMi8zMS8yMDE3CQAAAAEwnAvVOAgJ1giB/ZVvNAnWCC5DSVEuTkFTREFRR1M6Q0FMQS5JUV9NQVJLRVRDQVAuNy8zMS8yMDE4LlVTRC5IAQAAAKUngQYCAAAACjE1OS41MDg4NTMBBgAAAAUAAAABMQEAAAAKMTg4Nzk3OTcwNwMAAAADMTYwAgAAAAYxMDAwNTQEAAAAATAHAAAACTcvMzEvMjAxOMgwsjcICdYI3UukbzQJ1gg2Q0lRLk5BU0RBUUdNOklNTVUuSVFfVE9UQUxfREVCVC4uNy8xNi8yMDE4LkxGUi5GLlVTRC5IAQAAACBDBAACAAAACjIwMS45NDIzMTcBCAAAAAUAAAABMQEAAAAKMTg4ODUyMzM4NAMAAAADMTYw</t>
  </si>
  <si>
    <t>AgAAAAQ0MTczBAAAAAEwBwAAAAk3LzE2LzIwMTgIAAAACTMvMzEvMjAxOAkAAAABMMT/GxE1CdYIaGBnEjUJ1ggiQ0lRLklRVFIyNjM3MTg2NDcuSVFfVFJfUENUX1NPVUdIVAEAAAD3BrgPAgAAAAMxMDAAsrNJbzQJ1gg1m5NvNAnWCCFDSVEuTkFTREFRR1M6QkdORS5JUV9DT01QQU5ZX05BTUUBAAAA4OTdBgMAAAANQmVpR2VuZSwgTHRkLgCcC9U4CAnWCKgCig41CdYIQ0NJUS5OQVNEQVFHUzpNUlNOLklRX01JTk9SSVRZX0lOVEVSRVNUX1RPVEFMLi45LzE1LzIwMTcuTEZSLkYuVVNELkgBAAAA5sUYAAMAAAAAACkclBA1CdYIczlgEjUJ1gg6Q0lRLk5BU0RBUUdTOkZQUlguSVFfRUFSTklOR19DTy4xOTkyLjcvMzEvMjAxOC5MRlIuRi5VU0QuSAEAAAA3XTMAAgAAAAcyNDcuNjQzAQgAAAAFAAAAATEBAAAACjE4NDA1NjU3OTQDAAAAAzE2MAIAAAABNwQAAAABMAcAAAAJNy8zMS8yMDE4CAAAAAkzLzMxLzIwMTYJAAAAATDIMLI3CAnWCBnpoW80CdYIIUNJUS5OQVNEQVFHTTpDUlZTLklRX0NPTVBBTllfTkFNRQEAAAD0sKYQAwAAABxDb3J2dXMgUGhhcm1hY2V1dGljYWxzLCBJbmMuANaMETgICdYIGemhbzQJ1ghDQ0lRLk5BU0RBUUdTOkJHTkUuSVFfTUlOT1JJVFlfSU5URVJFU1RfVE9UQUwuLjcvMTYvMjAxOC5MRlIuRi5VU0QuSAEAAADg5N0GAgAAAAYxNC4zNDEBCAAAAAUAAAABMQEAAAAKMTg4</t>
  </si>
  <si>
    <t>NzY4ODU4OAMAAAADMTYwAgAAAAQxMzEyBAAAAAEwBwAAAAk3LzE2LzIwMTgIAAAACTMvMzEvMjAxOAkAAAABMMT/GxE1CdYIaGBnEjUJ1gg5Q0lRLk5BU0RBUUdTOkJHTkUuSVFfVE9UQUxfREVCVC4yMDAwLjUvNS8yMDE3LkxGUi5GLlVTRC5IAQAAAODk3QYCAAAABjE3LjI4NAEIAAAABQAAAAExAQAAAAoxODMyOTUwNTIzAwAAAAMxNjACAAAABDQxNzMEAAAAATAHAAAACDUvNS8yMDE3CAAAAAoxMi8zMS8yMDE2CQAAAAEwnAvVOAgJ1giB/ZVvNAnWCDpDSVEuTkFTREFRR006QUZNRC5JUV9DQVNIX1NUX0lOVkVTVC4uOS8xNS8yMDE3LkxGUi5GLlVTRC5IAQAAANv3DAACAAAACTU1Ljc1MjQyNAEIAAAABQAAAAExAQAAAAoxODUxMTcwNDYyAwAAAAMxNjACAAAABDEwMDIEAAAAATAHAAAACTkvMTUvMjAxNwgAAAAJNi8zMC8yMDE3CQAAAAEwKRyUEDUJ1ggw110SNQnWCDhDSVEuT1RDUEs6TldCTy5JUV9UT1RBTF9SRVYuQ1kyMDE3LjcvMTYvMjAxOC5MRlIuRi5VU0QuSAEAAACjehQAAgAAAAUwLjMzNgEIAAAABQAAAAExAQAAAAoxODgzMjQ5MDg2AwAAAAMxNjACAAAAAjI4BAAAAAEwBwAAAAk3LzE2LzIwMTgIAAAACjEyLzMxLzIwMTcJAAAAATApHJQQNQnWCHM5YBI1CdYIMENJUS5OQVNEQVFHUzpBVE5YLklRX0xBU1RTQUxFUFJJQ0UuNy8zMS8yMDE4LlVTRAEAAADcmWsBAgAAAAUxOS4yNwDWjBE4</t>
  </si>
  <si>
    <t>CAnWCCTCmm80CdYILUNJUS5OQVNEQVFHTTpDUlZTLklRX01BUktFVENBUC41LzUvMjAxNy5VU0QuSAEAAAD0sKYQAgAAAAoyMDkuMTM1Nzk1AQYAAAAFAAAAATEBAAAACjE4NDAxMTU5MDQDAAAAAzE2MAIAAAAGMTAwMDU0BAAAAAEwBwAAAAg1LzUvMjAxN9aMETgICdYIGemhbzQJ1gglQ0lRLklRVFI1NTM1NDgwMjUuSVFfUFJJTUFSWV9JTkRVU1RSWQEAAAA9LS4AAwAAAA1CaW90ZWNobm9sb2d5AElTR280CdYIgf2VbzQJ1ggsQ0lRLk5BU0RBUUdTOkZQUlguSVFfTEFTVFNBTEVQUklDRS45LzE1LzIwMTcBAAAAN10zAAIAAAAFMzUuODEAKRyUEDUJ1ghzOWASNQnWCDhDSVEuTkFTREFRR006QVJRTC5JUV9FQklUREEuQ1kyMDE2LjcvMzEvMjAxOC5MRlIuRi5VU0QuSAEAAAD2YQAAAgAAAActMjIuNzk1AQgAAAAFAAAAATEBAAAACjE4Nzg1MDg2OTUDAAAAAzE2MAIAAAAENDA1MQQAAAABMAcAAAAJNy8zMS8yMDE4CAAAAAoxMi8zMS8yMDE2CQAAAAEw1owROAgJ1ghzJJ1vNAnWCEZDSVEuTkFTREFRR006QVJSWS5JUV9UT1RBTF9SRVZfMllSX0FOTl9DQUdSLjIwMDAuNy8zMS8yMDE4LkxGUi5GLlVTRC5IAQAAAPhhAAACAAAABzc2LjA0OTMBCAAAAAUAAAABMQEAAAAKMTg4ODQ3MDY3NgMAAAADMTYwAgAAAAQ0MjA3BAAAAAEwBwAAAAk3LzMxLzIwMTgIAAAACTMvMzEvMjAxOAkAAAABMJwL1TgICdYI</t>
  </si>
  <si>
    <t>JMKabzQJ1ghCQ0lRLk5BU0RBUUdTOkFEWFMuSVFfVE9UQUxfUkVWXzJZUl9BTk5fQ0FHUi4uNy8xNi8yMDE4LkxGUi5GLlVTRC5IAQAAAJ7seAACAAAACDQ4Ny4xMjY0AQgAAAAFAAAAATEBAAAACjE4OTI3ODg1NDgDAAAAAzE2MAIAAAAENDIwNwQAAAABMAcAAAAJNy8xNi8yMDE4CAAAAAk0LzMwLzIwMTgJAAAAATApHJQQNQnWCOR0WxI1CdYIPENJUS4oSU5WQUxJRCBJREVOVElGSUVSKS5JUV9DQVBFWC4xOTk2LjcvMzEvMjAxOC5MRlIuRi5VU0QuSAUAAAAAAAAACAAAABQoSW52YWxpZCBJZGVudGlmaWVyKcgwsjcICdYI7TawbzQJ1gg4Q0lRLk5BU0RBUUdTOkFOQUIuSVFfRUJJVERBLkNZMjAxNi43LzE2LzIwMTguTEZSLkYuVVNELkgBAAAAIUyyAQIAAAAGLTIuNzkyAQgAAAAFAAAAATEBAAAACjE4NzcwNjUxOTYDAAAAAzE2MAIAAAAENDA1MQQAAAABMAcAAAAJNy8xNi8yMDE4CAAAAAoxMi8zMS8yMDE2CQAAAAEwxP8bETUJ1gjCm2ISNQnWCD5DSVEuTkFTREFRR1M6Q1RNWC5JUV9UT1RBTF9FUVVJVFkuQ1kyMDE2LjcvMTYvMjAxOC5MRlIuRi5VU0QuSAEAAADcOJsDAgAAAAY3OC40NzkBCAAAAAUAAAABMQEAAAAKMTg3NzMxNjczNAMAAAADMTYwAgAAAAQxMjc1BAAAAAEwBwAAAAk3LzE2LzIwMTgIAAAACjEyLzMxLzIwMTYJAAAAATDE/xsRNQnWCMKbYhI1CdYIPENJUS5OQVNEQVFHUzpDQUxB</t>
  </si>
  <si>
    <t>LklRX0VCSVREQV9FU1QuQ1kyMDIwLjcvMzEvMjAxOC5DT04uRi5VU0QuSAEAAAClJ4EGAwAAAAAAyDCyNwgJ1gjdS6RvNAnWCD1DSVEuTkFTREFRR1M6QkdORS5JUV9SRVZFTlVFX0VTVC5DWTIwMjEuNy8zMS8yMDE4LkNPTi5GLlVTRC5IAQAAAODk3QYCAAAACTgwMC4yODM2NwEOAAAABQAAAAIxMQEAAAABMAIAAAAKMTAwMzMyNjI4MgMAAAAGMTAwMTgwBAAAAAEyBgAAAAEwBwAAAAMxNjAIAAAAATAJAAAAATEKAAAAATALAAAACzEwOTUxMjQwNTQxDAAAAAE3DQAAAAg4LzEvMjAxOBAAAAAJNy8zMS8yMDE4nAvVOAgJ1giB/ZVvNAnWCDlDSVEuTkFTREFRR1M6R1RIWC5JUV9UT1RBTF9SRVYuMTk5Ni43LzMxLzIwMTguTEZSLkYuVVNELkgBAAAAZTRpCAMAAAAAAJwL1TgICdYIJMKabzQJ1ggyQ0lRLk5BU0RBUUdTOkZQUlguSVFfRUJJVERBLi43LzE2LzIwMTguTEZSLkYuVVNELkgBAAAAN10zAAIAAAAILTEzNS42ODYBCAAAAAUAAAABMQEAAAAKMTg4NzQwMjIyNwMAAAADMTYwAgAAAAQ0MDUxBAAAAAEwBwAAAAk3LzE2LzIwMTgIAAAACTMvMzEvMjAxOAkAAAABMCkclBA1CdYIczlgEjUJ1gglQ0lRLk9UQ1BLOk5XQk8uSVFfVEVWLjcvMTYvMjAxOC5VU0QuSAEAAACjehQAAgAAAAoxNDcuMjM4MDg4AQYAAAAFAAAAATEBAAAACjE4ODkyOTk1NDEDAAAAAzE2MAIAAAAGMTAwMDYwBAAAAAEwBwAAAAk3</t>
  </si>
  <si>
    <t>LzE2LzIwMTgpHJQQNQnWCHM5YBI1CdYINkNJUS5OQVNEQVFHUzpCR05FLklRX0VCSVREQS4xOTk2LjcvMzEvMjAxOC5MRlIuRi5VU0QuSAEAAADg5N0GAgAAAAgtMTQ1LjkzNAEIAAAABQAAAAExAQAAAAoxODg3Njg4NTgzAwAAAAMxNjACAAAABDQwNTEEAAAAATAHAAAACTcvMzEvMjAxOAgAAAAJMy8zMS8yMDE3CQAAAAEwnAvVOAgJ1giB/ZVvNAnWCENDSVEuTkFTREFRQ006QVZFTy5JUV9NSU5PUklUWV9JTlRFUkVTVF9UT1RBTC4uOS8xNS8yMDE3LkxGUi5GLlVTRC5IAQAAAPQWHQADAAAAAADE/xsRNQnWCHM5YBI1CdYILkNJUS5OQVNEQVFHTTpBRk1ELklRX01BUktFVENBUC45LzE1LzIwMTcuVVNELkgBAAAA2/cMAAIAAAAJOTguODYxMzQ4AQYAAAAFAAAAATEBAAAACjE4NTExNjk0NzgDAAAAAzE2MAIAAAAGMTAwMDU0BAAAAAEwBwAAAAk5LzE1LzIwMTcpHJQQNQnWCDDXXRI1CdYIRkNJUS5OQVNEQVFHUzpGUFJYLklRX01JTk9SSVRZX0lOVEVSRVNUX1RPVEFMLjIwMDAuNS81LzIwMTcuTEZSLkYuVVNELkgBAAAAN10zAAMAAAAAAMgwsjcICdYIGemhbzQJ1ggrQ0lRLklRVFI1MzM2Mzk1MDEuSVFfVFJfSU1QTElFRF9FVl9FQklUX0ZXRAEAAABNsc4fAgAAAAAADG0QDjUJ1gjA24IONQnWCDpDSVEuWFRSQTpNT1IuSVFfTkVUX1dPUktJTkdfQ0FQLjE5OTYuNy8zMS8yMDE4LkxGUi5GLlVTRC5I</t>
  </si>
  <si>
    <t>AQAAAN8RAgACAAAACi0xNC43NTAyNDkBCAAAAAUAAAABMQEAAAAKMTg4NjE1MTY0NwMAAAADMTYwAgAAAAQxMzExBAAAAAEwBwAAAAk3LzMxLzIwMTgIAAAACTMvMzEvMjAxNwkAAAABMJwL1TgICdYI1F+YbzQJ1gg7Q0lRLk5BU0RBUUdTOlRTUk8uSVFfVE9UQUxfUkVWLkNZMjAxNy43LzMxLzIwMTguTEZSLkYuVVNELkgBAAAAaNZYBgIAAAAHMjIzLjMyNgEIAAAABQAAAAExAQAAAAoxODc3MjI2MzAxAwAAAAMxNjACAAAAAjI4BAAAAAEwBwAAAAk3LzMxLzIwMTgIAAAACjEyLzMxLzIwMTcJAAAAATCcC9U4CAnWCCTCmm80CdYIMENJUS5YVFJBOk1PUi5JUV9DQVBFWC4xOTk2LjcvMzEvMjAxOC5MRlIuRi5VU0QuSAEAAADfEQIAAgAAAAktMi44MTc2NzIBCAAAAAUAAAABMQEAAAAKMTg4NjE1MTY0NwMAAAADMTYwAgAAAAQyMDIxBAAAAAEwBwAAAAk3LzMxLzIwMTgIAAAACTMvMzEvMjAxNwkAAAABMJwL1TgICdYI1F+YbzQJ1gg7Q0lRLkVOWFRQQTpJUEguSVFfVE9UQUxfRVFVSVRZLkNZMjAxNy43LzE2LzIwMTguTEZSLkYuVVNELkgBAAAAmYAGAAIAAAAKMTAzLjIxMzI1NgEIAAAABQAAAAExAQAAAAoxODg5NTUyMTY0AwAAAAMxNjACAAAABDEyNzUEAAAAATAHAAAACTcvMTYvMjAxOAgAAAAKMTIvMzEvMjAxNwkAAAABMCkclBA1CdYIczlgEjUJ1gg3Q0lRLk5BU0RBUUdTOk1HTlguSVFfUFJFRl9F</t>
  </si>
  <si>
    <t>UVVJVFkuLjcvMTYvMjAxOC5MRlIuRi5VU0QuSAEAAABPKwkAAwAAAAAAxP8bETUJ1gjCm2ISNQnWCDJDSVEuTkFTREFRQ006Q0tQVC5JUV9FQklUREEuLjcvMTYvMjAxOC5MRlIuRi5VU0QuSAEAAAC4URYRAwAAAAAAKRyUEDUJ1ggw110SNQnWCDVDSVEuTkFTREFRR006Q1JJUy5JUV9DQVBFWC4xOTk2LjcvMzEvMjAxOC5MRlIuRi5VU0QuSAEAAAAXagAAAgAAAAYtMC4zNzMBCAAAAAUAAAABMQEAAAAKMTg4NjI0NzM5NQMAAAADMTYwAgAAAAQyMDIxBAAAAAEwBwAAAAk3LzMxLzIwMTgIAAAACTMvMzEvMjAxNwkAAAABMMgwsjcICdYI3UukbzQJ1gghQ0lRLk5BU0RBUUdNOkxQVFguSVFfQ09NUEFOWV9OQU1FAQAAAAw2CQcDAAAAF0xlYXAgVGhlcmFwZXV0aWNzLCBJbmMuACkclBA1CdYIMNddEjUJ1ggsQ0lRLklRVFIyNjM3MTg2NDcuSVFfVFJfVEFSR0VUX0VCSVREQS4uVVNELkgBAAAA9wa4DwIAAAAAALKzSW80CdYIgf2VbzQJ1ggpQ0lRLk5BU0RBUUdTOkNUTVguSVFfQlVTSU5FU1NfREVTQ1JJUFRJT04BAAAA3DibAwMAAAChCEN5dG9tWCBUaGVyYXBldXRpY3MsIEluYy4gb3BlcmF0ZXMgYXMgYW4gb25jb2xvZ3ktZm9jdXNlZCBiaW9waGFybWFjZXV0aWNhbCBjb21wYW55IGluIHRoZSBVbml0ZWQgU3RhdGVzLiBUaGUgY29tcGFueSBkZXZlbG9wcyBhIG5vdmVsIGNsYXNzIG9mIGludmVzdGln</t>
  </si>
  <si>
    <t>YXRpb25hbCBhbnRpYm9keSB0aGVyYXBldXRpY3MgYmFzZWQgb24gaXRzIFByb2JvZHkgdGVjaG5vbG9neSBwbGF0Zm9ybSBmb3IgdGhlIHRyZWF0bWVudCBvZiBjYW5jZXIuIEl0cyBwcm9kdWN0IGNhbmRpZGF0ZXMgaW4gY2xpbmljYWwgc3RhZ2UgaW5jbHVkZSBDWC0wNzIsIGEgUHJvYm9keSB0aGVyYXBldXRpYyB0YXJnZXRpbmcgcHJvZ3JhbW1lZCBjZWxsIGRlYXRoIGxpZ2FuZCAxIGFudGktY2FuY2VyIHRhcmdldDsgQ1gtMjAwOSwgYSBQcm9ib2R5IGRydWcgY29uanVnYXRlIChQREMpIGFnYWluc3QgQ0QxNjYgbm92ZWwgdHVtb3IgYW50aWdlbjsgQk1TLTk4NjI0OSwgYSBDVExBLTQgUHJvYm9keSB0aGVyYXBldXRpYyBkcnVnOyBDWC0yMDI5LCBhIFBEQyB0YXJnZXRpbmcgQ0Q3MTsgYW5kIENYLTE4OCwgYSBQcm9ib2R5IHRoZXJhcGV1dGljIHRhcmdldGluZyBQRC0xIGFudGktY2FuY2VyIHRhcmdldC4gVGhlIGNvbXBhbnkgaGFzIHN0cmF0ZWdpYyBjb2xsYWJvcmF0aW9ucyB3aXRoIEFiYlZpZSBJcmVsYW5kIFVubGltaXRlZCBDb21wYW55LCBCcmlzdG9sLU15ZXJzIFNxdWliYiBDb21wYW55LCBJbW11bm9HZW4sIEluYy4sIE1EIEFuZGVyc29uLCBhbmQgUGZpemVyIEluYy4gdG8gZGV2ZWxvcCBQcm9ib2R5IHRoZXJhcGV1dGljcy4gSXQgYWxzbyBoYXMgYSBzdHJhdGVnaWMgY29sbGFi</t>
  </si>
  <si>
    <t>b3JhdGlvbiB3aXRoIEFtZ2VuLCBJbmMuIHRvIGRldmVsb3AgVCBjZWxsLWJpc3BlY2lmaWMgcHJvYm9keSB0aGVyYXBldXRpYyB0YXJnZXRpbmcgZXBpZGVybWFsIGdyb3d0aCBmYWN0b3IgcmVjZXB0b3ItQ0QzLiBDeXRvbVggVGhlcmFwZXV0aWNzLCBJbmMuIHdhcyBmb3VuZGVkIGluIDIwMDggYW5kIGlzIGhlYWRxdWFydGVyZWQgaW4gU291dGggU2FuIEZyYW5jaXNjbywgQ2FsaWZvcm5pYS4ARp0ZETUJ1gjCm2ISNQnWCD5DSVEuTkFTREFRR1M6VFNSTy5JUV9UT1RBTF9FUVVJVFkuQ1kyMDE2LjcvMTYvMjAxOC5MRlIuRi5VU0QuSAEAAABo1lgGAgAAAAc2MjguMTE4AQgAAAAFAAAAATEBAAAACjE4NzcyMjYyODQDAAAAAzE2MAIAAAAEMTI3NQQAAAABMAcAAAAJNy8xNi8yMDE4CAAAAAoxMi8zMS8yMDE2CQAAAAEwxP8bETUJ1ggS/mQSNQnWCD9DSVEuTkFTREFRR1M6QkdORS5JUV9FQklUREFfMllSX0FOTl9DQUdSLi43LzE2LzIwMTguTEZSLkYuVVNELkgBAAAA4OTdBgMAAAACTk0BCAAAAAUAAAABMQEAAAAKMTg4NzY4ODU4OAMAAAADMTYwAgAAAAQ0MjA5BAAAAAEwBwAAAAk3LzE2LzIwMTgIAAAACTMvMzEvMjAxOAkAAAABMMT/GxE1CdYIaGBnEjUJ1gg2Q0lRLk5BU0RBUUdTOk1SU04uSVFfRUJJVERBLjIwMDAuNy8zMS8yMDE4LkxGUi5GLlVTRC5IAQAAAObFGAACAAAABy00My4yOTEBCAAA</t>
  </si>
  <si>
    <t>AAUAAAABMQEAAAAKMTg4OTA5NjY1MwMAAAADMTYwAgAAAAQ0MDUxBAAAAAEwBwAAAAk3LzMxLzIwMTgIAAAACTMvMzEvMjAxOAkAAAABMNaMETgICdYIw4afbzQJ1ghCQ0lRLihJTlZBTElEIElERU5USUZJRVIpLklRX0VCSVRfTUFSR0lOLjIwMDAuNy8zMS8yMDE4LkxGUi5GLlVTRC5IBQAAAAAAAAAIAAAAFChJbnZhbGlkIElkZW50aWZpZXIpyDCyNwgJ1gjtNrBvNAnWCEJDSVEuTkFTREFRR006QUZNRC5JUV9UT1RBTF9SRVZfNVlSX0FOTl9DQUdSLi43LzE2LzIwMTguTEZSLkYuVVNELkgBAAAA2/cMAAMAAAAAACkclBA1CdYIMNddEjUJ1gg8Q0lRLk5BU0RBUUdTOkVQWk0uSVFfRUJJVERBX0VTVC5DWTIwMTguNy8zMS8yMDE4LkNPTi5GLlVTRC5IAQAAAAMmPQMDAAAAAADWjBE4CAnWCHMknW80CdYIGENJUS4uSVFfUFJJTUFSWV9JTkRVU1RSWQUAAAAAAAAACAAAABQoSW52YWxpZCBJZGVudGlmaWVyKZwL1TgICdYId3mADjUJ1ggwQ0lRLklRVFI1NjM5MTkwNDkuSVFfVFJfVEFSR0VUX0VCSVREQV9FU1QuLlVTRC5IAQAAAMm4nCECAAAAAAAMbRAONQnWCMDbgg41CdYIOUNJUS5OQVNEQVFHUzpCR05FLklRX1RPVEFMX1JFVi4xOTk2LjcvMzEvMjAxOC5MRlIuRi5VU0QuSAEAAADg5N0GAgAAAAUwLjM5MwEIAAAABQAAAAExAQAAAAoxODg3Njg4NTgzAwAAAAMxNjACAAAAAjI4BAAAAAEwBwAAAAk3</t>
  </si>
  <si>
    <t>LzMxLzIwMTgIAAAACTMvMzEvMjAxNwkAAAABMJwL1TgICdYIgf2VbzQJ1ggtQ0lRLkFTWDpJTVUuSVFfUEVSSU9EREFURV9JUy4uNy8xNi8yMDE4LkxGUi5GAQAAAJiTqQAFAAAACjEyLzMxLzIwMTcAKRyUEDUJ1ggw110SNQnWCDhDSVEuTkFTREFRR1M6TVJTTi5JUV9FQklUREEuQ1kyMDE3LjcvMTYvMjAxOC5MRlIuRi5VU0QuSAEAAADmxRgAAgAAAActMzguNjg5AQgAAAAFAAAAATEBAAAACjE4ODA1NDczOTUDAAAAAzE2MAIAAAAENDA1MQQAAAABMAcAAAAJNy8xNi8yMDE4CAAAAAoxMi8zMS8yMDE3CQAAAAEwxP8bETUJ1ghzOWASNQnWCCFDSVEuSVFUUjMwMjg2NjYyNy5JUV9UUl9CVVlFUk5BTUUBAAAAw2ANEgMAAAAXSnVubyBUaGVyYXBldXRpY3MsIEluYy4AWM8SDjUJ1ggMPoUONQnWCDpDSVEuWFRSQTpNT1IuSVFfTkVUX1dPUktJTkdfQ0FQLjIwMDAuNy8zMS8yMDE4LkxGUi5GLlVTRC5IAQAAAN8RAgACAAAACi0xMi43ODE0NDUBCAAAAAUAAAABMQEAAAAKMTg4NjE1MTY0OAMAAAADMTYwAgAAAAQxMzExBAAAAAEwBwAAAAk3LzMxLzIwMTgIAAAACTMvMzEvMjAxOAkAAAABMJwL1TgICdYI1F+YbzQJ1ggjQ0lRLk5BU0RBUUdNOkFGTUQuSVFfUEVSSU9EREFURV9JUy4BAAAA2/cMAAUAAAAJNi8zMC8yMDE4ACkclBA1CdYIMNddEjUJ1gg4Q0lRLk5BU0RBUUdTOlRTUk8uSVFfR1JPU1NfTUFS</t>
  </si>
  <si>
    <t>R0lOLi43LzE2LzIwMTguTEZSLkYuVVNELkgBAAAAaNZYBgIAAAAHODEuMjI1NQEIAAAABQAAAAExAQAAAAoxODg2MzM3NDY2AwAAAAMxNjACAAAABDQwNzQEAAAAATAHAAAACTcvMTYvMjAxOAgAAAAJMy8zMS8yMDE4CQAAAAEwxP8bETUJ1ggS/mQSNQnWCD9DSVEuTkFTREFRR1M6TVJTTi5JUV9ORVRfV09SS0lOR19DQVAuMTk5Ni43LzMxLzIwMTguTEZSLkYuVVNELkgBAAAA5sUYAAIAAAAHLTMwLjg1MwEIAAAABQAAAAExAQAAAAoxODg5MDk2NTk3AwAAAAMxNjACAAAABDEzMTEEAAAAATAHAAAACTcvMzEvMjAxOAgAAAAJMy8zMS8yMDE3CQAAAAEw1owROAgJ1gjDhp9vNAnWCDhDSVEuTkFTREFRR1M6Sk5DRS5JUV9HUk9TU19NQVJHSU4uLjcvMTYvMjAxOC5MRlIuRi5VU0QuSAEAAADieZ4NAgAAAAc0NC42NTU0AQgAAAAFAAAAATEBAAAACjE4ODgxODYzNzQDAAAAAzE2MAIAAAAENDA3NAQAAAABMAcAAAAJNy8xNi8yMDE4CAAAAAkzLzMxLzIwMTgJAAAAATApHJQQNQnWCJgSWRI1CdYIKENJUS5OQVNEQVFHUzpTR0VOLklRX0NBUEVYLi4uTEZSLkYuVVNELkgBAAAAYYUAAAIAAAAGLTAuNjU2AQgAAAAFAAAAATEBAAAACjE4OTcyMzM1MTgDAAAAAzE2MAIAAAAEMjAyMQQAAAABMAcAAAAJOC8yMy8yMDE4CAAAAAk2LzMwLzIwMTgJAAAAATBGnRkRNQnWCEadGRE1CdYIQkNJUS5OQVNEQVFHUzpNUlNO</t>
  </si>
  <si>
    <t>LklRX1RPVEFMX1JFVl8yWVJfQU5OX0NBR1IuLjcvMTYvMjAxOC5MRlIuRi5VU0QuSAEAAADmxRgAAwAAAAAAKRyUEDUJ1ghzOWASNQnWCD9DSVEuTkFTREFRR006Q1JJUy5JUV9ORVRfV09SS0lOR19DQVAuMTk5Mi43LzMxLzIwMTguTEZSLkYuVVNELkgBAAAAF2oAAAIAAAAJLTMuNzEzNzA1AQgAAAAFAAAAATEBAAAACjE4NDA1MDEwOTkDAAAAAzE2MAIAAAAEMTMxMQQAAAABMAcAAAAJNy8zMS8yMDE4CAAAAAkzLzMxLzIwMTYJAAAAATDIMLI3CAnWCN1LpG80CdYIOkNJUS5OQVNEQVFHUzpFUFpNLklRX0VBUk5JTkdfQ08uMTk5Mi43LzMxLzIwMTguTEZSLkYuVVNELkgBAAAAAyY9AwIAAAAHLTkzLjkyOQEIAAAABQAAAAExAQAAAAoxODQwNjMwMzk0AwAAAAMxNjACAAAAATcEAAAAATAHAAAACTcvMzEvMjAxOAgAAAAJMy8zMS8yMDE2CQAAAAEw1owROAgJ1ghzJJ1vNAnWCDtDSVEuTkFTREFRR006RkFURS5JUV9FQklUX01BUkdJTi4yMDAwLjcvMzEvMjAxOC5MRlIuRi5VU0QuSAEAAABoMVcCAwAAAAJOTQEIAAAABQAAAAExAQAAAAoxODg4NTAwNTI3AwAAAAMxNjACAAAABDQwNTMEAAAAATAHAAAACTcvMzEvMjAxOAgAAAAJMy8zMS8yMDE4CQAAAAEw1owROAgJ1gjDhp9vNAnWCCdDSVEuTkFTREFRR1M6TVJTTi5JUV9CRVRBXzVZUi43LzMxLzIwMTgBAAAA5sUYAAMAAAAAANaMETgICdYIw4afbzQJ</t>
  </si>
  <si>
    <t>1ghGQ0lRLk5BU0RBUUdTOk1SU04uSVFfVE9UQUxfUkVWXzNZUl9BTk5fQ0FHUi4yMDAwLjcvMzEvMjAxOC5MRlIuRi5VU0QuSAEAAADmxRgAAwAAAAAA1owROAgJ1gjDhp9vNAnWCD5DSVEuTkFTREFRR1M6QURYUy5JUV9UT1RBTF9FUVVJVFkuQ1kyMDE3LjcvMTYvMjAxOC5MRlIuRi5VU0QuSAEAAACe7HgAAgAAAAkzOS4yNzA4MDUBCAAAAAUAAAABMQEAAAAKMTg3ODAxMjQ3MwMAAAADMTYwAgAAAAQxMjc1BAAAAAEwBwAAAAk3LzE2LzIwMTgIAAAACTEvMzEvMjAxOAkAAAABMCkclBA1CdYI5HRbEjUJ1ggnQ0lRLk5BU0RBUUNNOk1URU0uSVFfQkVUQV81WVIuNy8zMS8yMDE4AQAAAJmbqQEDAAAAAADIMLI3CAnWCBnpoW80CdYIPENJUS5OQVNEQVFHUzpHVEhYLklRX0VCSVREQV9FU1QuQ1kyMDE4LjcvMzEvMjAxOC5DT04uRi5VU0QuSAEAAABlNGkIAgAAAAktODYuODM4NTUBDgAAAAUAAAACMTEBAAAAATACAAAACjEwMDM3NTE1ODIDAAAABjEwMDE4NwQAAAABMgYAAAABMAcAAAADMTYwCAAAAAEwCQAAAAExCgAAAAEwCwAAAAsxMDkwOTU0MzExNQwAAAABNw0AAAAIOC8xLzIwMTgQAAAACTcvMzEvMjAxOJwL1TgICdYIJMKabzQJ1gg7Q0lRLk5BU0RBUUdTOk1SU04uSVFfVE9UQUxfUkVWLkNZMjAxNy43LzE2LzIwMTguTEZSLkYuVVNELkgBAAAA5sUYAAIAAAAGMTcuNTQ1AQgAAAAFAAAAATEBAAAA</t>
  </si>
  <si>
    <t>CjE4ODA1NDczOTUDAAAAAzE2MAIAAAACMjgEAAAAATAHAAAACTcvMTYvMjAxOAgAAAAKMTIvMzEvMjAxNwkAAAABMMT/GxE1CdYIczlgEjUJ1gg6Q0lRLk9UQ1BLOk5XQk8uSVFfUkVWRU5VRV9FU1QuQ1kyMDIwLjcvMTYvMjAxOC5DT04uRi5VU0QuSAEAAACjehQAAwAAAAAAKRyUEDUJ1ghzOWASNQnWCEZDSVEuTkFTREFRR1M6QVROWC5JUV9UT1RBTF9SRVZfNVlSX0FOTl9DQUdSLjIwMDAuNy8zMS8yMDE4LkxGUi5GLlVTRC5IAQAAANyZawEDAAAAAADWjBE4CAnWCCTCmm80CdYINUNJUS5PVENQSzpOV0JPLklRX0VCSVREQS5DWTIwMTYuNy8xNi8yMDE4LkxGUi5GLlVTRC5IAQAAAKN6FAACAAAABy03OS4wNzcBCAAAAAUAAAABMQEAAAAKMTg4MzI0OTA2NQMAAAADMTYwAgAAAAQ0MDUxBAAAAAEwBwAAAAk3LzE2LzIwMTgIAAAACjEyLzMxLzIwMTYJAAAAATApHJQQNQnWCHM5YBI1CdYIOkNJUS5OQVNEQVFHTTpBUlJZLklRX0VBUk5JTkdfQ08uMTk5Ni43LzMxLzIwMTguTEZSLkYuVVNELkgBAAAA+GEAAAIAAAAHLTExMi4yNAEIAAAABQAAAAExAQAAAAoxODg4NDcwNjU2AwAAAAMxNjACAAAAATcEAAAAATAHAAAACTcvMzEvMjAxOAgAAAAJMy8zMS8yMDE3CQAAAAEwnAvVOAgJ1ggkwppvNAnWCClDSVEuSVFUUjQwOTk1MTg4Ni5JUV9CVVNJTkVTU19ERVNDUklQVElPTgEAAACYs1wNAwAAAL8FVmly</t>
  </si>
  <si>
    <t>dHR1IEJpb2xvZ2ljcyBMaW1pdGVkIGlzIGEgYmlvdGVjaG5vbG9neSBjb21wYW55IHRoYXQgZW5nYWdlcyBpbiB0aGUgZGV2ZWxvcG1lbnQgb2Ygb25jb2x5dGljIHZpcnVzZXMgZm9yIHRyZWF0aW5nIGNhbmNlci4gSXQgZGV2ZWxvcHMgU0VQUkVIVklSLCBhbiBvbmNvbHl0aWMgaW1tdW5vdGhlcmFweSBkZXJpdmVkIGZyb20gYSBtb2RpZmllZCB2ZXJzaW9uIG9mIHRoZSBjb21tb24gaHVtYW4gaGVycGVzIHNpbXBsZXggdmlydXMgdG8gdHJlYXQgcGF0aWVudHMgd2l0aCB2YXJpb3VzIHR5cGVzIG9mIGNhbmNlciwgaW5jbHVkaW5nIGJyYWluLCBtZWxhbm9tYSwgaGVhZCBhbmQgbmVjayBjYW5jZXIsIHNhcmNvbWFzLCBuZXVyb2JsYXN0b21hLCBhbmQgbWVzb3RoZWxpb21hLiBUaGUgY29tcGFueSB3YXMgZm9ybWVybHkga25vd24gYXMgQ3J1c2FkZSBMYWJvcmF0b3JpZXMgTGltaXRlZCBhbmQgY2hhbmdlZCBpdHMgbmFtZSB0byBWaXJ0dHUgQmlvbG9naWNzIExpbWl0ZWQgaW4gQXVndXN0IDIwMTEuIFZpcnR0dSBCaW9sb2dpY3MgTGltaXRlZCB3YXMgaW5jb3Jwb3JhdGVkIGluIDE5OTkgYW5kIGlzIGJhc2VkIGluIExlZWRzLCBVbml0ZWQgS2luZ2RvbS4gQXMgb2YgQXByaWwgMjgsIDIwMTcsIFZpcnR0dSBCaW9sb2dpY3MgTGltaXRlZCBvcGVyYXRlcyBhcyBhIHN1YnNpZGlhcnkgb2YgVE5L</t>
  </si>
  <si>
    <t>IFRoZXJhcGV1dGljcywgSW5jLgAMbRAONQnWCMDbgg41CdYIPUNJUS5OQVNEQVFDTTpNVEVNLklRX1JFVkVOVUVfRVNULkNZMjAyMC43LzMxLzIwMTguQ09OLkYuVVNELkgBAAAAmZupAQMAAAAAAMgwsjcICdYIGemhbzQJ1ggkQ0lRLk5BU0RBUUdTOkNUTVguSVFfRUZGRUNUX1RBWF9SQVRFAQAAANw4mwMDAAAAAk5NAQgAAAAFAAAAATEBAAAACjE4OTkyNzQyMjMDAAAAAzE2MAIAAAAENDM3NgQAAAABMAcAAAAJOC8yMy8yMDE4CAAAAAk2LzMwLzIwMTgJAAAAATDE/xsRNQnWCMKbYhI1CdYIM0NJUS5OQVNEQVFHUzpTR0VOLklRX0VBUk5JTkdfQ08uQ1kyMDE3Li5MRlIuRi5VU0QuSAEAAABhhQAAAgAAAActMTI1LjUzAQgAAAAFAAAAATEBAAAACjE4NzQ2OTYyMjADAAAAAzE2MAIAAAABNwQAAAABMAcAAAAJOC8yMy8yMDE4CAAAAAoxMi8zMS8yMDE3CQAAAAEwRp0ZETUJ1ghGnRkRNQnWCDRDSVEuKElOVkFMSUQgSURFTlRJRklFUikuSVFfRElWSURFTkRfWUlFTEQuNy8xNi8yMDE4BQAAAAAAAAAIAAAAFChJbnZhbGlkIElkZW50aWZpZXIp3qd+EDUJ1giYElkSNQnWCDZDSVEuTkFTREFRR1M6Q0FMQS5JUV9FQklUREEuMjAwMC43LzMxLzIwMTguTEZSLkYuVVNELkgBAAAApSeBBgIAAAAHLTM3LjMzMwEIAAAABQAAAAExAQAAAAoxODg3OTgwMzA1AwAAAAMxNjACAAAABDQwNTEEAAAAATAHAAAACTcv</t>
  </si>
  <si>
    <t>MzEvMjAxOAgAAAAJMy8zMS8yMDE4CQAAAAEwyDCyNwgJ1gjdS6RvNAnWCDZDSVEuWFRSQTpNT1IuSVFfUFJFRl9FUVVJVFkuMjAwMC43LzMxLzIwMTguTEZSLkYuVVNELkgBAAAA3xECAAMAAAAAAJwL1TgICdYI1F+YbzQJ1ggvQ0lRLklRVFI1MzM2Mzk1MDEuSVFfVFJfSU1QTElFRF9FVl9GSU5BTC4uVVNELkgBAAAATbHOHwIAAAAAAAxtEA41CdYIwNuCDjUJ1gg8Q0lRLk5BU0RBUUNNOlpJT1AuSVFfRUJJVERBX0VTVC5DWTIwMjAuNy8zMS8yMDE4LkNPTi5GLlVTRC5IAQAAALNRsgACAAAAAy02NAEOAAAABQAAAAIxMQEAAAABMAIAAAAKMTAwMDg5ODA3NgMAAAAGMTAwMTg3BAAAAAEyBgAAAAEwBwAAAAMxNjAIAAAAATAJAAAAATEKAAAAATALAAAACzEwOTMxNTMzNTY5DAAAAAE3DQAAAAg4LzEvMjAxOBAAAAAJNy8zMS8yMDE41owROAgJ1gjDhp9vNAnWCDdDSVEuQVNYOklNVS5JUV9SRVZFTlVFX0VTVC5DWTIwMTkuNy8xNi8yMDE4LkNPTi5GLlVTRC5IAQAAAJiTqQADAAAAAAApHJQQNQnWCDDXXRI1CdYIPENJUS5OQVNEQVFHUzpBVE5YLklRX0VCSVREQV9FU1QuQ1kyMDE5LjcvMzEvMjAxOC5DT04uRi5VU0QuSAEAAADcmWsBAgAAAAktNDguNTI3NTQBDgAAAAUAAAACMTEBAAAAATACAAAACjEwMDM3NzgzNjkDAAAABjEwMDE4NwQAAAABMgYAAAABMAcAAAADMTYwCAAAAAEwCQAAAAExCgAAAAEw</t>
  </si>
  <si>
    <t>CwAAAAsxMTA0MTYyNjk1MgwAAAABNw0AAAAIOC8xLzIwMTgQAAAACTcvMzEvMjAxONaMETgICdYIJMKabzQJ1gg9Q0lRLk5BU0RBUUdTOktVUkEuSVFfUkVWRU5VRV9FU1QuQ1kyMDE5LjcvMzEvMjAxOC5DT04uRi5VU0QuSAEAAAC4y9oQAgAAAAUyMC40NgEOAAAABQAAAAIxMQEAAAABMAIAAAAKMTAwMzE4NDk5MAMAAAAGMTAwMTgwBAAAAAEyBgAAAAEwBwAAAAMxNjAIAAAAATAJAAAAATEKAAAAATALAAAACzExMDIzMTA0NjExDAAAAAE3DQAAAAg4LzEvMjAxOBAAAAAJNy8zMS8yMDE41owROAgJ1ghzJJ1vNAnWCEZDSVEuTkFTREFRQ006U1JORS5JUV9UT1RBTF9SRVZfNVlSX0FOTl9DQUdSLjIwMDAuNy8zMS8yMDE4LkxGUi5GLlVTRC5IAQAAAElDlAMCAAAABzIwMi4yMzIBCAAAAAUAAAABMQEAAAAKMTg4Nzk4OTgzMQMAAAADMTYwAgAAAAQ0MjMzBAAAAAEwBwAAAAk3LzMxLzIwMTgIAAAACTMvMzEvMjAxOAkAAAABMNaMETgICdYIcySdbzQJ1ggjQ0lRLlhUUkE6TU9SLklRX1RFVi43LzMxLzIwMTguVVNELkgBAAAA3xECAAIAAAALMzg0OS41NDc3NzcBBgAAAAUAAAABMQEAAAAKMTg4NjE1MTU5OAMAAAADMTYwAgAAAAYxMDAwNjAEAAAAATAHAAAACTcvMzEvMjAxOJwL1TgICdYI1F+YbzQJ1ggxQ0lRLklRVFIzMDc4NjM5ODQuSVFfVFJfVEFSR0VUX1JFVkVOVUVfRVNULi5VU0QuSAEAAACwoVkS</t>
  </si>
  <si>
    <t>AgAAAAAAWM8SDjUJ1gjA24IONQnWCCdDSVEuTkFTREFRR006TkxOSy5JUV9CRVRBXzVZUi43LzE2LzIwMTgBAAAAlXuMAAIAAAAQMS41MDg5MTk0MTAwODQzMwApHJQQNQnWCOR0WxI1CdYII0NJUS5JUVRSMjczNTA3MTg1LklRX1RSX1RPVEFMX1NUT0NLAQAAAHFjTRACAAAAAACys0lvNAnWCIH9lW80CdYILENJUS5OQVNEQVFHUzpCR05FLklRX0NBUEVYLjE5OTYuLkxGUi5GLlVTRC5IAQAAAODk3QYCAAAABy0yMy42MjUBCAAAAAUAAAABMQEAAAAKMTg5OTkwMDYxOAMAAAADMTYwAgAAAAQyMDIxBAAAAAEwBwAAAAk4LzIzLzIwMTgIAAAACTYvMzAvMjAxNwkAAAABMJwL1TgICdYInAvVOAgJ1ggrQ0lRLk5BU0RBUUdTOkVQWk0uSVFfTEFTVFNBTEVQUklDRS41LzUvMjAxNwEAAAADJj0DAgAAAAQxNi4zANaMETgICdYIcySdbzQJ1gglQ0lRLklRVFI1NTExNjYyOTIuSVFfUFJJTUFSWV9JTkRVU1RSWQEAAAALZAAAAwAAAA1CaW90ZWNobm9sb2d5AAxtEA41CdYIwNuCDjUJ1gg6Q0lRLk5BU0RBUUdNOklNTVUuSVFfRUFSTklOR19DTy4xOTk2LjcvMzEvMjAxOC5MRlIuRi5VU0QuSAEAAAAgQwQAAgAAAAstMTE1LjkyMjc5MwEIAAAABQAAAAExAQAAAAoxODg4NTIzMzkyAwAAAAMxNjACAAAAATcEAAAAATAHAAAACTcvMzEvMjAxOAgAAAAJMy8zMS8yMDE3CQAAAAEwnAvVOAgJ1gjUX5hvNAnWCDxDSVEu</t>
  </si>
  <si>
    <t>TkFTREFRR1M6Q1RNWC5JUV9FQVJOSU5HX0NPLkNZMjAxNy43LzE2LzIwMTguTEZSLkYuVVNELkgBAAAA3DibAwIAAAAHLTQzLjA5OQEIAAAABQAAAAExAQAAAAoxODc3MzE2NzY5AwAAAAMxNjACAAAAATcEAAAAATAHAAAACTcvMTYvMjAxOAgAAAAKMTIvMzEvMjAxNwkAAAABMMT/GxE1CdYIwptiEjUJ1ggpQ0lRLklRVFI0MDM3OTE3NjcuSVFfVFJfSU1QTElFRF9FUV9OSV9MVE0BAAAAl18RGAIAAAAAAFjPEg41CdYIwNuCDjUJ1gg8Q0lRLk5BU0RBUUdNOkFGTUQuSVFfRUJJVERBX0VTVC5DWTIwMTkuNy8xNi8yMDE4LkNPTi5GLlVTRC5IAQAAANv3DAADAAAAAAApHJQQNQnWCDDXXRI1CdYIIkNJUS5PVENQSzpOV0JPLklRX0ZJUlNUUFJJQ0lOR0RBVEUBAAAAo3oUAAUAAAAKMTIvMTQvMjAwMQApHJQQNQnWCHM5YBI1CdYIO0NJUS5OQVNEQVFHTTpBUlFMLklRX1RPVEFMX1JFVi5DWTIwMTcuNy8zMS8yMDE4LkxGUi5GLlVTRC5IAQAAAPZhAAADAAAAAADWjBE4CAnWCHMknW80CdYIOENJUS5OQVNEQVFDTTpTUk5FLklRX0VCSVREQS5DWTIwMTYuNy8zMS8yMDE4LkxGUi5GLlVTRC5IAQAAAElDlAMCAAAABy01Ny4wMTMBCAAAAAUAAAABMQEAAAAKMTg3ODY3NzQ1MwMAAAADMTYwAgAAAAQ0MDUxBAAAAAEwBwAAAAk3LzMxLzIwMTgIAAAACjEyLzMxLzIwMTYJAAAAATDWjBE4CAnWCHMknW80CdYIPENJ</t>
  </si>
  <si>
    <t>US5OQVNEQVFDTTpTUk5FLklRX1RPVEFMX0VRVUlUWS4xOTkyLjcvMzEvMjAxOC5MRlIuRi5VU0QuSAEAAABJQ5QDAgAAAAY4OC45NjMBCAAAAAUAAAABMQEAAAAKMTg0MjI1MTEyMwMAAAADMTYwAgAAAAQxMjc1BAAAAAEwBwAAAAk3LzMxLzIwMTgIAAAACTMvMzEvMjAxNgkAAAABMNaMETgICdYIcySdbzQJ1ggsQ0lRLklRVFIyNTM5NTQ0NzMuSVFfVFJfVEFSR0VUX0VCSVREQS4uVVNELkgBAAAAqQkjDwIAAAAAALKzSW80CdYINZuTbzQJ1gguQ0lRLk5BU0RBUUdTOkVQWk0uSVFfTUFSS0VUQ0FQLjcvMzEvMjAxOC5VU0QuSAEAAAADJj0DAgAAAAo4OTYuMzkyNzIzAQYAAAAFAAAAATEBAAAACjE4ODcyNDU0NDgDAAAAAzE2MAIAAAAGMTAwMDU0BAAAAAEwBwAAAAk3LzMxLzIwMTjWjBE4CAnWCCTCmm80CdYIKkNJUS5FTlhUUEE6SVBILklRX0RJVklERU5EX1lJRUxELjcvMTYvMjAxOAEAAACZgAYAAwAAAAAAKRyUEDUJ1ghzOWASNQnWCD1DSVEuTkFTREFRR1M6U0dFTi5JUV9SRVZFTlVFX0VTVC5DWTIwMjEuNy8xNi8yMDE4LkNPTi5GLlVTRC5IAQAAAGGFAAACAAAACTE0OTYuNjk2NgEOAAAABQAAAAIxMQEAAAABMAIAAAAKMTAwMTAxMDQ1NQMAAAAGMTAwMTgwBAAAAAEyBgAAAAEwBwAAAAMxNjAIAAAAATAJAAAAATEKAAAAATALAAAACzEwOTY1ODQ1MTg2DAAAAAE3DQAAAAk3LzE3LzIwMTgQAAAA</t>
  </si>
  <si>
    <t>CTcvMTYvMjAxOMT/GxE1CdYIaGBnEjUJ1gg8Q0lRLk5BU0RBUUdTOkFEWFMuSVFfRUJJVERBX0VTVC5DWTIwMTguNy8xNi8yMDE4LkNPTi5GLlVTRC5IAQAAAJ7seAADAAAAAAApHJQQNQnWCOR0WxI1CdYILUNJUS5OQVNEQVFHTTpBUlJZLklRX01BUktFVENBUC41LzUvMjAxNy5VU0QuSAEAAAD4YQAAAgAAAAsxMjEzLjQ3MjAxOQEGAAAABQAAAAExAQAAAAoxODI2ODM3OTE4AwAAAAMxNjACAAAABjEwMDA1NAQAAAABMAcAAAAINS81LzIwMTecC9U4CAnWCCTCmm80CdYIPUNJUS5OQVNEQVFHUzpHVEhYLklRX1JFVkVOVUVfRVNULkNZMjAxOS43LzMxLzIwMTguQ09OLkYuVVNELkgBAAAAZTRpCAIAAAABMAEOAAAABQAAAAIxMQEAAAABMAIAAAAKMTAwMzc1MTU4NwMAAAAGMTAwMTgwBAAAAAEyBgAAAAEwBwAAAAMxNjAIAAAAATAJAAAAATEKAAAAATALAAAACzExMDI5ODQ0Nzk5DAAAAAE3DQAAAAg4LzEvMjAxOBAAAAAJNy8zMS8yMDE4nAvVOAgJ1ggkwppvNAnWCD1DSVEuTkFTREFRR1M6QURYUy5JUV9SRVZFTlVFX0VTVC5DWTIwMTkuNy8xNi8yMDE4LkNPTi5GLlVTRC5IAQAAAJ7seAACAAAABjguODYxNQEOAAAABQAAAAIxMQEAAAABMAIAAAAJNjUwNjU1MDU2AwAAAAYxMDAxODAEAAAAATIGAAAAATAHAAAAAzE2MAgAAAABMAkAAAABMQoAAAABMAsAAAALMTA5MjQwNjUyMjgMAAAAATcNAAAACTcv</t>
  </si>
  <si>
    <t>MTcvMjAxOBAAAAAJNy8xNi8yMDE4KRyUEDUJ1gjkdFsSNQnWCD1DSVEuTkFTREFRR006SU1NVS5JUV9SRVZFTlVFX0VTVC5DWTIwMTkuNy8xNi8yMDE4LkNPTi5GLlVTRC5IAQAAACBDBAACAAAABzg4LjA2NjcBDgAAAAUAAAACMTEBAAAAATACAAAACTI4NDQzNDAyNQMAAAAGMTAwMTgwBAAAAAEyBgAAAAEwBwAAAAMxNjAIAAAAATAJAAAAATEKAAAAATALAAAACzEwOTU4Njc2MDQ3DAAAAAE3DQAAAAk3LzE3LzIwMTgQAAAACTcvMTYvMjAxOMT/GxE1CdYIaGBnEjUJ1ghNQ0lRLihJTlZBTElEIElERU5USUZJRVIpLklRX1RPVEFMX1JFVl8zWVJfQU5OX0NBR1IuMjAwMC43LzMxLzIwMTguTEZSLkYuVVNELkgFAAAAAAAAAAgAAAAUKEludmFsaWQgSWRlbnRpZmllcinIMLI3CAnWCO02sG80CdYIOENJUS5OQVNEQVFHUzpGUFJYLklRX1RPVEFMX0VRVUlUWS4uNy8xNi8yMDE4LkxGUi5GLlVTRC5IAQAAADddMwACAAAABzM2Mi4yMTYBCAAAAAUAAAABMQEAAAAKMTg4NzQwMjIyNwMAAAADMTYwAgAAAAQxMjc1BAAAAAEwBwAAAAk3LzE2LzIwMTgIAAAACTMvMzEvMjAxOAkAAAABMCkclBA1CdYIczlgEjUJ1ggpQ0lRLklRMzYxODM4MjguSVFfTEFTVFNBTEVQUklDRS43LzMxLzIwMTgBAAAAFB8oAgIAAAAEMi43NwBJU0dvNAnWCIH9lW80CdYILkNJUS5OQVNEQVFHTTpBRk1ELklRX01BUktFVENBUC43LzE2</t>
  </si>
  <si>
    <t>LzIwMTguVVNELkgBAAAA2/cMAAIAAAAKMTA5LjE4MjYxOQEGAAAABQAAAAExAQAAAAoxODg5ODY1NTk1AwAAAAMxNjACAAAABjEwMDA1NAQAAAABMAcAAAAJNy8xNi8yMDE4KRyUEDUJ1ggw110SNQnWCD1DSVEuTkFTREFRR1M6QkdORS5JUV9SRVZFTlVFX0VTVC5DWTIwMTguNy8xNi8yMDE4LkNPTi5GLlVTRC5IAQAAAODk3QYCAAAACTEwNS42MzY2NwEOAAAABQAAAAIxMQEAAAABMAIAAAAKMTAwMzMyNjI2MwMAAAAGMTAwMTgwBAAAAAEyBgAAAAEwBwAAAAMxNjAIAAAAATAJAAAAATEKAAAAATALAAAACzExMDMyMzY1OTQ2DAAAAAE3DQAAAAk3LzE3LzIwMTgQAAAACTcvMTYvMjAxOMT/GxE1CdYIaGBnEjUJ1gg7Q0lRLk5BU0RBUUdNOkFSUlkuSVFfUFJFRl9FUVVJVFkuMjAwMC43LzMxLzIwMTguTEZSLkYuVVNELkgBAAAA+GEAAAMAAAAAAJwL1TgICdYI1F+YbzQJ1gg5Q0lRLk5BU0RBUUdTOk1SU04uSVFfRUJJVERBX01BUkdJTi4uNy8xNi8yMDE4LkxGUi5GLlVTRC5IAQAAAObFGAACAAAACS0yNjUuMjc5NwEIAAAABQAAAAExAQAAAAoxODg5MDk2NjUzAwAAAAMxNjACAAAABDQwNDcEAAAAATAHAAAACTcvMTYvMjAxOAgAAAAJMy8zMS8yMDE4CQAAAAEwxP8bETUJ1ghzOWASNQnWCDBDSVEuTkFTREFRR1M6VFNSTy5JUV9MQVNUU0FMRVBSSUNFLjcvMTYvMjAxOC5VU0QBAAAAaNZYBgIAAAAFNDAu</t>
  </si>
  <si>
    <t>NTUARp0ZETUJ1ggS/mQSNQnWCCxDSVEuSVFUUjU0NzQyMzY4MC5JUV9UUl9UQVJHRVRfRUJJVERBLi5VU0QuSAEAAADABaEgAgAAAAgtMTIwLjA1MgEGAAAABQAAAAIzNwEAAAAKMTg2NDQ2NDE4NAIAAAAFMjE2NzcDAAAAAzE2MAQAAAABMAcAAAAIMS8xLzE5MDAMbRAONQnWCMDbgg41CdYIKkNJUS5JUVRSNTYzOTE5MDQ5LklRX1RSX1RBUkdFVF9FQklULi5VU0QuSAEAAADJuJwhAgAAAActNTUuMzcyAQYAAAAFAAAAAjM3AQAAAAoxODg4OTc5MDk1AgAAAAUyMTY3NQMAAAADMTYwBAAAAAEwBwAAAAgxLzEvMTkwMAxtEA41CdYIwNuCDjUJ1ghCQ0lRLk5BU0RBUUdTOkJHTkUuSVFfVE9UQUxfUkVWXzNZUl9BTk5fQ0FHUi4uNy8xNi8yMDE4LkxGUi5GLlVTRC5IAQAAAODk3QYCAAAACDE4My45NDIzAQgAAAAFAAAAATEBAAAACjE4ODc2ODg1ODgDAAAAAzE2MAIAAAAENDIyMAQAAAABMAcAAAAJNy8xNi8yMDE4CAAAAAkzLzMxLzIwMTgJAAAAATDE/xsRNQnWCGhgZxI1CdYIRENJUS4oSU5WQUxJRCBJREVOVElGSUVSKS5JUV9SRVZFTlVFX0VTVC5DWTIwMTguNy8xNi8yMDE4LkNPTi5GLlVTRC5IBQAAAAAAAAAIAAAAFChJbnZhbGlkIElkZW50aWZpZXIpIAqBEDUJ1giYElkSNQnWCDZDSVEuTkFTREFRQ006U1JORS5JUV9FQklUREEuMTk5Mi43LzMxLzIwMTguTEZSLkYuVVNELkgBAAAASUOUAwIAAAAH</t>
  </si>
  <si>
    <t>LTQ5LjQ3NwEIAAAABQAAAAExAQAAAAoxODQyMjUxMTIzAwAAAAMxNjACAAAABDQwNTEEAAAAATAHAAAACTcvMzEvMjAxOAgAAAAJMy8zMS8yMDE2CQAAAAEw1owROAgJ1ghzJJ1vNAnWCD5DSVEuTkFTREFRQ006U1JORS5JUV9DQVNIX1NUX0lOVkVTVC4yMDAwLjcvMzEvMjAxOC5MRlIuRi5VU0QuSAEAAABJQ5QDAgAAAAYyNC42OTYBCAAAAAUAAAABMQEAAAAKMTg4Nzk4OTgzMQMAAAADMTYwAgAAAAQxMDAyBAAAAAEwBwAAAAk3LzMxLzIwMTgIAAAACTMvMzEvMjAxOAkAAAABMNaMETgICdYIcySdbzQJ1gg2Q0lRLk5BU0RBUUdNOkNSVlMuSVFfRUJJVERBLjE5OTYuNy8zMS8yMDE4LkxGUi5GLlVTRC5IAQAAAPSwphACAAAABy00Ni4wNzUBCAAAAAUAAAABMQEAAAAKMTg4NjM2NzU3OQMAAAADMTYwAgAAAAQ0MDUxBAAAAAEwBwAAAAk3LzMxLzIwMTgIAAAACTMvMzEvMjAxNwkAAAABMNaMETgICdYIGemhbzQJ1ggzQ0lRLk5BU0RBUUdTOlNHRU4uSVFfRUFSTklOR19DTy5DWTIwMTYuLkxGUi5GLlVTRC5IAQAAAGGFAAACAAAACC0xNDAuMTExAQgAAAAFAAAAATEBAAAACjE4NzQ2OTYxOTYDAAAAAzE2MAIAAAABNwQAAAABMAcAAAAJOC8yMy8yMDE4CAAAAAoxMi8zMS8yMDE2CQAAAAEwRp0ZETUJ1ghGnRkRNQnWCCxDSVEuSVFUUjQxMzk1MzY2MS5JUV9UUl9UQVJHRVRfRUJJVERBLi5VU0QuSAEAAAB9</t>
  </si>
  <si>
    <t>bqwYAgAAAAAAsrNJbzQJ1giB/ZVvNAnWCDFDSVEuTkFTREFRR006TFBUWC5JUV9EQV9DRi4uNy8xNi8yMDE4LkxGUi5GLlVTRC5IAQAAAAw2CQcCAAAABTAuMDM1AQgAAAAFAAAAATEBAAAACjE4OTAxNjM5MzYDAAAAAzE2MAIAAAAEMjE2MAQAAAABMAcAAAAJNy8xNi8yMDE4CAAAAAkzLzMxLzIwMTgJAAAAATApHJQQNQnWCGhgZxI1CdYIOENJUS5OQVNEQVFHUzpDQUxBLklRX0VCSVREQS5DWTIwMTcuNy8zMS8yMDE4LkxGUi5GLlVTRC5IAQAAAKUngQYCAAAABy0yOS4zMjEBCAAAAAUAAAABMQEAAAAKMTg3Nzk1NTcwNwMAAAADMTYwAgAAAAQ0MDUxBAAAAAEwBwAAAAk3LzMxLzIwMTgIAAAACjEyLzMxLzIwMTcJAAAAATDIMLI3CAnWCN1LpG80CdYIIUNJUS5JUVRSMzE0ODI5MjM2LklRX1RSX0JVWUVSTkFNRQEAAAC06cMSAwAAABlOb3ZhcnRpcyBJbnRlcm5hdGlvbmFsIEFHAFjPEg41CdYIwNuCDjUJ1gg8Q0lRLk5BU0RBUUdTOkNBTEEuSVFfRUJJVERBX0VTVC5DWTIwMTkuNy8xNi8yMDE4LkNPTi5GLlVTRC5IAQAAAKUngQYDAAAAAAApHJQQNQnWCOR0WxI1CdYIOUNJUS5OQVNEQVFHUzpNR05YLklRX0VCSVREQV9NQVJHSU4uLjcvMTYvMjAxOC5MRlIuRi5VU0QuSAEAAABPKwkAAgAAAAgtMTcuMTgyMQEIAAAABQAAAAExAQAAAAoxODg3MTE0OTQ1AwAAAAMxNjACAAAABDQwNDcEAAAAATAHAAAA</t>
  </si>
  <si>
    <t>CTcvMTYvMjAxOAgAAAAJMy8zMS8yMDE4CQAAAAEwxP8bETUJ1gjCm2ISNQnWCDhDSVEuTkFTREFRR1M6VFNSTy5JUV9UT1RBTF9FUVVJVFkuLjcvMTYvMjAxOC5MRlIuRi5VU0QuSAEAAABo1lgGAgAAAAcxMTcuNzI4AQgAAAAFAAAAATEBAAAACjE4ODYzMzc0NjYDAAAAAzE2MAIAAAAEMTI3NQQAAAABMAcAAAAJNy8xNi8yMDE4CAAAAAkzLzMxLzIwMTgJAAAAATDE/xsRNQnWCBL+ZBI1CdYIL0NJUS5JUVRSNTMzNjM5NTAxLklRX1RSX1RBUkdFVF9UT1RBTF9SRVYuLlVTRC5IAQAAAE2xzh8CAAAAAAAMbRAONQnWCMDbgg41CdYINkNJUS5OQVNEQVFDTTpTUk5FLklRX0VCSVREQS4xOTk2LjcvMzEvMjAxOC5MRlIuRi5VU0QuSAEAAABJQ5QDAgAAAActNjcuOTM3AQgAAAAFAAAAATEBAAAACjE4ODc5ODk4MjgDAAAAAzE2MAIAAAAENDA1MQQAAAABMAcAAAAJNy8zMS8yMDE4CAAAAAkzLzMxLzIwMTcJAAAAATDWjBE4CAnWCHMknW80CdYIPENJUS5OQVNEQVFHTTpBUlJZLklRX0VBUk5JTkdfQ08uQ1kyMDE2LjcvMzEvMjAxOC5MRlIuRi5VU0QuSAEAAAD4YQAAAgAAAActOTkuNTk4AQgAAAAFAAAAATEBAAAACjE4NzMyMDM3OTUDAAAAAzE2MAIAAAABNwQAAAABMAcAAAAJNy8zMS8yMDE4CAAAAAoxMi8zMS8yMDE2CQAAAAEwnAvVOAgJ1ggkwppvNAnWCC1DSVEuTkFTREFRQ006TVRFTS5JUV9ESVZJREVO</t>
  </si>
  <si>
    <t>RF9ZSUVMRC43LzMxLzIwMTgBAAAAmZupAQMAAAAAAMgwsjcICdYIGemhbzQJ1ggrQ0lRLklRVFI1NDc0MjM2ODAuSVFfVFJfSU1QTElFRF9FVl9FQklUX0ZXRAEAAADABaEgAwAAAAJOTQAMbRAONQnWCAw+hQ41CdYITUNJUS4oSU5WQUxJRCBJREVOVElGSUVSKS5JUV9UT1RBTF9SRVZfMllSX0FOTl9DQUdSLjIwMDAuNy8zMS8yMDE4LkxGUi5GLlVTRC5IBQAAAAAAAAAIAAAAFChJbnZhbGlkIElkZW50aWZpZXIpyDCyNwgJ1gjtNrBvNAnWCDxDSVEuT1RDUEs6TldCTy5JUV9FQklUREFfMllSX0FOTl9DQUdSLi43LzE2LzIwMTguTEZSLkYuVVNELkgBAAAAo3oUAAMAAAACTk0BCAAAAAUAAAABMQEAAAAKMTg4OTMwMjgyNAMAAAADMTYwAgAAAAQ0MjA5BAAAAAEwBwAAAAk3LzE2LzIwMTgIAAAACTMvMzEvMjAxOAkAAAABMCkclBA1CdYIMNddEjUJ1gg2Q0lRLk5BU0RBUUdTOkpOQ0UuSVFfRUFSTklOR19DTy4uNy8xNi8yMDE4LkxGUi5GLlVTRC5IAQAAAOJ5ng0CAAAABy0yOS44NTYBCAAAAAUAAAABMQEAAAAKMTg4ODE4NjM3NAMAAAADMTYwAgAAAAE3BAAAAAEwBwAAAAk3LzE2LzIwMTgIAAAACTMvMzEvMjAxOAkAAAABMN6nfhA1CdYImBJZEjUJ1gg5Q0lRLk5BU0RBUUdTOkFOQUIuSVFfRUJJVERBX01BUkdJTi4uNy8xNi8yMDE4LkxGUi5GLlVTRC5IAQAAACFMsgEDAAAAAk5NAQgAAAAFAAAAATEB</t>
  </si>
  <si>
    <t>AAAACjE4ODc0MDAwNDMDAAAAAzE2MAIAAAAENDA0NwQAAAABMAcAAAAJNy8xNi8yMDE4CAAAAAkzLzMxLzIwMTgJAAAAATDE/xsRNQnWCMKbYhI1CdYII0NJUS5OQVNEQVFHUzpNR05YLklRX1BFUklPRERBVEVfSVMuAQAAAE8rCQAFAAAACTYvMzAvMjAxOADE/xsRNQnWCMKbYhI1CdYIOkNJUS5OQVNEQVFHTTpMUFRYLklRX0NBU0hfU1RfSU5WRVNULi45LzE1LzIwMTcuTEZSLkYuVVNELkgBAAAADDYJBwIAAAAGMTcuMTcxAQgAAAAFAAAAATEBAAAACjE4NTMxNzIxODUDAAAAAzE2MAIAAAAEMTAwMgQAAAABMAcAAAAJOS8xNS8yMDE3CAAAAAk2LzMwLzIwMTcJAAAAATApHJQQNQnWCDDXXRI1CdYIPkNJUS5OQVNEQVFHUzpHVEhYLklRX1RPVEFMX0VRVUlUWS5DWTIwMTYuNy8zMS8yMDE4LkxGUi5GLlVTRC5IAQAAAGU0aQgCAAAABjQyLjU4NwEIAAAABQAAAAExAQAAAAoxODc1MzI3MzAxAwAAAAMxNjACAAAABDEyNzUEAAAAATAHAAAACTcvMzEvMjAxOAgAAAAKMTIvMzEvMjAxNgkAAAABMNaMETgICdYIJMKabzQJ1gg/Q0lRLk5BU0RBUUdTOkFOQUIuSVFfRUJJVERBXzNZUl9BTk5fQ0FHUi4uNy8xNi8yMDE4LkxGUi5GLlVTRC5IAQAAACFMsgEDAAAAAk5NAQgAAAAFAAAAATEBAAAACjE4ODc0MDAwNDMDAAAAAzE2MAIAAAAENDIyMgQAAAABMAcAAAAJNy8xNi8yMDE4CAAAAAkzLzMxLzIwMTgJAAAA</t>
  </si>
  <si>
    <t>ATDE/xsRNQnWCMKbYhI1CdYIPENJUS5OQVNEQVFHTTpMUFRYLklRX0VCSVREQV9FU1QuQ1kyMDIwLjcvMTYvMjAxOC5DT04uRi5VU0QuSAEAAAAMNgkHAwAAAAAAKRyUEDUJ1ggw110SNQnWCCtDSVEuRU5YVFBBOklQSC5JUV9NQVJLRVRDQVAuNy8xNi8yMDE4LlVTRC5IAQAAAJmABgACAAAACjMwOS44MTcxODcBBgAAAAUAAAABMQEAAAAKMTg4OTU1MjE2MgMAAAADMTYwAgAAAAYxMDAwNTQEAAAAATAHAAAACTcvMTYvMjAxOCkclBA1CdYIczlgEjUJ1ggnQ0lRLk5BU0RBUUdTOkNBTEEuSVFfQkVUQV81WVIuNy8xNi8yMDE4AQAAAKUngQYCAAAAEDIuNTMxODE3MzM0OTI2OTQAKRyUEDUJ1gjkdFsSNQnWCB1DSVEuTkFTREFRR1M6Q1RNWC5JUV9FWENIQU5HRQEAAADcOJsDAwAAAAhOYXNkYXFHUwBGnRkRNQnWCMKbYhI1CdYIPENJUS5FTlhUUEE6SVBILklRX0VCSVREQV81WVJfQU5OX0NBR1IuLjcvMTYvMjAxOC5MRlIuRi5VU0QuSAEAAACZgAYAAwAAAAJOTQEIAAAABQAAAAExAQAAAAoxODg5NTUyMTY0AwAAAAI1MAIAAAAENDIzNQQAAAABMAcAAAAJNy8xNi8yMDE4CAAAAAoxMi8zMS8yMDE3CQAAAAEwKRyUEDUJ1ghzOWASNQnWCD9DSVEuTkFTREFRR1M6VFNSTy5JUV9FQklUREFfM1lSX0FOTl9DQUdSLi43LzE2LzIwMTguTEZSLkYuVVNELkgBAAAAaNZYBgMAAAACTk0BCAAAAAUAAAABMQEAAAAK</t>
  </si>
  <si>
    <t>MTg4NjMzNzQ2NgMAAAADMTYwAgAAAAQ0MjIyBAAAAAEwBwAAAAk3LzE2LzIwMTgIAAAACTMvMzEvMjAxOAkAAAABMMT/GxE1CdYIEv5kEjUJ1gg7Q0lRLk5BU0RBUUdNOklNTVUuSVFfVE9UQUxfUkVWLkNZMjAxNy43LzE2LzIwMTguTEZSLkYuVVNELkgBAAAAIEMEAAIAAAAIMy4yNTMwNDgBCAAAAAUAAAABMQEAAAAKMTg3MzQ5MzUyOAMAAAADMTYwAgAAAAIyOAQAAAABMAcAAAAJNy8xNi8yMDE4CAAAAAoxMi8zMS8yMDE3CQAAAAEwxP8bETUJ1ghoYGcSNQnWCCdDSVEuTkFTREFRR1M6Sk5DRS5JUV9CRVRBXzVZUi43LzE2LzIwMTgBAAAA4nmeDQMAAAAAACAKgRA1CdYImBJZEjUJ1gggQ0lRLklRMzYxODM4MzEuSVFfTEFTVFNBTEVQUklDRS4BAAAAFx8oAgIAAAADMi43AJwL1TgICdYId3mADjUJ1gg3Q0lRLk5BU0RBUUdTOkFEWFMuSVFfUFJFRl9FUVVJVFkuLjkvMTUvMjAxNy5MRlIuRi5VU0QuSAEAAACe7HgAAwAAAAAAKRyUEDUJ1gjkdFsSNQnWCC9DSVEuSVFUUjQwOTk1MTg4Ni5JUV9UUl9UQVJHRVRfVE9UQUxfUkVWLi5VU0QuSAEAAACOXm8YAgAAAAAADG0QDjUJ1gjA24IONQnWCD5DSVEuTkFTREFRQ006U1JORS5JUV9UT1RBTF9FUVVJVFkuQ1kyMDE2LjcvMzEvMjAxOC5MRlIuRi5VU0QuSAEAAABJQ5QDAgAAAAY4Ni41MDIBCAAAAAUAAAABMQEAAAAKMTg3ODY3NzQ1MwMAAAADMTYwAgAA</t>
  </si>
  <si>
    <t>AAQxMjc1BAAAAAEwBwAAAAk3LzMxLzIwMTgIAAAACjEyLzMxLzIwMTYJAAAAATDWjBE4CAnWCHMknW80CdYIOkNJUS5OQVNEQVFHTTpJTU1VLklRX1BSRUZfRVFVSVRZLjIwMDAuNS81LzIwMTcuTEZSLkYuVVNELkgBAAAAIEMEAAMAAAAAAJwL1TgICdYI1F+YbzQJ1ggdQ0lRLi5JUV9UUl9UQVJHRVRfRUJJVC4uVVNELkgFAAAAAAAAAAgAAAAUKEludmFsaWQgSWRlbnRpZmllcimcC9U4CAnWCHd5gA41CdYIPENJUS5OQVNEQVFHUzpCR05FLklRX0VBUk5JTkdfQ08uQ1kyMDE2LjcvMTYvMjAxOC5MRlIuRi5VU0QuSAEAAADg5N0GAgAAAAgtMTE5LjIxNwEIAAAABQAAAAExAQAAAAoxODc2MzU3NDM2AwAAAAMxNjACAAAAATcEAAAAATAHAAAACTcvMTYvMjAxOAgAAAAKMTIvMzEvMjAxNgkAAAABMMT/GxE1CdYIaGBnEjUJ1gg0Q0lRLihJTlZBTElEIElERU5USUZJRVIpLklRX0RJVklERU5EX1lJRUxELjcvMzEvMjAxOAUAAAAAAAAACAAAABQoSW52YWxpZCBJZGVudGlmaWVyKcgwsjcICdYITnKrbzQJ1gg3Q0lRLk5BU0RBUUdTOkZQUlguSVFfUFJFRl9FUVVJVFkuLjkvMTUvMjAxNy5MRlIuRi5VU0QuSAEAAAA3XTMAAwAAAAAAKRyUEDUJ1ghzOWASNQnWCDlDSVEuTkFTREFRR1M6VFNSTy5JUV9UT1RBTF9ERUJULjIwMDAuNS81LzIwMTcuTEZSLkYuVVNELkgBAAAAaNZYBgIAAAAHMTMxLjc3NQEIAAAA</t>
  </si>
  <si>
    <t>BQAAAAExAQAAAAoxODI5OTg4NTQzAwAAAAMxNjACAAAABDQxNzMEAAAAATAHAAAACDUvNS8yMDE3CAAAAAoxMi8zMS8yMDE2CQAAAAEwnAvVOAgJ1ggkwppvNAnWCC9DSVEuT1RDUEs6TldCTy5JUV9FQklUREEuLjcvMTYvMjAxOC5MRlIuRi5VU0QuSAEAAACjehQAAgAAAActNTAuODQyAQgAAAAFAAAAATEBAAAACjE4ODkzMDI4MjQDAAAAAzE2MAIAAAAENDA1MQQAAAABMAcAAAAJNy8xNi8yMDE4CAAAAAkzLzMxLzIwMTgJAAAAATApHJQQNQnWCHM5YBI1CdYILENJUS5OQVNEQVFHUzpQQllJLklRX0xBU1RTQUxFUFJJQ0UuOS8xNS8yMDE3AQAAAAJqrAcCAAAABjEwMi4yNQBGnRkRNQnWCBL+ZBI1CdYILENJUS5JUVRSNDExODcxMDgyLklRX1RSX1RPVEFMX0dST1NTX1RWLlVTRC5IBQAAAAAAAAAIAAAAGihJbnZhbGlkIEN1cnJlbmN5IFJlcXVlc3QpSVNHbzQJ1gg1m5NvNAnWCDlDSVEuTkFTREFRR1M6S1VSQS5JUV9UT1RBTF9SRVYuMjAwMC43LzMxLzIwMTguTEZSLkYuVVNELkgBAAAAuMvaEAMAAAAAANaMETgICdYIcySdbzQJ1ggiQ0lRLklRVFIzMDI4NjY2MjcuSVFfVFJfVE9UQUxfQ0FTSAEAAADDYA0SAgAAAAkxOS40OTk5OTkBBgAAAAUAAAACNTQBAAAABjEwMTA1NgIAAAAJMzAyODY2NjI3AwAAAAkzMDI4NjcxNTEEAAAAAzE2MAYAAAAFRmFsc2VYzxIONQnWCAw+hQ41CdYINUNJUS5OQVNE</t>
  </si>
  <si>
    <t>QVFHUzpDQUxBLklRX1RPVEFMX1JFVi4uNy8xNi8yMDE4LkxGUi5GLlVTRC5IAQAAAKUngQYCAAAABjI2Ljk1MgEIAAAABQAAAAExAQAAAAoxODg3OTgwMzA1AwAAAAMxNjACAAAAAjI4BAAAAAEwBwAAAAk3LzE2LzIwMTgIAAAACTMvMzEvMjAxOAkAAAABMCkclBA1CdYI5HRbEjUJ1ghCQ0lRLk5BU0RBUUdTOkFOQUIuSVFfVE9UQUxfUkVWXzNZUl9BTk5fQ0FHUi4uNy8xNi8yMDE4LkxGUi5GLlVTRC5IAQAAACFMsgECAAAACC0xOC4wMjYxAQgAAAAFAAAAATEBAAAACjE4ODc0MDAwNDMDAAAAAzE2MAIAAAAENDIyMAQAAAABMAcAAAAJNy8xNi8yMDE4CAAAAAkzLzMxLzIwMTgJAAAAATDE/xsRNQnWCMKbYhI1CdYIP0NJUS5OQVNEQVFHUzpGUFJYLklRX05FVF9XT1JLSU5HX0NBUC4xOTkyLjcvMzEvMjAxOC5MRlIuRi5VU0QuSAEAAAA3XTMAAgAAAActNDEuMTk2AQgAAAAFAAAAATEBAAAACjE4NDA1NjU3OTQDAAAAAzE2MAIAAAAEMTMxMQQAAAABMAcAAAAJNy8zMS8yMDE4CAAAAAkzLzMxLzIwMTYJAAAAATDWjBE4CAnWCBnpoW80CdYIIENJUS5JUTIzODI4OTU2LklRX0NPTVBBTllfVElDS0VSAQAAANyZawEDAAAADU5hc2RhcUdTOkFUTlgAsrNJbzQJ1ggkwppvNAnWCDBDSVEuTkFTREFRR1M6Q1RNWC5JUV9MQVNUU0FMRVBSSUNFLjcvMTYvMjAxOC5VU0QBAAAA3DibAwIAAAAFMjMuMjUARp0ZETUJ</t>
  </si>
  <si>
    <t>1gjCm2ISNQnWCDpDSVEuTkFTREFRR006QUZNRC5JUV9DQVNIX1NUX0lOVkVTVC4uNy8xNi8yMDE4LkxGUi5GLlVTRC5IAQAAANv3DAACAAAACTY4LjE3NjY2NgEIAAAABQAAAAExAQAAAAoxODg5ODY2MDQ5AwAAAAMxNjACAAAABDEwMDIEAAAAATAHAAAACTcvMTYvMjAxOAgAAAAJMy8zMS8yMDE4CQAAAAEwKRyUEDUJ1ggw110SNQnWCCdDSVEuTkFTREFRR006SU1NVS5JUV9CRVRBXzVZUi43LzMxLzIwMTgBAAAAIEMEAAIAAAAQMS42OTEzMDE4MzQ5NTA2NACcC9U4CAnWCNRfmG80CdYIL0NJUS5JUVRSNTYxNjA2MzY1LklRX1RSX0lNUExJRURfRVZfRklOQUwuLlVTRC5IAQAAAN1ueSECAAAABDEwNDABBgAAAAUAAAACNTQBAAAABjEwMjA0NQIAAAAJNTYxNjA2MzY1AwAAAAk1NjE2MDkxOTcEAAAAAzE2MAYAAAAFRmFsc2Wys0lvNAnWCDWbk280CdYIJ0NJUS5OQVNEQVFHTTpJTU1VLklRX0JFVEFfMVlSLjcvMTYvMjAxOAEAAAAgQwQAAgAAABAxLjQ3NjcwMDM2ODE5NDE0AMT/GxE1CdYIEv5kEjUJ1gg9Q0lRLk5BU0RBUUdTOkdUSFguSVFfQ0FTSF9TVF9JTlZFU1QuMjAwMC41LzUvMjAxNy5MRlIuRi5VU0QuSAEAAABlNGkIAgAAAAgzNy43MjY1MgEIAAAABQAAAAExAQAAAAoxODM4MTc3NDAwAwAAAAMxNjACAAAABDEwMDIEAAAAATAHAAAACDUvNS8yMDE3CAAAAAkzLzMxLzIwMTcJAAAAATDWjBE4</t>
  </si>
  <si>
    <t>CAnWCCTCmm80CdYIPkNJUS5OQVNEQVFDTTpBVkVPLklRX1RPVEFMX0VRVUlUWS5DWTIwMTYuNy8xNi8yMDE4LkxGUi5GLlVTRC5IAQAAAPQWHQACAAAABi0xLjkyMwEIAAAABQAAAAExAQAAAAoxODc4MDgyNjUwAwAAAAMxNjACAAAABDEyNzUEAAAAATAHAAAACTcvMTYvMjAxOAgAAAAKMTIvMzEvMjAxNgkAAAABMMT/GxE1CdYIczlgEjUJ1ggiQ0lRLklRVFI0MzE4NDE1ODEuSVFfVFJfUENUX1NPVUdIVAEAAAAtYb0ZAgAAAAMxMDAADG0QDjUJ1ggMPoUONQnWCCdDSVEuTkFTREFRR1M6RVBaTS5JUV9CRVRBXzJZUi43LzMxLzIwMTgBAAAAAyY9AwIAAAAQMS41NjM4NDI2NTE0MTk4MQDWjBE4CAnWCHMknW80CdYIOkNJUS5OQVNEQVFHUzpUU1JPLklRX0VBUk5JTkdfQ08uMjAwMC43LzMxLzIwMTguTEZSLkYuVVNELkgBAAAAaNZYBgIAAAAILTUyMi4yMTcBCAAAAAUAAAABMQEAAAAKMTg4NjMzNzQ2NgMAAAADMTYwAgAAAAE3BAAAAAEwBwAAAAk3LzMxLzIwMTgIAAAACTMvMzEvMjAxOAkAAAABMJwL1TgICdYIJMKabzQJ1ggvQ0lRLi5JUV9FQklUREFfRVNULkNZMjAyMC43LzMxLzIwMTguQ09OLkYuVVNELkgFAAAAAQAAAAgAAAAUKEludmFsaWQgSWRlbnRpZmllcimWJDBHNAnWCJYkMEc0CdYILENJUS5OQVNEQVFHUzpTR0VOLklRX1RPVEFMX1JFVi4uLkxGUi5GLlVTRC5IAQAAAGGFAAACAAAABzU3</t>
  </si>
  <si>
    <t>NS42NTkBCAAAAAUAAAABMQEAAAAKMTg5NzIzMzUxOAMAAAADMTYwAgAAAAIyOAQAAAABMAcAAAAJOC8yMy8yMDE4CAAAAAk2LzMwLzIwMTgJAAAAATBGnRkRNQnWCEadGRE1CdYILkNJUS4oSU5WQUxJRCBJREVOVElGSUVSKS5JUV9CRVRBXzFZUi43LzMxLzIwMTgFAAAAAAAAAAgAAAAUKEludmFsaWQgSWRlbnRpZmllcinIMLI3CAnWCO02sG80CdYIP0NJUS5PVENQSzpNQlZYLklRX1RPVEFMX1JFVl81WVJfQU5OX0NBR1IuLjcvMTYvMjAxOC5MRlIuRi5VU0QuSAEAAADYRIsCAwAAAAAA3qd+EDUJ1giYElkSNQnWCB5DSVEuSVE3NDQxMDIuSVFfQ09NUEFOWV9USUNLRVIBAAAAploLAAMAAAANTmFzZGFxR006WE5DUgAMbRAONQnWCFvHjg41CdYIIkNJUS5JUVRSMzIxODY1Mjk3LklRX1RSX1BDVF9TT1VHSFQBAAAAUUYvEwIAAAADMTAwAFjPEg41CdYIDD6FDjUJ1ggrQ0lRLk5BU0RBUUdNOkFSUUwuSVFfTEFTVFNBTEVQUklDRS41LzUvMjAxNwEAAAD2YQAAAgAAAAQxLjAyANaMETgICdYIcySdbzQJ1gg5Q0lRLk5BU0RBUUdNOkFSUlkuSVFfVE9UQUxfUkVWLjE5OTYuNy8zMS8yMDE4LkxGUi5GLlVTRC5IAQAAAPhhAAACAAAABjQxLjUwNwEIAAAABQAAAAExAQAAAAoxODg4NDcwNjU2AwAAAAMxNjACAAAAAjI4BAAAAAEwBwAAAAk3LzMxLzIwMTgIAAAACTMvMzEvMjAxNwkAAAABMJwL1TgICdYI1F+Y</t>
  </si>
  <si>
    <t>bzQJ1gg5Q0lRLk5BU0RBUUdNOkxQVFguSVFfRUJJVERBX01BUkdJTi4uNy8xNi8yMDE4LkxGUi5GLlVTRC5IAQAAAAw2CQcDAAAAAAApHJQQNQnWCDDXXRI1CdYIOUNJUS5OQVNEQVFHUzpHVEhYLklRX05JX01BUkdJTi4yMDAwLjcvMzEvMjAxOC5MRlIuRi5VU0QuSAEAAABlNGkIAwAAAAAAnAvVOAgJ1ggkwppvNAnWCDhDSVEuTkFTREFRR1M6QVROWC5JUV9FQklUREEuQ1kyMDE3LjcvMzEvMjAxOC5MRlIuRi5VU0QuSAEAAADcmWsBAgAAAAgtMTA2LjIzNQEIAAAABQAAAAExAQAAAAoxODc5OTA3NjM1AwAAAAMxNjACAAAABDQwNTEEAAAAATAHAAAACTcvMzEvMjAxOAgAAAAKMTIvMzEvMjAxNwkAAAABMNaMETgICdYIJMKabzQJ1ghNQ0lRLihJTlZBTElEIElERU5USUZJRVIpLklRX1RPVEFMX1JFVl81WVJfQU5OX0NBR1IuMjAwMC43LzMxLzIwMTguTEZSLkYuVVNELkgFAAAAAAAAAAgAAAAUKEludmFsaWQgSWRlbnRpZmllcinIMLI3CAnWCO02sG80CdYIRkNJUS5OQVNEQVFHUzpNUlNOLklRX01JTk9SSVRZX0lOVEVSRVNUX1RPVEFMLjIwMDAuNS81LzIwMTcuTEZSLkYuVVNELkgBAAAA5sUYAAMAAAAAANaMETgICdYIw4afbzQJ1gg6Q0lRLk5BU0RBUUdNOkZBVEUuSVFfUFJFRl9FUVVJVFkuMjAwMC41LzUvMjAxNy5MRlIuRi5VU0QuSAEAAABoMVcCAgAAAAUwLjAwMwEIAAAABQAAAAExAQAAAAox</t>
  </si>
  <si>
    <t>ODMyMTY3ODk2AwAAAAMxNjACAAAABDEwMDUEAAAAATAHAAAACDUvNS8yMDE3CAAAAAoxMi8zMS8yMDE2CQAAAAEw1owROAgJ1gjDhp9vNAnWCDlDSVEuTkFTREFRR006QVJSWS5JUV9UT1RBTF9SRVYuMjAwMC43LzMxLzIwMTguTEZSLkYuVVNELkgBAAAA+GEAAAIAAAAGODQuOTI4AQgAAAAFAAAAATEBAAAACjE4ODg0NzA2NzYDAAAAAzE2MAIAAAACMjgEAAAAATAHAAAACTcvMzEvMjAxOAgAAAAJMy8zMS8yMDE4CQAAAAEwnAvVOAgJ1gjUX5hvNAnWCDBDSVEuTkFTREFRR1M6U0dFTi5JUV9FQklUREFfTUFSR0lOLi4uTEZSLkYuVVNELkgBAAAAYYUAAAIAAAAILTI4LjY1MTUBCAAAAAUAAAABMQEAAAAKMTg5NzIzMzUxOAMAAAADMTYwAgAAAAQ0MDQ3BAAAAAEwBwAAAAk4LzIzLzIwMTgIAAAACTYvMzAvMjAxOAkAAAABMEadGRE1CdYIRp0ZETUJ1gguQ0lRLk5BU0RBUUdNOkNSSVMuSVFfTUFSS0VUQ0FQLjcvMzEvMjAxOC5VU0QuSAEAAAAXagAAAgAAAAk1Mi4wMDcyMzkBBgAAAAUAAAABMQEAAAAKMTg4NjI0Njc0OQMAAAADMTYwAgAAAAYxMDAwNTQEAAAAATAHAAAACTcvMzEvMjAxOMgwsjcICdYI3UukbzQJ1gglQ0lRLk5BU0RBUUdNOklNTVUuSVFfRklSU1RQUklDSU5HREFURQEAAAAgQwQABQAAAAk0LzExLzE5ODQAnAvVOAgJ1gioAooONQnWCENDSVEuTkFTREFRR1M6VFNSTy5JUV9FQklUREFf</t>
  </si>
  <si>
    <t>MllSX0FOTl9DQUdSLjIwMDAuNy8zMS8yMDE4LkxGUi5GLlVTRC5IAQAAAGjWWAYDAAAAAk5NAQgAAAAFAAAAATEBAAAACjE4ODYzMzc0NjYDAAAAAzE2MAIAAAAENDIwOQQAAAABMAcAAAAJNy8zMS8yMDE4CAAAAAkzLzMxLzIwMTgJAAAAATCcC9U4CAnWCCTCmm80CdYIPUNJUS5OQVNEQVFHUzpBTkFCLklRX1JFVkVOVUVfRVNULkNZMjAyMC43LzE2LzIwMTguQ09OLkYuVVNELkgBAAAAIUyyAQIAAAAGMy45MjE0AQ4AAAAFAAAAAjExAQAAAAEwAgAAAAoxMDAzNjI5Mzg0AwAAAAYxMDAxODAEAAAAATIGAAAAATAHAAAAAzE2MAgAAAABMAkAAAABMQoAAAABMAsAAAALMTA4ODc1MTM0MDcMAAAAATcNAAAACTcvMTcvMjAxOBAAAAAJNy8xNi8yMDE4xP8bETUJ1gjCm2ISNQnWCD1DSVEuTkFTREFRR006SU1NVS5JUV9SRVZFTlVFX0VTVC5DWTIwMjAuNy8zMS8yMDE4LkNPTi5GLlVTRC5IAQAAACBDBAACAAAACDI1NC40MzMzAQ4AAAAFAAAAAjExAQAAAAEwAgAAAAkzNzAwODEzOTYDAAAABjEwMDE4MAQAAAABMgYAAAABMAcAAAADMTYwCAAAAAEwCQAAAAExCgAAAAEwCwAAAAsxMDk4MDI2MzY5MQwAAAABNw0AAAAIOC8xLzIwMTgQAAAACTcvMzEvMjAxOJwL1TgICdYI1F+YbzQJ1ggrQ0lRLklRVFIyNzM1MDcxODUuSVFfVFJfSU1QTElFRF9FVl9FQklUX0ZXRAEAAABxY00QAwAAAAJOTQCys0lvNAnWCIH9</t>
  </si>
  <si>
    <t>lW80CdYINUNJUS5OQVNEQVFHUzpBTkFCLklRX05JX01BUkdJTi4uNy8xNi8yMDE4LkxGUi5GLlVTRC5IAQAAACFMsgEDAAAAAk5NAQgAAAAFAAAAATEBAAAACjE4ODc0MDAwNDMDAAAAAzE2MAIAAAAENDA5NAQAAAABMAcAAAAJNy8xNi8yMDE4CAAAAAkzLzMxLzIwMTgJAAAAATDE/xsRNQnWCMKbYhI1CdYIMENJUS5OQVNEQVFHTTpMUFRYLklRX0xBU1RTQUxFUFJJQ0UuNy8xNi8yMDE4LlVTRAEAAAAMNgkHAgAAAAQ4LjQxACkclBA1CdYIMNddEjUJ1ggwQ0lRLklRVFI0MTE4NzEwODIuSVFfVFJfVEFSR0VUX0VCSVREQV9FU1QuLlVTRC5IAQAAAGqnjBgCAAAAAACys0lvNAnWCDWbk280CdYIP0NJUS5OQVNEQVFHUzpFUFpNLklRX05FVF9XT1JLSU5HX0NBUC4xOTk2LjcvMzEvMjAxOC5MRlIuRi5VU0QuSAEAAAADJj0DAgAAAActMTEuMDY3AQgAAAAFAAAAATEBAAAACjE4ODcyNDYwNDkDAAAAAzE2MAIAAAAEMTMxMQQAAAABMAcAAAAJNy8zMS8yMDE4CAAAAAkzLzMxLzIwMTcJAAAAATDWjBE4CAnWCHMknW80CdYIPENJUS5OQVNEQVFHUzpNUlNOLklRX0VBUk5JTkdfQ08uQ1kyMDE2LjcvMzEvMjAxOC5MRlIuRi5VU0QuSAEAAADmxRgAAgAAAAUtMTMuNwEIAAAABQAAAAExAQAAAAoxODgwNTQ3MzgzAwAAAAMxNjACAAAAATcEAAAAATAHAAAACTcvMzEvMjAxOAgAAAAKMTIvMzEvMjAxNgkAAAABMNaM</t>
  </si>
  <si>
    <t>ETgICdYIw4afbzQJ1gg+Q0lRLk5BU0RBUUdTOkNBTEEuSVFfVE9UQUxfRVFVSVRZLkNZMjAxNy43LzMxLzIwMTguTEZSLkYuVVNELkgBAAAApSeBBgIAAAAHMTUwLjMwNwEIAAAABQAAAAExAQAAAAoxODc3OTU1NzA3AwAAAAMxNjACAAAABDEyNzUEAAAAATAHAAAACTcvMzEvMjAxOAgAAAAKMTIvMzEvMjAxNwkAAAABMMgwsjcICdYI3UukbzQJ1gghQ0lRLk5BU0RBUUdTOkVQWk0uSVFfQ09NUEFOWV9OQU1FAQAAAAMmPQMDAAAADUVwaXp5bWUsIEluYy4A1owROAgJ1ggkwppvNAnWCDxDSVEuTkFTREFRQ006TVRFTS5JUV9FQVJOSU5HX0NPLkNZMjAxNy43LzMxLzIwMTguTEZSLkYuVVNELkgBAAAAmZupAQIAAAAGLTIzLjE0AQgAAAAFAAAAATEBAAAACjE4ODExMTg4MTADAAAAAzE2MAIAAAABNwQAAAABMAcAAAAJNy8zMS8yMDE4CAAAAAoxMi8zMS8yMDE3CQAAAAEwyDCyNwgJ1ggZ6aFvNAnWCDpDSVEuTkFTREFRQ006WklPUC5JUV9FQVJOSU5HX0NPLjE5OTYuNy8zMS8yMDE4LkxGUi5GLlVTRC5IAQAAALNRsgACAAAACC0xNjguNzY1AQgAAAAFAAAAATEBAAAACjE4ODc5NzIzNDgDAAAAAzE2MAIAAAABNwQAAAABMAcAAAAJNy8zMS8yMDE4CAAAAAkzLzMxLzIwMTcJAAAAATDWjBE4CAnWCMOGn280CdYILENJUS5JUVRSNDI0MzQyMDQ2LklRX1RSX1RBUkdFVF9FQklUREEuLlVTRC5IAQAAAB7yShkC</t>
  </si>
  <si>
    <t>AAAAAAAMbRAONQnWCMDbgg41CdYIJ0NJUS5OQVNEQVFHUzpDQUxBLklRX0JFVEFfMVlSLjcvMzEvMjAxOAEAAAClJ4EGAgAAABEwLjkyODA2MTgwNjIzMjQ5MwDIMLI3CAnWCN1LpG80CdYINkNJUS5OQVNEQVFHUzpCR05FLklRX05FVF9XT1JLSU5HX0NBUC4xOTkyLi5MRlIuRi5VU0QuSAEAAADg5N0GAgAAAAYtMTQuMzMBCAAAAAUAAAABMQEAAAAKMTg1MjcwMDUyMQMAAAADMTYwAgAAAAQxMzExBAAAAAEwBwAAAAk4LzIzLzIwMTgIAAAACTYvMzAvMjAxNgkAAAABMJwL1TgICdYInAvVOAgJ1gg9Q0lRLk5BU0RBUUdTOkpOQ0UuSVFfUkVWRU5VRV9FU1QuQ1kyMDIxLjcvMTYvMjAxOC5DT04uRi5VU0QuSAEAAADieZ4NAgAAAAc3MC41MDM1AQ4AAAAFAAAAAjExAQAAAAEwAgAAAAoxMDAzNjMwMDE1AwAAAAYxMDAxODAEAAAAATIGAAAAATAHAAAAAzE2MAgAAAABMAkAAAABMQoAAAABMAsAAAALMTA5NDU1NzAyMDgMAAAAATcNAAAACTcvMTcvMjAxOBAAAAAJNy8xNi8yMDE4KRyUEDUJ1giYElkSNQnWCEZDSVEuTkFTREFRQ006WklPUC5JUV9UT1RBTF9SRVZfM1lSX0FOTl9DQUdSLjIwMDAuNy8zMS8yMDE4LkxGUi5GLlVTRC5IAQAAALNRsgACAAAABzUwLjYyNDEBCAAAAAUAAAABMQEAAAAKMTg4Nzk3MjM1OQMAAAADMTYwAgAAAAQ0MjIwBAAAAAEwBwAAAAk3LzMxLzIwMTgIAAAACTMvMzEvMjAxOAkA</t>
  </si>
  <si>
    <t>AAABMNaMETgICdYIw4afbzQJ1gg8Q0lRLk5BU0RBUUNNOlpJT1AuSVFfVE9UQUxfRVFVSVRZLjIwMDAuNy8zMS8yMDE4LkxGUi5GLlVTRC5IAQAAALNRsgACAAAABTI1Ljg5AQgAAAAFAAAAATEBAAAACjE4ODc5NzIzNTkDAAAAAzE2MAIAAAAEMTI3NQQAAAABMAcAAAAJNy8zMS8yMDE4CAAAAAkzLzMxLzIwMTgJAAAAATDWjBE4CAnWCMOGn280CdYILENJUS4uSVFfVE9UQUxfUkVWLjE5OTYuNy8zMS8yMDE4LkxGUi5GLlVTRC5IBQAAAAEAAAAIAAAAFChJbnZhbGlkIElkZW50aWZpZXIp9YQyRzQJ1gj1hDJHNAnWCClDSVEuSVEzNjE4MzgyOC5JUV9MQVNUU0FMRVBSSUNFLjcvMTYvMjAxOAEAAAAUHygCAgAAAAQyLjY3AAxtEA41CdYIDD6FDjUJ1gg9Q0lRLk5BU0RBUUdNOklNTVUuSVFfUkVWRU5VRV9FU1QuQ1kyMDIxLjcvMTYvMjAxOC5DT04uRi5VU0QuSAEAAAAgQwQAAgAAAAg1MjEuNzE2NwEOAAAABQAAAAIxMQEAAAABMAIAAAAJNzI4Mzc1NTk1AwAAAAYxMDAxODAEAAAAATIGAAAAATAHAAAAAzE2MAgAAAABMAkAAAABMQoAAAABMAsAAAALMTA5NTg2NzYxNjcMAAAAATcNAAAACTcvMTcvMjAxOBAAAAAJNy8xNi8yMDE4xP8bETUJ1ggS/mQSNQnWCA==</t>
  </si>
  <si>
    <t>Updated the logo</t>
  </si>
  <si>
    <t>Title and Separators</t>
  </si>
  <si>
    <t>Per Share Present Value By Class</t>
  </si>
  <si>
    <t>&lt;&lt;Change this to 1 to apply uniform discount rate (WACC)</t>
  </si>
  <si>
    <t>DR</t>
  </si>
  <si>
    <t>Per Share Value</t>
  </si>
  <si>
    <t>Share Count</t>
  </si>
  <si>
    <t>Total Value &gt;&gt;</t>
  </si>
  <si>
    <t>Concluded Equity Value &gt;&gt;</t>
  </si>
  <si>
    <t>Difference &gt;&gt;</t>
  </si>
  <si>
    <t xml:space="preserve">Manan </t>
  </si>
  <si>
    <t>Updated the reconciliation calculations for the Implied Equity Value in the off-print section below</t>
  </si>
  <si>
    <t>Diff. in Implied Equity Value</t>
  </si>
  <si>
    <t>Max Difference</t>
  </si>
  <si>
    <t>Added a corresponding check to the above</t>
  </si>
  <si>
    <t>Cell R11</t>
  </si>
  <si>
    <t>Updated Total Labels in cells B46, B70, B101 and B133</t>
  </si>
  <si>
    <t>Set the Outlier Above to 150.0% as default</t>
  </si>
  <si>
    <t>Checks for Volatilities MVIC</t>
  </si>
  <si>
    <t>Updated the formula for MVIC calculation in the DLOM row for all the asset volatilities tabs</t>
  </si>
  <si>
    <t>Added EV checks for all the asset volatilities tabs</t>
  </si>
  <si>
    <r>
      <t xml:space="preserve">Probability of Technical Success </t>
    </r>
    <r>
      <rPr>
        <sz val="11"/>
        <color rgb="FFFFFFFF"/>
        <rFont val="Georgia"/>
        <family val="1"/>
      </rPr>
      <t>(1)</t>
    </r>
  </si>
  <si>
    <r>
      <t xml:space="preserve">Probability of Technical Success - Lead Indications </t>
    </r>
    <r>
      <rPr>
        <i/>
        <sz val="11"/>
        <color theme="1"/>
        <rFont val="Georgia"/>
        <family val="1"/>
      </rPr>
      <t>(1)</t>
    </r>
  </si>
  <si>
    <r>
      <t xml:space="preserve">Overall Success Rates </t>
    </r>
    <r>
      <rPr>
        <i/>
        <sz val="11"/>
        <color theme="1"/>
        <rFont val="Georgia"/>
        <family val="1"/>
      </rPr>
      <t>(1)</t>
    </r>
  </si>
  <si>
    <r>
      <t xml:space="preserve">Lead Optimization and Preclinical Success Rates </t>
    </r>
    <r>
      <rPr>
        <i/>
        <sz val="11"/>
        <color theme="1"/>
        <rFont val="Georgia"/>
        <family val="1"/>
      </rPr>
      <t>(2)</t>
    </r>
  </si>
  <si>
    <t>Percentage Change in Market</t>
  </si>
  <si>
    <t>Market Trends Since Previous Valuation</t>
  </si>
  <si>
    <r>
      <t xml:space="preserve">Asset Vol. </t>
    </r>
    <r>
      <rPr>
        <sz val="11"/>
        <rFont val="Georgia"/>
        <family val="1"/>
      </rPr>
      <t>(1)</t>
    </r>
  </si>
  <si>
    <r>
      <t xml:space="preserve">The derivation of asset volatilities was estimated based on the methodologies outlined in Crosbie's paper entitled </t>
    </r>
    <r>
      <rPr>
        <i/>
        <sz val="11"/>
        <color theme="1"/>
        <rFont val="Georgia"/>
        <family val="1"/>
      </rPr>
      <t>Modeling Default Risk</t>
    </r>
    <r>
      <rPr>
        <sz val="11"/>
        <color theme="1"/>
        <rFont val="Georgia"/>
        <family val="1"/>
      </rPr>
      <t>.</t>
    </r>
  </si>
  <si>
    <r>
      <t xml:space="preserve">Mergerstat (Overall &amp; Business Services) </t>
    </r>
    <r>
      <rPr>
        <sz val="11"/>
        <color theme="1"/>
        <rFont val="Georgia"/>
        <family val="1"/>
      </rPr>
      <t>(1)</t>
    </r>
  </si>
  <si>
    <r>
      <t xml:space="preserve">Capital IQ (Healthcare Technology) </t>
    </r>
    <r>
      <rPr>
        <sz val="11"/>
        <color theme="1"/>
        <rFont val="Georgia"/>
        <family val="1"/>
      </rPr>
      <t>(2)</t>
    </r>
  </si>
  <si>
    <r>
      <t xml:space="preserve">Features </t>
    </r>
    <r>
      <rPr>
        <sz val="11"/>
        <color theme="1"/>
        <rFont val="Georgia"/>
        <family val="1"/>
      </rPr>
      <t>(1)</t>
    </r>
  </si>
  <si>
    <r>
      <t>Shareholders</t>
    </r>
    <r>
      <rPr>
        <sz val="11"/>
        <color rgb="FFFFFFFF"/>
        <rFont val="Georgia"/>
        <family val="1"/>
      </rPr>
      <t xml:space="preserve"> (1)</t>
    </r>
  </si>
  <si>
    <r>
      <t xml:space="preserve">Control Premium Summary </t>
    </r>
    <r>
      <rPr>
        <sz val="11"/>
        <color rgb="FFFFFFFF"/>
        <rFont val="Georgia"/>
        <family val="1"/>
      </rPr>
      <t>(1)</t>
    </r>
  </si>
  <si>
    <r>
      <t>Applied Multiples</t>
    </r>
    <r>
      <rPr>
        <sz val="11"/>
        <color rgb="FFFFFFFF"/>
        <rFont val="Georgia"/>
        <family val="1"/>
      </rPr>
      <t xml:space="preserve"> (2)</t>
    </r>
  </si>
  <si>
    <r>
      <t xml:space="preserve">Weights </t>
    </r>
    <r>
      <rPr>
        <sz val="11"/>
        <color rgb="FFFFFFFF"/>
        <rFont val="Georgia"/>
        <family val="1"/>
      </rPr>
      <t>(4)</t>
    </r>
  </si>
  <si>
    <r>
      <t xml:space="preserve">Applied Multiples </t>
    </r>
    <r>
      <rPr>
        <sz val="11"/>
        <color rgb="FFFFFFFF"/>
        <rFont val="Georgia"/>
        <family val="1"/>
      </rPr>
      <t>(1)</t>
    </r>
  </si>
  <si>
    <r>
      <t xml:space="preserve">Weightings </t>
    </r>
    <r>
      <rPr>
        <sz val="11"/>
        <color rgb="FFFFFFFF"/>
        <rFont val="Georgia"/>
        <family val="1"/>
      </rPr>
      <t>(3)</t>
    </r>
  </si>
  <si>
    <r>
      <t xml:space="preserve">Plummer </t>
    </r>
    <r>
      <rPr>
        <sz val="11"/>
        <color rgb="FFFFFFFF"/>
        <rFont val="Georgia"/>
        <family val="1"/>
      </rPr>
      <t>(2)</t>
    </r>
  </si>
  <si>
    <r>
      <t>Scherlis &amp; Sahlman</t>
    </r>
    <r>
      <rPr>
        <sz val="11"/>
        <color rgb="FFFFFFFF"/>
        <rFont val="Georgia"/>
        <family val="1"/>
      </rPr>
      <t xml:space="preserve"> (3)</t>
    </r>
  </si>
  <si>
    <r>
      <t>Sahlman &amp; Others</t>
    </r>
    <r>
      <rPr>
        <sz val="11"/>
        <color rgb="FFFFFFFF"/>
        <rFont val="Georgia"/>
        <family val="1"/>
      </rPr>
      <t xml:space="preserve"> (4)</t>
    </r>
  </si>
  <si>
    <t xml:space="preserve">Dhawaj </t>
  </si>
  <si>
    <t xml:space="preserve">Template </t>
  </si>
  <si>
    <t>Changed font to Georgia and font size 11</t>
  </si>
  <si>
    <t>Trucode Gene Repair, Inc.</t>
  </si>
  <si>
    <t>Price per share</t>
  </si>
  <si>
    <t>Percentage Outstanding</t>
  </si>
  <si>
    <t>Fully Diluted Ownership</t>
  </si>
  <si>
    <t>Fully diluted shares</t>
  </si>
  <si>
    <t>Options poured out</t>
  </si>
  <si>
    <t>Options poured in</t>
  </si>
  <si>
    <t>Shares available for issuance under the plan</t>
  </si>
  <si>
    <t>Options and RSU's issued and outstanding</t>
  </si>
  <si>
    <t>Zhen Zhang</t>
  </si>
  <si>
    <t>Yale University</t>
  </si>
  <si>
    <t>Xiao-Jun Li</t>
  </si>
  <si>
    <t>Walton, Mitchell &amp; Co., Inc.</t>
  </si>
  <si>
    <t>W. Mark Saltzman</t>
  </si>
  <si>
    <t>Tumul Srivastava</t>
  </si>
  <si>
    <t>Trust William L. Mellon for James M. Walton</t>
  </si>
  <si>
    <t>Thomas Zengeya</t>
  </si>
  <si>
    <t>The Susan K. Whoriskey Revocable Trust of 2016</t>
  </si>
  <si>
    <t>The Susan K. Whoriskey Irrevocable Trust of 2016</t>
  </si>
  <si>
    <t>Sze Nok (Florence) Tam</t>
  </si>
  <si>
    <t>Susan Whoriskey</t>
  </si>
  <si>
    <t>Somayeh Tarighat</t>
  </si>
  <si>
    <t>Shiah-yun Chen</t>
  </si>
  <si>
    <t>Scott Leonard</t>
  </si>
  <si>
    <t>Ronald M. Cook</t>
  </si>
  <si>
    <t>Peter Glazer</t>
  </si>
  <si>
    <t>Ninad Dixit</t>
  </si>
  <si>
    <t>Nicholas Hadland</t>
  </si>
  <si>
    <t>Marshall Fordyce</t>
  </si>
  <si>
    <t>Mark Schoeppner</t>
  </si>
  <si>
    <t>Mark Hayes</t>
  </si>
  <si>
    <t>Mark Fiandaca</t>
  </si>
  <si>
    <t>Marie E. Egan</t>
  </si>
  <si>
    <t>MAG Ventures LLC</t>
  </si>
  <si>
    <t>Lauren Frenz</t>
  </si>
  <si>
    <t>KPCB Holdings, Inc., as nominee</t>
  </si>
  <si>
    <t>Kim Magazine</t>
  </si>
  <si>
    <t>Kelly Burgess</t>
  </si>
  <si>
    <t>JMW Investment LLC</t>
  </si>
  <si>
    <t>Jinsoo Kim</t>
  </si>
  <si>
    <t>Jian Guan</t>
  </si>
  <si>
    <t>James W. Fordyce</t>
  </si>
  <si>
    <t>James Coull</t>
  </si>
  <si>
    <t>Jack W. Szostak</t>
  </si>
  <si>
    <t>Jack T. Johansen</t>
  </si>
  <si>
    <t>Ian Magazine</t>
  </si>
  <si>
    <t>H. Lawrence Ross III Exempt Descendants Trust</t>
  </si>
  <si>
    <t>H. Lawrence Ross</t>
  </si>
  <si>
    <t>GV 2017, L.P.</t>
  </si>
  <si>
    <t>George Kemble</t>
  </si>
  <si>
    <t>Dubiety Holdings, LLC</t>
  </si>
  <si>
    <t>Derek Sim</t>
  </si>
  <si>
    <t>Denise Stow</t>
  </si>
  <si>
    <t>Danith Ly</t>
  </si>
  <si>
    <t>Christopher K Mellon</t>
  </si>
  <si>
    <t>Charles Goetz</t>
  </si>
  <si>
    <t>Carnegie Mellon University</t>
  </si>
  <si>
    <t>Bruce Armitage</t>
  </si>
  <si>
    <t>Brian Gildea</t>
  </si>
  <si>
    <t>Brandon Hriniak</t>
  </si>
  <si>
    <t>Blackswan Holdings, LLC</t>
  </si>
  <si>
    <t>Andrew Fraley</t>
  </si>
  <si>
    <t>Andrew Curd</t>
  </si>
  <si>
    <t>Andrew Cheng</t>
  </si>
  <si>
    <t>Amy Marques</t>
  </si>
  <si>
    <t>Allen Ebens</t>
  </si>
  <si>
    <t>Alan S. Bridges</t>
  </si>
  <si>
    <t>Adele Ricciardi</t>
  </si>
  <si>
    <t>Outstanding Ownership</t>
  </si>
  <si>
    <t>Fully Diluted Shares</t>
  </si>
  <si>
    <t>Outstanding Shares</t>
  </si>
  <si>
    <t>Options and RSU's Outstanding Under 2017 Equity Incentive Plan</t>
  </si>
  <si>
    <t>Options and RSU's Outstanding Under PNAi 2011 Stock Plan</t>
  </si>
  <si>
    <t>Series Seed Preferred (PS)
1:1 Conversion Ratio</t>
  </si>
  <si>
    <t>Series Seed Preferred (PS)</t>
  </si>
  <si>
    <t>Series Seed-1 Preferred (PS1)
1:1 Conversion Ratio</t>
  </si>
  <si>
    <t>Series Seed-1 Preferred (PS1)</t>
  </si>
  <si>
    <t>Series B Preferred (PB)
1:1 Conversion Ratio</t>
  </si>
  <si>
    <t>Series B Preferred (PB)</t>
  </si>
  <si>
    <t>Series A Preferred (PA)
1:1 Conversion Ratio</t>
  </si>
  <si>
    <t>Series A Preferred (PA)</t>
  </si>
  <si>
    <t>Common (CS)</t>
  </si>
  <si>
    <t>Name</t>
  </si>
  <si>
    <t xml:space="preserve">As of 02/13/2019 • Generated by Lauren Frenz (lauren.frenz@trucodegene.com) at 02/13/2019 03:41:49 </t>
  </si>
  <si>
    <t>Trucode Gene Repair, Inc. Detailed Capitalization Table</t>
  </si>
  <si>
    <t>1/48 monthly, 1 year cliff</t>
  </si>
  <si>
    <t>ISO</t>
  </si>
  <si>
    <t>ES-66</t>
  </si>
  <si>
    <t>ES-65</t>
  </si>
  <si>
    <t>ES-62</t>
  </si>
  <si>
    <t>ES-60</t>
  </si>
  <si>
    <t>ES-59</t>
  </si>
  <si>
    <t>ISO/NSO Split</t>
  </si>
  <si>
    <t>ES-63</t>
  </si>
  <si>
    <t>NSO</t>
  </si>
  <si>
    <t>ES-64</t>
  </si>
  <si>
    <t>Sherin Halfon</t>
  </si>
  <si>
    <t>ES-61</t>
  </si>
  <si>
    <t>ES-58</t>
  </si>
  <si>
    <t>ES-57</t>
  </si>
  <si>
    <t>ES-47</t>
  </si>
  <si>
    <t>ES-53</t>
  </si>
  <si>
    <t>ES-42</t>
  </si>
  <si>
    <t>ES-51</t>
  </si>
  <si>
    <t>ES-41</t>
  </si>
  <si>
    <t>ES-54</t>
  </si>
  <si>
    <t>ES-45</t>
  </si>
  <si>
    <t>ES-55</t>
  </si>
  <si>
    <t>ES-48</t>
  </si>
  <si>
    <t>ES-49</t>
  </si>
  <si>
    <t>ES-44</t>
  </si>
  <si>
    <t>amorales@cooley.com</t>
  </si>
  <si>
    <t>ES-43</t>
  </si>
  <si>
    <t>ES-50</t>
  </si>
  <si>
    <t>ES-52</t>
  </si>
  <si>
    <t>Bo Ying</t>
  </si>
  <si>
    <t>ES-56</t>
  </si>
  <si>
    <t>ES-46</t>
  </si>
  <si>
    <t>Fully Vested</t>
  </si>
  <si>
    <t>ES-40</t>
  </si>
  <si>
    <t>ES-38</t>
  </si>
  <si>
    <t>ES-39</t>
  </si>
  <si>
    <t>ES-37</t>
  </si>
  <si>
    <t>ES-34</t>
  </si>
  <si>
    <t>ES-35</t>
  </si>
  <si>
    <t>1/48 monthly, no cliff</t>
  </si>
  <si>
    <t>ES-36</t>
  </si>
  <si>
    <t>ES-28</t>
  </si>
  <si>
    <t>ES-24</t>
  </si>
  <si>
    <t>ES-29</t>
  </si>
  <si>
    <t>ES-30</t>
  </si>
  <si>
    <t>ES-23</t>
  </si>
  <si>
    <t>ES-32</t>
  </si>
  <si>
    <t>ES-31</t>
  </si>
  <si>
    <t>ES-33</t>
  </si>
  <si>
    <t>Accelerated 1/48 monthly, 1 year cliff</t>
  </si>
  <si>
    <t>ES-25</t>
  </si>
  <si>
    <t>ES-27</t>
  </si>
  <si>
    <t>ES-26</t>
  </si>
  <si>
    <t>ES-21</t>
  </si>
  <si>
    <t>ES-20</t>
  </si>
  <si>
    <t>ES-19</t>
  </si>
  <si>
    <t>1/8 immediately; 1/8 quarterly (Egan)</t>
  </si>
  <si>
    <t>ES-16</t>
  </si>
  <si>
    <t>1/8 immediately; 1/8 quarterly (Glazer)</t>
  </si>
  <si>
    <t>ES-18</t>
  </si>
  <si>
    <t>1/8 immediately; 1/8 quarterly (Saltzman)</t>
  </si>
  <si>
    <t>ES-17</t>
  </si>
  <si>
    <t>1/36 monthly; 1 year cliff (Coull)</t>
  </si>
  <si>
    <t>ES-11</t>
  </si>
  <si>
    <t>1/36 monthly; 1 year cliff (Gildea)</t>
  </si>
  <si>
    <t>ES-12</t>
  </si>
  <si>
    <t>ES-15</t>
  </si>
  <si>
    <t>1/36 monthly; 1 year cliff (Fraley)</t>
  </si>
  <si>
    <t>ES-13</t>
  </si>
  <si>
    <t>1/36 monthly; 1 year cliff (Whoriskey)</t>
  </si>
  <si>
    <t>ES-14</t>
  </si>
  <si>
    <t>ES-10</t>
  </si>
  <si>
    <t>ES-09</t>
  </si>
  <si>
    <t>1/12 quarterly, no cliff (Hriniak)</t>
  </si>
  <si>
    <t>ES-08</t>
  </si>
  <si>
    <t>1/12 quarterly, no cliff</t>
  </si>
  <si>
    <t>ES-02</t>
  </si>
  <si>
    <t>ES-07</t>
  </si>
  <si>
    <t>ES-06</t>
  </si>
  <si>
    <t>1/12 quarterly (Magazine)</t>
  </si>
  <si>
    <t>ES-22</t>
  </si>
  <si>
    <t>1/12 quarterly, no cliff (Magazine)</t>
  </si>
  <si>
    <t>ES-05</t>
  </si>
  <si>
    <t>1/12 quarterly, no cliff (Srivastava)</t>
  </si>
  <si>
    <t>ES-03</t>
  </si>
  <si>
    <t>1/12 quarterly, no cliff (Kim)</t>
  </si>
  <si>
    <t>ES-04</t>
  </si>
  <si>
    <t>1/48 monthly, 1 year cliff (Srivastava)</t>
  </si>
  <si>
    <t>ES-01</t>
  </si>
  <si>
    <t>Employee ID</t>
  </si>
  <si>
    <t>Percentage vested at the end of the period</t>
  </si>
  <si>
    <t>Vested and outstanding at the end of the period</t>
  </si>
  <si>
    <t>Total exercised at the end of the period</t>
  </si>
  <si>
    <t>Total vested at the end of the period</t>
  </si>
  <si>
    <t>Total exercised during the period</t>
  </si>
  <si>
    <t>$ amount vesting during the period</t>
  </si>
  <si>
    <t>Grant date FMV</t>
  </si>
  <si>
    <t>Total vested during the period</t>
  </si>
  <si>
    <t>Options &amp; RSUs outstanding</t>
  </si>
  <si>
    <t>Options &amp; RSUs granted</t>
  </si>
  <si>
    <t>Vesting start date</t>
  </si>
  <si>
    <t>Vesting schedule</t>
  </si>
  <si>
    <t>Award type</t>
  </si>
  <si>
    <t>Early Exercisable</t>
  </si>
  <si>
    <t>Security holder name</t>
  </si>
  <si>
    <t>Issue date</t>
  </si>
  <si>
    <t>02/15/2019</t>
  </si>
  <si>
    <t>Vesting Period End Date:</t>
  </si>
  <si>
    <t>10/02/2011</t>
  </si>
  <si>
    <t>Vesting Period Start Date:</t>
  </si>
  <si>
    <t>Customize the start and end periods to filter shares vested</t>
  </si>
  <si>
    <t xml:space="preserve">As of 02/15/2019 • Generated by Lauren Frenz (lauren.frenz@trucodegene.com) at 02/15/2019 09:33:14 </t>
  </si>
  <si>
    <t xml:space="preserve">Trucode Gene Repair, Inc. Options &amp; RSUs </t>
  </si>
  <si>
    <t>options</t>
  </si>
  <si>
    <t>Ser A</t>
  </si>
  <si>
    <t>Ser B</t>
  </si>
  <si>
    <t>CS-099</t>
  </si>
  <si>
    <t>CS-098</t>
  </si>
  <si>
    <t>CS-097</t>
  </si>
  <si>
    <t>CS-095</t>
  </si>
  <si>
    <t>CS-094</t>
  </si>
  <si>
    <t>CS-096</t>
  </si>
  <si>
    <t>Series Seed-1 Preferred</t>
  </si>
  <si>
    <t>PS1-016</t>
  </si>
  <si>
    <t>PS1-017</t>
  </si>
  <si>
    <t>Series Seed Preferred</t>
  </si>
  <si>
    <t>PS-007</t>
  </si>
  <si>
    <t>PS1-018</t>
  </si>
  <si>
    <t>Series A Preferred</t>
  </si>
  <si>
    <t>PA-013</t>
  </si>
  <si>
    <t>PA-014</t>
  </si>
  <si>
    <t>PS-005</t>
  </si>
  <si>
    <t>PS-006</t>
  </si>
  <si>
    <t>PA-015</t>
  </si>
  <si>
    <t>CS-093</t>
  </si>
  <si>
    <t>CS-092</t>
  </si>
  <si>
    <t>CS-091</t>
  </si>
  <si>
    <t>CS-090</t>
  </si>
  <si>
    <t>CS-089</t>
  </si>
  <si>
    <t>CS-088</t>
  </si>
  <si>
    <t>CS-087</t>
  </si>
  <si>
    <t>CS-086</t>
  </si>
  <si>
    <t>CS-083</t>
  </si>
  <si>
    <t>CS-085</t>
  </si>
  <si>
    <t>CS-084</t>
  </si>
  <si>
    <t>CS-082</t>
  </si>
  <si>
    <t>CS-081</t>
  </si>
  <si>
    <t>CS-080</t>
  </si>
  <si>
    <t>CS-079</t>
  </si>
  <si>
    <t>CS-078</t>
  </si>
  <si>
    <t>CS-077</t>
  </si>
  <si>
    <t>CS-076</t>
  </si>
  <si>
    <t>CS-071</t>
  </si>
  <si>
    <t>CS-072</t>
  </si>
  <si>
    <t>CS-075</t>
  </si>
  <si>
    <t>CS-073</t>
  </si>
  <si>
    <t>CS-074</t>
  </si>
  <si>
    <t>CS-070</t>
  </si>
  <si>
    <t>CS-069</t>
  </si>
  <si>
    <t>CS-068</t>
  </si>
  <si>
    <t>CS-066</t>
  </si>
  <si>
    <t>CS-067</t>
  </si>
  <si>
    <t>CS-065</t>
  </si>
  <si>
    <t>CS-064</t>
  </si>
  <si>
    <t>CS-063</t>
  </si>
  <si>
    <t>CS-062</t>
  </si>
  <si>
    <t>CS-061</t>
  </si>
  <si>
    <t>CS-060</t>
  </si>
  <si>
    <t>CS-059</t>
  </si>
  <si>
    <t>CS-058</t>
  </si>
  <si>
    <t>CS-057</t>
  </si>
  <si>
    <t>CS-056</t>
  </si>
  <si>
    <t>CS-055</t>
  </si>
  <si>
    <t>CS-054</t>
  </si>
  <si>
    <t>CS-053</t>
  </si>
  <si>
    <t>CS-052</t>
  </si>
  <si>
    <t>CS-051</t>
  </si>
  <si>
    <t>CS-050</t>
  </si>
  <si>
    <t>CS-048</t>
  </si>
  <si>
    <t>CS-049</t>
  </si>
  <si>
    <t>CS-047</t>
  </si>
  <si>
    <t>CS-046</t>
  </si>
  <si>
    <t>CS-045</t>
  </si>
  <si>
    <t>Series B Preferred</t>
  </si>
  <si>
    <t>PB-008</t>
  </si>
  <si>
    <t>PB-006</t>
  </si>
  <si>
    <t>PB-005</t>
  </si>
  <si>
    <t>PB-001</t>
  </si>
  <si>
    <t>PB-011</t>
  </si>
  <si>
    <t>PB-010</t>
  </si>
  <si>
    <t>PB-002</t>
  </si>
  <si>
    <t>PB-004</t>
  </si>
  <si>
    <t>PB-009</t>
  </si>
  <si>
    <t>PB-003</t>
  </si>
  <si>
    <t>PB-007</t>
  </si>
  <si>
    <t>CS-044</t>
  </si>
  <si>
    <t>CS-043</t>
  </si>
  <si>
    <t>CS-042</t>
  </si>
  <si>
    <t>CS-041</t>
  </si>
  <si>
    <t>CS-040</t>
  </si>
  <si>
    <t>CS-039</t>
  </si>
  <si>
    <t>CS-037</t>
  </si>
  <si>
    <t>CS-038</t>
  </si>
  <si>
    <t>CS-036</t>
  </si>
  <si>
    <t>CS-035</t>
  </si>
  <si>
    <t>CS-034</t>
  </si>
  <si>
    <t>CS-033</t>
  </si>
  <si>
    <t>CS-032</t>
  </si>
  <si>
    <t>CS-031</t>
  </si>
  <si>
    <t>CS-029</t>
  </si>
  <si>
    <t>CS-030</t>
  </si>
  <si>
    <t>CS-028</t>
  </si>
  <si>
    <t>CS-027</t>
  </si>
  <si>
    <t>CS-026</t>
  </si>
  <si>
    <t>CS-025</t>
  </si>
  <si>
    <t>CS-024</t>
  </si>
  <si>
    <t>CS-023</t>
  </si>
  <si>
    <t>CS-022</t>
  </si>
  <si>
    <t>PS1-015</t>
  </si>
  <si>
    <t>PS1-014</t>
  </si>
  <si>
    <t>PA-012</t>
  </si>
  <si>
    <t>CS-021</t>
  </si>
  <si>
    <t>PA-006</t>
  </si>
  <si>
    <t>PA-004</t>
  </si>
  <si>
    <t>PA-010</t>
  </si>
  <si>
    <t>PA-005</t>
  </si>
  <si>
    <t>PA-011</t>
  </si>
  <si>
    <t>PA-009</t>
  </si>
  <si>
    <t>PA-002</t>
  </si>
  <si>
    <t>PA-003</t>
  </si>
  <si>
    <t>PA-001</t>
  </si>
  <si>
    <t>PA-008</t>
  </si>
  <si>
    <t>PA-007</t>
  </si>
  <si>
    <t>CS-018-B</t>
  </si>
  <si>
    <t>CS-017-A</t>
  </si>
  <si>
    <t>CS-018-A</t>
  </si>
  <si>
    <t>CS-019-A</t>
  </si>
  <si>
    <t>CS-016-B</t>
  </si>
  <si>
    <t>CS-017-B</t>
  </si>
  <si>
    <t>CS-019-B</t>
  </si>
  <si>
    <t>CS-004</t>
  </si>
  <si>
    <t>PS-003</t>
  </si>
  <si>
    <t>CS-013</t>
  </si>
  <si>
    <t>CS-20a</t>
  </si>
  <si>
    <t>CS-20b</t>
  </si>
  <si>
    <t>CS-20c</t>
  </si>
  <si>
    <t>CS-20d</t>
  </si>
  <si>
    <t>PS-001</t>
  </si>
  <si>
    <t>PS-004</t>
  </si>
  <si>
    <t>PS-002</t>
  </si>
  <si>
    <t>PS1-011</t>
  </si>
  <si>
    <t>PS1-004</t>
  </si>
  <si>
    <t>PS1-009</t>
  </si>
  <si>
    <t>PS1-008</t>
  </si>
  <si>
    <t>PS1-010</t>
  </si>
  <si>
    <t>PS1-005</t>
  </si>
  <si>
    <t>PS1-007</t>
  </si>
  <si>
    <t>PS1-001</t>
  </si>
  <si>
    <t>PS1-006</t>
  </si>
  <si>
    <t>PS1-003</t>
  </si>
  <si>
    <t>PS1-013</t>
  </si>
  <si>
    <t>PS1-012</t>
  </si>
  <si>
    <t>PS1-002</t>
  </si>
  <si>
    <t>CS-011</t>
  </si>
  <si>
    <t>CS-016-A</t>
  </si>
  <si>
    <t>CS-015</t>
  </si>
  <si>
    <t>CS-014</t>
  </si>
  <si>
    <t>CS-012</t>
  </si>
  <si>
    <t>CS-010</t>
  </si>
  <si>
    <t>CS-009</t>
  </si>
  <si>
    <t>CS-008-B</t>
  </si>
  <si>
    <t>CS-008-A</t>
  </si>
  <si>
    <t>CS-007</t>
  </si>
  <si>
    <t>CS-006</t>
  </si>
  <si>
    <t>CS-005</t>
  </si>
  <si>
    <t>CS-003</t>
  </si>
  <si>
    <t>CS-002</t>
  </si>
  <si>
    <t>CS-001</t>
  </si>
  <si>
    <t>Quantity issued</t>
  </si>
  <si>
    <t>Share class</t>
  </si>
  <si>
    <t xml:space="preserve">Trucode Gene Repair, Inc. Certificates </t>
  </si>
  <si>
    <t>Option grant</t>
  </si>
  <si>
    <t>N/A</t>
  </si>
  <si>
    <t>Certificate</t>
  </si>
  <si>
    <t>Forfeited/Canceled prior to vesting</t>
  </si>
  <si>
    <t>Cancel/Expiration date</t>
  </si>
  <si>
    <t>Termination date</t>
  </si>
  <si>
    <t>Exercise date</t>
  </si>
  <si>
    <t>Shares exercised</t>
  </si>
  <si>
    <t>Quantity</t>
  </si>
  <si>
    <t>Vesting date</t>
  </si>
  <si>
    <t>Grant date</t>
  </si>
  <si>
    <t xml:space="preserve">As of 02/15/2019 • Generated by Lauren Frenz (lauren.frenz@trucodegene.com) at 02/15/2019 09:33:15 </t>
  </si>
  <si>
    <t xml:space="preserve">Trucode Gene Repair, Inc. Vesting Details </t>
  </si>
  <si>
    <t>TRUCODE Gene Repair, Inc.</t>
  </si>
  <si>
    <t>Income Statement</t>
  </si>
  <si>
    <t>For the Month Ended December 31, 2018</t>
  </si>
  <si>
    <t>($000's)</t>
  </si>
  <si>
    <t>Current Month</t>
  </si>
  <si>
    <t>Quarter-to-Date</t>
  </si>
  <si>
    <t>Year-to-Date</t>
  </si>
  <si>
    <t>Budget</t>
  </si>
  <si>
    <t>Income</t>
  </si>
  <si>
    <t>COGS</t>
  </si>
  <si>
    <t xml:space="preserve">  Gross Profit</t>
  </si>
  <si>
    <t>Expenses:</t>
  </si>
  <si>
    <t xml:space="preserve">  Wages &amp; Benefits</t>
  </si>
  <si>
    <t xml:space="preserve">  Facilities</t>
  </si>
  <si>
    <t xml:space="preserve">  Professional &amp; Legal</t>
  </si>
  <si>
    <t xml:space="preserve">  Travel &amp; Entertainment</t>
  </si>
  <si>
    <t xml:space="preserve">  Sales &amp; Marketing</t>
  </si>
  <si>
    <t xml:space="preserve">  Licensing &amp; Patents</t>
  </si>
  <si>
    <t xml:space="preserve">  General R&amp;D</t>
  </si>
  <si>
    <t xml:space="preserve">  General R&amp;D Formulation/CMC</t>
  </si>
  <si>
    <t xml:space="preserve">  General Pre-Clinical</t>
  </si>
  <si>
    <t xml:space="preserve">  Beta Thal Program</t>
  </si>
  <si>
    <t xml:space="preserve">  Sickle Cell Disease Program</t>
  </si>
  <si>
    <t xml:space="preserve">  Sickle Cell Disease Program 2</t>
  </si>
  <si>
    <t xml:space="preserve">  Cystic Fibrosis Program</t>
  </si>
  <si>
    <t xml:space="preserve">  Liver Disease Program</t>
  </si>
  <si>
    <t xml:space="preserve">  Program 4</t>
  </si>
  <si>
    <t xml:space="preserve">  Other Operating</t>
  </si>
  <si>
    <t>Total Operating Expenses</t>
  </si>
  <si>
    <t xml:space="preserve">  Other Income/(Expense):</t>
  </si>
  <si>
    <t xml:space="preserve">    Interest Income</t>
  </si>
  <si>
    <t xml:space="preserve">    Depreciation &amp; Amortization</t>
  </si>
  <si>
    <t xml:space="preserve">    Interest Expense</t>
  </si>
  <si>
    <t xml:space="preserve">  Total Other Income/(Expense)</t>
  </si>
  <si>
    <t>Statement of Cash Flows</t>
  </si>
  <si>
    <t xml:space="preserve"> </t>
  </si>
  <si>
    <t>OPERATING ACTIVITIES</t>
  </si>
  <si>
    <t xml:space="preserve">  Net Income</t>
  </si>
  <si>
    <t xml:space="preserve">  Adjustments to reconcile Net Income to </t>
  </si>
  <si>
    <t xml:space="preserve">  net cash provided by operations:</t>
  </si>
  <si>
    <t xml:space="preserve">    Accounts Receivable</t>
  </si>
  <si>
    <t xml:space="preserve">    Accounts Payable</t>
  </si>
  <si>
    <t xml:space="preserve">    Accrued Expenses</t>
  </si>
  <si>
    <t xml:space="preserve">    Restricted Cash</t>
  </si>
  <si>
    <t xml:space="preserve">    Prepaid &amp; Other Current Assets</t>
  </si>
  <si>
    <t>Net cash provided by Operating Activiities</t>
  </si>
  <si>
    <t>INVESTING ACTIVITIES</t>
  </si>
  <si>
    <t xml:space="preserve">  Purchase of Property &amp; Equipment</t>
  </si>
  <si>
    <t>Net cash provided by Investing Activities</t>
  </si>
  <si>
    <t>FINANCING ACTIVITIES</t>
  </si>
  <si>
    <t xml:space="preserve">  Proceeds from issuance of Common Stock</t>
  </si>
  <si>
    <t xml:space="preserve">  Proceeds from issuance of Preferred Stock</t>
  </si>
  <si>
    <t xml:space="preserve">  Payment of Preferred Financing Legal Fees</t>
  </si>
  <si>
    <t xml:space="preserve">  Proceeds from Capital Lease</t>
  </si>
  <si>
    <t xml:space="preserve">  Capital Lease Payments</t>
  </si>
  <si>
    <t xml:space="preserve">  Proceeds from issuance of (repayment of debt)</t>
  </si>
  <si>
    <t>Net cash provided by financing activities</t>
  </si>
  <si>
    <t>Net Increase (Decrease) in cash</t>
  </si>
  <si>
    <t>Cash at beginning of period</t>
  </si>
  <si>
    <t>Cash at end of period</t>
  </si>
  <si>
    <t>Balance Sheet</t>
  </si>
  <si>
    <t>At December 31, 2018</t>
  </si>
  <si>
    <t>ASSETS</t>
  </si>
  <si>
    <t xml:space="preserve">  Current Assets</t>
  </si>
  <si>
    <t xml:space="preserve">    Silicon Valley Bank</t>
  </si>
  <si>
    <t xml:space="preserve">  Total Cash &amp; Equivalents</t>
  </si>
  <si>
    <t xml:space="preserve">  Accounts Receivable</t>
  </si>
  <si>
    <t xml:space="preserve">  Other Current Assets</t>
  </si>
  <si>
    <t xml:space="preserve">  Restricted Cash - SVB Collateral</t>
  </si>
  <si>
    <t>Deposits-LT</t>
  </si>
  <si>
    <t>Fixed Assets, Net</t>
  </si>
  <si>
    <t>Other Assets, Net</t>
  </si>
  <si>
    <t>TOTAL ASSETS</t>
  </si>
  <si>
    <t>LIABILITIES &amp; EQUITY</t>
  </si>
  <si>
    <t xml:space="preserve">  Current Liabilities</t>
  </si>
  <si>
    <t xml:space="preserve">    Acccounts Payable</t>
  </si>
  <si>
    <t xml:space="preserve">    Capital Lease Payable-ST</t>
  </si>
  <si>
    <t xml:space="preserve">    Loan Payable-CMU-ST</t>
  </si>
  <si>
    <t xml:space="preserve">  Total Current Liabiltiies</t>
  </si>
  <si>
    <t xml:space="preserve">  Long Term Liabilities</t>
  </si>
  <si>
    <t xml:space="preserve">    Capital Lease Payable-LT</t>
  </si>
  <si>
    <t xml:space="preserve">  Total Long Term Liabilities</t>
  </si>
  <si>
    <t>Total Liabiltiies</t>
  </si>
  <si>
    <t xml:space="preserve">  Common, Preferred, net of financing</t>
  </si>
  <si>
    <t xml:space="preserve">  Preferred Stock, net of Financing</t>
  </si>
  <si>
    <t xml:space="preserve">  Retained Earnings</t>
  </si>
  <si>
    <t>TOTAL LIABILTIIES &amp; EQUITY</t>
  </si>
  <si>
    <t>Projected Income Statement</t>
  </si>
  <si>
    <t>Tie to Actuals</t>
  </si>
  <si>
    <t>Tie to Overall</t>
  </si>
  <si>
    <t xml:space="preserve">  Other Operating Expenses</t>
  </si>
  <si>
    <t xml:space="preserve">  Program #4</t>
  </si>
  <si>
    <t xml:space="preserve">  Sickle Cell Disease Program #2</t>
  </si>
  <si>
    <t xml:space="preserve">  Beta-Thal Program</t>
  </si>
  <si>
    <t xml:space="preserve">  General Preclinical</t>
  </si>
  <si>
    <t xml:space="preserve">  General R&amp;D - Formulation / CMC</t>
  </si>
  <si>
    <t>Q4</t>
  </si>
  <si>
    <t>Q3</t>
  </si>
  <si>
    <t>Q2</t>
  </si>
  <si>
    <t>Q1</t>
  </si>
  <si>
    <t>Dec</t>
  </si>
  <si>
    <t>Nov</t>
  </si>
  <si>
    <t>Oct</t>
  </si>
  <si>
    <t>Sept</t>
  </si>
  <si>
    <t>Aug</t>
  </si>
  <si>
    <t>July</t>
  </si>
  <si>
    <t>June</t>
  </si>
  <si>
    <t>May</t>
  </si>
  <si>
    <t>April</t>
  </si>
  <si>
    <t>March</t>
  </si>
  <si>
    <t>Feb</t>
  </si>
  <si>
    <t>Jan</t>
  </si>
  <si>
    <t>Operating Income Statement</t>
  </si>
  <si>
    <t>NI Check</t>
  </si>
  <si>
    <t xml:space="preserve">  Preferred-Legal</t>
  </si>
  <si>
    <t xml:space="preserve">  APIC, Preferred</t>
  </si>
  <si>
    <t xml:space="preserve">  Preferred-Series B</t>
  </si>
  <si>
    <t xml:space="preserve">  Preferred-Series Seed  </t>
  </si>
  <si>
    <t xml:space="preserve">  Preferred-Series Seed-1</t>
  </si>
  <si>
    <t xml:space="preserve">  Preferred-Series A</t>
  </si>
  <si>
    <t xml:space="preserve">  APIC, Common</t>
  </si>
  <si>
    <t xml:space="preserve">  Common, Preferred</t>
  </si>
  <si>
    <t xml:space="preserve">    Capital Lease-LT</t>
  </si>
  <si>
    <t xml:space="preserve">    Loan Payable-CMU</t>
  </si>
  <si>
    <t xml:space="preserve">    Capital Lease-ST</t>
  </si>
  <si>
    <t>Discount on Prefered Stock</t>
  </si>
  <si>
    <t xml:space="preserve">  Prepaid Expenses &amp; Other </t>
  </si>
  <si>
    <t xml:space="preserve">  Deposits</t>
  </si>
  <si>
    <t xml:space="preserve">  Proceeds from issuance of Capital Lease</t>
  </si>
  <si>
    <t xml:space="preserve">  Loan Payments</t>
  </si>
  <si>
    <t>nnn</t>
  </si>
  <si>
    <t>Cash Flow</t>
  </si>
  <si>
    <t>Financial Statements</t>
  </si>
  <si>
    <t>Consolidated</t>
  </si>
  <si>
    <t>Series Seed-1</t>
  </si>
  <si>
    <t>Outstanding Options</t>
  </si>
  <si>
    <t>Total options</t>
  </si>
  <si>
    <t>Break Points</t>
  </si>
  <si>
    <t>lets</t>
  </si>
  <si>
    <t>Preferred Stock Receive Liquidation Preference</t>
  </si>
  <si>
    <t>Common Starts Receiving Value</t>
  </si>
  <si>
    <t>Series Seed Converts</t>
  </si>
  <si>
    <t>Series Seed-1 Converts</t>
  </si>
  <si>
    <t>Series A Converts</t>
  </si>
  <si>
    <t>Series B Converts</t>
  </si>
  <si>
    <t>Cash Burn Analysis</t>
  </si>
  <si>
    <t>Beginning Cash</t>
  </si>
  <si>
    <t>Less: Cash Utilized</t>
  </si>
  <si>
    <t>Management Estimates</t>
  </si>
  <si>
    <t>Add: Cash Raised</t>
  </si>
  <si>
    <t>Ending Cash</t>
  </si>
  <si>
    <t>Cash Burn</t>
  </si>
  <si>
    <t>Monthly Burn</t>
  </si>
  <si>
    <t>Cumulative Burn</t>
  </si>
  <si>
    <t>Average Burn per Month</t>
  </si>
  <si>
    <t>Cash Runway</t>
  </si>
  <si>
    <t>3 Month Rolling Average</t>
  </si>
  <si>
    <t xml:space="preserve">Phase III &amp; NDA </t>
  </si>
  <si>
    <r>
      <t xml:space="preserve">Probability of Technical Success - Blood Disorder </t>
    </r>
    <r>
      <rPr>
        <i/>
        <sz val="11"/>
        <color theme="1"/>
        <rFont val="Georgia"/>
        <family val="1"/>
      </rPr>
      <t>(3)</t>
    </r>
  </si>
  <si>
    <r>
      <t xml:space="preserve">Probability of Technical Success - Hematology </t>
    </r>
    <r>
      <rPr>
        <i/>
        <sz val="11"/>
        <color theme="1"/>
        <rFont val="Georgia"/>
        <family val="1"/>
      </rPr>
      <t>(4)</t>
    </r>
  </si>
  <si>
    <t>Source: "Clinical Development Success Rates 2006-2015", Biotechnology Innovation Organization, Biomedtracker and Amplion, June 2016, Page 9.</t>
  </si>
  <si>
    <t>Indication #1 SCD</t>
  </si>
  <si>
    <t>M&amp;A - Phase I</t>
  </si>
  <si>
    <t>M&amp;A - Phase II</t>
  </si>
  <si>
    <t>IPO - Phase II</t>
  </si>
  <si>
    <t>Restricted Cash</t>
  </si>
  <si>
    <t>Common Size</t>
  </si>
  <si>
    <t>TOTAL LIABILITIES &amp; EQUITY</t>
  </si>
  <si>
    <t>32006 · Retained Earnings-CDF</t>
  </si>
  <si>
    <t>32000 · Retained Earnings</t>
  </si>
  <si>
    <t>30024 · Preferred Financing-Legal</t>
  </si>
  <si>
    <t>30010 · Preferred-Series B</t>
  </si>
  <si>
    <t>30008 · Preferred-Series Seed</t>
  </si>
  <si>
    <t>30006 · Preferred-Series Seed 1</t>
  </si>
  <si>
    <t>30004 · Preferred-Series A</t>
  </si>
  <si>
    <t>30003 · APIC, Common</t>
  </si>
  <si>
    <t>30002 · Common Stock</t>
  </si>
  <si>
    <t>Total Long Term Liabilities</t>
  </si>
  <si>
    <t>23002 · Capital Lease Payable-LT</t>
  </si>
  <si>
    <t>23001 · TI Allowance Payable</t>
  </si>
  <si>
    <t>Long Term Liabilities</t>
  </si>
  <si>
    <t>Total Other Current Liabilities</t>
  </si>
  <si>
    <t>22007 · Deferred Rent</t>
  </si>
  <si>
    <t>22006 · Capital Lease Payable-ST</t>
  </si>
  <si>
    <t>22004 · Loan Payable-CMU-ST</t>
  </si>
  <si>
    <t>22003 · Accrued Grant</t>
  </si>
  <si>
    <t>22002 · Accrued Payroll</t>
  </si>
  <si>
    <t>22000 · Accrued Expenses</t>
  </si>
  <si>
    <t>Total Accounts Payable</t>
  </si>
  <si>
    <t>20000 · Accounts Payable</t>
  </si>
  <si>
    <t>Liabilities</t>
  </si>
  <si>
    <t>Total Other Assets</t>
  </si>
  <si>
    <t>17026 · A/A  Assembled Workforce</t>
  </si>
  <si>
    <t>17025 · Assembled Workforce</t>
  </si>
  <si>
    <t>14000 · Deposits-LT</t>
  </si>
  <si>
    <t>Total Fixed Assets</t>
  </si>
  <si>
    <t>15022 · A/D Lab Equipment under Cap Lea</t>
  </si>
  <si>
    <t>15020 · Lab Equipment under Cap Lease</t>
  </si>
  <si>
    <t>15018 · A/D Furniture &amp; Fixtures</t>
  </si>
  <si>
    <t>15016 · Furniture &amp; Fixtures</t>
  </si>
  <si>
    <t>15010 · A/D Office Equipment</t>
  </si>
  <si>
    <t>15008 · Office Equipment</t>
  </si>
  <si>
    <t>15006 · A/D Lab Equipment</t>
  </si>
  <si>
    <t>15004 · Lab Equipment</t>
  </si>
  <si>
    <t>15002 · A/D Leasehold Improvements</t>
  </si>
  <si>
    <t>15000 · Leasehold Improvements</t>
  </si>
  <si>
    <t>Fixed Assets</t>
  </si>
  <si>
    <t>Total Other Current Assets</t>
  </si>
  <si>
    <t>12500 · Prepaid Expenses</t>
  </si>
  <si>
    <t>12400 · Deposits-ST</t>
  </si>
  <si>
    <t>Total 12300 · Letter of Credit and Restricted</t>
  </si>
  <si>
    <t>12310 · Collateral MMA-6790</t>
  </si>
  <si>
    <t>12308 · Collateral MMA-2421</t>
  </si>
  <si>
    <t>12306 · Collateral MMA-9827</t>
  </si>
  <si>
    <t>12300 · Letter of Credit and Restricted</t>
  </si>
  <si>
    <t>11500 · Stock Subscription Receivable</t>
  </si>
  <si>
    <t>11300 · Dividends Receivable</t>
  </si>
  <si>
    <t>Total Accounts Receivable</t>
  </si>
  <si>
    <t>11000 · Accounts Receivable</t>
  </si>
  <si>
    <t>Total Checking/Savings</t>
  </si>
  <si>
    <t>10010 · SVB-Sweep</t>
  </si>
  <si>
    <t>10008 · SVB Investment-9793</t>
  </si>
  <si>
    <t>10007 · SVB MM-7839</t>
  </si>
  <si>
    <t>10005 · SVB-Operating-PNA</t>
  </si>
  <si>
    <t>10000 · SVB-Operating-Trucode</t>
  </si>
  <si>
    <t>Checking/Savings</t>
  </si>
  <si>
    <t>Dec 31, 17</t>
  </si>
  <si>
    <t>Dec 31, 18</t>
  </si>
  <si>
    <t>Nov 30, 18</t>
  </si>
  <si>
    <t>Oct 31, 18</t>
  </si>
  <si>
    <t>Sep 30, 18</t>
  </si>
  <si>
    <t>Aug 31, 18</t>
  </si>
  <si>
    <t>Jul 31, 18</t>
  </si>
  <si>
    <t>Jun 30, 18</t>
  </si>
  <si>
    <t>May 31, 18</t>
  </si>
  <si>
    <t>Apr 30, 18</t>
  </si>
  <si>
    <t>Mar 31, 18</t>
  </si>
  <si>
    <t>Feb 28, 18</t>
  </si>
  <si>
    <t>Jan 31, 18</t>
  </si>
  <si>
    <t>Combined</t>
  </si>
  <si>
    <t>Capital Lease Payable</t>
  </si>
  <si>
    <t>IPO IND</t>
  </si>
  <si>
    <t>IPO Phase II</t>
  </si>
  <si>
    <t>M&amp;A Phase I</t>
  </si>
  <si>
    <t>M&amp;A Phase II</t>
  </si>
  <si>
    <t>Interpolation - IPO Phase I</t>
  </si>
  <si>
    <t>Interpolation - M&amp;A Phase I</t>
  </si>
  <si>
    <t>Interpolation - M&amp;A Phase II</t>
  </si>
  <si>
    <t>WAT</t>
  </si>
  <si>
    <t>Term to Exit</t>
  </si>
  <si>
    <t>Prob.</t>
  </si>
  <si>
    <t>Interpolation - IPO Phase II</t>
  </si>
  <si>
    <t>Comparable Deals (Excluding CRISPR/Cas9)</t>
  </si>
  <si>
    <t>Comparable Indication / Technology</t>
  </si>
  <si>
    <t>Licensing</t>
  </si>
  <si>
    <t>Roche</t>
  </si>
  <si>
    <t>Global Blood Therapeutics</t>
  </si>
  <si>
    <t>Pre-clinical</t>
  </si>
  <si>
    <t>http://meiragtx.com/research-development/pipeline/</t>
  </si>
  <si>
    <t>Bioverativ</t>
  </si>
  <si>
    <t>Sanofi</t>
  </si>
  <si>
    <t>Haemophilia</t>
  </si>
  <si>
    <t>https://mediaroom.sanofi.com/en/press-releases/2018/sanofi-to-acquire-bioverativ-for-11-6-billion/</t>
  </si>
  <si>
    <t>Oxford BioMedica</t>
  </si>
  <si>
    <t>Research Project</t>
  </si>
  <si>
    <t>http://www.oxfordbiomedica.co.uk/news-media/press-release/oxford-biomedica-announces-collaboration-and-licence-agreement-bioverativ</t>
  </si>
  <si>
    <t>Synpromics</t>
  </si>
  <si>
    <t>University College London</t>
  </si>
  <si>
    <t xml:space="preserve">Undisclosed </t>
  </si>
  <si>
    <t>Research project</t>
  </si>
  <si>
    <t>https://www.synpromics.com/news-media/synpromics-announces-new-partnership-ucl-develop-novel-gene-therapies-blood-based</t>
  </si>
  <si>
    <t>CRISPR Therapeutics</t>
  </si>
  <si>
    <t>Vertex Pharmaceuticals</t>
  </si>
  <si>
    <t>http://www.crisprtx.com/news-events/press-releases_2015-26-10.php</t>
  </si>
  <si>
    <t>Bioverativ Inc.</t>
  </si>
  <si>
    <t>Bicycle Therapeutics Limited</t>
  </si>
  <si>
    <t>SCD</t>
  </si>
  <si>
    <t>https://www.fiercebiotech.com/biotech/bioverativ-bicycle-tandem-for-424m-plus-blood-disease-r-d-pact</t>
  </si>
  <si>
    <t>SEP17 Research collaboration with Bicycle Therapeutics for development and commercialisation of innovative therapies for sickle cell disease &amp; haemophilia. Bicycle Therapeutics to be responsible for leading initial discovery activities through lead optimization to candidate selection for two programs &amp; Bioverativ to lead preclinical &amp; clinical development, as well as subsequent marketing &amp; commercialisation. Bioverativ to reimburse Bicycle for internal &amp; external program-related costs. Bioverativ to pay $10m upfront payment &amp; near-term research &amp; development funding of $4.2m + eligible to receive up to $410m related to development, regulatory &amp; commercialisation milestones to Bicycle Therapeutics for products planned under the two programs, as well as tiered single to low double-digit royalties related to product sales. Additional terms of the transaction not being disclosed.</t>
  </si>
  <si>
    <t>Shire plc</t>
  </si>
  <si>
    <t>NovImmune SA</t>
  </si>
  <si>
    <t>Hemophilia A</t>
  </si>
  <si>
    <t>https://www.novimmune.com/en/swiss-biopharmaceutical-company/news/2017/novimmune-and-shire-sign-license-agreement-deepening-bispecific-antibody-research-collaboration.html</t>
  </si>
  <si>
    <t>JUL17 In licensed WW rights from NovImmune for development &amp; commercialisation. The specific terms of this deal were not disclosed.</t>
  </si>
  <si>
    <t>https://ita.ucsf.edu/news-and-events/vanda-and-ucsf-announce-license-agreement-cftr-activators-and-inhibitors</t>
  </si>
  <si>
    <t>MAR17 In-licensed WW rights to develop &amp; commercialize a portfolio of Cystic Fibrosis Transmembrane Conductance Regulator (CFTR) activators &amp; inhibitors in exchange of $1m upfront payment + $46m development, regulatory &amp; sales milestones + single-digit tiered royalties on net sales.</t>
  </si>
  <si>
    <t>Rocket Pharmaceuticals, Ltd.</t>
  </si>
  <si>
    <t>MolMed S.p.A.</t>
  </si>
  <si>
    <t>Gene Therapy &amp; Fanconi Anemia</t>
  </si>
  <si>
    <t>http://www.molmed.com/sites/default/files/uploads/press-releases/3066/3066_1488138235.pdf</t>
  </si>
  <si>
    <t>FEB17 Research collaboration with Rocket Pharma for development &amp; manufacturing of gene therapy product for treatment of Fanconi Anemia.</t>
  </si>
  <si>
    <t>Sarepta Therapeutics Inc.</t>
  </si>
  <si>
    <t>Nationwide Children's Hospital</t>
  </si>
  <si>
    <t>Gene Therapy</t>
  </si>
  <si>
    <t>Exonics</t>
  </si>
  <si>
    <t>http://investorrelations.sarepta.com/news-releases/news-release-details/sarepta-therapeutics-enters-license-agreement-nationwide</t>
  </si>
  <si>
    <t>JAN17 Entered a research &amp; option agreement with Nationwide Children’s Hospital on their microdystrophin gene therapy program. The initial trial to be conducted at  Nationwide Children's Hospital with funding of $2.2m from Parent Project Muscular Dystrophy (PPMD) + additional duchenne foundations providing Sarepta Therapeutics an exclusive option to license the program in future.</t>
  </si>
  <si>
    <t>Editas Medicine Inc.</t>
  </si>
  <si>
    <t>Adverum Biotechnologies, Inc.</t>
  </si>
  <si>
    <t>Gene Therapy &amp; AAV Vectors</t>
  </si>
  <si>
    <t>Agenovir File Pg 11/49</t>
  </si>
  <si>
    <t>http://ir.editasmedicine.com/phoenix.zhtml?c=254265&amp;p=irol-newsArticle&amp;ID=2194081</t>
  </si>
  <si>
    <t xml:space="preserve">Editas will pay Adverum an upfront fee of $1 million to evaluate Adverum next-generation vectors for use in clinical development.  Editas will support all preclinical activities related to this collaboration, with a portion of the upfront fee to be credited against this funding obligation. In addition, Editas will also pay an additional option exercise fee of $1 million for an exclusive license to Adverum’s next-generation AAV vectors for use in each indication chosen as part of the collaboration. Adverum also is eligible to receive development and commercial milestone payments, as well as royalties on any resulting commercialized Editas products that incorporate Adverum’s next-generation AAV vectors. </t>
  </si>
  <si>
    <t>Project Patriot</t>
  </si>
  <si>
    <t>Biogen, Inc.</t>
  </si>
  <si>
    <t>REGENXBIO Inc.</t>
  </si>
  <si>
    <t>https://globenewswire.com/news-release/2016/05/16/840197/0/en/REGENXBIO-and-Biogen-Enter-Exclusive-License-Agreement-for-the-Development-of-Gene-Therapy-Treatments-for-Rare-Genetic-Vision-Disorders.html</t>
  </si>
  <si>
    <t>Biogen signed a multi-year research collaboration with University of Pennsylvania to advance gene therapy &amp; gene editing technologies with primary focus on the development of therapeutic approaches targeting the eye, skeletal muscle &amp; the CNS &amp; validation of next-generation gene transfer technology using adeno-associated virus (AAV) gene delivery vectors. Penn may receive up to $2000m in research funding, options &amp; milestone payments. Biogen to make an upfront payment to Penn of $20m with an additional $62.5m committed to fund R&amp;D costs extending over the next 3-5 years in seven distinct preclinical research &amp; development programs conducted by the Wilson &amp; Bennett laboratories. Each program may trigger milestones that range from $77.5m to $137.5m per product as well as royalties payable on net sales of products. Biogen also receives an option to license next generation AAV vectors for certain indications from Penn, for Biogen’s use outside of the collaboration. Biogen also licensed exclusive rights to use adeno-associated virus serotype 8 (AAV8) or 9 (AAV9) technologies from REGENXBIO, for which REGENEXBIO holds a WW patent license from Penn. The AAV8 and AAV9 technologies to be used in ophthalmic collaboration programs with Penn.</t>
  </si>
  <si>
    <t>Merck &amp; Co. Inc.</t>
  </si>
  <si>
    <t>Cancer Research Technology</t>
  </si>
  <si>
    <t>Blood Disorder</t>
  </si>
  <si>
    <t>Inhibitor</t>
  </si>
  <si>
    <t>http://www.cancertechnology.co.uk/crt-announces-license-agreement-msd-develop-inhibitors-prmt5-cancer-and-blood-disorders</t>
  </si>
  <si>
    <t>JUN16 Paid US$736,815 to Bionomics as licensing funds as part of an agreement between MSD &amp; Cancer Research Technologies (CRT) on behalf of Cancer Therapeutics CRC. All payments are shared between CRT, the Wellcome Trust, CTX and CTx’s Australian research partners including Bionomics. Bionomics will be a potential beneficiary of future milestone payments and royalties. JAN16 In-licensed exclusive WW rights from CRT. CRT to receive an upfront payment of $15m (around £10.5m) and is eligible to receive potential payments of up to $500m (around £3500m) for achievement of development, regulatory &amp; commercialisation milestones + royalties on sales. All payments to be shared between CRT, CTx and the Wellcome Trust with the majority being returned to CTx and its Australian research partners.</t>
  </si>
  <si>
    <t>Calimmune, Inc.</t>
  </si>
  <si>
    <t>Asklepios BioPharmaceutical, Inc.</t>
  </si>
  <si>
    <t>JAN16 Licensed rights to Adeno-Associated Virus (AAV ) gene therapy technologies to Calimmune to utilize these technologies in a forthcoming PI/II clinical trial to evaluate the safety &amp; efficacy of a potential gene therapy for the treatment of osteoarthritis. AskBio to receive an upfront payment + future payments upon completion of certain development &amp; commercial milestones + royalties.</t>
  </si>
  <si>
    <t>Ultragenyx Pharmaceutical Inc</t>
  </si>
  <si>
    <t>Arcturus Therapeutics Ltd.</t>
  </si>
  <si>
    <t>http://ir.ultragenyx.com/releasedetail.cfm?releaseid=939100</t>
  </si>
  <si>
    <t>OCT15 Out-licensed UNA &amp; LUNAR technology to Ultragenyx Pharmaceutical for an upfront payment of $10m. Arcturus to design &amp; optimize mRNA therapeutics for two selected rare disease targets. Ultragenyx has the option to add up to eight additional rare disease targets during the collaborative research period and would be responsible for the development and commercialisation of all products under the collaboration. Arcturus to be entitled to preclinical, clinical, regulatory &amp; sales milestone payments of up to $156m for each target, as well as reimbursement of all research expenses &amp; mid-single to low double-digit royalties on commercial sales.</t>
  </si>
  <si>
    <t>Product acquisition</t>
  </si>
  <si>
    <t>Benitec Biopharma Ltd</t>
  </si>
  <si>
    <t>Biomics Biotechnologies</t>
  </si>
  <si>
    <t>DNA-directed RNA interference</t>
  </si>
  <si>
    <t>JUL15 Acquired the full rights to product from Biomics Biotechnologies. Benitec Biopharma to pay Biomics $1.970m (AUD$2.5m) upfront + $2.758m (AUD$3.5m) upon successful commercialization of the program. Biomics to also receive a single-digit royalty on net sales once the product is marketed. MAY14 In-licensed European patent (EP1444346) from Galapagos as a replacement for the CSIRO patent for the development ddRNAi-based pipeline. The license provides Benitec Biopharma &amp; its own licensees to operate in the European market. Benitec Biopharma to pay royalties for any commercialised pipeline products between the time of going on sale &amp; 2021, when the patent expires. DEC12 uniQure granted Benitec Biopharma non-exclusive access to uniQure's AAV5 delivery technology for development of ddRNAi therapy for Hepatitis B. Benitec Biopharma licensed proprietary DNA-directed RNA interference (ddRNAi) technology to uniQure for development of treatment for Huntington's disease. MAR12 Biomics and Benitec Biopharma extended collaboration on Hepatitis B project. MAY11 Biomics and Benitec Biopharma signed new agreement on HBV project with concentration of screening RNAi candidate for Hepatitis B &amp; in-vivo validation. FEB11 Research agreement extended, Benitec Biopharma &amp; Biomics to share the costs of the program, the ownership of the intellectual property and also commercialisation rights based on an agreed division of territories. JUL09 Research collaboration with Biomics Biotechnologies on identifying and validating a lead-target for RNAi treatment of chronic Hepatitis B infection (HBV).</t>
  </si>
  <si>
    <t>Généthon</t>
  </si>
  <si>
    <t>Selecta Biosciences Inc</t>
  </si>
  <si>
    <t>MAY15 Collaboration with Généthon to create gene therapies using Selecta’s Synthetic Vaccine Particle (SVP™) platform. The companies to co-develop &amp; co-own these next generation gene therapies.</t>
  </si>
  <si>
    <t>FEB15 Option agreement with Voyager for the WW development &amp; commercialisation. Post option-exercise, Sanofi to have the sole right to develop VY-SMN101 WW &amp; to be responsible for all of the development costs that occur after the option exercise date for VY-SMN101.</t>
  </si>
  <si>
    <t>The San Raffaele Telethon Institute for Gene Therapy</t>
  </si>
  <si>
    <t>Inactive</t>
  </si>
  <si>
    <t>http://www.businesswire.com/news/home/20150129005369/en/Biogen-Idec-Fondazione-Telethon-Ospedale-San-Raffaele</t>
  </si>
  <si>
    <t>FEB17 Disposed product to Bioverativ as part of spin-out. JAN15 WW Research collaboration with Fondazione Telethon and The San Raffaele Telethon Institute for Gene Therapy to jointly develop gene therapies for the treatment of both haemophilia A and B. TIGET to receive an upfront payment of $5m for the rights to the programs &amp; their development + further payments subject to the achievement of certain development milestones. Biogen to support the research costs for 2 programs:- one in haemophilia A &amp; one in haemophilia B. Biogen to have the option to exercise WW  development and commercialization rights for each program following the initial clinical proof of concept trials.</t>
  </si>
  <si>
    <t>Intellia Therapeutics, Inc.</t>
  </si>
  <si>
    <t>CRISPR Genome Editing Technology</t>
  </si>
  <si>
    <t>Agenovir File Pg. 28/49</t>
  </si>
  <si>
    <t>http://ir.intelliatx.com/news-releases/news-release-details/intellia-therapeutics-novartis-form-collaboration-develop-new</t>
  </si>
  <si>
    <t>Novartis announced today that it has signed collaboration and licensing agreements with Intellia Therapeutics for the discovery and development of new medicines using CRISPR genome editing technology and Caribou Biosciences for the development of drug discovery tools. Intellia and Caribou are two of the leading biotechnology companies developing this novel technology. Caribou Biosciences collaboration focused on using CRISPR as a research tool for drug discovery</t>
  </si>
  <si>
    <t>Pfizer, Inc.</t>
  </si>
  <si>
    <t>http://www.fiercebiotech.com/partnering/pfizer-buys-into-gene-therapy-s-renaissance-and-bets-on-spark-therapeutics</t>
  </si>
  <si>
    <t>JAN17 Paid second $15m milestone payment to Spark Therapeutics for achieving a pre-specified safety &amp; efficacy development milestone in the ongoing PI/II study. DEC15 Paid first milestone payment of $15m to Spark Therapeutics for continued progress in the program. DEC14 In-licensed WW rights from Spark Therapeutics for exchange of $20m upfront + development &amp; commercialisation milestone payments of up to $260m for multiple haemophilia B product candidates that may be developed under the collaboration + double-digit royalties. Spark to be responsible for conducting all PI/II studies while  Pfizer to be responsible for pivotal studies, any regulatory approvals &amp; potential global commercialisation of product. OCT13 In-licensed product after spun off from The Children’s Hospital of Philadelphia (CHOP). CHOP to receive Spark’s revenue. Spark has exclusive rights to commercialize CHOP’s proprietary manufacturing technology.</t>
  </si>
  <si>
    <t>Bayer AG</t>
  </si>
  <si>
    <t>Dimension Therapeutics</t>
  </si>
  <si>
    <t>https://www.fiercebiotech.com/biotech/dimension-leaps-into-gene-therapy-action-252m-bayer-deal-30m-round</t>
  </si>
  <si>
    <t>REGENX Biosciences, LLC</t>
  </si>
  <si>
    <t>http://ir.regenxbio.com/phoenix.zhtml?c=254175&amp;p=irol-newsArticle&amp;ID=2083029</t>
  </si>
  <si>
    <t>MAR14 Licensed WW rights to AveXis for certain patents and patent applications owned by the Trustees of the University of Pennsylvania related to use the AAV9 capsid for the in vivo gene therapy treatment of SMA in humans. REGENX to receive up-front payment + milestone + royalties on net sales of products incorporating NAV rAAV9.</t>
  </si>
  <si>
    <t>Sangamo Therapeutics Inc</t>
  </si>
  <si>
    <t>ZFN is Gene editing technology</t>
  </si>
  <si>
    <t>http://investor.sangamo.com/press-releases/detail/230/biogen-idec-and-sangamo-biosciences-announce-global</t>
  </si>
  <si>
    <t>FEB17 Product transferred following spin-off from Biogen. JAN14  Entered in research collaboration with Sangamo Therapeutics for development of therapeutics for hemoglobinopathies. Sangamo to be responsible for all research &amp; development activities through the first clinical proof of concept trial in beta-thalassemia &amp; both companies to perform activities to enable submission of IND SCD (sickle cell disease). Biogen to be responsible for subsequent WW clinical development &amp; commercialization of products arising from the alliance. Sangamo retains an option to co-promote any licensed product to treat SCD &amp; beta-thalassemia in USA. Biogen to pay $20m upfront payment + reimburse Sangamo for its internal &amp; external R&amp;D program-related costs + additional payments of approx. $293.8m on based on the achievement of certain development, regulatory, commercialization &amp; sales milestones + double digit royalties on product sales including PI milestone payments of $7.5m for each of the beta-thalassemia and SCD programs.</t>
  </si>
  <si>
    <t>Adeno-associated Virus / Gene Therapy</t>
  </si>
  <si>
    <t>FEB14 Audentes Therapeutics and Généthon to develop AT001 for the treatment of X-linked myotubular myopathy (XLMTM). Collaboration to combine Généthons' expertise in the manufacturing and development of gene therapy products and Audentes’ expertise in orphan drug development. JUL13 Out-licensed WW rights to Audentes Therapeutics  to use REGENXBIO NAV rAAV8 vector for development of therapeutics for treatment of X-Linked Myotubular Myopathy (XLMTM) and Pompe disease. ReGenX to receive royalties + up-front payment+ certain milestone fees.</t>
  </si>
  <si>
    <t>Acceleron Pharma, Inc.</t>
  </si>
  <si>
    <t>Anemia</t>
  </si>
  <si>
    <t>http://investor.acceleronpharma.com/releasedetail.cfm?releaseid=785710</t>
  </si>
  <si>
    <t>MAY16 Paid $15m milestone payment to Acceleron Pharma for PIII initiation.JAN13 Paid $10m milestone payment to Acceleron Pharma for PII initiation. OCT11 Celgene paid $7.5m milestone payment to Acceleron Pharma on PI initiation. AUG11 Collaboration with Acceleron Pharma to jointly develop, manufacture &amp; commercialize ACE-536. Celgene to pay upfront payment of $25m &amp; development, regulatory &amp; commercial milestones of up to $217m for ACE-536 program to Acceleron Pharma. Celgene to pay additional $170.8m for the first discovery stage program, $148.8m for the second discovery stage program and $125.4m for each additional discovery stage program thereafter. Acceleron Pharma to be responsible for manufacturing ACE-536 &amp; conducting PI &amp; initial PII &amp; Celgene to be responsible for manufacture of PIII &amp; commercial supplies &amp; conduct subsequent PII &amp; PIII. Acceleron Pharma to pay a share of development expenses through YE'12 &amp; Celgene to be responsible for development costs thereafter. Celgene &amp; Acceleron Pharma to co-promote products in N. America. Celgene to pay tiered double-digit royalties low‐to‐mid 20% range on worldwide sales to Acceleron Pharma.</t>
  </si>
  <si>
    <t>Kyowa Hakko Kirin</t>
  </si>
  <si>
    <t>Dicerna Pharmaceuticals Inc</t>
  </si>
  <si>
    <t>http://www.fiercebiotech.com/biotech/dicerna-announces-kyowa-hakko-kirin-has-selected-a-second-dsirna-therapeutic-candidate-for</t>
  </si>
  <si>
    <t>JAN13 Dicerna Pharmaceuticals to receive $5m milestone payment from Kyowa Hakko Kirin on selection of first collaborative therapeutic oncology candidate from research stage into formal development studies. In addition, Kyowa Hakko Kirin has exercised an option for addition of second oncology target in collaboration. JAN10 Research collaboration &amp; license agreement with Kyowa Hakko Kirin for development of RNA interference (RNAi) therapeutics utilising Dicer Substrate Technology. Dicerna Pharmaceuticals to receive $4m in upfront cash payments including research funding &amp; up to $120m in additional research funding, development &amp; commercial milestones for exclusive rights to one target in the field of oncology.</t>
  </si>
  <si>
    <t>Roche Holding AG</t>
  </si>
  <si>
    <t>http://investor.arbutusbio.com/releasedetail.cfm?ReleaseID=534386</t>
  </si>
  <si>
    <t>Phase I, II &amp; III</t>
  </si>
  <si>
    <t>EpiDestiny</t>
  </si>
  <si>
    <t>Novo Nordisk</t>
  </si>
  <si>
    <t xml:space="preserve">  Phase II</t>
  </si>
  <si>
    <t>https://www.novonordisk.com/media/news-details.2182112.html</t>
  </si>
  <si>
    <t>Haemophilia A and B</t>
  </si>
  <si>
    <t>JUL17 Out-licensed NAV AAV8 vector technology to Shire. JUL15 Baxter International spun-out Baxalta. DEC10 Xenetic Biosciences out-licensed PolyXen technology to Baxter &amp; Baxter will amend the deal on the positive results on Factor VIII by applying technology to two additional drug candidates for the treatment of haemophilia A, B and for patients with inhibitors.</t>
  </si>
  <si>
    <t>http://www.pfizer.com/news/press-release/press-release-detail/sangamo_therapeutics_and_pfizer_announce_collaboration_for_hemophilia_a_gene_therapy</t>
  </si>
  <si>
    <t>MAY17 Licensed WW rights from Sangamo for development of gene therapy programs for haemophilia A, including SB-525. Sangamo to receive a $70m upfront payment + $475m milestone including up to $300m for the development &amp; commercialisation of SB-525 and up to $175m for additional haemophilia A gene therapy product candidates that may be developed under the collaboration. Sangamo to also receive tiered double-digit royalties on net sales. Additionally, Sangamo to be collaborating with Pfizer on manufacturing &amp; technical operations utilizing viral delivery vectors.</t>
  </si>
  <si>
    <t>The JW Group, Inc.</t>
  </si>
  <si>
    <t>Chugai Pharmaceutical Co., Ltd.</t>
  </si>
  <si>
    <t>Haemophilia A</t>
  </si>
  <si>
    <t>https://www.chugai-pharm.co.jp/english/news/detail/20170510170000.html</t>
  </si>
  <si>
    <t>MAY17 Licensed Korea rights from Chugai Pharmaceutical for marketing. Chugai to receive upfront, milestone payment &amp; sales-tied royalties.</t>
  </si>
  <si>
    <t>ASKA Pharmaceutical Co., Ltd.</t>
  </si>
  <si>
    <t>Pieris Pharmaceuticals Inc</t>
  </si>
  <si>
    <t>https://www.thepharmaletter.com/article/aska-pharma-gains-rights-to-anemia-drug-candidate-prs-080-in-japan</t>
  </si>
  <si>
    <t>FEB17 In-licensed Japan, S. Korea, Certain other Asian markets ex China option rights from Pieris Pharmaceuticals in exchange of $2.75m upfront payment. After PII completion ASKA may exercise its option &amp; Pieris would be eligible for more than $80m in combined option exercise fee + milestones payment + double-digit royalties.</t>
  </si>
  <si>
    <t>Rosetta Genomics Ltd.</t>
  </si>
  <si>
    <t>microRNA</t>
  </si>
  <si>
    <t>http://www.businesswire.com/news/home/20160106005832/en/Rosetta-Genomics-Grants-Sublicenses-Mirna-Therapeutics-microRNA-related</t>
  </si>
  <si>
    <t>JAN16 Licensed WW patent rights related to therapeutic uses of microRNA technologies to Mirna Therapeutics. Rosetta Genomics to receive $1.6m upfront payment + single-digit royalties + milestone payments + sublicense fees. The sublicensed patents are jointly owned by YEDA, the commercial arm of the Weizmann Institute of Science &amp; Rosetta Genomics. YEDA to receive a portion of these &amp; other proceeds from Rosetta. Further details unavailable.</t>
  </si>
  <si>
    <t>Applied Genetic Technologies Corp</t>
  </si>
  <si>
    <t>http://ir.agtc.com/releasedetail.cfm?releaseid=920411</t>
  </si>
  <si>
    <t>JUN15 Out-licensed WW non-exclusive duplex vectors technology rights to AveXis; AskBio to receive an upfront payment, future payments once certain development &amp; commercial milestones are achieved, as well as a potential related product royalty.</t>
  </si>
  <si>
    <t>OCT15 Benitec Biopharma signed manufacturing services agreement with Lonza to develop scalable AAV manufacturing process for therapeutic use in humans. Further details not disclosed. APR15 Licensed rights to its proprietary Adeno-Associated Virus (AAV) gene therapy technologies to Benitec Biopharma. AskBio to receive an upfront payment + development &amp; commercial milestones + royalties.</t>
  </si>
  <si>
    <t>Sanofi SA</t>
  </si>
  <si>
    <t>http://www.fiercebiotech.com/partnering/sanofi-embarks-on-an-845m-gene-therapy-r-d-odyssey-voyager</t>
  </si>
  <si>
    <t>FEB17 Exercise of option agreement by Sanofi due H2'17. FEB15 Option agreement with Voyager for the development &amp; commercialisation in WW ex US region. Sanofi to make an upfront payment of $100m ($65m cash + $30m equity investment) + future potential development &amp; sales milestone payments of up to $745m + tiered royalties. Sanofi to have the option to license several programs following completion of an initial proof-of-concept human clinical trial.</t>
  </si>
  <si>
    <t>Chiesi Farmaceutici S.p.A.</t>
  </si>
  <si>
    <t>uniQure N.V.</t>
  </si>
  <si>
    <t>http://www.biospace.com/News/uniqure-chiesi-farmaceutici-spa-strike-58-million/302119</t>
  </si>
  <si>
    <t>JUL13 In-licensed Europe, Brazil, Mexico, Pakistan, Turkey, Russia &amp; CIS rights from uniQure; UniQure received $21.8m (EUR 17m) in collaboration financing &amp; $18m (EUR 14m) in equity financing from Chiesi, agreement involves marketing rights of Glybera &amp; co-development rights of a gene therapy for haemophilia B. MAY12 uniQure intends to seek partner in short-term. APR12 uniQure acquired product through acquisition of Amsterdam Molecular Therapeutics.</t>
  </si>
  <si>
    <t>GlycoMimetics Inc</t>
  </si>
  <si>
    <t>http://www.fiercebiotech.com/biotech/pfizer-inks-340m-rare-disease-pact-glycomimetics</t>
  </si>
  <si>
    <t>APR16 entered into an agreement with NovaQuest under which NovaQuest will fund up to $200 m in development costs. JUN15 Paid $20m milestone payment to GlycoMimetics. MAY14 Paid $15m milestone payment to GlycoMimetics. OCT11 Entered into license agreement with GlycoMimetics for the treatment of sickle cell disease &amp;  for other diseases for which the drug candidate may be developed. GlycoMimetics will complete PII trial under Pfizer's oversight. Pfizer to pay $342.5m including $22.5m upfront payment, $185 development milestones &amp; $135m upon the achievement of specified levels of annual net sales.</t>
  </si>
  <si>
    <t>Icagen (pre acquisition)</t>
  </si>
  <si>
    <t>Sickle Cell Anemia</t>
  </si>
  <si>
    <t>https://www.thestreet.com/story/10168395/1/johnson-johnson-unit-inks-deal.html</t>
  </si>
  <si>
    <t>JUN07 J&amp;J return rights &amp; terminate collaboration as of 18 SEP 2007. APR07 PIII trial terminated; IC. JUN04 In-licensed from ICGN: US co-development. JNJ has option on RoW markets</t>
  </si>
  <si>
    <t>CRISPR/Cas9 Licensing Deals</t>
  </si>
  <si>
    <t>Research Project, Discovery &amp; Preclinical Licensing Deals</t>
  </si>
  <si>
    <t>Allergan, Plc</t>
  </si>
  <si>
    <t>CRISPR Genome Editing</t>
  </si>
  <si>
    <t>CRISPR/Cas9 and Gene Editing</t>
  </si>
  <si>
    <t>Joint Venture</t>
  </si>
  <si>
    <t>Gene Editing, CF and SCD</t>
  </si>
  <si>
    <t>Juno Therapeutics, Inc.</t>
  </si>
  <si>
    <t>CAR T and TCR</t>
  </si>
  <si>
    <t>Abeona Therapeutics Inc</t>
  </si>
  <si>
    <t>University of Minnesota</t>
  </si>
  <si>
    <t>Massachusetts General Hospital</t>
  </si>
  <si>
    <t>RNA Interference</t>
  </si>
  <si>
    <t>Aptorum Group Limited</t>
  </si>
  <si>
    <t>NasdaqGM:APM</t>
  </si>
  <si>
    <t>IQTR580040844</t>
  </si>
  <si>
    <t>Aptorum Group Limited, a pharmaceutical company, develops and commercializes a range of therapeutic and diagnostic technologies to treat unmet medical needs. It focuses on developing various drug molecules and certain technologies for the treatment and diagnosis of human disease conditions in neurology, infectious diseases, gastroenterology, oncology, and other disease areas. The company also focuses on the development of surgical robotics and medical devices; and operating outpatient clinic. Aptorum Group Limited was incorporated in 2010 and is headquartered in Central, Hong Kong.</t>
  </si>
  <si>
    <t>Synthorx, Inc.</t>
  </si>
  <si>
    <t>NasdaqGS:THOR</t>
  </si>
  <si>
    <t>IND Enabling</t>
  </si>
  <si>
    <t>IQTR591151031</t>
  </si>
  <si>
    <t>Synthorx, Inc., a biotechnology company, discovers and develops protein therapeutics. The company’s lead product candidate is THOR-707, a variant of IL-2 that is in development in various tumor types as a single agent and in combination with an immune checkpoint inhibitor. The company was founded in 2014 and is headquartered in La Jolla, Calif.</t>
  </si>
  <si>
    <t xml:space="preserve">LogicBio Therapeutics, Inc. </t>
  </si>
  <si>
    <t>NasdaqGM:LOGC</t>
  </si>
  <si>
    <t>IQTR583130484</t>
  </si>
  <si>
    <t>IQ322758292</t>
  </si>
  <si>
    <t>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was founded in 2014 and is based in Cambridge, Massachusetts.</t>
  </si>
  <si>
    <t xml:space="preserve">Gritstone Oncology, Inc. </t>
  </si>
  <si>
    <t>NasdaqGS:GRTS</t>
  </si>
  <si>
    <t>IQTR578578868</t>
  </si>
  <si>
    <t>IQ314744798</t>
  </si>
  <si>
    <t>Gritstone Oncology Inc. is engaged in the discovery and development of cancer immunotherapies. The company focuses on developing tumor-specific neo-antigens-based therapies for non-small cell lung cancer. Gritstone Oncology Inc. has a strategic collaboration with bluebird bio, Inc. The company was incorporated in 2015 and is based in San Francisco, California with operations in Cambridge, Massachusetts.</t>
  </si>
  <si>
    <t>Arvinas Holding Company, LLC</t>
  </si>
  <si>
    <t>NasdaqGS:ARVN</t>
  </si>
  <si>
    <t>IQTR579460058</t>
  </si>
  <si>
    <t>IQ243040896</t>
  </si>
  <si>
    <t>Arvinas Holding Company, LLC, a biopharmaceutical company, engages in the discovery, development, and commercialization of therapies to degrade disease-causing proteins. Its lead products include ARV-110, proteolysis targeting chimeras (PROTAC) targeting the androgen receptor (AR) protein for the treatment of men with metastatic castration-resistant prostate cancer; and ARV-471, a PROTAC targeting the estrogen receptor protein for the treatment of women with metastatic ER+ breast cancer. The company is also developing other PROTACs for degrading AR and other clinically relevant AR point mutations; and various other products for the treatment of neurodegenerative diseases, including tauopathies. Arvinas Holding Company, LLC was founded in 2015 and is based in New Haven, Connecticut.</t>
  </si>
  <si>
    <t>Rubius Therapeutics, Inc.</t>
  </si>
  <si>
    <t>NasdaqGS:RUBY</t>
  </si>
  <si>
    <t>IQTR571659871</t>
  </si>
  <si>
    <t>IQ318913818</t>
  </si>
  <si>
    <t>Rubius Therapeutics, Inc. focuses on the development of red cell therapeutics (RCTs) for the treatment of patients with severe diseases through its rubius erythrocyte design cellular therapy platform. The company is developing various RCTs, such as RTX-134 for treatment of classic and moderate phenylketonuria; RTX-Uricase/URAT1 for treatment of chronic refractory gout; RTX-CBS for treatment of homocystinuria; RTX-OxOx for the treatment of second-line hyperoxaluria; and RTX-ALAD for the treatment of acute intermittent porphyria. It is also developing RTX-212 and RTX-4-1BBL for treatment of solid tumors; RTX-212 for hematological cancer; RTX-aAPC to treat solid and hematological cancers; and other product candidates for autoimmune disorders. The company was founded in 2013 and is based in Cambridge, Massachusetts.</t>
  </si>
  <si>
    <t>Homology Medicines, Inc.</t>
  </si>
  <si>
    <t>NasdaqGS:FIXX</t>
  </si>
  <si>
    <t>IQTR554696496</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</si>
  <si>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</si>
  <si>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</si>
  <si>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Cue Biopharma, Inc.</t>
  </si>
  <si>
    <t>NasdaqCM:CUE</t>
  </si>
  <si>
    <t>IQTR538222664</t>
  </si>
  <si>
    <t>IQ417883814</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</si>
  <si>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a collaboration agreement with Merck &amp; Co. for the research and development of its proprietary biologics that target autoimmune disease indications; and Albert Einstein College of Medicine to develop Immuno-STAT biologics for chronic infectious diseases. The company was formerly known as Imagen Biopharma, Inc. and changed its name to Cue Biopharma, Inc. in October 2016. Cue Biopharma, Inc. was incorporated in 2014 and is based in Cambridge, Massachusetts.</t>
  </si>
  <si>
    <t>Moderna, Inc.</t>
  </si>
  <si>
    <t>NasdaqGS:MRNA</t>
  </si>
  <si>
    <t>IQTR590920514</t>
  </si>
  <si>
    <t>Moderna, Inc. develops medicines based on messenger RNA (mRNA). Its pipeline includes development candidates for mRNA-based vaccines and therapies for use in various therapeutic areas comprising prophylactic vaccines, cancer vaccines, intratumoral immuno-oncology, localized regenerative therapeutics, systemic secreted therapeutics, and systemic intracellular therapeutics. The company was formerly known as Moderna Therapeutics, Inc. and changed its name to Moderna, Inc. in August 2018. Moderna, Inc. was founded in 2010 and is headquartered in Cambridge, Massachusetts.</t>
  </si>
  <si>
    <t xml:space="preserve">PhaseBio Pharmaceuticals, Inc. </t>
  </si>
  <si>
    <t>NasdaqGM:PHAS</t>
  </si>
  <si>
    <t>IQTR582340846</t>
  </si>
  <si>
    <t>IQ3564616</t>
  </si>
  <si>
    <t>PhaseBio Pharmaceuticals, Inc., a clinical-stage biopharmaceutical company, focuses on the development and commercialization of novel therapies to treat orphan diseases with an initial focus on cardiopulmonary indications. Its lead product candidate, PB2452, is a reversal agent for the antiplatelet drug ticagrelor that has completed a Phase 1 clinical trial and is been developed for the treatment of patients on ticagrelor who are experiencing a major bleeding event or those who require urgent surgery. It is also developing PB1046, a fusion protein currently in a Phase 2b clinical trial for the treatment of pulmonary arterial hypertension. The company was founded in 2002 and is based in Malvern, Pennsylvania.</t>
  </si>
  <si>
    <t xml:space="preserve">Equillium, Inc. </t>
  </si>
  <si>
    <t>NasdaqGM:EQ</t>
  </si>
  <si>
    <t>IQTR581412527</t>
  </si>
  <si>
    <t>IQ575585027</t>
  </si>
  <si>
    <t>Equillium, Inc., a biotechnology company, develops products for autoimmune and inflammatory, or immuno-inflammatory disorders with unmet medical need. Its primary product candidate is EQ001, a clinical-stage monoclonal antibody that targets the novel immune checkpoint receptor CD6, which is in Phase 1 clinical trials for the treatment of acute graft-versus-host disease and asthma. The company was formerly known as Attenuate Biopharmaceuticals, Inc. and changed its name to Equillium, Inc. in May 2017. Equillium, Inc. was founded in 2017 and is headquartered in San Diego, California.</t>
  </si>
  <si>
    <t xml:space="preserve">Allogene Therapeutics, Inc. </t>
  </si>
  <si>
    <t>NasdaqGS:ALLO</t>
  </si>
  <si>
    <t>IQTR581125121</t>
  </si>
  <si>
    <t>IQ558022022</t>
  </si>
  <si>
    <t>Allogene Therapeutics, Inc., a clinical stage immuno-oncology company, engages in the research, development, and commercialization of genetically engineered allogeneic T cell therapies for the treatment of cancer. The company is developing UCART19, a CAR T cell product candidate targeting CD19, which is in clinical trials in patients with R/R B-cell precursor acute lymphoblastic leukemia; ALLO-501, an allogeneic anti-CD19 CAR T cell product candidate for the treatment of patients with R/R non-Hodgkin lymphoma; ALLO-715, an allogeneic CAR T cell product candidate for the treatment of patients with R/R multiple myeloma; and ALLO-647, an anti-CD52 monoclonal antibody for use as a lymphodepleting agent. It is also developing ALLO-819, an anti-Flt3 product candidate for the treatment of acute myeloid leukemia; CD70 for the treatment of renal cell cancer; and DLL3 for the treatment of small cell lung cancer. The company was founded in 2017 and is headquartered in South San Francisco, California.</t>
  </si>
  <si>
    <t xml:space="preserve">Kodiak Sciences Inc. </t>
  </si>
  <si>
    <t>NasdaqGM:KOD</t>
  </si>
  <si>
    <t>IQTR580390033</t>
  </si>
  <si>
    <t>IQ321992085</t>
  </si>
  <si>
    <t>Kodiak Sciences Inc., a clinical stage biopharmaceutical company, provides novel therapeutics to treat ophthalmic diseases. The company’s lead product candidate is KSI-301, a vascular endothelial growth factor (VEGF)-biologic that is in Phase I clinical study to treat wet age-related macular degeneration (AMD) and diabetic retinopathy. Its preclinical stage product candidates include KSI-501, a bispecific anti-interleukin 6/VEGF bioconjugate to target inflammation and abnormal angiogenesis in the pathogenesis of retinal vascular diseases; KSI-201, a recombinant mammalian cell expressed dual inhibitor antibody biopolymer bioconjugate for the treatment of wet AMD; and KSI-401, a recombinant mammalian cell expressed antibody biopolymer conjugate for the treatment of dry AMD. The company was formerly known as Oligasis, LLC and changed its name to Kodiak Sciences Inc. in September 2015. Kodiak Sciences Inc. was founded in 2009 and is headquartered in Palo Alto, California.</t>
  </si>
  <si>
    <t xml:space="preserve">Sutro Biopharma, Inc. </t>
  </si>
  <si>
    <t>NasdaqGM:STRO</t>
  </si>
  <si>
    <t>IQTR579312867</t>
  </si>
  <si>
    <t>IQ38768157</t>
  </si>
  <si>
    <t>Sutro Biopharma, Inc. operates as clinical stage drug discovery, development, and manufacturing company. It focuses on creating protein therapeutics for cancer and autoimmune disorders through integrated cell-free protein synthesis platform, XpressCF. The company’s product candidates include STRO-001, an antibody-drug conjugate (ADC) directed against the cancer target CD74 for multiple myeloma and non-Hodgkin lymphoma; and STRO-002, an ADC directed against folate receptor-alpha for patients with ovarian and endometrial cancers. It has collaboration and license agreement with Celgene Corporation to discover and develop bispecific antibodies and/or ADCs focused primarily on the field of immuno-oncology. The company was formerly known as Fundamental Applied Biology, Inc. Sutro Biopharma, Inc. was incorporated in 2003 and is headquartered in South San Francisco, California.</t>
  </si>
  <si>
    <t>Replimune Group, Inc.</t>
  </si>
  <si>
    <t>NasdaqGS:REPL</t>
  </si>
  <si>
    <t>IQTR571664561</t>
  </si>
  <si>
    <t xml:space="preserve"> IQ571664452 </t>
  </si>
  <si>
    <t>Replimune Group, Inc., a clinical-stage biotechnology company, focuses on the development of oncolytic immunotherapies to treat cancer. The company uses its proprietary Immulytic platform to design and develop product candidates that are intended to activate the immune system against cancer. Its lead product candidate is RP1, a selectively replicating version of herpes simplex virus 1 that is in Phase I/II clinical trials for a range of solid tumors. The company is also developing RP2, which is in Preclinical trials to express an anti-CTLA-4 antibody-like protein in order to block the inhibition of the immune response otherwise caused by CTLA-4; and RP3 that is in Preclinical trials to express immune-activating proteins that stimulate T cells. Replimune Group, Inc. was founded in 2015 and is headquartered in Woburn, Massachusetts.</t>
  </si>
  <si>
    <t>Crinetics Pharmaceuticals, Inc.</t>
  </si>
  <si>
    <t>NasdaqGS:CRNX</t>
  </si>
  <si>
    <t>IQTR571659630</t>
  </si>
  <si>
    <t>IQ280584191</t>
  </si>
  <si>
    <t>Crinetics Pharmaceuticals, Inc., a clinical stage pharmaceutical company, focuses on the discovery, development, and commercialization of therapeutics for rare endocrine diseases and endocrine-related tumors. Its lead product candidate is CRN00808, an oral selective nonpeptide somatostatin receptor type 2 biased agonist, which is in Phase I clinical trials used for the treatment of acromegaly. The company is also developing CRN02481, an oral selective nonpeptide somatostatin type 5 receptor agonist used for the treatment of congenital hyperinsulinism; and CRN01941, an oral, selective nonpeptide sst2 biased agonist designed for the treatment of neuroendocrine tumors. Crinetics Pharmaceuticals, Inc. was incorporated in 2008 and is headquartered in San Diego, California.</t>
  </si>
  <si>
    <t>Translate Bio, Inc.</t>
  </si>
  <si>
    <t>NasdaqGS:TBIO</t>
  </si>
  <si>
    <t>PhaseI/II</t>
  </si>
  <si>
    <t>IQTR569377088</t>
  </si>
  <si>
    <t>IQ143808159</t>
  </si>
  <si>
    <t>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t>
  </si>
  <si>
    <t>Neon Therapeutics, Inc.</t>
  </si>
  <si>
    <t>NasdaqGS:NTGN</t>
  </si>
  <si>
    <t>IQTR569105830</t>
  </si>
  <si>
    <t>Neon Therapeutics, Inc., a clinical-stage immuno-oncology company, engages in developing neoantigen-targeted therapies for cancers in the United States. It is developing NEO-PV-01, a neoantigen vaccine that is in Phase Ib clinical trial in combination with nivolumab for the treatment of metastatic melanoma, non-small cell lung cancer, and bladder cancer; NEO-PTC-01, a neoantigen T cell therapy for the treatment of solid tumors; and NEO-SV-01, a neoantigen vaccine for the treatment of estrogen-receptor-positive breast cancer. The company was founded in 2013 and is headquartered in Cambridge, Massachusetts.</t>
  </si>
  <si>
    <t>Autolus Therapeutics Plc</t>
  </si>
  <si>
    <t>NasdaqGS:AUTL</t>
  </si>
  <si>
    <t>IQTR562895955</t>
  </si>
  <si>
    <t>IQ562879769</t>
  </si>
  <si>
    <t>Autolus Therapeutics Plc, a clinical-stage biopharmaceutical company, is developing next-generation programmed T cell therapies. It has a pipeline of product candidates in development for the treatment of haematological malignancies and solid tumours. The company was incorporated in 2018 and is headquartered in London, the United Kingdom.</t>
  </si>
  <si>
    <t>Kezar Life Sciences, Inc.</t>
  </si>
  <si>
    <t>NasdaqGS:KZR</t>
  </si>
  <si>
    <t>IQTR567430748</t>
  </si>
  <si>
    <t>IQ304157325</t>
  </si>
  <si>
    <t>Kezar Life Sciences, Inc., a clinical-stage biotechnology company, engages in the discovery and development of small molecule therapeutics to treat unmet needs in autoimmunity and cancer in the United States. Its lead product candidate, KZR-616, a selective immunoproteasome inhibitor that is in Phase 1b/2 clinical trials in lupus and lupus nephritis The company was incorporated in 2015 and is headquartered in South San Francisco, California.</t>
  </si>
  <si>
    <t>MeiraGTx Holdings plc</t>
  </si>
  <si>
    <t>NasdaqGS:MGTX</t>
  </si>
  <si>
    <t>IQTR564767083</t>
  </si>
  <si>
    <t>IQ404780252</t>
  </si>
  <si>
    <t>MeiraGTx Holdings plc focuses on operating as a holding company for MeiraGTx Limited that operates as a clinical stage gene therapy company. The company develops various novel gene therapy treatments for a range of inherited and acquired disorders. Its products include AAV-CNGB3 that is in Phase I/II clinical trials for the treatment of achromatopsia in adult and pediatric patients; AAV-CNGA3 that is in pre-clinical trials for the treatment of achromatopsia in adult and pediatric patients; AAV-RPE65, which is in Phase I/II clinical trials for the treatment of RPE65-deficiency in adult and pediatric patients; AAV-RPGR, which is in Phase I/II clinical trials to treat x-linked retinitis pigmentosa in adult and pediatric patients; AAV-AQP1, which is in Phase I/II clinical trials for the treatment of grade 2 or 3 xerostomia; and AAV-UPF1 that is in pre-clinical studies to treat amyotrophic lateral sclerosis. Its products also comprise AAV-AIPL1 to treat leber congenital amaurosis 4. The company also has clinical and preclinical programs for various other indications, such as neovascular age related macular degeneration, geographic atrophy age related macular degeneration, and Alzheimer’s disease, as well as for gene regulation. MeiraGTx Holdings plc was founded in 2015 and is based in New York, New York.</t>
  </si>
  <si>
    <t>Scholar Rock Holding Corporation</t>
  </si>
  <si>
    <t>NasdaqGS:SRRK</t>
  </si>
  <si>
    <t>IQTR560753952</t>
  </si>
  <si>
    <t>IQ548810128</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</si>
  <si>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</si>
  <si>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Evelo Biosciences, Inc.</t>
  </si>
  <si>
    <t>NasdaqGS:EVLO</t>
  </si>
  <si>
    <t>IQTR559179993</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</si>
  <si>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</si>
  <si>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</si>
  <si>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Unity Biotechnology, Inc.</t>
  </si>
  <si>
    <t>NasdaqGS:UBX</t>
  </si>
  <si>
    <t>IQTR558272470</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</si>
  <si>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</si>
  <si>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</si>
  <si>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Surface Oncology, Inc.</t>
  </si>
  <si>
    <t>NasdaqGM:SURF</t>
  </si>
  <si>
    <t>IQTR557089595</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</si>
  <si>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</si>
  <si>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Unum Therapeutics Inc.</t>
  </si>
  <si>
    <t>NasdaqGS:UMRX</t>
  </si>
  <si>
    <t>IQTR554696707</t>
  </si>
  <si>
    <t>IQ274894404</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</si>
  <si>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</si>
  <si>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t>
  </si>
  <si>
    <t>NYSE:RCUS</t>
  </si>
  <si>
    <t>IQTR553167792</t>
  </si>
  <si>
    <t>IQ325435188</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</si>
  <si>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</si>
  <si>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t>
  </si>
  <si>
    <t>NasdaqCM:BTAI</t>
  </si>
  <si>
    <t>IQTR552679153</t>
  </si>
  <si>
    <t>IQ543567629</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</si>
  <si>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</si>
  <si>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Solid Biosciences Inc.</t>
  </si>
  <si>
    <t>NasdaqGS:SLDB</t>
  </si>
  <si>
    <t>IQTR548047650</t>
  </si>
  <si>
    <t>IQ315986912</t>
  </si>
  <si>
    <t>Solid Biosciences, LLC engages in identifying and developing gene therapies for duchenne muscular dystrophy in the United States. Its lead product candidate includes SGT-001, a gene transfer candidate that is in Phase I/II clinical trial to restore functional dystrophin protein expression in patients’ muscles. The company was formerly known as Solid Ventures, LLC and changed its name to Solid Biosciences, LLC in June 2015. Solid Biosciences, LLC was founded in 2013 and is headquartered in Cambridge, Massachusetts.</t>
  </si>
  <si>
    <t xml:space="preserve">Entasis Therapeutics Holdings Inc. </t>
  </si>
  <si>
    <t>NasdaqGM:ETTX</t>
  </si>
  <si>
    <t>IQTR577941457</t>
  </si>
  <si>
    <t>IQ558232165</t>
  </si>
  <si>
    <t>Entasis Therapeutics Holdings Inc., a clinical-stage biopharmaceutical company, focuses on the discovery, development, and commercialization of novel antibacterial products to treat serious infections caused by multi-drug resistant gram-negative bacteria in the United States. It is involved in developing ETX2514SUL, a novel IV antibiotic that has completed Phase II clinical trial for the treatment of multi-drug resistant Acinetobacter infections; Zoliflodacin, an oral antibiotic monotherapy that has completed Phase II clinical trial for the treatment of uncomplicated gonorrhea; ETX0282CPDP, an oral drug that is in Phase I clinical trial for the treatment of urinary tract infections; and various antibiotics for gram-negative infections. The company has collaboration agreements with Zai Lab (Shanghai) Co., Ltd. and Drugs for Neglected Diseases initiative. Entasis Therapeutics Holdings Inc. was incorporated in 2018 and is based in Waltham, Massachusetts.</t>
  </si>
  <si>
    <t>Y-mAbs Therapeutics, Inc.</t>
  </si>
  <si>
    <t>NasdaqGS:YMAB</t>
  </si>
  <si>
    <t>IQTR578732512</t>
  </si>
  <si>
    <t>IQ378585331</t>
  </si>
  <si>
    <t>Y-mAbs Therapeutics, Inc., a clinical-stage biopharmaceutical company, focuses on the development and commercialization of novel antibody therapeutic products for cancer treatment in the United States. It is developing naxitamab for the treatment of pediatric patients with relapsed or refractory, high-risk neuroblastoma, as well as other GD2 positive tumors; and omburtamab for the treatment of pediatric patients with central nervous system/leptomeningeal metastases, desmoplastic small round cell tumors, diffuse intrinsic pontine glioma, and other B7-H3 positive tumors. The company has a license and research collaboration agreement with Memorial Sloan-Kettering Cancer Center. Y-mAbs Therapeutics, Inc. was founded in 2015 and is headquartered in New York, New York.</t>
  </si>
  <si>
    <t>Principia Biopharma Inc.</t>
  </si>
  <si>
    <t>NasdaqGS:PRNB</t>
  </si>
  <si>
    <t>IQTR578052286</t>
  </si>
  <si>
    <t>IQ127531987</t>
  </si>
  <si>
    <t>Principia Biopharma Inc., a clinical-stage biopharmaceutical company, focuses on developing novel oral therapies for immunology and oncology in the United States. It is developing PRN1008, an inhibitor that is in Phase II clinical trial for the treatment of pemphigus, a chronic skin disease, as well as in Phase II clinical trial for the treatment of immune thrombocytopenic purpura; PRN2246, an inhibitor that is in Phase I clinical trial for the treatment of multiple sclerosis and other central nervous system diseases; PRN1371, a drug candidate, which is in Phase I clinical trial for the treatment of solid tumors; and oral small molecule inhibitors of the immunoproteasome. The company has collaboration agreements with Genzyme Corporation and AbbVie Biotechnology Limited. Principia Biopharma Inc. was incorporated in 2008 and is headquartered in South San Francisco, California.</t>
  </si>
  <si>
    <t>Aridis Pharmaceuticals, Inc.</t>
  </si>
  <si>
    <t>NasdaqCM:ARDS</t>
  </si>
  <si>
    <t>IQTR574509328</t>
  </si>
  <si>
    <t>IQ34460448</t>
  </si>
  <si>
    <t>Aridis Pharmaceuticals Inc., a late-stage biopharmaceutical company, focuses on the discovery and development of targeted immunotherapy using fully human monoclonal antibodies (mAb) to treat life-threatening infections. Its lead product candidate is AR-301, a fully human mAb of immunoglobulin 1 (IgG1) that is in Phase III pivotal trials for the treatment of lung infections resulting from S. aureus alphatoxin. The company is also developing AR-105, a fully human IgG1 mAb, which is in Phase II trials to target gram-negative bacteria P. aeruginosa; AR-101, a human IgM mAb that is in Phase IIa trials for the treatment of hospital-acquired pneumonia (HAP)and ventilator-associated pneumonia (VAP) caused by P. aeruginosa serotype O11; AR-401 to treat infections caused by A. baumannii; AR-201, an anti- respiratory syncytial virus F-protein mAb; and AR-501, an anti-infective therapy to manage chronic lung infections in cystic fibrosis patients and acute pneumonia in HAP and VAP patients. Aridis Pharmaceuticals Inc. was founded in 2003 and is headquartered in San Jose, California.</t>
  </si>
  <si>
    <t xml:space="preserve">Vaccinex, Inc. </t>
  </si>
  <si>
    <t>NasdaqGM:VCNX</t>
  </si>
  <si>
    <t>IQTR573455064</t>
  </si>
  <si>
    <t>IQ11044719</t>
  </si>
  <si>
    <t>Vaccinex, Inc. operates as a clinical-stage biotechnology company. It engages in the discovery and development of bio therapeutics to treat serious diseases and conditions with unmet medical needs, including cancer, neurodegenerative diseases, and autoimmune disorders. Its lead product candidate is VX15 that is in Phase Ib/II clinical trials for the treatment of advanced solid tumors, including non-small cell lung cancer, osteosarcoma, and melanoma; and Phase II clinical trials for the treatment of Huntington’s disease. The company’s preclinical development products include VX5, a human antibody to CXCL13, a molecule that regulates the formation of immune tissues, for the treatment of MS and other autoimmune disorders; and VX25 is an investigational and bi-specific molecule for the therapeutic application of Natural Killer T cell stimulation for cancer immunotherapy. Vaccinex, Inc. was founded in 2001 and is headquartered in Rochester, New York.</t>
  </si>
  <si>
    <t>Allakos Inc.</t>
  </si>
  <si>
    <t>NasdaqGS:ALLK</t>
  </si>
  <si>
    <t>IQTR571661774</t>
  </si>
  <si>
    <t xml:space="preserve"> IQ225312313 </t>
  </si>
  <si>
    <t>Allakos Inc., a clinical stage biopharmaceutical company, focuses on developing therapeutic antibodies targeting allergic, inflammatory, and proliferative diseases. The company is developing AK002 for the treatment of eosinophilic gastritis and eosinophilic gastroenteritis, urticaria, indolent systemic mastocytosis, and severe allergic conjunctivitis. Allakos Inc. was founded in 2012 and is headquartered in San Carlos, California.</t>
  </si>
  <si>
    <t>Constellation Pharmaceuticals, Inc.</t>
  </si>
  <si>
    <t>NasdaqGS:CNST</t>
  </si>
  <si>
    <t>IQTR571660953</t>
  </si>
  <si>
    <t xml:space="preserve"> IQ44234400 </t>
  </si>
  <si>
    <t>Constellation Pharmaceuticals, Inc., a clinical-stage biopharmaceutical company, focuses on discovering and developing therapeutics that address serious unmet medical needs in patients with cancers associated with abnormal gene expression or drug resistance. The company’s lead product candidate CPI-1205 that is in Phase Ib/II clinical trials for the treatment of metastatic castration-resistant prostate cancer in combination with androgen receptor signaling inhibitors, as well as for the treatment of solid tumors in combination with immune checkpoint inhibitors. It is also developing CPI-0209, which is in preclinical trials for the treatment of solid tumors and/or hematological malignancies; and CPI-0610 that is in Phase II clinical trials for the treatment of patients with myelofibrosis in combination with ruxolitinib. The company was formerly known as Epigenetix, Inc. and changed its name to Constellation Pharmaceuticals, Inc. in March 2008. Constellation Pharmaceuticals, Inc. was founded in 2008 and is based in Cambridge, Massachusetts.</t>
  </si>
  <si>
    <t>Entera Bio Ltd.</t>
  </si>
  <si>
    <t>NasdaqCM:ENTX</t>
  </si>
  <si>
    <t>IQTR531321920</t>
  </si>
  <si>
    <t>IQ106997294</t>
  </si>
  <si>
    <t>Entera Bio Ltd., a clinical-stage biopharmaceutical company, focuses on the development and commercialization of orally delivered large molecule therapeutics for unmet medical needs. The company’s lead product includes the EB612, an oral parathyroid hormone product candidate that has completed a Phase IIa clinical trial for hypoparathyroidism. It is also developing EB613 that has completed Phase I clinical trials for the treatment of osteoporosis and non-union bone fractures; and other platform modules. The company was founded in 2010 and is headquartered in Jerusalem, Israel.</t>
  </si>
  <si>
    <t>Forty Seven, Inc.</t>
  </si>
  <si>
    <t>NasdaqGS:FTSV</t>
  </si>
  <si>
    <t>IQTR569390027</t>
  </si>
  <si>
    <t>IQ326556338</t>
  </si>
  <si>
    <t>Forty Seven Inc., a clinical-stage immuno-oncology company, focuses on developing therapies to activate macrophages for the treatment of cancer. It is developing 5F9, a humanized IgG4 subclass monoclonal antibody against CD47 that is in Phase 1b/2 clinical trials used for the treatment of cancer; and FSI-189, an antibody that binds to SIRPa for the treatment of solid tumors. The company was formerly known as CD47 Sciences, Inc. Forty Seven Inc. was incorporated in 2014 and is headquartered in Menlo Park, California.</t>
  </si>
  <si>
    <t>AVROBIO, Inc.</t>
  </si>
  <si>
    <t>NasdaqGS:AVRO</t>
  </si>
  <si>
    <t>IQTR567724127</t>
  </si>
  <si>
    <t>IQ326042490</t>
  </si>
  <si>
    <t>AVROBIO, Inc., a clinical stage gene therapy company, focuses on developing potentially curative ex vivo lentiviral-based gene therapies to treat rare diseases following a single dose. It lead product candidate in AVR-RD-01, which is in Phase 1 clinical trial for the treatment of Fabry disease. The company is also developing AVR-RD-02 for the treatment of Gaucher disease; AVR-RD-03 for the treatment of Pompe disease; and AVR-RD-04 for the treatment of cystinosis. AVROBIO, Inc. was founded in 2015 and is headquartered in Cambridge, Massachusetts.</t>
  </si>
  <si>
    <t>Magenta Therapeutics, Inc.</t>
  </si>
  <si>
    <t>NasdaqGM:MGTA</t>
  </si>
  <si>
    <t>IQTR567417136</t>
  </si>
  <si>
    <t>IQ409918376</t>
  </si>
  <si>
    <t>Magenta Therapeutics, Inc., a clinical-stage biopharmaceutical company, engages in developing medicines to bring the curative power of bone marrow transplant to patients. It is developing C100, C200, and C300 targeted antibody-drug conjugates for transplant conditioning; MGTA-145, a stem cell mobilization product candidate to control stem cell mobilization; MGTA-456, an allogeneic stem cell therapy to control stem cell growth; E478, a small molecule aryl hydrocarbon receptor antagonist for the expansion of gene-modified stem cells; and G100, an ADC program to prevent acute graft and host diseases. The company was formerly known as HSCTCo Therapeutics, Inc. and changed its name to Magenta Therapeutics, Inc. in February 2016. Magenta Therapeutics, Inc. was incorporated in 2015 and is based in Cambridge, Massachusetts.</t>
  </si>
  <si>
    <t>Aptinyx Inc.</t>
  </si>
  <si>
    <t>NasdaqGS:APTX</t>
  </si>
  <si>
    <t>IQTR567144607</t>
  </si>
  <si>
    <t>IQ336341295</t>
  </si>
  <si>
    <t>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t>
  </si>
  <si>
    <t>Eidos Therapeutics, Inc.</t>
  </si>
  <si>
    <t>NasdaqGS:EIDX</t>
  </si>
  <si>
    <t>IQTR567724324</t>
  </si>
  <si>
    <t>IQ539024074</t>
  </si>
  <si>
    <t>Eidos Therapeutics, Inc., a clinical stage biopharmaceutical company, focuses on developing drugs to treat diseases caused by transthyretin (TTR) amyloidosis (ATTR). It is developing AG10, an orally-administered small molecule designed to stabilize tetrameric TTR, thereby halting at its outset the series of molecular events that give rise to ATTR. The company was incorporated in 2013 and is headquartered in San Francisco, California. Eidos Therapeutics, Inc. is a subsidiary of BridgeBio Pharma LLC.</t>
  </si>
  <si>
    <t>Kiniksa Pharmaceuticals, Ltd.</t>
  </si>
  <si>
    <t>NasdaqGS:KNSA</t>
  </si>
  <si>
    <t>IQTR560752737</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</si>
  <si>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</si>
  <si>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</si>
  <si>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Genprex, Inc.</t>
  </si>
  <si>
    <t>NasdaqCM:GNPX</t>
  </si>
  <si>
    <t>IQTR531599159</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</si>
  <si>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</si>
  <si>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</si>
  <si>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</si>
  <si>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</si>
  <si>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</si>
  <si>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</si>
  <si>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VERED that has completed Phase II clinical trials for the treatment of papulopustular rosacea; and TWIN and SIRS-T, which has completed Phase II clinical trials for the treatment of acne vulgaris. It is also involved in the development of generic dermatological candidates; and formulation and pre-clinical development of early stage product candidates for acne and rosacea, and other dermatological indications. The company was founded in 1997 and is based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</si>
  <si>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</si>
  <si>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</si>
  <si>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</si>
  <si>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</si>
  <si>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and conditions in the United States. It is developing TORC1 inhibitor class of pharmaceutical products, including RTB101 and RTB101 with everolimus that are in Phase IIb clinical trial for the treatment of respiratory tract infections; and that have completed Phase I clinical trials for the treatment of heart failure with preserved ejection fraction and autophagy-related neurodegenerative diseases, as well as other infections, such as urinary tract infections. The company was founded in 2016 and is based in Boston, Massachusetts. resTORbio, Inc. is a subsidiary of PureTech Health plc.</t>
  </si>
  <si>
    <t>Menlo Therapeutics Inc.</t>
  </si>
  <si>
    <t>NasdaqGS:MNLO</t>
  </si>
  <si>
    <t>IQTR547921857</t>
  </si>
  <si>
    <t>IQ225807943</t>
  </si>
  <si>
    <t>Menlo Therapeutics Inc., a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in pruritus associated with psoriasis and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</si>
  <si>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</si>
  <si>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</si>
  <si>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</si>
  <si>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</si>
  <si>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that has completed Phase III clinical trials for the treatment of chronic angle closure glaucoma; MicroStat that has completed Phase 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</si>
  <si>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Gamida Cell Ltd.</t>
  </si>
  <si>
    <t>Orchard Therapeutics plc</t>
  </si>
  <si>
    <t>Osmotica Pharmaceuticals plc</t>
  </si>
  <si>
    <t>NasdaqGS:OSMT</t>
  </si>
  <si>
    <t>IQTR581173202</t>
  </si>
  <si>
    <t>IQ579085729</t>
  </si>
  <si>
    <t>Osmotica Pharmaceuticals plc, an integrated biopharmaceutical company, develops, manufactures, and commercializes specialty products that target markets with underserved patient populations. The company’s promoted approved products include specialty neurology products, such as M-72 to treat ADHD; Osmolex ER to treat Parkinson's and drug-induced extrapyramidal reactions in adults; Lorzone to treat muscle spasms; and ConZip for pain, as well as women’s health products, including Divigel for menopause; and OB Complete, a dietary supplement for prenatal, pregnancy, and postnatal periods. Its non-promoted approved products comprise Methylphenidate ER for ADHD; Venlafaxine ER tablets for major depressive disorder and social anxiety disorder; Hydromorphone ER for pain; Nifedipine ER for hypertension; Sodium Benzoate/Sodium Phenylacetate for hyperammonemia; Oxybutynin ER for overactive bladder; and prescription prenatal vitamins for nutritional requirements during pregnancy. The company’s products under development include Ontinua ER, which is in Phase III clinical trials to treat multiple sclerosis spasticity, and Phase I clinical trials to treat opioid and alcohol use disorders; RVL-1201, which is in Phase III clinical trials to treat Blepharoptosis; and Osmodex and other ANDAs for various indications. Osmotica Pharmaceuticals plc is based in Bridgewater, New Jersey.</t>
  </si>
  <si>
    <t>Urovant Sciences Ltd.</t>
  </si>
  <si>
    <t>NasdaqGS:UROV</t>
  </si>
  <si>
    <t>IQTR573919831</t>
  </si>
  <si>
    <t>IQ573918458</t>
  </si>
  <si>
    <t>Urovant Sciences Ltd., a clinical-stage biopharmaceutical company, focuses on developing and commercializing therapies for urologic conditions. It is developing vibegron, an oral, once-daily, small molecule beta-3 agonist that is in Phase III trials for the treatment of overactive bladder (OAB) and OAB in men with benign prostatic hyperplasia; and in Phase IIa clinical trials for irritable bowel syndrome-associated pain. The company was formerly known as Thalavant Sciences Ltd. and changed its name to Urovant Sciences Ltd. in January 2017. The company was founded in 2016 and is based in London, the United Kingdom. Urovant Sciences Ltd. is a subsidiary of Roivant Sciences Ltd.</t>
  </si>
  <si>
    <t>Adial Pharmaceuticals, Inc.</t>
  </si>
  <si>
    <t>NasdaqCM:ADIL</t>
  </si>
  <si>
    <t>IQTR536981068</t>
  </si>
  <si>
    <t>IQ112638788</t>
  </si>
  <si>
    <t>Adial Pharmaceuticals, Inc., a clinical-stage biopharmaceutical company, focuses on the development of therapeutic agents for the treatment of alcohol use disorders in the United States. Its lead product is AD04, a selective serotonin-3 antagonist that has completed Phase IIb clinical trials for the treatment of nausea and emesis. The company was founded in 2010 and is based in Charlottesville, Virginia.</t>
  </si>
  <si>
    <t>Liquidia Technologies, Inc.</t>
  </si>
  <si>
    <t>NasdaqCM:LQDA</t>
  </si>
  <si>
    <t>IQTR572351340</t>
  </si>
  <si>
    <t>IQ22761611</t>
  </si>
  <si>
    <t>Liquidia Technologies, Inc., a late-stage clinical biopharmaceutical company, focuses on the development and commercialization of human therapeutics. Its lead product candidate, LIQ861, an inhaled dry powder formulation of treprostinil that is in Phase III clinical trials used for the treatment of pulmonary arterial hypertension. The company is also developing LIQ865, which completed Phase Ib clinical trials for the treatment of local post-operative pain. It has strategic collaboration agreements with GlaxoSmithKline plc and Aerie Pharmaecuticals, Inc. Liquidia Technologies, Inc. was incorporated in 2004 and is headquartered in Morrisville, North Carolina.</t>
  </si>
  <si>
    <t>Aquestive Therapeutics, Inc.</t>
  </si>
  <si>
    <t>NasdaqGM:AQST</t>
  </si>
  <si>
    <t>IQTR572162633</t>
  </si>
  <si>
    <t>IQ8142504</t>
  </si>
  <si>
    <t>Aquestive Therapeutics, Inc. operates as a specialty pharmaceutical company that specializes in the drug delivery technology. The company offers PharmFilm, a drug delivery platform/pharmaceutical dosage form that delivers existing prescription products directly to the bloodstream. It develops, manufactures, and commercializes pharmaceutical films, individual film doses, and finished products for patients, physicians, and caregivers. Aquestive Therapeutics, Inc. was formerly known as MonoSol Rx Inc. and changed its name to Aquestive Therapeutics, Inc. in November 2017. The company was founded in 2000 and is headquartered in Warren, New Jersey. Aquestive Therapeutics, Inc. operates as a subsidiary of MonoSol, LLC.</t>
  </si>
  <si>
    <t>Provention Bio, Inc.</t>
  </si>
  <si>
    <t>NasdaqCM:PRVB</t>
  </si>
  <si>
    <t>IQTR563610930</t>
  </si>
  <si>
    <t>IQ429733643</t>
  </si>
  <si>
    <t>Provention Bio, Inc., a clinical stage biopharmaceutical company, focuses on the development and commercialization of novel therapeutics and cutting-edge solutions to intercept and prevent immune-mediated diseases. Its products candidates include PRV-031 teplizumab and monoclonal antibodies (mAb) that is in Phase III clinical trial for the interception of type one diabetes (T1D); PRV-6527, oral CSF-1R inhibitor, which is in Phase 2a clinical trial for the treatment of Crohn’s disease; PRV-300, anti-TLR3 mAb, which is in Phase 1b clinical trial for the treatment of ulcerative colitis; PRV-3279 for the treatment of lupus; and PRV-101, a multivalent coxsackie virus vaccine for the prevention of acute Coxsackie Virus B Vaccine and the prevention of the onset of T1D. The company was incorporated in 2016 and is based in Oldwick, New Jersey.</t>
  </si>
  <si>
    <t>Tricida, Inc.</t>
  </si>
  <si>
    <t>NasdaqGS:TCDA</t>
  </si>
  <si>
    <t>IQTR569705317</t>
  </si>
  <si>
    <t>IQ254955910</t>
  </si>
  <si>
    <t>Tricida, Inc., a late-stage pharmaceutical company, focuses on developing therapeutics to address renal, metabolic, and cardiovascular disease. Its lead product candidate, TRC101, a non-absorbed orally-administered polymer drug that is in Phase III clinical trials used to treat metabolic acidosis in patients with chronic kidney disease. The company was founded in 2013 and is headquartered in South San Francisco, California.</t>
  </si>
  <si>
    <t>Xeris Pharmaceuticals, Inc.</t>
  </si>
  <si>
    <t>NasdaqGS:XERS</t>
  </si>
  <si>
    <t>IQTR567429675</t>
  </si>
  <si>
    <t>IQ105901792</t>
  </si>
  <si>
    <t>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t>
  </si>
  <si>
    <t>Verrica Pharmaceuticals Inc.</t>
  </si>
  <si>
    <t>NasdaqGM:VRCA</t>
  </si>
  <si>
    <t>IQTR566799008</t>
  </si>
  <si>
    <t>IQ319720251</t>
  </si>
  <si>
    <t>Verrica Pharmaceuticals Inc. develops and commercializes dermatological treatments in the United States. The company is advancing its lead product VP-102, a proprietary topical therapy, in various common skin indications, including Molluscum contagiosum and Verruca Vulgaris. It is also developing 2 Phase 3 trials in molluscum contagiosum under NCT03377803 and NCT03377790. The company is headquartered in West Chester, Pennsylvania.</t>
  </si>
  <si>
    <t>Iterum Therapeutics plc</t>
  </si>
  <si>
    <t>NasdaqGM:ITRM</t>
  </si>
  <si>
    <t>IQTR561403199</t>
  </si>
  <si>
    <t>IQ318354064</t>
  </si>
  <si>
    <t>Iterum Therapeutics plc, a clinical-stage pharmaceutical company, engages in developing anti-infectives for multi-drug resistant pathogens in Ireland and the United States. The company is developing sulopenem, a penem anti-infective compound with oral and IV formulations that is in Phase III clinical trials for the treatment of adults in uncomplicated urinary tract infections, complicated urinary tract infections, and complicated intra-abdominal infections. Iterum Therapeutics plc was founded in 2015 and is headquartered in Dublin, Ireland.</t>
  </si>
  <si>
    <t>Acacia Pharma Group Plc</t>
  </si>
  <si>
    <t>ENXTBR:ACPH</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</si>
  <si>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</si>
  <si>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</si>
  <si>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</si>
  <si>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ARMO BioSciences, Inc.</t>
  </si>
  <si>
    <t>NasdaqGS:ARMO</t>
  </si>
  <si>
    <t>IQTR548062212</t>
  </si>
  <si>
    <t>IQ225199094</t>
  </si>
  <si>
    <t>ARMO BioSciences, Inc., an immuno-oncology company, develops a pipeline of novel product candidates that activate the immune system of cancer patients to recognize and eradicate tumors in the United States. Its lead product candidate includes AM0010, a drug that is in Phase III randomized pivotal clinical trial for the treatment of pancreatic ductal adenocarcinoma and chemotherapy. The company is also developing AM0010 with anti-PD-1 immune checkpoint inhibitor that has completed Phase I/Ib clinical trial for the treatment of non-small cell lung cancer, as well as that is in Phase I/Ib clinical trial for the treatment of renal cell carcinoma, and melanoma and other solid tumors. In addition, it is developing include AM0001, a monoclonal antibody; AM0015, a recombinant human activator; AM0012, a recombinant human drug; and AM0003, a monoclonal antibody. The company was formerly known as Targenics, Inc. and changed its name to ARMO BioSciences, Inc. in December 2012. ARMO BioSciences, Inc. was incorporated in 2010 and is based in Redwood City, California.</t>
  </si>
  <si>
    <t>Guideline Transaction Analysis</t>
  </si>
  <si>
    <t>Guideline Comparables Analysis</t>
  </si>
  <si>
    <t>NasdaqGS:ALNY</t>
  </si>
  <si>
    <t>NasdaqGS:QURE</t>
  </si>
  <si>
    <t>NasdaqCM:LJPC</t>
  </si>
  <si>
    <t>NasdaqGM:CRBP</t>
  </si>
  <si>
    <t>NasdaqGM:GLYC</t>
  </si>
  <si>
    <t>NasdaqCM:FCSC</t>
  </si>
  <si>
    <t>NasdaqGS:IRWD</t>
  </si>
  <si>
    <t>Gene Editing/Gene Therapy/Cystic Fibrosis/Blood Disorders (Excluding CRISPR/Cas9)</t>
  </si>
  <si>
    <t>CRISPR/Cas9</t>
  </si>
  <si>
    <t>CY2020</t>
  </si>
  <si>
    <t>CY2021</t>
  </si>
  <si>
    <t>CY2022</t>
  </si>
  <si>
    <t>REV_CY2020</t>
  </si>
  <si>
    <t>REV_CY2021</t>
  </si>
  <si>
    <t>REV_CY2022</t>
  </si>
  <si>
    <t>EBITDA_2019</t>
  </si>
  <si>
    <t>EBITDA_2020</t>
  </si>
  <si>
    <t>EBITDA_2021</t>
  </si>
  <si>
    <t>IQ2796659</t>
  </si>
  <si>
    <t>Alnylam Pharmaceuticals, Inc.</t>
  </si>
  <si>
    <t>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t>
  </si>
  <si>
    <t>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t>
  </si>
  <si>
    <t>IQ31498</t>
  </si>
  <si>
    <t>Ironwood Pharmaceuticals, Inc.</t>
  </si>
  <si>
    <t>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t>
  </si>
  <si>
    <t>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t>
  </si>
  <si>
    <t>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t>
  </si>
  <si>
    <t>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</si>
  <si>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t>
  </si>
  <si>
    <t>IQ171029664</t>
  </si>
  <si>
    <t>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t>
  </si>
  <si>
    <t>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t>
  </si>
  <si>
    <t>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t>
  </si>
  <si>
    <t>IQ254045988</t>
  </si>
  <si>
    <t>Corbus Pharmaceuticals Holdings, Inc.</t>
  </si>
  <si>
    <t>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t>
  </si>
  <si>
    <t>IQ5703481</t>
  </si>
  <si>
    <t>GlycoMimetics, Inc.</t>
  </si>
  <si>
    <t>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t>
  </si>
  <si>
    <t>LogicBio Therapeutics, Inc.</t>
  </si>
  <si>
    <t>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t>
  </si>
  <si>
    <t>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t>
  </si>
  <si>
    <t>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t>
  </si>
  <si>
    <t>IQ30632</t>
  </si>
  <si>
    <t>La Jolla Pharmaceutical Company</t>
  </si>
  <si>
    <t>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t>
  </si>
  <si>
    <t>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t>
  </si>
  <si>
    <t>IQ1517644</t>
  </si>
  <si>
    <t>Fibrocell Science, Inc.</t>
  </si>
  <si>
    <t>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t>
  </si>
  <si>
    <t>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t>
  </si>
  <si>
    <t>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</si>
  <si>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t>
  </si>
  <si>
    <t>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t>
  </si>
  <si>
    <t>(Parameter Length Limit Exceeded)</t>
  </si>
  <si>
    <t>IQTR558560216</t>
  </si>
  <si>
    <t>AveXis, Inc., a clinical-stage gene therapy company, engages in developing and commercializing treatments for patients suffering from rare and life-threatening neurological genetic diseases. Its initial product candidate is AVXS-101, a gene therapy product candidate that has completed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 As of May 14, 2018, AveXis, Inc. operates as a subsidiary of Novartis AG.</t>
  </si>
  <si>
    <t xml:space="preserve">Novartis AG (SWX:NOVN) entered into an agreement and plan of merger to acquire AveXis, Inc. (NasdaqGS:AVXS) for $8.1 billion on April 6, 2018. Under the terms of agreement, Novartis will pay $218 per share in cash to acquire all of the outstanding shares of AveXis in a tender offer. Each stock option outstanding will be canceled at the effective time and converted into the right to receive (i) the excess, if any, of the offer price over the exercise price per share of the stock option, multiplied by (ii) the number of shares subject to the stock option. Each restricted stock unit and performance stock unit outstanding immediately prior to the effective time will be canceled and converted into the right of the holder to receive (i) the offer price multiplied by (ii) the number of shares subject to such restricted stock unit or performance stock unit. Novartis will commence a tender offer no later than April 17, 2018 and following the completion of the tender offer Novartis expects to promptly consummate a merger of AveXis in which shares of AveXis that have not been purchased in the tender offer will be converted into the right to receive the same cash price per share as paid in the tender offer. The offer will remain open for a minimum of 20 business days from the date of commencement. The acquisition is planned to be funded through available cash and short-term borrowing. Novartis intends to re-deploy the proceeds of the sale of OTC JV stake to fund the acquisition, which is subject to the timing of closing of transactions. Post-closing, AveXis will operate as a wholly owned subsidiary of Novartis. Until the acquisition is completed, both AveXis and Novartis must continue to operate as independent entities and carry on their respective businesses as usual. The merger agreement includes customary termination provisions for both AveXis and Novartis, including a right for either party to terminate if the transactions have not been completed by July 6, 2018 (“outside date”). Novartis is permitted under specified antitrust related circumstances to extend the outside date to October 6, 2018. If Novartis elects to extend the outside date the offer price will increase from $218 per share to $225 per share in cash. In case of termination, AveXis will pay a termination fee of $284 million to Novartis while Novartis will be required to pay a reverse termination fee of $437 million. The termination fee increases in the event Novartis elects to extend the outside date in accordance with the terms of the merger agreement. In the event that Novartis elects to extend the Outside Date beyond July 6, 2018, the amount of the termination fee shall be increased, such that the amount of the fee instead will be: (i) $542 million if the termination occurs between July 7, 2018 and August 5, 2018, and (ii) $632 million if the termination occurs between August 6, 2018 and September 4, 2018 and (iii) $722 million if the termination occurs on or after September 5, 2018._x000D_
_x000D_
As of April 17, 2018, the tender offer has commenced. The offer will expire on May 14, 2018. On completion, Novartis plans a smooth transition of operations and the integration of AveXis' employees to continue the mission of bringing AVXS-101 to patients worldwide. The Directors of Novartis immediately prior to the effective time shall be the Directors of AveXis, until the earlier of their resignation or removal or until their respective successors are duly elected._x000D_
_x000D_
The transaction is subject to successful completion of the tender offer, tender of at least a majority of outstanding AveXis shares on a fully diluted basis, Novartis shall have accepted for payment all shares of AveXis common stock validly tendered and not withdrawn pursuant to the offer, the expiration or termination of the waiting period under the Hart-Scott-Rodino Antitrust Improvements Act and all other closing conditions. The transaction has been unanimously approved by the Board of Directors of both Novartis and AveXis. The consummation of the offer is not subject to any financing condition and any stockholder approvals. The Board of Directors of AveXis recommended that the holders of AveXis common stock accept the offer and tender their shares pursuant to the offer. The transaction is expected to be completed in mid-2018. The acquisition impact would be slightly negative to core operating income and will lead to slight dilution in Earnings Per Share (EPS) in 2018 and 2019 mainly due to R&amp;D investments. As of 2020, Novartis would expect the acquisition impact to strongly contribute to core operating income and core EPS accretion driven by a significant increase in sales. As on May 1, 2018, the required waiting period under the Hart-Scott-Rodino Antitrust Improvements Act of 1976 for the completion of the transaction has expired. The tender offer is expected to close on May 14, 2018._x000D_
_x000D_
Bartosz Ostenda, Amit Sinha and Yi Larson of Goldman Sachs &amp; Co. LLC and Alan Hartman and Jonathan L. Davis P.C. and James Jian Hu of Kirkland LLP represented Mark Robinson of Centerview Partners LLC acted as financial advisors to AveXis. Centerview will be paid an aggregate fee of approximately $39.2 million, $2 million of which was payable upon the rendering of Centerview's opinion and approximately $37.2 million of which is payable contingent upon consummation of the transaction. Goldman Sachs will also be paid a fee of approximately $48 million, all of which is contingent upon consummation of the transaction. Faiza J. Saeed, George F. Schoen, Allison M. Wein, Jason M. Sandler, Sandeep S. Chhabra, Lauren Angelilli, Andrew Carlon, Rebecca L. Fine, Christine A. Varney, Jesse M. Weiss, Jennifer S. Conway, Jonathan J. Katz, Matthew J. Bobby, Sarah W. Colangelo, Alison E. Beskin, Annmarie M. Terraciano, Nicholas Kypriotakis and Kevin P. Gibson of Cravath, Swaine &amp; Moore LLP and Cooley LLP acted as legal advisors to AveXis. Gordon Dyal of Dyal Co. LLC acted as financial advisor and Adam H. Golden, Joseph E. Gilligan and Steven Palyca of Hogan Lovells US LLP acted as legal advisors to Novartis. Innisfree M&amp;A Inc. acted as information agent and American Stock Transfer &amp; Trust Company, LLC acted as depositary and paying agent for Novartis._x000D_
</t>
  </si>
  <si>
    <t>Ultragenyx Pharmaceutical Inc.</t>
  </si>
  <si>
    <t>IQTR537854831</t>
  </si>
  <si>
    <t>Dimension Therapeutics, Inc., a gene therapy platform company, focuses on discovering and developing therapeutic products for people living with rare and metabolic diseases associated with the liver. The company's pipeline of programs includes DTX101, a lead gene therapy product candidate designed to deliver FIX gene expression in patients with hemophilia B; and DTX201, a FVIII gene therapy program for the treatment of hemophilia A. Its pipeline programs also comprise DTX301, a gene therapy product candidate for the treatment of ornithine transcarbamylase deficiency; DTX401, a gene therapy program for the treatment of glycogen storage disease type Ia; DTX501, gene therapy program for the treatment of patients with PKU; DTX701, a gene therapy program for the treatment of Wilson disease; and DTX601, a gene therapy program for the treatment of citrullinemia type I. Dimension Therapeutics, Inc. was founded in 2013 and is based in Cambridge, Massachusetts. As of November 7, 2017, Dimension Therapeutics, Inc. operates as a subsidiary of Ultragenyx Pharmaceutical Inc.</t>
  </si>
  <si>
    <t xml:space="preserve">Ultragenyx Pharmaceutical Inc. (NASDAQ:RARE) (‘Ultragenyx’) made a non-binding proposal to acquire Dimension Therapeutics, Inc. (NASDAQ:DMTX) (‘Dimension’) from group of shareholders for approximately $140 million on September 18, 2017. Ultragenyx proposes to pay $5.5 in cash per Dimension share as consideration in a transaction that will be effectuated via a tender offer. On October 2, 2017, Ultragenyx made a revised offer to acquire Dimension at a consideration of $6 per share or approximately $151 million in cash. The Dimension Board declared the offer to be superior to the competing agreement with Regenxbio Inc. (NASDAQ:RGNX). Regenxbio announced that it is not exercising its right to negotiate a possible amendment of the agreement to match or exceed Ultragenyx’s proposal and has waived its matching rights. Following the receipt of response of Regenxbio, Ultragenyx and Dimension entered into a definitive merger agreement dated October 2, 2017 under which Ultragenyx will acquire all of the outstanding shares of common stock of Dimension for $6 per share, or approximately $151 million in cash, based on currently outstanding shares. The transaction is structured as a tender offer and, following successful completion of the tender offer, Ultragenyx will acquire all remaining shares not tendered in the offer through a second step merger at the same price as in the tender offer. Ultragenyx intends to fund the purchase from cash resources on its balance sheet. Ultragenyx has sufficient cash resources to fund the transaction with cash currently on its balance sheet._x000D_
_x000D_
Ultragenyx has agreed to pay on Dimension’s behalf the termination fee of $2.85 million that will become due to Regenxbio in the event that the agreement with Regenxbio is terminated. Dimension would be required to repay Ultragenyx for the Regenxbio termination fee under certain circumstances in connection with a termination of Ultragenyx’s merger agreement. Dimension may be liable to pay a fee of $2.85 million in the event of termination of the agreement under certain circumstances._x000D_
_x000D_
The initial proposal is subject to confirmatory due diligence, expiration or early termination of the waiting period under the Hart-Scott-Rodino Act, negotiation of a mutually satisfactory definitive agreement to be executed upon termination of the existing merger agreement with Regenxbio and final approval by Ultragenyx’s Board of Directors. The revised proposal is subject to a minimum tender of at least a majority of outstanding Dimension shares, expiration or termination of the waiting period under the Hart-Scott-Rodino Antitrust Improvements Act, and other customary conditions. The offer is not subject to any financing condition. The definitive agreement has been approved by the Boards of Directors of both companies. On October 2, 2017, Dimension terminated its merger agreement with Regenxbio. As of October 25, 2017, Ultragenyx and Dimension announces expiration of Hart-Scott-Rodino waiting period for Ultragenyx’s acquisition of Dimension. The tender offer will commence on October 10, 2017 and expire on November 6, 2017. As of October 26, 2017, tender offer is scheduled to expire on November 7, 2017._x000D_
_x000D_
Centerview Partners LLC served as financial advisor to Ultragenyx. Graham Robinson, Maria Raptis, Moshe Spinowitz, Steven Sunshine, Matthew Zisk and Laura Knoll of Skadden, Arps, Slate, Meagher &amp; Flom LLP served as legal advisors to Ultragenyx. MTS Health Partners LP served as financial advisor and provided fairness opinion to the board of Dimension. Kingsley L. Taft, Andrew H. Goodman, Caitlin L. Murray, James A. Matarese, Lillian Kim, Tobias D. Schad, Catherine Magazu, Andre Garron, Brian A. Fairchild, Kathleen Kean, Noelle C. Dubiansky, Janet Andolina, Todd Pollock, Scott A. Webster, Natascha S. George, Megan F. Juel, Scott Lassman, Stephanie Philbin, Jennifer Merrigan Fay, Christina S. Bitter, Andrea Murino, Kirby H. Lewis, J. Todd Hahn, Jacqueline Klosek and Deborah S. Birnbach of Goodwin Procter LLP acted as legal advisors to Dimension. Tim Lynch, Trevor Gibbons and Leigh Parrish of Joele Frank, Wilkinson Brimmer Katcher acted as public relation advisor to Ultragenyx Pharmaceutical. Justin Jackson from Burns McClellan served as the media contact for Dimension on the deal. D.F. King &amp; Co. Inc. served as the information agent while American Stock Transfer &amp; Trust Company LLC served as the depository in connection with the offer._x000D_
</t>
  </si>
  <si>
    <t>Selexys Pharmaceuticals Corporation</t>
  </si>
  <si>
    <t>Pharmaceuticals</t>
  </si>
  <si>
    <t>IQTR410389922</t>
  </si>
  <si>
    <t>As of November 18, 2016, Selexys Pharmaceuticals Corporation was acquired by Novartis AG. Selexys Pharmaceuticals Corporation, a biopharmaceutical company, develops drugs to treat inflammatory and thrombotic diseases. The company alos provides related research and clinical trial services. Its products include P-selectin, a therapeutic target for antibody-based drugs; and an antibody directed against PSGL-1 proteins. The company’s solutions are used to treat vasoocclusion and thrombosis, such as vasoocclusive pain crisis in sickle cell disease and deep venous thrombosis; chronic inflammatory diseases, including crohn's diseases, ulcerative colitis, rheumatoid arthritis, psoriasis, asthma, allergic reactions, cutaneous vasculitis, and chronic obstructive pulmonary disease; ischemia reperfusion injury, such as delayed graft function in organ transplantation, heart attack, and stroke; stenosis and restenosis, including coronary artery bypass graft, stent placement, endarterectomy, and formation of atherosclerotic plaques. Selexys Pharmaceuticals Corporation was founded in 2002 and is based in Oklahoma City, Oklahoma.</t>
  </si>
  <si>
    <t xml:space="preserve">Novartis AG (SWX:NOVN) acquired Selexys Pharmaceuticals Corporation for approximately $670 million on November 18, 2016. The purchase price of $665 million includes upfront, acquisition and milestone payments._x000D_
</t>
  </si>
  <si>
    <t>Marina Biotech, Inc. (nka:Adhera Therapeutics, Inc.)</t>
  </si>
  <si>
    <t>IQTR410083422</t>
  </si>
  <si>
    <t>As of November 15, 2016, Marina Biotech, Inc. was acquired by IthenaPharma Inc. in a reverse merger transaction. Marina Biotech, Inc., a biotechnology company, focuses on the discovery, development, and commercialization of nucleic acid-based therapies to treat orphan diseases. The company’s therapies include small interfering RNA, microRNA (miRNA) mimics, and single stranded oligonucleotide-based compounds. Its pipeline includes CEQ508 that is in clinical development for the treatment of Familial Adenomatous Polyposis; and preclinical programs in type 1 myotonic dystrophy and Duchenne’s muscular dystrophy. The company also has a strategic alliance with Rosetta Genomics, Ltd. to identify and develop miRNA -based products to diagnose and treat various neuromuscular diseases and dystrophies; and with Avecia Nitto Denko to develop, supply, and commercialize various oligonucleotides constructs using company’s conformationally restricted nucleotide technology. It has licensing agreements with Mirna Therapeutics, Inc.; ProNAi Therapeutics, Inc.; Monsanto Company; MiNA Therapeutics, Ltd.; Novartis Institutes for Biomedical Research, Inc.; Protiva Biotherapeutics Inc.; Arcturus Therapeutics, Inc; Hongene Biotechnology; and Arbutus. The company was formerly known as MDRNA, Inc. and changed its name to Marina Biotech, Inc. in July 2010. Marina Biotech, Inc. was founded in 1983 and is based in Bothell, Washington.</t>
  </si>
  <si>
    <t xml:space="preserve">IThenaPharma Inc acquired Marina Biotech, Inc. (OTCPK:MRNA) in a reverse merger transaction on November 15, 2016. Under the terms of the merger agreement, Marina Biotech is issuing approximately 58.4 million shares of its common stock, representing approximately 64% of the issued and outstanding shares of its common stock immediately following the completion of the merger, to the stockholders of IthenaPharma. Marina Biotech is also assuming warrants to purchase 0.3 million shares of IthenaPharma common stock, which warrants will be exercisable for approximately 2.87 million shares of Marina Biotech common stock. Marina will grant two board seats to IthenaPharma, with the first going to Vuong Trieu, the Chairman of the Board of Autotelic, Inc., who will also become Chairman of the Board of Marina immediately following the closing of the merger, and the second board seat to a person reasonably acceptable to Marina Biotech to be nominated by Trieu after deal closing. 
Deal has been unanimously approved by the Board of Directors of IThenaPharma and Marina Biotech. Deal has been unanimously approved by the shareholders of IThenaPharma Lawrence Remmel of Pryor Cashman LLP acted as a legal advisor to Marina Biotech, Inc. and John Chao of Reed Smith LLP acted as a legal advisor to IthenaPharma, Inc.
</t>
  </si>
  <si>
    <t>Allergan plc</t>
  </si>
  <si>
    <t>IQTR401979689</t>
  </si>
  <si>
    <t>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t>
  </si>
  <si>
    <t xml:space="preserve">Allergan plc (NYSE:AGN) signed definitive agreement to acquire Tobira Therapeutics, Inc. (NasdaqCM:TBRA) for $1.5 billion on September 19, 2016. Under the terms of the merger agreement, a subsidiary of Allergan will commence a cash tender offer to purchase all of the outstanding shares of Tobira common stock for $28.35 per share, plus one Contingent Value Right to receive up to $49.84 per share in future payments based on the successful completion of certain development, regulatory and commercial milestones. Holders of approximately 36 percent of the outstanding shares of Tobira common stock have entered into an agreement to tender their shares into the tender offer. In case of termination, Tobira will pay $19.34 million as termination fee. The merger agreement contemplates that Allergan will acquire any shares of Tobira that are not tendered into the offer through a second-step merger, which will be completed as soon as practicable following the closing of the tender offer._x000D_
_x000D_
The closing of the tender offer is subject to customary closing conditions, including U.S. antitrust clearance and the tender of a majority of the outstanding shares of Tobira common stock. The Boards of Directors of Tobira Therapeutics, Inc. (NasdaqCM:TBRA) and Allergan plc (NYSE:AGN) have unanimously approved the transaction. The tender offer will commence no later than October 3, 2016. The deal is expected to be completed by the end of 2016. As of October 18, 2016, Federal Trade Commission granted early termination of the waiting period under the Hart-Scott Rodino Antitrust Improvements Act of 1976._x000D_
_x000D_
Andrew Ment, Bud Jerke, Adele Faure and Megan Woodford of Covington &amp; Burling LLP acted as legal advisor to Allergan plc. Mark Robinson of Centerview Partners LLC and Chris Hite of Citigroup Global Markets Inc. acted as financial advisor to Tobira Therapeutics, Inc. and Graham Robinson, Laura Knoll, Matthew Zisk, Clifford Aronson, Moshe Spinowitz and Jennifer Bragg of Skadden, Arps, Slate, Meagher &amp; Flom LLP and Jay K. Hachigian and Andrew Y. Luh of Gunderson Dettmer Stough Villeneuve Franklin &amp; Hachigian, LLP acted as legal advisors to Tobira Therapeutics, Inc. Brianne Kucerik, Steve Newborn and Ann Malester of Weil Gotshal &amp; Manges LLP acted as legal advisors for Allergan. Tobira has agreed to pay Centerview an aggregate fee of approximately $16.2 million, for its services as a financial advisor in connection with the merger. Tobira has also agreed to pay Citi an aggregate fee of approximately $10.8 million, for its services as a financial advisor._x000D_
</t>
  </si>
  <si>
    <t>RetroSense Therapeutics, LLC</t>
  </si>
  <si>
    <t>Pre-clinical / Phase I</t>
  </si>
  <si>
    <t>IQTR382898165</t>
  </si>
  <si>
    <t>RetroSense Therapeutics, LLC is a biotechnology company that develops life-enhancing gene therapy to restore vision in patients suffering from blindness due to retinitis pigmentosa (RP) and advanced dry age-related macular degeneration (advanced dry-AMD). Its products include RST-001 that develops a photosensitivity gene; and channelrhodopsin-2 that creates photo sensors in retinal cells and restores vision in retinal degenerative conditions, such as RP and advanced dry-AMD. RetroSense Therapeutics, LLC was founded in 2009 and is based in Ann Arbor, Michigan. As of September 6, 2016, RetroSense Therapeutics, LLC operates as a subsidiary of Allergan plc.</t>
  </si>
  <si>
    <t xml:space="preserve">Allergan plc (NYSE:AGN) acquired substantially all of assets of RetroSense Therapeutics, LLC for approximately $560 million on September 6, 2016. Allergan plc made an upfront payment of approximately $60 million and also agreed to potential regulatory and commercialization milestone payments related to rst-001 which is up $495 million. Dan Koeppen, Jason Skolnik, David Mashburn, Kassandra Castillo, Miranda Biven, Alex Key, Pete Gutsche, David Hoffmeister, Paul Jin, Roisin Comerford, Brandon Gantus, Greg Broome, Devin Heckman and Briza Sanchez of Wilson Sonsini Goodrich &amp; Rosati acted as legal advisors for RetroSense._x000D_
</t>
  </si>
  <si>
    <t>Avalanche Biotechnologies, Inc. (nka:Adverum Biotechnologies, Inc.)</t>
  </si>
  <si>
    <t>Annapurna Therapeutics SAS</t>
  </si>
  <si>
    <t>IQTR324288605</t>
  </si>
  <si>
    <t>Annapurna Therapeutics SAS, a gene therapy company, discovers and develops therapeutic products for people living with severe diseases. It offers ANN-001, a gene therapy product candidate designed to deliver alpha-1 antitrypsin protein in patients with alpha-1 antitrypsin deficiency; ANN-002 designed for the treatment of patients with hereditary angioedema; ANN-003, a gene therapy program for the treatment of the cardiomyopathy associated with Friedreich’s Ataxia; ANN-004, a gene therapy program for the treatment of severe allergies, which are diseases that cause extreme discomfort and can be fatal; and adeno-associated virus gene therapy for a range of severe disorders, including monogenic diseases. The company was incorporated in 2014 and is based in Paris, France. As of May 11, 2016, Annapurna Therapeutics SAS operates as a subsidiary of Adverum Biotechnologies, Inc.</t>
  </si>
  <si>
    <t xml:space="preserve">Avalanche Biotechnologies, Inc. (NasdaqGM:AAVL) entered into an agreement to acquire Annapurna Therapeutics SAS from a group of sellers for $78.8 million in stock on January 29, 2016. The seller group includes BPI France Investissement - FPCI Fonds Ville De Demain and BPI France Investissement - FPCI Fonds Ville De Demain managed by Bpifrance Investissement, Inserm Transfert Initiative, Versant Capital (Switzerland) GmbH, Amber Salzman, Ronald Crystal, Hélène Puccio, Patrick Aubourg and Pierre Bougneres. Under the terms of the agreement, Avalanche Biotechnologies will issue 13.1 million shares as consideration. The agreement also provides for the Avalanche to pay to Annapurna a termination fee of $6 million. Post completion of the acquisition, existing Avalanche shareholders will own 62.5% of the combined company and Annapurna shareholders will own 37.5% of the combined company. The combined company’s common stock will continue to trade on NASDAQ under the symbol “AAVL.”_x000D_
_x000D_
Paul B. Cleveland, President and Chief Executive Officer of Avalanche, will serve as the Chief Executive Officer of the combined company and Amber Salzman, Ph.D., President and Chief Executive Officer of Annapurna, will become President and Chief Operating Officer of the combined company. Carlo Russo, Chief Medical Officer and head of development at Annapurna, will serve as Executive Vice President and Chief Medical Officer of the combined company, and Mehdi Gasmi, interim Chief scientific Officer of Avalanche, will be appointed Chief Technology Officer. Mark Blumenkranz, current Chairman of Avalanche's board of directors, co-founder of Avalanche and H. J. Smead Professor of Ophthalmology at Stanford University, will continue to serve as chairman of the board. The board will be expanded to nine members, comprising five current directors of Avalanche, Blumenkranz, Cleveland, John McLaughlin, Steven Schwartz and Paul Wachter, and four new directors, Salzman, Finer, Bong Koh, and Thomas Woiwode._x000D_
_x000D_
The transaction is subject to approval by Avalanche stockholders, consideration shares shall have been approved for listing, execution of investor rights agreement and regulatory approval. The transaction has been approved unanimously by the boards of directors of both companies. The acquisition is expected to close in the second quarter of 2016. On March 10, 2016, Avalanche Biotechnologies filed the merger presentation. As per the amendment agreement on April 6, 2016, Annapurna may delay the closing up to five business days to the extent necessary to effect the conversion of certain convertible debt of Annapurna into Annapurna preferred stock prior to the closing, necessary vote to approve the issuance of the New Shares will be the affirmative vote of a majority of votes cast by the holders of the Avalanche's common stock at stockholders’ meeting at which a quorum is present, the size of the Avalanche's Board of Directors will increase to a total of seven directors and the number of new shares to be issued upon the closing may be adjusted to take into account any exercise of Annapurna options by the holders thereof prior to the closing. Avalanche Biotechnologies shareholders approved the transaction on May 10, 2016._x000D_
_x000D_
Cowen and Company acted as a financial advisor to Avalanche, and Kevin S. Masuda of Munger, Tolles &amp; Olson LLP, Fieldfisher France LLP and Cooley LLP acted as legal advisor to Avalanche. Graham Robinson and Pascal Bine of Skadden, Arps, Slate, Meagher &amp; Flom LLP and Gide Loyrette Nouel acted as legal advisors to Annapurna._x000D_
</t>
  </si>
  <si>
    <t>Genable Technologies Limited</t>
  </si>
  <si>
    <t>IQTR327555148</t>
  </si>
  <si>
    <t>Genable Technologies Limited, a bio-pharmaceutical gene therapy company, develops gene therapies for the treatment of autosomal dominant genetic diseases. Its RhoNova product is designed for the treatment of patients with rhodopsin (RHO)-linked autosomal dominant retinitis pigmentosa– a debilitating, progressive form of inherited blindness resulting from various mutations in the RHO gene. Genable Technologies Limited was formerly known as Optigen Technologies Ltd. The company was incorporated in 1998 and is based in Dublin, Ireland. As of March 7, 2016, Genable Technologies Limited operates as a subsidiary of Spark Therapeutics, Inc.</t>
  </si>
  <si>
    <t xml:space="preserve">Spark Therapeutics, Inc. (NasdaqGS:ONCE) acquired Genable Technologies Ltd. for $15.2 million in cash and stock on March 7, 2016. Under the terms, the consideration paid to Genable shareholders consisted of $6 million in cash and 0.27 million shares of Spark common stock. Dan Quinn of Ten Bridge Communications acted as public relation advisor to Spark. Mason, Hayes and Curran and Choate, Hall &amp; Stewart LLP acted as legal advisor for Genable. Declan Quirke, Neal Karnovsky and Alex Halpern of Stifel, Nicolaus &amp; Company, Incorporated acted as the financial advisors for Genable. Justin P. Klein, Amit Kakkar, Kaleena F. Laputka, Saba Ashraf, T. Conrad Bower and John R. Sharrar of Ballard Spahr acted as the legal advisor for Spark Therapeutics._x000D_
</t>
  </si>
  <si>
    <t>Cardiogen Sciences, Inc.</t>
  </si>
  <si>
    <t>IQTR310480269</t>
  </si>
  <si>
    <t>Cardiogen Sciences, Inc. operates in the healthcare sector. The company was founded in 2014 and is based in Palo Alto, California. As of August 31, 2015, Cardiogen Sciences, Inc. operates as a subsidiary of Audentes Therapeutics, Inc.</t>
  </si>
  <si>
    <t>Audentes Therapeutics, Inc. acquired Cardiogen Sciences, Inc. from Asset Management Ventures in stock on August 31, 2015. As consideration, issued 2.883271 million shares Audentes Therapeutics’ common stock and 0.104736 million shares of Series B preferred stock were issued and additional cash or shares of Audentes Therapeutics’ common stock will be issued upon achievement of a certain milestone. Each share of our Series B convertible preferred stock will convert automatically into one share of Audentes Therapeutics’ common stock. Upon the first dosing of a patient in a human clinical study involving AT307, Audentes Therapeutics is obligated to pay to former Cardiogen stockholders $4.2 million in common stock plus an additional $5.8 million in either cash or common stock, at Audentes Therapeutics’ election. As a part of the acquisition process Louis G. Lange, founder of Cardiogen Sciences, Inc. has joined the Board of Directors of Audentes Therapeutics, Inc. Silvia Priori will serve as scientific advisor to Audentes Therapeutics, Inc.</t>
  </si>
  <si>
    <t xml:space="preserve">PlasmaTech Biopharmaceuticals, Inc. (NasdaqCM:PTBI) entered into a definitive agreement to acquire Abeona Therapeutics LLC for 32.9 million on May 5, 2015. Under the terms of the agreement, the PlasmaTech will issue to Abeona Therapeutic members a total of 3.9 million common shares upon closing of the transaction, and up to an additional $9 million in performance milestones, in common stock or cash. The agreement also defines that 0.39 million shares out of the consideration will be kept as holdback shares and will be released after closing as per the agreement. Tim Miller, President and Chief Executive Officer of Abeona will be the prospective Chief Executive Officer of the combined companies on completion. Abeona Therapeutics reported total assets of $4.36 million, total common equity of $4.18 million and let loss of ($0.4) million for the year ending March 31, 2015. The deal will be terminated if not complete on or before July 31, 2015._x000D_
_x000D_
The Board of Directors of PlasmaTech Biopharmaceuticals and the Managers of Abeona have unanimously approved the transaction. The transaction is subject to customary closing conditions, financial audit of the target, resignation of directors of the company, approval of shareholders of both companies and expected to close in the second quarter of 2015. Sean T. Peppard of Ulmer &amp; Berne LLP acted as legal advisor to Abeona.  John J. Concannon, III of Morgan, Lewis &amp; Bockius LLP acted as legal advisor to PlasmaTech Biopharmaceuticals._x000D_
</t>
  </si>
  <si>
    <t>Arrowhead Research Corp. (nka:Arrowhead Pharmaceuticals, Inc.)</t>
  </si>
  <si>
    <t>Novartis Institutes for BioMedical Research, Inc., RNAi Assets</t>
  </si>
  <si>
    <t>IQTR287251428</t>
  </si>
  <si>
    <t>As of March 3, 2015, RNAi Assets of Novartis Institutes for BioMedical Research, Inc. were acquired by Arrowhead Research Corp. RNAi Assets of Novartis Institutes for BioMedical Research, Inc. comprises a therapeutics based on RNA interference.</t>
  </si>
  <si>
    <t>Arrowhead Research Corp. (NasdaqGS:ARWR) acquired RNAi assets of Novartis Institutes for BioMedical Research, Inc. for $35 million in cash and stock on March 3, 2015. The consideration includes payment of initial consideration of $10 million in cash and $25 million in stock, of which $10 million to be paid on March 4, 2015 and the remaining $15 million will be paid within 30 days of closing the deal. Ryan A. Murr of Gibson, Dunn &amp; Crutcher LLP acted as the legal advisor for Arrowhead Research.</t>
  </si>
  <si>
    <t>Regen BioPharma, Inc.</t>
  </si>
  <si>
    <t>Benitec Australia Ltd., License To Develop Cancer Vaccines Using ddRNAi Gene Silencing Technology</t>
  </si>
  <si>
    <t>IQTR244235673</t>
  </si>
  <si>
    <t>As of August 5, 2014, Benitec Australia Ltd., License To Develop Cancer Vaccines Using ddRNAi Gene Silencing Technology was acquired by Regen BioPharma Inc. Benitec Australia Ltd., License To Develop Cancer Vaccines Using ddRNAi Gene Silencing Technology comprises cancer vaccines using ddRNAi gene silencing technology.</t>
  </si>
  <si>
    <t>Regen Biopharma, Inc entered into an agreement to acquire the license to develop cancer vaccines using ddRNAi gene silencing technology from Benitec Australia Limited for $3.7 million on August 5, 2013. The consideration includes issuance of 8.5 million common shares of Bio-Matrix Scientific Group as one-time, non-refundable payment of $0.03 million as a license initiation fee on the execution date of the agreement, a one-time non-refundable payment of $0.03 million on the first anniversary of the execution date of the agreement and milestone payments of $0.1 million at the start of Phase I/II clinical trial, $0.5 million at the start of phase III of clinical trial, $1 million on obtaining regulatory approval for a licensed product by first regulatory agency and $2 million on obtaining regulatory approval for a licensed product by second regulatory agency. Regen BioPharma will make milestone payments to Benitec Australia within 60 days after the first achievement by Regen BioPharma of the corresponding events. Regen is also required to pay royalties equal to the greater of a minimum annual payment of $0.03 million per year or 4% of the net sales and 50% of all consideration (in the case of in-kind consideration) received by Regen from sublicensees.
In the event of early termination of the agreement, each party shall promptly return, or at the other party’s written request destroy, any confidential information of the other party in such party’s possession or control at the time of termination and each party shall retain any and all rights or remedies such party may have in law or in equity, provided that neither party may claim compensation for lost opportunity or consequential damages arising out of the fact of such early termination.</t>
  </si>
  <si>
    <t>InoCard GmbH</t>
  </si>
  <si>
    <t>IQTR270100771</t>
  </si>
  <si>
    <t>InoCard GmbH is a biotechnology company and develops AAV-based gene therapy approach for the long-term treatment of congestive heart failure, targeting the calcium-binding protein S100A1. The company was founded in 2013 and is based in Heidelberg, Germany. As of July 31, 2014, InoCard GmbH operates as a subsidiary of uniQure N.V.</t>
  </si>
  <si>
    <t>uniQure N.V. (NasdaqGS:QURE) signed an agreement to acquire InoCard GmbH for €3 million in cash and stock on July 15, 2014. The consideration includes an upfront payment of €1.5 million in cash and €1.5 million in uniQure stock and certain success-based milestones and royalties. InoCard founders Patrick Most and Hugo Katus will join uniQure as Managing Director of uniQure in Germany and Chairman of the scientific advisory board, for cardiovascular diseases, respectively. InoCard was advised on the transaction by Claudia Ulbrich. Gretchen Schweitzer of MacDougall Biomedical Communications acted as PR advisor in the deal. Rüdiger Herrmann, Jochem Eimer and Monika Richter of Dechert LLP acted as legal advisors for uniQure on the matter.</t>
  </si>
  <si>
    <t>AesRx, LLC</t>
  </si>
  <si>
    <t>IQTR267969671</t>
  </si>
  <si>
    <t>AesRx, LLC develops drugs for the treatment of sickle cell disease. The company was incorporated in 2008 and is based in Newton, Massachusetts. As of June 2014, AesRx, LLC operates as a subsidiary of Baxter International Inc.</t>
  </si>
  <si>
    <t>Baxter International Inc. (NYSE:BAX) acquired AesRx, LLC for approximately $560 million in June 2014. Baxter made an initial payment of $15 million, and may make additional payments of up to $278 million related to the achievement of development and regulatory milestones, in addition to sales milestones of up to $550 million. Baxter made an initial payment to acquire AesRx and may make additional future payments based on specified development, regulatory and commercial milestones.</t>
  </si>
  <si>
    <t>bluebird bio, Inc. (NasdaqGS:BLUE) acquired Precision Genome Engineering, Inc. from Andrew Scharenberg, Rolf P. Scharenberg, Raymond Monnat, Laurie O. Beitz, David Baker, Kyle Havens, Michael Certo, Jordan Jarjour, Alexander (Sasha) Astrakhan, Barry Stoddard, Christian Burks, John M. Fluke, Tomer Hertz and Michael Mendez for approximately $150 million on June 30, 2014. Under the terms of the stock purchase agreement, bluebird issued 0.41 million of shares and agreed to pay or assume about $4.9 million of current liabilities. The consideration for the transaction includes an additional 0.09 million shares of bluebird common stock that will held back by bluebird for a period of 18 months and may be used to settle certain claims for indemnification for breaches or inaccuracies in Precision Genome’s representations and warranties, covenants, and agreements. bluebird also agreed to pay a additional $15 million cash after achieving preclinical milestones, $20.1 million cash after meeting clinical milestones and $99.9 million cash contingent on commercial milestones. Also, $0.1 million cash of the purchase price will be deposited with an escrow agent.
In addition, bluebird has agreed to file a registration statement with the Securities and Exchange Commission to register the shares issued pursuant to the Purchase Agreement within thirty days of closing. The transaction is approved by bluebird’s Board of Directors and the Board of Directors and stockholders of Pregenen. The transaction requires Precision Genome Engineering to have entered into the patent sublicense agreement with Life Technologies Corporation, execution of Lock-up agreement by the equity holders of Precision Genome Engineering, entry of employment agreement by Jordan Jarjour and Alexander (Sasha) Astrakhan with bluebird bio, Inc. while Andrew Scharenberg shall enter into a consulting and advisory board agreement with bluebird bio, Inc. On the closing date, bluebird bio, Inc. shall have received an opinion of Summit Law Group, PLLC on the transaction. The transaction is subject to Precision Genome Engineering delivering resignations of all of the directors and officers, receipt of all necessary regulatory and governmental approvals.
Mark F. Worthington of Summit Law Group, PLLC acted as the legal advisor to Andrew Scharenberg and other equity holders of Precision Genome Engineering, Inc. Michael H. Bison, Gregg L. Katz and John M. Mutkoski of Goodwin Procter LLP acted as the legal advisors to bluebird bio, Inc. Dan Budwick of Pure Communications, Inc. acted as the public relations advisor to bluebird bio, Inc.</t>
  </si>
  <si>
    <t>Celsion Corporation</t>
  </si>
  <si>
    <t>EGWU, Inc.</t>
  </si>
  <si>
    <t>IQTR265866120</t>
  </si>
  <si>
    <t>EGWU, Inc. researches and develops therapeutics based on genes, inhibitory RNA, and small molecules for the treatment of human diseases. The company develops EGEN-001, an interleukin-12 gene therapy for the treatment of disseminated epithelial ovarian cancer. It also engages in the development of therapeutics for the treatment of cardiovascular anomalies and joint tissue diseases. In addition, it provides various services, which include the development of therapeutics; contract research services; and custom design of drug delivery products for various applications. The company was formerly known as EGEN, Inc. and changed its name to EGWU, Inc. in September 2012. The company was founded in 2002 and is based in Huntsville, Alabama. As of June 20, 2014, EGWU, Inc. operates as a subsidiary of Celsion Corp.</t>
  </si>
  <si>
    <t>Celsion Corp. (NasdaqCM:CLSN) signed a definitive asset purchase agreement to acquire substantially all of the assets of Expression Genetics, Inc. for 44.2 million on June 6, 2014. Under the terms of the agreement, Celsion will pay $3.4 million in cash and issue 2,712,188 shares of common stock. In addition, Celsion will hold back, for a period ending upon the later of the second anniversary of the closing date and August 2, 2016, 670,070 shares of common stock. In addition to the upfront payment, a total of $30.4 million in earn-out payable to EGEN upon achieving certain milestones based on the successful completion of certain clinical development and licensing milestones. The new combined company is expected to retain all EGEN employees and will be headquartered in Lawrenceville.
As of June 9, 2014, Celsion Corp. borrowed $5 million from Hercules Technology Growth Capital, Inc. to fund the transaction.
The transaction is subject to regulatory approvals, ancillary agreements, Hercules loan agreement consent, Expression Genetics shareholder approval, dissenters rights, employment agreements, third party approvals, customary closing conditions and is expected to close in June 2014. The Boards of Directors of both Celsion and EGEN have unanimously approved the transaction. The transaction is not subject to Celsion shareholder approval. Cantor Fitzgerald &amp; Co. acted as the financial advisor to Celsion. Sam Zucker of Sidley Austin LLP and Jennifer A. DePalma of O’Melveny &amp; Myers LLP acted as legal advisors to Celsion. Scott E. Ludwig of Bradley Arant Boult Cummings LLP acted as legal advisor to Expression Genetics.</t>
  </si>
  <si>
    <t>Sirna Therapeutics, Inc.</t>
  </si>
  <si>
    <t>IQTR254033302</t>
  </si>
  <si>
    <t>Sirna Therapeutics, Inc. develops therapeutic candidates based on RNA interference (RNAi) technology. It provides research, preclinical, and clinical development with product candidates in areas, including age-related macular degeneration (AMD), chronic hepatitis, dermatology, asthma, Huntington’s disease (HD), oncology, and diabetes. Sirna Therapeutics, Inc. was formerly known as Ribozyme Pharmaceuticals, Inc. and changed its name to Sirna Therapeutics, Inc. in April 2003. The company was founded in 1992 and is headquartered in San Francisco, California. As of March 5, 2014, Sirna Therapeutics, Inc. operates as a subsidiary of Alnylam Pharmaceuticals, Inc.</t>
  </si>
  <si>
    <t>Alnylam Pharmaceuticals, Inc. (NasdaqGS:ALNY) signed an agreement to acquire Sirna Therapeutics Inc. from Merck Sharp &amp; Dohme Corp. for approximately $310 million on January 10, 2014. Under the agreement, in exchange for acquiring the stock of Sirna Therapeutics, Alnylam will pay Merck an upfront payment in cash and equity of which $25 million will be paid in cash and the issuance of 2.5 million shares in Alnylam common stock. In addition, Merck is eligible to receive up to $105 million in developmental and sales milestone payments per product, as well as single-digit royalties, associated with the progress of certain pre-clinical candidates discovered by Merck. Merck is also eligible to receive up to $10 million in milestone payments and single-digit royalties on Alnylam products covered by Sirna Therapeutics' patent estate.
The transaction is subject to customary closing conditions, including the requirements under the Hart Scott-Rodino Antitrust Improvements Act. The transaction is expected to close during the first quarter of 2014. David Shine, Steven Epstein, Peter Guryan, Daniel Glazer, and Michael Alter of Fried Frank acted as legal advisor to Merck. Joseph L. Faber of Faber Daeufer &amp; Itrato PC acted as legal advisor for Alnylam.</t>
  </si>
  <si>
    <t>Sangamo BioSciences, Inc. (nka:Sangamo Therapeutics, Inc.)</t>
  </si>
  <si>
    <t>Sangamo BioSciences, Inc. (NasdaqGS:SGMO) signed a definitive agreement to acquire Ceregene, Inc. from Hamilton BioVentures, L.P. of Hamilton BioVentures, California Technology Ventures, LLC, Investor Growth Capital and others for $1 million in stock on August 23, 2013. Under the terms of the agreement, the consideration involves issue by Sangamo of its 0.1 million shares to stockholders of Ceregene and amount of cash and cash equivalent of Ceregene on the closing date of transaction less certain liabilities and expenses. On the closing date of the transaction, Sangamo BioSciences and certain of its stockholders will enter into an indemnity escrow agreement, pursuant to which a portion of the purchase price will be deposited in an escrow account for the benefit of Sangamo BioSciences to satisfy indemnity obligations of the stockholders under the agreement. Sangamo BioSciences has agreed to make contingent earn-out payments to the stockholders of Ceregene based upon revenues generated from license or sales transaction of certain existing products of Ceregene. 
The Board of Directors of Ceregene has determined to recommend to its stockholders to approve the transaction. The transaction is subject to customary conditions including approval from the stockholders of Ceregene, holders of no more than 5% of Ceregene capital stock shall have demanded and not lost or withdrawn appraisal rights, Ceregene and its shareholders shall have duly executed and delivered the indemnity escrow agreement, resignations of Directors and Officers of Ceregene, termination of Ceregene stock option and Ceregene warrants, execution of consulting agreements and execution and delivery of stockholder agreement. The acquisition is expected to close in September 2013. The merger agreement may be terminated if the transaction is not completed by November 15, 2013. The transaction is not expected to have any impact on financial guidance regarding 2013 operating expenses or yearend cash of Sangamo BioSciences, Inc. Randy Socol of DLA Piper LLP (US) acted as legal advisor to Hamilton BioVenture while Scott Karchmer of Morgan, Lewis &amp; Bockius LLP acted as legal advisor to Sangamo BioSciences.</t>
  </si>
  <si>
    <t>SCD - LentiGlobin</t>
  </si>
  <si>
    <t>SCD - Olinciguat</t>
  </si>
  <si>
    <t>SCD - BIVV-003</t>
  </si>
  <si>
    <t>SCD - LJPC-401</t>
  </si>
  <si>
    <t>beta-thalassemia</t>
  </si>
  <si>
    <t>SCD - CTX001</t>
  </si>
  <si>
    <t>Previous VD (10/31/17)</t>
  </si>
  <si>
    <t xml:space="preserve">Hybrid Option Pricing Method </t>
  </si>
  <si>
    <t>PWERM Watarfall &amp; Allocation</t>
  </si>
  <si>
    <t>Additional Term to Cash Flow</t>
  </si>
  <si>
    <t>Risk-Free Rates - Hybrid</t>
  </si>
  <si>
    <t>Adjusted Present Value Per Common Stock Share</t>
  </si>
  <si>
    <t>TRUCODE Gene Repair IRC 409a VD 10.31.17 Draft Exhibits 2017.12.01</t>
  </si>
  <si>
    <t>Option Pricing Method (Series B OIP)</t>
  </si>
  <si>
    <t>Low Sale - IND</t>
  </si>
  <si>
    <t>Low Sale - Phase II</t>
  </si>
  <si>
    <t>Hybrid OPM Details</t>
  </si>
  <si>
    <t>Concluded Latest Preferred Price</t>
  </si>
  <si>
    <t>Hybrid DLOMs</t>
  </si>
  <si>
    <t>Guideline Companies</t>
  </si>
  <si>
    <t>Comps Added</t>
  </si>
  <si>
    <t>Comps Removed</t>
  </si>
  <si>
    <t>Vertex Pharmaceuticals Incorporated</t>
  </si>
  <si>
    <t>Series B Tranche I</t>
  </si>
  <si>
    <t>IRC 409A and ASC 718 Common Stock Independent Appraisal</t>
  </si>
  <si>
    <t>Series Seed and Series Seed-1 were issued as part of the merger between CDF Therapeutics, Inc. and PNA Innovations, Inc.</t>
  </si>
  <si>
    <t>Common Options</t>
  </si>
  <si>
    <t xml:space="preserve">M&amp;A Probability </t>
  </si>
  <si>
    <t>Prev Val</t>
  </si>
  <si>
    <t>Given the IND filing depends on successfully closing next round of financing else the Company may run out of cash by Oct 2019</t>
  </si>
  <si>
    <t>Furthermore, secondary programs have phased out, so only 1 asset currently to bet on</t>
  </si>
  <si>
    <t>IPO - Phase I</t>
  </si>
  <si>
    <t xml:space="preserve">Low Sale - Wtd. Avg. </t>
  </si>
  <si>
    <t>Low Sale - Phase I</t>
  </si>
  <si>
    <t>Equity Raise #1</t>
  </si>
  <si>
    <t>Equity Raise #2</t>
  </si>
  <si>
    <t>LP</t>
  </si>
  <si>
    <t>Conv. Pt.</t>
  </si>
  <si>
    <t>Future Financing (1)</t>
  </si>
  <si>
    <t>Less: DLOM (2)</t>
  </si>
  <si>
    <t>Discount Factor (4)</t>
  </si>
  <si>
    <t>Probability Weightings (5)</t>
  </si>
  <si>
    <t>Particulars</t>
  </si>
  <si>
    <t>Preferred Stock</t>
  </si>
  <si>
    <t>Amount Payable at End of Term</t>
  </si>
  <si>
    <t>Holding Term (years)</t>
  </si>
  <si>
    <t>(i)</t>
  </si>
  <si>
    <t>(ii)</t>
  </si>
  <si>
    <t>% Difference - (ii) / (i)</t>
  </si>
  <si>
    <t>Selected Rate</t>
  </si>
  <si>
    <t>Based on probability weighted term to exit in PWERM scenarios.</t>
  </si>
  <si>
    <t>Required rate of return reflects consideration of an implied return to common stockholders (based on the probability of successful exits), about 2.0x to 4.0x cost of capital differential from preferred investors due to the higher risk profile of common stock relative to preferred stock.</t>
  </si>
  <si>
    <t>As a % of Latest Pref &gt;&gt;</t>
  </si>
  <si>
    <t>Cost of Goods Sold</t>
  </si>
  <si>
    <t>Less: Cost of Goods Sold</t>
  </si>
  <si>
    <t>Non-Product Revenue</t>
  </si>
  <si>
    <t>Weighted Average Cost of Capital - PWERM-Based</t>
  </si>
  <si>
    <t>Gene Editing/Gene Therapy/Blood Disorders (Excluding CRISPR/Cas9)</t>
  </si>
  <si>
    <t xml:space="preserve">Comparable Indication/
Technology </t>
  </si>
  <si>
    <r>
      <t xml:space="preserve">Volatility </t>
    </r>
    <r>
      <rPr>
        <sz val="11"/>
        <color theme="1"/>
        <rFont val="Georgia"/>
        <family val="1"/>
      </rPr>
      <t>(1), (2)</t>
    </r>
  </si>
  <si>
    <t>Licensing Deals - Gene Therapy and Sickle Cell Disease</t>
  </si>
  <si>
    <t>Less: Additional Risk Factor</t>
  </si>
  <si>
    <t>Asset Volatility (Hybrid OPM DLOM)</t>
  </si>
  <si>
    <t>Options</t>
  </si>
  <si>
    <t>Trucode Gene Repair IRC 409a VD 10.31.18 Final Opinion 2018.11.29</t>
  </si>
  <si>
    <t>Trucode Gene Repair IRC 409a VD 01.31.19 Draft Exhibits 2019.03.06</t>
  </si>
  <si>
    <t>IPO -Phase I</t>
  </si>
  <si>
    <t>Low Sale - WA</t>
  </si>
  <si>
    <t>PWERM Event Timings</t>
  </si>
  <si>
    <t>Gross Prob</t>
  </si>
  <si>
    <t>IPO Phase I</t>
  </si>
  <si>
    <t>Based on the weighted-average term to exit of non-IPO scenarios in the PWERM</t>
  </si>
  <si>
    <t>% Drop</t>
  </si>
  <si>
    <t>Secondary</t>
  </si>
  <si>
    <t>Concluded Series B Price per Share</t>
  </si>
  <si>
    <t>Invested Capital</t>
  </si>
  <si>
    <t>Series B PWERM</t>
  </si>
  <si>
    <t>Backsolved based on implied Series B value concluded from the PWERM</t>
  </si>
  <si>
    <t>Asset Vol PWERM</t>
  </si>
  <si>
    <t>Debt reflects senior debt inclusive of capital lease balance based on the balance sheet as of the Valuation Date plus the value of liquidation preferences under the OPM for preferred stock.</t>
  </si>
  <si>
    <t>Debt reflects senior debt inclusive of capital lease balance based on the balance sheet as of the Valuation Date.</t>
  </si>
  <si>
    <t>Debt reflects senior debt inclusive capital lease balance based on the balance sheet as of the Valuation Date.</t>
  </si>
  <si>
    <t>Debt reflects senior debt inclusive capital lease balance based on the balance sheet as of the Valuation Date plus the value of liquidation preferences under the Hybrid OPM for preferred stock.</t>
  </si>
  <si>
    <t>Debt reflects senior debt inclusive capital lease balance based on the balance sheet as of the Valuation Date plus the value of liquidation preferences under the PWERM for preferred stock.</t>
  </si>
  <si>
    <t>Asset Vol - M&amp;A Phase I</t>
  </si>
  <si>
    <t>Asset Vol - IPO Phase I</t>
  </si>
  <si>
    <t>Asset Vol - IPO Phase II</t>
  </si>
  <si>
    <t>Asset Vol - M&amp;A Phase II</t>
  </si>
  <si>
    <t>Risk-Free Rates - PWERM</t>
  </si>
  <si>
    <t>Kritika Ojha</t>
  </si>
  <si>
    <t>Ayush Mittal</t>
  </si>
  <si>
    <t>Biopharma</t>
  </si>
  <si>
    <t>Sickle Cell Disease, Gene Therapy</t>
  </si>
  <si>
    <t>Low Sale</t>
  </si>
  <si>
    <t>&lt;&lt; Goal Seek this to Zero, by selecting cell J25</t>
  </si>
  <si>
    <t>% Change Since Previous</t>
  </si>
  <si>
    <t>RNAi Therapeutics</t>
  </si>
  <si>
    <t>JUL16 Dimension Therapeutics signed a clinical agreement with Aptuit to support GLP IND-enabling studies for rare disease programs. JUN14 In-licensed WW rights from Dimension Therapeutics for the development &amp; commercialisation of novel gene therapy for the treatment of haemophilia A for exchange of $20m upfront + $232m milestone payment + royalties. Dimension Therapeutics to be responsible for all Preclinical development activities &amp;  PI/IIa trial with funding from Bayer. Depending on the results of PI/IIa trial, Bayer to conduct the confirmatory PIII trial &amp; all regulatory submissions &amp; is responsible for commercialisation. Bayer has WW rights to commercialise any potential future product for the treatment of haemophilia A developed with Dimension, which is eligible to receive tiered royalties based on product sales.</t>
  </si>
  <si>
    <t>OCT11 Roche disposed product to Arrowhead Research. NOV10 Development discontinued by Roche. MAY09 Licensed LNP technology (formerly stable nucleic acid–lipid particle (SNALP) technology) to Roche. Arbutus Biopharma to receive up to $18.4m to support advancement of product candidates to IND. Arbutus Biopharma is to receive up to $32m milestones + royalties on product sales as first two products advance through development &amp; commercialisation based on Roche’s access to Arbutus Biopharma’s intellectual property. Roche to use Arbutus Biopharma’s LNP technology (SNALP technology)  to advance first two RNA interference (RNAi) product candidates to PI. Each of product candidates to be comprised of Roche proprietary small interfering RNAs (siRNAs) encapsulated in Arbutus Biopharma proprietary SNALP formulation. Roche &amp; Arbutus Biopharma to file IND for first product candidate YE'10. Arbutus Biopharma to develop &amp; manufacture drug product for use in all Preclinical studies &amp; both companies to collaborate on preclinical testing. Arbutus Biopharma also to manufacture one batch of clinical product for PI.</t>
  </si>
  <si>
    <t>JUL15 In-licensed WW rights to develop gene-based therapies for multiple ophthalmic diseases including both a clinical stage candidate for X-linked RetinoschIonis (XLRS) &amp; a Preclinical candidate for the treatment of X-Linked Retinitis Pigmentosa (XLRP) from AGTC. The agreement also includes options for early stage discovery programs in two ophthalmic diseases &amp; one non-ophthalmic condition, as well as an equity investment in AGTC by Biogen and a license agreement for manufacturing rights. AGTC to receive an upfront payment of $124m, including a $30m equity investment in AGTC, prepaid R&amp;D expenditures of $58.4m &amp; total licensing &amp; other fees of $35.6m. Biogen to be granted license &amp; option to license at the time of candidate selection. AGTC is eligible to receive upfront &amp; milestone payments exceeding $1bn. This includes up to $472.5m collectively for the two lead programs including royalties in the high single digit to mid-teen percentages of annual net sales. Biogen to make payments up to $592.5m across the discovery programs, along with royalties in the mid single digits to low teen percentages of annual net sales. AGTC has an option to share development costs and profits after the initial clinical trial data are available, and an option to co-promote the second of these products to be approved in US. Biogen to receive an exclusive license to use AGTC’s proprietary technology platform to make AAV vectors for up to six genes, three of which are in AGTC’s discretion, in exchange for payment of milestones and royalties. Deal closing due Q3'15.</t>
  </si>
  <si>
    <t xml:space="preserve">Haemophilia, General </t>
  </si>
  <si>
    <t>Thalassaemia, SCD</t>
  </si>
  <si>
    <t>Beta-thalassemia, SCD</t>
  </si>
  <si>
    <t>Less: Non-Diversified Risk Factor (3)</t>
  </si>
  <si>
    <t>Non-Diversification Risk Factor Calculations</t>
  </si>
  <si>
    <t>Non-Diversification Risk Factor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</si>
</sst>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3">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000000000000\x"/>
    <numFmt numFmtId="181" formatCode="0.0%;\-0.0%;&quot;-&quot;?_);@_)"/>
    <numFmt numFmtId="182" formatCode="0.00%;\(0.00\)%"/>
    <numFmt numFmtId="183" formatCode="0%;[Red]\(0%\)"/>
    <numFmt numFmtId="184" formatCode=";;;"/>
    <numFmt numFmtId="185" formatCode="_-&quot;$&quot;* #,##0_-;\-&quot;$&quot;* #,##0_-;_-&quot;$&quot;* &quot;-&quot;_-;_-@_-"/>
    <numFmt numFmtId="186" formatCode="_-* #,##0_-;\-* #,##0_-;_-* &quot;-&quot;_-;_-@_-"/>
    <numFmt numFmtId="187" formatCode="_(* &quot;$&quot;\ #,##0\ \ ;_(* &quot;$&quot;\ \(#,##0\)\ ;_(* &quot;-&quot;\ \ ;_(@\ "/>
    <numFmt numFmtId="188" formatCode="0.0_)\%;\(0.0\)\%;0.0_)\%;@_)_%"/>
    <numFmt numFmtId="189" formatCode="#,##0.0_)_%;\(#,##0.0\)_%;0.0_)_%;@_)_%"/>
    <numFmt numFmtId="190" formatCode="_(* #,##0\ \ ;_(* \(#,##0\)\ \ ;_(* &quot;-&quot;\ \ ;_(* @_)"/>
    <numFmt numFmtId="191" formatCode="0.0"/>
    <numFmt numFmtId="192" formatCode="#,##0.0_);\(#,##0.0\)"/>
    <numFmt numFmtId="193" formatCode="&quot;$&quot;_(#,##0.00_);&quot;$&quot;\(#,##0.00\);&quot;$&quot;_(0.00_);@_)"/>
    <numFmt numFmtId="194" formatCode="&quot;$&quot;_(#,##0.00_);&quot;$&quot;\(#,##0.00\)"/>
    <numFmt numFmtId="195" formatCode="&quot;£&quot;_(#,##0.00_);&quot;£&quot;\(#,##0.00\)"/>
    <numFmt numFmtId="196" formatCode="&quot;€&quot;_(#,##0.00_);&quot;€&quot;\(#,##0.00\)"/>
    <numFmt numFmtId="197" formatCode="&quot;£&quot;_(#,##0.00_);&quot;£&quot;\(#,##0.00\);&quot;£&quot;_(0.00_);@_)"/>
    <numFmt numFmtId="198" formatCode="&quot;€&quot;_(#,##0.00_);&quot;€&quot;\(#,##0.00\);&quot;€&quot;_(0.00_);@_)"/>
    <numFmt numFmtId="199" formatCode="&quot;DM&quot;_(#,##0.00_);&quot;DM&quot;\(#,##0.00\)"/>
    <numFmt numFmtId="200" formatCode="#,##0.00_);\(#,##0.00\);0.00_);@_)"/>
    <numFmt numFmtId="201" formatCode="_-* #,##0.00_-;\-* #,##0.00_-;_-* &quot;-&quot;??_-;_-@_-"/>
    <numFmt numFmtId="202" formatCode="\€_(#,##0.00_);\€\(#,##0.00\);\€_(0.00_);@_)"/>
    <numFmt numFmtId="203" formatCode="\£_(#,##0_);\£\(#,##0\)"/>
    <numFmt numFmtId="204" formatCode="* \L\+0.00%;* \L\-0.00%;* @\ \ "/>
    <numFmt numFmtId="205" formatCode="* \L\+0.00%;* \L\-0.00%;* &quot;-&quot;\ \ ;* @\ \ "/>
    <numFmt numFmtId="206" formatCode="#,##0_)\x;\(#,##0\)\x;0_)\x;@_)_x"/>
    <numFmt numFmtId="207" formatCode="#,##0.0_)\x;\(#,##0.0\)\x"/>
    <numFmt numFmtId="208" formatCode="#,##0.0\ \x;\(#,##0.0\)\x;@\ \ "/>
    <numFmt numFmtId="209" formatCode="#,##0.0_)\x;\(#,##0.0\)\x;0.0_)\x;@_)_x"/>
    <numFmt numFmtId="210" formatCode="#,##0.0\ \x;\(#,##0.0\)\x;@\ "/>
    <numFmt numFmtId="211" formatCode="#,##0.0\ \x;\(#,##0.0\)\x;@\ \ \x"/>
    <numFmt numFmtId="212" formatCode="#,##0_)_x;\(#,##0\)_x;0_)_x;@_)_x"/>
    <numFmt numFmtId="213" formatCode="#,##0.0_)_x;\(#,##0.0\)_x"/>
    <numFmt numFmtId="214" formatCode="#,##0.0_)_x;\(#,##0.0\)_x;0.0_)_x;@_)_x"/>
    <numFmt numFmtId="215" formatCode="0.0_)\%;\(0.0\)\%"/>
    <numFmt numFmtId="216" formatCode="* 0.0%;* \(0.0\)%;* &quot;-&quot;\ \ ;* @\ \ "/>
    <numFmt numFmtId="217" formatCode="0.0%;\(0.0\)%;@\ \ "/>
    <numFmt numFmtId="218" formatCode="#,##0.0_)_%;\(#,##0.0\)_%"/>
    <numFmt numFmtId="219" formatCode="&quot;$&quot;#,##0"/>
    <numFmt numFmtId="220" formatCode="0.000000"/>
    <numFmt numFmtId="221" formatCode="\£\ #,##0_);[Red]\(\£\ #,##0\)"/>
    <numFmt numFmtId="222" formatCode="_(\£* #,##0_);_(\£* \(#,##0\);_(\£* &quot;-&quot;_);_(@_)"/>
    <numFmt numFmtId="223" formatCode="_(\£* #,##0.0_);_(\£* \(#,##0.0\);_(\£* &quot;-&quot;_);_(@_)"/>
    <numFmt numFmtId="224" formatCode="_(\£* #,##0.00_);_(\£* \(#,##0.00\);_(\£* &quot;-&quot;_);_(@_)"/>
    <numFmt numFmtId="225" formatCode="_(* #,##0\p_);_(* \(#,##0\p\);_(* &quot;-&quot;\ \p_);_(@_)"/>
    <numFmt numFmtId="226" formatCode="_(* #,##0.00\p_);_(* \(#,##0.00\p\);_(* &quot;-&quot;\ \p_);_(@_)"/>
    <numFmt numFmtId="227" formatCode="\£#,##0.00"/>
    <numFmt numFmtId="228" formatCode="\¥\ #,##0_);[Red]\(\¥\ #,##0\)"/>
    <numFmt numFmtId="229" formatCode="0_)"/>
    <numFmt numFmtId="230" formatCode="#,##0.0;\(#,##0.0\);\-"/>
    <numFmt numFmtId="231" formatCode="#,##0.0&quot; F&quot;;\(#,##0.0&quot; F&quot;\);\-"/>
    <numFmt numFmtId="232" formatCode="0.0%;\(0.0%\);\-"/>
    <numFmt numFmtId="233" formatCode="\ "/>
    <numFmt numFmtId="234" formatCode="0.00\x"/>
    <numFmt numFmtId="235" formatCode="0.0\x"/>
    <numFmt numFmtId="236" formatCode="0.0\ \x"/>
    <numFmt numFmtId="237" formatCode="#,##0;\(#,##0\);\-"/>
    <numFmt numFmtId="238" formatCode="#,##0&quot; MF&quot;;\(#,##0&quot; MF&quot;\);\-"/>
    <numFmt numFmtId="239" formatCode="mmmm\-yy"/>
    <numFmt numFmtId="240" formatCode="0.00;[Red]0.00"/>
    <numFmt numFmtId="241" formatCode="00000000"/>
    <numFmt numFmtId="242" formatCode="0.0000000000000000\x"/>
    <numFmt numFmtId="243" formatCode="&quot;$&quot;#,##0.00"/>
    <numFmt numFmtId="244" formatCode="#,##0.0\ ;\(#,##0.0\)"/>
    <numFmt numFmtId="245" formatCode="0.00%;[Red]\(0.00%\)"/>
    <numFmt numFmtId="246" formatCode="#,##0.00\ ;\(#,##0.00\)"/>
    <numFmt numFmtId="247" formatCode="[$-409]d\-mmm\-yy;@"/>
    <numFmt numFmtId="248" formatCode="_(* #,##0_);_(* \(#,##0\);_(* &quot;-&quot;??_);_(@_)"/>
    <numFmt numFmtId="249" formatCode="#,##0.0_x;&quot;NM&quot;_x"/>
    <numFmt numFmtId="250" formatCode="#,##0\x_);&quot;NM&quot;_)"/>
    <numFmt numFmtId="251" formatCode="#,##0&quot; kr&quot;;[Red]\-#,##0&quot; kr&quot;"/>
    <numFmt numFmtId="252" formatCode="0\ \ \ \ \ \ "/>
    <numFmt numFmtId="253" formatCode="&quot;$&quot;0.00\ \ \ _);\(&quot;$&quot;0.00\)\ \ \ "/>
    <numFmt numFmtId="254" formatCode="0.0\ \ \ \ \ _);\(0.0\)\ \ \ \ \ "/>
    <numFmt numFmtId="255" formatCode="0.00\ \x\ \ _);\(0.00\)\ \x\ \ "/>
    <numFmt numFmtId="256" formatCode="0.00\ \ \ \ \ _);\(0.00\)\ \ \ \ \ "/>
    <numFmt numFmtId="257" formatCode="0.0\ \ \ _);\(0.0\)\ \ \ "/>
    <numFmt numFmtId="258" formatCode="[Blue]#,##0.000_);[Blue]\(#,##0.000\)"/>
    <numFmt numFmtId="259" formatCode="[Blue]&quot;$&quot;#,##0.000_);[Blue]\(&quot;$&quot;#,##0.000\)"/>
    <numFmt numFmtId="260" formatCode="&quot;$&quot;#,##0.0_);[Red]\(&quot;$&quot;#,##0.0\);&quot;$&quot;0.0_);@_)"/>
    <numFmt numFmtId="261" formatCode="#,##0;\(#,##0\);&quot; - &quot;"/>
    <numFmt numFmtId="262" formatCode="#,##0\ ;\(#,##0\);\-\ \ \ \ \ "/>
    <numFmt numFmtId="263" formatCode="#,##0\ ;\(#,##0\);\–\ \ \ \ \ "/>
    <numFmt numFmtId="264" formatCode="#,##0.00&quot;w&quot;_);[Red]\(#,##0.00&quot;w&quot;\)"/>
    <numFmt numFmtId="265" formatCode="_(* #,##0.000000_);_(* \(#,##0.000000\);_(* &quot;-&quot;??_);_(@_)"/>
    <numFmt numFmtId="266" formatCode="_(* #,##0.0000_);_(* \(#,##0.0000\);_(* &quot;-&quot;??_);_(@_)"/>
    <numFmt numFmtId="267" formatCode="_-* #,##0\ _F_-;\-* #,##0\ _F_-;_-* &quot;-&quot;\ _F_-;_-@_-"/>
    <numFmt numFmtId="268" formatCode="#,##0.0000000000;[Red]\-#,##0.0000000000"/>
    <numFmt numFmtId="269" formatCode="0.00_)"/>
    <numFmt numFmtId="270" formatCode="#,##0.0_);[Red]\(#,##0.0\)"/>
    <numFmt numFmtId="271" formatCode="#,##0_)_%;\(#,##0\)_%;"/>
    <numFmt numFmtId="272" formatCode="_(* #,##0.0_);_(* \(#,##0.0\);_(* &quot;-&quot;?_);_(@_)"/>
    <numFmt numFmtId="273" formatCode="0.000%"/>
    <numFmt numFmtId="274" formatCode="#,##0.000_);[Red]\(#,##0.000\)"/>
    <numFmt numFmtId="275" formatCode="#,##0_%_);\(#,##0\)_%;**;@_%_)"/>
    <numFmt numFmtId="276" formatCode="&quot;$&quot;* \(#,##0\);&quot;$&quot;* #,##0_);&quot;$&quot;* &quot;-&quot;??_);@_)"/>
    <numFmt numFmtId="277" formatCode="#,##0.0000,"/>
    <numFmt numFmtId="278" formatCode="_-* #,##0.00_ _k_r_-;\-* #,##0.00_ _k_r_-;_-* &quot;-&quot;??_ _k_r_-;_-@_-"/>
    <numFmt numFmtId="279" formatCode="_(&quot;$&quot;* #,##0,_);_(&quot;$&quot;* \(#,##0,\);_(&quot;$&quot;* &quot;-&quot;_);_(@_)"/>
    <numFmt numFmtId="280" formatCode="&quot;$&quot;* \(#,##0\)_%;&quot;$&quot;* #,##0_)_%;&quot;$&quot;* &quot;-&quot;??_)_%;@_)_%"/>
    <numFmt numFmtId="281" formatCode="_(* #,##0.0000,_);_(* \(#,##0.0000,\);_(* &quot;-&quot;_);_(@_)"/>
    <numFmt numFmtId="282" formatCode="&quot;$&quot;* \(#,##0.0\);&quot;$&quot;* #,##0.0_);&quot;$&quot;* &quot;-&quot;??_);@_)"/>
    <numFmt numFmtId="283" formatCode="#,##0.00_%_);\(#,##0.00\)_%;**;@_%_)"/>
    <numFmt numFmtId="284" formatCode="General_)"/>
    <numFmt numFmtId="285" formatCode="#,##0.00000000_);[Red]\(#,##0.00000000\)"/>
    <numFmt numFmtId="286" formatCode="#,##0.000000_);[Red]\(#,##0.000000\)"/>
    <numFmt numFmtId="287" formatCode="0.00_);\(0.00\);0.00"/>
    <numFmt numFmtId="288" formatCode="#,##0.0000000_);[Red]\(#,##0.0000000\)"/>
    <numFmt numFmtId="289" formatCode="&quot;$&quot;#,##0.0_);[Red]\(&quot;$&quot;#,##0.0\)"/>
    <numFmt numFmtId="290" formatCode="&quot;$&quot;#,##0_%_);\(&quot;$&quot;#,##0\)_%;&quot;$&quot;#,##0_%_);@_%_)"/>
    <numFmt numFmtId="291" formatCode="\(#,##0\)_%;#,##0_)_%;"/>
    <numFmt numFmtId="292" formatCode="&quot;$&quot;\ #,##0.00;[Red]&quot;$&quot;\ \-#,##0.00"/>
    <numFmt numFmtId="293" formatCode="\(#,##0.0\);#,##0.0_);"/>
    <numFmt numFmtId="294" formatCode="_ * #,##0_ ;_ * \-#,##0_ ;_ * &quot;-&quot;_ ;_ @_ "/>
    <numFmt numFmtId="295" formatCode="\(#,##0.0\)_%;#,##0.0_)_%;"/>
    <numFmt numFmtId="296" formatCode="_ * #,##0.00_ ;_ * \-#,##0.00_ ;_ * &quot;-&quot;??_ ;_ @_ "/>
    <numFmt numFmtId="297" formatCode="mmm\-d\-yy"/>
    <numFmt numFmtId="298" formatCode="mmm\-d\-yyyy"/>
    <numFmt numFmtId="299" formatCode="#,##0.00&quot; kr&quot;;\-#,##0.00&quot; kr&quot;"/>
    <numFmt numFmtId="300" formatCode="#,##0.000,_);[Red]\(#,##0.000,\)"/>
    <numFmt numFmtId="301" formatCode="yyyy"/>
    <numFmt numFmtId="302" formatCode="yyyy&quot;E&quot;"/>
    <numFmt numFmtId="303" formatCode="###0_);\(###0\)"/>
    <numFmt numFmtId="304" formatCode="#,##0&quot; kr&quot;;\-#,##0&quot; kr&quot;"/>
    <numFmt numFmtId="305" formatCode="&quot;$&quot;#,##0.000"/>
    <numFmt numFmtId="306" formatCode="\ #,##0\ \ \ ;\(#,##0\)\ \ ;\—\ \ \ \ "/>
    <numFmt numFmtId="307" formatCode="0.0%;[Red]\(0.0%\)"/>
    <numFmt numFmtId="308" formatCode="#,##0.00&quot; kr&quot;;[Red]\-#,##0.00&quot; kr&quot;"/>
    <numFmt numFmtId="309" formatCode="0.00_);\(0.00\)"/>
    <numFmt numFmtId="310" formatCode="#,##0.0"/>
    <numFmt numFmtId="311" formatCode="_-* #,##0&quot; kr&quot;_-;\-* #,##0&quot; kr&quot;_-;_-* &quot;-&quot;&quot; kr&quot;_-;_-@_-"/>
    <numFmt numFmtId="312" formatCode="_-* #,##0_ _k_r_-;\-* #,##0_ _k_r_-;_-* &quot;-&quot;_ _k_r_-;_-@_-"/>
    <numFmt numFmtId="313" formatCode="_-* #,##0.00&quot; kr&quot;_-;\-* #,##0.00&quot; kr&quot;_-;_-* &quot;-&quot;??&quot; kr&quot;_-;_-@_-"/>
    <numFmt numFmtId="314" formatCode="_(* #,##0.0000_);_(* \(#,##0.0000\);_(* &quot;-&quot;_);_(@_)"/>
    <numFmt numFmtId="315" formatCode="0.0\ \ "/>
    <numFmt numFmtId="316" formatCode="&quot;$&quot;#,##0.0_);&quot;$&quot;\(#,##0.0\)"/>
    <numFmt numFmtId="317" formatCode="_(* #,##0.00\ ___);_(* \(#,##0.00\ __\);_(* &quot;-&quot;??_);_(@_)"/>
    <numFmt numFmtId="318" formatCode="_(* #,##0\ \x_);_(* \(#,##0\ \x\);_(* &quot;-&quot;??_);_(@_)"/>
    <numFmt numFmtId="319" formatCode="_(* #,##0\ ___);_(* \(#,##0\ __\);_(* &quot;-&quot;??_);_(@_)"/>
    <numFmt numFmtId="320" formatCode="_(* #,##0.0\ ___);_(* \(#,##0.0\ __\);_(* &quot;-&quot;??_);_(@_)"/>
    <numFmt numFmtId="321" formatCode="* #,##0_);* \(\ #,##0_);* \-"/>
    <numFmt numFmtId="322" formatCode="0.0_)_x;\(0.0\)_x"/>
    <numFmt numFmtId="323" formatCode="&quot;$&quot;#,##0.0;[Red]\-&quot;$&quot;#,##0.0"/>
    <numFmt numFmtId="324" formatCode="#,##0.0_)\ \ ;[Red]\(#,##0.0\)\ \ "/>
    <numFmt numFmtId="325" formatCode="&quot;$&quot;#,##0.0000"/>
    <numFmt numFmtId="326" formatCode="0.0%;\(0.0%\)"/>
    <numFmt numFmtId="327" formatCode="\(#,##0.00\);#,##0.00_);"/>
    <numFmt numFmtId="328" formatCode="\(#,##0.00\)_%;#,##0.00_)_%;"/>
    <numFmt numFmtId="329" formatCode="0.0_%"/>
    <numFmt numFmtId="330" formatCode="\(#,##0.000\);#,##0.000_);"/>
    <numFmt numFmtId="331" formatCode="\(#,##0.000\)_%;#,##0.000_)_%;"/>
    <numFmt numFmtId="332" formatCode="mm/dd/yy"/>
    <numFmt numFmtId="333" formatCode="0.00\%;\-0.00\%;0.00\%"/>
    <numFmt numFmtId="334" formatCode="_(* #,##0%_);_(* \(#,##0%\);_(* &quot;-&quot;_);_(@_)"/>
    <numFmt numFmtId="335" formatCode="0.0%&quot;Sales&quot;"/>
    <numFmt numFmtId="336" formatCode="#,##0_)&quot; %&quot;;[Red]\(#,##0\)&quot; %&quot;"/>
    <numFmt numFmtId="337" formatCode="_(* &quot;$&quot;#,##0.0_);_(* &quot;$&quot;\(#,##0.0\);_(* &quot;$&quot;\ &quot;-&quot;_);_(@_)"/>
    <numFmt numFmtId="338" formatCode="0.00\x;\-0.00\x;0.00\x"/>
    <numFmt numFmtId="339" formatCode="#,##0.00;[Red]\(#,##0.00\)"/>
    <numFmt numFmtId="340" formatCode="_(&quot;SGD&quot;\ * #,##0.00_);_(&quot;SGD&quot;\ * \(#,##0.00\);_(* &quot;-&quot;_);_(@_)"/>
    <numFmt numFmtId="341" formatCode="0_%_);\(0\)_%;0_%_);@_%_)"/>
    <numFmt numFmtId="342" formatCode="&quot;$&quot;#,##0.0"/>
    <numFmt numFmtId="343" formatCode="[$-409]mmmm\ d\,\ yyyy;@"/>
    <numFmt numFmtId="344" formatCode="#0.0%_);\(#0.0%\)"/>
    <numFmt numFmtId="345" formatCode="#,##0\ &quot;DM&quot;;[Red]\-#,##0\ &quot;DM&quot;"/>
    <numFmt numFmtId="346" formatCode="_(\ #,##0_);_(\ \(#,##0\);_(\ &quot;-&quot;_);_(@_)"/>
    <numFmt numFmtId="347" formatCode="#0.0\x"/>
    <numFmt numFmtId="348" formatCode="#0.00\x"/>
    <numFmt numFmtId="349" formatCode="0.0\ \x\ "/>
    <numFmt numFmtId="350" formatCode="_-#,##0&quot; £/GJ&quot;"/>
    <numFmt numFmtId="351" formatCode="_-#,##0&quot; £/t&quot;"/>
    <numFmt numFmtId="352" formatCode="_-#,##0&quot;°&quot;"/>
    <numFmt numFmtId="353" formatCode="_-#\,##0&quot;°&quot;"/>
    <numFmt numFmtId="354" formatCode="0_);\(0\)"/>
    <numFmt numFmtId="355" formatCode="0.00\ ;\(0.00\)"/>
    <numFmt numFmtId="356" formatCode="_(&quot;$&quot;* #,##0.0_);_(* \(#,##0.0\);_(&quot;$&quot;* &quot;0.0&quot;_);_(@_)"/>
    <numFmt numFmtId="357" formatCode="_(&quot;$&quot;* #,##0.0_);_(&quot;$&quot;* \(#,##0.0\);_(&quot;$&quot;* &quot;-&quot;?_);_(@_)"/>
    <numFmt numFmtId="358" formatCode="&quot;$&quot;#,##0_);[Red]\(&quot;$&quot;#,##0\);0_);@_)"/>
    <numFmt numFmtId="359" formatCode="0.0_x_);\(0.0\)_x"/>
    <numFmt numFmtId="360" formatCode="#,##0;\(#,##0\)"/>
    <numFmt numFmtId="361" formatCode="#,##0_}&quot;bar&quot;;\(#,##0\)&quot;bar&quot;"/>
    <numFmt numFmtId="362" formatCode="0.00000"/>
    <numFmt numFmtId="363" formatCode="\«#,##0;_(* #,##0;_(* &quot;-&quot;??_);_(@_)"/>
    <numFmt numFmtId="364" formatCode="#,##0\ \ \ ;[Red]\(#,##0\)\ \ ;\—\ \ \ \ "/>
    <numFmt numFmtId="365" formatCode="#,##0.0\%_);\(#,##0.0\%\);#,##0.0\%_);@_%_)"/>
    <numFmt numFmtId="366" formatCode="#,##0.00_);\(#,##0.00\);_(* &quot;-&quot;_)"/>
    <numFmt numFmtId="367" formatCode="#,##0.0\x"/>
    <numFmt numFmtId="368" formatCode="_(* #,##0.000_);_(* \(#,##0.000\);_(* &quot;-&quot;??_);_(@_)"/>
  </numFmts>
  <fonts count="295">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theme="1"/>
      <name val="Times New Roman"/>
      <family val="1"/>
    </font>
    <font>
      <b/>
      <sz val="10"/>
      <name val="Times New Roman"/>
      <family val="1"/>
    </font>
    <font>
      <i/>
      <sz val="10"/>
      <color theme="1"/>
      <name val="Times New Roman"/>
      <family val="1"/>
    </font>
    <font>
      <b/>
      <sz val="12"/>
      <color rgb="FF1F4E78"/>
      <name val="Times New Roman"/>
      <family val="1"/>
    </font>
    <font>
      <sz val="11"/>
      <color theme="1"/>
      <name val="Times New Roman"/>
      <family val="2"/>
    </font>
    <font>
      <b/>
      <sz val="10"/>
      <color rgb="FFFFFFFF"/>
      <name val="Times New Roman"/>
      <family val="1"/>
    </font>
    <font>
      <sz val="10"/>
      <color theme="1"/>
      <name val="Garamond"/>
      <family val="2"/>
    </font>
    <font>
      <sz val="10"/>
      <color rgb="FF0000FF"/>
      <name val="Times New Roman"/>
      <family val="1"/>
    </font>
    <font>
      <sz val="10"/>
      <name val="Garamond"/>
      <family val="1"/>
    </font>
    <font>
      <b/>
      <i/>
      <u/>
      <sz val="10"/>
      <color theme="1"/>
      <name val="Times New Roman"/>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sz val="10"/>
      <name val="Arial"/>
      <family val="2"/>
      <charset val="1"/>
    </font>
    <font>
      <sz val="12"/>
      <color theme="1"/>
      <name val="Calibri"/>
      <family val="2"/>
      <charset val="204"/>
      <scheme val="minor"/>
    </font>
    <font>
      <sz val="8"/>
      <color indexed="8"/>
      <name val="Arial"/>
      <family val="2"/>
    </font>
    <font>
      <sz val="10"/>
      <color rgb="FFFF0000"/>
      <name val="Times New Roman"/>
      <family val="1"/>
    </font>
    <font>
      <sz val="8"/>
      <color rgb="FFFF0000"/>
      <name val="Times New Roman"/>
      <family val="1"/>
    </font>
    <font>
      <b/>
      <u/>
      <sz val="8"/>
      <name val="Times New Roman"/>
      <family val="1"/>
    </font>
    <font>
      <b/>
      <sz val="8"/>
      <color indexed="9"/>
      <name val="Tahoma"/>
      <family val="2"/>
    </font>
    <font>
      <b/>
      <sz val="10"/>
      <color indexed="39"/>
      <name val="Times New Roman"/>
      <family val="1"/>
    </font>
    <font>
      <sz val="8"/>
      <color theme="3" tint="-0.499984740745262"/>
      <name val="Times New Roman"/>
      <family val="1"/>
    </font>
    <font>
      <sz val="9"/>
      <name val="Verdana"/>
      <family val="2"/>
    </font>
    <font>
      <sz val="11"/>
      <color theme="1"/>
      <name val="Georgia"/>
      <family val="1"/>
    </font>
    <font>
      <b/>
      <sz val="11"/>
      <color theme="4" tint="-0.499984740745262"/>
      <name val="Georgia"/>
      <family val="1"/>
    </font>
    <font>
      <sz val="11"/>
      <color theme="4" tint="-0.499984740745262"/>
      <name val="Georgia"/>
      <family val="1"/>
    </font>
    <font>
      <b/>
      <sz val="32"/>
      <color theme="4" tint="-0.499984740745262"/>
      <name val="Georgia"/>
      <family val="1"/>
    </font>
    <font>
      <b/>
      <i/>
      <sz val="24"/>
      <color rgb="FF1F4E78"/>
      <name val="Georgia"/>
      <family val="1"/>
    </font>
    <font>
      <sz val="32"/>
      <color theme="1"/>
      <name val="Georgia"/>
      <family val="1"/>
    </font>
    <font>
      <b/>
      <sz val="32"/>
      <color rgb="FFFF0000"/>
      <name val="Georgia"/>
      <family val="1"/>
    </font>
    <font>
      <b/>
      <i/>
      <sz val="11"/>
      <color theme="4" tint="-0.499984740745262"/>
      <name val="Georgia"/>
      <family val="1"/>
    </font>
    <font>
      <i/>
      <sz val="18"/>
      <color rgb="FF1F4E78"/>
      <name val="Georgia"/>
      <family val="1"/>
    </font>
    <font>
      <i/>
      <sz val="15"/>
      <color rgb="FF1F4E78"/>
      <name val="Georgia"/>
      <family val="1"/>
    </font>
    <font>
      <i/>
      <sz val="14"/>
      <color rgb="FF1F4E78"/>
      <name val="Georgia"/>
      <family val="1"/>
    </font>
    <font>
      <i/>
      <sz val="14"/>
      <color theme="1"/>
      <name val="Georgia"/>
      <family val="1"/>
    </font>
    <font>
      <sz val="18"/>
      <color theme="4" tint="-0.249977111117893"/>
      <name val="Georgia"/>
      <family val="1"/>
    </font>
    <font>
      <i/>
      <sz val="14"/>
      <color theme="0" tint="-0.499984740745262"/>
      <name val="Georgia"/>
      <family val="1"/>
    </font>
    <font>
      <sz val="14"/>
      <color theme="0" tint="-0.499984740745262"/>
      <name val="Georgia"/>
      <family val="1"/>
    </font>
    <font>
      <sz val="10"/>
      <color theme="1"/>
      <name val="Georgia"/>
      <family val="1"/>
    </font>
    <font>
      <b/>
      <sz val="12"/>
      <color rgb="FF1F4E78"/>
      <name val="Georgia"/>
      <family val="1"/>
    </font>
    <font>
      <b/>
      <sz val="10"/>
      <color theme="1"/>
      <name val="Georgia"/>
      <family val="1"/>
    </font>
    <font>
      <sz val="10"/>
      <color rgb="FFFF0000"/>
      <name val="Georgia"/>
      <family val="1"/>
    </font>
    <font>
      <b/>
      <sz val="11"/>
      <color rgb="FF1F4E78"/>
      <name val="Georgia"/>
      <family val="1"/>
    </font>
    <font>
      <sz val="11"/>
      <color rgb="FFC00000"/>
      <name val="Georgia"/>
      <family val="1"/>
    </font>
    <font>
      <b/>
      <sz val="11"/>
      <color rgb="FFFFFFFF"/>
      <name val="Georgia"/>
      <family val="1"/>
    </font>
    <font>
      <sz val="11"/>
      <color rgb="FFFF0000"/>
      <name val="Georgia"/>
      <family val="1"/>
    </font>
    <font>
      <b/>
      <sz val="11"/>
      <color theme="1"/>
      <name val="Georgia"/>
      <family val="1"/>
    </font>
    <font>
      <sz val="11"/>
      <color rgb="FF008000"/>
      <name val="Georgia"/>
      <family val="1"/>
    </font>
    <font>
      <sz val="11"/>
      <color rgb="FF0000FF"/>
      <name val="Georgia"/>
      <family val="1"/>
    </font>
    <font>
      <sz val="11"/>
      <color indexed="17"/>
      <name val="Georgia"/>
      <family val="1"/>
    </font>
    <font>
      <i/>
      <sz val="11"/>
      <color theme="1"/>
      <name val="Georgia"/>
      <family val="1"/>
    </font>
    <font>
      <b/>
      <sz val="11"/>
      <color rgb="FF0000FF"/>
      <name val="Georgia"/>
      <family val="1"/>
    </font>
    <font>
      <b/>
      <sz val="24"/>
      <color rgb="FF1F4E78"/>
      <name val="Georgia"/>
      <family val="1"/>
    </font>
    <font>
      <sz val="11"/>
      <color indexed="12"/>
      <name val="Georgia"/>
      <family val="1"/>
    </font>
    <font>
      <sz val="11"/>
      <name val="Georgia"/>
      <family val="1"/>
    </font>
    <font>
      <b/>
      <sz val="11"/>
      <name val="Georgia"/>
      <family val="1"/>
    </font>
    <font>
      <b/>
      <sz val="11"/>
      <color rgb="FF008000"/>
      <name val="Georgia"/>
      <family val="1"/>
    </font>
    <font>
      <b/>
      <sz val="11"/>
      <color rgb="FFC00000"/>
      <name val="Georgia"/>
      <family val="1"/>
    </font>
    <font>
      <b/>
      <u/>
      <sz val="11"/>
      <color theme="1"/>
      <name val="Georgia"/>
      <family val="1"/>
    </font>
    <font>
      <b/>
      <sz val="11"/>
      <color rgb="FFFF0000"/>
      <name val="Georgia"/>
      <family val="1"/>
    </font>
    <font>
      <b/>
      <sz val="11"/>
      <color indexed="12"/>
      <name val="Georgia"/>
      <family val="1"/>
    </font>
    <font>
      <b/>
      <i/>
      <sz val="11"/>
      <color theme="1"/>
      <name val="Georgia"/>
      <family val="1"/>
    </font>
    <font>
      <sz val="11"/>
      <color rgb="FFFFFFFF"/>
      <name val="Georgia"/>
      <family val="1"/>
    </font>
    <font>
      <b/>
      <sz val="11"/>
      <color theme="0"/>
      <name val="Georgia"/>
      <family val="1"/>
    </font>
    <font>
      <b/>
      <i/>
      <u/>
      <sz val="11"/>
      <color theme="1"/>
      <name val="Georgia"/>
      <family val="1"/>
    </font>
    <font>
      <sz val="11"/>
      <color indexed="10"/>
      <name val="Georgia"/>
      <family val="1"/>
    </font>
    <font>
      <sz val="12"/>
      <color theme="1"/>
      <name val="Georgia"/>
      <family val="1"/>
    </font>
    <font>
      <i/>
      <sz val="11"/>
      <color rgb="FF0000FF"/>
      <name val="Georgia"/>
      <family val="1"/>
    </font>
    <font>
      <sz val="11"/>
      <color theme="0"/>
      <name val="Georgia"/>
      <family val="1"/>
    </font>
    <font>
      <b/>
      <u/>
      <sz val="11"/>
      <name val="Georgia"/>
      <family val="1"/>
    </font>
    <font>
      <sz val="12"/>
      <color rgb="FF1F4E78"/>
      <name val="Georgia"/>
      <family val="1"/>
    </font>
    <font>
      <b/>
      <sz val="11"/>
      <color rgb="FF455560"/>
      <name val="Georgia"/>
      <family val="1"/>
    </font>
    <font>
      <sz val="11"/>
      <color rgb="FF455560"/>
      <name val="Georgia"/>
      <family val="1"/>
    </font>
    <font>
      <i/>
      <sz val="11"/>
      <name val="Georgia"/>
      <family val="1"/>
    </font>
    <font>
      <sz val="11"/>
      <color rgb="FF1F497D"/>
      <name val="Georgia"/>
      <family val="1"/>
    </font>
    <font>
      <b/>
      <u/>
      <sz val="11"/>
      <color rgb="FF455560"/>
      <name val="Georgia"/>
      <family val="1"/>
    </font>
    <font>
      <sz val="11"/>
      <color rgb="FF00B050"/>
      <name val="Georgia"/>
      <family val="1"/>
    </font>
    <font>
      <i/>
      <sz val="11"/>
      <color rgb="FF5A5A5A"/>
      <name val="Georgia"/>
      <family val="1"/>
    </font>
    <font>
      <b/>
      <i/>
      <u/>
      <sz val="11"/>
      <name val="Georgia"/>
      <family val="1"/>
    </font>
    <font>
      <sz val="11"/>
      <color indexed="39"/>
      <name val="Georgia"/>
      <family val="1"/>
    </font>
    <font>
      <i/>
      <sz val="11"/>
      <color rgb="FFFF0000"/>
      <name val="Georgia"/>
      <family val="1"/>
    </font>
    <font>
      <b/>
      <sz val="11"/>
      <color indexed="17"/>
      <name val="Georgia"/>
      <family val="1"/>
    </font>
    <font>
      <sz val="11"/>
      <color rgb="FF1F4E78"/>
      <name val="Georgia"/>
      <family val="1"/>
    </font>
    <font>
      <sz val="12"/>
      <color rgb="FFFF0000"/>
      <name val="Georgia"/>
      <family val="1"/>
    </font>
    <font>
      <b/>
      <sz val="12"/>
      <name val="Georgia"/>
      <family val="1"/>
    </font>
    <font>
      <b/>
      <sz val="12"/>
      <color theme="1"/>
      <name val="Georgia"/>
      <family val="1"/>
    </font>
    <font>
      <b/>
      <sz val="11"/>
      <color indexed="9"/>
      <name val="Georgia"/>
      <family val="1"/>
    </font>
    <font>
      <sz val="11"/>
      <color rgb="FF000000"/>
      <name val="Georgia"/>
      <family val="1"/>
    </font>
    <font>
      <i/>
      <sz val="11"/>
      <color indexed="12"/>
      <name val="Georgia"/>
      <family val="1"/>
    </font>
    <font>
      <u/>
      <sz val="11"/>
      <color theme="1"/>
      <name val="Georgia"/>
      <family val="1"/>
    </font>
    <font>
      <sz val="11"/>
      <color rgb="FF009900"/>
      <name val="Georgia"/>
      <family val="1"/>
    </font>
    <font>
      <b/>
      <sz val="11"/>
      <color indexed="10"/>
      <name val="Georgia"/>
      <family val="1"/>
    </font>
    <font>
      <b/>
      <sz val="11"/>
      <color theme="0"/>
      <name val="Calibri"/>
      <family val="2"/>
      <scheme val="minor"/>
    </font>
    <font>
      <b/>
      <sz val="12"/>
      <color rgb="FF1F1F1F"/>
      <name val="Arial"/>
      <family val="2"/>
    </font>
    <font>
      <sz val="12"/>
      <color rgb="FF1F1F1F"/>
      <name val="Arial"/>
      <family val="2"/>
    </font>
    <font>
      <b/>
      <sz val="14"/>
      <color rgb="FF1F1F1F"/>
      <name val="Arial"/>
      <family val="2"/>
    </font>
    <font>
      <b/>
      <sz val="11"/>
      <name val="Calibri"/>
      <family val="2"/>
      <scheme val="minor"/>
    </font>
    <font>
      <sz val="10"/>
      <color rgb="FF323232"/>
      <name val="Calibri"/>
      <family val="2"/>
      <scheme val="minor"/>
    </font>
    <font>
      <b/>
      <sz val="10"/>
      <name val="Calibri"/>
      <family val="2"/>
      <scheme val="minor"/>
    </font>
    <font>
      <sz val="10"/>
      <color theme="1"/>
      <name val="Calibri"/>
      <family val="2"/>
      <scheme val="minor"/>
    </font>
    <font>
      <b/>
      <sz val="10"/>
      <color rgb="FF323232"/>
      <name val="Calibri"/>
      <family val="2"/>
      <scheme val="minor"/>
    </font>
    <font>
      <b/>
      <sz val="10"/>
      <color theme="1"/>
      <name val="Calibri"/>
      <family val="2"/>
      <scheme val="minor"/>
    </font>
    <font>
      <i/>
      <sz val="10"/>
      <color rgb="FF323232"/>
      <name val="Calibri"/>
      <family val="2"/>
      <scheme val="minor"/>
    </font>
    <font>
      <b/>
      <sz val="11"/>
      <color rgb="FF323232"/>
      <name val="Calibri"/>
      <family val="2"/>
      <scheme val="minor"/>
    </font>
    <font>
      <i/>
      <sz val="10"/>
      <color theme="1"/>
      <name val="Calibri"/>
      <family val="2"/>
      <scheme val="minor"/>
    </font>
    <font>
      <i/>
      <sz val="11"/>
      <color theme="1"/>
      <name val="Calibri"/>
      <family val="2"/>
      <scheme val="minor"/>
    </font>
    <font>
      <b/>
      <sz val="10"/>
      <color theme="0"/>
      <name val="Calibri"/>
      <family val="2"/>
      <scheme val="minor"/>
    </font>
    <font>
      <sz val="10"/>
      <color rgb="FF323232"/>
      <name val="Arial"/>
      <family val="2"/>
    </font>
    <font>
      <b/>
      <sz val="10"/>
      <color theme="1"/>
      <name val="Garamond"/>
      <family val="2"/>
    </font>
    <font>
      <sz val="10"/>
      <color rgb="FF0000FF"/>
      <name val="Georgia"/>
      <family val="1"/>
    </font>
    <font>
      <sz val="10"/>
      <color rgb="FF008000"/>
      <name val="Georgia"/>
      <family val="1"/>
    </font>
    <font>
      <b/>
      <sz val="10"/>
      <color rgb="FF323232"/>
      <name val="Arial"/>
      <family val="2"/>
    </font>
    <font>
      <sz val="10"/>
      <name val="Georgia"/>
      <family val="1"/>
    </font>
    <font>
      <i/>
      <sz val="10"/>
      <color theme="1"/>
      <name val="Georgia"/>
      <family val="1"/>
    </font>
    <font>
      <i/>
      <sz val="11"/>
      <color rgb="FF008000"/>
      <name val="Georgia"/>
      <family val="1"/>
    </font>
  </fonts>
  <fills count="104">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rgb="FF00B0F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rgb="FFD8D8DE"/>
      </patternFill>
    </fill>
    <fill>
      <patternFill patternType="solid">
        <fgColor rgb="FFEFEDF3"/>
      </patternFill>
    </fill>
    <fill>
      <patternFill patternType="solid">
        <fgColor rgb="FFC6EBF4"/>
      </patternFill>
    </fill>
    <fill>
      <patternFill patternType="solid">
        <fgColor rgb="FFFFFFFF"/>
      </patternFill>
    </fill>
    <fill>
      <patternFill patternType="solid">
        <fgColor theme="0" tint="-0.24994659260841701"/>
        <bgColor auto="1"/>
      </patternFill>
    </fill>
    <fill>
      <gradientFill degree="270">
        <stop position="0">
          <color theme="0"/>
        </stop>
        <stop position="1">
          <color theme="0" tint="-0.1490218817712943"/>
        </stop>
      </gradientFill>
    </fill>
    <fill>
      <patternFill patternType="solid">
        <fgColor theme="0" tint="-0.24994659260841701"/>
        <bgColor indexed="64"/>
      </patternFill>
    </fill>
    <fill>
      <patternFill patternType="solid">
        <fgColor rgb="FFC00000"/>
        <bgColor indexed="64"/>
      </patternFill>
    </fill>
    <fill>
      <patternFill patternType="solid">
        <fgColor rgb="FFFFFFCC"/>
        <bgColor indexed="64"/>
      </patternFill>
    </fill>
    <fill>
      <patternFill patternType="solid">
        <fgColor rgb="FF008000"/>
        <bgColor indexed="64"/>
      </patternFill>
    </fill>
  </fills>
  <borders count="201">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diagonal/>
    </border>
    <border>
      <left/>
      <right style="thin">
        <color auto="1"/>
      </right>
      <top style="thin">
        <color auto="1"/>
      </top>
      <bottom/>
      <diagonal/>
    </border>
    <border>
      <left/>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style="thin">
        <color theme="1"/>
      </left>
      <right style="thin">
        <color theme="1"/>
      </right>
      <top style="thin">
        <color theme="1"/>
      </top>
      <bottom/>
      <diagonal/>
    </border>
    <border>
      <left/>
      <right style="thin">
        <color indexed="64"/>
      </right>
      <top style="thin">
        <color theme="1"/>
      </top>
      <bottom style="thin">
        <color theme="1"/>
      </bottom>
      <diagonal/>
    </border>
    <border>
      <left/>
      <right style="thin">
        <color indexed="64"/>
      </right>
      <top style="thin">
        <color indexed="64"/>
      </top>
      <bottom style="thin">
        <color theme="1"/>
      </bottom>
      <diagonal/>
    </border>
    <border>
      <left/>
      <right/>
      <top style="thin">
        <color auto="1"/>
      </top>
      <bottom/>
      <diagonal/>
    </border>
    <border>
      <left/>
      <right style="thin">
        <color auto="1"/>
      </right>
      <top style="thin">
        <color auto="1"/>
      </top>
      <bottom/>
      <diagonal/>
    </border>
    <border>
      <left style="thin">
        <color auto="1"/>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right style="thin">
        <color indexed="64"/>
      </right>
      <top style="thin">
        <color auto="1"/>
      </top>
      <bottom/>
      <diagonal/>
    </border>
    <border>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auto="1"/>
      </top>
      <bottom/>
      <diagonal/>
    </border>
    <border>
      <left style="thin">
        <color indexed="64"/>
      </left>
      <right/>
      <top style="thin">
        <color indexed="64"/>
      </top>
      <bottom/>
      <diagonal/>
    </border>
    <border>
      <left/>
      <right/>
      <top style="thin">
        <color indexed="64"/>
      </top>
      <bottom/>
      <diagonal/>
    </border>
    <border>
      <left/>
      <right style="thin">
        <color indexed="64"/>
      </right>
      <top style="thin">
        <color auto="1"/>
      </top>
      <bottom/>
      <diagonal/>
    </border>
    <border>
      <left/>
      <right/>
      <top style="thin">
        <color auto="1"/>
      </top>
      <bottom/>
      <diagonal/>
    </border>
    <border>
      <left/>
      <right/>
      <top style="medium">
        <color rgb="FF888A85"/>
      </top>
      <bottom/>
      <diagonal/>
    </border>
    <border>
      <left/>
      <right/>
      <top style="thin">
        <color rgb="FF888A85"/>
      </top>
      <bottom/>
      <diagonal/>
    </border>
    <border>
      <left/>
      <right/>
      <top style="thin">
        <color rgb="FFEEEEEC"/>
      </top>
      <bottom/>
      <diagonal/>
    </border>
    <border>
      <left/>
      <right/>
      <top/>
      <bottom style="medium">
        <color rgb="FF888A85"/>
      </bottom>
      <diagonal/>
    </border>
    <border>
      <left style="thin">
        <color rgb="FF888A85"/>
      </left>
      <right style="thin">
        <color rgb="FF888A85"/>
      </right>
      <top style="thin">
        <color rgb="FF888A85"/>
      </top>
      <bottom style="thin">
        <color rgb="FF888A85"/>
      </bottom>
      <diagonal/>
    </border>
    <border>
      <left/>
      <right/>
      <top/>
      <bottom style="thin">
        <color theme="0" tint="-0.34998626667073579"/>
      </bottom>
      <diagonal/>
    </border>
    <border>
      <left/>
      <right/>
      <top style="thin">
        <color theme="0" tint="-0.34998626667073579"/>
      </top>
      <bottom style="double">
        <color theme="0" tint="-0.499984740745262"/>
      </bottom>
      <diagonal/>
    </border>
    <border>
      <left/>
      <right/>
      <top/>
      <bottom style="double">
        <color theme="0" tint="-0.499984740745262"/>
      </bottom>
      <diagonal/>
    </border>
    <border>
      <left/>
      <right/>
      <top style="thin">
        <color theme="0" tint="-0.34998626667073579"/>
      </top>
      <bottom style="double">
        <color theme="0" tint="-0.34998626667073579"/>
      </bottom>
      <diagonal/>
    </border>
    <border>
      <left/>
      <right/>
      <top style="thin">
        <color theme="0" tint="-0.34998626667073579"/>
      </top>
      <bottom style="thin">
        <color theme="0" tint="-0.34998626667073579"/>
      </bottom>
      <diagonal/>
    </border>
    <border>
      <left style="medium">
        <color indexed="64"/>
      </left>
      <right style="medium">
        <color indexed="64"/>
      </right>
      <top/>
      <bottom/>
      <diagonal/>
    </border>
    <border>
      <left/>
      <right/>
      <top style="medium">
        <color indexed="64"/>
      </top>
      <bottom style="double">
        <color indexed="64"/>
      </bottom>
      <diagonal/>
    </border>
    <border>
      <left/>
      <right/>
      <top/>
      <bottom style="hair">
        <color auto="1"/>
      </bottom>
      <diagonal/>
    </border>
    <border>
      <left/>
      <right/>
      <top style="hair">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20426">
    <xf numFmtId="0" fontId="0" fillId="0" borderId="0"/>
    <xf numFmtId="43" fontId="15" fillId="0" borderId="0" applyFont="0" applyFill="0" applyBorder="0" applyAlignment="0" applyProtection="0"/>
    <xf numFmtId="9" fontId="15" fillId="0" borderId="0" applyFont="0" applyFill="0" applyBorder="0" applyAlignment="0" applyProtection="0"/>
    <xf numFmtId="44" fontId="15" fillId="0" borderId="0" applyFont="0" applyFill="0" applyBorder="0" applyAlignment="0" applyProtection="0"/>
    <xf numFmtId="9" fontId="18" fillId="0" borderId="0">
      <alignment horizontal="right"/>
    </xf>
    <xf numFmtId="37" fontId="19" fillId="0" borderId="0">
      <alignment horizontal="fill"/>
    </xf>
    <xf numFmtId="0" fontId="20" fillId="0" borderId="0"/>
    <xf numFmtId="0" fontId="20" fillId="0" borderId="0"/>
    <xf numFmtId="0" fontId="20" fillId="0" borderId="0"/>
    <xf numFmtId="0" fontId="20" fillId="0" borderId="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2" fontId="22" fillId="0" borderId="0" applyFont="0" applyFill="0" applyBorder="0" applyAlignment="0" applyProtection="0"/>
    <xf numFmtId="0" fontId="22"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172" fontId="22" fillId="0" borderId="0" applyFont="0" applyFill="0" applyBorder="0" applyAlignment="0" applyProtection="0"/>
    <xf numFmtId="0" fontId="22" fillId="0" borderId="0" applyFont="0" applyFill="0" applyBorder="0" applyAlignment="0" applyProtection="0"/>
    <xf numFmtId="172" fontId="22" fillId="0" borderId="0" applyFont="0" applyFill="0" applyBorder="0" applyAlignment="0" applyProtection="0"/>
    <xf numFmtId="0"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172" fontId="22" fillId="0" borderId="0" applyFont="0" applyFill="0" applyBorder="0" applyAlignment="0" applyProtection="0"/>
    <xf numFmtId="0" fontId="22" fillId="0" borderId="0" applyFont="0" applyFill="0" applyBorder="0" applyAlignment="0" applyProtection="0"/>
    <xf numFmtId="0" fontId="21"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171" fontId="21" fillId="0" borderId="0" applyFont="0" applyFill="0" applyBorder="0" applyAlignment="0" applyProtection="0"/>
    <xf numFmtId="0"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0"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171" fontId="21" fillId="0" borderId="0" applyFont="0" applyFill="0" applyBorder="0" applyAlignment="0" applyProtection="0"/>
    <xf numFmtId="0" fontId="22" fillId="0" borderId="0" applyFont="0" applyFill="0" applyBorder="0" applyAlignment="0" applyProtection="0"/>
    <xf numFmtId="0" fontId="22" fillId="0" borderId="0" applyFont="0" applyFill="0" applyBorder="0" applyAlignment="0" applyProtection="0"/>
    <xf numFmtId="173" fontId="23" fillId="0" borderId="0" applyNumberFormat="0" applyFill="0" applyBorder="0" applyAlignment="0" applyProtection="0"/>
    <xf numFmtId="0" fontId="20" fillId="0" borderId="0" applyNumberFormat="0" applyFill="0" applyBorder="0" applyAlignment="0" applyProtection="0"/>
    <xf numFmtId="0" fontId="20" fillId="0" borderId="0"/>
    <xf numFmtId="0" fontId="22" fillId="0" borderId="0" applyFont="0" applyFill="0" applyBorder="0" applyAlignment="0" applyProtection="0"/>
    <xf numFmtId="0" fontId="24" fillId="0" borderId="0"/>
    <xf numFmtId="0" fontId="24" fillId="0" borderId="0"/>
    <xf numFmtId="0" fontId="20" fillId="0" borderId="0"/>
    <xf numFmtId="0" fontId="24" fillId="0" borderId="0"/>
    <xf numFmtId="0" fontId="24" fillId="0" borderId="0"/>
    <xf numFmtId="0" fontId="24" fillId="0" borderId="0"/>
    <xf numFmtId="174" fontId="25" fillId="0" borderId="0" applyFont="0" applyFill="0" applyBorder="0" applyAlignment="0" applyProtection="0"/>
    <xf numFmtId="175" fontId="25" fillId="0" borderId="0" applyFont="0" applyFill="0" applyBorder="0" applyAlignment="0" applyProtection="0"/>
    <xf numFmtId="3" fontId="26" fillId="0" borderId="0" applyFont="0" applyFill="0" applyBorder="0" applyAlignment="0" applyProtection="0"/>
    <xf numFmtId="174" fontId="25" fillId="0" borderId="0" applyFont="0" applyFill="0" applyBorder="0" applyAlignment="0" applyProtection="0"/>
    <xf numFmtId="174" fontId="25" fillId="0" borderId="0" applyFont="0" applyFill="0" applyBorder="0" applyAlignment="0" applyProtection="0"/>
    <xf numFmtId="174" fontId="25" fillId="0" borderId="0" applyFont="0" applyFill="0" applyBorder="0" applyAlignment="0" applyProtection="0"/>
    <xf numFmtId="174" fontId="25" fillId="0" borderId="0" applyFont="0" applyFill="0" applyBorder="0" applyAlignment="0" applyProtection="0"/>
    <xf numFmtId="174" fontId="25" fillId="0" borderId="0" applyFont="0" applyFill="0" applyBorder="0" applyAlignment="0" applyProtection="0"/>
    <xf numFmtId="5" fontId="27" fillId="0" borderId="0" applyFont="0" applyFill="0" applyBorder="0" applyAlignment="0" applyProtection="0"/>
    <xf numFmtId="176" fontId="25" fillId="0" borderId="0" applyFont="0" applyFill="0" applyBorder="0" applyAlignment="0" applyProtection="0"/>
    <xf numFmtId="8" fontId="27" fillId="0" borderId="0" applyFont="0" applyFill="0" applyBorder="0" applyAlignment="0" applyProtection="0"/>
    <xf numFmtId="0" fontId="24" fillId="0" borderId="0"/>
    <xf numFmtId="177" fontId="24" fillId="0" borderId="0">
      <alignment horizontal="right"/>
    </xf>
    <xf numFmtId="177" fontId="20" fillId="0" borderId="0">
      <alignment horizontal="right"/>
    </xf>
    <xf numFmtId="178" fontId="20" fillId="0" borderId="0" applyFont="0" applyFill="0" applyBorder="0" applyAlignment="0" applyProtection="0"/>
    <xf numFmtId="179" fontId="20" fillId="0" borderId="0"/>
    <xf numFmtId="180" fontId="20" fillId="0" borderId="0" applyFont="0" applyFill="0" applyBorder="0" applyAlignment="0" applyProtection="0"/>
    <xf numFmtId="0" fontId="20" fillId="0" borderId="0"/>
    <xf numFmtId="181" fontId="25" fillId="0" borderId="0" applyFont="0" applyFill="0" applyBorder="0" applyAlignment="0" applyProtection="0"/>
    <xf numFmtId="182" fontId="20" fillId="0" borderId="0" applyFont="0" applyFill="0" applyBorder="0" applyAlignment="0" applyProtection="0"/>
    <xf numFmtId="9" fontId="28" fillId="31" borderId="17">
      <alignment horizontal="right" vertical="center"/>
    </xf>
    <xf numFmtId="9" fontId="20" fillId="0" borderId="0">
      <alignment horizontal="right" vertical="center"/>
    </xf>
    <xf numFmtId="183" fontId="29" fillId="0" borderId="0" applyBorder="0"/>
    <xf numFmtId="183" fontId="29" fillId="0" borderId="0" applyBorder="0"/>
    <xf numFmtId="183" fontId="20" fillId="0" borderId="0" applyBorder="0"/>
    <xf numFmtId="183" fontId="29" fillId="0" borderId="0" applyBorder="0"/>
    <xf numFmtId="183" fontId="29" fillId="0" borderId="0" applyBorder="0"/>
    <xf numFmtId="183" fontId="29" fillId="0" borderId="0" applyBorder="0"/>
    <xf numFmtId="10" fontId="27" fillId="0" borderId="0" applyFont="0" applyFill="0" applyBorder="0" applyAlignment="0" applyProtection="0"/>
    <xf numFmtId="0" fontId="30" fillId="0" borderId="0"/>
    <xf numFmtId="0" fontId="30" fillId="0" borderId="0"/>
    <xf numFmtId="0" fontId="31" fillId="0" borderId="0" applyNumberFormat="0" applyFont="0" applyFill="0" applyBorder="0" applyAlignment="0" applyProtection="0"/>
    <xf numFmtId="0" fontId="20" fillId="0" borderId="0" applyNumberFormat="0" applyFont="0" applyFill="0" applyBorder="0" applyAlignment="0" applyProtection="0"/>
    <xf numFmtId="184" fontId="24" fillId="0" borderId="0" applyFont="0" applyFill="0" applyBorder="0" applyAlignment="0"/>
    <xf numFmtId="184" fontId="24" fillId="0" borderId="0" applyFont="0" applyFill="0" applyBorder="0" applyAlignment="0"/>
    <xf numFmtId="184" fontId="20" fillId="0" borderId="0" applyFont="0" applyFill="0" applyBorder="0" applyAlignment="0"/>
    <xf numFmtId="184" fontId="24" fillId="0" borderId="0" applyFont="0" applyFill="0" applyBorder="0" applyAlignment="0"/>
    <xf numFmtId="184" fontId="24" fillId="0" borderId="0" applyFont="0" applyFill="0" applyBorder="0" applyAlignment="0"/>
    <xf numFmtId="184" fontId="24" fillId="0" borderId="0" applyFont="0" applyFill="0" applyBorder="0" applyAlignment="0"/>
    <xf numFmtId="186" fontId="20" fillId="0" borderId="0" applyFont="0" applyFill="0" applyBorder="0" applyAlignment="0" applyProtection="0"/>
    <xf numFmtId="9" fontId="20" fillId="0" borderId="0" applyFont="0" applyFill="0" applyBorder="0" applyAlignment="0" applyProtection="0"/>
    <xf numFmtId="187" fontId="32" fillId="0" borderId="0" applyFont="0" applyFill="0" applyBorder="0" applyProtection="0">
      <alignment horizontal="right"/>
    </xf>
    <xf numFmtId="187" fontId="20" fillId="0" borderId="0" applyFont="0" applyFill="0" applyBorder="0" applyProtection="0">
      <alignment horizontal="right"/>
    </xf>
    <xf numFmtId="188" fontId="33" fillId="0" borderId="0" applyFont="0" applyFill="0" applyBorder="0" applyAlignment="0" applyProtection="0"/>
    <xf numFmtId="189" fontId="33"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0"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190" fontId="32" fillId="0" borderId="0" applyFont="0" applyFill="0" applyBorder="0" applyProtection="0">
      <alignment horizontal="right"/>
    </xf>
    <xf numFmtId="190" fontId="20" fillId="0" borderId="0" applyFont="0" applyFill="0" applyBorder="0" applyProtection="0">
      <alignment horizontal="right"/>
    </xf>
    <xf numFmtId="0" fontId="20" fillId="0" borderId="0" applyFont="0" applyFill="0" applyBorder="0" applyAlignment="0" applyProtection="0"/>
    <xf numFmtId="191" fontId="34" fillId="0" borderId="0"/>
    <xf numFmtId="191" fontId="34" fillId="0" borderId="0"/>
    <xf numFmtId="9" fontId="18" fillId="0" borderId="0">
      <alignment horizontal="right"/>
    </xf>
    <xf numFmtId="9" fontId="18" fillId="0" borderId="0">
      <alignment horizontal="right"/>
    </xf>
    <xf numFmtId="174" fontId="33" fillId="0" borderId="0" applyFont="0" applyFill="0" applyBorder="0" applyAlignment="0" applyProtection="0"/>
    <xf numFmtId="192" fontId="32" fillId="0" borderId="0" applyFont="0" applyFill="0" applyBorder="0" applyAlignment="0" applyProtection="0"/>
    <xf numFmtId="192" fontId="32"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92" fontId="20" fillId="0" borderId="0" applyFont="0" applyFill="0" applyBorder="0" applyAlignment="0" applyProtection="0"/>
    <xf numFmtId="174" fontId="35"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36"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74" fontId="20" fillId="0" borderId="0" applyFont="0" applyFill="0" applyBorder="0" applyAlignment="0" applyProtection="0"/>
    <xf numFmtId="193" fontId="33" fillId="0" borderId="0" applyFont="0" applyFill="0" applyBorder="0" applyAlignment="0" applyProtection="0"/>
    <xf numFmtId="194" fontId="32" fillId="0" borderId="0" applyFont="0" applyFill="0" applyBorder="0" applyAlignment="0" applyProtection="0"/>
    <xf numFmtId="194" fontId="32" fillId="0" borderId="0" applyFont="0" applyFill="0" applyBorder="0" applyAlignment="0" applyProtection="0"/>
    <xf numFmtId="195" fontId="20" fillId="0" borderId="0" applyFont="0" applyFill="0" applyBorder="0" applyAlignment="0" applyProtection="0"/>
    <xf numFmtId="196" fontId="20" fillId="0" borderId="0" applyFont="0" applyFill="0" applyBorder="0" applyAlignment="0" applyProtection="0"/>
    <xf numFmtId="196" fontId="20" fillId="0" borderId="0" applyFont="0" applyFill="0" applyBorder="0" applyAlignment="0" applyProtection="0"/>
    <xf numFmtId="194" fontId="20" fillId="0" borderId="0" applyFont="0" applyFill="0" applyBorder="0" applyAlignment="0" applyProtection="0"/>
    <xf numFmtId="197" fontId="20" fillId="0" borderId="0" applyFont="0" applyFill="0" applyBorder="0" applyAlignment="0" applyProtection="0"/>
    <xf numFmtId="198" fontId="20" fillId="0" borderId="0" applyFont="0" applyFill="0" applyBorder="0" applyAlignment="0" applyProtection="0"/>
    <xf numFmtId="194" fontId="20" fillId="0" borderId="0" applyFont="0" applyFill="0" applyBorder="0" applyAlignment="0" applyProtection="0"/>
    <xf numFmtId="196" fontId="20" fillId="0" borderId="0" applyFont="0" applyFill="0" applyBorder="0" applyAlignment="0" applyProtection="0"/>
    <xf numFmtId="193" fontId="20" fillId="0" borderId="0" applyFont="0" applyFill="0" applyBorder="0" applyAlignment="0" applyProtection="0"/>
    <xf numFmtId="194" fontId="20" fillId="0" borderId="0" applyFont="0" applyFill="0" applyBorder="0" applyAlignment="0" applyProtection="0"/>
    <xf numFmtId="195" fontId="20" fillId="0" borderId="0" applyFont="0" applyFill="0" applyBorder="0" applyAlignment="0" applyProtection="0"/>
    <xf numFmtId="195" fontId="36" fillId="0" borderId="0" applyFont="0" applyFill="0" applyBorder="0" applyAlignment="0" applyProtection="0"/>
    <xf numFmtId="195" fontId="36" fillId="0" borderId="0" applyFont="0" applyFill="0" applyBorder="0" applyAlignment="0" applyProtection="0"/>
    <xf numFmtId="193" fontId="35" fillId="0" borderId="0" applyFont="0" applyFill="0" applyBorder="0" applyAlignment="0" applyProtection="0"/>
    <xf numFmtId="193" fontId="20" fillId="0" borderId="0" applyFont="0" applyFill="0" applyBorder="0" applyAlignment="0" applyProtection="0"/>
    <xf numFmtId="193" fontId="20" fillId="0" borderId="0" applyFont="0" applyFill="0" applyBorder="0" applyAlignment="0" applyProtection="0"/>
    <xf numFmtId="193" fontId="20" fillId="0" borderId="0" applyFont="0" applyFill="0" applyBorder="0" applyAlignment="0" applyProtection="0"/>
    <xf numFmtId="194" fontId="20" fillId="0" borderId="0" applyFont="0" applyFill="0" applyBorder="0" applyAlignment="0" applyProtection="0"/>
    <xf numFmtId="194" fontId="36" fillId="0" borderId="0" applyFont="0" applyFill="0" applyBorder="0" applyAlignment="0" applyProtection="0"/>
    <xf numFmtId="195" fontId="36" fillId="0" borderId="0" applyFont="0" applyFill="0" applyBorder="0" applyAlignment="0" applyProtection="0"/>
    <xf numFmtId="195" fontId="36" fillId="0" borderId="0" applyFont="0" applyFill="0" applyBorder="0" applyAlignment="0" applyProtection="0"/>
    <xf numFmtId="197" fontId="20" fillId="0" borderId="0" applyFont="0" applyFill="0" applyBorder="0" applyAlignment="0" applyProtection="0"/>
    <xf numFmtId="198" fontId="36" fillId="0" borderId="0" applyFont="0" applyFill="0" applyBorder="0" applyAlignment="0" applyProtection="0"/>
    <xf numFmtId="195" fontId="20" fillId="0" borderId="0" applyFont="0" applyFill="0" applyBorder="0" applyAlignment="0" applyProtection="0"/>
    <xf numFmtId="193" fontId="20" fillId="0" borderId="0" applyFont="0" applyFill="0" applyBorder="0" applyAlignment="0" applyProtection="0"/>
    <xf numFmtId="198" fontId="20" fillId="0" borderId="0" applyFont="0" applyFill="0" applyBorder="0" applyAlignment="0" applyProtection="0"/>
    <xf numFmtId="0" fontId="20" fillId="0" borderId="0" applyFont="0" applyFill="0" applyBorder="0" applyAlignment="0" applyProtection="0"/>
    <xf numFmtId="199" fontId="20" fillId="0" borderId="0" applyFont="0" applyFill="0" applyBorder="0" applyAlignment="0" applyProtection="0"/>
    <xf numFmtId="193" fontId="20" fillId="0" borderId="0" applyFont="0" applyFill="0" applyBorder="0" applyAlignment="0" applyProtection="0"/>
    <xf numFmtId="195" fontId="20" fillId="0" borderId="0" applyFont="0" applyFill="0" applyBorder="0" applyAlignment="0" applyProtection="0"/>
    <xf numFmtId="198" fontId="20" fillId="0" borderId="0" applyFont="0" applyFill="0" applyBorder="0" applyAlignment="0" applyProtection="0"/>
    <xf numFmtId="193" fontId="20" fillId="0" borderId="0" applyFont="0" applyFill="0" applyBorder="0" applyAlignment="0" applyProtection="0"/>
    <xf numFmtId="200" fontId="33" fillId="0" borderId="0" applyFont="0" applyFill="0" applyBorder="0" applyAlignment="0" applyProtection="0"/>
    <xf numFmtId="39" fontId="32" fillId="0" borderId="0" applyFont="0" applyFill="0" applyBorder="0" applyAlignment="0" applyProtection="0"/>
    <xf numFmtId="39" fontId="32"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39" fontId="20" fillId="0" borderId="0" applyFont="0" applyFill="0" applyBorder="0" applyAlignment="0" applyProtection="0"/>
    <xf numFmtId="200" fontId="35"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36"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200" fontId="20" fillId="0" borderId="0" applyFont="0" applyFill="0" applyBorder="0" applyAlignment="0" applyProtection="0"/>
    <xf numFmtId="14" fontId="37" fillId="0" borderId="0" applyFill="0" applyBorder="0" applyProtection="0"/>
    <xf numFmtId="14" fontId="20" fillId="0" borderId="0" applyFill="0" applyBorder="0" applyProtection="0"/>
    <xf numFmtId="201" fontId="20" fillId="0" borderId="0" applyFont="0" applyFill="0" applyBorder="0" applyAlignment="0" applyProtection="0"/>
    <xf numFmtId="201" fontId="20" fillId="0" borderId="0" applyFont="0" applyFill="0" applyBorder="0" applyAlignment="0" applyProtection="0"/>
    <xf numFmtId="201" fontId="20" fillId="0" borderId="0" applyFont="0" applyFill="0" applyBorder="0" applyAlignment="0" applyProtection="0"/>
    <xf numFmtId="0" fontId="31" fillId="0" borderId="0" applyNumberFormat="0" applyFill="0" applyBorder="0" applyAlignment="0" applyProtection="0"/>
    <xf numFmtId="202" fontId="33" fillId="0" borderId="0" applyFont="0" applyFill="0" applyBorder="0" applyAlignment="0" applyProtection="0"/>
    <xf numFmtId="202" fontId="32" fillId="0" borderId="0" applyFont="0" applyFill="0" applyBorder="0" applyProtection="0">
      <alignment horizontal="right"/>
    </xf>
    <xf numFmtId="202" fontId="20" fillId="0" borderId="0" applyFont="0" applyFill="0" applyBorder="0" applyProtection="0">
      <alignment horizontal="right"/>
    </xf>
    <xf numFmtId="202" fontId="32" fillId="0" borderId="0" applyFont="0" applyFill="0" applyBorder="0" applyProtection="0">
      <alignment horizontal="right"/>
    </xf>
    <xf numFmtId="202" fontId="32" fillId="0" borderId="0" applyFont="0" applyFill="0" applyBorder="0" applyProtection="0">
      <alignment horizontal="right"/>
    </xf>
    <xf numFmtId="202" fontId="32" fillId="0" borderId="0" applyFont="0" applyFill="0" applyBorder="0" applyProtection="0">
      <alignment horizontal="right"/>
    </xf>
    <xf numFmtId="202" fontId="32" fillId="0" borderId="0" applyFont="0" applyFill="0" applyBorder="0" applyAlignment="0" applyProtection="0"/>
    <xf numFmtId="202" fontId="32" fillId="0" borderId="0" applyFont="0" applyFill="0" applyBorder="0" applyAlignment="0" applyProtection="0"/>
    <xf numFmtId="202" fontId="20" fillId="0" borderId="0" applyFont="0" applyFill="0" applyBorder="0" applyAlignment="0" applyProtection="0"/>
    <xf numFmtId="202" fontId="32" fillId="0" borderId="0" applyFont="0" applyFill="0" applyBorder="0" applyAlignment="0" applyProtection="0"/>
    <xf numFmtId="202" fontId="32" fillId="0" borderId="0" applyFont="0" applyFill="0" applyBorder="0" applyAlignment="0" applyProtection="0"/>
    <xf numFmtId="202" fontId="32" fillId="0" borderId="0" applyFont="0" applyFill="0" applyBorder="0" applyAlignment="0" applyProtection="0"/>
    <xf numFmtId="202" fontId="20" fillId="0" borderId="0" applyFont="0" applyFill="0" applyBorder="0" applyAlignment="0" applyProtection="0"/>
    <xf numFmtId="202" fontId="20" fillId="0" borderId="0" applyFont="0" applyFill="0" applyBorder="0" applyAlignment="0" applyProtection="0"/>
    <xf numFmtId="0" fontId="38" fillId="0" borderId="0">
      <alignment vertical="center"/>
    </xf>
    <xf numFmtId="203" fontId="39" fillId="0" borderId="18" applyFont="0" applyFill="0" applyBorder="0" applyAlignment="0" applyProtection="0"/>
    <xf numFmtId="203" fontId="20" fillId="0" borderId="0" applyFont="0" applyFill="0" applyBorder="0" applyAlignment="0" applyProtection="0"/>
    <xf numFmtId="0" fontId="40" fillId="32" borderId="19" applyBorder="0">
      <alignment horizontal="center"/>
    </xf>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41" fillId="0" borderId="0" applyNumberFormat="0" applyFill="0" applyBorder="0" applyAlignment="0" applyProtection="0"/>
    <xf numFmtId="0" fontId="20" fillId="0" borderId="0" applyNumberFormat="0" applyFill="0" applyBorder="0" applyAlignment="0" applyProtection="0"/>
    <xf numFmtId="0" fontId="33" fillId="33" borderId="0" applyNumberFormat="0" applyFont="0" applyAlignment="0" applyProtection="0"/>
    <xf numFmtId="0" fontId="20" fillId="0" borderId="0" applyNumberFormat="0" applyFont="0" applyAlignment="0" applyProtection="0"/>
    <xf numFmtId="204" fontId="42" fillId="0" borderId="0" applyFont="0" applyFill="0" applyBorder="0" applyProtection="0">
      <alignment horizontal="right"/>
    </xf>
    <xf numFmtId="204" fontId="20" fillId="0" borderId="0" applyFont="0" applyFill="0" applyBorder="0" applyProtection="0">
      <alignment horizontal="right"/>
    </xf>
    <xf numFmtId="205" fontId="42" fillId="0" borderId="0" applyFont="0" applyFill="0" applyBorder="0" applyProtection="0">
      <alignment horizontal="right"/>
    </xf>
    <xf numFmtId="205" fontId="20" fillId="0" borderId="0" applyFont="0" applyFill="0" applyBorder="0" applyProtection="0">
      <alignment horizontal="right"/>
    </xf>
    <xf numFmtId="205" fontId="42" fillId="0" borderId="0" applyFont="0" applyFill="0" applyBorder="0" applyProtection="0">
      <alignment horizontal="right"/>
    </xf>
    <xf numFmtId="205" fontId="20" fillId="0" borderId="0" applyFont="0" applyFill="0" applyBorder="0" applyProtection="0">
      <alignment horizontal="right"/>
    </xf>
    <xf numFmtId="0" fontId="34" fillId="0" borderId="0">
      <alignment vertical="center"/>
    </xf>
    <xf numFmtId="0" fontId="34" fillId="0" borderId="0">
      <alignment vertical="center"/>
    </xf>
    <xf numFmtId="0" fontId="34" fillId="0" borderId="0">
      <alignment vertical="center"/>
    </xf>
    <xf numFmtId="0" fontId="43" fillId="34" borderId="0">
      <alignment horizontal="centerContinuous" vertical="center"/>
    </xf>
    <xf numFmtId="0" fontId="20" fillId="0" borderId="0">
      <alignment horizontal="centerContinuous" vertical="center"/>
    </xf>
    <xf numFmtId="0" fontId="44" fillId="29" borderId="0">
      <alignment horizontal="centerContinuous" vertical="center"/>
    </xf>
    <xf numFmtId="0" fontId="20" fillId="0" borderId="0">
      <alignment horizontal="centerContinuous" vertical="center"/>
    </xf>
    <xf numFmtId="9" fontId="18" fillId="0" borderId="0">
      <alignment horizontal="right"/>
    </xf>
    <xf numFmtId="9" fontId="18" fillId="0" borderId="0">
      <alignment horizontal="right"/>
    </xf>
    <xf numFmtId="9" fontId="18" fillId="0" borderId="0">
      <alignment horizontal="right"/>
    </xf>
    <xf numFmtId="9" fontId="18" fillId="0" borderId="0">
      <alignment horizontal="right"/>
    </xf>
    <xf numFmtId="0" fontId="20" fillId="0" borderId="0">
      <alignment horizontal="left" wrapText="1"/>
    </xf>
    <xf numFmtId="0" fontId="20" fillId="0" borderId="0">
      <alignment horizontal="left" wrapText="1"/>
    </xf>
    <xf numFmtId="206" fontId="33" fillId="0" borderId="0" applyFont="0" applyFill="0" applyBorder="0" applyAlignment="0" applyProtection="0"/>
    <xf numFmtId="207" fontId="32" fillId="0" borderId="0" applyFont="0" applyFill="0" applyBorder="0" applyAlignment="0" applyProtection="0"/>
    <xf numFmtId="207" fontId="32" fillId="0" borderId="0" applyFont="0" applyFill="0" applyBorder="0" applyAlignment="0" applyProtection="0"/>
    <xf numFmtId="208" fontId="20" fillId="0" borderId="0" applyFont="0" applyFill="0" applyBorder="0" applyProtection="0">
      <alignment horizontal="right"/>
    </xf>
    <xf numFmtId="209" fontId="20" fillId="0" borderId="0" applyFont="0" applyFill="0" applyBorder="0" applyAlignment="0" applyProtection="0"/>
    <xf numFmtId="206" fontId="20" fillId="0" borderId="0" applyFont="0" applyFill="0" applyBorder="0" applyAlignment="0" applyProtection="0"/>
    <xf numFmtId="210" fontId="20" fillId="0" borderId="0" applyFont="0" applyFill="0" applyBorder="0" applyProtection="0">
      <alignment horizontal="right"/>
    </xf>
    <xf numFmtId="206" fontId="20" fillId="0" borderId="0" applyFont="0" applyFill="0" applyBorder="0" applyAlignment="0" applyProtection="0"/>
    <xf numFmtId="207" fontId="20" fillId="0" borderId="0" applyFont="0" applyFill="0" applyBorder="0" applyAlignment="0" applyProtection="0"/>
    <xf numFmtId="206" fontId="35" fillId="0" borderId="0" applyFont="0" applyFill="0" applyBorder="0" applyAlignment="0" applyProtection="0"/>
    <xf numFmtId="206" fontId="20" fillId="0" borderId="0" applyFont="0" applyFill="0" applyBorder="0" applyAlignment="0" applyProtection="0"/>
    <xf numFmtId="210" fontId="20" fillId="0" borderId="0" applyFont="0" applyFill="0" applyBorder="0" applyProtection="0">
      <alignment horizontal="right"/>
    </xf>
    <xf numFmtId="210" fontId="20" fillId="0" borderId="0" applyFont="0" applyFill="0" applyBorder="0" applyProtection="0">
      <alignment horizontal="right"/>
    </xf>
    <xf numFmtId="206" fontId="20" fillId="0" borderId="0" applyFont="0" applyFill="0" applyBorder="0" applyAlignment="0" applyProtection="0"/>
    <xf numFmtId="206" fontId="36" fillId="0" borderId="0" applyFont="0" applyFill="0" applyBorder="0" applyAlignment="0" applyProtection="0"/>
    <xf numFmtId="210" fontId="20" fillId="0" borderId="0" applyFont="0" applyFill="0" applyBorder="0" applyProtection="0">
      <alignment horizontal="right"/>
    </xf>
    <xf numFmtId="209" fontId="20" fillId="0" borderId="0" applyFont="0" applyFill="0" applyBorder="0" applyAlignment="0" applyProtection="0"/>
    <xf numFmtId="206" fontId="20" fillId="0" borderId="0" applyFont="0" applyFill="0" applyBorder="0" applyAlignment="0" applyProtection="0"/>
    <xf numFmtId="210" fontId="20" fillId="0" borderId="0" applyFont="0" applyFill="0" applyBorder="0" applyProtection="0">
      <alignment horizontal="right"/>
    </xf>
    <xf numFmtId="210" fontId="20" fillId="0" borderId="0" applyFont="0" applyFill="0" applyBorder="0" applyProtection="0">
      <alignment horizontal="right"/>
    </xf>
    <xf numFmtId="211" fontId="20" fillId="0" borderId="0" applyFont="0" applyFill="0" applyBorder="0" applyProtection="0">
      <alignment horizontal="right"/>
    </xf>
    <xf numFmtId="212" fontId="33" fillId="0" borderId="0" applyFont="0" applyFill="0" applyBorder="0" applyProtection="0">
      <alignment horizontal="right"/>
    </xf>
    <xf numFmtId="213" fontId="32" fillId="0" borderId="0" applyFont="0" applyFill="0" applyBorder="0" applyAlignment="0" applyProtection="0"/>
    <xf numFmtId="213" fontId="32" fillId="0" borderId="0" applyFont="0" applyFill="0" applyBorder="0" applyAlignment="0" applyProtection="0"/>
    <xf numFmtId="214" fontId="20" fillId="0" borderId="0" applyFont="0" applyFill="0" applyBorder="0" applyAlignment="0" applyProtection="0"/>
    <xf numFmtId="212" fontId="20" fillId="0" borderId="0" applyFont="0" applyFill="0" applyBorder="0" applyProtection="0">
      <alignment horizontal="right"/>
    </xf>
    <xf numFmtId="212" fontId="20" fillId="0" borderId="0" applyFont="0" applyFill="0" applyBorder="0" applyProtection="0">
      <alignment horizontal="right"/>
    </xf>
    <xf numFmtId="213" fontId="20" fillId="0" borderId="0" applyFont="0" applyFill="0" applyBorder="0" applyAlignment="0" applyProtection="0"/>
    <xf numFmtId="212" fontId="35" fillId="0" borderId="0" applyFont="0" applyFill="0" applyBorder="0" applyProtection="0">
      <alignment horizontal="right"/>
    </xf>
    <xf numFmtId="212" fontId="20" fillId="0" borderId="0" applyFont="0" applyFill="0" applyBorder="0" applyProtection="0">
      <alignment horizontal="right"/>
    </xf>
    <xf numFmtId="212" fontId="20" fillId="0" borderId="0" applyFont="0" applyFill="0" applyBorder="0" applyProtection="0">
      <alignment horizontal="right"/>
    </xf>
    <xf numFmtId="212" fontId="20" fillId="0" borderId="0" applyFont="0" applyFill="0" applyBorder="0" applyProtection="0">
      <alignment horizontal="right"/>
    </xf>
    <xf numFmtId="212" fontId="20" fillId="0" borderId="0" applyFont="0" applyFill="0" applyBorder="0" applyProtection="0">
      <alignment horizontal="right"/>
    </xf>
    <xf numFmtId="212" fontId="36" fillId="0" borderId="0" applyFont="0" applyFill="0" applyBorder="0" applyProtection="0">
      <alignment horizontal="right"/>
    </xf>
    <xf numFmtId="212" fontId="20" fillId="0" borderId="0" applyFont="0" applyFill="0" applyBorder="0" applyProtection="0">
      <alignment horizontal="right"/>
    </xf>
    <xf numFmtId="214" fontId="20" fillId="0" borderId="0" applyFont="0" applyFill="0" applyBorder="0" applyAlignment="0" applyProtection="0"/>
    <xf numFmtId="212" fontId="20" fillId="0" borderId="0" applyFont="0" applyFill="0" applyBorder="0" applyProtection="0">
      <alignment horizontal="right"/>
    </xf>
    <xf numFmtId="212" fontId="20" fillId="0" borderId="0" applyFont="0" applyFill="0" applyBorder="0" applyProtection="0">
      <alignment horizontal="right"/>
    </xf>
    <xf numFmtId="0" fontId="20" fillId="0" borderId="0"/>
    <xf numFmtId="215" fontId="32" fillId="0" borderId="0" applyFont="0" applyFill="0" applyBorder="0" applyAlignment="0" applyProtection="0"/>
    <xf numFmtId="188" fontId="20" fillId="0" borderId="0" applyFont="0" applyFill="0" applyBorder="0" applyAlignment="0" applyProtection="0"/>
    <xf numFmtId="188" fontId="20" fillId="0" borderId="0" applyFont="0" applyFill="0" applyBorder="0" applyAlignment="0" applyProtection="0"/>
    <xf numFmtId="216" fontId="45" fillId="0" borderId="20" applyFont="0" applyFill="0" applyBorder="0" applyProtection="0">
      <alignment horizontal="right"/>
    </xf>
    <xf numFmtId="216" fontId="20" fillId="0" borderId="0" applyFont="0" applyFill="0" applyBorder="0" applyProtection="0">
      <alignment horizontal="right"/>
    </xf>
    <xf numFmtId="217" fontId="45" fillId="0" borderId="20" applyFont="0" applyFill="0" applyBorder="0" applyProtection="0">
      <alignment horizontal="right"/>
    </xf>
    <xf numFmtId="217" fontId="20" fillId="0" borderId="0" applyFont="0" applyFill="0" applyBorder="0" applyProtection="0">
      <alignment horizontal="right"/>
    </xf>
    <xf numFmtId="217" fontId="45" fillId="0" borderId="20" applyFont="0" applyFill="0" applyBorder="0" applyProtection="0">
      <alignment horizontal="right"/>
    </xf>
    <xf numFmtId="217" fontId="20" fillId="0" borderId="0" applyFont="0" applyFill="0" applyBorder="0" applyProtection="0">
      <alignment horizontal="right"/>
    </xf>
    <xf numFmtId="217" fontId="45" fillId="0" borderId="20" applyFont="0" applyFill="0" applyBorder="0" applyProtection="0">
      <alignment horizontal="right"/>
    </xf>
    <xf numFmtId="217" fontId="20" fillId="0" borderId="0" applyFont="0" applyFill="0" applyBorder="0" applyProtection="0">
      <alignment horizontal="right"/>
    </xf>
    <xf numFmtId="217" fontId="45" fillId="0" borderId="20" applyFont="0" applyFill="0" applyBorder="0" applyProtection="0">
      <alignment horizontal="right"/>
    </xf>
    <xf numFmtId="217" fontId="20" fillId="0" borderId="0" applyFont="0" applyFill="0" applyBorder="0" applyProtection="0">
      <alignment horizontal="right"/>
    </xf>
    <xf numFmtId="217" fontId="45" fillId="0" borderId="20" applyFont="0" applyFill="0" applyBorder="0" applyProtection="0">
      <alignment horizontal="right"/>
    </xf>
    <xf numFmtId="217" fontId="20" fillId="0" borderId="0" applyFont="0" applyFill="0" applyBorder="0" applyProtection="0">
      <alignment horizontal="right"/>
    </xf>
    <xf numFmtId="218" fontId="32" fillId="0" borderId="0" applyFont="0" applyFill="0" applyBorder="0" applyAlignment="0" applyProtection="0"/>
    <xf numFmtId="189" fontId="20" fillId="0" borderId="0" applyFont="0" applyFill="0" applyBorder="0" applyAlignment="0" applyProtection="0"/>
    <xf numFmtId="189" fontId="20" fillId="0" borderId="0" applyFont="0" applyFill="0" applyBorder="0" applyAlignment="0" applyProtection="0"/>
    <xf numFmtId="0" fontId="46" fillId="0" borderId="0" applyNumberFormat="0" applyFill="0" applyBorder="0" applyAlignment="0" applyProtection="0"/>
    <xf numFmtId="0" fontId="20" fillId="0" borderId="0"/>
    <xf numFmtId="0" fontId="20" fillId="0" borderId="0"/>
    <xf numFmtId="0" fontId="47" fillId="0" borderId="0">
      <alignment horizontal="center" wrapText="1"/>
    </xf>
    <xf numFmtId="0" fontId="48" fillId="32" borderId="16">
      <alignment horizontal="center"/>
    </xf>
    <xf numFmtId="0" fontId="49" fillId="35" borderId="16">
      <alignment horizontal="center" vertical="center"/>
    </xf>
    <xf numFmtId="3" fontId="50" fillId="0" borderId="16"/>
    <xf numFmtId="4" fontId="50" fillId="0" borderId="16"/>
    <xf numFmtId="219" fontId="20" fillId="0" borderId="16">
      <alignment horizontal="center" vertical="center"/>
    </xf>
    <xf numFmtId="0" fontId="51" fillId="0" borderId="16">
      <alignment horizontal="center"/>
    </xf>
    <xf numFmtId="0" fontId="52" fillId="36" borderId="16">
      <alignment horizontal="center"/>
    </xf>
    <xf numFmtId="0" fontId="47" fillId="0" borderId="0"/>
    <xf numFmtId="0" fontId="48" fillId="32" borderId="16"/>
    <xf numFmtId="0" fontId="49" fillId="35" borderId="16">
      <alignment horizontal="center" vertical="center"/>
    </xf>
    <xf numFmtId="0" fontId="53" fillId="0" borderId="0"/>
    <xf numFmtId="0" fontId="46" fillId="0" borderId="0" applyNumberFormat="0" applyFill="0" applyBorder="0" applyAlignment="0" applyProtection="0"/>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Alignment="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54" fillId="0" borderId="0" applyNumberFormat="0" applyFill="0" applyBorder="0" applyProtection="0">
      <alignment vertical="top"/>
    </xf>
    <xf numFmtId="0" fontId="20" fillId="0" borderId="0" applyNumberFormat="0" applyFill="0" applyBorder="0" applyProtection="0">
      <alignment vertical="top"/>
    </xf>
    <xf numFmtId="0" fontId="45" fillId="0" borderId="20" applyNumberFormat="0" applyFill="0" applyAlignment="0" applyProtection="0"/>
    <xf numFmtId="0" fontId="20" fillId="0" borderId="0"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21" applyNumberFormat="0" applyFill="0" applyAlignment="0" applyProtection="0"/>
    <xf numFmtId="0" fontId="45" fillId="0" borderId="20" applyNumberFormat="0" applyFill="0" applyAlignment="0" applyProtection="0"/>
    <xf numFmtId="0" fontId="45" fillId="0" borderId="20" applyNumberFormat="0" applyFill="0" applyAlignment="0" applyProtection="0"/>
    <xf numFmtId="0" fontId="45" fillId="0" borderId="20" applyNumberFormat="0" applyFill="0" applyAlignment="0" applyProtection="0"/>
    <xf numFmtId="0" fontId="45" fillId="0" borderId="20" applyNumberFormat="0" applyFill="0" applyAlignment="0" applyProtection="0"/>
    <xf numFmtId="0" fontId="55" fillId="0" borderId="22" applyNumberFormat="0" applyFill="0" applyProtection="0">
      <alignment horizontal="center"/>
    </xf>
    <xf numFmtId="0" fontId="20" fillId="0" borderId="0" applyNumberFormat="0" applyFill="0" applyProtection="0">
      <alignment horizontal="center"/>
    </xf>
    <xf numFmtId="0" fontId="56" fillId="0" borderId="23" applyNumberFormat="0" applyFill="0" applyProtection="0">
      <alignment horizontal="center"/>
    </xf>
    <xf numFmtId="0" fontId="20" fillId="0" borderId="0" applyNumberFormat="0" applyFill="0" applyProtection="0">
      <alignment horizontal="center"/>
    </xf>
    <xf numFmtId="0" fontId="55" fillId="0" borderId="22" applyNumberFormat="0" applyFill="0" applyProtection="0">
      <alignment horizontal="center"/>
    </xf>
    <xf numFmtId="0" fontId="20" fillId="0" borderId="0" applyNumberFormat="0" applyFill="0" applyProtection="0">
      <alignment horizontal="center"/>
    </xf>
    <xf numFmtId="0" fontId="55" fillId="0" borderId="22" applyNumberFormat="0" applyFill="0" applyProtection="0">
      <alignment horizontal="center"/>
    </xf>
    <xf numFmtId="0" fontId="20" fillId="0" borderId="0" applyNumberFormat="0" applyFill="0" applyProtection="0">
      <alignment horizontal="center"/>
    </xf>
    <xf numFmtId="0" fontId="57" fillId="0" borderId="23" applyNumberFormat="0" applyFill="0" applyProtection="0">
      <alignment horizontal="center"/>
    </xf>
    <xf numFmtId="0" fontId="20" fillId="0" borderId="0" applyNumberFormat="0" applyFill="0" applyProtection="0">
      <alignment horizontal="center"/>
    </xf>
    <xf numFmtId="0" fontId="55" fillId="0" borderId="0" applyNumberFormat="0" applyFill="0" applyBorder="0" applyProtection="0">
      <alignment horizontal="left"/>
    </xf>
    <xf numFmtId="0" fontId="20" fillId="0" borderId="0" applyNumberFormat="0" applyFill="0" applyBorder="0" applyProtection="0">
      <alignment horizontal="left"/>
    </xf>
    <xf numFmtId="0" fontId="55" fillId="0" borderId="0" applyNumberFormat="0" applyFill="0" applyBorder="0" applyProtection="0">
      <alignment horizontal="left"/>
    </xf>
    <xf numFmtId="0" fontId="20" fillId="0" borderId="0" applyNumberFormat="0" applyFill="0" applyBorder="0" applyProtection="0">
      <alignment horizontal="left"/>
    </xf>
    <xf numFmtId="0" fontId="55" fillId="0" borderId="0" applyNumberFormat="0" applyFill="0" applyBorder="0" applyProtection="0">
      <alignment horizontal="left"/>
    </xf>
    <xf numFmtId="0" fontId="20" fillId="0" borderId="0" applyNumberFormat="0" applyFill="0" applyBorder="0" applyProtection="0">
      <alignment horizontal="left"/>
    </xf>
    <xf numFmtId="0" fontId="58" fillId="0" borderId="0" applyNumberFormat="0" applyFill="0" applyBorder="0" applyProtection="0">
      <alignment horizontal="centerContinuous"/>
    </xf>
    <xf numFmtId="0" fontId="20" fillId="0" borderId="0" applyNumberFormat="0" applyFill="0" applyBorder="0" applyProtection="0">
      <alignment horizontal="centerContinuous"/>
    </xf>
    <xf numFmtId="0" fontId="58" fillId="0" borderId="0" applyNumberFormat="0" applyFill="0" applyProtection="0">
      <alignment horizontal="centerContinuous"/>
    </xf>
    <xf numFmtId="0" fontId="58" fillId="0" borderId="0" applyNumberFormat="0" applyFill="0" applyProtection="0">
      <alignment horizontal="centerContinuous"/>
    </xf>
    <xf numFmtId="0" fontId="58" fillId="0" borderId="0" applyNumberFormat="0" applyFill="0" applyBorder="0" applyProtection="0">
      <alignment horizontal="centerContinuous"/>
    </xf>
    <xf numFmtId="0" fontId="59" fillId="0" borderId="0" applyNumberFormat="0" applyFill="0" applyBorder="0" applyProtection="0">
      <alignment horizontal="centerContinuous"/>
    </xf>
    <xf numFmtId="0" fontId="20" fillId="0" borderId="0" applyNumberFormat="0" applyFill="0" applyBorder="0" applyProtection="0">
      <alignment horizontal="centerContinuous"/>
    </xf>
    <xf numFmtId="0" fontId="58" fillId="0" borderId="0" applyNumberFormat="0" applyFill="0" applyBorder="0" applyProtection="0">
      <alignment horizontal="centerContinuous"/>
    </xf>
    <xf numFmtId="0" fontId="58" fillId="0" borderId="0" applyNumberFormat="0" applyFill="0" applyBorder="0" applyProtection="0">
      <alignment horizontal="centerContinuous"/>
    </xf>
    <xf numFmtId="0" fontId="20" fillId="0" borderId="0" applyNumberFormat="0" applyFill="0" applyBorder="0" applyProtection="0">
      <alignment horizontal="centerContinuous"/>
    </xf>
    <xf numFmtId="0" fontId="58" fillId="0" borderId="0" applyNumberFormat="0" applyFill="0" applyBorder="0" applyProtection="0">
      <alignment horizontal="centerContinuous"/>
    </xf>
    <xf numFmtId="0" fontId="58" fillId="0" borderId="0" applyNumberFormat="0" applyFill="0" applyBorder="0" applyProtection="0">
      <alignment horizontal="centerContinuous"/>
    </xf>
    <xf numFmtId="0" fontId="58" fillId="0" borderId="0" applyNumberFormat="0" applyFill="0" applyBorder="0" applyProtection="0">
      <alignment horizontal="centerContinuous"/>
    </xf>
    <xf numFmtId="0" fontId="20" fillId="0" borderId="0" applyNumberFormat="0" applyFill="0" applyBorder="0" applyProtection="0">
      <alignment horizontal="centerContinuous"/>
    </xf>
    <xf numFmtId="0" fontId="59" fillId="0" borderId="0" applyNumberFormat="0" applyFill="0" applyBorder="0" applyProtection="0">
      <alignment horizontal="centerContinuous"/>
    </xf>
    <xf numFmtId="0" fontId="20" fillId="0" borderId="0" applyNumberFormat="0" applyFill="0" applyBorder="0" applyProtection="0">
      <alignment horizontal="centerContinuous"/>
    </xf>
    <xf numFmtId="0" fontId="46" fillId="0" borderId="0" applyNumberFormat="0" applyFill="0" applyBorder="0" applyAlignment="0" applyProtection="0"/>
    <xf numFmtId="0" fontId="20" fillId="0" borderId="0"/>
    <xf numFmtId="0" fontId="20" fillId="0" borderId="0"/>
    <xf numFmtId="0" fontId="20" fillId="0" borderId="0"/>
    <xf numFmtId="0" fontId="20" fillId="0" borderId="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0" fontId="60" fillId="0" borderId="0" applyNumberFormat="0" applyFill="0" applyBorder="0" applyAlignment="0" applyProtection="0"/>
    <xf numFmtId="220" fontId="20" fillId="0" borderId="0">
      <alignment horizontal="left" wrapText="1"/>
    </xf>
    <xf numFmtId="220" fontId="20" fillId="0" borderId="0">
      <alignment horizontal="left" wrapText="1"/>
    </xf>
    <xf numFmtId="0" fontId="20" fillId="0" borderId="0"/>
    <xf numFmtId="0" fontId="61" fillId="0" borderId="0"/>
    <xf numFmtId="0" fontId="61" fillId="0" borderId="0"/>
    <xf numFmtId="0" fontId="30" fillId="0" borderId="0"/>
    <xf numFmtId="0" fontId="30" fillId="0" borderId="0"/>
    <xf numFmtId="0" fontId="62" fillId="0" borderId="0">
      <alignment horizontal="right"/>
    </xf>
    <xf numFmtId="0" fontId="62" fillId="0" borderId="0">
      <alignment horizontal="right"/>
    </xf>
    <xf numFmtId="221" fontId="46" fillId="0" borderId="0" applyFont="0" applyFill="0" applyBorder="0" applyAlignment="0" applyProtection="0"/>
    <xf numFmtId="221" fontId="46" fillId="0" borderId="0" applyFont="0" applyFill="0" applyBorder="0" applyAlignment="0" applyProtection="0"/>
    <xf numFmtId="222" fontId="63" fillId="0" borderId="0" applyFont="0" applyFill="0" applyBorder="0" applyAlignment="0" applyProtection="0"/>
    <xf numFmtId="222" fontId="20" fillId="0" borderId="0" applyFont="0" applyFill="0" applyBorder="0" applyAlignment="0" applyProtection="0"/>
    <xf numFmtId="223" fontId="63" fillId="0" borderId="0" applyFont="0" applyFill="0" applyBorder="0" applyAlignment="0" applyProtection="0"/>
    <xf numFmtId="223" fontId="20" fillId="0" borderId="0" applyFont="0" applyFill="0" applyBorder="0" applyAlignment="0" applyProtection="0"/>
    <xf numFmtId="224" fontId="63" fillId="0" borderId="0" applyFont="0" applyFill="0" applyBorder="0" applyAlignment="0" applyProtection="0"/>
    <xf numFmtId="224" fontId="20" fillId="0" borderId="0" applyFont="0" applyFill="0" applyBorder="0" applyAlignment="0" applyProtection="0"/>
    <xf numFmtId="225" fontId="63" fillId="0" borderId="0" applyFont="0" applyFill="0" applyBorder="0" applyAlignment="0" applyProtection="0"/>
    <xf numFmtId="225" fontId="20" fillId="0" borderId="0" applyFont="0" applyFill="0" applyBorder="0" applyAlignment="0" applyProtection="0"/>
    <xf numFmtId="226" fontId="63" fillId="0" borderId="0" applyFont="0" applyFill="0" applyBorder="0" applyAlignment="0" applyProtection="0"/>
    <xf numFmtId="226" fontId="20" fillId="0" borderId="0" applyFont="0" applyFill="0" applyBorder="0" applyAlignment="0" applyProtection="0"/>
    <xf numFmtId="227" fontId="64" fillId="0" borderId="0" applyFont="0" applyFill="0" applyBorder="0" applyAlignment="0" applyProtection="0"/>
    <xf numFmtId="227" fontId="20" fillId="0" borderId="0" applyFont="0" applyFill="0" applyBorder="0" applyAlignment="0" applyProtection="0"/>
    <xf numFmtId="0" fontId="20" fillId="0" borderId="0"/>
    <xf numFmtId="41" fontId="20" fillId="0" borderId="0" applyFont="0" applyFill="0" applyBorder="0" applyAlignment="0" applyProtection="0"/>
    <xf numFmtId="43" fontId="20" fillId="0" borderId="0" applyFont="0" applyFill="0" applyBorder="0" applyAlignment="0" applyProtection="0"/>
    <xf numFmtId="228" fontId="46" fillId="0" borderId="0" applyFont="0" applyFill="0" applyBorder="0" applyAlignment="0" applyProtection="0"/>
    <xf numFmtId="228" fontId="46" fillId="0" borderId="0" applyFont="0" applyFill="0" applyBorder="0" applyAlignment="0" applyProtection="0"/>
    <xf numFmtId="0" fontId="32" fillId="0" borderId="0">
      <alignment vertical="top"/>
    </xf>
    <xf numFmtId="0" fontId="65" fillId="0" borderId="0"/>
    <xf numFmtId="0" fontId="66" fillId="0" borderId="0"/>
    <xf numFmtId="0" fontId="65" fillId="0" borderId="0"/>
    <xf numFmtId="0" fontId="67" fillId="0" borderId="0" applyNumberFormat="0" applyFill="0" applyBorder="0" applyAlignment="0" applyProtection="0">
      <alignment vertical="top"/>
      <protection locked="0"/>
    </xf>
    <xf numFmtId="43" fontId="24" fillId="0" borderId="0" applyFont="0" applyFill="0" applyBorder="0" applyAlignment="0" applyProtection="0"/>
    <xf numFmtId="0" fontId="65" fillId="0" borderId="0"/>
    <xf numFmtId="229" fontId="35" fillId="0" borderId="0"/>
    <xf numFmtId="1" fontId="20" fillId="0" borderId="0"/>
    <xf numFmtId="9" fontId="20" fillId="0" borderId="0"/>
    <xf numFmtId="230" fontId="68" fillId="0" borderId="0">
      <alignment horizontal="center"/>
    </xf>
    <xf numFmtId="231" fontId="68" fillId="0" borderId="0">
      <alignment horizontal="center"/>
    </xf>
    <xf numFmtId="232" fontId="68" fillId="0" borderId="0">
      <alignment horizontal="center"/>
    </xf>
    <xf numFmtId="233" fontId="46" fillId="0" borderId="0">
      <alignment horizontal="center"/>
    </xf>
    <xf numFmtId="234" fontId="68" fillId="0" borderId="0">
      <alignment horizontal="center"/>
    </xf>
    <xf numFmtId="235" fontId="68" fillId="0" borderId="0">
      <alignment horizontal="center"/>
    </xf>
    <xf numFmtId="191" fontId="35" fillId="0" borderId="0"/>
    <xf numFmtId="236" fontId="69" fillId="0" borderId="0">
      <alignment horizontal="left"/>
      <protection locked="0"/>
    </xf>
    <xf numFmtId="165" fontId="35" fillId="0" borderId="0"/>
    <xf numFmtId="2" fontId="35" fillId="0" borderId="0"/>
    <xf numFmtId="10" fontId="35" fillId="0" borderId="0"/>
    <xf numFmtId="2" fontId="35" fillId="0" borderId="0"/>
    <xf numFmtId="1" fontId="70" fillId="0" borderId="0"/>
    <xf numFmtId="1" fontId="20" fillId="0" borderId="0"/>
    <xf numFmtId="229" fontId="35" fillId="0" borderId="0"/>
    <xf numFmtId="229"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1" fontId="35" fillId="0" borderId="0"/>
    <xf numFmtId="1" fontId="35" fillId="0" borderId="0"/>
    <xf numFmtId="1" fontId="20" fillId="0" borderId="0"/>
    <xf numFmtId="1" fontId="35" fillId="0" borderId="0"/>
    <xf numFmtId="1" fontId="35" fillId="0" borderId="0"/>
    <xf numFmtId="1" fontId="35" fillId="0" borderId="0"/>
    <xf numFmtId="1" fontId="35" fillId="0" borderId="0"/>
    <xf numFmtId="1" fontId="20" fillId="0" borderId="0"/>
    <xf numFmtId="1" fontId="35" fillId="0" borderId="0"/>
    <xf numFmtId="1" fontId="35" fillId="0" borderId="0"/>
    <xf numFmtId="1" fontId="20" fillId="0" borderId="0"/>
    <xf numFmtId="1" fontId="35" fillId="0" borderId="0"/>
    <xf numFmtId="1" fontId="20" fillId="0" borderId="0"/>
    <xf numFmtId="1" fontId="35" fillId="0" borderId="0"/>
    <xf numFmtId="237" fontId="68" fillId="0" borderId="0">
      <alignment horizontal="center"/>
    </xf>
    <xf numFmtId="238" fontId="68" fillId="0" borderId="0">
      <alignment horizontal="center"/>
    </xf>
    <xf numFmtId="230" fontId="68" fillId="0" borderId="0">
      <alignment horizontal="center"/>
    </xf>
    <xf numFmtId="239" fontId="46" fillId="0" borderId="0">
      <alignment horizontal="center"/>
    </xf>
    <xf numFmtId="240" fontId="71" fillId="0" borderId="0">
      <alignment horizontal="left"/>
    </xf>
    <xf numFmtId="241" fontId="72" fillId="0" borderId="0">
      <alignment horizontal="left"/>
    </xf>
    <xf numFmtId="192" fontId="20" fillId="0" borderId="0"/>
    <xf numFmtId="242" fontId="20" fillId="0" borderId="0" applyFont="0" applyFill="0" applyBorder="0" applyAlignment="0" applyProtection="0"/>
    <xf numFmtId="191" fontId="29" fillId="0" borderId="0"/>
    <xf numFmtId="191" fontId="29" fillId="0" borderId="0"/>
    <xf numFmtId="191" fontId="20" fillId="0" borderId="0"/>
    <xf numFmtId="191" fontId="29" fillId="0" borderId="0"/>
    <xf numFmtId="191" fontId="29" fillId="0" borderId="0"/>
    <xf numFmtId="191" fontId="29" fillId="0" borderId="0"/>
    <xf numFmtId="243" fontId="20" fillId="0" borderId="0" applyFont="0" applyFill="0" applyBorder="0" applyAlignment="0" applyProtection="0"/>
    <xf numFmtId="180" fontId="20" fillId="0" borderId="0" applyFont="0" applyFill="0" applyBorder="0" applyAlignment="0" applyProtection="0"/>
    <xf numFmtId="244" fontId="19" fillId="0" borderId="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5"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9"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3"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17"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1"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15" fillId="25" borderId="0" applyNumberFormat="0" applyBorder="0" applyAlignment="0" applyProtection="0"/>
    <xf numFmtId="0" fontId="73" fillId="37" borderId="0" applyNumberFormat="0" applyBorder="0" applyAlignment="0" applyProtection="0"/>
    <xf numFmtId="0" fontId="73" fillId="38" borderId="0" applyNumberFormat="0" applyBorder="0" applyAlignment="0" applyProtection="0"/>
    <xf numFmtId="0" fontId="73" fillId="39" borderId="0" applyNumberFormat="0" applyBorder="0" applyAlignment="0" applyProtection="0"/>
    <xf numFmtId="0" fontId="73" fillId="40" borderId="0" applyNumberFormat="0" applyBorder="0" applyAlignment="0" applyProtection="0"/>
    <xf numFmtId="0" fontId="73" fillId="41" borderId="0" applyNumberFormat="0" applyBorder="0" applyAlignment="0" applyProtection="0"/>
    <xf numFmtId="0" fontId="73" fillId="42" borderId="0" applyNumberFormat="0" applyBorder="0" applyAlignment="0" applyProtection="0"/>
    <xf numFmtId="0" fontId="74" fillId="43" borderId="0" applyNumberFormat="0" applyBorder="0" applyAlignment="0" applyProtection="0"/>
    <xf numFmtId="0" fontId="74" fillId="42" borderId="0" applyNumberFormat="0" applyBorder="0" applyAlignment="0" applyProtection="0"/>
    <xf numFmtId="0" fontId="74" fillId="44" borderId="0" applyNumberFormat="0" applyBorder="0" applyAlignment="0" applyProtection="0"/>
    <xf numFmtId="0" fontId="74" fillId="43" borderId="0" applyNumberFormat="0" applyBorder="0" applyAlignment="0" applyProtection="0"/>
    <xf numFmtId="0" fontId="74" fillId="41" borderId="0" applyNumberFormat="0" applyBorder="0" applyAlignment="0" applyProtection="0"/>
    <xf numFmtId="0" fontId="74" fillId="42" borderId="0" applyNumberFormat="0" applyBorder="0" applyAlignment="0" applyProtection="0"/>
    <xf numFmtId="0" fontId="75" fillId="37" borderId="0" applyNumberFormat="0" applyBorder="0" applyAlignment="0" applyProtection="0"/>
    <xf numFmtId="0" fontId="20" fillId="0" borderId="0" applyNumberFormat="0" applyBorder="0" applyAlignment="0" applyProtection="0"/>
    <xf numFmtId="0" fontId="75" fillId="38" borderId="0" applyNumberFormat="0" applyBorder="0" applyAlignment="0" applyProtection="0"/>
    <xf numFmtId="0" fontId="20" fillId="0" borderId="0" applyNumberFormat="0" applyBorder="0" applyAlignment="0" applyProtection="0"/>
    <xf numFmtId="0" fontId="75" fillId="39" borderId="0" applyNumberFormat="0" applyBorder="0" applyAlignment="0" applyProtection="0"/>
    <xf numFmtId="0" fontId="20" fillId="0" borderId="0" applyNumberFormat="0" applyBorder="0" applyAlignment="0" applyProtection="0"/>
    <xf numFmtId="0" fontId="75" fillId="40" borderId="0" applyNumberFormat="0" applyBorder="0" applyAlignment="0" applyProtection="0"/>
    <xf numFmtId="0" fontId="20" fillId="0" borderId="0" applyNumberFormat="0" applyBorder="0" applyAlignment="0" applyProtection="0"/>
    <xf numFmtId="0" fontId="75" fillId="41" borderId="0" applyNumberFormat="0" applyBorder="0" applyAlignment="0" applyProtection="0"/>
    <xf numFmtId="0" fontId="20" fillId="0" borderId="0" applyNumberFormat="0" applyBorder="0" applyAlignment="0" applyProtection="0"/>
    <xf numFmtId="0" fontId="75" fillId="42" borderId="0" applyNumberFormat="0" applyBorder="0" applyAlignment="0" applyProtection="0"/>
    <xf numFmtId="0" fontId="20" fillId="0" borderId="0" applyNumberFormat="0" applyBorder="0" applyAlignment="0" applyProtection="0"/>
    <xf numFmtId="245" fontId="29" fillId="0" borderId="0"/>
    <xf numFmtId="245" fontId="29" fillId="0" borderId="0"/>
    <xf numFmtId="245" fontId="20" fillId="0" borderId="0"/>
    <xf numFmtId="245" fontId="29" fillId="0" borderId="0"/>
    <xf numFmtId="245" fontId="29" fillId="0" borderId="0"/>
    <xf numFmtId="245" fontId="29" fillId="0" borderId="0"/>
    <xf numFmtId="40" fontId="29" fillId="0" borderId="0"/>
    <xf numFmtId="40" fontId="29" fillId="0" borderId="0"/>
    <xf numFmtId="40" fontId="20" fillId="0" borderId="0"/>
    <xf numFmtId="40" fontId="29" fillId="0" borderId="0"/>
    <xf numFmtId="40" fontId="29" fillId="0" borderId="0"/>
    <xf numFmtId="40" fontId="29" fillId="0" borderId="0"/>
    <xf numFmtId="246" fontId="19" fillId="0" borderId="0" applyBorder="0"/>
    <xf numFmtId="42" fontId="20" fillId="0" borderId="0" applyFont="0" applyFill="0" applyBorder="0" applyAlignment="0" applyProtection="0"/>
    <xf numFmtId="44" fontId="20" fillId="0" borderId="0" applyFont="0" applyFill="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6"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15" fillId="10"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15" fillId="1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15" fillId="18"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15" fillId="2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2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0" fontId="15" fillId="26"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5" fillId="45" borderId="0" applyNumberFormat="0" applyBorder="0" applyAlignment="0" applyProtection="0"/>
    <xf numFmtId="0" fontId="20" fillId="0" borderId="0" applyNumberFormat="0" applyBorder="0" applyAlignment="0" applyProtection="0"/>
    <xf numFmtId="0" fontId="75" fillId="46" borderId="0" applyNumberFormat="0" applyBorder="0" applyAlignment="0" applyProtection="0"/>
    <xf numFmtId="0" fontId="20" fillId="0" borderId="0" applyNumberFormat="0" applyBorder="0" applyAlignment="0" applyProtection="0"/>
    <xf numFmtId="0" fontId="75" fillId="47" borderId="0" applyNumberFormat="0" applyBorder="0" applyAlignment="0" applyProtection="0"/>
    <xf numFmtId="0" fontId="20" fillId="0" borderId="0" applyNumberFormat="0" applyBorder="0" applyAlignment="0" applyProtection="0"/>
    <xf numFmtId="0" fontId="75" fillId="40" borderId="0" applyNumberFormat="0" applyBorder="0" applyAlignment="0" applyProtection="0"/>
    <xf numFmtId="0" fontId="20" fillId="0" borderId="0" applyNumberFormat="0" applyBorder="0" applyAlignment="0" applyProtection="0"/>
    <xf numFmtId="0" fontId="75" fillId="45" borderId="0" applyNumberFormat="0" applyBorder="0" applyAlignment="0" applyProtection="0"/>
    <xf numFmtId="0" fontId="20" fillId="0" borderId="0" applyNumberFormat="0" applyBorder="0" applyAlignment="0" applyProtection="0"/>
    <xf numFmtId="0" fontId="75" fillId="48" borderId="0" applyNumberFormat="0" applyBorder="0" applyAlignment="0" applyProtection="0"/>
    <xf numFmtId="0" fontId="20" fillId="0" borderId="0" applyNumberFormat="0" applyBorder="0" applyAlignment="0" applyProtection="0"/>
    <xf numFmtId="0" fontId="20" fillId="0" borderId="0"/>
    <xf numFmtId="0" fontId="20" fillId="0" borderId="0"/>
    <xf numFmtId="0" fontId="20" fillId="0" borderId="0"/>
    <xf numFmtId="0" fontId="20" fillId="0" borderId="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20" fillId="0" borderId="0"/>
    <xf numFmtId="0"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247"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247"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0" fontId="20" fillId="0" borderId="0"/>
    <xf numFmtId="247"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0" fontId="77" fillId="49" borderId="0" applyNumberFormat="0" applyBorder="0" applyAlignment="0" applyProtection="0"/>
    <xf numFmtId="247" fontId="77" fillId="49" borderId="0" applyNumberFormat="0" applyBorder="0" applyAlignment="0" applyProtection="0"/>
    <xf numFmtId="0" fontId="77" fillId="49" borderId="0" applyNumberFormat="0" applyBorder="0" applyAlignment="0" applyProtection="0"/>
    <xf numFmtId="0" fontId="20" fillId="0" borderId="0"/>
    <xf numFmtId="247" fontId="77" fillId="49"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247" fontId="77" fillId="49" borderId="0" applyNumberFormat="0" applyBorder="0" applyAlignment="0" applyProtection="0"/>
    <xf numFmtId="0" fontId="76" fillId="7" borderId="0" applyNumberFormat="0" applyBorder="0" applyAlignment="0" applyProtection="0"/>
    <xf numFmtId="0" fontId="20" fillId="0" borderId="0"/>
    <xf numFmtId="247" fontId="77" fillId="49"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0" fontId="76" fillId="7" borderId="0" applyNumberFormat="0" applyBorder="0" applyAlignment="0" applyProtection="0"/>
    <xf numFmtId="247" fontId="77" fillId="49" borderId="0" applyNumberFormat="0" applyBorder="0" applyAlignment="0" applyProtection="0"/>
    <xf numFmtId="0" fontId="76" fillId="7" borderId="0" applyNumberFormat="0" applyBorder="0" applyAlignment="0" applyProtection="0"/>
    <xf numFmtId="0" fontId="20" fillId="0" borderId="0"/>
    <xf numFmtId="0" fontId="77" fillId="49" borderId="0" applyNumberFormat="0" applyBorder="0" applyAlignment="0" applyProtection="0"/>
    <xf numFmtId="0" fontId="77" fillId="49"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20" fillId="0" borderId="0"/>
    <xf numFmtId="0"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247"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247"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20" fillId="0" borderId="0"/>
    <xf numFmtId="247"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247" fontId="77" fillId="46" borderId="0" applyNumberFormat="0" applyBorder="0" applyAlignment="0" applyProtection="0"/>
    <xf numFmtId="0" fontId="77" fillId="46" borderId="0" applyNumberFormat="0" applyBorder="0" applyAlignment="0" applyProtection="0"/>
    <xf numFmtId="0" fontId="20" fillId="0" borderId="0"/>
    <xf numFmtId="247" fontId="77" fillId="46"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247" fontId="77" fillId="46" borderId="0" applyNumberFormat="0" applyBorder="0" applyAlignment="0" applyProtection="0"/>
    <xf numFmtId="0" fontId="76" fillId="11" borderId="0" applyNumberFormat="0" applyBorder="0" applyAlignment="0" applyProtection="0"/>
    <xf numFmtId="0" fontId="20" fillId="0" borderId="0"/>
    <xf numFmtId="247" fontId="77" fillId="46"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0" fontId="76" fillId="11" borderId="0" applyNumberFormat="0" applyBorder="0" applyAlignment="0" applyProtection="0"/>
    <xf numFmtId="247" fontId="77" fillId="46" borderId="0" applyNumberFormat="0" applyBorder="0" applyAlignment="0" applyProtection="0"/>
    <xf numFmtId="0" fontId="76" fillId="11" borderId="0" applyNumberFormat="0" applyBorder="0" applyAlignment="0" applyProtection="0"/>
    <xf numFmtId="0" fontId="20" fillId="0" borderId="0"/>
    <xf numFmtId="0" fontId="77" fillId="46" borderId="0" applyNumberFormat="0" applyBorder="0" applyAlignment="0" applyProtection="0"/>
    <xf numFmtId="0" fontId="77" fillId="46"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20" fillId="0" borderId="0"/>
    <xf numFmtId="0"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247"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247"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20" fillId="0" borderId="0"/>
    <xf numFmtId="247"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0" fontId="77" fillId="47" borderId="0" applyNumberFormat="0" applyBorder="0" applyAlignment="0" applyProtection="0"/>
    <xf numFmtId="247" fontId="77" fillId="47" borderId="0" applyNumberFormat="0" applyBorder="0" applyAlignment="0" applyProtection="0"/>
    <xf numFmtId="0" fontId="77" fillId="47" borderId="0" applyNumberFormat="0" applyBorder="0" applyAlignment="0" applyProtection="0"/>
    <xf numFmtId="0" fontId="20" fillId="0" borderId="0"/>
    <xf numFmtId="247" fontId="77" fillId="47"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247" fontId="77" fillId="47" borderId="0" applyNumberFormat="0" applyBorder="0" applyAlignment="0" applyProtection="0"/>
    <xf numFmtId="0" fontId="76" fillId="15" borderId="0" applyNumberFormat="0" applyBorder="0" applyAlignment="0" applyProtection="0"/>
    <xf numFmtId="0" fontId="20" fillId="0" borderId="0"/>
    <xf numFmtId="247" fontId="77" fillId="47"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0" fontId="76" fillId="15" borderId="0" applyNumberFormat="0" applyBorder="0" applyAlignment="0" applyProtection="0"/>
    <xf numFmtId="247" fontId="77" fillId="47" borderId="0" applyNumberFormat="0" applyBorder="0" applyAlignment="0" applyProtection="0"/>
    <xf numFmtId="0" fontId="76" fillId="15" borderId="0" applyNumberFormat="0" applyBorder="0" applyAlignment="0" applyProtection="0"/>
    <xf numFmtId="0" fontId="20" fillId="0" borderId="0"/>
    <xf numFmtId="0" fontId="77" fillId="47" borderId="0" applyNumberFormat="0" applyBorder="0" applyAlignment="0" applyProtection="0"/>
    <xf numFmtId="0" fontId="77" fillId="47"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20" fillId="0" borderId="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20" fillId="0" borderId="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20" fillId="0" borderId="0"/>
    <xf numFmtId="247" fontId="77" fillId="50"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247" fontId="77" fillId="50" borderId="0" applyNumberFormat="0" applyBorder="0" applyAlignment="0" applyProtection="0"/>
    <xf numFmtId="0" fontId="76" fillId="19" borderId="0" applyNumberFormat="0" applyBorder="0" applyAlignment="0" applyProtection="0"/>
    <xf numFmtId="0" fontId="20" fillId="0" borderId="0"/>
    <xf numFmtId="247" fontId="77" fillId="50"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0" fontId="76" fillId="19" borderId="0" applyNumberFormat="0" applyBorder="0" applyAlignment="0" applyProtection="0"/>
    <xf numFmtId="247" fontId="77" fillId="50" borderId="0" applyNumberFormat="0" applyBorder="0" applyAlignment="0" applyProtection="0"/>
    <xf numFmtId="0" fontId="76" fillId="19" borderId="0" applyNumberFormat="0" applyBorder="0" applyAlignment="0" applyProtection="0"/>
    <xf numFmtId="0" fontId="20" fillId="0" borderId="0"/>
    <xf numFmtId="0" fontId="77" fillId="50" borderId="0" applyNumberFormat="0" applyBorder="0" applyAlignment="0" applyProtection="0"/>
    <xf numFmtId="0" fontId="77" fillId="50"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20" fillId="0" borderId="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20" fillId="0" borderId="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20" fillId="0" borderId="0"/>
    <xf numFmtId="247" fontId="77" fillId="51"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247" fontId="77" fillId="51" borderId="0" applyNumberFormat="0" applyBorder="0" applyAlignment="0" applyProtection="0"/>
    <xf numFmtId="0" fontId="76" fillId="23" borderId="0" applyNumberFormat="0" applyBorder="0" applyAlignment="0" applyProtection="0"/>
    <xf numFmtId="0" fontId="20" fillId="0" borderId="0"/>
    <xf numFmtId="247" fontId="77" fillId="51"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0" fontId="76" fillId="23" borderId="0" applyNumberFormat="0" applyBorder="0" applyAlignment="0" applyProtection="0"/>
    <xf numFmtId="247" fontId="77" fillId="51" borderId="0" applyNumberFormat="0" applyBorder="0" applyAlignment="0" applyProtection="0"/>
    <xf numFmtId="0" fontId="76" fillId="23" borderId="0" applyNumberFormat="0" applyBorder="0" applyAlignment="0" applyProtection="0"/>
    <xf numFmtId="0" fontId="20" fillId="0" borderId="0"/>
    <xf numFmtId="0" fontId="77" fillId="51" borderId="0" applyNumberFormat="0" applyBorder="0" applyAlignment="0" applyProtection="0"/>
    <xf numFmtId="0" fontId="77" fillId="5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20" fillId="0" borderId="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247"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247"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20" fillId="0" borderId="0"/>
    <xf numFmtId="247"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247" fontId="77" fillId="52" borderId="0" applyNumberFormat="0" applyBorder="0" applyAlignment="0" applyProtection="0"/>
    <xf numFmtId="0" fontId="77" fillId="52" borderId="0" applyNumberFormat="0" applyBorder="0" applyAlignment="0" applyProtection="0"/>
    <xf numFmtId="0" fontId="20" fillId="0" borderId="0"/>
    <xf numFmtId="247"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247" fontId="77" fillId="52" borderId="0" applyNumberFormat="0" applyBorder="0" applyAlignment="0" applyProtection="0"/>
    <xf numFmtId="0" fontId="76" fillId="27" borderId="0" applyNumberFormat="0" applyBorder="0" applyAlignment="0" applyProtection="0"/>
    <xf numFmtId="0" fontId="20" fillId="0" borderId="0"/>
    <xf numFmtId="247" fontId="77" fillId="52"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0" fontId="76" fillId="27" borderId="0" applyNumberFormat="0" applyBorder="0" applyAlignment="0" applyProtection="0"/>
    <xf numFmtId="247" fontId="77" fillId="52" borderId="0" applyNumberFormat="0" applyBorder="0" applyAlignment="0" applyProtection="0"/>
    <xf numFmtId="0" fontId="76" fillId="27" borderId="0" applyNumberFormat="0" applyBorder="0" applyAlignment="0" applyProtection="0"/>
    <xf numFmtId="0" fontId="20" fillId="0" borderId="0"/>
    <xf numFmtId="0" fontId="77" fillId="52" borderId="0" applyNumberFormat="0" applyBorder="0" applyAlignment="0" applyProtection="0"/>
    <xf numFmtId="0" fontId="77" fillId="52"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8" fillId="49" borderId="0" applyNumberFormat="0" applyBorder="0" applyAlignment="0" applyProtection="0"/>
    <xf numFmtId="0" fontId="20" fillId="0" borderId="0" applyNumberFormat="0" applyBorder="0" applyAlignment="0" applyProtection="0"/>
    <xf numFmtId="0" fontId="78" fillId="46" borderId="0" applyNumberFormat="0" applyBorder="0" applyAlignment="0" applyProtection="0"/>
    <xf numFmtId="0" fontId="20" fillId="0" borderId="0" applyNumberFormat="0" applyBorder="0" applyAlignment="0" applyProtection="0"/>
    <xf numFmtId="0" fontId="78" fillId="47" borderId="0" applyNumberFormat="0" applyBorder="0" applyAlignment="0" applyProtection="0"/>
    <xf numFmtId="0" fontId="20" fillId="0" borderId="0" applyNumberFormat="0" applyBorder="0" applyAlignment="0" applyProtection="0"/>
    <xf numFmtId="0" fontId="78" fillId="50" borderId="0" applyNumberFormat="0" applyBorder="0" applyAlignment="0" applyProtection="0"/>
    <xf numFmtId="0" fontId="20" fillId="0" borderId="0" applyNumberFormat="0" applyBorder="0" applyAlignment="0" applyProtection="0"/>
    <xf numFmtId="0" fontId="78" fillId="51" borderId="0" applyNumberFormat="0" applyBorder="0" applyAlignment="0" applyProtection="0"/>
    <xf numFmtId="0" fontId="20" fillId="0" borderId="0" applyNumberFormat="0" applyBorder="0" applyAlignment="0" applyProtection="0"/>
    <xf numFmtId="0" fontId="78" fillId="52" borderId="0" applyNumberFormat="0" applyBorder="0" applyAlignment="0" applyProtection="0"/>
    <xf numFmtId="0" fontId="20" fillId="0"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20" fillId="0" borderId="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247"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247"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20" fillId="0" borderId="0"/>
    <xf numFmtId="247"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247" fontId="77" fillId="53" borderId="0" applyNumberFormat="0" applyBorder="0" applyAlignment="0" applyProtection="0"/>
    <xf numFmtId="0" fontId="77" fillId="53" borderId="0" applyNumberFormat="0" applyBorder="0" applyAlignment="0" applyProtection="0"/>
    <xf numFmtId="0" fontId="20" fillId="0" borderId="0"/>
    <xf numFmtId="247"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247" fontId="77" fillId="53" borderId="0" applyNumberFormat="0" applyBorder="0" applyAlignment="0" applyProtection="0"/>
    <xf numFmtId="0" fontId="76" fillId="4" borderId="0" applyNumberFormat="0" applyBorder="0" applyAlignment="0" applyProtection="0"/>
    <xf numFmtId="0" fontId="20" fillId="0" borderId="0"/>
    <xf numFmtId="247" fontId="77" fillId="53"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0" fontId="76" fillId="4" borderId="0" applyNumberFormat="0" applyBorder="0" applyAlignment="0" applyProtection="0"/>
    <xf numFmtId="247" fontId="77" fillId="53" borderId="0" applyNumberFormat="0" applyBorder="0" applyAlignment="0" applyProtection="0"/>
    <xf numFmtId="0" fontId="76" fillId="4" borderId="0" applyNumberFormat="0" applyBorder="0" applyAlignment="0" applyProtection="0"/>
    <xf numFmtId="0" fontId="20" fillId="0" borderId="0"/>
    <xf numFmtId="0" fontId="77" fillId="53" borderId="0" applyNumberFormat="0" applyBorder="0" applyAlignment="0" applyProtection="0"/>
    <xf numFmtId="0" fontId="77" fillId="53"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20" fillId="0" borderId="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247"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247"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20" fillId="0" borderId="0"/>
    <xf numFmtId="247"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247" fontId="77" fillId="54" borderId="0" applyNumberFormat="0" applyBorder="0" applyAlignment="0" applyProtection="0"/>
    <xf numFmtId="0" fontId="77" fillId="54" borderId="0" applyNumberFormat="0" applyBorder="0" applyAlignment="0" applyProtection="0"/>
    <xf numFmtId="0" fontId="20" fillId="0" borderId="0"/>
    <xf numFmtId="247" fontId="77" fillId="54"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247" fontId="77" fillId="54" borderId="0" applyNumberFormat="0" applyBorder="0" applyAlignment="0" applyProtection="0"/>
    <xf numFmtId="0" fontId="76" fillId="8" borderId="0" applyNumberFormat="0" applyBorder="0" applyAlignment="0" applyProtection="0"/>
    <xf numFmtId="0" fontId="20" fillId="0" borderId="0"/>
    <xf numFmtId="247" fontId="77" fillId="54"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0" fontId="76" fillId="8" borderId="0" applyNumberFormat="0" applyBorder="0" applyAlignment="0" applyProtection="0"/>
    <xf numFmtId="247" fontId="77" fillId="54" borderId="0" applyNumberFormat="0" applyBorder="0" applyAlignment="0" applyProtection="0"/>
    <xf numFmtId="0" fontId="76" fillId="8" borderId="0" applyNumberFormat="0" applyBorder="0" applyAlignment="0" applyProtection="0"/>
    <xf numFmtId="0" fontId="20" fillId="0" borderId="0"/>
    <xf numFmtId="0" fontId="77" fillId="54" borderId="0" applyNumberFormat="0" applyBorder="0" applyAlignment="0" applyProtection="0"/>
    <xf numFmtId="0" fontId="77" fillId="54"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20" fillId="0" borderId="0"/>
    <xf numFmtId="0"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247"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247"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20" fillId="0" borderId="0"/>
    <xf numFmtId="247"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247" fontId="77" fillId="55" borderId="0" applyNumberFormat="0" applyBorder="0" applyAlignment="0" applyProtection="0"/>
    <xf numFmtId="0" fontId="77" fillId="55" borderId="0" applyNumberFormat="0" applyBorder="0" applyAlignment="0" applyProtection="0"/>
    <xf numFmtId="0" fontId="20" fillId="0" borderId="0"/>
    <xf numFmtId="247" fontId="77" fillId="55"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247" fontId="77" fillId="55" borderId="0" applyNumberFormat="0" applyBorder="0" applyAlignment="0" applyProtection="0"/>
    <xf numFmtId="0" fontId="76" fillId="12" borderId="0" applyNumberFormat="0" applyBorder="0" applyAlignment="0" applyProtection="0"/>
    <xf numFmtId="0" fontId="20" fillId="0" borderId="0"/>
    <xf numFmtId="247" fontId="77" fillId="55"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0" fontId="76" fillId="12" borderId="0" applyNumberFormat="0" applyBorder="0" applyAlignment="0" applyProtection="0"/>
    <xf numFmtId="247" fontId="77" fillId="55" borderId="0" applyNumberFormat="0" applyBorder="0" applyAlignment="0" applyProtection="0"/>
    <xf numFmtId="0" fontId="76" fillId="12" borderId="0" applyNumberFormat="0" applyBorder="0" applyAlignment="0" applyProtection="0"/>
    <xf numFmtId="0" fontId="20" fillId="0" borderId="0"/>
    <xf numFmtId="0" fontId="77" fillId="55" borderId="0" applyNumberFormat="0" applyBorder="0" applyAlignment="0" applyProtection="0"/>
    <xf numFmtId="0" fontId="77" fillId="55"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20" fillId="0" borderId="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20" fillId="0" borderId="0"/>
    <xf numFmtId="247"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0" borderId="0" applyNumberFormat="0" applyBorder="0" applyAlignment="0" applyProtection="0"/>
    <xf numFmtId="247" fontId="77" fillId="50" borderId="0" applyNumberFormat="0" applyBorder="0" applyAlignment="0" applyProtection="0"/>
    <xf numFmtId="0" fontId="77" fillId="50" borderId="0" applyNumberFormat="0" applyBorder="0" applyAlignment="0" applyProtection="0"/>
    <xf numFmtId="0" fontId="20" fillId="0" borderId="0"/>
    <xf numFmtId="247" fontId="77" fillId="50"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247" fontId="77" fillId="50" borderId="0" applyNumberFormat="0" applyBorder="0" applyAlignment="0" applyProtection="0"/>
    <xf numFmtId="0" fontId="76" fillId="16" borderId="0" applyNumberFormat="0" applyBorder="0" applyAlignment="0" applyProtection="0"/>
    <xf numFmtId="0" fontId="20" fillId="0" borderId="0"/>
    <xf numFmtId="247" fontId="77" fillId="50"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0" fontId="76" fillId="16" borderId="0" applyNumberFormat="0" applyBorder="0" applyAlignment="0" applyProtection="0"/>
    <xf numFmtId="247" fontId="77" fillId="50" borderId="0" applyNumberFormat="0" applyBorder="0" applyAlignment="0" applyProtection="0"/>
    <xf numFmtId="0" fontId="76" fillId="16" borderId="0" applyNumberFormat="0" applyBorder="0" applyAlignment="0" applyProtection="0"/>
    <xf numFmtId="0" fontId="20" fillId="0" borderId="0"/>
    <xf numFmtId="0" fontId="77" fillId="50" borderId="0" applyNumberFormat="0" applyBorder="0" applyAlignment="0" applyProtection="0"/>
    <xf numFmtId="0" fontId="77" fillId="50"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20" fillId="0" borderId="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20" fillId="0" borderId="0"/>
    <xf numFmtId="247"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247" fontId="77" fillId="51" borderId="0" applyNumberFormat="0" applyBorder="0" applyAlignment="0" applyProtection="0"/>
    <xf numFmtId="0" fontId="77" fillId="51" borderId="0" applyNumberFormat="0" applyBorder="0" applyAlignment="0" applyProtection="0"/>
    <xf numFmtId="0" fontId="20" fillId="0" borderId="0"/>
    <xf numFmtId="247" fontId="77" fillId="51"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247" fontId="77" fillId="51" borderId="0" applyNumberFormat="0" applyBorder="0" applyAlignment="0" applyProtection="0"/>
    <xf numFmtId="0" fontId="76" fillId="20" borderId="0" applyNumberFormat="0" applyBorder="0" applyAlignment="0" applyProtection="0"/>
    <xf numFmtId="0" fontId="20" fillId="0" borderId="0"/>
    <xf numFmtId="247" fontId="77" fillId="51"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0" fontId="76" fillId="20" borderId="0" applyNumberFormat="0" applyBorder="0" applyAlignment="0" applyProtection="0"/>
    <xf numFmtId="247" fontId="77" fillId="51" borderId="0" applyNumberFormat="0" applyBorder="0" applyAlignment="0" applyProtection="0"/>
    <xf numFmtId="0" fontId="76" fillId="20" borderId="0" applyNumberFormat="0" applyBorder="0" applyAlignment="0" applyProtection="0"/>
    <xf numFmtId="0" fontId="20" fillId="0" borderId="0"/>
    <xf numFmtId="0" fontId="77" fillId="51" borderId="0" applyNumberFormat="0" applyBorder="0" applyAlignment="0" applyProtection="0"/>
    <xf numFmtId="0" fontId="77" fillId="5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20" fillId="0" borderId="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247"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247"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20" fillId="0" borderId="0"/>
    <xf numFmtId="247"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0" fontId="77" fillId="56" borderId="0" applyNumberFormat="0" applyBorder="0" applyAlignment="0" applyProtection="0"/>
    <xf numFmtId="247" fontId="77" fillId="56" borderId="0" applyNumberFormat="0" applyBorder="0" applyAlignment="0" applyProtection="0"/>
    <xf numFmtId="0" fontId="77" fillId="56" borderId="0" applyNumberFormat="0" applyBorder="0" applyAlignment="0" applyProtection="0"/>
    <xf numFmtId="0" fontId="20" fillId="0" borderId="0"/>
    <xf numFmtId="247" fontId="77" fillId="56"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247" fontId="77" fillId="56" borderId="0" applyNumberFormat="0" applyBorder="0" applyAlignment="0" applyProtection="0"/>
    <xf numFmtId="0" fontId="76" fillId="24" borderId="0" applyNumberFormat="0" applyBorder="0" applyAlignment="0" applyProtection="0"/>
    <xf numFmtId="0" fontId="20" fillId="0" borderId="0"/>
    <xf numFmtId="247" fontId="77" fillId="56"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0" fontId="76" fillId="24" borderId="0" applyNumberFormat="0" applyBorder="0" applyAlignment="0" applyProtection="0"/>
    <xf numFmtId="247" fontId="77" fillId="56" borderId="0" applyNumberFormat="0" applyBorder="0" applyAlignment="0" applyProtection="0"/>
    <xf numFmtId="0" fontId="76" fillId="24" borderId="0" applyNumberFormat="0" applyBorder="0" applyAlignment="0" applyProtection="0"/>
    <xf numFmtId="0" fontId="20" fillId="0" borderId="0"/>
    <xf numFmtId="0" fontId="77" fillId="56" borderId="0" applyNumberFormat="0" applyBorder="0" applyAlignment="0" applyProtection="0"/>
    <xf numFmtId="0" fontId="77" fillId="56" borderId="0" applyNumberFormat="0" applyBorder="0" applyAlignment="0" applyProtection="0"/>
    <xf numFmtId="0" fontId="20" fillId="0" borderId="0"/>
    <xf numFmtId="0" fontId="20" fillId="0" borderId="0"/>
    <xf numFmtId="0" fontId="20" fillId="0" borderId="0"/>
    <xf numFmtId="248" fontId="24" fillId="0" borderId="3"/>
    <xf numFmtId="248" fontId="24" fillId="0" borderId="3"/>
    <xf numFmtId="248" fontId="20" fillId="0" borderId="0"/>
    <xf numFmtId="248" fontId="24" fillId="0" borderId="3"/>
    <xf numFmtId="248" fontId="24" fillId="0" borderId="3"/>
    <xf numFmtId="248" fontId="24" fillId="0" borderId="3"/>
    <xf numFmtId="42" fontId="79" fillId="0" borderId="0" applyFont="0"/>
    <xf numFmtId="42" fontId="79" fillId="0" borderId="14" applyFont="0"/>
    <xf numFmtId="41" fontId="79" fillId="0" borderId="0" applyFont="0"/>
    <xf numFmtId="0" fontId="50" fillId="0" borderId="0" applyNumberFormat="0" applyAlignment="0"/>
    <xf numFmtId="0" fontId="50" fillId="0" borderId="0" applyNumberFormat="0" applyAlignment="0"/>
    <xf numFmtId="0" fontId="20" fillId="0" borderId="0" applyNumberFormat="0" applyAlignment="0"/>
    <xf numFmtId="0" fontId="50" fillId="0" borderId="0" applyNumberFormat="0" applyAlignment="0"/>
    <xf numFmtId="0" fontId="50" fillId="0" borderId="0" applyNumberFormat="0" applyAlignment="0"/>
    <xf numFmtId="0" fontId="50" fillId="0" borderId="0" applyNumberFormat="0" applyAlignment="0"/>
    <xf numFmtId="0" fontId="20" fillId="0" borderId="0"/>
    <xf numFmtId="247"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247" fontId="50" fillId="57" borderId="0" applyNumberFormat="0" applyFont="0" applyBorder="0" applyAlignment="0" applyProtection="0"/>
    <xf numFmtId="247"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247"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247"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247"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0" fontId="50" fillId="57" borderId="0" applyNumberFormat="0" applyFont="0" applyBorder="0" applyAlignment="0" applyProtection="0"/>
    <xf numFmtId="249" fontId="24" fillId="0" borderId="13"/>
    <xf numFmtId="0" fontId="20" fillId="0" borderId="0"/>
    <xf numFmtId="250" fontId="24" fillId="0" borderId="3"/>
    <xf numFmtId="250" fontId="24" fillId="0" borderId="3"/>
    <xf numFmtId="250" fontId="20" fillId="0" borderId="0"/>
    <xf numFmtId="250" fontId="24" fillId="0" borderId="3"/>
    <xf numFmtId="250" fontId="24" fillId="0" borderId="3"/>
    <xf numFmtId="250" fontId="24" fillId="0" borderId="3"/>
    <xf numFmtId="0" fontId="20" fillId="0" borderId="0"/>
    <xf numFmtId="0" fontId="80" fillId="0" borderId="0"/>
    <xf numFmtId="0" fontId="20" fillId="0" borderId="0"/>
    <xf numFmtId="0" fontId="80" fillId="0" borderId="0"/>
    <xf numFmtId="0" fontId="80" fillId="0" borderId="0"/>
    <xf numFmtId="250" fontId="24" fillId="0" borderId="10" applyBorder="0"/>
    <xf numFmtId="250" fontId="24" fillId="0" borderId="10" applyBorder="0"/>
    <xf numFmtId="250" fontId="20" fillId="0" borderId="0" applyBorder="0"/>
    <xf numFmtId="250" fontId="24" fillId="0" borderId="10" applyBorder="0"/>
    <xf numFmtId="250" fontId="24" fillId="0" borderId="10" applyBorder="0"/>
    <xf numFmtId="250" fontId="24" fillId="0" borderId="10" applyBorder="0"/>
    <xf numFmtId="0" fontId="30" fillId="0" borderId="0"/>
    <xf numFmtId="37" fontId="49" fillId="1" borderId="8">
      <alignment horizontal="centerContinuous" vertical="center"/>
    </xf>
    <xf numFmtId="37" fontId="49" fillId="1" borderId="8">
      <alignment horizontal="centerContinuous" vertical="center"/>
    </xf>
    <xf numFmtId="0" fontId="20" fillId="0" borderId="0"/>
    <xf numFmtId="0" fontId="20" fillId="0" borderId="0"/>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37" fontId="81" fillId="58" borderId="4" applyBorder="0" applyProtection="0">
      <alignment vertical="center"/>
    </xf>
    <xf numFmtId="251" fontId="20" fillId="0" borderId="0" applyFont="0" applyFill="0" applyBorder="0" applyAlignment="0" applyProtection="0"/>
    <xf numFmtId="0" fontId="20" fillId="0" borderId="0"/>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247"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9" fillId="0" borderId="0">
      <alignment horizontal="center" wrapText="1"/>
      <protection locked="0"/>
    </xf>
    <xf numFmtId="0" fontId="20" fillId="0" borderId="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247" fontId="20" fillId="0" borderId="0" applyNumberFormat="0" applyFill="0" applyBorder="0" applyAlignment="0" applyProtection="0"/>
    <xf numFmtId="0" fontId="20" fillId="0" borderId="0"/>
    <xf numFmtId="247" fontId="23" fillId="0" borderId="0" applyNumberFormat="0" applyFill="0" applyBorder="0" applyAlignment="0" applyProtection="0"/>
    <xf numFmtId="0" fontId="23" fillId="0" borderId="0" applyNumberFormat="0" applyFill="0" applyBorder="0" applyAlignment="0" applyProtection="0"/>
    <xf numFmtId="247" fontId="23" fillId="0" borderId="0" applyNumberFormat="0" applyFill="0" applyBorder="0" applyAlignment="0" applyProtection="0"/>
    <xf numFmtId="247" fontId="23" fillId="0" borderId="0" applyNumberFormat="0" applyFill="0" applyBorder="0" applyAlignment="0" applyProtection="0"/>
    <xf numFmtId="0" fontId="23" fillId="0" borderId="0" applyNumberFormat="0" applyFill="0" applyBorder="0" applyAlignment="0" applyProtection="0"/>
    <xf numFmtId="0" fontId="23" fillId="0" borderId="0" applyNumberFormat="0" applyFill="0" applyBorder="0" applyAlignment="0" applyProtection="0"/>
    <xf numFmtId="0" fontId="82" fillId="0" borderId="0" applyNumberFormat="0" applyAlignment="0"/>
    <xf numFmtId="0" fontId="20" fillId="0" borderId="0" applyNumberFormat="0" applyAlignment="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3"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84"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51" fillId="0" borderId="24" applyNumberFormat="0" applyFill="0" applyBorder="0" applyAlignment="0" applyProtection="0"/>
    <xf numFmtId="0" fontId="20" fillId="0" borderId="0"/>
    <xf numFmtId="0" fontId="20" fillId="0" borderId="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50" fillId="0" borderId="24" applyNumberFormat="0" applyFill="0" applyAlignment="0" applyProtection="0"/>
    <xf numFmtId="0" fontId="20" fillId="0" borderId="0"/>
    <xf numFmtId="0" fontId="20" fillId="0" borderId="0"/>
    <xf numFmtId="0" fontId="62" fillId="0" borderId="0">
      <alignment horizontal="right"/>
    </xf>
    <xf numFmtId="0" fontId="62" fillId="0" borderId="0">
      <alignment horizontal="right"/>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20" fillId="0" borderId="0"/>
    <xf numFmtId="0"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247"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247"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0" fontId="20" fillId="0" borderId="0"/>
    <xf numFmtId="247"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0" fontId="86" fillId="38" borderId="0" applyNumberFormat="0" applyBorder="0" applyAlignment="0" applyProtection="0"/>
    <xf numFmtId="247" fontId="86" fillId="38" borderId="0" applyNumberFormat="0" applyBorder="0" applyAlignment="0" applyProtection="0"/>
    <xf numFmtId="0" fontId="86" fillId="38" borderId="0" applyNumberFormat="0" applyBorder="0" applyAlignment="0" applyProtection="0"/>
    <xf numFmtId="0" fontId="20" fillId="0" borderId="0"/>
    <xf numFmtId="247" fontId="86" fillId="38"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247" fontId="86" fillId="38" borderId="0" applyNumberFormat="0" applyBorder="0" applyAlignment="0" applyProtection="0"/>
    <xf numFmtId="0" fontId="85" fillId="2" borderId="0" applyNumberFormat="0" applyBorder="0" applyAlignment="0" applyProtection="0"/>
    <xf numFmtId="0" fontId="20" fillId="0" borderId="0"/>
    <xf numFmtId="247" fontId="86" fillId="38"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0" fontId="85" fillId="2" borderId="0" applyNumberFormat="0" applyBorder="0" applyAlignment="0" applyProtection="0"/>
    <xf numFmtId="247" fontId="86" fillId="38" borderId="0" applyNumberFormat="0" applyBorder="0" applyAlignment="0" applyProtection="0"/>
    <xf numFmtId="0" fontId="85" fillId="2" borderId="0" applyNumberFormat="0" applyBorder="0" applyAlignment="0" applyProtection="0"/>
    <xf numFmtId="0" fontId="20" fillId="0" borderId="0"/>
    <xf numFmtId="0" fontId="86" fillId="38" borderId="0" applyNumberFormat="0" applyBorder="0" applyAlignment="0" applyProtection="0"/>
    <xf numFmtId="0" fontId="86" fillId="38" borderId="0" applyNumberFormat="0" applyBorder="0" applyAlignment="0" applyProtection="0"/>
    <xf numFmtId="0" fontId="20" fillId="0" borderId="0"/>
    <xf numFmtId="0" fontId="20" fillId="0" borderId="0"/>
    <xf numFmtId="0" fontId="20" fillId="0" borderId="0"/>
    <xf numFmtId="164" fontId="87" fillId="59" borderId="0" applyNumberFormat="0" applyBorder="0" applyAlignment="0" applyProtection="0">
      <alignment horizontal="center" vertical="center" wrapText="1"/>
    </xf>
    <xf numFmtId="0" fontId="20" fillId="0" borderId="0"/>
    <xf numFmtId="0" fontId="20" fillId="0" borderId="0"/>
    <xf numFmtId="0" fontId="63" fillId="0" borderId="0" applyNumberFormat="0" applyFill="0" applyBorder="0" applyAlignment="0" applyProtection="0"/>
    <xf numFmtId="0" fontId="63" fillId="0" borderId="0" applyNumberFormat="0" applyFill="0" applyBorder="0" applyAlignment="0" applyProtection="0"/>
    <xf numFmtId="0" fontId="20"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0" fontId="63" fillId="0" borderId="0" applyNumberFormat="0" applyFill="0" applyBorder="0" applyAlignment="0" applyProtection="0"/>
    <xf numFmtId="252" fontId="88" fillId="0" borderId="0"/>
    <xf numFmtId="252" fontId="20" fillId="0" borderId="0"/>
    <xf numFmtId="192" fontId="29" fillId="0" borderId="0"/>
    <xf numFmtId="192" fontId="29" fillId="0" borderId="0"/>
    <xf numFmtId="192" fontId="20" fillId="0" borderId="0"/>
    <xf numFmtId="192" fontId="29" fillId="0" borderId="0"/>
    <xf numFmtId="192" fontId="29" fillId="0" borderId="0"/>
    <xf numFmtId="192" fontId="29" fillId="0" borderId="0"/>
    <xf numFmtId="177" fontId="29" fillId="0" borderId="8"/>
    <xf numFmtId="177" fontId="29" fillId="0" borderId="8"/>
    <xf numFmtId="177" fontId="20" fillId="0" borderId="0"/>
    <xf numFmtId="177" fontId="29" fillId="0" borderId="8"/>
    <xf numFmtId="177" fontId="29" fillId="0" borderId="8"/>
    <xf numFmtId="177" fontId="29" fillId="0" borderId="8"/>
    <xf numFmtId="253" fontId="88" fillId="0" borderId="0"/>
    <xf numFmtId="253" fontId="20" fillId="0" borderId="0"/>
    <xf numFmtId="0" fontId="88" fillId="0" borderId="0"/>
    <xf numFmtId="0" fontId="20" fillId="0" borderId="0"/>
    <xf numFmtId="254" fontId="88" fillId="0" borderId="0"/>
    <xf numFmtId="254" fontId="20" fillId="0" borderId="0"/>
    <xf numFmtId="0" fontId="29" fillId="0" borderId="0">
      <alignment horizontal="right"/>
    </xf>
    <xf numFmtId="0" fontId="29" fillId="0" borderId="0">
      <alignment horizontal="right"/>
    </xf>
    <xf numFmtId="0" fontId="20" fillId="0" borderId="0">
      <alignment horizontal="right"/>
    </xf>
    <xf numFmtId="0" fontId="29" fillId="0" borderId="0">
      <alignment horizontal="right"/>
    </xf>
    <xf numFmtId="0" fontId="29" fillId="0" borderId="0">
      <alignment horizontal="right"/>
    </xf>
    <xf numFmtId="0" fontId="29" fillId="0" borderId="0">
      <alignment horizontal="right"/>
    </xf>
    <xf numFmtId="255" fontId="88" fillId="0" borderId="0">
      <alignment horizontal="right"/>
    </xf>
    <xf numFmtId="255" fontId="20" fillId="0" borderId="0">
      <alignment horizontal="right"/>
    </xf>
    <xf numFmtId="256" fontId="88" fillId="0" borderId="0">
      <alignment horizontal="right"/>
    </xf>
    <xf numFmtId="256" fontId="20" fillId="0" borderId="0">
      <alignment horizontal="right"/>
    </xf>
    <xf numFmtId="0" fontId="29" fillId="0" borderId="0">
      <alignment horizontal="right"/>
    </xf>
    <xf numFmtId="257" fontId="29" fillId="0" borderId="0">
      <alignment horizontal="right"/>
    </xf>
    <xf numFmtId="257" fontId="29" fillId="0" borderId="0">
      <alignment horizontal="right"/>
    </xf>
    <xf numFmtId="257" fontId="20" fillId="0" borderId="0">
      <alignment horizontal="right"/>
    </xf>
    <xf numFmtId="257" fontId="29" fillId="0" borderId="0">
      <alignment horizontal="right"/>
    </xf>
    <xf numFmtId="257" fontId="29" fillId="0" borderId="0">
      <alignment horizontal="right"/>
    </xf>
    <xf numFmtId="257" fontId="29" fillId="0" borderId="0">
      <alignment horizontal="right"/>
    </xf>
    <xf numFmtId="0" fontId="63"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pplyNumberFormat="0" applyFill="0" applyBorder="0" applyAlignment="0" applyProtection="0"/>
    <xf numFmtId="258" fontId="88" fillId="0" borderId="0"/>
    <xf numFmtId="258" fontId="20" fillId="0" borderId="0"/>
    <xf numFmtId="259" fontId="88" fillId="0" borderId="0"/>
    <xf numFmtId="259" fontId="20" fillId="0" borderId="0"/>
    <xf numFmtId="0" fontId="88" fillId="0" borderId="0"/>
    <xf numFmtId="0" fontId="20" fillId="0" borderId="0"/>
    <xf numFmtId="164" fontId="87" fillId="60" borderId="3">
      <alignment horizontal="center" vertical="center" wrapText="1"/>
    </xf>
    <xf numFmtId="164" fontId="87" fillId="60" borderId="3">
      <alignment horizontal="center" vertical="center" wrapText="1"/>
    </xf>
    <xf numFmtId="164" fontId="87" fillId="60" borderId="3">
      <alignment horizontal="center" vertical="center" wrapText="1"/>
    </xf>
    <xf numFmtId="1" fontId="40" fillId="32" borderId="25">
      <alignment horizontal="center"/>
    </xf>
    <xf numFmtId="1" fontId="20" fillId="0" borderId="0">
      <alignment horizontal="center"/>
    </xf>
    <xf numFmtId="0" fontId="88" fillId="0" borderId="0"/>
    <xf numFmtId="0" fontId="20" fillId="0" borderId="0"/>
    <xf numFmtId="0" fontId="40" fillId="32" borderId="26">
      <alignment horizontal="center"/>
    </xf>
    <xf numFmtId="0" fontId="40" fillId="32" borderId="26">
      <alignment horizontal="center"/>
    </xf>
    <xf numFmtId="0" fontId="20" fillId="0" borderId="0">
      <alignment horizontal="center"/>
    </xf>
    <xf numFmtId="0" fontId="40" fillId="32" borderId="26">
      <alignment horizontal="center"/>
    </xf>
    <xf numFmtId="0" fontId="40" fillId="32" borderId="26">
      <alignment horizontal="center"/>
    </xf>
    <xf numFmtId="0" fontId="40" fillId="32" borderId="26">
      <alignment horizontal="center"/>
    </xf>
    <xf numFmtId="0" fontId="88" fillId="0" borderId="0"/>
    <xf numFmtId="0" fontId="20" fillId="0" borderId="0"/>
    <xf numFmtId="0" fontId="89" fillId="0" borderId="0" applyNumberFormat="0" applyFill="0" applyBorder="0" applyAlignment="0" applyProtection="0"/>
    <xf numFmtId="0" fontId="20" fillId="0" borderId="0"/>
    <xf numFmtId="0" fontId="20" fillId="0" borderId="0" applyNumberFormat="0" applyFill="0" applyBorder="0" applyAlignment="0" applyProtection="0"/>
    <xf numFmtId="0" fontId="20" fillId="0" borderId="0"/>
    <xf numFmtId="0" fontId="20" fillId="0" borderId="0" applyBorder="0">
      <alignment horizontal="left" vertical="center" indent="1"/>
    </xf>
    <xf numFmtId="260" fontId="24" fillId="0" borderId="0"/>
    <xf numFmtId="37" fontId="90" fillId="0" borderId="0" applyNumberFormat="0" applyFill="0" applyBorder="0" applyAlignment="0" applyProtection="0">
      <protection locked="0"/>
    </xf>
    <xf numFmtId="37" fontId="20" fillId="0" borderId="0" applyNumberFormat="0" applyFill="0" applyBorder="0" applyAlignment="0" applyProtection="0">
      <protection locked="0"/>
    </xf>
    <xf numFmtId="0" fontId="91" fillId="0" borderId="27">
      <alignment horizontal="centerContinuous"/>
    </xf>
    <xf numFmtId="0" fontId="91" fillId="0" borderId="27">
      <alignment horizontal="centerContinuous"/>
    </xf>
    <xf numFmtId="261" fontId="92" fillId="0" borderId="0" applyAlignment="0">
      <alignment horizontal="right"/>
    </xf>
    <xf numFmtId="0" fontId="93" fillId="0" borderId="0" applyAlignment="0"/>
    <xf numFmtId="165" fontId="93" fillId="0" borderId="0"/>
    <xf numFmtId="0" fontId="93" fillId="0" borderId="27" applyAlignment="0"/>
    <xf numFmtId="0" fontId="93" fillId="0" borderId="27" applyAlignment="0"/>
    <xf numFmtId="0" fontId="93" fillId="0" borderId="0" applyAlignment="0"/>
    <xf numFmtId="0" fontId="20" fillId="0" borderId="0"/>
    <xf numFmtId="0" fontId="20" fillId="0" borderId="0"/>
    <xf numFmtId="0" fontId="94" fillId="0" borderId="3" applyNumberFormat="0" applyFill="0" applyAlignment="0" applyProtection="0"/>
    <xf numFmtId="37" fontId="90" fillId="0" borderId="0" applyNumberFormat="0" applyFill="0" applyBorder="0" applyAlignment="0" applyProtection="0">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5" fontId="60" fillId="0" borderId="8"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5" fontId="60" fillId="0" borderId="8" applyAlignment="0" applyProtection="0"/>
    <xf numFmtId="0" fontId="20" fillId="0" borderId="0"/>
    <xf numFmtId="262" fontId="65" fillId="0" borderId="18" applyNumberFormat="0" applyFill="0" applyAlignment="0" applyProtection="0">
      <alignment horizontal="center"/>
    </xf>
    <xf numFmtId="262" fontId="20" fillId="0" borderId="0" applyNumberFormat="0" applyFill="0" applyAlignment="0" applyProtection="0">
      <alignment horizontal="center"/>
    </xf>
    <xf numFmtId="262" fontId="65" fillId="0" borderId="18" applyNumberFormat="0" applyFill="0" applyAlignment="0" applyProtection="0">
      <alignment horizontal="center"/>
    </xf>
    <xf numFmtId="262" fontId="65" fillId="0" borderId="18" applyNumberFormat="0" applyFill="0" applyAlignment="0" applyProtection="0">
      <alignment horizontal="center"/>
    </xf>
    <xf numFmtId="262" fontId="65" fillId="0" borderId="18" applyNumberFormat="0" applyFill="0" applyAlignment="0" applyProtection="0">
      <alignment horizontal="center"/>
    </xf>
    <xf numFmtId="0" fontId="20" fillId="0" borderId="0"/>
    <xf numFmtId="0" fontId="20" fillId="0" borderId="0"/>
    <xf numFmtId="0" fontId="20" fillId="0" borderId="0"/>
    <xf numFmtId="263" fontId="65" fillId="0" borderId="3" applyFill="0" applyAlignment="0" applyProtection="0">
      <alignment horizontal="center"/>
    </xf>
    <xf numFmtId="263" fontId="20" fillId="0" borderId="0" applyFill="0" applyAlignment="0" applyProtection="0">
      <alignment horizontal="center"/>
    </xf>
    <xf numFmtId="263" fontId="65" fillId="0" borderId="3" applyFill="0" applyAlignment="0" applyProtection="0">
      <alignment horizontal="center"/>
    </xf>
    <xf numFmtId="263" fontId="65" fillId="0" borderId="3" applyFill="0" applyAlignment="0" applyProtection="0">
      <alignment horizontal="center"/>
    </xf>
    <xf numFmtId="263" fontId="65" fillId="0" borderId="3" applyFill="0" applyAlignment="0" applyProtection="0">
      <alignment horizontal="center"/>
    </xf>
    <xf numFmtId="0" fontId="20" fillId="0" borderId="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47"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264" fontId="20" fillId="0" borderId="0" applyFont="0" applyFill="0" applyBorder="0" applyAlignment="0" applyProtection="0"/>
    <xf numFmtId="0" fontId="24" fillId="0" borderId="0"/>
    <xf numFmtId="0" fontId="24" fillId="0" borderId="0"/>
    <xf numFmtId="0" fontId="20" fillId="0" borderId="0"/>
    <xf numFmtId="0" fontId="24" fillId="0" borderId="0"/>
    <xf numFmtId="0" fontId="24" fillId="0" borderId="0"/>
    <xf numFmtId="0" fontId="2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47"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265" fontId="20" fillId="0" borderId="0" applyFill="0" applyBorder="0" applyAlignment="0"/>
    <xf numFmtId="0" fontId="20" fillId="0" borderId="0"/>
    <xf numFmtId="192" fontId="95" fillId="0" borderId="0" applyFill="0" applyBorder="0" applyAlignment="0"/>
    <xf numFmtId="192" fontId="95" fillId="0" borderId="0" applyFill="0" applyBorder="0" applyAlignment="0"/>
    <xf numFmtId="247"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192"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247" fontId="95"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0" fontId="95" fillId="0" borderId="0" applyFill="0" applyBorder="0" applyAlignment="0"/>
    <xf numFmtId="247"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0" fontId="95" fillId="0" borderId="0" applyFill="0" applyBorder="0" applyAlignment="0"/>
    <xf numFmtId="247"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0"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71" fontId="20"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192"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192" fontId="95" fillId="0" borderId="0" applyFill="0" applyBorder="0" applyAlignment="0"/>
    <xf numFmtId="0" fontId="20" fillId="0" borderId="0"/>
    <xf numFmtId="266" fontId="95" fillId="0" borderId="0" applyFill="0" applyBorder="0" applyAlignment="0"/>
    <xf numFmtId="266" fontId="95" fillId="0" borderId="0" applyFill="0" applyBorder="0" applyAlignment="0"/>
    <xf numFmtId="247"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66"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47" fontId="95"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0" fontId="95" fillId="0" borderId="0" applyFill="0" applyBorder="0" applyAlignment="0"/>
    <xf numFmtId="247"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0" fontId="95" fillId="0" borderId="0" applyFill="0" applyBorder="0" applyAlignment="0"/>
    <xf numFmtId="247"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0"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0"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7" fontId="20"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66"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47" fontId="95" fillId="0" borderId="0" applyFill="0" applyBorder="0" applyAlignment="0"/>
    <xf numFmtId="266" fontId="95" fillId="0" borderId="0" applyFill="0" applyBorder="0" applyAlignment="0"/>
    <xf numFmtId="0" fontId="20" fillId="0" borderId="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47"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0"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47"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268" fontId="20" fillId="0" borderId="0" applyFill="0" applyBorder="0" applyAlignment="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96" fillId="43" borderId="28" applyNumberFormat="0" applyAlignment="0" applyProtection="0"/>
    <xf numFmtId="0" fontId="96" fillId="43" borderId="28" applyNumberFormat="0" applyAlignment="0" applyProtection="0"/>
    <xf numFmtId="0" fontId="20" fillId="0" borderId="0"/>
    <xf numFmtId="0" fontId="96" fillId="43" borderId="28" applyNumberFormat="0" applyAlignment="0" applyProtection="0"/>
    <xf numFmtId="0" fontId="96" fillId="43" borderId="28" applyNumberFormat="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69" fontId="20" fillId="0" borderId="0" applyNumberFormat="0" applyFont="0" applyBorder="0" applyAlignment="0">
      <protection locked="0"/>
    </xf>
    <xf numFmtId="270" fontId="29" fillId="0" borderId="0" applyFill="0" applyBorder="0" applyProtection="0"/>
    <xf numFmtId="270" fontId="29" fillId="0" borderId="0" applyFill="0" applyBorder="0" applyProtection="0"/>
    <xf numFmtId="270" fontId="20" fillId="0" borderId="0" applyFill="0" applyBorder="0" applyProtection="0"/>
    <xf numFmtId="270" fontId="29" fillId="0" borderId="0" applyFill="0" applyBorder="0" applyProtection="0"/>
    <xf numFmtId="270" fontId="29" fillId="0" borderId="0" applyFill="0" applyBorder="0" applyProtection="0"/>
    <xf numFmtId="270" fontId="29" fillId="0" borderId="0" applyFill="0" applyBorder="0" applyProtection="0"/>
    <xf numFmtId="0" fontId="20" fillId="0" borderId="0"/>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97" fillId="61" borderId="29"/>
    <xf numFmtId="0" fontId="20" fillId="0" borderId="0"/>
    <xf numFmtId="0" fontId="20" fillId="0" borderId="0"/>
    <xf numFmtId="0" fontId="20" fillId="0" borderId="0"/>
    <xf numFmtId="0" fontId="20" fillId="0" borderId="0"/>
    <xf numFmtId="0" fontId="24" fillId="0" borderId="3" applyBorder="0">
      <alignment horizontal="centerContinuous"/>
    </xf>
    <xf numFmtId="0" fontId="24" fillId="0" borderId="3" applyBorder="0">
      <alignment horizontal="centerContinuous"/>
    </xf>
    <xf numFmtId="0" fontId="24" fillId="0" borderId="3" applyBorder="0">
      <alignment horizontal="centerContinuous"/>
    </xf>
    <xf numFmtId="0" fontId="20" fillId="0" borderId="0"/>
    <xf numFmtId="0" fontId="20" fillId="0" borderId="0"/>
    <xf numFmtId="0" fontId="20" fillId="0" borderId="0" applyFill="0" applyBorder="0" applyProtection="0">
      <alignment horizontal="center"/>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98" fillId="0" borderId="0" applyAlignment="0"/>
    <xf numFmtId="0" fontId="20" fillId="0" borderId="0"/>
    <xf numFmtId="0" fontId="20" fillId="0" borderId="0"/>
    <xf numFmtId="0" fontId="20" fillId="0" borderId="0" applyNumberFormat="0" applyFill="0" applyBorder="0" applyAlignment="0" applyProtection="0"/>
    <xf numFmtId="0" fontId="20" fillId="0" borderId="0"/>
    <xf numFmtId="0" fontId="20" fillId="0" borderId="0"/>
    <xf numFmtId="0" fontId="20" fillId="0" borderId="0"/>
    <xf numFmtId="0" fontId="20" fillId="0" borderId="0"/>
    <xf numFmtId="38" fontId="99" fillId="0" borderId="30"/>
    <xf numFmtId="38" fontId="20" fillId="0" borderId="0"/>
    <xf numFmtId="0" fontId="100" fillId="0" borderId="18">
      <alignment horizontal="center"/>
    </xf>
    <xf numFmtId="0" fontId="20" fillId="0" borderId="0">
      <alignment horizontal="center"/>
    </xf>
    <xf numFmtId="0" fontId="20" fillId="0" borderId="0"/>
    <xf numFmtId="0" fontId="84" fillId="0" borderId="31">
      <alignment horizontal="center"/>
    </xf>
    <xf numFmtId="0" fontId="20" fillId="0" borderId="0"/>
    <xf numFmtId="0" fontId="20" fillId="0" borderId="0" applyNumberFormat="0" applyFill="0" applyBorder="0" applyProtection="0">
      <alignment wrapText="1"/>
    </xf>
    <xf numFmtId="0" fontId="20" fillId="0" borderId="0"/>
    <xf numFmtId="0" fontId="20" fillId="0" borderId="0" applyNumberFormat="0" applyFill="0" applyBorder="0" applyProtection="0"/>
    <xf numFmtId="0" fontId="20" fillId="0" borderId="0"/>
    <xf numFmtId="0" fontId="101" fillId="0" borderId="0" applyNumberFormat="0" applyFill="0" applyBorder="0" applyProtection="0">
      <alignment horizontal="center" wrapText="1"/>
    </xf>
    <xf numFmtId="0" fontId="20" fillId="0" borderId="0" applyNumberFormat="0" applyFill="0" applyBorder="0" applyProtection="0">
      <alignment horizontal="center" wrapText="1"/>
    </xf>
    <xf numFmtId="0" fontId="101" fillId="0" borderId="0" applyNumberFormat="0" applyFill="0" applyBorder="0" applyProtection="0">
      <alignment horizontal="center" wrapText="1"/>
    </xf>
    <xf numFmtId="0" fontId="101" fillId="0" borderId="0" applyNumberFormat="0" applyFill="0" applyBorder="0" applyProtection="0">
      <alignment horizontal="center" wrapText="1"/>
    </xf>
    <xf numFmtId="0" fontId="101" fillId="0" borderId="0" applyNumberFormat="0" applyFill="0" applyBorder="0" applyProtection="0">
      <alignment horizontal="center" wrapText="1"/>
    </xf>
    <xf numFmtId="0" fontId="20" fillId="0" borderId="0"/>
    <xf numFmtId="0" fontId="20" fillId="0" borderId="0"/>
    <xf numFmtId="0" fontId="84" fillId="0" borderId="3" applyNumberFormat="0" applyFill="0" applyProtection="0">
      <alignment horizontal="right" wrapText="1"/>
    </xf>
    <xf numFmtId="0" fontId="20" fillId="0" borderId="0"/>
    <xf numFmtId="0" fontId="20" fillId="0" borderId="0"/>
    <xf numFmtId="0" fontId="84" fillId="0" borderId="3" applyNumberFormat="0" applyFill="0" applyProtection="0">
      <alignment horizontal="left" wrapText="1"/>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71" fontId="20" fillId="0" borderId="0" applyFont="0" applyFill="0" applyBorder="0" applyAlignment="0" applyProtection="0"/>
    <xf numFmtId="184" fontId="24" fillId="0" borderId="0"/>
    <xf numFmtId="184" fontId="24" fillId="0" borderId="0"/>
    <xf numFmtId="184" fontId="20" fillId="0" borderId="0"/>
    <xf numFmtId="184" fontId="24" fillId="0" borderId="0"/>
    <xf numFmtId="184" fontId="24" fillId="0" borderId="0"/>
    <xf numFmtId="184" fontId="24" fillId="0" borderId="0"/>
    <xf numFmtId="0" fontId="20" fillId="0" borderId="0"/>
    <xf numFmtId="0" fontId="20" fillId="0" borderId="0"/>
    <xf numFmtId="41" fontId="20" fillId="0" borderId="0" applyFont="0" applyFill="0" applyBorder="0" applyAlignment="0" applyProtection="0"/>
    <xf numFmtId="272" fontId="102" fillId="0" borderId="0" applyFont="0" applyFill="0" applyBorder="0" applyAlignment="0" applyProtection="0"/>
    <xf numFmtId="272" fontId="20" fillId="0" borderId="0" applyFont="0" applyFill="0" applyBorder="0" applyAlignment="0" applyProtection="0"/>
    <xf numFmtId="273" fontId="20" fillId="0" borderId="0" applyFont="0" applyFill="0" applyBorder="0" applyAlignment="0" applyProtection="0">
      <alignment vertical="center"/>
    </xf>
    <xf numFmtId="244" fontId="20" fillId="0" borderId="0" applyFont="0" applyFill="0" applyBorder="0" applyAlignment="0" applyProtection="0">
      <alignment vertical="center"/>
    </xf>
    <xf numFmtId="0" fontId="20" fillId="0" borderId="0"/>
    <xf numFmtId="0" fontId="20" fillId="0" borderId="0"/>
    <xf numFmtId="38" fontId="20" fillId="0" borderId="0">
      <alignment horizontal="center"/>
      <protection locked="0"/>
    </xf>
    <xf numFmtId="0" fontId="20" fillId="0" borderId="0"/>
    <xf numFmtId="40" fontId="20" fillId="0" borderId="0" applyFont="0" applyFill="0" applyBorder="0" applyAlignment="0" applyProtection="0">
      <alignment horizontal="center"/>
    </xf>
    <xf numFmtId="0" fontId="20" fillId="0" borderId="0"/>
    <xf numFmtId="274" fontId="20" fillId="0" borderId="0" applyFont="0" applyFill="0" applyBorder="0" applyAlignment="0" applyProtection="0">
      <alignment horizontal="center"/>
    </xf>
    <xf numFmtId="0" fontId="20" fillId="0" borderId="0"/>
    <xf numFmtId="0" fontId="20" fillId="0" borderId="0"/>
    <xf numFmtId="0" fontId="20" fillId="0" borderId="0"/>
    <xf numFmtId="275" fontId="20" fillId="0" borderId="0" applyFont="0" applyFill="0" applyBorder="0" applyAlignment="0" applyProtection="0"/>
    <xf numFmtId="276" fontId="27" fillId="0" borderId="0" applyFont="0" applyFill="0" applyBorder="0" applyAlignment="0" applyProtection="0"/>
    <xf numFmtId="276" fontId="20" fillId="0" borderId="0" applyFont="0" applyFill="0" applyBorder="0" applyAlignment="0" applyProtection="0"/>
    <xf numFmtId="277" fontId="27" fillId="0" borderId="0" applyFont="0" applyFill="0" applyBorder="0" applyAlignment="0" applyProtection="0"/>
    <xf numFmtId="277" fontId="20" fillId="0" borderId="0" applyFont="0" applyFill="0" applyBorder="0" applyAlignment="0" applyProtection="0"/>
    <xf numFmtId="278" fontId="24" fillId="0" borderId="0" applyFont="0" applyFill="0" applyBorder="0" applyAlignment="0" applyProtection="0"/>
    <xf numFmtId="278" fontId="20" fillId="0" borderId="0" applyFont="0" applyFill="0" applyBorder="0" applyAlignment="0" applyProtection="0"/>
    <xf numFmtId="279" fontId="27" fillId="0" borderId="0" applyFont="0" applyFill="0" applyBorder="0" applyAlignment="0" applyProtection="0"/>
    <xf numFmtId="279" fontId="20" fillId="0" borderId="0" applyFont="0" applyFill="0" applyBorder="0" applyAlignment="0" applyProtection="0"/>
    <xf numFmtId="280" fontId="27" fillId="0" borderId="0" applyFont="0" applyFill="0" applyBorder="0" applyAlignment="0" applyProtection="0"/>
    <xf numFmtId="185" fontId="24" fillId="0" borderId="0" applyFont="0" applyFill="0" applyBorder="0" applyAlignment="0" applyProtection="0"/>
    <xf numFmtId="185" fontId="20" fillId="0" borderId="0" applyFont="0" applyFill="0" applyBorder="0" applyAlignment="0" applyProtection="0"/>
    <xf numFmtId="281" fontId="27" fillId="0" borderId="0" applyFont="0" applyFill="0" applyBorder="0" applyAlignment="0" applyProtection="0"/>
    <xf numFmtId="281" fontId="20" fillId="0" borderId="0" applyFont="0" applyFill="0" applyBorder="0" applyAlignment="0" applyProtection="0"/>
    <xf numFmtId="282" fontId="27" fillId="0" borderId="0" applyFont="0" applyFill="0" applyBorder="0" applyAlignment="0" applyProtection="0"/>
    <xf numFmtId="0" fontId="20" fillId="0" borderId="0"/>
    <xf numFmtId="0" fontId="20" fillId="0" borderId="0"/>
    <xf numFmtId="0" fontId="20" fillId="0" borderId="0"/>
    <xf numFmtId="0" fontId="20" fillId="0" borderId="0"/>
    <xf numFmtId="43" fontId="103" fillId="0" borderId="0" applyFont="0" applyFill="0" applyBorder="0" applyAlignment="0" applyProtection="0"/>
    <xf numFmtId="43" fontId="20" fillId="0" borderId="0" applyFont="0" applyFill="0" applyBorder="0" applyAlignment="0" applyProtection="0"/>
    <xf numFmtId="0" fontId="20" fillId="0" borderId="0"/>
    <xf numFmtId="43" fontId="20" fillId="0" borderId="0" applyFont="0" applyFill="0" applyBorder="0" applyAlignment="0" applyProtection="0"/>
    <xf numFmtId="0" fontId="20" fillId="0" borderId="0"/>
    <xf numFmtId="43" fontId="20" fillId="0" borderId="0" applyFont="0" applyFill="0" applyBorder="0" applyAlignment="0" applyProtection="0"/>
    <xf numFmtId="43" fontId="15" fillId="0" borderId="0" applyFont="0" applyFill="0" applyBorder="0" applyAlignment="0" applyProtection="0"/>
    <xf numFmtId="0" fontId="20" fillId="0" borderId="0"/>
    <xf numFmtId="43" fontId="20" fillId="0" borderId="0" applyFont="0" applyFill="0" applyBorder="0" applyAlignment="0" applyProtection="0"/>
    <xf numFmtId="0" fontId="20" fillId="0" borderId="0"/>
    <xf numFmtId="43" fontId="20" fillId="0" borderId="0" applyFont="0" applyFill="0" applyBorder="0" applyAlignment="0" applyProtection="0"/>
    <xf numFmtId="43" fontId="20" fillId="0" borderId="0" applyFont="0" applyFill="0" applyBorder="0" applyAlignment="0" applyProtection="0"/>
    <xf numFmtId="0" fontId="20" fillId="0" borderId="0"/>
    <xf numFmtId="283" fontId="20" fillId="0" borderId="0" applyFont="0" applyFill="0" applyBorder="0" applyAlignment="0" applyProtection="0"/>
    <xf numFmtId="43" fontId="24" fillId="0" borderId="0" applyFont="0" applyFill="0" applyBorder="0" applyAlignment="0" applyProtection="0"/>
    <xf numFmtId="43" fontId="15" fillId="0" borderId="0" applyFont="0" applyFill="0" applyBorder="0" applyAlignment="0" applyProtection="0"/>
    <xf numFmtId="0" fontId="20" fillId="0" borderId="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43" fontId="20" fillId="0" borderId="0" applyFont="0" applyFill="0" applyBorder="0" applyAlignment="0" applyProtection="0"/>
    <xf numFmtId="0" fontId="20" fillId="0" borderId="0"/>
    <xf numFmtId="0" fontId="20" fillId="0" borderId="0"/>
    <xf numFmtId="43" fontId="104" fillId="0" borderId="0" applyFont="0" applyFill="0" applyBorder="0" applyAlignment="0" applyProtection="0"/>
    <xf numFmtId="0" fontId="20" fillId="0" borderId="0"/>
    <xf numFmtId="43" fontId="20" fillId="0" borderId="0" applyFont="0" applyFill="0" applyBorder="0" applyAlignment="0" applyProtection="0"/>
    <xf numFmtId="0" fontId="20" fillId="0" borderId="0"/>
    <xf numFmtId="43" fontId="15" fillId="0" borderId="0" applyFont="0" applyFill="0" applyBorder="0" applyAlignment="0" applyProtection="0"/>
    <xf numFmtId="43" fontId="20" fillId="0" borderId="0" applyFont="0" applyFill="0" applyBorder="0" applyAlignment="0" applyProtection="0"/>
    <xf numFmtId="0" fontId="20" fillId="0" borderId="0"/>
    <xf numFmtId="43" fontId="15" fillId="0" borderId="0" applyFont="0" applyFill="0" applyBorder="0" applyAlignment="0" applyProtection="0"/>
    <xf numFmtId="43" fontId="15" fillId="0" borderId="0" applyFont="0" applyFill="0" applyBorder="0" applyAlignment="0" applyProtection="0"/>
    <xf numFmtId="0" fontId="20" fillId="0" borderId="0"/>
    <xf numFmtId="0" fontId="20" fillId="0" borderId="0"/>
    <xf numFmtId="0" fontId="20" fillId="0" borderId="0"/>
    <xf numFmtId="37" fontId="29" fillId="0" borderId="0" applyFill="0" applyBorder="0" applyAlignment="0" applyProtection="0"/>
    <xf numFmtId="37" fontId="20" fillId="0" borderId="0" applyFill="0" applyBorder="0" applyAlignment="0" applyProtection="0"/>
    <xf numFmtId="37" fontId="29" fillId="0" borderId="0" applyFill="0" applyBorder="0" applyAlignment="0" applyProtection="0"/>
    <xf numFmtId="37" fontId="29" fillId="0" borderId="0" applyFill="0" applyBorder="0" applyAlignment="0" applyProtection="0"/>
    <xf numFmtId="37" fontId="29" fillId="0" borderId="0" applyFill="0" applyBorder="0" applyAlignment="0" applyProtection="0"/>
    <xf numFmtId="0" fontId="20" fillId="0" borderId="0"/>
    <xf numFmtId="0" fontId="20" fillId="0" borderId="0"/>
    <xf numFmtId="0" fontId="20" fillId="0" borderId="0"/>
    <xf numFmtId="0" fontId="105" fillId="0" borderId="0"/>
    <xf numFmtId="0" fontId="20" fillId="0" borderId="0"/>
    <xf numFmtId="0" fontId="20" fillId="0" borderId="0"/>
    <xf numFmtId="0" fontId="20" fillId="0" borderId="0"/>
    <xf numFmtId="0" fontId="20" fillId="0" borderId="0"/>
    <xf numFmtId="0" fontId="20" fillId="0" borderId="0"/>
    <xf numFmtId="0" fontId="20" fillId="0" borderId="0"/>
    <xf numFmtId="38" fontId="20" fillId="0" borderId="0" applyFont="0" applyFill="0" applyBorder="0" applyAlignment="0" applyProtection="0"/>
    <xf numFmtId="0" fontId="20" fillId="0" borderId="0"/>
    <xf numFmtId="192" fontId="106" fillId="0" borderId="0" applyFont="0" applyFill="0" applyBorder="0" applyAlignment="0" applyProtection="0"/>
    <xf numFmtId="0" fontId="105" fillId="0" borderId="0"/>
    <xf numFmtId="0" fontId="20" fillId="0" borderId="0"/>
    <xf numFmtId="0" fontId="95" fillId="0" borderId="0"/>
    <xf numFmtId="0" fontId="20" fillId="0" borderId="0"/>
    <xf numFmtId="192" fontId="20" fillId="0" borderId="0" applyFont="0" applyFill="0" applyBorder="0" applyAlignment="0" applyProtection="0"/>
    <xf numFmtId="39" fontId="106" fillId="0" borderId="0" applyFont="0" applyFill="0" applyBorder="0" applyAlignment="0" applyProtection="0"/>
    <xf numFmtId="39" fontId="20" fillId="0" borderId="0" applyFont="0" applyFill="0" applyBorder="0" applyAlignment="0" applyProtection="0"/>
    <xf numFmtId="0" fontId="20" fillId="0" borderId="0"/>
    <xf numFmtId="0" fontId="107" fillId="62" borderId="0">
      <alignment horizontal="center" vertical="center" wrapText="1"/>
    </xf>
    <xf numFmtId="0" fontId="20" fillId="0" borderId="0">
      <alignment horizontal="center" vertical="center" wrapText="1"/>
    </xf>
    <xf numFmtId="0" fontId="20" fillId="0" borderId="0"/>
    <xf numFmtId="0" fontId="20" fillId="0" borderId="0" applyFill="0" applyBorder="0" applyAlignment="0" applyProtection="0">
      <protection locked="0"/>
    </xf>
    <xf numFmtId="0" fontId="107" fillId="62" borderId="0">
      <alignment horizontal="center" vertical="center" wrapText="1"/>
    </xf>
    <xf numFmtId="0" fontId="20" fillId="0" borderId="0"/>
    <xf numFmtId="284" fontId="20" fillId="0" borderId="0" applyFill="0" applyBorder="0">
      <alignment horizontal="left"/>
    </xf>
    <xf numFmtId="0" fontId="20" fillId="0" borderId="0"/>
    <xf numFmtId="0" fontId="20" fillId="0" borderId="0"/>
    <xf numFmtId="0" fontId="20" fillId="0" borderId="0" applyNumberFormat="0" applyAlignment="0">
      <alignment horizontal="left"/>
    </xf>
    <xf numFmtId="0" fontId="20" fillId="0" borderId="0"/>
    <xf numFmtId="0" fontId="20" fillId="0" borderId="0"/>
    <xf numFmtId="285" fontId="27" fillId="0" borderId="0" applyFill="0" applyBorder="0" applyProtection="0"/>
    <xf numFmtId="285" fontId="20" fillId="0" borderId="0" applyFill="0" applyBorder="0" applyProtection="0"/>
    <xf numFmtId="286" fontId="27" fillId="0" borderId="0" applyFont="0" applyFill="0" applyBorder="0" applyAlignment="0" applyProtection="0"/>
    <xf numFmtId="286" fontId="20"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87" fontId="20" fillId="0" borderId="0" applyFill="0" applyBorder="0">
      <alignment horizontal="right"/>
      <protection locked="0"/>
    </xf>
    <xf numFmtId="0" fontId="105" fillId="0" borderId="0"/>
    <xf numFmtId="0" fontId="20" fillId="0" borderId="0"/>
    <xf numFmtId="0" fontId="20" fillId="0" borderId="0"/>
    <xf numFmtId="288" fontId="27" fillId="0" borderId="0" applyFont="0" applyFill="0" applyBorder="0" applyAlignment="0" applyProtection="0"/>
    <xf numFmtId="288" fontId="20" fillId="0" borderId="0" applyFont="0" applyFill="0" applyBorder="0" applyAlignment="0" applyProtection="0"/>
    <xf numFmtId="0" fontId="20" fillId="0" borderId="0"/>
    <xf numFmtId="0" fontId="20" fillId="0" borderId="0"/>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0" fontId="108" fillId="0" borderId="29"/>
    <xf numFmtId="42" fontId="73" fillId="0" borderId="0" applyFont="0" applyFill="0" applyBorder="0" applyAlignment="0" applyProtection="0"/>
    <xf numFmtId="42" fontId="20" fillId="0" borderId="0" applyFont="0" applyFill="0" applyBorder="0" applyAlignment="0" applyProtection="0"/>
    <xf numFmtId="0" fontId="20" fillId="0" borderId="0"/>
    <xf numFmtId="0" fontId="20" fillId="0" borderId="0"/>
    <xf numFmtId="289" fontId="50" fillId="0" borderId="0" applyFont="0" applyFill="0" applyBorder="0" applyAlignment="0"/>
    <xf numFmtId="289" fontId="20" fillId="0" borderId="0" applyFont="0" applyFill="0" applyBorder="0" applyAlignment="0"/>
    <xf numFmtId="289" fontId="50" fillId="0" borderId="0" applyFont="0" applyFill="0" applyBorder="0" applyAlignment="0"/>
    <xf numFmtId="289" fontId="50" fillId="0" borderId="0" applyFont="0" applyFill="0" applyBorder="0" applyAlignment="0"/>
    <xf numFmtId="289" fontId="50" fillId="0" borderId="0" applyFont="0" applyFill="0" applyBorder="0" applyAlignment="0"/>
    <xf numFmtId="0" fontId="20" fillId="0" borderId="0"/>
    <xf numFmtId="0" fontId="20" fillId="0" borderId="0"/>
    <xf numFmtId="177" fontId="20" fillId="0" borderId="0" applyFont="0" applyFill="0" applyBorder="0" applyAlignment="0" applyProtection="0"/>
    <xf numFmtId="0" fontId="20" fillId="0" borderId="0"/>
    <xf numFmtId="0" fontId="20" fillId="0" borderId="0"/>
    <xf numFmtId="290" fontId="20" fillId="0" borderId="0" applyFont="0" applyFill="0" applyBorder="0" applyAlignment="0" applyProtection="0">
      <alignment horizontal="right"/>
    </xf>
    <xf numFmtId="291" fontId="20" fillId="0" borderId="0" applyFont="0" applyFill="0" applyBorder="0" applyAlignment="0" applyProtection="0"/>
    <xf numFmtId="292" fontId="27" fillId="0" borderId="0" applyFont="0" applyFill="0" applyBorder="0" applyAlignment="0" applyProtection="0"/>
    <xf numFmtId="292" fontId="20" fillId="0" borderId="0" applyFont="0" applyFill="0" applyBorder="0" applyAlignment="0" applyProtection="0"/>
    <xf numFmtId="293" fontId="20" fillId="0" borderId="0" applyFont="0" applyFill="0" applyBorder="0" applyAlignment="0" applyProtection="0"/>
    <xf numFmtId="294" fontId="27" fillId="0" borderId="0" applyFont="0" applyFill="0" applyBorder="0" applyAlignment="0" applyProtection="0"/>
    <xf numFmtId="294" fontId="20" fillId="0" borderId="0" applyFont="0" applyFill="0" applyBorder="0" applyAlignment="0" applyProtection="0"/>
    <xf numFmtId="295" fontId="20" fillId="0" borderId="0" applyFont="0" applyFill="0" applyBorder="0" applyAlignment="0" applyProtection="0"/>
    <xf numFmtId="296" fontId="27" fillId="0" borderId="0" applyFont="0" applyFill="0" applyBorder="0" applyAlignment="0" applyProtection="0"/>
    <xf numFmtId="296" fontId="20" fillId="0" borderId="0" applyFont="0" applyFill="0" applyBorder="0" applyAlignment="0" applyProtection="0"/>
    <xf numFmtId="0" fontId="20" fillId="0" borderId="0"/>
    <xf numFmtId="44" fontId="20"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0" fontId="20" fillId="0" borderId="0"/>
    <xf numFmtId="44" fontId="20" fillId="0" borderId="0" applyFont="0" applyFill="0" applyBorder="0" applyAlignment="0" applyProtection="0"/>
    <xf numFmtId="0" fontId="20" fillId="0" borderId="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44" fontId="20" fillId="0" borderId="0" applyFont="0" applyFill="0" applyBorder="0" applyAlignment="0" applyProtection="0"/>
    <xf numFmtId="0" fontId="20" fillId="0" borderId="0"/>
    <xf numFmtId="44" fontId="75" fillId="0" borderId="0" applyFont="0" applyFill="0" applyBorder="0" applyAlignment="0" applyProtection="0"/>
    <xf numFmtId="0" fontId="20" fillId="0" borderId="0"/>
    <xf numFmtId="8" fontId="26" fillId="0" borderId="0" applyFont="0" applyFill="0" applyBorder="0" applyAlignment="0" applyProtection="0"/>
    <xf numFmtId="0" fontId="20" fillId="0" borderId="0"/>
    <xf numFmtId="183" fontId="20" fillId="0" borderId="0" applyFont="0" applyFill="0" applyBorder="0" applyAlignment="0" applyProtection="0"/>
    <xf numFmtId="0" fontId="20" fillId="0" borderId="0"/>
    <xf numFmtId="44" fontId="109" fillId="0" borderId="0" applyFont="0" applyFill="0" applyBorder="0" applyAlignment="0" applyProtection="0">
      <alignment vertical="top"/>
    </xf>
    <xf numFmtId="44" fontId="15" fillId="0" borderId="0" applyFont="0" applyFill="0" applyBorder="0" applyAlignment="0" applyProtection="0"/>
    <xf numFmtId="44" fontId="15" fillId="0" borderId="0" applyFont="0" applyFill="0" applyBorder="0" applyAlignment="0" applyProtection="0"/>
    <xf numFmtId="0" fontId="20" fillId="0" borderId="0"/>
    <xf numFmtId="44" fontId="15" fillId="0" borderId="0" applyFont="0" applyFill="0" applyBorder="0" applyAlignment="0" applyProtection="0"/>
    <xf numFmtId="0" fontId="20" fillId="0" borderId="0"/>
    <xf numFmtId="8" fontId="20" fillId="0" borderId="0">
      <alignment horizontal="right"/>
    </xf>
    <xf numFmtId="0" fontId="20" fillId="0" borderId="0"/>
    <xf numFmtId="0" fontId="20" fillId="0" borderId="0"/>
    <xf numFmtId="6" fontId="20" fillId="0" borderId="0" applyFont="0" applyFill="0" applyBorder="0" applyAlignment="0" applyProtection="0"/>
    <xf numFmtId="0" fontId="20" fillId="0" borderId="0"/>
    <xf numFmtId="0" fontId="20" fillId="0" borderId="0"/>
    <xf numFmtId="0" fontId="20" fillId="0" borderId="0"/>
    <xf numFmtId="274" fontId="24" fillId="29" borderId="0" applyFont="0" applyBorder="0"/>
    <xf numFmtId="0" fontId="20" fillId="0" borderId="0"/>
    <xf numFmtId="14" fontId="20" fillId="0" borderId="0" applyFont="0" applyFill="0" applyBorder="0" applyAlignment="0" applyProtection="0">
      <alignment horizontal="center"/>
    </xf>
    <xf numFmtId="0" fontId="20" fillId="0" borderId="0"/>
    <xf numFmtId="192" fontId="110" fillId="0" borderId="0"/>
    <xf numFmtId="0" fontId="20" fillId="0" borderId="0"/>
    <xf numFmtId="192" fontId="20" fillId="0" borderId="0" applyNumberFormat="0" applyAlignment="0">
      <alignment horizontal="left"/>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5" fontId="84" fillId="0" borderId="0" applyFill="0" applyBorder="0" applyAlignment="0"/>
    <xf numFmtId="297" fontId="84" fillId="36" borderId="0" applyFont="0" applyFill="0" applyBorder="0" applyAlignment="0" applyProtection="0"/>
    <xf numFmtId="298" fontId="18" fillId="36" borderId="32" applyFont="0" applyFill="0" applyBorder="0" applyAlignment="0" applyProtection="0"/>
    <xf numFmtId="298" fontId="18" fillId="36" borderId="32" applyFont="0" applyFill="0" applyBorder="0" applyAlignment="0" applyProtection="0"/>
    <xf numFmtId="297" fontId="50" fillId="36"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299" fontId="20" fillId="0" borderId="0" applyFont="0" applyFill="0" applyBorder="0" applyAlignment="0" applyProtection="0">
      <alignment horizontal="center"/>
    </xf>
    <xf numFmtId="300" fontId="27"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17" fontId="20" fillId="0" borderId="0" applyFont="0" applyFill="0" applyBorder="0" applyAlignment="0" applyProtection="0">
      <alignment horizontal="center"/>
    </xf>
    <xf numFmtId="0" fontId="20" fillId="0" borderId="0"/>
    <xf numFmtId="0" fontId="20" fillId="0" borderId="0"/>
    <xf numFmtId="0" fontId="20" fillId="0" borderId="0"/>
    <xf numFmtId="301" fontId="90" fillId="0" borderId="0" applyFont="0" applyFill="0" applyBorder="0" applyAlignment="0" applyProtection="0">
      <alignment horizontal="center"/>
    </xf>
    <xf numFmtId="302" fontId="90" fillId="0" borderId="33" applyFont="0" applyFill="0" applyBorder="0" applyAlignment="0" applyProtection="0">
      <alignment horizontal="center"/>
    </xf>
    <xf numFmtId="302" fontId="90" fillId="0" borderId="33" applyFont="0" applyFill="0" applyBorder="0" applyAlignment="0" applyProtection="0">
      <alignment horizontal="center"/>
    </xf>
    <xf numFmtId="302" fontId="90" fillId="0" borderId="33" applyFont="0" applyFill="0" applyBorder="0" applyAlignment="0" applyProtection="0">
      <alignment horizontal="center"/>
    </xf>
    <xf numFmtId="302" fontId="90" fillId="0" borderId="33" applyFont="0" applyFill="0" applyBorder="0" applyAlignment="0" applyProtection="0">
      <alignment horizontal="center"/>
    </xf>
    <xf numFmtId="302" fontId="90" fillId="0" borderId="33" applyFont="0" applyFill="0" applyBorder="0" applyAlignment="0" applyProtection="0">
      <alignment horizontal="center"/>
    </xf>
    <xf numFmtId="302" fontId="90" fillId="0" borderId="33" applyFont="0" applyFill="0" applyBorder="0" applyAlignment="0" applyProtection="0">
      <alignment horizontal="center"/>
    </xf>
    <xf numFmtId="186" fontId="50" fillId="0" borderId="33" applyFont="0" applyFill="0" applyBorder="0" applyAlignment="0" applyProtection="0">
      <alignment horizontal="center"/>
    </xf>
    <xf numFmtId="186" fontId="50" fillId="0" borderId="33" applyFont="0" applyFill="0" applyBorder="0" applyAlignment="0" applyProtection="0">
      <alignment horizontal="center"/>
    </xf>
    <xf numFmtId="186" fontId="50" fillId="0" borderId="33" applyFont="0" applyFill="0" applyBorder="0" applyAlignment="0" applyProtection="0">
      <alignment horizontal="center"/>
    </xf>
    <xf numFmtId="186" fontId="50" fillId="0" borderId="33" applyFont="0" applyFill="0" applyBorder="0" applyAlignment="0" applyProtection="0">
      <alignment horizontal="center"/>
    </xf>
    <xf numFmtId="186" fontId="50" fillId="0" borderId="33" applyFont="0" applyFill="0" applyBorder="0" applyAlignment="0" applyProtection="0">
      <alignment horizontal="center"/>
    </xf>
    <xf numFmtId="186" fontId="50" fillId="0" borderId="33" applyFont="0" applyFill="0" applyBorder="0" applyAlignment="0" applyProtection="0">
      <alignment horizontal="center"/>
    </xf>
    <xf numFmtId="14" fontId="111" fillId="0" borderId="0" applyFont="0" applyFill="0" applyBorder="0"/>
    <xf numFmtId="15" fontId="68" fillId="0" borderId="0" applyFont="0" applyFill="0" applyBorder="0" applyAlignment="0" applyProtection="0">
      <alignment horizontal="center"/>
    </xf>
    <xf numFmtId="270" fontId="20" fillId="0" borderId="0" applyFont="0" applyFill="0" applyBorder="0" applyAlignment="0" applyProtection="0">
      <alignment horizontal="center"/>
    </xf>
    <xf numFmtId="270" fontId="112" fillId="0" borderId="0" applyFont="0" applyFill="0" applyBorder="0" applyAlignment="0" applyProtection="0">
      <alignment horizontal="center"/>
    </xf>
    <xf numFmtId="0" fontId="32" fillId="0" borderId="0"/>
    <xf numFmtId="0" fontId="113" fillId="0" borderId="0">
      <protection locked="0"/>
    </xf>
    <xf numFmtId="0" fontId="114" fillId="0" borderId="0">
      <protection locked="0"/>
    </xf>
    <xf numFmtId="0" fontId="114" fillId="0" borderId="0">
      <protection locked="0"/>
    </xf>
    <xf numFmtId="0" fontId="20" fillId="0" borderId="0"/>
    <xf numFmtId="186" fontId="20" fillId="0" borderId="0" applyFont="0" applyFill="0" applyBorder="0" applyAlignment="0" applyProtection="0"/>
    <xf numFmtId="4" fontId="95"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7" fontId="50" fillId="0" borderId="0"/>
    <xf numFmtId="4" fontId="46" fillId="0" borderId="0" applyFont="0" applyFill="0" applyBorder="0" applyAlignment="0" applyProtection="0"/>
    <xf numFmtId="7" fontId="50" fillId="0" borderId="0"/>
    <xf numFmtId="0" fontId="20" fillId="0" borderId="0"/>
    <xf numFmtId="6" fontId="29" fillId="0" borderId="0" applyFont="0" applyFill="0" applyBorder="0" applyAlignment="0" applyProtection="0"/>
    <xf numFmtId="0" fontId="20" fillId="0" borderId="0"/>
    <xf numFmtId="0" fontId="20" fillId="0" borderId="0"/>
    <xf numFmtId="0" fontId="20" fillId="0" borderId="0"/>
    <xf numFmtId="38" fontId="50" fillId="29" borderId="0" applyNumberFormat="0" applyFon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66" fontId="11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303" fontId="20" fillId="36" borderId="0" applyFont="0" applyFill="0" applyBorder="0" applyAlignment="0"/>
    <xf numFmtId="2" fontId="20" fillId="0" borderId="0" applyFont="0" applyFill="0" applyBorder="0" applyAlignment="0" applyProtection="0"/>
    <xf numFmtId="304" fontId="20" fillId="0" borderId="0" applyFont="0" applyFill="0" applyBorder="0" applyAlignment="0"/>
    <xf numFmtId="0" fontId="20" fillId="0" borderId="0"/>
    <xf numFmtId="0" fontId="20" fillId="0" borderId="0"/>
    <xf numFmtId="0" fontId="20" fillId="0" borderId="0"/>
    <xf numFmtId="0" fontId="20" fillId="0" borderId="0"/>
    <xf numFmtId="0" fontId="116" fillId="0" borderId="0">
      <protection locked="0"/>
    </xf>
    <xf numFmtId="0" fontId="20" fillId="0" borderId="0"/>
    <xf numFmtId="305" fontId="20" fillId="63" borderId="0">
      <alignment horizontal="center"/>
      <protection locked="0"/>
    </xf>
    <xf numFmtId="306" fontId="65" fillId="0" borderId="0">
      <alignment horizontal="right"/>
    </xf>
    <xf numFmtId="0" fontId="20" fillId="0" borderId="0"/>
    <xf numFmtId="0" fontId="20" fillId="0" borderId="0"/>
    <xf numFmtId="0" fontId="20" fillId="0" borderId="0"/>
    <xf numFmtId="0" fontId="20" fillId="0" borderId="0"/>
    <xf numFmtId="0" fontId="20" fillId="0" borderId="0"/>
    <xf numFmtId="2" fontId="20" fillId="36" borderId="34" applyFill="0" applyBorder="0" applyProtection="0">
      <alignment horizontal="center"/>
    </xf>
    <xf numFmtId="2" fontId="20" fillId="36" borderId="34" applyFill="0" applyBorder="0" applyProtection="0">
      <alignment horizontal="center"/>
    </xf>
    <xf numFmtId="2" fontId="20" fillId="36" borderId="34" applyFill="0" applyBorder="0" applyProtection="0">
      <alignment horizontal="center"/>
    </xf>
    <xf numFmtId="2" fontId="20" fillId="36" borderId="34" applyFill="0" applyBorder="0" applyProtection="0">
      <alignment horizontal="center"/>
    </xf>
    <xf numFmtId="2" fontId="20" fillId="36" borderId="34" applyFill="0" applyBorder="0" applyProtection="0">
      <alignment horizontal="center"/>
    </xf>
    <xf numFmtId="2" fontId="20" fillId="36" borderId="34" applyFill="0" applyBorder="0" applyProtection="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2" fontId="50" fillId="0" borderId="0" applyFill="0" applyBorder="0" applyAlignment="0" applyProtection="0">
      <alignment horizontal="right"/>
    </xf>
    <xf numFmtId="172" fontId="50" fillId="0" borderId="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17" fillId="0" borderId="0">
      <protection locked="0"/>
    </xf>
    <xf numFmtId="0" fontId="20" fillId="0" borderId="0"/>
    <xf numFmtId="0" fontId="20" fillId="0" borderId="0"/>
    <xf numFmtId="0" fontId="118" fillId="0" borderId="35">
      <alignment horizontal="left" vertical="center"/>
    </xf>
    <xf numFmtId="0" fontId="118" fillId="0" borderId="35">
      <alignment horizontal="left" vertical="center"/>
    </xf>
    <xf numFmtId="0" fontId="118" fillId="0" borderId="35">
      <alignment horizontal="left" vertical="center"/>
    </xf>
    <xf numFmtId="0" fontId="118" fillId="0" borderId="35">
      <alignment horizontal="left" vertical="center"/>
    </xf>
    <xf numFmtId="0" fontId="20" fillId="0" borderId="0"/>
    <xf numFmtId="0" fontId="119" fillId="58" borderId="36" applyNumberFormat="0" applyBorder="0">
      <alignment horizontal="left" vertical="center" indent="1"/>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9" fontId="120" fillId="0" borderId="0">
      <alignment horizontal="centerContinuous"/>
    </xf>
    <xf numFmtId="0" fontId="20" fillId="0" borderId="0"/>
    <xf numFmtId="0" fontId="121" fillId="0" borderId="3" applyFill="0" applyAlignment="0" applyProtection="0">
      <protection locked="0"/>
    </xf>
    <xf numFmtId="0" fontId="121" fillId="0" borderId="3" applyFill="0" applyAlignment="0" applyProtection="0">
      <protection locked="0"/>
    </xf>
    <xf numFmtId="0" fontId="121" fillId="0" borderId="3" applyFill="0" applyAlignment="0" applyProtection="0">
      <protection locked="0"/>
    </xf>
    <xf numFmtId="0" fontId="20" fillId="0" borderId="0"/>
    <xf numFmtId="0" fontId="20" fillId="0" borderId="0"/>
    <xf numFmtId="0" fontId="20" fillId="0" borderId="0"/>
    <xf numFmtId="0" fontId="20" fillId="0" borderId="0"/>
    <xf numFmtId="0" fontId="122" fillId="64" borderId="37">
      <alignment horizontal="left" vertical="center"/>
    </xf>
    <xf numFmtId="0" fontId="122" fillId="64" borderId="37">
      <alignment horizontal="left" vertical="center"/>
    </xf>
    <xf numFmtId="0" fontId="122" fillId="64" borderId="37">
      <alignment horizontal="left" vertical="center"/>
    </xf>
    <xf numFmtId="0" fontId="122" fillId="64" borderId="37">
      <alignment horizontal="left" vertical="center"/>
    </xf>
    <xf numFmtId="0" fontId="122" fillId="64" borderId="37">
      <alignment horizontal="left" vertical="center"/>
    </xf>
    <xf numFmtId="0" fontId="122" fillId="64" borderId="37">
      <alignment horizontal="left" vertical="center"/>
    </xf>
    <xf numFmtId="0" fontId="122" fillId="64" borderId="38" applyBorder="0">
      <alignment horizontal="center" vertical="center" wrapText="1"/>
    </xf>
    <xf numFmtId="0" fontId="122" fillId="64" borderId="38" applyBorder="0">
      <alignment horizontal="center" vertical="center" wrapText="1"/>
    </xf>
    <xf numFmtId="0" fontId="122" fillId="64" borderId="38" applyBorder="0">
      <alignment horizontal="center" vertical="center" wrapText="1"/>
    </xf>
    <xf numFmtId="0" fontId="122" fillId="64" borderId="38" applyBorder="0">
      <alignment horizontal="center" vertical="center" wrapText="1"/>
    </xf>
    <xf numFmtId="0" fontId="122" fillId="64" borderId="38" applyBorder="0">
      <alignment horizontal="center" vertical="center" wrapText="1"/>
    </xf>
    <xf numFmtId="0" fontId="122" fillId="64" borderId="38" applyBorder="0">
      <alignment horizontal="center" vertical="center" wrapText="1"/>
    </xf>
    <xf numFmtId="0" fontId="20" fillId="0" borderId="0"/>
    <xf numFmtId="0" fontId="20" fillId="0" borderId="0"/>
    <xf numFmtId="0" fontId="20" fillId="0" borderId="0"/>
    <xf numFmtId="0" fontId="20" fillId="0" borderId="0"/>
    <xf numFmtId="0" fontId="20" fillId="0" borderId="0"/>
    <xf numFmtId="0" fontId="123" fillId="0" borderId="0" applyNumberFormat="0" applyFill="0" applyBorder="0" applyAlignment="0" applyProtection="0">
      <alignment vertical="top"/>
      <protection locked="0"/>
    </xf>
    <xf numFmtId="0" fontId="124" fillId="0" borderId="0"/>
    <xf numFmtId="0" fontId="35" fillId="0" borderId="0"/>
    <xf numFmtId="270" fontId="29" fillId="0" borderId="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8" fontId="50" fillId="36" borderId="0" applyFont="0" applyBorder="0" applyAlignment="0" applyProtection="0">
      <protection locked="0"/>
    </xf>
    <xf numFmtId="298" fontId="50" fillId="36" borderId="0" applyFont="0" applyBorder="0" applyAlignment="0" applyProtection="0">
      <protection locked="0"/>
    </xf>
    <xf numFmtId="303" fontId="50" fillId="36" borderId="0" applyFont="0" applyBorder="0" applyAlignment="0">
      <protection locked="0"/>
    </xf>
    <xf numFmtId="270" fontId="50" fillId="36" borderId="0">
      <protection locked="0"/>
    </xf>
    <xf numFmtId="307" fontId="50" fillId="36" borderId="0" applyFont="0" applyBorder="0" applyAlignment="0">
      <protection locked="0"/>
    </xf>
    <xf numFmtId="10" fontId="50" fillId="36" borderId="0">
      <protection locked="0"/>
    </xf>
    <xf numFmtId="270" fontId="125" fillId="36" borderId="0" applyNumberFormat="0" applyBorder="0" applyAlignment="0">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26" fillId="0" borderId="0" applyNumberFormat="0" applyFill="0" applyBorder="0" applyAlignment="0">
      <protection locked="0"/>
    </xf>
    <xf numFmtId="8" fontId="127" fillId="0" borderId="31" applyNumberFormat="0" applyFill="0" applyBorder="0" applyAlignment="0" applyProtection="0"/>
    <xf numFmtId="8" fontId="127" fillId="0" borderId="31" applyNumberFormat="0" applyFill="0" applyBorder="0" applyAlignment="0" applyProtection="0"/>
    <xf numFmtId="8" fontId="127" fillId="0" borderId="31" applyNumberFormat="0" applyFill="0" applyBorder="0" applyAlignment="0" applyProtection="0"/>
    <xf numFmtId="8" fontId="127" fillId="0" borderId="31" applyNumberFormat="0" applyFill="0" applyBorder="0" applyAlignment="0" applyProtection="0"/>
    <xf numFmtId="8" fontId="127" fillId="0" borderId="31" applyNumberFormat="0" applyFill="0" applyBorder="0" applyAlignment="0" applyProtection="0"/>
    <xf numFmtId="8" fontId="127" fillId="0" borderId="31" applyNumberFormat="0" applyFill="0" applyBorder="0" applyAlignment="0" applyProtection="0"/>
    <xf numFmtId="270" fontId="50" fillId="36" borderId="0" applyNumberFormat="0" applyFont="0" applyBorder="0" applyAlignment="0" applyProtection="0">
      <alignment horizontal="center"/>
      <protection locked="0"/>
    </xf>
    <xf numFmtId="0" fontId="128" fillId="0" borderId="0" applyNumberFormat="0" applyFill="0" applyBorder="0" applyAlignment="0">
      <protection locked="0"/>
    </xf>
    <xf numFmtId="308" fontId="20" fillId="0" borderId="0" applyFill="0" applyBorder="0" applyAlignment="0">
      <protection locked="0"/>
    </xf>
    <xf numFmtId="0" fontId="20" fillId="0" borderId="0"/>
    <xf numFmtId="0" fontId="20" fillId="0" borderId="0"/>
    <xf numFmtId="0" fontId="20" fillId="0" borderId="0"/>
    <xf numFmtId="0" fontId="20" fillId="0" borderId="0"/>
    <xf numFmtId="309" fontId="20" fillId="0" borderId="0" applyFill="0" applyBorder="0">
      <alignment horizontal="right"/>
      <protection locked="0"/>
    </xf>
    <xf numFmtId="0" fontId="44" fillId="65" borderId="37">
      <alignment horizontal="left" vertical="center" wrapText="1"/>
    </xf>
    <xf numFmtId="0" fontId="44" fillId="65" borderId="37">
      <alignment horizontal="left" vertical="center" wrapText="1"/>
    </xf>
    <xf numFmtId="0" fontId="44" fillId="65" borderId="37">
      <alignment horizontal="left" vertical="center" wrapText="1"/>
    </xf>
    <xf numFmtId="0" fontId="44" fillId="65" borderId="37">
      <alignment horizontal="left" vertical="center" wrapText="1"/>
    </xf>
    <xf numFmtId="0" fontId="44" fillId="65" borderId="37">
      <alignment horizontal="left" vertical="center" wrapText="1"/>
    </xf>
    <xf numFmtId="0" fontId="44" fillId="65" borderId="37">
      <alignment horizontal="left" vertical="center" wrapText="1"/>
    </xf>
    <xf numFmtId="0" fontId="20" fillId="0" borderId="0"/>
    <xf numFmtId="0" fontId="20" fillId="0" borderId="0"/>
    <xf numFmtId="0" fontId="20" fillId="0" borderId="0"/>
    <xf numFmtId="0" fontId="20" fillId="0" borderId="0"/>
    <xf numFmtId="0" fontId="20" fillId="0" borderId="0" applyFont="0" applyFill="0" applyBorder="0" applyAlignment="0" applyProtection="0"/>
    <xf numFmtId="177" fontId="23" fillId="29" borderId="0" applyFont="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4" fillId="0" borderId="0" applyNumberFormat="0" applyFont="0" applyFill="0" applyBorder="0" applyProtection="0">
      <alignment horizontal="left" vertical="center"/>
    </xf>
    <xf numFmtId="0" fontId="20" fillId="0" borderId="0"/>
    <xf numFmtId="0" fontId="20" fillId="0" borderId="0"/>
    <xf numFmtId="0" fontId="20" fillId="0" borderId="0"/>
    <xf numFmtId="0" fontId="20" fillId="0" borderId="0"/>
    <xf numFmtId="0" fontId="129" fillId="0" borderId="0" applyNumberFormat="0" applyFill="0" applyBorder="0" applyAlignment="0" applyProtection="0">
      <alignment vertical="top"/>
      <protection locked="0"/>
    </xf>
    <xf numFmtId="1" fontId="50" fillId="0" borderId="3" applyNumberFormat="0" applyFont="0" applyFill="0" applyAlignment="0" applyProtection="0">
      <alignment horizontal="center"/>
    </xf>
    <xf numFmtId="1" fontId="50" fillId="0" borderId="3" applyNumberFormat="0" applyFont="0" applyFill="0" applyAlignment="0" applyProtection="0">
      <alignment horizontal="center"/>
    </xf>
    <xf numFmtId="1" fontId="50" fillId="0" borderId="3" applyNumberFormat="0" applyFont="0" applyFill="0" applyAlignment="0" applyProtection="0">
      <alignment horizontal="center"/>
    </xf>
    <xf numFmtId="0" fontId="20" fillId="0" borderId="0"/>
    <xf numFmtId="2" fontId="20" fillId="0" borderId="0" applyNumberFormat="0" applyBorder="0">
      <alignment horizontal="left"/>
    </xf>
    <xf numFmtId="1" fontId="50" fillId="0" borderId="33" applyNumberFormat="0" applyFont="0" applyFill="0" applyProtection="0">
      <alignment horizontal="center"/>
    </xf>
    <xf numFmtId="1" fontId="50" fillId="0" borderId="33" applyNumberFormat="0" applyFont="0" applyFill="0" applyProtection="0">
      <alignment horizontal="center"/>
    </xf>
    <xf numFmtId="1" fontId="50" fillId="0" borderId="33" applyNumberFormat="0" applyFont="0" applyFill="0" applyProtection="0">
      <alignment horizontal="center"/>
    </xf>
    <xf numFmtId="1" fontId="50" fillId="0" borderId="33" applyNumberFormat="0" applyFont="0" applyFill="0" applyProtection="0">
      <alignment horizontal="center"/>
    </xf>
    <xf numFmtId="1" fontId="50" fillId="0" borderId="33" applyNumberFormat="0" applyFont="0" applyFill="0" applyProtection="0">
      <alignment horizontal="center"/>
    </xf>
    <xf numFmtId="1" fontId="50" fillId="0" borderId="33" applyNumberFormat="0" applyFont="0" applyFill="0" applyProtection="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 fontId="24" fillId="0" borderId="0"/>
    <xf numFmtId="310" fontId="118" fillId="66" borderId="39" applyBorder="0">
      <protection locked="0"/>
    </xf>
    <xf numFmtId="0" fontId="24" fillId="0" borderId="0" applyNumberFormat="0" applyFill="0" applyBorder="0" applyAlignment="0" applyProtection="0"/>
    <xf numFmtId="0" fontId="24" fillId="0" borderId="0" applyNumberFormat="0" applyFill="0" applyBorder="0" applyAlignment="0" applyProtection="0"/>
    <xf numFmtId="0" fontId="130" fillId="0" borderId="0" applyNumberFormat="0" applyFill="0" applyBorder="0" applyAlignment="0" applyProtection="0"/>
    <xf numFmtId="270" fontId="50" fillId="0" borderId="0" applyFill="0" applyBorder="0" applyAlignment="0" applyProtection="0"/>
    <xf numFmtId="0" fontId="20" fillId="0" borderId="0"/>
    <xf numFmtId="0" fontId="20" fillId="0" borderId="0"/>
    <xf numFmtId="0" fontId="24" fillId="0" borderId="0"/>
    <xf numFmtId="311" fontId="20"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312" fontId="20" fillId="0" borderId="3" applyFont="0" applyFill="0" applyBorder="0" applyAlignment="0" applyProtection="0">
      <protection locked="0"/>
    </xf>
    <xf numFmtId="312" fontId="20" fillId="0" borderId="3" applyFont="0" applyFill="0" applyBorder="0" applyAlignment="0" applyProtection="0">
      <protection locked="0"/>
    </xf>
    <xf numFmtId="312" fontId="20" fillId="0" borderId="3" applyFont="0" applyFill="0" applyBorder="0" applyAlignment="0" applyProtection="0">
      <protection locked="0"/>
    </xf>
    <xf numFmtId="0" fontId="20" fillId="0" borderId="0"/>
    <xf numFmtId="0" fontId="20" fillId="0" borderId="0"/>
    <xf numFmtId="0" fontId="20" fillId="0" borderId="0"/>
    <xf numFmtId="243" fontId="20" fillId="0" borderId="0" applyFont="0" applyFill="0" applyBorder="0" applyAlignment="0" applyProtection="0"/>
    <xf numFmtId="243" fontId="20" fillId="0" borderId="0" applyFont="0" applyFill="0" applyBorder="0" applyAlignment="0" applyProtection="0"/>
    <xf numFmtId="313" fontId="20" fillId="0" borderId="0" applyFont="0" applyFill="0" applyBorder="0" applyAlignment="0" applyProtection="0"/>
    <xf numFmtId="278" fontId="20" fillId="0" borderId="0" applyFont="0" applyFill="0" applyBorder="0" applyAlignment="0" applyProtection="0"/>
    <xf numFmtId="314" fontId="20"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17" fontId="111" fillId="0" borderId="0" applyFont="0" applyFill="0" applyBorder="0">
      <alignment horizontal="right"/>
    </xf>
    <xf numFmtId="17" fontId="68" fillId="0" borderId="0" applyFont="0" applyFill="0" applyBorder="0" applyAlignment="0" applyProtection="0">
      <alignment horizontal="center"/>
    </xf>
    <xf numFmtId="315" fontId="24" fillId="0" borderId="3" applyFont="0" applyFill="0" applyBorder="0" applyProtection="0"/>
    <xf numFmtId="315" fontId="24" fillId="0" borderId="3" applyFont="0" applyFill="0" applyBorder="0" applyProtection="0"/>
    <xf numFmtId="315" fontId="24" fillId="0" borderId="3" applyFont="0" applyFill="0" applyBorder="0" applyProtection="0"/>
    <xf numFmtId="316" fontId="24" fillId="0" borderId="3" applyFont="0" applyFill="0" applyBorder="0" applyAlignment="0" applyProtection="0"/>
    <xf numFmtId="316" fontId="24" fillId="0" borderId="3" applyFont="0" applyFill="0" applyBorder="0" applyAlignment="0" applyProtection="0"/>
    <xf numFmtId="316" fontId="24" fillId="0" borderId="3" applyFont="0" applyFill="0" applyBorder="0" applyAlignment="0" applyProtection="0"/>
    <xf numFmtId="0" fontId="20" fillId="0" borderId="0"/>
    <xf numFmtId="315" fontId="24" fillId="0" borderId="0" applyFont="0" applyFill="0" applyBorder="0" applyAlignment="0" applyProtection="0"/>
    <xf numFmtId="316" fontId="24" fillId="0" borderId="0" applyFont="0" applyFill="0" applyBorder="0" applyAlignment="0" applyProtection="0"/>
    <xf numFmtId="317" fontId="46" fillId="0" borderId="0" applyFont="0" applyFill="0" applyBorder="0" applyAlignment="0" applyProtection="0"/>
    <xf numFmtId="318" fontId="29" fillId="0" borderId="0" applyFont="0" applyFill="0" applyBorder="0" applyAlignment="0" applyProtection="0"/>
    <xf numFmtId="319" fontId="46" fillId="0" borderId="0" applyFont="0" applyFill="0" applyBorder="0" applyAlignment="0" applyProtection="0"/>
    <xf numFmtId="0" fontId="20" fillId="0" borderId="0"/>
    <xf numFmtId="320" fontId="46"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167" fontId="50" fillId="29" borderId="0" applyFont="0" applyBorder="0" applyAlignment="0" applyProtection="0">
      <alignment horizontal="right"/>
      <protection hidden="1"/>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0" fontId="44" fillId="0" borderId="0" applyFont="0" applyFill="0" applyBorder="0" applyAlignment="0" applyProtection="0">
      <alignment horizontal="center"/>
    </xf>
    <xf numFmtId="0" fontId="20" fillId="0" borderId="0"/>
    <xf numFmtId="321" fontId="24" fillId="0" borderId="0"/>
    <xf numFmtId="0" fontId="20" fillId="0" borderId="0"/>
    <xf numFmtId="0" fontId="20" fillId="0" borderId="0"/>
    <xf numFmtId="0" fontId="65" fillId="0" borderId="0" applyNumberFormat="0" applyFill="0" applyAlignment="0" applyProtection="0"/>
    <xf numFmtId="0" fontId="20" fillId="0" borderId="0"/>
    <xf numFmtId="0" fontId="20" fillId="0" borderId="0"/>
    <xf numFmtId="322" fontId="20" fillId="0" borderId="0"/>
    <xf numFmtId="0" fontId="20" fillId="0" borderId="0"/>
    <xf numFmtId="0" fontId="31"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38" fontId="50" fillId="0" borderId="0" applyFont="0" applyFill="0" applyBorder="0" applyAlignment="0"/>
    <xf numFmtId="270" fontId="20" fillId="0" borderId="0" applyFont="0" applyFill="0" applyBorder="0" applyAlignment="0"/>
    <xf numFmtId="40" fontId="50" fillId="0" borderId="0" applyFont="0" applyFill="0" applyBorder="0" applyAlignment="0"/>
    <xf numFmtId="274" fontId="50" fillId="0" borderId="0" applyFont="0" applyFill="0" applyBorder="0" applyAlignment="0"/>
    <xf numFmtId="0" fontId="20" fillId="0" borderId="0"/>
    <xf numFmtId="0" fontId="15"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0" borderId="0"/>
    <xf numFmtId="0" fontId="20" fillId="0" borderId="0"/>
    <xf numFmtId="0" fontId="20" fillId="0" borderId="0"/>
    <xf numFmtId="0" fontId="20" fillId="0" borderId="0"/>
    <xf numFmtId="0" fontId="15" fillId="0" borderId="0"/>
    <xf numFmtId="0" fontId="20" fillId="0" borderId="0"/>
    <xf numFmtId="0" fontId="15" fillId="0" borderId="0"/>
    <xf numFmtId="0" fontId="20" fillId="0" borderId="0"/>
    <xf numFmtId="0" fontId="15" fillId="0" borderId="0"/>
    <xf numFmtId="0" fontId="20" fillId="0" borderId="0"/>
    <xf numFmtId="0" fontId="15" fillId="0" borderId="0"/>
    <xf numFmtId="0" fontId="20" fillId="0" borderId="0"/>
    <xf numFmtId="0" fontId="20" fillId="0" borderId="0"/>
    <xf numFmtId="0" fontId="15" fillId="0" borderId="0"/>
    <xf numFmtId="0" fontId="20" fillId="0" borderId="0"/>
    <xf numFmtId="0" fontId="15" fillId="0" borderId="0"/>
    <xf numFmtId="0" fontId="15" fillId="0" borderId="0"/>
    <xf numFmtId="0" fontId="20" fillId="0" borderId="0"/>
    <xf numFmtId="0" fontId="20" fillId="0" borderId="0"/>
    <xf numFmtId="0" fontId="20" fillId="0" borderId="0"/>
    <xf numFmtId="0" fontId="20" fillId="0" borderId="0"/>
    <xf numFmtId="0" fontId="20" fillId="0" borderId="0"/>
    <xf numFmtId="0" fontId="103" fillId="0" borderId="0"/>
    <xf numFmtId="0" fontId="20" fillId="0" borderId="0"/>
    <xf numFmtId="0" fontId="20" fillId="0" borderId="0"/>
    <xf numFmtId="0" fontId="23"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47" fontId="1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0" borderId="0"/>
    <xf numFmtId="0" fontId="103" fillId="0" borderId="0"/>
    <xf numFmtId="0" fontId="103"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03" fillId="0" borderId="0"/>
    <xf numFmtId="0" fontId="103" fillId="0" borderId="0"/>
    <xf numFmtId="0" fontId="15"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5" fillId="0" borderId="0"/>
    <xf numFmtId="0" fontId="20" fillId="0" borderId="0"/>
    <xf numFmtId="0" fontId="15" fillId="0" borderId="0"/>
    <xf numFmtId="0" fontId="20" fillId="0" borderId="0"/>
    <xf numFmtId="323" fontId="36" fillId="0" borderId="0">
      <alignment horizontal="right"/>
    </xf>
    <xf numFmtId="323" fontId="36" fillId="0" borderId="0">
      <alignment horizontal="right"/>
    </xf>
    <xf numFmtId="0" fontId="20" fillId="0" borderId="0"/>
    <xf numFmtId="1" fontId="68" fillId="0" borderId="0" applyFont="0" applyFill="0" applyBorder="0" applyAlignment="0" applyProtection="0">
      <alignment horizontal="center"/>
    </xf>
    <xf numFmtId="324" fontId="50" fillId="0" borderId="0" applyFont="0" applyFill="0" applyBorder="0" applyAlignment="0" applyProtection="0"/>
    <xf numFmtId="41" fontId="131" fillId="0" borderId="0"/>
    <xf numFmtId="270" fontId="20" fillId="0" borderId="0">
      <alignment horizontal="right"/>
    </xf>
    <xf numFmtId="270" fontId="50" fillId="0" borderId="0"/>
    <xf numFmtId="0" fontId="20" fillId="0" borderId="0"/>
    <xf numFmtId="40" fontId="50" fillId="0" borderId="0"/>
    <xf numFmtId="325" fontId="20" fillId="0" borderId="0"/>
    <xf numFmtId="38" fontId="20" fillId="0" borderId="0"/>
    <xf numFmtId="0" fontId="20" fillId="0" borderId="0"/>
    <xf numFmtId="0" fontId="20" fillId="0" borderId="0"/>
    <xf numFmtId="0" fontId="20" fillId="0" borderId="0"/>
    <xf numFmtId="0" fontId="20" fillId="0" borderId="0"/>
    <xf numFmtId="269" fontId="132" fillId="0" borderId="0">
      <alignment horizontal="right"/>
    </xf>
    <xf numFmtId="0" fontId="20" fillId="0" borderId="0"/>
    <xf numFmtId="0" fontId="20" fillId="0" borderId="0"/>
    <xf numFmtId="0" fontId="20" fillId="0" borderId="0"/>
    <xf numFmtId="39" fontId="50" fillId="0" borderId="0"/>
    <xf numFmtId="0" fontId="20" fillId="0" borderId="0"/>
    <xf numFmtId="40" fontId="20" fillId="0" borderId="0" applyBorder="0">
      <alignment horizontal="right"/>
    </xf>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20" fillId="0" borderId="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0" fontId="20" fillId="0" borderId="0"/>
    <xf numFmtId="0" fontId="15" fillId="3" borderId="1" applyNumberFormat="0" applyFont="0" applyAlignment="0" applyProtection="0"/>
    <xf numFmtId="270" fontId="50"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40" fontId="20" fillId="0" borderId="0" applyFont="0" applyFill="0" applyBorder="0" applyAlignment="0" applyProtection="0">
      <alignment horizontal="center"/>
    </xf>
    <xf numFmtId="0" fontId="20" fillId="0" borderId="0"/>
    <xf numFmtId="0" fontId="20" fillId="0" borderId="0"/>
    <xf numFmtId="0" fontId="20" fillId="0" borderId="0"/>
    <xf numFmtId="0" fontId="20" fillId="0" borderId="0"/>
    <xf numFmtId="43" fontId="24" fillId="0" borderId="0" applyFont="0" applyFill="0" applyBorder="0" applyAlignment="0" applyProtection="0"/>
    <xf numFmtId="0" fontId="20" fillId="0" borderId="0"/>
    <xf numFmtId="0" fontId="20" fillId="0" borderId="0"/>
    <xf numFmtId="0" fontId="20" fillId="0" borderId="0"/>
    <xf numFmtId="0" fontId="133" fillId="0" borderId="0">
      <alignment horizontal="left" vertical="top"/>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34" fillId="0" borderId="3" applyNumberFormat="0" applyFill="0" applyBorder="0" applyAlignment="0">
      <protection locked="0"/>
    </xf>
    <xf numFmtId="0" fontId="134" fillId="0" borderId="3" applyNumberFormat="0" applyFill="0" applyBorder="0" applyAlignment="0">
      <protection locked="0"/>
    </xf>
    <xf numFmtId="0" fontId="134" fillId="0" borderId="3" applyNumberFormat="0" applyFill="0" applyBorder="0" applyAlignment="0">
      <protection locked="0"/>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68" fillId="0" borderId="0" applyNumberFormat="0" applyFill="0" applyBorder="0" applyAlignment="0" applyProtection="0"/>
    <xf numFmtId="326" fontId="50" fillId="0" borderId="0"/>
    <xf numFmtId="0" fontId="20" fillId="0" borderId="0"/>
    <xf numFmtId="0" fontId="20" fillId="0" borderId="0"/>
    <xf numFmtId="0" fontId="20" fillId="0" borderId="0"/>
    <xf numFmtId="0" fontId="20" fillId="0" borderId="0"/>
    <xf numFmtId="0" fontId="105" fillId="0" borderId="0"/>
    <xf numFmtId="327" fontId="20" fillId="0" borderId="0" applyFont="0" applyFill="0" applyBorder="0" applyAlignment="0" applyProtection="0"/>
    <xf numFmtId="328" fontId="20" fillId="0" borderId="0" applyFon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329" fontId="46" fillId="0" borderId="0" applyFont="0" applyFill="0" applyBorder="0" applyAlignment="0" applyProtection="0"/>
    <xf numFmtId="165" fontId="135" fillId="0" borderId="0" applyFont="0" applyFill="0" applyBorder="0" applyAlignment="0" applyProtection="0"/>
    <xf numFmtId="0" fontId="20" fillId="0" borderId="0"/>
    <xf numFmtId="0" fontId="20" fillId="0" borderId="0"/>
    <xf numFmtId="0" fontId="20" fillId="0" borderId="0"/>
    <xf numFmtId="330" fontId="20" fillId="0" borderId="0" applyFont="0" applyFill="0" applyBorder="0" applyAlignment="0" applyProtection="0"/>
    <xf numFmtId="331" fontId="20" fillId="0" borderId="0" applyFont="0" applyFill="0" applyBorder="0" applyAlignment="0" applyProtection="0"/>
    <xf numFmtId="276" fontId="20" fillId="0" borderId="0" applyFont="0" applyFill="0" applyBorder="0" applyAlignment="0" applyProtection="0"/>
    <xf numFmtId="278" fontId="24" fillId="0" borderId="0" applyFont="0" applyFill="0" applyBorder="0" applyAlignment="0" applyProtection="0"/>
    <xf numFmtId="185" fontId="24" fillId="0" borderId="0" applyFont="0" applyFill="0" applyBorder="0" applyAlignment="0" applyProtection="0"/>
    <xf numFmtId="332" fontId="24" fillId="0" borderId="0" applyFont="0" applyFill="0" applyBorder="0" applyAlignment="0" applyProtection="0"/>
    <xf numFmtId="282" fontId="20" fillId="0" borderId="0" applyFont="0" applyFill="0" applyBorder="0" applyAlignment="0" applyProtection="0"/>
    <xf numFmtId="0" fontId="20" fillId="0" borderId="0"/>
    <xf numFmtId="0" fontId="20" fillId="0" borderId="0"/>
    <xf numFmtId="0" fontId="20" fillId="0" borderId="0"/>
    <xf numFmtId="9" fontId="15" fillId="0" borderId="0" applyFont="0" applyFill="0" applyBorder="0" applyAlignment="0" applyProtection="0"/>
    <xf numFmtId="9" fontId="103" fillId="0" borderId="0" applyFont="0" applyFill="0" applyBorder="0" applyAlignment="0" applyProtection="0"/>
    <xf numFmtId="9" fontId="20" fillId="0" borderId="0" applyFont="0" applyFill="0" applyBorder="0" applyAlignment="0" applyProtection="0"/>
    <xf numFmtId="9" fontId="15"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9" fontId="20" fillId="0" borderId="0" applyFont="0" applyFill="0" applyBorder="0" applyAlignment="0" applyProtection="0"/>
    <xf numFmtId="9" fontId="20" fillId="0" borderId="0" applyFont="0" applyFill="0" applyBorder="0" applyAlignment="0" applyProtection="0"/>
    <xf numFmtId="0" fontId="20" fillId="0" borderId="0"/>
    <xf numFmtId="9" fontId="20" fillId="0" borderId="0" applyFont="0" applyFill="0" applyBorder="0" applyAlignment="0" applyProtection="0"/>
    <xf numFmtId="9" fontId="26" fillId="0" borderId="0" applyFont="0" applyFill="0" applyBorder="0" applyAlignment="0" applyProtection="0"/>
    <xf numFmtId="0" fontId="20" fillId="0" borderId="0"/>
    <xf numFmtId="9" fontId="20" fillId="0" borderId="0" applyFont="0" applyFill="0" applyBorder="0" applyAlignment="0" applyProtection="0"/>
    <xf numFmtId="0" fontId="20" fillId="0" borderId="0"/>
    <xf numFmtId="9" fontId="82" fillId="0" borderId="0" applyFont="0" applyFill="0" applyBorder="0" applyAlignment="0" applyProtection="0"/>
    <xf numFmtId="0" fontId="20" fillId="0" borderId="0"/>
    <xf numFmtId="0" fontId="20" fillId="0" borderId="0"/>
    <xf numFmtId="0" fontId="20" fillId="0" borderId="0"/>
    <xf numFmtId="9" fontId="20" fillId="0" borderId="0" applyFont="0" applyFill="0" applyBorder="0" applyAlignment="0" applyProtection="0"/>
    <xf numFmtId="0" fontId="20" fillId="0" borderId="0"/>
    <xf numFmtId="0" fontId="20" fillId="0" borderId="0"/>
    <xf numFmtId="307" fontId="68" fillId="0" borderId="0" applyFont="0" applyFill="0" applyBorder="0" applyAlignment="0" applyProtection="0">
      <alignment horizont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333" fontId="20" fillId="0" borderId="0" applyFill="0" applyBorder="0">
      <alignment horizontal="right"/>
      <protection locked="0"/>
    </xf>
    <xf numFmtId="334" fontId="136" fillId="0" borderId="0" applyFont="0" applyFill="0" applyBorder="0" applyAlignment="0" applyProtection="0">
      <protection locked="0"/>
    </xf>
    <xf numFmtId="0" fontId="20" fillId="0" borderId="0"/>
    <xf numFmtId="0" fontId="20" fillId="0" borderId="0"/>
    <xf numFmtId="335" fontId="50" fillId="0" borderId="0" applyFont="0" applyFill="0" applyBorder="0" applyAlignment="0" applyProtection="0"/>
    <xf numFmtId="336" fontId="50" fillId="0" borderId="0" applyFont="0" applyFill="0" applyBorder="0" applyAlignment="0" applyProtection="0"/>
    <xf numFmtId="0" fontId="20" fillId="0" borderId="0"/>
    <xf numFmtId="0" fontId="20" fillId="0" borderId="0"/>
    <xf numFmtId="0" fontId="20" fillId="0" borderId="0"/>
    <xf numFmtId="0" fontId="20" fillId="0" borderId="0"/>
    <xf numFmtId="337" fontId="2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8" fontId="137" fillId="0" borderId="40">
      <alignment horizontal="right"/>
    </xf>
    <xf numFmtId="0" fontId="20" fillId="0" borderId="0"/>
    <xf numFmtId="0" fontId="20" fillId="0" borderId="0"/>
    <xf numFmtId="0" fontId="20" fillId="0" borderId="0"/>
    <xf numFmtId="0" fontId="20" fillId="0" borderId="0"/>
    <xf numFmtId="0" fontId="138" fillId="0" borderId="0"/>
    <xf numFmtId="0" fontId="138" fillId="0" borderId="41">
      <alignment horizontal="right"/>
    </xf>
    <xf numFmtId="0" fontId="13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39" fillId="0" borderId="0"/>
    <xf numFmtId="0" fontId="20" fillId="0" borderId="0"/>
    <xf numFmtId="0" fontId="20" fillId="0" borderId="0"/>
    <xf numFmtId="0" fontId="20" fillId="0" borderId="0"/>
    <xf numFmtId="338" fontId="20" fillId="0" borderId="0">
      <alignment horizontal="right"/>
      <protection locked="0"/>
    </xf>
    <xf numFmtId="0" fontId="20" fillId="0" borderId="0"/>
    <xf numFmtId="0" fontId="20" fillId="0" borderId="0"/>
    <xf numFmtId="0" fontId="20" fillId="0" borderId="0"/>
    <xf numFmtId="0" fontId="20" fillId="0" borderId="0"/>
    <xf numFmtId="0" fontId="20" fillId="0" borderId="0"/>
    <xf numFmtId="270" fontId="140" fillId="0" borderId="0" applyNumberFormat="0" applyFill="0" applyBorder="0" applyAlignment="0" applyProtection="0">
      <alignment horizontal="left"/>
    </xf>
    <xf numFmtId="0" fontId="20" fillId="0" borderId="0"/>
    <xf numFmtId="0" fontId="20" fillId="0" borderId="0"/>
    <xf numFmtId="192" fontId="24" fillId="0" borderId="0">
      <alignment horizontal="right"/>
    </xf>
    <xf numFmtId="0" fontId="20" fillId="0" borderId="0"/>
    <xf numFmtId="339" fontId="20" fillId="0" borderId="42" applyBorder="0">
      <alignment horizontal="right"/>
    </xf>
    <xf numFmtId="339" fontId="20" fillId="0" borderId="42" applyBorder="0">
      <alignment horizontal="right"/>
    </xf>
    <xf numFmtId="339" fontId="20" fillId="0" borderId="42" applyBorder="0">
      <alignment horizontal="right"/>
    </xf>
    <xf numFmtId="339" fontId="20" fillId="0" borderId="42" applyBorder="0">
      <alignment horizontal="right"/>
    </xf>
    <xf numFmtId="0" fontId="20" fillId="0" borderId="0"/>
    <xf numFmtId="0" fontId="20" fillId="0" borderId="0"/>
    <xf numFmtId="0" fontId="20" fillId="0" borderId="0"/>
    <xf numFmtId="0" fontId="20" fillId="0" borderId="0"/>
    <xf numFmtId="0" fontId="20" fillId="0" borderId="0"/>
    <xf numFmtId="0" fontId="20" fillId="0" borderId="0"/>
    <xf numFmtId="0" fontId="141" fillId="0" borderId="0">
      <alignment horizontal="right"/>
    </xf>
    <xf numFmtId="0" fontId="142" fillId="0" borderId="0">
      <alignment horizontal="right"/>
    </xf>
    <xf numFmtId="0" fontId="34"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43" fillId="0" borderId="43"/>
    <xf numFmtId="0" fontId="143" fillId="0" borderId="43"/>
    <xf numFmtId="0" fontId="143" fillId="0" borderId="43"/>
    <xf numFmtId="0" fontId="143" fillId="0" borderId="43"/>
    <xf numFmtId="0" fontId="143" fillId="0" borderId="43"/>
    <xf numFmtId="0" fontId="143" fillId="0" borderId="43"/>
    <xf numFmtId="0" fontId="20" fillId="0" borderId="0"/>
    <xf numFmtId="0" fontId="118" fillId="62" borderId="29">
      <alignment horizontal="center" vertical="center" wrapText="1"/>
      <protection hidden="1"/>
    </xf>
    <xf numFmtId="0" fontId="118" fillId="62" borderId="29">
      <alignment horizontal="center" vertical="center" wrapText="1"/>
      <protection hidden="1"/>
    </xf>
    <xf numFmtId="0" fontId="118" fillId="62" borderId="29">
      <alignment horizontal="center" vertical="center" wrapText="1"/>
      <protection hidden="1"/>
    </xf>
    <xf numFmtId="0" fontId="118" fillId="62" borderId="29">
      <alignment horizontal="center" vertical="center" wrapText="1"/>
      <protection hidden="1"/>
    </xf>
    <xf numFmtId="0" fontId="118" fillId="62" borderId="29">
      <alignment horizontal="center" vertical="center" wrapText="1"/>
      <protection hidden="1"/>
    </xf>
    <xf numFmtId="0" fontId="118" fillId="62" borderId="29">
      <alignment horizontal="center" vertical="center" wrapText="1"/>
      <protection hidden="1"/>
    </xf>
    <xf numFmtId="340" fontId="24" fillId="0" borderId="0" applyFont="0" applyFill="0" applyBorder="0" applyAlignment="0" applyProtection="0">
      <alignment vertical="center"/>
    </xf>
    <xf numFmtId="0" fontId="20" fillId="0" borderId="0"/>
    <xf numFmtId="0" fontId="20" fillId="0" borderId="0"/>
    <xf numFmtId="0" fontId="144" fillId="1" borderId="35" applyNumberFormat="0" applyFont="0" applyAlignment="0">
      <alignment horizontal="center"/>
    </xf>
    <xf numFmtId="0" fontId="144" fillId="1" borderId="35" applyNumberFormat="0" applyFont="0" applyAlignment="0">
      <alignment horizontal="center"/>
    </xf>
    <xf numFmtId="0" fontId="144" fillId="1" borderId="35" applyNumberFormat="0" applyFont="0" applyAlignment="0">
      <alignment horizontal="center"/>
    </xf>
    <xf numFmtId="0" fontId="144" fillId="1" borderId="35" applyNumberFormat="0" applyFont="0" applyAlignment="0">
      <alignment horizontal="center"/>
    </xf>
    <xf numFmtId="0" fontId="20" fillId="0" borderId="0"/>
    <xf numFmtId="274" fontId="29" fillId="0" borderId="0" applyFont="0" applyFill="0" applyBorder="0" applyAlignment="0" applyProtection="0"/>
    <xf numFmtId="37" fontId="20" fillId="0" borderId="29" applyBorder="0">
      <alignment horizontal="right"/>
      <protection locked="0"/>
    </xf>
    <xf numFmtId="37" fontId="20" fillId="0" borderId="29" applyBorder="0">
      <alignment horizontal="right"/>
      <protection locked="0"/>
    </xf>
    <xf numFmtId="37" fontId="20" fillId="0" borderId="29" applyBorder="0">
      <alignment horizontal="right"/>
      <protection locked="0"/>
    </xf>
    <xf numFmtId="37" fontId="20" fillId="0" borderId="29" applyBorder="0">
      <alignment horizontal="right"/>
      <protection locked="0"/>
    </xf>
    <xf numFmtId="37" fontId="20" fillId="0" borderId="29" applyBorder="0">
      <alignment horizontal="right"/>
      <protection locked="0"/>
    </xf>
    <xf numFmtId="37" fontId="20" fillId="0" borderId="29" applyBorder="0">
      <alignment horizontal="right"/>
      <protection locked="0"/>
    </xf>
    <xf numFmtId="0" fontId="20" fillId="0" borderId="0"/>
    <xf numFmtId="1" fontId="20" fillId="0" borderId="0"/>
    <xf numFmtId="0" fontId="20" fillId="0" borderId="0"/>
    <xf numFmtId="0" fontId="20" fillId="0" borderId="0"/>
    <xf numFmtId="0" fontId="65" fillId="0" borderId="3" applyNumberFormat="0" applyFill="0" applyAlignment="0" applyProtection="0"/>
    <xf numFmtId="0" fontId="65" fillId="0" borderId="3" applyNumberFormat="0" applyFill="0" applyAlignment="0" applyProtection="0"/>
    <xf numFmtId="0" fontId="65" fillId="0" borderId="3" applyNumberFormat="0" applyFill="0" applyAlignment="0" applyProtection="0"/>
    <xf numFmtId="1" fontId="20" fillId="0" borderId="0" applyNumberFormat="0" applyFill="0" applyBorder="0" applyAlignment="0" applyProtection="0">
      <alignment horizontal="center"/>
    </xf>
    <xf numFmtId="1" fontId="23" fillId="0" borderId="0" applyNumberFormat="0" applyFill="0" applyBorder="0" applyAlignment="0" applyProtection="0">
      <alignment horizontal="center"/>
    </xf>
    <xf numFmtId="0" fontId="20" fillId="0" borderId="0"/>
    <xf numFmtId="0" fontId="20" fillId="0" borderId="0"/>
    <xf numFmtId="0" fontId="20" fillId="0" borderId="0"/>
    <xf numFmtId="289" fontId="24" fillId="0" borderId="0">
      <alignment horizontal="center"/>
    </xf>
    <xf numFmtId="6" fontId="28" fillId="0" borderId="0">
      <alignment horizontal="right" vertical="center"/>
    </xf>
    <xf numFmtId="37" fontId="28" fillId="31" borderId="17">
      <alignment horizontal="right" vertical="center"/>
    </xf>
    <xf numFmtId="38" fontId="28" fillId="0" borderId="0">
      <alignment horizontal="right" vertical="center"/>
    </xf>
    <xf numFmtId="9" fontId="28" fillId="0" borderId="0">
      <alignment horizontal="right" vertical="center"/>
    </xf>
    <xf numFmtId="0" fontId="28" fillId="0" borderId="0"/>
    <xf numFmtId="270" fontId="50" fillId="66" borderId="0" applyNumberFormat="0" applyFont="0" applyBorder="0" applyAlignment="0">
      <protection hidden="1"/>
    </xf>
    <xf numFmtId="0" fontId="20" fillId="0" borderId="0"/>
    <xf numFmtId="0" fontId="46" fillId="0" borderId="44"/>
    <xf numFmtId="0" fontId="46" fillId="0" borderId="44"/>
    <xf numFmtId="0" fontId="20" fillId="0" borderId="0"/>
    <xf numFmtId="0" fontId="20" fillId="0" borderId="0">
      <alignment vertical="top"/>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32" fillId="0" borderId="0">
      <alignment vertical="top"/>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alignment vertical="top"/>
    </xf>
    <xf numFmtId="0" fontId="20" fillId="0" borderId="0"/>
    <xf numFmtId="0" fontId="20" fillId="0" borderId="0"/>
    <xf numFmtId="0" fontId="20" fillId="0" borderId="0"/>
    <xf numFmtId="0" fontId="84" fillId="0" borderId="45" applyNumberFormat="0" applyFill="0" applyProtection="0">
      <alignment horizontal="right" wrapText="1"/>
    </xf>
    <xf numFmtId="0" fontId="84" fillId="0" borderId="45" applyNumberFormat="0" applyFill="0" applyProtection="0">
      <alignment horizontal="right" wrapText="1"/>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50" fillId="0" borderId="0" applyNumberFormat="0" applyFill="0" applyBorder="0" applyAlignment="0" applyProtection="0"/>
    <xf numFmtId="0" fontId="50" fillId="0" borderId="0" applyNumberFormat="0" applyFill="0" applyBorder="0" applyAlignment="0" applyProtection="0"/>
    <xf numFmtId="0" fontId="20" fillId="0" borderId="0"/>
    <xf numFmtId="0" fontId="50" fillId="0" borderId="0" applyNumberFormat="0" applyFill="0" applyBorder="0" applyAlignment="0" applyProtection="0"/>
    <xf numFmtId="0" fontId="50"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45" fillId="0" borderId="0"/>
    <xf numFmtId="270" fontId="29" fillId="0" borderId="0" applyFill="0" applyBorder="0" applyAlignment="0" applyProtection="0"/>
    <xf numFmtId="0" fontId="20" fillId="0" borderId="0"/>
    <xf numFmtId="0" fontId="39" fillId="0" borderId="46"/>
    <xf numFmtId="0" fontId="14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341" fontId="147" fillId="0" borderId="45" applyBorder="0" applyProtection="0">
      <alignment horizontal="right" vertical="center"/>
    </xf>
    <xf numFmtId="341" fontId="147" fillId="0" borderId="45" applyBorder="0" applyProtection="0">
      <alignment horizontal="right" vertical="center"/>
    </xf>
    <xf numFmtId="0" fontId="20" fillId="0" borderId="0"/>
    <xf numFmtId="0" fontId="20" fillId="0" borderId="0"/>
    <xf numFmtId="0" fontId="148" fillId="34" borderId="45" applyBorder="0" applyProtection="0">
      <alignment horizontal="centerContinuous" vertical="center"/>
    </xf>
    <xf numFmtId="0" fontId="148" fillId="34" borderId="45" applyBorder="0" applyProtection="0">
      <alignment horizontal="centerContinuous" vertical="center"/>
    </xf>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47" applyAlignment="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5" fontId="149" fillId="0" borderId="0"/>
    <xf numFmtId="270" fontId="20" fillId="67" borderId="0" applyNumberFormat="0" applyFon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265" fontId="20" fillId="0" borderId="0" applyFont="0" applyFill="0" applyBorder="0" applyAlignment="0" applyProtection="0">
      <alignment horizontal="center"/>
    </xf>
    <xf numFmtId="0" fontId="150" fillId="0" borderId="2" applyNumberFormat="0" applyFill="0" applyAlignment="0" applyProtection="0"/>
    <xf numFmtId="0" fontId="151" fillId="0" borderId="0" applyNumberFormat="0" applyFill="0" applyBorder="0" applyAlignment="0" applyProtection="0"/>
    <xf numFmtId="0" fontId="157" fillId="0" borderId="0"/>
    <xf numFmtId="9" fontId="159" fillId="0" borderId="0" applyFont="0" applyFill="0" applyBorder="0" applyAlignment="0" applyProtection="0"/>
    <xf numFmtId="44" fontId="161" fillId="0" borderId="0" applyFont="0" applyFill="0" applyBorder="0" applyAlignment="0" applyProtection="0"/>
    <xf numFmtId="9" fontId="161" fillId="0" borderId="0" applyFont="0" applyFill="0" applyBorder="0" applyAlignment="0" applyProtection="0"/>
    <xf numFmtId="43" fontId="161" fillId="0" borderId="0" applyFont="0" applyFill="0" applyBorder="0" applyAlignment="0" applyProtection="0"/>
    <xf numFmtId="43" fontId="159" fillId="0" borderId="0" applyFont="0" applyFill="0" applyBorder="0" applyAlignment="0" applyProtection="0"/>
    <xf numFmtId="43" fontId="159" fillId="0" borderId="0" applyFont="0" applyFill="0" applyBorder="0" applyAlignment="0" applyProtection="0"/>
    <xf numFmtId="43" fontId="14" fillId="0" borderId="0" applyFont="0" applyFill="0" applyBorder="0" applyAlignment="0" applyProtection="0"/>
    <xf numFmtId="9" fontId="14" fillId="0" borderId="0" applyFont="0" applyFill="0" applyBorder="0" applyAlignment="0" applyProtection="0"/>
    <xf numFmtId="44" fontId="14" fillId="0" borderId="0" applyFont="0" applyFill="0" applyBorder="0" applyAlignment="0" applyProtection="0"/>
    <xf numFmtId="0" fontId="48" fillId="32" borderId="70">
      <alignment horizontal="center"/>
    </xf>
    <xf numFmtId="0" fontId="49" fillId="35" borderId="70">
      <alignment horizontal="center" vertical="center"/>
    </xf>
    <xf numFmtId="3" fontId="50" fillId="0" borderId="70"/>
    <xf numFmtId="4" fontId="50" fillId="0" borderId="70"/>
    <xf numFmtId="219" fontId="20" fillId="0" borderId="70">
      <alignment horizontal="center" vertical="center"/>
    </xf>
    <xf numFmtId="0" fontId="51" fillId="0" borderId="70">
      <alignment horizontal="center"/>
    </xf>
    <xf numFmtId="0" fontId="52" fillId="36" borderId="70">
      <alignment horizontal="center"/>
    </xf>
    <xf numFmtId="0" fontId="48" fillId="32" borderId="70"/>
    <xf numFmtId="0" fontId="49" fillId="35" borderId="70">
      <alignment horizontal="center" vertical="center"/>
    </xf>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5"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9"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3"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17"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1"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25"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6"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0"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4"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18"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14" fillId="22"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0" fontId="14" fillId="26" borderId="0" applyNumberFormat="0" applyBorder="0" applyAlignment="0" applyProtection="0"/>
    <xf numFmtId="37" fontId="49" fillId="1" borderId="71">
      <alignment horizontal="centerContinuous" vertical="center"/>
    </xf>
    <xf numFmtId="37" fontId="49" fillId="1" borderId="71">
      <alignment horizontal="centerContinuous"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37" fontId="81" fillId="58" borderId="66" applyBorder="0" applyProtection="0">
      <alignment vertical="center"/>
    </xf>
    <xf numFmtId="177" fontId="29" fillId="0" borderId="71"/>
    <xf numFmtId="177" fontId="29" fillId="0" borderId="71"/>
    <xf numFmtId="177" fontId="29" fillId="0" borderId="71"/>
    <xf numFmtId="177" fontId="29" fillId="0" borderId="71"/>
    <xf numFmtId="177" fontId="29" fillId="0" borderId="71"/>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5" fontId="60" fillId="0" borderId="71" applyAlignment="0" applyProtection="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0" fontId="97" fillId="61" borderId="7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0" fontId="108" fillId="0" borderId="7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302" fontId="90" fillId="0" borderId="71" applyFont="0" applyFill="0" applyBorder="0" applyAlignment="0" applyProtection="0">
      <alignment horizontal="center"/>
    </xf>
    <xf numFmtId="302" fontId="90" fillId="0" borderId="71" applyFont="0" applyFill="0" applyBorder="0" applyAlignment="0" applyProtection="0">
      <alignment horizontal="center"/>
    </xf>
    <xf numFmtId="302" fontId="90" fillId="0" borderId="71" applyFont="0" applyFill="0" applyBorder="0" applyAlignment="0" applyProtection="0">
      <alignment horizontal="center"/>
    </xf>
    <xf numFmtId="302" fontId="90" fillId="0" borderId="71" applyFont="0" applyFill="0" applyBorder="0" applyAlignment="0" applyProtection="0">
      <alignment horizontal="center"/>
    </xf>
    <xf numFmtId="302" fontId="90" fillId="0" borderId="71" applyFont="0" applyFill="0" applyBorder="0" applyAlignment="0" applyProtection="0">
      <alignment horizontal="center"/>
    </xf>
    <xf numFmtId="302" fontId="90" fillId="0" borderId="71" applyFont="0" applyFill="0" applyBorder="0" applyAlignment="0" applyProtection="0">
      <alignment horizontal="center"/>
    </xf>
    <xf numFmtId="186" fontId="50" fillId="0" borderId="71" applyFont="0" applyFill="0" applyBorder="0" applyAlignment="0" applyProtection="0">
      <alignment horizontal="center"/>
    </xf>
    <xf numFmtId="186" fontId="50" fillId="0" borderId="71" applyFont="0" applyFill="0" applyBorder="0" applyAlignment="0" applyProtection="0">
      <alignment horizontal="center"/>
    </xf>
    <xf numFmtId="186" fontId="50" fillId="0" borderId="71" applyFont="0" applyFill="0" applyBorder="0" applyAlignment="0" applyProtection="0">
      <alignment horizontal="center"/>
    </xf>
    <xf numFmtId="186" fontId="50" fillId="0" borderId="71" applyFont="0" applyFill="0" applyBorder="0" applyAlignment="0" applyProtection="0">
      <alignment horizontal="center"/>
    </xf>
    <xf numFmtId="186" fontId="50" fillId="0" borderId="71" applyFont="0" applyFill="0" applyBorder="0" applyAlignment="0" applyProtection="0">
      <alignment horizontal="center"/>
    </xf>
    <xf numFmtId="186" fontId="50" fillId="0" borderId="71" applyFont="0" applyFill="0" applyBorder="0" applyAlignment="0" applyProtection="0">
      <alignment horizontal="center"/>
    </xf>
    <xf numFmtId="2" fontId="20" fillId="36" borderId="66" applyFill="0" applyBorder="0" applyProtection="0">
      <alignment horizontal="center"/>
    </xf>
    <xf numFmtId="2" fontId="20" fillId="36" borderId="66" applyFill="0" applyBorder="0" applyProtection="0">
      <alignment horizontal="center"/>
    </xf>
    <xf numFmtId="2" fontId="20" fillId="36" borderId="66" applyFill="0" applyBorder="0" applyProtection="0">
      <alignment horizontal="center"/>
    </xf>
    <xf numFmtId="2" fontId="20" fillId="36" borderId="66" applyFill="0" applyBorder="0" applyProtection="0">
      <alignment horizontal="center"/>
    </xf>
    <xf numFmtId="2" fontId="20" fillId="36" borderId="66" applyFill="0" applyBorder="0" applyProtection="0">
      <alignment horizontal="center"/>
    </xf>
    <xf numFmtId="2" fontId="20" fillId="36" borderId="66" applyFill="0" applyBorder="0" applyProtection="0">
      <alignment horizontal="center"/>
    </xf>
    <xf numFmtId="0" fontId="118" fillId="0" borderId="72">
      <alignment horizontal="left" vertical="center"/>
    </xf>
    <xf numFmtId="0" fontId="118" fillId="0" borderId="72">
      <alignment horizontal="left" vertical="center"/>
    </xf>
    <xf numFmtId="0" fontId="118" fillId="0" borderId="72">
      <alignment horizontal="left" vertical="center"/>
    </xf>
    <xf numFmtId="0" fontId="118" fillId="0" borderId="72">
      <alignment horizontal="left" vertical="center"/>
    </xf>
    <xf numFmtId="1" fontId="50" fillId="0" borderId="71" applyNumberFormat="0" applyFont="0" applyFill="0" applyProtection="0">
      <alignment horizontal="center"/>
    </xf>
    <xf numFmtId="1" fontId="50" fillId="0" borderId="71" applyNumberFormat="0" applyFont="0" applyFill="0" applyProtection="0">
      <alignment horizontal="center"/>
    </xf>
    <xf numFmtId="1" fontId="50" fillId="0" borderId="71" applyNumberFormat="0" applyFont="0" applyFill="0" applyProtection="0">
      <alignment horizontal="center"/>
    </xf>
    <xf numFmtId="1" fontId="50" fillId="0" borderId="71" applyNumberFormat="0" applyFont="0" applyFill="0" applyProtection="0">
      <alignment horizontal="center"/>
    </xf>
    <xf numFmtId="1" fontId="50" fillId="0" borderId="71" applyNumberFormat="0" applyFont="0" applyFill="0" applyProtection="0">
      <alignment horizontal="center"/>
    </xf>
    <xf numFmtId="1" fontId="50" fillId="0" borderId="71" applyNumberFormat="0" applyFont="0" applyFill="0" applyProtection="0">
      <alignment horizontal="center"/>
    </xf>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247" fontId="14" fillId="0" borderId="0"/>
    <xf numFmtId="0" fontId="14" fillId="0" borderId="0"/>
    <xf numFmtId="0" fontId="14" fillId="0" borderId="0"/>
    <xf numFmtId="0" fontId="14" fillId="0" borderId="0"/>
    <xf numFmtId="0" fontId="14" fillId="0" borderId="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0" fontId="14" fillId="3" borderId="1" applyNumberFormat="0" applyFont="0" applyAlignment="0" applyProtection="0"/>
    <xf numFmtId="9" fontId="14" fillId="0" borderId="0" applyFont="0" applyFill="0" applyBorder="0" applyAlignment="0" applyProtection="0"/>
    <xf numFmtId="9" fontId="14" fillId="0" borderId="0" applyFont="0" applyFill="0" applyBorder="0" applyAlignment="0" applyProtection="0"/>
    <xf numFmtId="339" fontId="20" fillId="0" borderId="67" applyBorder="0">
      <alignment horizontal="right"/>
    </xf>
    <xf numFmtId="339" fontId="20" fillId="0" borderId="67" applyBorder="0">
      <alignment horizontal="right"/>
    </xf>
    <xf numFmtId="339" fontId="20" fillId="0" borderId="67" applyBorder="0">
      <alignment horizontal="right"/>
    </xf>
    <xf numFmtId="339" fontId="20" fillId="0" borderId="67" applyBorder="0">
      <alignment horizontal="right"/>
    </xf>
    <xf numFmtId="0" fontId="118" fillId="62" borderId="70">
      <alignment horizontal="center" vertical="center" wrapText="1"/>
      <protection hidden="1"/>
    </xf>
    <xf numFmtId="0" fontId="118" fillId="62" borderId="70">
      <alignment horizontal="center" vertical="center" wrapText="1"/>
      <protection hidden="1"/>
    </xf>
    <xf numFmtId="0" fontId="118" fillId="62" borderId="70">
      <alignment horizontal="center" vertical="center" wrapText="1"/>
      <protection hidden="1"/>
    </xf>
    <xf numFmtId="0" fontId="118" fillId="62" borderId="70">
      <alignment horizontal="center" vertical="center" wrapText="1"/>
      <protection hidden="1"/>
    </xf>
    <xf numFmtId="0" fontId="118" fillId="62" borderId="70">
      <alignment horizontal="center" vertical="center" wrapText="1"/>
      <protection hidden="1"/>
    </xf>
    <xf numFmtId="0" fontId="118" fillId="62" borderId="70">
      <alignment horizontal="center" vertical="center" wrapText="1"/>
      <protection hidden="1"/>
    </xf>
    <xf numFmtId="0" fontId="144" fillId="1" borderId="72" applyNumberFormat="0" applyFont="0" applyAlignment="0">
      <alignment horizontal="center"/>
    </xf>
    <xf numFmtId="0" fontId="144" fillId="1" borderId="72" applyNumberFormat="0" applyFont="0" applyAlignment="0">
      <alignment horizontal="center"/>
    </xf>
    <xf numFmtId="0" fontId="144" fillId="1" borderId="72" applyNumberFormat="0" applyFont="0" applyAlignment="0">
      <alignment horizontal="center"/>
    </xf>
    <xf numFmtId="0" fontId="144" fillId="1" borderId="72" applyNumberFormat="0" applyFont="0" applyAlignment="0">
      <alignment horizontal="center"/>
    </xf>
    <xf numFmtId="37" fontId="20" fillId="0" borderId="70" applyBorder="0">
      <alignment horizontal="right"/>
      <protection locked="0"/>
    </xf>
    <xf numFmtId="37" fontId="20" fillId="0" borderId="70" applyBorder="0">
      <alignment horizontal="right"/>
      <protection locked="0"/>
    </xf>
    <xf numFmtId="37" fontId="20" fillId="0" borderId="70" applyBorder="0">
      <alignment horizontal="right"/>
      <protection locked="0"/>
    </xf>
    <xf numFmtId="37" fontId="20" fillId="0" borderId="70" applyBorder="0">
      <alignment horizontal="right"/>
      <protection locked="0"/>
    </xf>
    <xf numFmtId="37" fontId="20" fillId="0" borderId="70" applyBorder="0">
      <alignment horizontal="right"/>
      <protection locked="0"/>
    </xf>
    <xf numFmtId="37" fontId="20" fillId="0" borderId="70" applyBorder="0">
      <alignment horizontal="right"/>
      <protection locked="0"/>
    </xf>
    <xf numFmtId="0" fontId="163" fillId="0" borderId="0"/>
    <xf numFmtId="43" fontId="163" fillId="0" borderId="0" applyFont="0" applyFill="0" applyBorder="0" applyAlignment="0" applyProtection="0"/>
    <xf numFmtId="44" fontId="163" fillId="0" borderId="0" applyFont="0" applyFill="0" applyBorder="0" applyAlignment="0" applyProtection="0"/>
    <xf numFmtId="0" fontId="14" fillId="0" borderId="0"/>
    <xf numFmtId="0" fontId="46" fillId="0" borderId="0"/>
    <xf numFmtId="0" fontId="29" fillId="0" borderId="0">
      <alignment horizontal="right"/>
    </xf>
    <xf numFmtId="345" fontId="164" fillId="0" borderId="0">
      <alignment horizontal="right"/>
    </xf>
    <xf numFmtId="0" fontId="165" fillId="0" borderId="0"/>
    <xf numFmtId="0" fontId="20" fillId="0" borderId="0"/>
    <xf numFmtId="0" fontId="165" fillId="0" borderId="0"/>
    <xf numFmtId="0" fontId="20" fillId="0" borderId="0"/>
    <xf numFmtId="0" fontId="20" fillId="0" borderId="0"/>
    <xf numFmtId="0" fontId="20" fillId="0" borderId="0"/>
    <xf numFmtId="0" fontId="165" fillId="0" borderId="0"/>
    <xf numFmtId="0" fontId="165" fillId="0" borderId="0"/>
    <xf numFmtId="0" fontId="20" fillId="0" borderId="0"/>
    <xf numFmtId="0" fontId="20" fillId="0" borderId="0"/>
    <xf numFmtId="0" fontId="24" fillId="0" borderId="0">
      <alignment horizontal="right"/>
    </xf>
    <xf numFmtId="0" fontId="24" fillId="29" borderId="0"/>
    <xf numFmtId="0" fontId="20" fillId="29" borderId="0"/>
    <xf numFmtId="0" fontId="166" fillId="29" borderId="0"/>
    <xf numFmtId="0" fontId="166" fillId="29" borderId="0"/>
    <xf numFmtId="0" fontId="24" fillId="29" borderId="0">
      <alignment horizontal="right"/>
    </xf>
    <xf numFmtId="7" fontId="20" fillId="0" borderId="0">
      <alignment horizontal="right"/>
    </xf>
    <xf numFmtId="9" fontId="27" fillId="0" borderId="0" applyFont="0" applyFill="0" applyBorder="0" applyAlignment="0" applyProtection="0"/>
    <xf numFmtId="9" fontId="20" fillId="0" borderId="0"/>
    <xf numFmtId="0" fontId="73" fillId="37" borderId="0" applyNumberFormat="0" applyBorder="0" applyAlignment="0" applyProtection="0"/>
    <xf numFmtId="0" fontId="73" fillId="38" borderId="0" applyNumberFormat="0" applyBorder="0" applyAlignment="0" applyProtection="0"/>
    <xf numFmtId="0" fontId="73" fillId="39" borderId="0" applyNumberFormat="0" applyBorder="0" applyAlignment="0" applyProtection="0"/>
    <xf numFmtId="0" fontId="73" fillId="40" borderId="0" applyNumberFormat="0" applyBorder="0" applyAlignment="0" applyProtection="0"/>
    <xf numFmtId="0" fontId="73" fillId="41" borderId="0" applyNumberFormat="0" applyBorder="0" applyAlignment="0" applyProtection="0"/>
    <xf numFmtId="0" fontId="73" fillId="42" borderId="0" applyNumberFormat="0" applyBorder="0" applyAlignment="0" applyProtection="0"/>
    <xf numFmtId="0" fontId="73" fillId="45" borderId="0" applyNumberFormat="0" applyBorder="0" applyAlignment="0" applyProtection="0"/>
    <xf numFmtId="0" fontId="73" fillId="46" borderId="0" applyNumberFormat="0" applyBorder="0" applyAlignment="0" applyProtection="0"/>
    <xf numFmtId="0" fontId="73" fillId="47" borderId="0" applyNumberFormat="0" applyBorder="0" applyAlignment="0" applyProtection="0"/>
    <xf numFmtId="0" fontId="73" fillId="40" borderId="0" applyNumberFormat="0" applyBorder="0" applyAlignment="0" applyProtection="0"/>
    <xf numFmtId="0" fontId="73" fillId="45" borderId="0" applyNumberFormat="0" applyBorder="0" applyAlignment="0" applyProtection="0"/>
    <xf numFmtId="0" fontId="73" fillId="48" borderId="0" applyNumberFormat="0" applyBorder="0" applyAlignment="0" applyProtection="0"/>
    <xf numFmtId="0" fontId="77" fillId="49"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39" fontId="20" fillId="0" borderId="0" applyFont="0" applyFill="0" applyBorder="0" applyAlignment="0" applyProtection="0"/>
    <xf numFmtId="38" fontId="20" fillId="0" borderId="0"/>
    <xf numFmtId="346" fontId="20" fillId="0" borderId="0" applyFont="0" applyFill="0" applyBorder="0" applyAlignment="0" applyProtection="0"/>
    <xf numFmtId="0" fontId="20" fillId="0" borderId="0"/>
    <xf numFmtId="0" fontId="50" fillId="0" borderId="0"/>
    <xf numFmtId="347" fontId="20" fillId="0" borderId="0" applyFont="0" applyFill="0" applyBorder="0" applyAlignment="0" applyProtection="0"/>
    <xf numFmtId="348" fontId="20" fillId="0" borderId="0" applyFont="0" applyFill="0" applyBorder="0" applyAlignment="0" applyProtection="0"/>
    <xf numFmtId="270" fontId="50" fillId="0" borderId="0"/>
    <xf numFmtId="0" fontId="34" fillId="0" borderId="0">
      <alignment vertical="center"/>
    </xf>
    <xf numFmtId="0" fontId="20" fillId="0" borderId="0" applyNumberFormat="0" applyFill="0" applyBorder="0" applyAlignment="0" applyProtection="0"/>
    <xf numFmtId="0" fontId="167" fillId="0" borderId="0"/>
    <xf numFmtId="0" fontId="20" fillId="0" borderId="0"/>
    <xf numFmtId="0" fontId="168" fillId="0" borderId="0"/>
    <xf numFmtId="0" fontId="20" fillId="0" borderId="0">
      <alignment horizontal="left" wrapText="1"/>
    </xf>
    <xf numFmtId="0" fontId="24" fillId="0" borderId="0" applyFont="0" applyFill="0" applyBorder="0" applyAlignment="0" applyProtection="0"/>
    <xf numFmtId="0" fontId="50" fillId="0" borderId="0" applyFont="0" applyFill="0" applyBorder="0" applyAlignment="0" applyProtection="0"/>
    <xf numFmtId="0" fontId="95" fillId="0" borderId="0"/>
    <xf numFmtId="0" fontId="24" fillId="0" borderId="0"/>
    <xf numFmtId="0" fontId="20" fillId="29" borderId="0"/>
    <xf numFmtId="0" fontId="169" fillId="77" borderId="0"/>
    <xf numFmtId="0" fontId="170" fillId="78" borderId="0"/>
    <xf numFmtId="0" fontId="171" fillId="79" borderId="0"/>
    <xf numFmtId="0" fontId="172" fillId="0" borderId="0"/>
    <xf numFmtId="0" fontId="39" fillId="0" borderId="0"/>
    <xf numFmtId="0" fontId="24" fillId="0" borderId="0"/>
    <xf numFmtId="0" fontId="46" fillId="0" borderId="0" applyFont="0" applyFill="0" applyBorder="0" applyAlignment="0" applyProtection="0"/>
    <xf numFmtId="349" fontId="20" fillId="0" borderId="0" applyFont="0" applyFill="0" applyBorder="0" applyAlignment="0" applyProtection="0"/>
    <xf numFmtId="192" fontId="20" fillId="0" borderId="0" applyFont="0" applyFill="0" applyBorder="0" applyAlignment="0" applyProtection="0"/>
    <xf numFmtId="39" fontId="20" fillId="0" borderId="0" applyFont="0" applyFill="0" applyBorder="0" applyAlignment="0" applyProtection="0"/>
    <xf numFmtId="39" fontId="20" fillId="0" borderId="0" applyFont="0" applyFill="0" applyBorder="0" applyAlignment="0" applyProtection="0"/>
    <xf numFmtId="192" fontId="20" fillId="0" borderId="0" applyFont="0" applyFill="0" applyBorder="0" applyAlignment="0" applyProtection="0"/>
    <xf numFmtId="39" fontId="20" fillId="0" borderId="0" applyFont="0" applyFill="0" applyBorder="0" applyAlignment="0" applyProtection="0"/>
    <xf numFmtId="4" fontId="20" fillId="36" borderId="0"/>
    <xf numFmtId="0" fontId="20" fillId="0" borderId="0" applyFont="0" applyFill="0" applyBorder="0" applyAlignment="0" applyProtection="0"/>
    <xf numFmtId="192" fontId="20" fillId="0" borderId="0" applyFont="0" applyFill="0" applyBorder="0" applyAlignment="0" applyProtection="0"/>
    <xf numFmtId="346" fontId="20" fillId="0" borderId="0" applyFont="0" applyFill="0" applyBorder="0" applyAlignment="0" applyProtection="0"/>
    <xf numFmtId="0" fontId="20" fillId="0" borderId="0">
      <alignment horizontal="right"/>
    </xf>
    <xf numFmtId="0" fontId="20" fillId="0" borderId="0"/>
    <xf numFmtId="184" fontId="24" fillId="0" borderId="0" applyFont="0" applyFill="0" applyBorder="0" applyAlignment="0"/>
    <xf numFmtId="0" fontId="20" fillId="0" borderId="0"/>
    <xf numFmtId="346" fontId="20" fillId="0" borderId="0" applyFont="0" applyFill="0" applyBorder="0" applyAlignment="0" applyProtection="0"/>
    <xf numFmtId="192" fontId="20" fillId="0" borderId="0" applyFont="0" applyFill="0" applyBorder="0" applyAlignment="0" applyProtection="0"/>
    <xf numFmtId="0" fontId="20" fillId="0" borderId="0">
      <alignment horizontal="right"/>
    </xf>
    <xf numFmtId="332" fontId="20" fillId="0" borderId="0" applyFont="0" applyFill="0" applyBorder="0" applyAlignment="0" applyProtection="0"/>
    <xf numFmtId="0" fontId="53" fillId="80" borderId="0"/>
    <xf numFmtId="0" fontId="41" fillId="0" borderId="0" applyNumberFormat="0" applyFill="0" applyBorder="0" applyAlignment="0" applyProtection="0"/>
    <xf numFmtId="0" fontId="41" fillId="0" borderId="0" applyNumberFormat="0" applyFill="0" applyBorder="0" applyAlignment="0" applyProtection="0"/>
    <xf numFmtId="0" fontId="173" fillId="0" borderId="0" applyFont="0" applyFill="0" applyBorder="0" applyAlignment="0" applyProtection="0"/>
    <xf numFmtId="0" fontId="108" fillId="0" borderId="0" applyFont="0" applyFill="0" applyBorder="0" applyAlignment="0" applyProtection="0"/>
    <xf numFmtId="165" fontId="20" fillId="0" borderId="0" applyFont="0" applyFill="0" applyBorder="0" applyAlignment="0" applyProtection="0"/>
    <xf numFmtId="0" fontId="26" fillId="0" borderId="0"/>
    <xf numFmtId="344" fontId="20" fillId="0" borderId="0" applyFont="0" applyFill="0" applyBorder="0" applyAlignment="0" applyProtection="0"/>
    <xf numFmtId="0" fontId="20" fillId="0" borderId="0" applyFont="0" applyFill="0" applyBorder="0" applyAlignment="0" applyProtection="0"/>
    <xf numFmtId="0" fontId="20" fillId="0" borderId="0" applyFont="0" applyFill="0" applyBorder="0" applyAlignment="0" applyProtection="0"/>
    <xf numFmtId="213" fontId="20" fillId="0" borderId="0" applyFont="0" applyFill="0" applyBorder="0" applyAlignment="0" applyProtection="0"/>
    <xf numFmtId="0" fontId="20" fillId="0" borderId="0" applyFont="0" applyFill="0" applyBorder="0" applyProtection="0">
      <alignment horizontal="right"/>
    </xf>
    <xf numFmtId="0" fontId="35" fillId="0" borderId="0" applyFont="0" applyFill="0" applyBorder="0" applyProtection="0">
      <alignment horizontal="right"/>
    </xf>
    <xf numFmtId="0" fontId="20" fillId="0" borderId="0">
      <alignment horizontal="left" wrapText="1"/>
    </xf>
    <xf numFmtId="0" fontId="20" fillId="0" borderId="0">
      <alignment horizontal="left" wrapText="1"/>
    </xf>
    <xf numFmtId="220" fontId="20" fillId="0" borderId="0">
      <alignment horizontal="left" wrapText="1"/>
    </xf>
    <xf numFmtId="0" fontId="46" fillId="0" borderId="0"/>
    <xf numFmtId="184" fontId="24" fillId="0" borderId="0" applyFont="0" applyFill="0" applyBorder="0" applyAlignment="0"/>
    <xf numFmtId="0" fontId="20" fillId="0" borderId="0"/>
    <xf numFmtId="346" fontId="20" fillId="0" borderId="0" applyFont="0" applyFill="0" applyBorder="0" applyAlignment="0" applyProtection="0"/>
    <xf numFmtId="192" fontId="20" fillId="0" borderId="0" applyFont="0" applyFill="0" applyBorder="0" applyAlignment="0" applyProtection="0"/>
    <xf numFmtId="0" fontId="20" fillId="0" borderId="0">
      <alignment horizontal="right"/>
    </xf>
    <xf numFmtId="0" fontId="55" fillId="0" borderId="22" applyNumberFormat="0" applyFill="0" applyProtection="0">
      <alignment horizontal="center"/>
    </xf>
    <xf numFmtId="0" fontId="20" fillId="0" borderId="44" applyNumberFormat="0" applyFont="0" applyFill="0" applyAlignment="0" applyProtection="0"/>
    <xf numFmtId="0" fontId="55" fillId="0" borderId="0" applyNumberFormat="0" applyFill="0" applyBorder="0" applyProtection="0">
      <alignment horizontal="left"/>
    </xf>
    <xf numFmtId="0" fontId="58" fillId="0" borderId="0" applyNumberFormat="0" applyFill="0" applyBorder="0" applyProtection="0">
      <alignment horizontal="centerContinuous"/>
    </xf>
    <xf numFmtId="0" fontId="45" fillId="0" borderId="0" applyNumberFormat="0" applyFill="0" applyBorder="0" applyAlignment="0" applyProtection="0"/>
    <xf numFmtId="350" fontId="20" fillId="0" borderId="0"/>
    <xf numFmtId="351" fontId="20" fillId="0" borderId="0"/>
    <xf numFmtId="0" fontId="20" fillId="0" borderId="0"/>
    <xf numFmtId="352" fontId="20" fillId="0" borderId="0"/>
    <xf numFmtId="353" fontId="20" fillId="0" borderId="0"/>
    <xf numFmtId="191" fontId="19" fillId="0" borderId="0">
      <alignment horizontal="right"/>
    </xf>
    <xf numFmtId="165" fontId="19" fillId="0" borderId="0"/>
    <xf numFmtId="354" fontId="24" fillId="0" borderId="0"/>
    <xf numFmtId="2" fontId="174" fillId="0" borderId="0" applyNumberFormat="0" applyFill="0" applyBorder="0" applyAlignment="0" applyProtection="0"/>
    <xf numFmtId="2" fontId="175" fillId="0" borderId="0" applyNumberFormat="0" applyFill="0" applyBorder="0" applyAlignment="0" applyProtection="0"/>
    <xf numFmtId="0" fontId="165" fillId="0" borderId="0"/>
    <xf numFmtId="9" fontId="173" fillId="0" borderId="0" applyFont="0" applyFill="0" applyBorder="0" applyAlignment="0" applyProtection="0"/>
    <xf numFmtId="0" fontId="35" fillId="81" borderId="0"/>
    <xf numFmtId="0" fontId="176" fillId="0" borderId="73" applyNumberFormat="0" applyFont="0" applyFill="0" applyAlignment="0" applyProtection="0">
      <alignment horizontal="left"/>
      <protection locked="0"/>
    </xf>
    <xf numFmtId="355" fontId="177" fillId="0" borderId="0"/>
    <xf numFmtId="0" fontId="46" fillId="0" borderId="0" applyBorder="0">
      <alignment horizontal="right"/>
    </xf>
    <xf numFmtId="6" fontId="176" fillId="0" borderId="74" applyNumberFormat="0" applyFont="0" applyFill="0" applyAlignment="0" applyProtection="0">
      <alignment horizontal="left"/>
      <protection locked="0"/>
    </xf>
    <xf numFmtId="0" fontId="178" fillId="0" borderId="30" applyNumberFormat="0" applyFont="0" applyBorder="0" applyAlignment="0" applyProtection="0">
      <alignment horizontal="right"/>
    </xf>
    <xf numFmtId="356" fontId="32" fillId="0" borderId="0" applyFill="0" applyProtection="0"/>
    <xf numFmtId="357" fontId="39" fillId="0" borderId="0"/>
    <xf numFmtId="272" fontId="32" fillId="0" borderId="0" applyFont="0" applyFill="0" applyBorder="0" applyProtection="0"/>
    <xf numFmtId="0" fontId="32" fillId="0" borderId="0" applyFill="0" applyProtection="0"/>
    <xf numFmtId="0" fontId="126" fillId="0" borderId="0" applyFont="0" applyFill="0" applyBorder="0" applyAlignment="0" applyProtection="0"/>
    <xf numFmtId="0" fontId="179" fillId="0" borderId="0" applyNumberFormat="0" applyFill="0" applyBorder="0" applyAlignment="0" applyProtection="0"/>
    <xf numFmtId="0" fontId="180" fillId="0" borderId="0" applyNumberFormat="0" applyFont="0" applyFill="0" applyBorder="0" applyProtection="0">
      <alignment horizontal="centerContinuous"/>
    </xf>
    <xf numFmtId="37" fontId="181" fillId="30" borderId="0" applyNumberFormat="0" applyFont="0" applyBorder="0" applyAlignment="0"/>
    <xf numFmtId="0" fontId="182" fillId="0" borderId="0" applyNumberFormat="0" applyFill="0" applyBorder="0" applyAlignment="0" applyProtection="0"/>
    <xf numFmtId="0" fontId="183" fillId="0" borderId="0"/>
    <xf numFmtId="0" fontId="184" fillId="0" borderId="0" applyNumberFormat="0" applyProtection="0"/>
    <xf numFmtId="358" fontId="20" fillId="82" borderId="0" applyNumberFormat="0" applyFont="0" applyBorder="0" applyAlignment="0" applyProtection="0"/>
    <xf numFmtId="359" fontId="20" fillId="0" borderId="0" applyFont="0" applyFill="0" applyBorder="0" applyAlignment="0" applyProtection="0"/>
    <xf numFmtId="360" fontId="108" fillId="0" borderId="0" applyFont="0" applyFill="0" applyBorder="0" applyAlignment="0" applyProtection="0"/>
    <xf numFmtId="2" fontId="185" fillId="83" borderId="0" applyNumberFormat="0" applyFont="0" applyBorder="0" applyAlignment="0" applyProtection="0"/>
    <xf numFmtId="2" fontId="185" fillId="84" borderId="0" applyNumberFormat="0" applyFont="0" applyBorder="0" applyAlignment="0" applyProtection="0"/>
    <xf numFmtId="0" fontId="60" fillId="0" borderId="0" applyNumberFormat="0" applyFill="0" applyBorder="0" applyAlignment="0" applyProtection="0"/>
    <xf numFmtId="0" fontId="186" fillId="0" borderId="75" applyNumberFormat="0" applyFill="0" applyAlignment="0" applyProtection="0"/>
    <xf numFmtId="0" fontId="29" fillId="0" borderId="0" applyFont="0" applyFill="0" applyBorder="0" applyAlignment="0" applyProtection="0"/>
    <xf numFmtId="361" fontId="20" fillId="0" borderId="0"/>
    <xf numFmtId="0" fontId="187" fillId="85" borderId="0" applyNumberFormat="0">
      <alignment horizontal="left"/>
    </xf>
    <xf numFmtId="0" fontId="136" fillId="0" borderId="0" applyFont="0" applyFill="0" applyBorder="0" applyAlignment="0" applyProtection="0"/>
    <xf numFmtId="332" fontId="136" fillId="0" borderId="0" applyFont="0" applyFill="0" applyBorder="0" applyAlignment="0" applyProtection="0"/>
    <xf numFmtId="0" fontId="136" fillId="0" borderId="0" applyFont="0" applyFill="0" applyBorder="0" applyAlignment="0" applyProtection="0">
      <alignment horizontal="right"/>
    </xf>
    <xf numFmtId="0" fontId="188" fillId="0" borderId="76" applyNumberFormat="0" applyFill="0" applyAlignment="0" applyProtection="0"/>
    <xf numFmtId="0" fontId="189" fillId="0" borderId="77" applyNumberFormat="0" applyFill="0" applyAlignment="0" applyProtection="0"/>
    <xf numFmtId="0" fontId="190" fillId="0" borderId="78" applyNumberFormat="0" applyFill="0" applyAlignment="0" applyProtection="0"/>
    <xf numFmtId="0" fontId="190" fillId="0" borderId="0" applyNumberFormat="0" applyFill="0" applyBorder="0" applyAlignment="0" applyProtection="0"/>
    <xf numFmtId="0" fontId="191" fillId="0" borderId="0">
      <alignment horizontal="left"/>
    </xf>
    <xf numFmtId="0" fontId="192" fillId="0" borderId="0">
      <alignment horizontal="left" wrapText="1"/>
    </xf>
    <xf numFmtId="0" fontId="29" fillId="0" borderId="71" applyFont="0" applyFill="0" applyBorder="0" applyAlignment="0" applyProtection="0">
      <alignment horizontal="right"/>
    </xf>
    <xf numFmtId="0" fontId="29" fillId="0" borderId="0" applyFont="0" applyFill="0" applyBorder="0" applyAlignment="0" applyProtection="0"/>
    <xf numFmtId="0" fontId="67" fillId="0" borderId="0" applyNumberFormat="0" applyFill="0" applyBorder="0" applyAlignment="0" applyProtection="0">
      <alignment vertical="top"/>
      <protection locked="0"/>
    </xf>
    <xf numFmtId="0" fontId="14" fillId="0" borderId="0"/>
    <xf numFmtId="0" fontId="50" fillId="0" borderId="0"/>
    <xf numFmtId="43" fontId="13" fillId="0" borderId="0" applyFont="0" applyFill="0" applyBorder="0" applyAlignment="0" applyProtection="0"/>
    <xf numFmtId="9" fontId="13" fillId="0" borderId="0" applyFont="0" applyFill="0" applyBorder="0" applyAlignment="0" applyProtection="0"/>
    <xf numFmtId="44" fontId="13" fillId="0" borderId="0" applyFont="0" applyFill="0" applyBorder="0" applyAlignment="0" applyProtection="0"/>
    <xf numFmtId="0" fontId="45" fillId="0" borderId="83" applyNumberFormat="0" applyFill="0" applyAlignment="0" applyProtection="0"/>
    <xf numFmtId="0" fontId="45" fillId="0" borderId="83" applyNumberFormat="0" applyFill="0" applyAlignment="0" applyProtection="0"/>
    <xf numFmtId="0" fontId="45" fillId="0" borderId="83" applyNumberFormat="0" applyFill="0" applyAlignment="0" applyProtection="0"/>
    <xf numFmtId="0" fontId="45" fillId="0" borderId="83" applyNumberFormat="0" applyFill="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5"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9"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3"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17"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1"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25"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6"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0"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4"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18"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2"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0" fontId="13" fillId="26" borderId="0" applyNumberFormat="0" applyBorder="0" applyAlignment="0" applyProtection="0"/>
    <xf numFmtId="37" fontId="49" fillId="1" borderId="82">
      <alignment horizontal="centerContinuous" vertical="center"/>
    </xf>
    <xf numFmtId="37" fontId="49" fillId="1" borderId="82">
      <alignment horizontal="centerContinuous"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37" fontId="81" fillId="58" borderId="80" applyBorder="0" applyProtection="0">
      <alignment vertical="center"/>
    </xf>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3"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84"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1" fillId="0" borderId="84" applyNumberFormat="0" applyFill="0" applyBorder="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0" fontId="50" fillId="0" borderId="84" applyNumberFormat="0" applyFill="0" applyAlignment="0" applyProtection="0"/>
    <xf numFmtId="177" fontId="29" fillId="0" borderId="82"/>
    <xf numFmtId="177" fontId="29" fillId="0" borderId="82"/>
    <xf numFmtId="177" fontId="29" fillId="0" borderId="82"/>
    <xf numFmtId="177" fontId="29" fillId="0" borderId="82"/>
    <xf numFmtId="177" fontId="29" fillId="0" borderId="82"/>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5" fontId="60" fillId="0" borderId="82" applyAlignment="0" applyProtection="0"/>
    <xf numFmtId="0" fontId="96" fillId="43" borderId="85" applyNumberFormat="0" applyAlignment="0" applyProtection="0"/>
    <xf numFmtId="0" fontId="96" fillId="43" borderId="85" applyNumberFormat="0" applyAlignment="0" applyProtection="0"/>
    <xf numFmtId="0" fontId="96" fillId="43" borderId="85" applyNumberFormat="0" applyAlignment="0" applyProtection="0"/>
    <xf numFmtId="0" fontId="96" fillId="43" borderId="85" applyNumberFormat="0" applyAlignment="0" applyProtection="0"/>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0" fontId="97" fillId="61" borderId="86"/>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43" fontId="13" fillId="0" borderId="0" applyFont="0" applyFill="0" applyBorder="0" applyAlignment="0" applyProtection="0"/>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0" fontId="108" fillId="0" borderId="86"/>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44" fontId="13" fillId="0" borderId="0" applyFont="0" applyFill="0" applyBorder="0" applyAlignment="0" applyProtection="0"/>
    <xf numFmtId="302" fontId="90" fillId="0" borderId="88" applyFont="0" applyFill="0" applyBorder="0" applyAlignment="0" applyProtection="0">
      <alignment horizontal="center"/>
    </xf>
    <xf numFmtId="302" fontId="90" fillId="0" borderId="88" applyFont="0" applyFill="0" applyBorder="0" applyAlignment="0" applyProtection="0">
      <alignment horizontal="center"/>
    </xf>
    <xf numFmtId="302" fontId="90" fillId="0" borderId="88" applyFont="0" applyFill="0" applyBorder="0" applyAlignment="0" applyProtection="0">
      <alignment horizontal="center"/>
    </xf>
    <xf numFmtId="302" fontId="90" fillId="0" borderId="88" applyFont="0" applyFill="0" applyBorder="0" applyAlignment="0" applyProtection="0">
      <alignment horizontal="center"/>
    </xf>
    <xf numFmtId="302" fontId="90" fillId="0" borderId="88" applyFont="0" applyFill="0" applyBorder="0" applyAlignment="0" applyProtection="0">
      <alignment horizontal="center"/>
    </xf>
    <xf numFmtId="302" fontId="90" fillId="0" borderId="88" applyFont="0" applyFill="0" applyBorder="0" applyAlignment="0" applyProtection="0">
      <alignment horizontal="center"/>
    </xf>
    <xf numFmtId="186" fontId="50" fillId="0" borderId="88" applyFont="0" applyFill="0" applyBorder="0" applyAlignment="0" applyProtection="0">
      <alignment horizontal="center"/>
    </xf>
    <xf numFmtId="186" fontId="50" fillId="0" borderId="88" applyFont="0" applyFill="0" applyBorder="0" applyAlignment="0" applyProtection="0">
      <alignment horizontal="center"/>
    </xf>
    <xf numFmtId="186" fontId="50" fillId="0" borderId="88" applyFont="0" applyFill="0" applyBorder="0" applyAlignment="0" applyProtection="0">
      <alignment horizontal="center"/>
    </xf>
    <xf numFmtId="186" fontId="50" fillId="0" borderId="88" applyFont="0" applyFill="0" applyBorder="0" applyAlignment="0" applyProtection="0">
      <alignment horizontal="center"/>
    </xf>
    <xf numFmtId="186" fontId="50" fillId="0" borderId="88" applyFont="0" applyFill="0" applyBorder="0" applyAlignment="0" applyProtection="0">
      <alignment horizontal="center"/>
    </xf>
    <xf numFmtId="186" fontId="50" fillId="0" borderId="88" applyFont="0" applyFill="0" applyBorder="0" applyAlignment="0" applyProtection="0">
      <alignment horizontal="center"/>
    </xf>
    <xf numFmtId="2" fontId="20" fillId="36" borderId="89" applyFill="0" applyBorder="0" applyProtection="0">
      <alignment horizontal="center"/>
    </xf>
    <xf numFmtId="2" fontId="20" fillId="36" borderId="89" applyFill="0" applyBorder="0" applyProtection="0">
      <alignment horizontal="center"/>
    </xf>
    <xf numFmtId="2" fontId="20" fillId="36" borderId="89" applyFill="0" applyBorder="0" applyProtection="0">
      <alignment horizontal="center"/>
    </xf>
    <xf numFmtId="2" fontId="20" fillId="36" borderId="89" applyFill="0" applyBorder="0" applyProtection="0">
      <alignment horizontal="center"/>
    </xf>
    <xf numFmtId="2" fontId="20" fillId="36" borderId="89" applyFill="0" applyBorder="0" applyProtection="0">
      <alignment horizontal="center"/>
    </xf>
    <xf numFmtId="2" fontId="20" fillId="36" borderId="89" applyFill="0" applyBorder="0" applyProtection="0">
      <alignment horizontal="center"/>
    </xf>
    <xf numFmtId="0" fontId="118" fillId="0" borderId="90">
      <alignment horizontal="left" vertical="center"/>
    </xf>
    <xf numFmtId="0" fontId="118" fillId="0" borderId="90">
      <alignment horizontal="left" vertical="center"/>
    </xf>
    <xf numFmtId="0" fontId="118" fillId="0" borderId="90">
      <alignment horizontal="left" vertical="center"/>
    </xf>
    <xf numFmtId="0" fontId="118" fillId="0" borderId="90">
      <alignment horizontal="left" vertical="center"/>
    </xf>
    <xf numFmtId="0" fontId="122" fillId="64" borderId="91">
      <alignment horizontal="left" vertical="center"/>
    </xf>
    <xf numFmtId="0" fontId="122" fillId="64" borderId="91">
      <alignment horizontal="left" vertical="center"/>
    </xf>
    <xf numFmtId="0" fontId="122" fillId="64" borderId="91">
      <alignment horizontal="left" vertical="center"/>
    </xf>
    <xf numFmtId="0" fontId="122" fillId="64" borderId="91">
      <alignment horizontal="left" vertical="center"/>
    </xf>
    <xf numFmtId="0" fontId="122" fillId="64" borderId="91">
      <alignment horizontal="left" vertical="center"/>
    </xf>
    <xf numFmtId="0" fontId="122" fillId="64" borderId="91">
      <alignment horizontal="left" vertical="center"/>
    </xf>
    <xf numFmtId="0" fontId="122" fillId="64" borderId="92" applyBorder="0">
      <alignment horizontal="center" vertical="center" wrapText="1"/>
    </xf>
    <xf numFmtId="0" fontId="122" fillId="64" borderId="92" applyBorder="0">
      <alignment horizontal="center" vertical="center" wrapText="1"/>
    </xf>
    <xf numFmtId="0" fontId="122" fillId="64" borderId="92" applyBorder="0">
      <alignment horizontal="center" vertical="center" wrapText="1"/>
    </xf>
    <xf numFmtId="0" fontId="122" fillId="64" borderId="92" applyBorder="0">
      <alignment horizontal="center" vertical="center" wrapText="1"/>
    </xf>
    <xf numFmtId="0" fontId="122" fillId="64" borderId="92" applyBorder="0">
      <alignment horizontal="center" vertical="center" wrapText="1"/>
    </xf>
    <xf numFmtId="0" fontId="122" fillId="64" borderId="92" applyBorder="0">
      <alignment horizontal="center" vertical="center" wrapText="1"/>
    </xf>
    <xf numFmtId="8" fontId="127" fillId="0" borderId="87" applyNumberFormat="0" applyFill="0" applyBorder="0" applyAlignment="0" applyProtection="0"/>
    <xf numFmtId="8" fontId="127" fillId="0" borderId="87" applyNumberFormat="0" applyFill="0" applyBorder="0" applyAlignment="0" applyProtection="0"/>
    <xf numFmtId="8" fontId="127" fillId="0" borderId="87" applyNumberFormat="0" applyFill="0" applyBorder="0" applyAlignment="0" applyProtection="0"/>
    <xf numFmtId="8" fontId="127" fillId="0" borderId="87" applyNumberFormat="0" applyFill="0" applyBorder="0" applyAlignment="0" applyProtection="0"/>
    <xf numFmtId="8" fontId="127" fillId="0" borderId="87" applyNumberFormat="0" applyFill="0" applyBorder="0" applyAlignment="0" applyProtection="0"/>
    <xf numFmtId="8" fontId="127" fillId="0" borderId="87" applyNumberFormat="0" applyFill="0" applyBorder="0" applyAlignment="0" applyProtection="0"/>
    <xf numFmtId="0" fontId="44" fillId="65" borderId="91">
      <alignment horizontal="left" vertical="center" wrapText="1"/>
    </xf>
    <xf numFmtId="0" fontId="44" fillId="65" borderId="91">
      <alignment horizontal="left" vertical="center" wrapText="1"/>
    </xf>
    <xf numFmtId="0" fontId="44" fillId="65" borderId="91">
      <alignment horizontal="left" vertical="center" wrapText="1"/>
    </xf>
    <xf numFmtId="0" fontId="44" fillId="65" borderId="91">
      <alignment horizontal="left" vertical="center" wrapText="1"/>
    </xf>
    <xf numFmtId="0" fontId="44" fillId="65" borderId="91">
      <alignment horizontal="left" vertical="center" wrapText="1"/>
    </xf>
    <xf numFmtId="0" fontId="44" fillId="65" borderId="91">
      <alignment horizontal="left" vertical="center" wrapText="1"/>
    </xf>
    <xf numFmtId="1" fontId="50" fillId="0" borderId="88" applyNumberFormat="0" applyFont="0" applyFill="0" applyProtection="0">
      <alignment horizontal="center"/>
    </xf>
    <xf numFmtId="1" fontId="50" fillId="0" borderId="88" applyNumberFormat="0" applyFont="0" applyFill="0" applyProtection="0">
      <alignment horizontal="center"/>
    </xf>
    <xf numFmtId="1" fontId="50" fillId="0" borderId="88" applyNumberFormat="0" applyFont="0" applyFill="0" applyProtection="0">
      <alignment horizontal="center"/>
    </xf>
    <xf numFmtId="1" fontId="50" fillId="0" borderId="88" applyNumberFormat="0" applyFont="0" applyFill="0" applyProtection="0">
      <alignment horizontal="center"/>
    </xf>
    <xf numFmtId="1" fontId="50" fillId="0" borderId="88" applyNumberFormat="0" applyFont="0" applyFill="0" applyProtection="0">
      <alignment horizontal="center"/>
    </xf>
    <xf numFmtId="1" fontId="50" fillId="0" borderId="88" applyNumberFormat="0" applyFont="0" applyFill="0" applyProtection="0">
      <alignment horizontal="center"/>
    </xf>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247" fontId="13" fillId="0" borderId="0"/>
    <xf numFmtId="0" fontId="13" fillId="0" borderId="0"/>
    <xf numFmtId="0" fontId="13" fillId="0" borderId="0"/>
    <xf numFmtId="0" fontId="13" fillId="0" borderId="0"/>
    <xf numFmtId="0" fontId="13" fillId="0" borderId="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0" fontId="13" fillId="3" borderId="1" applyNumberFormat="0" applyFont="0" applyAlignment="0" applyProtection="0"/>
    <xf numFmtId="9" fontId="13" fillId="0" borderId="0" applyFont="0" applyFill="0" applyBorder="0" applyAlignment="0" applyProtection="0"/>
    <xf numFmtId="9" fontId="13" fillId="0" borderId="0" applyFont="0" applyFill="0" applyBorder="0" applyAlignment="0" applyProtection="0"/>
    <xf numFmtId="339" fontId="20" fillId="0" borderId="93" applyBorder="0">
      <alignment horizontal="right"/>
    </xf>
    <xf numFmtId="339" fontId="20" fillId="0" borderId="93" applyBorder="0">
      <alignment horizontal="right"/>
    </xf>
    <xf numFmtId="339" fontId="20" fillId="0" borderId="93" applyBorder="0">
      <alignment horizontal="right"/>
    </xf>
    <xf numFmtId="339" fontId="20" fillId="0" borderId="93" applyBorder="0">
      <alignment horizontal="right"/>
    </xf>
    <xf numFmtId="0" fontId="143" fillId="0" borderId="94"/>
    <xf numFmtId="0" fontId="143" fillId="0" borderId="94"/>
    <xf numFmtId="0" fontId="143" fillId="0" borderId="94"/>
    <xf numFmtId="0" fontId="143" fillId="0" borderId="94"/>
    <xf numFmtId="0" fontId="143" fillId="0" borderId="94"/>
    <xf numFmtId="0" fontId="143" fillId="0" borderId="94"/>
    <xf numFmtId="0" fontId="118" fillId="62" borderId="86">
      <alignment horizontal="center" vertical="center" wrapText="1"/>
      <protection hidden="1"/>
    </xf>
    <xf numFmtId="0" fontId="118" fillId="62" borderId="86">
      <alignment horizontal="center" vertical="center" wrapText="1"/>
      <protection hidden="1"/>
    </xf>
    <xf numFmtId="0" fontId="118" fillId="62" borderId="86">
      <alignment horizontal="center" vertical="center" wrapText="1"/>
      <protection hidden="1"/>
    </xf>
    <xf numFmtId="0" fontId="118" fillId="62" borderId="86">
      <alignment horizontal="center" vertical="center" wrapText="1"/>
      <protection hidden="1"/>
    </xf>
    <xf numFmtId="0" fontId="118" fillId="62" borderId="86">
      <alignment horizontal="center" vertical="center" wrapText="1"/>
      <protection hidden="1"/>
    </xf>
    <xf numFmtId="0" fontId="118" fillId="62" borderId="86">
      <alignment horizontal="center" vertical="center" wrapText="1"/>
      <protection hidden="1"/>
    </xf>
    <xf numFmtId="0" fontId="144" fillId="1" borderId="90" applyNumberFormat="0" applyFont="0" applyAlignment="0">
      <alignment horizontal="center"/>
    </xf>
    <xf numFmtId="0" fontId="144" fillId="1" borderId="90" applyNumberFormat="0" applyFont="0" applyAlignment="0">
      <alignment horizontal="center"/>
    </xf>
    <xf numFmtId="0" fontId="144" fillId="1" borderId="90" applyNumberFormat="0" applyFont="0" applyAlignment="0">
      <alignment horizontal="center"/>
    </xf>
    <xf numFmtId="0" fontId="144" fillId="1" borderId="90" applyNumberFormat="0" applyFont="0" applyAlignment="0">
      <alignment horizontal="center"/>
    </xf>
    <xf numFmtId="37" fontId="20" fillId="0" borderId="86" applyBorder="0">
      <alignment horizontal="right"/>
      <protection locked="0"/>
    </xf>
    <xf numFmtId="37" fontId="20" fillId="0" borderId="86" applyBorder="0">
      <alignment horizontal="right"/>
      <protection locked="0"/>
    </xf>
    <xf numFmtId="37" fontId="20" fillId="0" borderId="86" applyBorder="0">
      <alignment horizontal="right"/>
      <protection locked="0"/>
    </xf>
    <xf numFmtId="37" fontId="20" fillId="0" borderId="86" applyBorder="0">
      <alignment horizontal="right"/>
      <protection locked="0"/>
    </xf>
    <xf numFmtId="37" fontId="20" fillId="0" borderId="86" applyBorder="0">
      <alignment horizontal="right"/>
      <protection locked="0"/>
    </xf>
    <xf numFmtId="37" fontId="20" fillId="0" borderId="86" applyBorder="0">
      <alignment horizontal="right"/>
      <protection locked="0"/>
    </xf>
    <xf numFmtId="248" fontId="24" fillId="0" borderId="45"/>
    <xf numFmtId="248" fontId="24" fillId="0" borderId="45"/>
    <xf numFmtId="248" fontId="24" fillId="0" borderId="45"/>
    <xf numFmtId="248" fontId="24" fillId="0" borderId="45"/>
    <xf numFmtId="248" fontId="24" fillId="0" borderId="45"/>
    <xf numFmtId="250" fontId="24" fillId="0" borderId="45"/>
    <xf numFmtId="250" fontId="24" fillId="0" borderId="45"/>
    <xf numFmtId="250" fontId="24" fillId="0" borderId="45"/>
    <xf numFmtId="250" fontId="24" fillId="0" borderId="45"/>
    <xf numFmtId="250" fontId="24" fillId="0" borderId="45"/>
    <xf numFmtId="164" fontId="87" fillId="60" borderId="45">
      <alignment horizontal="center" vertical="center" wrapText="1"/>
    </xf>
    <xf numFmtId="164" fontId="87" fillId="60" borderId="45">
      <alignment horizontal="center" vertical="center" wrapText="1"/>
    </xf>
    <xf numFmtId="164" fontId="87" fillId="60" borderId="45">
      <alignment horizontal="center" vertical="center" wrapText="1"/>
    </xf>
    <xf numFmtId="0" fontId="94" fillId="0" borderId="45" applyNumberFormat="0" applyFill="0" applyAlignment="0" applyProtection="0"/>
    <xf numFmtId="263" fontId="65" fillId="0" borderId="45" applyFill="0" applyAlignment="0" applyProtection="0">
      <alignment horizontal="center"/>
    </xf>
    <xf numFmtId="263" fontId="65" fillId="0" borderId="45" applyFill="0" applyAlignment="0" applyProtection="0">
      <alignment horizontal="center"/>
    </xf>
    <xf numFmtId="263" fontId="65" fillId="0" borderId="45" applyFill="0" applyAlignment="0" applyProtection="0">
      <alignment horizontal="center"/>
    </xf>
    <xf numFmtId="263" fontId="65" fillId="0" borderId="45" applyFill="0" applyAlignment="0" applyProtection="0">
      <alignment horizontal="center"/>
    </xf>
    <xf numFmtId="0" fontId="24" fillId="0" borderId="45" applyBorder="0">
      <alignment horizontal="centerContinuous"/>
    </xf>
    <xf numFmtId="0" fontId="24" fillId="0" borderId="45" applyBorder="0">
      <alignment horizontal="centerContinuous"/>
    </xf>
    <xf numFmtId="0" fontId="24" fillId="0" borderId="45" applyBorder="0">
      <alignment horizontal="centerContinuous"/>
    </xf>
    <xf numFmtId="0" fontId="84" fillId="0" borderId="45" applyNumberFormat="0" applyFill="0" applyProtection="0">
      <alignment horizontal="right" wrapText="1"/>
    </xf>
    <xf numFmtId="0" fontId="84" fillId="0" borderId="45" applyNumberFormat="0" applyFill="0" applyProtection="0">
      <alignment horizontal="left" wrapText="1"/>
    </xf>
    <xf numFmtId="43" fontId="20"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73"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44" fontId="12" fillId="0" borderId="0" applyFont="0" applyFill="0" applyBorder="0" applyAlignment="0" applyProtection="0"/>
    <xf numFmtId="0" fontId="121" fillId="0" borderId="45" applyFill="0" applyAlignment="0" applyProtection="0">
      <protection locked="0"/>
    </xf>
    <xf numFmtId="0" fontId="121" fillId="0" borderId="45" applyFill="0" applyAlignment="0" applyProtection="0">
      <protection locked="0"/>
    </xf>
    <xf numFmtId="0" fontId="121" fillId="0" borderId="45" applyFill="0" applyAlignment="0" applyProtection="0">
      <protection locked="0"/>
    </xf>
    <xf numFmtId="1" fontId="50" fillId="0" borderId="45" applyNumberFormat="0" applyFont="0" applyFill="0" applyAlignment="0" applyProtection="0">
      <alignment horizontal="center"/>
    </xf>
    <xf numFmtId="1" fontId="50" fillId="0" borderId="45" applyNumberFormat="0" applyFont="0" applyFill="0" applyAlignment="0" applyProtection="0">
      <alignment horizontal="center"/>
    </xf>
    <xf numFmtId="1" fontId="50" fillId="0" borderId="45" applyNumberFormat="0" applyFont="0" applyFill="0" applyAlignment="0" applyProtection="0">
      <alignment horizontal="center"/>
    </xf>
    <xf numFmtId="312" fontId="20" fillId="0" borderId="45" applyFont="0" applyFill="0" applyBorder="0" applyAlignment="0" applyProtection="0">
      <protection locked="0"/>
    </xf>
    <xf numFmtId="312" fontId="20" fillId="0" borderId="45" applyFont="0" applyFill="0" applyBorder="0" applyAlignment="0" applyProtection="0">
      <protection locked="0"/>
    </xf>
    <xf numFmtId="312" fontId="20" fillId="0" borderId="45" applyFont="0" applyFill="0" applyBorder="0" applyAlignment="0" applyProtection="0">
      <protection locked="0"/>
    </xf>
    <xf numFmtId="315" fontId="24" fillId="0" borderId="45" applyFont="0" applyFill="0" applyBorder="0" applyProtection="0"/>
    <xf numFmtId="315" fontId="24" fillId="0" borderId="45" applyFont="0" applyFill="0" applyBorder="0" applyProtection="0"/>
    <xf numFmtId="315" fontId="24" fillId="0" borderId="45" applyFont="0" applyFill="0" applyBorder="0" applyProtection="0"/>
    <xf numFmtId="316" fontId="24" fillId="0" borderId="45" applyFont="0" applyFill="0" applyBorder="0" applyAlignment="0" applyProtection="0"/>
    <xf numFmtId="316" fontId="24" fillId="0" borderId="45" applyFont="0" applyFill="0" applyBorder="0" applyAlignment="0" applyProtection="0"/>
    <xf numFmtId="316" fontId="24" fillId="0" borderId="45" applyFont="0" applyFill="0" applyBorder="0" applyAlignment="0" applyProtection="0"/>
    <xf numFmtId="0" fontId="193" fillId="0" borderId="0">
      <alignment wrapText="1"/>
    </xf>
    <xf numFmtId="0" fontId="12" fillId="0" borderId="0"/>
    <xf numFmtId="0" fontId="12" fillId="0" borderId="0"/>
    <xf numFmtId="0" fontId="194" fillId="0" borderId="0"/>
    <xf numFmtId="0" fontId="12" fillId="0" borderId="0"/>
    <xf numFmtId="0" fontId="12" fillId="0" borderId="0"/>
    <xf numFmtId="0" fontId="134" fillId="0" borderId="45" applyNumberFormat="0" applyFill="0" applyBorder="0" applyAlignment="0">
      <protection locked="0"/>
    </xf>
    <xf numFmtId="0" fontId="134" fillId="0" borderId="45" applyNumberFormat="0" applyFill="0" applyBorder="0" applyAlignment="0">
      <protection locked="0"/>
    </xf>
    <xf numFmtId="0" fontId="134" fillId="0" borderId="45" applyNumberFormat="0" applyFill="0" applyBorder="0" applyAlignment="0">
      <protection locked="0"/>
    </xf>
    <xf numFmtId="9" fontId="73" fillId="0" borderId="0" applyFont="0" applyFill="0" applyBorder="0" applyAlignment="0" applyProtection="0"/>
    <xf numFmtId="0" fontId="65" fillId="0" borderId="45" applyNumberFormat="0" applyFill="0" applyAlignment="0" applyProtection="0"/>
    <xf numFmtId="0" fontId="65" fillId="0" borderId="45" applyNumberFormat="0" applyFill="0" applyAlignment="0" applyProtection="0"/>
    <xf numFmtId="0" fontId="65" fillId="0" borderId="45" applyNumberFormat="0" applyFill="0" applyAlignment="0" applyProtection="0"/>
    <xf numFmtId="0" fontId="195" fillId="0" borderId="0" applyAlignment="0"/>
    <xf numFmtId="0" fontId="182" fillId="0" borderId="0" applyNumberFormat="0" applyFill="0" applyBorder="0" applyAlignment="0" applyProtection="0"/>
    <xf numFmtId="44" fontId="159" fillId="0" borderId="0" applyFont="0" applyFill="0" applyBorder="0" applyAlignment="0" applyProtection="0"/>
    <xf numFmtId="0" fontId="161" fillId="0" borderId="0"/>
    <xf numFmtId="0" fontId="11" fillId="0" borderId="0"/>
    <xf numFmtId="0" fontId="50" fillId="0" borderId="0"/>
    <xf numFmtId="9" fontId="20" fillId="0" borderId="0" applyFont="0" applyFill="0" applyBorder="0" applyAlignment="0" applyProtection="0"/>
    <xf numFmtId="0" fontId="11" fillId="0" borderId="0"/>
    <xf numFmtId="44" fontId="11" fillId="0" borderId="0" applyFont="0" applyFill="0" applyBorder="0" applyAlignment="0" applyProtection="0"/>
    <xf numFmtId="15" fontId="84" fillId="0" borderId="0" applyFill="0" applyBorder="0" applyAlignment="0"/>
    <xf numFmtId="297" fontId="84" fillId="36" borderId="0" applyFont="0" applyFill="0" applyBorder="0" applyAlignment="0" applyProtection="0"/>
    <xf numFmtId="17" fontId="84" fillId="0" borderId="0" applyFill="0" applyBorder="0">
      <alignment horizontal="right"/>
    </xf>
    <xf numFmtId="14" fontId="109" fillId="0" borderId="0" applyFill="0" applyBorder="0" applyAlignment="0"/>
    <xf numFmtId="17" fontId="20" fillId="0" borderId="0" applyFont="0" applyFill="0" applyBorder="0" applyAlignment="0" applyProtection="0">
      <alignment horizontal="center"/>
    </xf>
    <xf numFmtId="8" fontId="29" fillId="0" borderId="0" applyFill="0" applyBorder="0" applyProtection="0"/>
    <xf numFmtId="7" fontId="50" fillId="0" borderId="0"/>
    <xf numFmtId="7" fontId="50" fillId="0" borderId="0"/>
    <xf numFmtId="6" fontId="29" fillId="0" borderId="0" applyFont="0" applyFill="0" applyBorder="0" applyAlignment="0" applyProtection="0"/>
    <xf numFmtId="38" fontId="50" fillId="29" borderId="0" applyNumberFormat="0" applyFont="0" applyBorder="0" applyAlignment="0" applyProtection="0"/>
    <xf numFmtId="363" fontId="50" fillId="0" borderId="0">
      <alignment horizontal="left"/>
    </xf>
    <xf numFmtId="0" fontId="23" fillId="0" borderId="0" applyNumberFormat="0" applyFill="0" applyBorder="0" applyProtection="0">
      <alignment wrapText="1"/>
    </xf>
    <xf numFmtId="172" fontId="50" fillId="0" borderId="0" applyFill="0" applyBorder="0" applyAlignment="0" applyProtection="0">
      <alignment horizontal="right"/>
    </xf>
    <xf numFmtId="172" fontId="50" fillId="0" borderId="0" applyFill="0" applyBorder="0" applyAlignment="0" applyProtection="0"/>
    <xf numFmtId="37" fontId="199" fillId="34" borderId="62" applyBorder="0">
      <alignment horizontal="left" vertical="center" indent="1"/>
    </xf>
    <xf numFmtId="0" fontId="118" fillId="0" borderId="102" applyNumberFormat="0" applyAlignment="0" applyProtection="0">
      <alignment horizontal="left" vertical="center"/>
    </xf>
    <xf numFmtId="184" fontId="29" fillId="43" borderId="0" applyFont="0" applyFill="0" applyBorder="0" applyAlignment="0" applyProtection="0">
      <alignment horizontal="left"/>
    </xf>
    <xf numFmtId="270" fontId="29" fillId="0" borderId="0" applyFill="0" applyBorder="0" applyAlignment="0" applyProtection="0"/>
    <xf numFmtId="8" fontId="50" fillId="36" borderId="0" applyFont="0" applyBorder="0" applyAlignment="0" applyProtection="0">
      <protection locked="0"/>
    </xf>
    <xf numFmtId="298" fontId="50" fillId="36" borderId="0" applyFont="0" applyBorder="0" applyAlignment="0" applyProtection="0">
      <protection locked="0"/>
    </xf>
    <xf numFmtId="303" fontId="50" fillId="36" borderId="0" applyFont="0" applyBorder="0" applyAlignment="0">
      <protection locked="0"/>
    </xf>
    <xf numFmtId="270" fontId="50" fillId="36" borderId="0">
      <protection locked="0"/>
    </xf>
    <xf numFmtId="10" fontId="50" fillId="36" borderId="0">
      <protection locked="0"/>
    </xf>
    <xf numFmtId="307" fontId="50" fillId="36" borderId="0" applyFont="0" applyBorder="0" applyAlignment="0">
      <protection locked="0"/>
    </xf>
    <xf numFmtId="307" fontId="50" fillId="36" borderId="0" applyFont="0" applyBorder="0" applyAlignment="0">
      <protection locked="0"/>
    </xf>
    <xf numFmtId="270" fontId="50" fillId="36" borderId="0" applyNumberFormat="0" applyFont="0" applyBorder="0" applyAlignment="0" applyProtection="0">
      <alignment horizontal="center"/>
      <protection locked="0"/>
    </xf>
    <xf numFmtId="177" fontId="23" fillId="29" borderId="0" applyFont="0">
      <alignment horizontal="center"/>
    </xf>
    <xf numFmtId="0" fontId="24" fillId="0" borderId="0" applyNumberFormat="0" applyFont="0" applyFill="0" applyBorder="0" applyProtection="0">
      <alignment horizontal="left" vertical="center"/>
    </xf>
    <xf numFmtId="2" fontId="20" fillId="0" borderId="0" applyNumberFormat="0" applyBorder="0">
      <alignment horizontal="left"/>
    </xf>
    <xf numFmtId="310" fontId="118" fillId="66" borderId="39" applyBorder="0">
      <protection locked="0"/>
    </xf>
    <xf numFmtId="270" fontId="50" fillId="0" borderId="0" applyFill="0" applyBorder="0" applyAlignment="0" applyProtection="0"/>
    <xf numFmtId="167" fontId="50" fillId="29" borderId="0" applyFont="0" applyBorder="0" applyAlignment="0" applyProtection="0">
      <alignment horizontal="right"/>
      <protection hidden="1"/>
    </xf>
    <xf numFmtId="321" fontId="24" fillId="0" borderId="0"/>
    <xf numFmtId="0" fontId="40" fillId="86" borderId="0"/>
    <xf numFmtId="0" fontId="65" fillId="0" borderId="0" applyNumberFormat="0" applyFill="0" applyAlignment="0" applyProtection="0"/>
    <xf numFmtId="0" fontId="31" fillId="0" borderId="0"/>
    <xf numFmtId="38" fontId="50" fillId="0" borderId="0" applyFont="0" applyFill="0" applyBorder="0" applyAlignment="0"/>
    <xf numFmtId="40" fontId="50" fillId="0" borderId="0" applyFont="0" applyFill="0" applyBorder="0" applyAlignment="0"/>
    <xf numFmtId="274" fontId="50" fillId="0" borderId="0" applyFont="0" applyFill="0" applyBorder="0" applyAlignment="0"/>
    <xf numFmtId="0" fontId="20" fillId="0" borderId="0"/>
    <xf numFmtId="270" fontId="84" fillId="0" borderId="0" applyNumberFormat="0" applyFill="0" applyBorder="0" applyAlignment="0" applyProtection="0"/>
    <xf numFmtId="324" fontId="50" fillId="0" borderId="0" applyFont="0" applyFill="0" applyBorder="0" applyAlignment="0" applyProtection="0"/>
    <xf numFmtId="270" fontId="20" fillId="0" borderId="0">
      <alignment horizontal="right"/>
    </xf>
    <xf numFmtId="270" fontId="50" fillId="0" borderId="0"/>
    <xf numFmtId="40" fontId="50" fillId="0" borderId="0"/>
    <xf numFmtId="40" fontId="84" fillId="0" borderId="0">
      <alignment horizontal="left"/>
    </xf>
    <xf numFmtId="0" fontId="68" fillId="0" borderId="0"/>
    <xf numFmtId="40" fontId="20" fillId="0" borderId="0" applyBorder="0">
      <alignment horizontal="right"/>
    </xf>
    <xf numFmtId="270" fontId="50" fillId="0" borderId="0" applyFont="0" applyFill="0" applyBorder="0" applyAlignment="0" applyProtection="0"/>
    <xf numFmtId="364" fontId="65" fillId="0" borderId="0" applyFill="0" applyBorder="0" applyProtection="0">
      <alignment horizontal="center"/>
    </xf>
    <xf numFmtId="40" fontId="20" fillId="0" borderId="0" applyFont="0" applyFill="0" applyBorder="0" applyAlignment="0" applyProtection="0">
      <alignment horizontal="center"/>
    </xf>
    <xf numFmtId="326" fontId="50" fillId="0" borderId="0"/>
    <xf numFmtId="14" fontId="29" fillId="0" borderId="0">
      <alignment horizontal="center" wrapText="1"/>
      <protection locked="0"/>
    </xf>
    <xf numFmtId="307" fontId="50" fillId="0" borderId="0" applyFont="0" applyFill="0" applyBorder="0" applyAlignment="0"/>
    <xf numFmtId="9" fontId="11" fillId="0" borderId="0" applyFont="0" applyFill="0" applyBorder="0" applyAlignment="0" applyProtection="0"/>
    <xf numFmtId="365" fontId="29" fillId="0" borderId="0" applyFont="0" applyFill="0" applyBorder="0" applyProtection="0">
      <alignment horizontal="right"/>
    </xf>
    <xf numFmtId="0" fontId="29" fillId="0" borderId="0" applyFill="0" applyBorder="0" applyAlignment="0" applyProtection="0"/>
    <xf numFmtId="335" fontId="50" fillId="0" borderId="0" applyFont="0" applyFill="0" applyBorder="0" applyAlignment="0" applyProtection="0"/>
    <xf numFmtId="337" fontId="24" fillId="0" borderId="0"/>
    <xf numFmtId="0" fontId="60" fillId="0" borderId="18">
      <alignment horizontal="center"/>
    </xf>
    <xf numFmtId="340" fontId="24" fillId="0" borderId="0" applyFont="0" applyFill="0" applyBorder="0" applyAlignment="0" applyProtection="0">
      <alignment vertical="center"/>
    </xf>
    <xf numFmtId="274" fontId="29" fillId="0" borderId="0" applyFont="0" applyFill="0" applyBorder="0" applyAlignment="0" applyProtection="0"/>
    <xf numFmtId="1" fontId="20" fillId="0" borderId="0" applyNumberFormat="0" applyFill="0" applyBorder="0" applyAlignment="0" applyProtection="0">
      <alignment horizontal="center"/>
    </xf>
    <xf numFmtId="1" fontId="23" fillId="0" borderId="0" applyNumberFormat="0" applyFill="0" applyBorder="0" applyAlignment="0" applyProtection="0">
      <alignment horizontal="center"/>
    </xf>
    <xf numFmtId="270" fontId="50" fillId="66" borderId="0" applyNumberFormat="0" applyFont="0" applyBorder="0" applyAlignment="0">
      <protection hidden="1"/>
    </xf>
    <xf numFmtId="366" fontId="125" fillId="0" borderId="0" applyFill="0" applyBorder="0" applyProtection="0">
      <alignment horizontal="center" wrapText="1"/>
    </xf>
    <xf numFmtId="367" fontId="125" fillId="0" borderId="0" applyFill="0" applyBorder="0" applyProtection="0">
      <alignment horizontal="right" wrapText="1"/>
    </xf>
    <xf numFmtId="0" fontId="20" fillId="0" borderId="0"/>
    <xf numFmtId="0" fontId="10" fillId="0" borderId="0"/>
    <xf numFmtId="0" fontId="10" fillId="0" borderId="0"/>
    <xf numFmtId="0" fontId="159" fillId="0" borderId="0"/>
    <xf numFmtId="9" fontId="159" fillId="0" borderId="0" applyFont="0" applyFill="0" applyBorder="0" applyAlignment="0" applyProtection="0"/>
    <xf numFmtId="9" fontId="20" fillId="0" borderId="0"/>
    <xf numFmtId="0" fontId="9" fillId="0" borderId="0"/>
    <xf numFmtId="43" fontId="9" fillId="0" borderId="0" applyFont="0" applyFill="0" applyBorder="0" applyAlignment="0" applyProtection="0"/>
    <xf numFmtId="0" fontId="9" fillId="0" borderId="0"/>
    <xf numFmtId="0" fontId="8" fillId="0" borderId="0"/>
    <xf numFmtId="0" fontId="8" fillId="0" borderId="0"/>
    <xf numFmtId="0" fontId="20" fillId="0" borderId="0"/>
    <xf numFmtId="0" fontId="7" fillId="0" borderId="0"/>
    <xf numFmtId="0" fontId="46" fillId="0" borderId="0"/>
    <xf numFmtId="43" fontId="73" fillId="0" borderId="0" applyFont="0" applyFill="0" applyBorder="0" applyAlignment="0" applyProtection="0"/>
    <xf numFmtId="43" fontId="202" fillId="0" borderId="0" applyFont="0" applyFill="0" applyBorder="0" applyAlignment="0" applyProtection="0"/>
    <xf numFmtId="44" fontId="7"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44" fontId="6" fillId="0" borderId="0" applyFont="0" applyFill="0" applyBorder="0" applyAlignment="0" applyProtection="0"/>
    <xf numFmtId="0" fontId="159" fillId="0" borderId="0"/>
    <xf numFmtId="0" fontId="5" fillId="0" borderId="0"/>
    <xf numFmtId="0" fontId="5" fillId="0" borderId="0"/>
    <xf numFmtId="43" fontId="5" fillId="0" borderId="0" applyFont="0" applyFill="0" applyBorder="0" applyAlignment="0" applyProtection="0"/>
    <xf numFmtId="0" fontId="4" fillId="0" borderId="0"/>
    <xf numFmtId="44" fontId="4" fillId="0" borderId="0" applyFont="0" applyFill="0" applyBorder="0" applyAlignment="0" applyProtection="0"/>
    <xf numFmtId="43" fontId="4" fillId="0" borderId="0" applyFont="0" applyFill="0" applyBorder="0" applyAlignment="0" applyProtection="0"/>
    <xf numFmtId="0" fontId="3" fillId="0" borderId="0"/>
    <xf numFmtId="43" fontId="3" fillId="0" borderId="0" applyFont="0" applyFill="0" applyBorder="0" applyAlignment="0" applyProtection="0"/>
    <xf numFmtId="44" fontId="3"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cellStyleXfs>
  <cellXfs count="2241">
    <xf numFmtId="0" fontId="0" fillId="0" borderId="0" xfId="0"/>
    <xf numFmtId="0" fontId="153" fillId="0" borderId="0" xfId="0" applyFont="1"/>
    <xf numFmtId="0" fontId="152" fillId="0" borderId="0" xfId="0" applyFont="1" applyAlignment="1">
      <alignment wrapText="1"/>
    </xf>
    <xf numFmtId="0" fontId="155" fillId="0" borderId="0" xfId="0" applyFont="1"/>
    <xf numFmtId="43" fontId="156" fillId="68" borderId="56" xfId="11155" applyFont="1" applyFill="1" applyBorder="1"/>
    <xf numFmtId="43" fontId="156" fillId="68" borderId="0" xfId="11155" applyFont="1" applyFill="1"/>
    <xf numFmtId="43" fontId="156" fillId="68" borderId="57" xfId="11155" applyFont="1" applyFill="1" applyBorder="1"/>
    <xf numFmtId="43" fontId="156" fillId="68" borderId="57" xfId="11155" applyFont="1" applyFill="1" applyBorder="1" applyAlignment="1">
      <alignment horizontal="right"/>
    </xf>
    <xf numFmtId="0" fontId="152" fillId="0" borderId="0" xfId="0" applyFont="1"/>
    <xf numFmtId="0" fontId="24" fillId="0" borderId="0" xfId="0" applyFont="1"/>
    <xf numFmtId="0" fontId="158" fillId="72" borderId="34" xfId="0" applyFont="1" applyFill="1" applyBorder="1" applyAlignment="1">
      <alignment horizontal="centerContinuous"/>
    </xf>
    <xf numFmtId="0" fontId="158" fillId="72" borderId="35" xfId="0" applyFont="1" applyFill="1" applyBorder="1" applyAlignment="1">
      <alignment horizontal="centerContinuous"/>
    </xf>
    <xf numFmtId="0" fontId="158" fillId="72" borderId="42" xfId="0" applyFont="1" applyFill="1" applyBorder="1" applyAlignment="1">
      <alignment horizontal="centerContinuous"/>
    </xf>
    <xf numFmtId="0" fontId="126" fillId="0" borderId="0" xfId="0" applyFont="1" applyAlignment="1">
      <alignment horizontal="center"/>
    </xf>
    <xf numFmtId="0" fontId="152" fillId="71" borderId="0" xfId="0" applyFont="1" applyFill="1"/>
    <xf numFmtId="0" fontId="152" fillId="71" borderId="13" xfId="0" applyFont="1" applyFill="1" applyBorder="1"/>
    <xf numFmtId="169" fontId="153" fillId="71" borderId="45" xfId="0" applyNumberFormat="1" applyFont="1" applyFill="1" applyBorder="1"/>
    <xf numFmtId="0" fontId="152" fillId="0" borderId="10" xfId="0" applyFont="1" applyBorder="1"/>
    <xf numFmtId="234" fontId="153" fillId="71" borderId="0" xfId="0" applyNumberFormat="1" applyFont="1" applyFill="1"/>
    <xf numFmtId="169" fontId="153" fillId="71" borderId="0" xfId="0" applyNumberFormat="1" applyFont="1" applyFill="1"/>
    <xf numFmtId="234" fontId="153" fillId="71" borderId="45" xfId="0" applyNumberFormat="1" applyFont="1" applyFill="1" applyBorder="1"/>
    <xf numFmtId="0" fontId="154" fillId="0" borderId="10" xfId="0" applyFont="1" applyBorder="1" applyAlignment="1">
      <alignment horizontal="center" wrapText="1"/>
    </xf>
    <xf numFmtId="0" fontId="154" fillId="0" borderId="32" xfId="0" applyFont="1" applyBorder="1" applyAlignment="1">
      <alignment horizontal="center" wrapText="1"/>
    </xf>
    <xf numFmtId="0" fontId="154" fillId="0" borderId="0" xfId="0" applyFont="1" applyAlignment="1">
      <alignment horizontal="center" wrapText="1"/>
    </xf>
    <xf numFmtId="0" fontId="154" fillId="0" borderId="35" xfId="0" applyFont="1" applyBorder="1" applyAlignment="1">
      <alignment horizontal="center" wrapText="1"/>
    </xf>
    <xf numFmtId="0" fontId="154" fillId="0" borderId="42" xfId="0" applyFont="1" applyBorder="1" applyAlignment="1">
      <alignment horizontal="center" wrapText="1"/>
    </xf>
    <xf numFmtId="0" fontId="154" fillId="0" borderId="34" xfId="0" applyFont="1" applyBorder="1" applyAlignment="1">
      <alignment horizontal="center" wrapText="1"/>
    </xf>
    <xf numFmtId="165" fontId="153" fillId="71" borderId="0" xfId="0" applyNumberFormat="1" applyFont="1" applyFill="1"/>
    <xf numFmtId="165" fontId="153" fillId="71" borderId="13" xfId="0" applyNumberFormat="1" applyFont="1" applyFill="1" applyBorder="1"/>
    <xf numFmtId="165" fontId="153" fillId="71" borderId="45" xfId="0" applyNumberFormat="1" applyFont="1" applyFill="1" applyBorder="1"/>
    <xf numFmtId="164" fontId="152" fillId="0" borderId="0" xfId="0" applyNumberFormat="1" applyFont="1" applyAlignment="1">
      <alignment horizontal="center" vertical="top" wrapText="1"/>
    </xf>
    <xf numFmtId="0" fontId="152" fillId="0" borderId="0" xfId="0" applyFont="1" applyAlignment="1">
      <alignment vertical="top" wrapText="1"/>
    </xf>
    <xf numFmtId="165" fontId="152" fillId="0" borderId="0" xfId="0" applyNumberFormat="1" applyFont="1" applyAlignment="1">
      <alignment horizontal="center" vertical="top" wrapText="1"/>
    </xf>
    <xf numFmtId="0" fontId="152" fillId="0" borderId="0" xfId="0" applyFont="1" applyAlignment="1">
      <alignment horizontal="center" vertical="top" wrapText="1"/>
    </xf>
    <xf numFmtId="169" fontId="152" fillId="0" borderId="0" xfId="0" applyNumberFormat="1" applyFont="1" applyAlignment="1">
      <alignment horizontal="right" vertical="top"/>
    </xf>
    <xf numFmtId="0" fontId="152" fillId="0" borderId="0" xfId="0" applyFont="1" applyAlignment="1">
      <alignment horizontal="right" vertical="top"/>
    </xf>
    <xf numFmtId="234" fontId="152" fillId="0" borderId="0" xfId="0" applyNumberFormat="1" applyFont="1" applyAlignment="1">
      <alignment horizontal="right" vertical="top"/>
    </xf>
    <xf numFmtId="165" fontId="152" fillId="0" borderId="0" xfId="0" applyNumberFormat="1" applyFont="1" applyAlignment="1">
      <alignment vertical="top" wrapText="1"/>
    </xf>
    <xf numFmtId="0" fontId="152" fillId="71" borderId="45" xfId="0" applyFont="1" applyFill="1" applyBorder="1"/>
    <xf numFmtId="0" fontId="24" fillId="0" borderId="0" xfId="0" applyFont="1" applyAlignment="1">
      <alignment horizontal="right"/>
    </xf>
    <xf numFmtId="0" fontId="152" fillId="0" borderId="0" xfId="0" applyFont="1" applyAlignment="1">
      <alignment horizontal="right"/>
    </xf>
    <xf numFmtId="0" fontId="152" fillId="0" borderId="12" xfId="0" applyFont="1" applyBorder="1"/>
    <xf numFmtId="0" fontId="152" fillId="0" borderId="53" xfId="0" applyFont="1" applyBorder="1"/>
    <xf numFmtId="14" fontId="152" fillId="0" borderId="55" xfId="0" applyNumberFormat="1" applyFont="1" applyBorder="1" applyAlignment="1">
      <alignment horizontal="right"/>
    </xf>
    <xf numFmtId="0" fontId="152" fillId="0" borderId="11" xfId="0" applyFont="1" applyBorder="1" applyAlignment="1">
      <alignment horizontal="right"/>
    </xf>
    <xf numFmtId="0" fontId="152" fillId="0" borderId="13" xfId="0" applyFont="1" applyBorder="1" applyAlignment="1">
      <alignment horizontal="right"/>
    </xf>
    <xf numFmtId="0" fontId="160" fillId="0" borderId="0" xfId="0" applyFont="1"/>
    <xf numFmtId="0" fontId="158" fillId="72" borderId="58" xfId="0" applyFont="1" applyFill="1" applyBorder="1" applyAlignment="1">
      <alignment horizontal="centerContinuous"/>
    </xf>
    <xf numFmtId="0" fontId="158" fillId="72" borderId="58" xfId="0" applyFont="1" applyFill="1" applyBorder="1" applyAlignment="1">
      <alignment horizontal="center"/>
    </xf>
    <xf numFmtId="0" fontId="152" fillId="0" borderId="62" xfId="0" applyFont="1" applyBorder="1"/>
    <xf numFmtId="0" fontId="158" fillId="72" borderId="59" xfId="0" applyFont="1" applyFill="1" applyBorder="1" applyAlignment="1">
      <alignment horizontal="centerContinuous"/>
    </xf>
    <xf numFmtId="0" fontId="158" fillId="72" borderId="60" xfId="0" applyFont="1" applyFill="1" applyBorder="1" applyAlignment="1">
      <alignment horizontal="centerContinuous"/>
    </xf>
    <xf numFmtId="43" fontId="156" fillId="68" borderId="56" xfId="11155" applyFont="1" applyFill="1" applyBorder="1" applyAlignment="1">
      <alignment horizontal="center"/>
    </xf>
    <xf numFmtId="43" fontId="156" fillId="68" borderId="57" xfId="11155" applyFont="1" applyFill="1" applyBorder="1" applyAlignment="1">
      <alignment horizontal="center"/>
    </xf>
    <xf numFmtId="0" fontId="158" fillId="72" borderId="59" xfId="0" applyFont="1" applyFill="1" applyBorder="1" applyAlignment="1">
      <alignment horizontal="center"/>
    </xf>
    <xf numFmtId="0" fontId="158" fillId="72" borderId="60" xfId="0" applyFont="1" applyFill="1" applyBorder="1" applyAlignment="1">
      <alignment horizontal="center"/>
    </xf>
    <xf numFmtId="0" fontId="162" fillId="0" borderId="0" xfId="0" applyFont="1"/>
    <xf numFmtId="0" fontId="158" fillId="72" borderId="79" xfId="0" applyFont="1" applyFill="1" applyBorder="1" applyAlignment="1">
      <alignment horizontal="centerContinuous"/>
    </xf>
    <xf numFmtId="0" fontId="152" fillId="0" borderId="0" xfId="0" applyFont="1" applyAlignment="1">
      <alignment horizontal="center"/>
    </xf>
    <xf numFmtId="0" fontId="158" fillId="72" borderId="67" xfId="0" applyFont="1" applyFill="1" applyBorder="1" applyAlignment="1">
      <alignment horizontal="centerContinuous"/>
    </xf>
    <xf numFmtId="0" fontId="154" fillId="0" borderId="67" xfId="0" applyFont="1" applyBorder="1" applyAlignment="1">
      <alignment horizontal="center" wrapText="1"/>
    </xf>
    <xf numFmtId="0" fontId="152" fillId="71" borderId="97" xfId="0" applyFont="1" applyFill="1" applyBorder="1"/>
    <xf numFmtId="0" fontId="160" fillId="0" borderId="0" xfId="0" applyFont="1" applyAlignment="1">
      <alignment horizontal="center" vertical="top" wrapText="1"/>
    </xf>
    <xf numFmtId="0" fontId="29" fillId="76" borderId="0" xfId="11828" applyFont="1" applyFill="1"/>
    <xf numFmtId="0" fontId="29" fillId="76" borderId="0" xfId="11828" applyFont="1" applyFill="1" applyAlignment="1">
      <alignment horizontal="right"/>
    </xf>
    <xf numFmtId="0" fontId="197" fillId="76" borderId="0" xfId="11828" applyFont="1" applyFill="1" applyAlignment="1">
      <alignment horizontal="right"/>
    </xf>
    <xf numFmtId="0" fontId="29" fillId="0" borderId="0" xfId="11828" applyFont="1"/>
    <xf numFmtId="0" fontId="29" fillId="0" borderId="0" xfId="11828" applyFont="1" applyAlignment="1">
      <alignment horizontal="right"/>
    </xf>
    <xf numFmtId="14" fontId="29" fillId="0" borderId="0" xfId="11828" applyNumberFormat="1" applyFont="1" applyAlignment="1">
      <alignment horizontal="right"/>
    </xf>
    <xf numFmtId="165" fontId="29" fillId="0" borderId="0" xfId="12424" applyNumberFormat="1" applyFont="1" applyAlignment="1">
      <alignment horizontal="right"/>
    </xf>
    <xf numFmtId="362" fontId="29" fillId="0" borderId="0" xfId="11828" applyNumberFormat="1" applyFont="1" applyAlignment="1">
      <alignment horizontal="right"/>
    </xf>
    <xf numFmtId="10" fontId="24" fillId="0" borderId="10" xfId="20309" applyNumberFormat="1" applyFont="1" applyBorder="1" applyAlignment="1">
      <alignment horizontal="right"/>
    </xf>
    <xf numFmtId="10" fontId="24" fillId="0" borderId="62" xfId="20309" applyNumberFormat="1" applyFont="1" applyBorder="1" applyAlignment="1">
      <alignment horizontal="right"/>
    </xf>
    <xf numFmtId="0" fontId="200" fillId="0" borderId="0" xfId="0" applyFont="1" applyAlignment="1">
      <alignment horizontal="center" wrapText="1"/>
    </xf>
    <xf numFmtId="14" fontId="29" fillId="0" borderId="0" xfId="11828" applyNumberFormat="1" applyFont="1" applyAlignment="1">
      <alignment horizontal="left"/>
    </xf>
    <xf numFmtId="14" fontId="29" fillId="0" borderId="0" xfId="11828" applyNumberFormat="1" applyFont="1"/>
    <xf numFmtId="0" fontId="29" fillId="0" borderId="106" xfId="11828" applyFont="1" applyBorder="1" applyAlignment="1">
      <alignment horizontal="right"/>
    </xf>
    <xf numFmtId="14" fontId="29" fillId="0" borderId="107" xfId="11828" applyNumberFormat="1" applyFont="1" applyBorder="1" applyAlignment="1">
      <alignment horizontal="right"/>
    </xf>
    <xf numFmtId="0" fontId="29" fillId="0" borderId="62" xfId="11828" applyFont="1" applyBorder="1" applyAlignment="1">
      <alignment horizontal="right"/>
    </xf>
    <xf numFmtId="0" fontId="29" fillId="0" borderId="13" xfId="11828" applyFont="1" applyBorder="1" applyAlignment="1">
      <alignment horizontal="right"/>
    </xf>
    <xf numFmtId="0" fontId="29" fillId="0" borderId="10" xfId="11828" applyFont="1" applyBorder="1" applyAlignment="1">
      <alignment horizontal="right"/>
    </xf>
    <xf numFmtId="0" fontId="29" fillId="0" borderId="97" xfId="11828" applyFont="1" applyBorder="1" applyAlignment="1">
      <alignment horizontal="right"/>
    </xf>
    <xf numFmtId="0" fontId="201" fillId="0" borderId="0" xfId="11828" applyFont="1" applyAlignment="1">
      <alignment horizontal="right"/>
    </xf>
    <xf numFmtId="0" fontId="198" fillId="0" borderId="0" xfId="11828" applyFont="1"/>
    <xf numFmtId="167" fontId="29" fillId="0" borderId="0" xfId="12425" applyNumberFormat="1" applyFont="1" applyAlignment="1">
      <alignment horizontal="right"/>
    </xf>
    <xf numFmtId="255" fontId="29" fillId="0" borderId="0" xfId="11828" applyNumberFormat="1" applyFont="1" applyAlignment="1">
      <alignment horizontal="right"/>
    </xf>
    <xf numFmtId="165" fontId="29" fillId="74" borderId="0" xfId="12424" applyNumberFormat="1" applyFont="1" applyFill="1" applyAlignment="1">
      <alignment horizontal="right"/>
    </xf>
    <xf numFmtId="0" fontId="154" fillId="0" borderId="79" xfId="11826" applyFont="1" applyBorder="1" applyAlignment="1">
      <alignment horizontal="left"/>
    </xf>
    <xf numFmtId="0" fontId="154" fillId="0" borderId="79" xfId="11826" applyFont="1" applyBorder="1" applyAlignment="1">
      <alignment horizontal="right"/>
    </xf>
    <xf numFmtId="0" fontId="154" fillId="0" borderId="103" xfId="11826" applyFont="1" applyBorder="1" applyAlignment="1">
      <alignment horizontal="right"/>
    </xf>
    <xf numFmtId="0" fontId="154" fillId="0" borderId="103" xfId="11826" applyFont="1" applyBorder="1" applyAlignment="1">
      <alignment horizontal="centerContinuous"/>
    </xf>
    <xf numFmtId="0" fontId="154" fillId="0" borderId="104" xfId="11826" applyFont="1" applyBorder="1" applyAlignment="1">
      <alignment horizontal="centerContinuous"/>
    </xf>
    <xf numFmtId="0" fontId="29" fillId="0" borderId="104" xfId="11828" applyFont="1" applyBorder="1" applyAlignment="1">
      <alignment horizontal="centerContinuous"/>
    </xf>
    <xf numFmtId="0" fontId="29" fillId="0" borderId="105" xfId="11828" applyFont="1" applyBorder="1" applyAlignment="1">
      <alignment horizontal="centerContinuous"/>
    </xf>
    <xf numFmtId="0" fontId="24" fillId="0" borderId="108" xfId="20308" applyFont="1" applyBorder="1" applyAlignment="1">
      <alignment horizontal="left"/>
    </xf>
    <xf numFmtId="2" fontId="24" fillId="0" borderId="108" xfId="11826" applyNumberFormat="1" applyFont="1" applyBorder="1" applyAlignment="1">
      <alignment horizontal="right"/>
    </xf>
    <xf numFmtId="10" fontId="24" fillId="0" borderId="106" xfId="20309" applyNumberFormat="1" applyFont="1" applyBorder="1" applyAlignment="1">
      <alignment horizontal="right"/>
    </xf>
    <xf numFmtId="0" fontId="24" fillId="0" borderId="62" xfId="11826" applyFont="1" applyBorder="1" applyAlignment="1">
      <alignment horizontal="centerContinuous"/>
    </xf>
    <xf numFmtId="0" fontId="24" fillId="0" borderId="0" xfId="11826" applyFont="1" applyAlignment="1">
      <alignment horizontal="centerContinuous"/>
    </xf>
    <xf numFmtId="0" fontId="29" fillId="0" borderId="0" xfId="11828" applyFont="1" applyAlignment="1">
      <alignment horizontal="centerContinuous"/>
    </xf>
    <xf numFmtId="0" fontId="29" fillId="0" borderId="13" xfId="11828" applyFont="1" applyBorder="1" applyAlignment="1">
      <alignment horizontal="centerContinuous"/>
    </xf>
    <xf numFmtId="14" fontId="152" fillId="0" borderId="51" xfId="16168" applyNumberFormat="1" applyFont="1" applyBorder="1" applyAlignment="1">
      <alignment horizontal="left"/>
    </xf>
    <xf numFmtId="2" fontId="24" fillId="0" borderId="51" xfId="11826" applyNumberFormat="1" applyFont="1" applyBorder="1" applyAlignment="1">
      <alignment horizontal="right"/>
    </xf>
    <xf numFmtId="14" fontId="152" fillId="0" borderId="32" xfId="16168" applyNumberFormat="1" applyFont="1" applyBorder="1" applyAlignment="1">
      <alignment horizontal="left"/>
    </xf>
    <xf numFmtId="2" fontId="24" fillId="0" borderId="32" xfId="11826" applyNumberFormat="1" applyFont="1" applyBorder="1" applyAlignment="1">
      <alignment horizontal="right"/>
    </xf>
    <xf numFmtId="0" fontId="24" fillId="0" borderId="10" xfId="11826" applyFont="1" applyBorder="1" applyAlignment="1">
      <alignment horizontal="centerContinuous"/>
    </xf>
    <xf numFmtId="0" fontId="24" fillId="0" borderId="45" xfId="11826" applyFont="1" applyBorder="1" applyAlignment="1">
      <alignment horizontal="centerContinuous"/>
    </xf>
    <xf numFmtId="0" fontId="29" fillId="0" borderId="45" xfId="11828" applyFont="1" applyBorder="1" applyAlignment="1">
      <alignment horizontal="centerContinuous"/>
    </xf>
    <xf numFmtId="0" fontId="29" fillId="0" borderId="97" xfId="11828" applyFont="1" applyBorder="1" applyAlignment="1">
      <alignment horizontal="centerContinuous"/>
    </xf>
    <xf numFmtId="0" fontId="90" fillId="0" borderId="0" xfId="11828" applyFont="1"/>
    <xf numFmtId="14" fontId="152" fillId="0" borderId="79" xfId="16168" applyNumberFormat="1" applyFont="1" applyBorder="1" applyAlignment="1">
      <alignment horizontal="left"/>
    </xf>
    <xf numFmtId="10" fontId="29" fillId="0" borderId="79" xfId="12424" applyNumberFormat="1" applyFont="1" applyBorder="1" applyAlignment="1">
      <alignment horizontal="right"/>
    </xf>
    <xf numFmtId="0" fontId="29" fillId="0" borderId="104" xfId="11828" applyFont="1" applyBorder="1" applyAlignment="1">
      <alignment horizontal="left"/>
    </xf>
    <xf numFmtId="0" fontId="29" fillId="0" borderId="104" xfId="11828" applyFont="1" applyBorder="1" applyAlignment="1">
      <alignment horizontal="right"/>
    </xf>
    <xf numFmtId="0" fontId="29" fillId="0" borderId="105" xfId="11828" applyFont="1" applyBorder="1" applyAlignment="1">
      <alignment horizontal="right"/>
    </xf>
    <xf numFmtId="0" fontId="152" fillId="0" borderId="112" xfId="0" applyFont="1" applyBorder="1"/>
    <xf numFmtId="0" fontId="29" fillId="0" borderId="112" xfId="11828" applyFont="1" applyBorder="1" applyAlignment="1">
      <alignment horizontal="right"/>
    </xf>
    <xf numFmtId="14" fontId="29" fillId="0" borderId="113" xfId="11828" applyNumberFormat="1" applyFont="1" applyBorder="1" applyAlignment="1">
      <alignment horizontal="right"/>
    </xf>
    <xf numFmtId="0" fontId="24" fillId="0" borderId="0" xfId="20306" applyFont="1"/>
    <xf numFmtId="0" fontId="24" fillId="0" borderId="0" xfId="20306" applyFont="1" applyAlignment="1">
      <alignment horizontal="right"/>
    </xf>
    <xf numFmtId="0" fontId="29" fillId="0" borderId="109" xfId="11828" applyFont="1" applyBorder="1" applyAlignment="1">
      <alignment horizontal="centerContinuous"/>
    </xf>
    <xf numFmtId="0" fontId="29" fillId="0" borderId="110" xfId="11828" applyFont="1" applyBorder="1" applyAlignment="1">
      <alignment horizontal="centerContinuous"/>
    </xf>
    <xf numFmtId="0" fontId="29" fillId="0" borderId="111" xfId="11828" applyFont="1" applyBorder="1" applyAlignment="1">
      <alignment horizontal="centerContinuous"/>
    </xf>
    <xf numFmtId="0" fontId="126" fillId="0" borderId="0" xfId="20306" applyFont="1" applyAlignment="1">
      <alignment horizontal="center"/>
    </xf>
    <xf numFmtId="0" fontId="154" fillId="0" borderId="79" xfId="20380" applyFont="1" applyBorder="1" applyAlignment="1">
      <alignment horizontal="left"/>
    </xf>
    <xf numFmtId="0" fontId="154" fillId="0" borderId="79" xfId="20380" applyFont="1" applyBorder="1" applyAlignment="1">
      <alignment horizontal="right"/>
    </xf>
    <xf numFmtId="0" fontId="154" fillId="0" borderId="109" xfId="20380" applyFont="1" applyBorder="1" applyAlignment="1">
      <alignment horizontal="right"/>
    </xf>
    <xf numFmtId="0" fontId="154" fillId="0" borderId="109" xfId="20380" applyFont="1" applyBorder="1" applyAlignment="1">
      <alignment horizontal="centerContinuous"/>
    </xf>
    <xf numFmtId="0" fontId="154" fillId="0" borderId="110" xfId="20380" applyFont="1" applyBorder="1" applyAlignment="1">
      <alignment horizontal="centerContinuous"/>
    </xf>
    <xf numFmtId="2" fontId="24" fillId="0" borderId="108" xfId="20380" applyNumberFormat="1" applyFont="1" applyBorder="1" applyAlignment="1">
      <alignment horizontal="right"/>
    </xf>
    <xf numFmtId="10" fontId="24" fillId="0" borderId="112" xfId="20309" applyNumberFormat="1" applyFont="1" applyBorder="1" applyAlignment="1">
      <alignment horizontal="right"/>
    </xf>
    <xf numFmtId="0" fontId="24" fillId="0" borderId="62" xfId="20380" applyFont="1" applyBorder="1" applyAlignment="1">
      <alignment horizontal="centerContinuous"/>
    </xf>
    <xf numFmtId="0" fontId="24" fillId="0" borderId="0" xfId="20380" applyFont="1" applyAlignment="1">
      <alignment horizontal="centerContinuous"/>
    </xf>
    <xf numFmtId="14" fontId="152" fillId="0" borderId="51" xfId="20381" applyNumberFormat="1" applyFont="1" applyBorder="1" applyAlignment="1">
      <alignment horizontal="left"/>
    </xf>
    <xf numFmtId="2" fontId="24" fillId="0" borderId="51" xfId="20380" applyNumberFormat="1" applyFont="1" applyBorder="1" applyAlignment="1">
      <alignment horizontal="right"/>
    </xf>
    <xf numFmtId="14" fontId="152" fillId="0" borderId="32" xfId="20381" applyNumberFormat="1" applyFont="1" applyBorder="1" applyAlignment="1">
      <alignment horizontal="left"/>
    </xf>
    <xf numFmtId="2" fontId="24" fillId="0" borderId="32" xfId="20380" applyNumberFormat="1" applyFont="1" applyBorder="1" applyAlignment="1">
      <alignment horizontal="right"/>
    </xf>
    <xf numFmtId="0" fontId="24" fillId="0" borderId="10" xfId="20380" applyFont="1" applyBorder="1" applyAlignment="1">
      <alignment horizontal="centerContinuous"/>
    </xf>
    <xf numFmtId="0" fontId="24" fillId="0" borderId="45" xfId="20380" applyFont="1" applyBorder="1" applyAlignment="1">
      <alignment horizontal="centerContinuous"/>
    </xf>
    <xf numFmtId="14" fontId="152" fillId="0" borderId="79" xfId="20381" applyNumberFormat="1" applyFont="1" applyBorder="1" applyAlignment="1">
      <alignment horizontal="left"/>
    </xf>
    <xf numFmtId="0" fontId="29" fillId="0" borderId="110" xfId="11828" applyFont="1" applyBorder="1" applyAlignment="1">
      <alignment horizontal="left"/>
    </xf>
    <xf numFmtId="0" fontId="29" fillId="0" borderId="110" xfId="11828" applyFont="1" applyBorder="1" applyAlignment="1">
      <alignment horizontal="right"/>
    </xf>
    <xf numFmtId="0" fontId="29" fillId="0" borderId="111" xfId="11828" applyFont="1" applyBorder="1" applyAlignment="1">
      <alignment horizontal="right"/>
    </xf>
    <xf numFmtId="14" fontId="152" fillId="0" borderId="115" xfId="0" applyNumberFormat="1" applyFont="1" applyBorder="1" applyAlignment="1">
      <alignment horizontal="right"/>
    </xf>
    <xf numFmtId="0" fontId="152" fillId="0" borderId="97" xfId="0" applyFont="1" applyBorder="1" applyAlignment="1">
      <alignment horizontal="right"/>
    </xf>
    <xf numFmtId="0" fontId="152" fillId="0" borderId="0" xfId="20306" applyFont="1"/>
    <xf numFmtId="0" fontId="196" fillId="0" borderId="0" xfId="20306" applyFont="1"/>
    <xf numFmtId="0" fontId="158" fillId="72" borderId="109" xfId="20306" applyFont="1" applyFill="1" applyBorder="1" applyAlignment="1">
      <alignment horizontal="centerContinuous"/>
    </xf>
    <xf numFmtId="0" fontId="158" fillId="72" borderId="111" xfId="20306" applyFont="1" applyFill="1" applyBorder="1" applyAlignment="1">
      <alignment horizontal="centerContinuous"/>
    </xf>
    <xf numFmtId="0" fontId="158" fillId="72" borderId="110" xfId="20306" applyFont="1" applyFill="1" applyBorder="1" applyAlignment="1">
      <alignment horizontal="centerContinuous"/>
    </xf>
    <xf numFmtId="0" fontId="158" fillId="72" borderId="79" xfId="20306" applyFont="1" applyFill="1" applyBorder="1" applyAlignment="1">
      <alignment horizontal="centerContinuous"/>
    </xf>
    <xf numFmtId="0" fontId="154" fillId="0" borderId="109" xfId="20306" applyFont="1" applyBorder="1" applyAlignment="1">
      <alignment horizontal="center" wrapText="1"/>
    </xf>
    <xf numFmtId="0" fontId="154" fillId="0" borderId="110" xfId="20306" applyFont="1" applyBorder="1" applyAlignment="1">
      <alignment horizontal="center" wrapText="1"/>
    </xf>
    <xf numFmtId="0" fontId="154" fillId="0" borderId="111" xfId="20306" applyFont="1" applyBorder="1" applyAlignment="1">
      <alignment horizontal="center" wrapText="1"/>
    </xf>
    <xf numFmtId="0" fontId="152" fillId="0" borderId="0" xfId="20306" applyFont="1" applyAlignment="1">
      <alignment wrapText="1"/>
    </xf>
    <xf numFmtId="0" fontId="154" fillId="0" borderId="0" xfId="20306" applyFont="1" applyAlignment="1">
      <alignment horizontal="center" wrapText="1"/>
    </xf>
    <xf numFmtId="0" fontId="154" fillId="0" borderId="10" xfId="20306" applyFont="1" applyBorder="1" applyAlignment="1">
      <alignment horizontal="center" wrapText="1"/>
    </xf>
    <xf numFmtId="0" fontId="154" fillId="0" borderId="32" xfId="20306" applyFont="1" applyBorder="1" applyAlignment="1">
      <alignment horizontal="center" wrapText="1"/>
    </xf>
    <xf numFmtId="0" fontId="153" fillId="0" borderId="0" xfId="20306" applyFont="1" applyAlignment="1">
      <alignment horizontal="center" wrapText="1"/>
    </xf>
    <xf numFmtId="164" fontId="152" fillId="0" borderId="0" xfId="20306" applyNumberFormat="1" applyFont="1" applyAlignment="1">
      <alignment horizontal="center" vertical="top" wrapText="1"/>
    </xf>
    <xf numFmtId="0" fontId="152" fillId="0" borderId="0" xfId="20306" applyFont="1" applyAlignment="1">
      <alignment vertical="top" wrapText="1"/>
    </xf>
    <xf numFmtId="165" fontId="152" fillId="0" borderId="0" xfId="20306" applyNumberFormat="1" applyFont="1" applyAlignment="1">
      <alignment horizontal="center" vertical="top" wrapText="1"/>
    </xf>
    <xf numFmtId="0" fontId="152" fillId="0" borderId="0" xfId="20306" applyFont="1" applyAlignment="1">
      <alignment horizontal="center" vertical="top" wrapText="1"/>
    </xf>
    <xf numFmtId="169" fontId="152" fillId="0" borderId="0" xfId="20306" applyNumberFormat="1" applyFont="1" applyAlignment="1">
      <alignment horizontal="right" vertical="top"/>
    </xf>
    <xf numFmtId="0" fontId="152" fillId="0" borderId="0" xfId="20306" applyFont="1" applyAlignment="1">
      <alignment horizontal="right" vertical="top"/>
    </xf>
    <xf numFmtId="234" fontId="152" fillId="0" borderId="0" xfId="20306" applyNumberFormat="1" applyFont="1" applyAlignment="1">
      <alignment horizontal="right" vertical="top"/>
    </xf>
    <xf numFmtId="165" fontId="152" fillId="0" borderId="0" xfId="20306" applyNumberFormat="1" applyFont="1" applyAlignment="1">
      <alignment vertical="top" wrapText="1"/>
    </xf>
    <xf numFmtId="0" fontId="160" fillId="0" borderId="0" xfId="20306" applyFont="1"/>
    <xf numFmtId="0" fontId="153" fillId="71" borderId="112" xfId="20306" applyFont="1" applyFill="1" applyBorder="1"/>
    <xf numFmtId="0" fontId="152" fillId="71" borderId="114" xfId="20306" applyFont="1" applyFill="1" applyBorder="1"/>
    <xf numFmtId="169" fontId="153" fillId="71" borderId="114" xfId="20306" applyNumberFormat="1" applyFont="1" applyFill="1" applyBorder="1"/>
    <xf numFmtId="0" fontId="152" fillId="71" borderId="115" xfId="20306" applyFont="1" applyFill="1" applyBorder="1"/>
    <xf numFmtId="234" fontId="153" fillId="71" borderId="114" xfId="20306" applyNumberFormat="1" applyFont="1" applyFill="1" applyBorder="1"/>
    <xf numFmtId="165" fontId="153" fillId="71" borderId="114" xfId="20306" applyNumberFormat="1" applyFont="1" applyFill="1" applyBorder="1"/>
    <xf numFmtId="165" fontId="153" fillId="71" borderId="115" xfId="20306" applyNumberFormat="1" applyFont="1" applyFill="1" applyBorder="1"/>
    <xf numFmtId="0" fontId="153" fillId="71" borderId="62" xfId="20306" applyFont="1" applyFill="1" applyBorder="1"/>
    <xf numFmtId="0" fontId="152" fillId="71" borderId="0" xfId="20306" applyFont="1" applyFill="1"/>
    <xf numFmtId="169" fontId="153" fillId="71" borderId="0" xfId="20306" applyNumberFormat="1" applyFont="1" applyFill="1"/>
    <xf numFmtId="0" fontId="152" fillId="71" borderId="13" xfId="20306" applyFont="1" applyFill="1" applyBorder="1"/>
    <xf numFmtId="234" fontId="153" fillId="71" borderId="0" xfId="20306" applyNumberFormat="1" applyFont="1" applyFill="1"/>
    <xf numFmtId="165" fontId="153" fillId="71" borderId="0" xfId="20306" applyNumberFormat="1" applyFont="1" applyFill="1"/>
    <xf numFmtId="165" fontId="153" fillId="71" borderId="13" xfId="20306" applyNumberFormat="1" applyFont="1" applyFill="1" applyBorder="1"/>
    <xf numFmtId="0" fontId="153" fillId="71" borderId="10" xfId="20306" applyFont="1" applyFill="1" applyBorder="1"/>
    <xf numFmtId="0" fontId="152" fillId="71" borderId="45" xfId="20306" applyFont="1" applyFill="1" applyBorder="1"/>
    <xf numFmtId="169" fontId="153" fillId="71" borderId="45" xfId="20306" applyNumberFormat="1" applyFont="1" applyFill="1" applyBorder="1"/>
    <xf numFmtId="0" fontId="152" fillId="71" borderId="97" xfId="20306" applyFont="1" applyFill="1" applyBorder="1"/>
    <xf numFmtId="234" fontId="153" fillId="71" borderId="45" xfId="20306" applyNumberFormat="1" applyFont="1" applyFill="1" applyBorder="1"/>
    <xf numFmtId="165" fontId="153" fillId="71" borderId="45" xfId="20306" applyNumberFormat="1" applyFont="1" applyFill="1" applyBorder="1"/>
    <xf numFmtId="165" fontId="153" fillId="71" borderId="97" xfId="20306" applyNumberFormat="1" applyFont="1" applyFill="1" applyBorder="1"/>
    <xf numFmtId="0" fontId="155" fillId="0" borderId="0" xfId="20306" applyFont="1"/>
    <xf numFmtId="0" fontId="158" fillId="72" borderId="149" xfId="0" applyFont="1" applyFill="1" applyBorder="1" applyAlignment="1">
      <alignment horizontal="centerContinuous"/>
    </xf>
    <xf numFmtId="0" fontId="154" fillId="0" borderId="149" xfId="0" applyFont="1" applyBorder="1" applyAlignment="1">
      <alignment horizontal="center" wrapText="1"/>
    </xf>
    <xf numFmtId="0" fontId="158" fillId="72" borderId="149" xfId="20306" applyFont="1" applyFill="1" applyBorder="1" applyAlignment="1">
      <alignment horizontal="centerContinuous"/>
    </xf>
    <xf numFmtId="0" fontId="154" fillId="0" borderId="149" xfId="20306" applyFont="1" applyBorder="1" applyAlignment="1">
      <alignment horizontal="center" wrapText="1"/>
    </xf>
    <xf numFmtId="169" fontId="153" fillId="71" borderId="158" xfId="20306" applyNumberFormat="1" applyFont="1" applyFill="1" applyBorder="1"/>
    <xf numFmtId="0" fontId="203" fillId="0" borderId="0" xfId="12421" applyFont="1"/>
    <xf numFmtId="0" fontId="204" fillId="0" borderId="0" xfId="12421" applyFont="1"/>
    <xf numFmtId="0" fontId="204" fillId="0" borderId="0" xfId="12421" applyFont="1" applyAlignment="1">
      <alignment horizontal="center"/>
    </xf>
    <xf numFmtId="0" fontId="204" fillId="69" borderId="56" xfId="12421" applyFont="1" applyFill="1" applyBorder="1"/>
    <xf numFmtId="0" fontId="203" fillId="69" borderId="56" xfId="12421" applyFont="1" applyFill="1" applyBorder="1"/>
    <xf numFmtId="0" fontId="205" fillId="69" borderId="56" xfId="12421" applyFont="1" applyFill="1" applyBorder="1" applyAlignment="1">
      <alignment horizontal="center"/>
    </xf>
    <xf numFmtId="0" fontId="206" fillId="69" borderId="0" xfId="12421" applyFont="1" applyFill="1"/>
    <xf numFmtId="0" fontId="207" fillId="69" borderId="0" xfId="12421" applyFont="1" applyFill="1" applyAlignment="1">
      <alignment horizontal="center"/>
    </xf>
    <xf numFmtId="0" fontId="208" fillId="69" borderId="0" xfId="12421" applyFont="1" applyFill="1"/>
    <xf numFmtId="0" fontId="208" fillId="0" borderId="0" xfId="12421" applyFont="1"/>
    <xf numFmtId="0" fontId="209" fillId="74" borderId="0" xfId="12421" applyFont="1" applyFill="1"/>
    <xf numFmtId="0" fontId="204" fillId="69" borderId="0" xfId="12421" applyFont="1" applyFill="1"/>
    <xf numFmtId="0" fontId="203" fillId="69" borderId="0" xfId="12421" applyFont="1" applyFill="1"/>
    <xf numFmtId="0" fontId="210" fillId="69" borderId="0" xfId="12421" applyFont="1" applyFill="1" applyAlignment="1">
      <alignment horizontal="center"/>
    </xf>
    <xf numFmtId="0" fontId="211" fillId="69" borderId="0" xfId="12421" applyFont="1" applyFill="1" applyAlignment="1">
      <alignment horizontal="center"/>
    </xf>
    <xf numFmtId="0" fontId="212" fillId="69" borderId="0" xfId="12421" applyFont="1" applyFill="1" applyAlignment="1">
      <alignment horizontal="center"/>
    </xf>
    <xf numFmtId="0" fontId="204" fillId="69" borderId="57" xfId="12421" applyFont="1" applyFill="1" applyBorder="1"/>
    <xf numFmtId="0" fontId="203" fillId="69" borderId="57" xfId="12421" applyFont="1" applyFill="1" applyBorder="1"/>
    <xf numFmtId="0" fontId="205" fillId="69" borderId="57" xfId="12421" applyFont="1" applyFill="1" applyBorder="1" applyAlignment="1">
      <alignment horizontal="center"/>
    </xf>
    <xf numFmtId="0" fontId="203" fillId="0" borderId="0" xfId="12421" applyFont="1" applyAlignment="1">
      <alignment horizontal="center"/>
    </xf>
    <xf numFmtId="0" fontId="213" fillId="0" borderId="0" xfId="12421" applyFont="1" applyAlignment="1">
      <alignment horizontal="center"/>
    </xf>
    <xf numFmtId="343" fontId="214" fillId="0" borderId="0" xfId="12421" applyNumberFormat="1" applyFont="1" applyAlignment="1">
      <alignment horizontal="center"/>
    </xf>
    <xf numFmtId="14" fontId="203" fillId="0" borderId="0" xfId="12421" applyNumberFormat="1" applyFont="1"/>
    <xf numFmtId="0" fontId="215" fillId="0" borderId="0" xfId="12421" applyFont="1" applyAlignment="1">
      <alignment horizontal="center"/>
    </xf>
    <xf numFmtId="0" fontId="216" fillId="0" borderId="0" xfId="12421" applyFont="1" applyAlignment="1">
      <alignment horizontal="center"/>
    </xf>
    <xf numFmtId="0" fontId="217" fillId="0" borderId="0" xfId="12421" applyFont="1" applyAlignment="1">
      <alignment horizontal="center" wrapText="1"/>
    </xf>
    <xf numFmtId="0" fontId="218" fillId="0" borderId="0" xfId="0" applyFont="1"/>
    <xf numFmtId="0" fontId="218" fillId="0" borderId="0" xfId="0" applyFont="1" applyAlignment="1">
      <alignment horizontal="center"/>
    </xf>
    <xf numFmtId="43" fontId="219" fillId="68" borderId="56" xfId="11155" applyFont="1" applyFill="1" applyBorder="1"/>
    <xf numFmtId="43" fontId="219" fillId="68" borderId="56" xfId="11155" applyFont="1" applyFill="1" applyBorder="1" applyAlignment="1">
      <alignment horizontal="center"/>
    </xf>
    <xf numFmtId="43" fontId="219" fillId="68" borderId="57" xfId="11155" applyFont="1" applyFill="1" applyBorder="1"/>
    <xf numFmtId="43" fontId="219" fillId="68" borderId="57" xfId="11155" applyFont="1" applyFill="1" applyBorder="1" applyAlignment="1">
      <alignment horizontal="center"/>
    </xf>
    <xf numFmtId="0" fontId="220" fillId="0" borderId="0" xfId="0" applyFont="1" applyAlignment="1">
      <alignment horizontal="center"/>
    </xf>
    <xf numFmtId="0" fontId="220" fillId="0" borderId="0" xfId="0" applyFont="1"/>
    <xf numFmtId="0" fontId="220" fillId="0" borderId="0" xfId="0" applyFont="1" applyAlignment="1">
      <alignment horizontal="center" vertical="center"/>
    </xf>
    <xf numFmtId="43" fontId="218" fillId="0" borderId="0" xfId="0" applyNumberFormat="1" applyFont="1" applyAlignment="1">
      <alignment horizontal="center" vertical="center"/>
    </xf>
    <xf numFmtId="43" fontId="218" fillId="0" borderId="0" xfId="0" applyNumberFormat="1" applyFont="1" applyAlignment="1">
      <alignment horizontal="center"/>
    </xf>
    <xf numFmtId="43" fontId="219" fillId="68" borderId="0" xfId="11155" applyFont="1" applyFill="1"/>
    <xf numFmtId="43" fontId="219" fillId="68" borderId="57" xfId="11155" applyFont="1" applyFill="1" applyBorder="1" applyAlignment="1">
      <alignment horizontal="right"/>
    </xf>
    <xf numFmtId="0" fontId="203" fillId="0" borderId="0" xfId="0" applyFont="1"/>
    <xf numFmtId="43" fontId="222" fillId="68" borderId="56" xfId="11155" applyFont="1" applyFill="1" applyBorder="1"/>
    <xf numFmtId="0" fontId="203" fillId="0" borderId="109" xfId="0" applyFont="1" applyBorder="1" applyAlignment="1">
      <alignment horizontal="centerContinuous"/>
    </xf>
    <xf numFmtId="0" fontId="203" fillId="0" borderId="110" xfId="0" applyFont="1" applyBorder="1" applyAlignment="1">
      <alignment horizontal="centerContinuous"/>
    </xf>
    <xf numFmtId="0" fontId="203" fillId="0" borderId="111" xfId="0" applyFont="1" applyBorder="1" applyAlignment="1">
      <alignment horizontal="centerContinuous"/>
    </xf>
    <xf numFmtId="43" fontId="222" fillId="68" borderId="0" xfId="11155" applyFont="1" applyFill="1"/>
    <xf numFmtId="43" fontId="203" fillId="0" borderId="112" xfId="0" applyNumberFormat="1" applyFont="1" applyBorder="1" applyAlignment="1">
      <alignment horizontal="center"/>
    </xf>
    <xf numFmtId="43" fontId="203" fillId="0" borderId="114" xfId="0" applyNumberFormat="1" applyFont="1" applyBorder="1" applyAlignment="1">
      <alignment horizontal="center"/>
    </xf>
    <xf numFmtId="0" fontId="203" fillId="0" borderId="115" xfId="0" applyFont="1" applyBorder="1" applyAlignment="1">
      <alignment horizontal="center"/>
    </xf>
    <xf numFmtId="0" fontId="223" fillId="0" borderId="153" xfId="0" applyFont="1" applyBorder="1"/>
    <xf numFmtId="0" fontId="203" fillId="0" borderId="62" xfId="0" applyFont="1" applyBorder="1" applyAlignment="1">
      <alignment horizontal="center"/>
    </xf>
    <xf numFmtId="0" fontId="203" fillId="0" borderId="0" xfId="0" applyFont="1" applyAlignment="1">
      <alignment horizontal="center"/>
    </xf>
    <xf numFmtId="0" fontId="203" fillId="0" borderId="13" xfId="0" applyFont="1" applyBorder="1" applyAlignment="1">
      <alignment horizontal="center"/>
    </xf>
    <xf numFmtId="0" fontId="203" fillId="0" borderId="10" xfId="0" applyFont="1" applyBorder="1" applyAlignment="1">
      <alignment horizontal="center"/>
    </xf>
    <xf numFmtId="0" fontId="203" fillId="0" borderId="45" xfId="0" applyFont="1" applyBorder="1" applyAlignment="1">
      <alignment horizontal="center"/>
    </xf>
    <xf numFmtId="0" fontId="203" fillId="0" borderId="97" xfId="0" applyFont="1" applyBorder="1" applyAlignment="1">
      <alignment horizontal="center"/>
    </xf>
    <xf numFmtId="0" fontId="224" fillId="72" borderId="29" xfId="0" applyFont="1" applyFill="1" applyBorder="1" applyAlignment="1">
      <alignment horizontal="left"/>
    </xf>
    <xf numFmtId="0" fontId="224" fillId="72" borderId="29" xfId="0" applyFont="1" applyFill="1" applyBorder="1" applyAlignment="1">
      <alignment horizontal="right"/>
    </xf>
    <xf numFmtId="0" fontId="203" fillId="0" borderId="0" xfId="0" applyFont="1" applyAlignment="1">
      <alignment horizontal="right"/>
    </xf>
    <xf numFmtId="0" fontId="224" fillId="72" borderId="29" xfId="0" applyFont="1" applyFill="1" applyBorder="1" applyAlignment="1">
      <alignment horizontal="center"/>
    </xf>
    <xf numFmtId="0" fontId="203" fillId="0" borderId="159" xfId="0" applyFont="1" applyBorder="1"/>
    <xf numFmtId="0" fontId="226" fillId="0" borderId="0" xfId="0" applyFont="1"/>
    <xf numFmtId="0" fontId="203" fillId="0" borderId="0" xfId="0" applyFont="1" applyAlignment="1">
      <alignment horizontal="left" indent="1"/>
    </xf>
    <xf numFmtId="169" fontId="227" fillId="0" borderId="0" xfId="0" applyNumberFormat="1" applyFont="1" applyAlignment="1">
      <alignment horizontal="right"/>
    </xf>
    <xf numFmtId="0" fontId="203" fillId="0" borderId="0" xfId="0" quotePrefix="1" applyFont="1" applyAlignment="1">
      <alignment horizontal="center"/>
    </xf>
    <xf numFmtId="169" fontId="203" fillId="0" borderId="0" xfId="0" applyNumberFormat="1" applyFont="1"/>
    <xf numFmtId="165" fontId="228" fillId="0" borderId="0" xfId="12422" applyNumberFormat="1" applyFont="1"/>
    <xf numFmtId="165" fontId="203" fillId="0" borderId="0" xfId="0" applyNumberFormat="1" applyFont="1"/>
    <xf numFmtId="10" fontId="227" fillId="0" borderId="0" xfId="0" applyNumberFormat="1" applyFont="1" applyAlignment="1">
      <alignment horizontal="center" wrapText="1"/>
    </xf>
    <xf numFmtId="10" fontId="228" fillId="0" borderId="0" xfId="0" applyNumberFormat="1" applyFont="1" applyAlignment="1">
      <alignment wrapText="1"/>
    </xf>
    <xf numFmtId="0" fontId="225" fillId="0" borderId="166" xfId="0" applyFont="1" applyBorder="1" applyAlignment="1">
      <alignment horizontal="center"/>
    </xf>
    <xf numFmtId="169" fontId="227" fillId="0" borderId="0" xfId="0" applyNumberFormat="1" applyFont="1"/>
    <xf numFmtId="43" fontId="203" fillId="0" borderId="0" xfId="0" applyNumberFormat="1" applyFont="1" applyAlignment="1">
      <alignment horizontal="center"/>
    </xf>
    <xf numFmtId="167" fontId="227" fillId="0" borderId="0" xfId="12427" applyNumberFormat="1" applyFont="1"/>
    <xf numFmtId="169" fontId="229" fillId="0" borderId="0" xfId="0" applyNumberFormat="1" applyFont="1"/>
    <xf numFmtId="0" fontId="203" fillId="0" borderId="45" xfId="0" applyFont="1" applyBorder="1"/>
    <xf numFmtId="0" fontId="203" fillId="0" borderId="0" xfId="0" applyFont="1" applyAlignment="1">
      <alignment wrapText="1"/>
    </xf>
    <xf numFmtId="0" fontId="203" fillId="0" borderId="0" xfId="0" applyFont="1" applyAlignment="1">
      <alignment horizontal="right" wrapText="1"/>
    </xf>
    <xf numFmtId="8" fontId="227" fillId="0" borderId="0" xfId="0" applyNumberFormat="1" applyFont="1"/>
    <xf numFmtId="0" fontId="203" fillId="0" borderId="153" xfId="0" applyFont="1" applyBorder="1"/>
    <xf numFmtId="0" fontId="226" fillId="71" borderId="34" xfId="0" applyFont="1" applyFill="1" applyBorder="1"/>
    <xf numFmtId="0" fontId="226" fillId="71" borderId="35" xfId="0" applyFont="1" applyFill="1" applyBorder="1"/>
    <xf numFmtId="8" fontId="226" fillId="71" borderId="42" xfId="0" applyNumberFormat="1" applyFont="1" applyFill="1" applyBorder="1"/>
    <xf numFmtId="0" fontId="203" fillId="0" borderId="70" xfId="0" applyFont="1" applyBorder="1"/>
    <xf numFmtId="0" fontId="225" fillId="0" borderId="153" xfId="0" applyFont="1" applyBorder="1"/>
    <xf numFmtId="0" fontId="230" fillId="0" borderId="0" xfId="0" applyFont="1"/>
    <xf numFmtId="0" fontId="203" fillId="0" borderId="0" xfId="0" quotePrefix="1" applyFont="1" applyAlignment="1">
      <alignment horizontal="right"/>
    </xf>
    <xf numFmtId="0" fontId="203" fillId="74" borderId="0" xfId="0" quotePrefix="1" applyFont="1" applyFill="1" applyAlignment="1">
      <alignment horizontal="left"/>
    </xf>
    <xf numFmtId="0" fontId="203" fillId="74" borderId="0" xfId="0" applyFont="1" applyFill="1"/>
    <xf numFmtId="43" fontId="203" fillId="0" borderId="0" xfId="0" applyNumberFormat="1" applyFont="1"/>
    <xf numFmtId="0" fontId="203" fillId="0" borderId="166" xfId="0" applyFont="1" applyBorder="1" applyAlignment="1">
      <alignment horizontal="center"/>
    </xf>
    <xf numFmtId="0" fontId="228" fillId="0" borderId="0" xfId="0" applyFont="1"/>
    <xf numFmtId="0" fontId="232" fillId="69" borderId="0" xfId="12421" applyFont="1" applyFill="1" applyAlignment="1">
      <alignment horizontal="center"/>
    </xf>
    <xf numFmtId="0" fontId="226" fillId="0" borderId="68" xfId="0" applyFont="1" applyBorder="1"/>
    <xf numFmtId="0" fontId="203" fillId="0" borderId="69" xfId="0" applyFont="1" applyBorder="1"/>
    <xf numFmtId="164" fontId="228" fillId="0" borderId="70" xfId="0" applyNumberFormat="1" applyFont="1" applyBorder="1"/>
    <xf numFmtId="167" fontId="228" fillId="0" borderId="70" xfId="12426" applyNumberFormat="1" applyFont="1" applyBorder="1"/>
    <xf numFmtId="165" fontId="227" fillId="0" borderId="70" xfId="12049" applyNumberFormat="1" applyFont="1" applyBorder="1" applyAlignment="1">
      <alignment horizontal="right"/>
    </xf>
    <xf numFmtId="165" fontId="234" fillId="0" borderId="70" xfId="12049" applyNumberFormat="1" applyFont="1" applyBorder="1" applyAlignment="1">
      <alignment horizontal="right"/>
    </xf>
    <xf numFmtId="0" fontId="233" fillId="0" borderId="0" xfId="0" applyFont="1" applyAlignment="1">
      <alignment horizontal="center" vertical="center" wrapText="1"/>
    </xf>
    <xf numFmtId="0" fontId="235" fillId="0" borderId="34" xfId="0" applyFont="1" applyBorder="1"/>
    <xf numFmtId="0" fontId="235" fillId="0" borderId="35" xfId="0" applyFont="1" applyBorder="1"/>
    <xf numFmtId="164" fontId="203" fillId="0" borderId="0" xfId="0" applyNumberFormat="1" applyFont="1" applyAlignment="1">
      <alignment horizontal="right"/>
    </xf>
    <xf numFmtId="169" fontId="234" fillId="0" borderId="0" xfId="0" applyNumberFormat="1" applyFont="1"/>
    <xf numFmtId="0" fontId="226" fillId="0" borderId="0" xfId="0" applyFont="1" applyAlignment="1">
      <alignment horizontal="left"/>
    </xf>
    <xf numFmtId="164" fontId="236" fillId="0" borderId="0" xfId="0" applyNumberFormat="1" applyFont="1" applyAlignment="1">
      <alignment horizontal="right"/>
    </xf>
    <xf numFmtId="234" fontId="234" fillId="0" borderId="0" xfId="0" applyNumberFormat="1" applyFont="1" applyAlignment="1">
      <alignment horizontal="right"/>
    </xf>
    <xf numFmtId="0" fontId="203" fillId="0" borderId="132" xfId="0" applyFont="1" applyBorder="1" applyAlignment="1">
      <alignment horizontal="right"/>
    </xf>
    <xf numFmtId="8" fontId="226" fillId="0" borderId="97" xfId="0" applyNumberFormat="1" applyFont="1" applyBorder="1" applyAlignment="1">
      <alignment horizontal="right"/>
    </xf>
    <xf numFmtId="164" fontId="234" fillId="0" borderId="0" xfId="0" applyNumberFormat="1" applyFont="1" applyAlignment="1">
      <alignment horizontal="right"/>
    </xf>
    <xf numFmtId="165" fontId="234" fillId="0" borderId="0" xfId="0" applyNumberFormat="1" applyFont="1"/>
    <xf numFmtId="0" fontId="235" fillId="0" borderId="0" xfId="0" applyFont="1" applyAlignment="1">
      <alignment horizontal="left"/>
    </xf>
    <xf numFmtId="0" fontId="226" fillId="0" borderId="48" xfId="0" applyFont="1" applyBorder="1"/>
    <xf numFmtId="0" fontId="203" fillId="0" borderId="48" xfId="0" applyFont="1" applyBorder="1"/>
    <xf numFmtId="169" fontId="226" fillId="0" borderId="48" xfId="0" applyNumberFormat="1" applyFont="1" applyBorder="1"/>
    <xf numFmtId="169" fontId="226" fillId="0" borderId="0" xfId="0" applyNumberFormat="1" applyFont="1"/>
    <xf numFmtId="165" fontId="203" fillId="0" borderId="0" xfId="12422" applyNumberFormat="1" applyFont="1"/>
    <xf numFmtId="167" fontId="203" fillId="0" borderId="131" xfId="0" applyNumberFormat="1" applyFont="1" applyBorder="1"/>
    <xf numFmtId="165" fontId="203" fillId="0" borderId="131" xfId="12422" applyNumberFormat="1" applyFont="1" applyBorder="1"/>
    <xf numFmtId="8" fontId="203" fillId="0" borderId="0" xfId="0" applyNumberFormat="1" applyFont="1" applyAlignment="1">
      <alignment horizontal="left" indent="1"/>
    </xf>
    <xf numFmtId="0" fontId="234" fillId="0" borderId="0" xfId="0" applyFont="1" applyAlignment="1">
      <alignment horizontal="left" indent="1"/>
    </xf>
    <xf numFmtId="0" fontId="238" fillId="0" borderId="0" xfId="0" applyFont="1" applyAlignment="1">
      <alignment horizontal="right"/>
    </xf>
    <xf numFmtId="0" fontId="203" fillId="0" borderId="51" xfId="0" applyFont="1" applyBorder="1"/>
    <xf numFmtId="0" fontId="230" fillId="0" borderId="0" xfId="0" applyFont="1" applyAlignment="1">
      <alignment horizontal="left" indent="1"/>
    </xf>
    <xf numFmtId="0" fontId="239" fillId="0" borderId="0" xfId="0" applyFont="1"/>
    <xf numFmtId="43" fontId="225" fillId="0" borderId="153" xfId="12427" applyFont="1" applyBorder="1"/>
    <xf numFmtId="8" fontId="226" fillId="0" borderId="0" xfId="0" applyNumberFormat="1" applyFont="1" applyAlignment="1">
      <alignment horizontal="right"/>
    </xf>
    <xf numFmtId="165" fontId="227" fillId="0" borderId="0" xfId="0" applyNumberFormat="1" applyFont="1" applyAlignment="1">
      <alignment horizontal="center"/>
    </xf>
    <xf numFmtId="165" fontId="227" fillId="74" borderId="0" xfId="0" applyNumberFormat="1" applyFont="1" applyFill="1"/>
    <xf numFmtId="0" fontId="225" fillId="0" borderId="0" xfId="0" applyFont="1"/>
    <xf numFmtId="168" fontId="203" fillId="0" borderId="0" xfId="0" applyNumberFormat="1" applyFont="1"/>
    <xf numFmtId="165" fontId="203" fillId="0" borderId="0" xfId="0" applyNumberFormat="1" applyFont="1" applyAlignment="1">
      <alignment horizontal="center"/>
    </xf>
    <xf numFmtId="0" fontId="226" fillId="0" borderId="31" xfId="0" applyFont="1" applyBorder="1"/>
    <xf numFmtId="0" fontId="225" fillId="74" borderId="0" xfId="0" applyFont="1" applyFill="1"/>
    <xf numFmtId="8" fontId="226" fillId="0" borderId="32" xfId="0" applyNumberFormat="1" applyFont="1" applyBorder="1"/>
    <xf numFmtId="169" fontId="203" fillId="65" borderId="0" xfId="0" applyNumberFormat="1" applyFont="1" applyFill="1"/>
    <xf numFmtId="167" fontId="241" fillId="0" borderId="52" xfId="12427" applyNumberFormat="1" applyFont="1" applyBorder="1"/>
    <xf numFmtId="167" fontId="241" fillId="0" borderId="52" xfId="0" applyNumberFormat="1" applyFont="1" applyBorder="1"/>
    <xf numFmtId="0" fontId="235" fillId="0" borderId="53" xfId="0" applyFont="1" applyBorder="1"/>
    <xf numFmtId="0" fontId="235" fillId="0" borderId="54" xfId="0" applyFont="1" applyBorder="1"/>
    <xf numFmtId="0" fontId="235" fillId="0" borderId="10" xfId="0" applyFont="1" applyBorder="1"/>
    <xf numFmtId="0" fontId="235" fillId="0" borderId="45" xfId="0" applyFont="1" applyBorder="1"/>
    <xf numFmtId="167" fontId="235" fillId="0" borderId="45" xfId="12427" applyNumberFormat="1" applyFont="1" applyBorder="1"/>
    <xf numFmtId="8" fontId="235" fillId="0" borderId="11" xfId="0" applyNumberFormat="1" applyFont="1" applyBorder="1"/>
    <xf numFmtId="0" fontId="242" fillId="0" borderId="0" xfId="0" applyFont="1"/>
    <xf numFmtId="0" fontId="203" fillId="0" borderId="0" xfId="0" quotePrefix="1" applyFont="1" applyAlignment="1">
      <alignment horizontal="left"/>
    </xf>
    <xf numFmtId="0" fontId="225" fillId="0" borderId="176" xfId="0" applyFont="1" applyBorder="1" applyAlignment="1">
      <alignment horizontal="centerContinuous"/>
    </xf>
    <xf numFmtId="0" fontId="203" fillId="0" borderId="177" xfId="0" applyFont="1" applyBorder="1" applyAlignment="1">
      <alignment horizontal="centerContinuous"/>
    </xf>
    <xf numFmtId="0" fontId="203" fillId="0" borderId="178" xfId="0" applyFont="1" applyBorder="1" applyAlignment="1">
      <alignment horizontal="centerContinuous"/>
    </xf>
    <xf numFmtId="0" fontId="231" fillId="0" borderId="176" xfId="0" applyFont="1" applyBorder="1" applyAlignment="1">
      <alignment horizontal="center"/>
    </xf>
    <xf numFmtId="0" fontId="226" fillId="0" borderId="177" xfId="0" applyFont="1" applyBorder="1"/>
    <xf numFmtId="0" fontId="203" fillId="0" borderId="177" xfId="0" applyFont="1" applyBorder="1"/>
    <xf numFmtId="0" fontId="203" fillId="0" borderId="178" xfId="0" applyFont="1" applyBorder="1"/>
    <xf numFmtId="0" fontId="203" fillId="0" borderId="62" xfId="0" applyFont="1" applyBorder="1"/>
    <xf numFmtId="0" fontId="203" fillId="0" borderId="13" xfId="0" applyFont="1" applyBorder="1"/>
    <xf numFmtId="0" fontId="226" fillId="0" borderId="176" xfId="0" applyFont="1" applyBorder="1" applyAlignment="1">
      <alignment horizontal="right"/>
    </xf>
    <xf numFmtId="0" fontId="226" fillId="0" borderId="177" xfId="0" applyFont="1" applyBorder="1" applyAlignment="1">
      <alignment horizontal="right"/>
    </xf>
    <xf numFmtId="0" fontId="226" fillId="0" borderId="178" xfId="0" applyFont="1" applyBorder="1" applyAlignment="1">
      <alignment horizontal="right"/>
    </xf>
    <xf numFmtId="0" fontId="226" fillId="0" borderId="0" xfId="0" applyFont="1" applyAlignment="1">
      <alignment horizontal="left" indent="1"/>
    </xf>
    <xf numFmtId="305" fontId="203" fillId="0" borderId="0" xfId="0" applyNumberFormat="1" applyFont="1" applyAlignment="1">
      <alignment horizontal="right"/>
    </xf>
    <xf numFmtId="0" fontId="203" fillId="0" borderId="180" xfId="0" applyFont="1" applyBorder="1"/>
    <xf numFmtId="0" fontId="203" fillId="0" borderId="181" xfId="0" applyFont="1" applyBorder="1"/>
    <xf numFmtId="0" fontId="203" fillId="0" borderId="179" xfId="0" applyFont="1" applyBorder="1"/>
    <xf numFmtId="0" fontId="203" fillId="0" borderId="0" xfId="0" applyFont="1" applyAlignment="1">
      <alignment horizontal="left" indent="2"/>
    </xf>
    <xf numFmtId="8" fontId="203" fillId="0" borderId="0" xfId="0" applyNumberFormat="1" applyFont="1"/>
    <xf numFmtId="165" fontId="227" fillId="0" borderId="62" xfId="0" applyNumberFormat="1" applyFont="1" applyBorder="1"/>
    <xf numFmtId="167" fontId="203" fillId="0" borderId="0" xfId="0" applyNumberFormat="1" applyFont="1"/>
    <xf numFmtId="167" fontId="203" fillId="0" borderId="13" xfId="12427" applyNumberFormat="1" applyFont="1" applyBorder="1"/>
    <xf numFmtId="165" fontId="203" fillId="0" borderId="62" xfId="0" applyNumberFormat="1" applyFont="1" applyBorder="1"/>
    <xf numFmtId="0" fontId="226" fillId="0" borderId="0" xfId="0" applyFont="1" applyAlignment="1">
      <alignment horizontal="right"/>
    </xf>
    <xf numFmtId="167" fontId="226" fillId="0" borderId="179" xfId="0" applyNumberFormat="1" applyFont="1" applyBorder="1"/>
    <xf numFmtId="167" fontId="226" fillId="0" borderId="13" xfId="0" applyNumberFormat="1" applyFont="1" applyBorder="1"/>
    <xf numFmtId="0" fontId="203" fillId="0" borderId="132" xfId="0" applyFont="1" applyBorder="1"/>
    <xf numFmtId="0" fontId="241" fillId="0" borderId="45" xfId="0" applyFont="1" applyBorder="1" applyAlignment="1">
      <alignment horizontal="right"/>
    </xf>
    <xf numFmtId="272" fontId="225" fillId="0" borderId="97" xfId="0" applyNumberFormat="1" applyFont="1" applyBorder="1"/>
    <xf numFmtId="0" fontId="226" fillId="0" borderId="176" xfId="0" applyFont="1" applyBorder="1"/>
    <xf numFmtId="10" fontId="203" fillId="0" borderId="0" xfId="0" applyNumberFormat="1" applyFont="1"/>
    <xf numFmtId="0" fontId="224" fillId="72" borderId="58" xfId="0" applyFont="1" applyFill="1" applyBorder="1" applyAlignment="1">
      <alignment horizontal="left"/>
    </xf>
    <xf numFmtId="0" fontId="224" fillId="72" borderId="59" xfId="0" applyFont="1" applyFill="1" applyBorder="1" applyAlignment="1">
      <alignment horizontal="right" wrapText="1"/>
    </xf>
    <xf numFmtId="0" fontId="224" fillId="72" borderId="35" xfId="0" applyFont="1" applyFill="1" applyBorder="1" applyAlignment="1">
      <alignment horizontal="right" wrapText="1"/>
    </xf>
    <xf numFmtId="0" fontId="224" fillId="72" borderId="67" xfId="0" applyFont="1" applyFill="1" applyBorder="1" applyAlignment="1">
      <alignment horizontal="right" wrapText="1"/>
    </xf>
    <xf numFmtId="0" fontId="235" fillId="0" borderId="0" xfId="0" applyFont="1" applyAlignment="1">
      <alignment horizontal="center"/>
    </xf>
    <xf numFmtId="0" fontId="226" fillId="0" borderId="123" xfId="0" applyFont="1" applyBorder="1" applyAlignment="1">
      <alignment horizontal="centerContinuous" wrapText="1"/>
    </xf>
    <xf numFmtId="0" fontId="203" fillId="0" borderId="125" xfId="0" applyFont="1" applyBorder="1" applyAlignment="1">
      <alignment horizontal="centerContinuous"/>
    </xf>
    <xf numFmtId="0" fontId="203" fillId="0" borderId="126" xfId="0" applyFont="1" applyBorder="1"/>
    <xf numFmtId="165" fontId="203" fillId="0" borderId="128" xfId="12422" applyNumberFormat="1" applyFont="1" applyBorder="1" applyAlignment="1">
      <alignment horizontal="center"/>
    </xf>
    <xf numFmtId="165" fontId="203" fillId="0" borderId="13" xfId="12422" applyNumberFormat="1" applyFont="1" applyBorder="1" applyAlignment="1">
      <alignment horizontal="center"/>
    </xf>
    <xf numFmtId="165" fontId="228" fillId="0" borderId="0" xfId="0" applyNumberFormat="1" applyFont="1"/>
    <xf numFmtId="165" fontId="203" fillId="0" borderId="97" xfId="12422" applyNumberFormat="1" applyFont="1" applyBorder="1" applyAlignment="1">
      <alignment horizontal="center"/>
    </xf>
    <xf numFmtId="0" fontId="226" fillId="0" borderId="0" xfId="0" applyFont="1" applyAlignment="1">
      <alignment horizontal="center"/>
    </xf>
    <xf numFmtId="0" fontId="203" fillId="0" borderId="10" xfId="0" applyFont="1" applyBorder="1"/>
    <xf numFmtId="165" fontId="235" fillId="0" borderId="97" xfId="0" applyNumberFormat="1" applyFont="1" applyBorder="1" applyAlignment="1">
      <alignment horizontal="center"/>
    </xf>
    <xf numFmtId="0" fontId="241" fillId="0" borderId="45" xfId="0" applyFont="1" applyBorder="1" applyAlignment="1">
      <alignment horizontal="left"/>
    </xf>
    <xf numFmtId="0" fontId="226" fillId="0" borderId="45" xfId="0" applyFont="1" applyBorder="1" applyAlignment="1">
      <alignment horizontal="center" wrapText="1"/>
    </xf>
    <xf numFmtId="0" fontId="203" fillId="0" borderId="0" xfId="0" applyFont="1" applyAlignment="1">
      <alignment horizontal="left"/>
    </xf>
    <xf numFmtId="165" fontId="203" fillId="73" borderId="0" xfId="0" applyNumberFormat="1" applyFont="1" applyFill="1"/>
    <xf numFmtId="165" fontId="203" fillId="0" borderId="0" xfId="0" applyNumberFormat="1" applyFont="1" applyAlignment="1">
      <alignment horizontal="right"/>
    </xf>
    <xf numFmtId="0" fontId="226" fillId="0" borderId="61" xfId="0" applyFont="1" applyBorder="1"/>
    <xf numFmtId="165" fontId="226" fillId="0" borderId="61" xfId="0" applyNumberFormat="1" applyFont="1" applyBorder="1"/>
    <xf numFmtId="0" fontId="226" fillId="0" borderId="45" xfId="0" applyFont="1" applyBorder="1" applyAlignment="1">
      <alignment horizontal="right" wrapText="1"/>
    </xf>
    <xf numFmtId="165" fontId="203" fillId="0" borderId="0" xfId="0" applyNumberFormat="1" applyFont="1" applyAlignment="1">
      <alignment horizontal="right" indent="1"/>
    </xf>
    <xf numFmtId="165" fontId="226" fillId="0" borderId="0" xfId="0" applyNumberFormat="1" applyFont="1"/>
    <xf numFmtId="0" fontId="224" fillId="72" borderId="59" xfId="0" applyFont="1" applyFill="1" applyBorder="1" applyAlignment="1">
      <alignment horizontal="center" wrapText="1"/>
    </xf>
    <xf numFmtId="165" fontId="226" fillId="0" borderId="61" xfId="0" applyNumberFormat="1" applyFont="1" applyBorder="1" applyAlignment="1">
      <alignment horizontal="center"/>
    </xf>
    <xf numFmtId="165" fontId="203" fillId="0" borderId="45" xfId="0" applyNumberFormat="1" applyFont="1" applyBorder="1" applyAlignment="1">
      <alignment horizontal="center"/>
    </xf>
    <xf numFmtId="0" fontId="224" fillId="72" borderId="60" xfId="0" applyFont="1" applyFill="1" applyBorder="1" applyAlignment="1">
      <alignment horizontal="right" wrapText="1"/>
    </xf>
    <xf numFmtId="0" fontId="234" fillId="0" borderId="62" xfId="0" applyFont="1" applyBorder="1"/>
    <xf numFmtId="164" fontId="203" fillId="0" borderId="0" xfId="0" applyNumberFormat="1" applyFont="1" applyAlignment="1">
      <alignment horizontal="center"/>
    </xf>
    <xf numFmtId="0" fontId="226" fillId="0" borderId="0" xfId="0" quotePrefix="1" applyFont="1" applyAlignment="1">
      <alignment horizontal="left" indent="1"/>
    </xf>
    <xf numFmtId="165" fontId="226" fillId="0" borderId="0" xfId="0" applyNumberFormat="1" applyFont="1" applyAlignment="1">
      <alignment horizontal="right"/>
    </xf>
    <xf numFmtId="0" fontId="230" fillId="74" borderId="0" xfId="0" applyFont="1" applyFill="1"/>
    <xf numFmtId="0" fontId="203" fillId="0" borderId="0" xfId="20382" applyFont="1"/>
    <xf numFmtId="165" fontId="203" fillId="0" borderId="0" xfId="20382" applyNumberFormat="1" applyFont="1"/>
    <xf numFmtId="0" fontId="241" fillId="0" borderId="0" xfId="0" applyFont="1"/>
    <xf numFmtId="164" fontId="228" fillId="0" borderId="0" xfId="0" applyNumberFormat="1" applyFont="1" applyAlignment="1">
      <alignment horizontal="right"/>
    </xf>
    <xf numFmtId="0" fontId="226" fillId="0" borderId="0" xfId="0" applyFont="1" applyAlignment="1">
      <alignment horizontal="center" wrapText="1"/>
    </xf>
    <xf numFmtId="165" fontId="228" fillId="0" borderId="0" xfId="0" applyNumberFormat="1" applyFont="1" applyAlignment="1">
      <alignment horizontal="center"/>
    </xf>
    <xf numFmtId="165" fontId="203" fillId="0" borderId="13" xfId="0" applyNumberFormat="1" applyFont="1" applyBorder="1"/>
    <xf numFmtId="43" fontId="222" fillId="74" borderId="0" xfId="11155" applyFont="1" applyFill="1"/>
    <xf numFmtId="43" fontId="222" fillId="0" borderId="0" xfId="11155" applyFont="1"/>
    <xf numFmtId="43" fontId="222" fillId="0" borderId="0" xfId="11155" applyFont="1" applyAlignment="1">
      <alignment horizontal="right"/>
    </xf>
    <xf numFmtId="0" fontId="241" fillId="0" borderId="0" xfId="20382" applyFont="1"/>
    <xf numFmtId="0" fontId="203" fillId="0" borderId="0" xfId="20382" applyFont="1" applyAlignment="1">
      <alignment horizontal="center"/>
    </xf>
    <xf numFmtId="0" fontId="224" fillId="72" borderId="109" xfId="20382" applyFont="1" applyFill="1" applyBorder="1" applyAlignment="1">
      <alignment horizontal="center"/>
    </xf>
    <xf numFmtId="0" fontId="224" fillId="72" borderId="110" xfId="20382" applyFont="1" applyFill="1" applyBorder="1" applyAlignment="1">
      <alignment horizontal="center" wrapText="1"/>
    </xf>
    <xf numFmtId="0" fontId="224" fillId="72" borderId="111" xfId="20382" applyFont="1" applyFill="1" applyBorder="1" applyAlignment="1">
      <alignment horizontal="center" wrapText="1"/>
    </xf>
    <xf numFmtId="165" fontId="228" fillId="0" borderId="0" xfId="20382" applyNumberFormat="1" applyFont="1" applyAlignment="1">
      <alignment horizontal="center"/>
    </xf>
    <xf numFmtId="165" fontId="203" fillId="0" borderId="0" xfId="20382" applyNumberFormat="1" applyFont="1" applyAlignment="1">
      <alignment horizontal="center"/>
    </xf>
    <xf numFmtId="0" fontId="226" fillId="0" borderId="0" xfId="20382" applyFont="1"/>
    <xf numFmtId="0" fontId="226" fillId="0" borderId="0" xfId="20382" applyFont="1" applyAlignment="1">
      <alignment horizontal="center"/>
    </xf>
    <xf numFmtId="0" fontId="241" fillId="0" borderId="0" xfId="20382" applyFont="1" applyAlignment="1">
      <alignment horizontal="left"/>
    </xf>
    <xf numFmtId="0" fontId="226" fillId="0" borderId="0" xfId="20382" applyFont="1" applyAlignment="1">
      <alignment horizontal="center" wrapText="1"/>
    </xf>
    <xf numFmtId="0" fontId="235" fillId="0" borderId="10" xfId="20382" applyFont="1" applyBorder="1" applyAlignment="1">
      <alignment horizontal="center" wrapText="1"/>
    </xf>
    <xf numFmtId="0" fontId="235" fillId="0" borderId="32" xfId="20382" applyFont="1" applyBorder="1" applyAlignment="1">
      <alignment horizontal="center" wrapText="1"/>
    </xf>
    <xf numFmtId="0" fontId="230" fillId="0" borderId="0" xfId="20382" applyFont="1"/>
    <xf numFmtId="0" fontId="203" fillId="0" borderId="0" xfId="20382" quotePrefix="1" applyFont="1" applyAlignment="1">
      <alignment horizontal="right" vertical="top"/>
    </xf>
    <xf numFmtId="0" fontId="224" fillId="72" borderId="34" xfId="0" applyFont="1" applyFill="1" applyBorder="1"/>
    <xf numFmtId="0" fontId="224" fillId="72" borderId="35" xfId="0" applyFont="1" applyFill="1" applyBorder="1"/>
    <xf numFmtId="43" fontId="243" fillId="87" borderId="160" xfId="0" applyNumberFormat="1" applyFont="1" applyFill="1" applyBorder="1"/>
    <xf numFmtId="0" fontId="224" fillId="72" borderId="42" xfId="0" applyFont="1" applyFill="1" applyBorder="1"/>
    <xf numFmtId="0" fontId="235" fillId="0" borderId="0" xfId="0" applyFont="1"/>
    <xf numFmtId="0" fontId="234" fillId="0" borderId="0" xfId="0" applyFont="1"/>
    <xf numFmtId="0" fontId="234" fillId="0" borderId="0" xfId="0" applyFont="1" applyAlignment="1">
      <alignment horizontal="right"/>
    </xf>
    <xf numFmtId="169" fontId="229" fillId="0" borderId="0" xfId="0" applyNumberFormat="1" applyFont="1" applyAlignment="1">
      <alignment horizontal="right"/>
    </xf>
    <xf numFmtId="169" fontId="228" fillId="0" borderId="0" xfId="0" applyNumberFormat="1" applyFont="1" applyAlignment="1">
      <alignment horizontal="right"/>
    </xf>
    <xf numFmtId="169" fontId="233" fillId="0" borderId="0" xfId="0" applyNumberFormat="1" applyFont="1" applyAlignment="1">
      <alignment horizontal="right"/>
    </xf>
    <xf numFmtId="10" fontId="229" fillId="0" borderId="0" xfId="0" applyNumberFormat="1" applyFont="1" applyAlignment="1">
      <alignment horizontal="right"/>
    </xf>
    <xf numFmtId="165" fontId="227" fillId="0" borderId="0" xfId="0" applyNumberFormat="1" applyFont="1" applyAlignment="1">
      <alignment horizontal="right"/>
    </xf>
    <xf numFmtId="10" fontId="227" fillId="0" borderId="0" xfId="0" applyNumberFormat="1" applyFont="1" applyAlignment="1">
      <alignment horizontal="right"/>
    </xf>
    <xf numFmtId="10" fontId="233" fillId="0" borderId="0" xfId="0" applyNumberFormat="1" applyFont="1" applyAlignment="1">
      <alignment horizontal="right"/>
    </xf>
    <xf numFmtId="0" fontId="235" fillId="0" borderId="34" xfId="0" applyFont="1" applyBorder="1" applyAlignment="1">
      <alignment horizontal="centerContinuous"/>
    </xf>
    <xf numFmtId="0" fontId="235" fillId="0" borderId="35" xfId="0" applyFont="1" applyBorder="1" applyAlignment="1">
      <alignment horizontal="centerContinuous"/>
    </xf>
    <xf numFmtId="0" fontId="235" fillId="0" borderId="42" xfId="0" applyFont="1" applyBorder="1" applyAlignment="1">
      <alignment horizontal="centerContinuous"/>
    </xf>
    <xf numFmtId="0" fontId="224" fillId="72" borderId="29" xfId="0" applyFont="1" applyFill="1" applyBorder="1"/>
    <xf numFmtId="0" fontId="224" fillId="72" borderId="34" xfId="0" applyFont="1" applyFill="1" applyBorder="1" applyAlignment="1">
      <alignment horizontal="right" wrapText="1"/>
    </xf>
    <xf numFmtId="0" fontId="224" fillId="72" borderId="42" xfId="0" applyFont="1" applyFill="1" applyBorder="1" applyAlignment="1">
      <alignment horizontal="right" wrapText="1"/>
    </xf>
    <xf numFmtId="0" fontId="235" fillId="0" borderId="0" xfId="0" applyFont="1" applyAlignment="1">
      <alignment horizontal="center" wrapText="1"/>
    </xf>
    <xf numFmtId="167" fontId="227" fillId="0" borderId="0" xfId="12427" applyNumberFormat="1" applyFont="1" applyAlignment="1">
      <alignment horizontal="right"/>
    </xf>
    <xf numFmtId="169" fontId="228" fillId="0" borderId="0" xfId="0" applyNumberFormat="1" applyFont="1"/>
    <xf numFmtId="342" fontId="203" fillId="0" borderId="31" xfId="0" applyNumberFormat="1" applyFont="1" applyBorder="1" applyAlignment="1">
      <alignment horizontal="right"/>
    </xf>
    <xf numFmtId="342" fontId="203" fillId="0" borderId="51" xfId="0" applyNumberFormat="1" applyFont="1" applyBorder="1" applyAlignment="1">
      <alignment horizontal="right"/>
    </xf>
    <xf numFmtId="342" fontId="203" fillId="0" borderId="0" xfId="0" applyNumberFormat="1" applyFont="1" applyAlignment="1">
      <alignment horizontal="right"/>
    </xf>
    <xf numFmtId="8" fontId="227" fillId="0" borderId="51" xfId="0" applyNumberFormat="1" applyFont="1" applyBorder="1"/>
    <xf numFmtId="0" fontId="203" fillId="0" borderId="45" xfId="0" applyFont="1" applyBorder="1" applyAlignment="1">
      <alignment horizontal="right"/>
    </xf>
    <xf numFmtId="0" fontId="239" fillId="0" borderId="17" xfId="0" applyFont="1" applyBorder="1"/>
    <xf numFmtId="357" fontId="226" fillId="0" borderId="0" xfId="0" applyNumberFormat="1" applyFont="1"/>
    <xf numFmtId="0" fontId="234" fillId="0" borderId="0" xfId="0" applyFont="1" applyAlignment="1">
      <alignment wrapText="1"/>
    </xf>
    <xf numFmtId="0" fontId="243" fillId="72" borderId="29" xfId="0" applyFont="1" applyFill="1" applyBorder="1"/>
    <xf numFmtId="0" fontId="243" fillId="72" borderId="34" xfId="0" applyFont="1" applyFill="1" applyBorder="1" applyAlignment="1">
      <alignment horizontal="center" wrapText="1"/>
    </xf>
    <xf numFmtId="0" fontId="243" fillId="72" borderId="35" xfId="0" applyFont="1" applyFill="1" applyBorder="1" applyAlignment="1">
      <alignment horizontal="center" wrapText="1"/>
    </xf>
    <xf numFmtId="0" fontId="243" fillId="72" borderId="42" xfId="0" applyFont="1" applyFill="1" applyBorder="1" applyAlignment="1">
      <alignment horizontal="center" wrapText="1"/>
    </xf>
    <xf numFmtId="169" fontId="203" fillId="0" borderId="0" xfId="0" applyNumberFormat="1" applyFont="1" applyAlignment="1">
      <alignment horizontal="right"/>
    </xf>
    <xf numFmtId="0" fontId="244" fillId="0" borderId="0" xfId="0" applyFont="1" applyAlignment="1">
      <alignment horizontal="center"/>
    </xf>
    <xf numFmtId="0" fontId="234" fillId="0" borderId="45" xfId="0" applyFont="1" applyBorder="1"/>
    <xf numFmtId="0" fontId="235" fillId="0" borderId="29" xfId="0" applyFont="1" applyBorder="1" applyAlignment="1">
      <alignment horizontal="center" wrapText="1"/>
    </xf>
    <xf numFmtId="357" fontId="203" fillId="0" borderId="0" xfId="12427" applyNumberFormat="1" applyFont="1"/>
    <xf numFmtId="357" fontId="226" fillId="0" borderId="0" xfId="12427" applyNumberFormat="1" applyFont="1"/>
    <xf numFmtId="168" fontId="245" fillId="0" borderId="0" xfId="0" applyNumberFormat="1" applyFont="1" applyAlignment="1">
      <alignment horizontal="right"/>
    </xf>
    <xf numFmtId="357" fontId="203" fillId="0" borderId="0" xfId="0" applyNumberFormat="1" applyFont="1"/>
    <xf numFmtId="0" fontId="243" fillId="72" borderId="166" xfId="0" applyFont="1" applyFill="1" applyBorder="1"/>
    <xf numFmtId="0" fontId="243" fillId="72" borderId="167" xfId="0" applyFont="1" applyFill="1" applyBorder="1" applyAlignment="1">
      <alignment horizontal="center" wrapText="1"/>
    </xf>
    <xf numFmtId="0" fontId="243" fillId="72" borderId="168" xfId="0" applyFont="1" applyFill="1" applyBorder="1" applyAlignment="1">
      <alignment horizontal="center" wrapText="1"/>
    </xf>
    <xf numFmtId="243" fontId="203" fillId="0" borderId="0" xfId="12422" applyNumberFormat="1" applyFont="1"/>
    <xf numFmtId="165" fontId="239" fillId="0" borderId="0" xfId="12422" applyNumberFormat="1" applyFont="1"/>
    <xf numFmtId="0" fontId="225" fillId="0" borderId="126" xfId="0" applyFont="1" applyBorder="1"/>
    <xf numFmtId="0" fontId="225" fillId="0" borderId="128" xfId="0" applyFont="1" applyBorder="1"/>
    <xf numFmtId="0" fontId="203" fillId="0" borderId="128" xfId="0" applyFont="1" applyBorder="1"/>
    <xf numFmtId="8" fontId="227" fillId="0" borderId="13" xfId="0" applyNumberFormat="1" applyFont="1" applyBorder="1"/>
    <xf numFmtId="8" fontId="203" fillId="0" borderId="13" xfId="0" applyNumberFormat="1" applyFont="1" applyBorder="1"/>
    <xf numFmtId="0" fontId="203" fillId="0" borderId="123" xfId="0" applyFont="1" applyBorder="1"/>
    <xf numFmtId="8" fontId="203" fillId="0" borderId="125" xfId="0" applyNumberFormat="1" applyFont="1" applyBorder="1"/>
    <xf numFmtId="0" fontId="224" fillId="72" borderId="34" xfId="0" applyFont="1" applyFill="1" applyBorder="1" applyAlignment="1">
      <alignment horizontal="left"/>
    </xf>
    <xf numFmtId="0" fontId="224" fillId="72" borderId="35" xfId="0" applyFont="1" applyFill="1" applyBorder="1" applyAlignment="1">
      <alignment horizontal="center"/>
    </xf>
    <xf numFmtId="0" fontId="224" fillId="72" borderId="35" xfId="0" applyFont="1" applyFill="1" applyBorder="1" applyAlignment="1">
      <alignment horizontal="right"/>
    </xf>
    <xf numFmtId="0" fontId="224" fillId="72" borderId="42" xfId="0" applyFont="1" applyFill="1" applyBorder="1" applyAlignment="1">
      <alignment horizontal="right"/>
    </xf>
    <xf numFmtId="167" fontId="228" fillId="0" borderId="97" xfId="12427" applyNumberFormat="1" applyFont="1" applyBorder="1"/>
    <xf numFmtId="169" fontId="234" fillId="0" borderId="0" xfId="0" applyNumberFormat="1" applyFont="1" applyAlignment="1">
      <alignment horizontal="right"/>
    </xf>
    <xf numFmtId="8" fontId="203" fillId="0" borderId="0" xfId="0" applyNumberFormat="1" applyFont="1" applyAlignment="1">
      <alignment horizontal="right"/>
    </xf>
    <xf numFmtId="0" fontId="203" fillId="29" borderId="0" xfId="0" applyFont="1" applyFill="1" applyAlignment="1">
      <alignment horizontal="right"/>
    </xf>
    <xf numFmtId="0" fontId="203" fillId="0" borderId="0" xfId="0" quotePrefix="1" applyFont="1"/>
    <xf numFmtId="8" fontId="203" fillId="74" borderId="0" xfId="0" applyNumberFormat="1" applyFont="1" applyFill="1" applyAlignment="1">
      <alignment horizontal="right"/>
    </xf>
    <xf numFmtId="169" fontId="203" fillId="0" borderId="45" xfId="0" applyNumberFormat="1" applyFont="1" applyBorder="1" applyAlignment="1">
      <alignment horizontal="right"/>
    </xf>
    <xf numFmtId="169" fontId="226" fillId="0" borderId="0" xfId="0" applyNumberFormat="1" applyFont="1" applyAlignment="1">
      <alignment horizontal="right"/>
    </xf>
    <xf numFmtId="0" fontId="234" fillId="0" borderId="0" xfId="0" applyFont="1" applyAlignment="1">
      <alignment horizontal="center"/>
    </xf>
    <xf numFmtId="10" fontId="228" fillId="0" borderId="0" xfId="0" applyNumberFormat="1" applyFont="1"/>
    <xf numFmtId="0" fontId="246" fillId="0" borderId="0" xfId="0" applyFont="1"/>
    <xf numFmtId="0" fontId="224" fillId="72" borderId="34" xfId="0" applyFont="1" applyFill="1" applyBorder="1" applyAlignment="1">
      <alignment horizontal="centerContinuous"/>
    </xf>
    <xf numFmtId="0" fontId="224" fillId="72" borderId="35" xfId="0" applyFont="1" applyFill="1" applyBorder="1" applyAlignment="1">
      <alignment horizontal="centerContinuous"/>
    </xf>
    <xf numFmtId="0" fontId="224" fillId="72" borderId="42" xfId="0" applyFont="1" applyFill="1" applyBorder="1" applyAlignment="1">
      <alignment horizontal="centerContinuous"/>
    </xf>
    <xf numFmtId="0" fontId="226" fillId="0" borderId="34" xfId="0" applyFont="1" applyBorder="1" applyAlignment="1">
      <alignment horizontal="centerContinuous"/>
    </xf>
    <xf numFmtId="0" fontId="226" fillId="0" borderId="35" xfId="0" applyFont="1" applyBorder="1" applyAlignment="1">
      <alignment horizontal="centerContinuous"/>
    </xf>
    <xf numFmtId="0" fontId="226" fillId="0" borderId="42" xfId="0" applyFont="1" applyBorder="1" applyAlignment="1">
      <alignment horizontal="centerContinuous"/>
    </xf>
    <xf numFmtId="1" fontId="235" fillId="0" borderId="10" xfId="0" applyNumberFormat="1" applyFont="1" applyBorder="1" applyAlignment="1">
      <alignment horizontal="right"/>
    </xf>
    <xf numFmtId="0" fontId="235" fillId="0" borderId="45" xfId="0" applyFont="1" applyBorder="1" applyAlignment="1">
      <alignment horizontal="right"/>
    </xf>
    <xf numFmtId="0" fontId="235" fillId="0" borderId="11" xfId="0" applyFont="1" applyBorder="1" applyAlignment="1">
      <alignment horizontal="right"/>
    </xf>
    <xf numFmtId="169" fontId="228" fillId="75" borderId="0" xfId="0" applyNumberFormat="1" applyFont="1" applyFill="1"/>
    <xf numFmtId="169" fontId="234" fillId="75" borderId="0" xfId="0" applyNumberFormat="1" applyFont="1" applyFill="1"/>
    <xf numFmtId="165" fontId="230" fillId="0" borderId="0" xfId="0" applyNumberFormat="1" applyFont="1" applyAlignment="1">
      <alignment horizontal="right"/>
    </xf>
    <xf numFmtId="165" fontId="247" fillId="0" borderId="0" xfId="0" applyNumberFormat="1" applyFont="1" applyAlignment="1">
      <alignment horizontal="right"/>
    </xf>
    <xf numFmtId="0" fontId="203" fillId="0" borderId="3" xfId="0" applyFont="1" applyBorder="1"/>
    <xf numFmtId="272" fontId="226" fillId="0" borderId="0" xfId="0" applyNumberFormat="1" applyFont="1"/>
    <xf numFmtId="43" fontId="226" fillId="0" borderId="0" xfId="0" applyNumberFormat="1" applyFont="1"/>
    <xf numFmtId="0" fontId="203" fillId="65" borderId="0" xfId="0" quotePrefix="1" applyFont="1" applyFill="1" applyAlignment="1">
      <alignment horizontal="center"/>
    </xf>
    <xf numFmtId="169" fontId="233" fillId="74" borderId="0" xfId="0" applyNumberFormat="1" applyFont="1" applyFill="1"/>
    <xf numFmtId="165" fontId="234" fillId="0" borderId="0" xfId="0" applyNumberFormat="1" applyFont="1" applyAlignment="1">
      <alignment horizontal="center"/>
    </xf>
    <xf numFmtId="0" fontId="225" fillId="74" borderId="45" xfId="0" applyFont="1" applyFill="1" applyBorder="1"/>
    <xf numFmtId="168" fontId="233" fillId="0" borderId="0" xfId="0" applyNumberFormat="1" applyFont="1"/>
    <xf numFmtId="0" fontId="226" fillId="0" borderId="35" xfId="0" applyFont="1" applyBorder="1"/>
    <xf numFmtId="0" fontId="203" fillId="0" borderId="35" xfId="0" applyFont="1" applyBorder="1"/>
    <xf numFmtId="169" fontId="226" fillId="0" borderId="35" xfId="0" applyNumberFormat="1" applyFont="1" applyBorder="1"/>
    <xf numFmtId="0" fontId="226" fillId="71" borderId="53" xfId="0" applyFont="1" applyFill="1" applyBorder="1"/>
    <xf numFmtId="0" fontId="203" fillId="71" borderId="54" xfId="0" applyFont="1" applyFill="1" applyBorder="1"/>
    <xf numFmtId="0" fontId="203" fillId="71" borderId="55" xfId="0" applyFont="1" applyFill="1" applyBorder="1"/>
    <xf numFmtId="165" fontId="248" fillId="0" borderId="0" xfId="0" applyNumberFormat="1" applyFont="1"/>
    <xf numFmtId="0" fontId="226" fillId="0" borderId="0" xfId="0" applyFont="1" applyAlignment="1">
      <alignment horizontal="centerContinuous"/>
    </xf>
    <xf numFmtId="0" fontId="203" fillId="71" borderId="12" xfId="0" applyFont="1" applyFill="1" applyBorder="1" applyAlignment="1">
      <alignment horizontal="left" indent="1"/>
    </xf>
    <xf numFmtId="0" fontId="203" fillId="71" borderId="0" xfId="0" applyFont="1" applyFill="1"/>
    <xf numFmtId="169" fontId="203" fillId="71" borderId="13" xfId="0" applyNumberFormat="1" applyFont="1" applyFill="1" applyBorder="1"/>
    <xf numFmtId="169" fontId="248" fillId="0" borderId="0" xfId="0" applyNumberFormat="1" applyFont="1"/>
    <xf numFmtId="165" fontId="226" fillId="71" borderId="34" xfId="0" applyNumberFormat="1" applyFont="1" applyFill="1" applyBorder="1" applyAlignment="1">
      <alignment horizontal="center"/>
    </xf>
    <xf numFmtId="165" fontId="226" fillId="71" borderId="35" xfId="0" applyNumberFormat="1" applyFont="1" applyFill="1" applyBorder="1" applyAlignment="1">
      <alignment horizontal="center"/>
    </xf>
    <xf numFmtId="165" fontId="240" fillId="71" borderId="35" xfId="0" applyNumberFormat="1" applyFont="1" applyFill="1" applyBorder="1" applyAlignment="1">
      <alignment horizontal="center"/>
    </xf>
    <xf numFmtId="165" fontId="226" fillId="71" borderId="42" xfId="0" applyNumberFormat="1" applyFont="1" applyFill="1" applyBorder="1" applyAlignment="1">
      <alignment horizontal="center"/>
    </xf>
    <xf numFmtId="165" fontId="233" fillId="71" borderId="13" xfId="0" applyNumberFormat="1" applyFont="1" applyFill="1" applyBorder="1"/>
    <xf numFmtId="0" fontId="245" fillId="0" borderId="0" xfId="0" applyFont="1" applyAlignment="1">
      <alignment horizontal="center"/>
    </xf>
    <xf numFmtId="165" fontId="226" fillId="71" borderId="31" xfId="0" applyNumberFormat="1" applyFont="1" applyFill="1" applyBorder="1"/>
    <xf numFmtId="169" fontId="203" fillId="0" borderId="49" xfId="0" applyNumberFormat="1" applyFont="1" applyBorder="1"/>
    <xf numFmtId="169" fontId="203" fillId="0" borderId="33" xfId="0" applyNumberFormat="1" applyFont="1" applyBorder="1"/>
    <xf numFmtId="169" fontId="203" fillId="0" borderId="50" xfId="0" applyNumberFormat="1" applyFont="1" applyBorder="1"/>
    <xf numFmtId="165" fontId="227" fillId="71" borderId="13" xfId="0" applyNumberFormat="1" applyFont="1" applyFill="1" applyBorder="1"/>
    <xf numFmtId="165" fontId="226" fillId="71" borderId="51" xfId="0" applyNumberFormat="1" applyFont="1" applyFill="1" applyBorder="1"/>
    <xf numFmtId="169" fontId="203" fillId="0" borderId="12" xfId="0" applyNumberFormat="1" applyFont="1" applyBorder="1"/>
    <xf numFmtId="169" fontId="203" fillId="0" borderId="13" xfId="0" applyNumberFormat="1" applyFont="1" applyBorder="1"/>
    <xf numFmtId="234" fontId="203" fillId="71" borderId="13" xfId="0" applyNumberFormat="1" applyFont="1" applyFill="1" applyBorder="1"/>
    <xf numFmtId="165" fontId="240" fillId="71" borderId="51" xfId="0" applyNumberFormat="1" applyFont="1" applyFill="1" applyBorder="1"/>
    <xf numFmtId="0" fontId="203" fillId="71" borderId="0" xfId="0" quotePrefix="1" applyFont="1" applyFill="1" applyAlignment="1">
      <alignment horizontal="center"/>
    </xf>
    <xf numFmtId="169" fontId="203" fillId="0" borderId="10" xfId="0" applyNumberFormat="1" applyFont="1" applyBorder="1"/>
    <xf numFmtId="169" fontId="203" fillId="0" borderId="45" xfId="0" applyNumberFormat="1" applyFont="1" applyBorder="1"/>
    <xf numFmtId="169" fontId="203" fillId="0" borderId="11" xfId="0" applyNumberFormat="1" applyFont="1" applyBorder="1"/>
    <xf numFmtId="168" fontId="203" fillId="71" borderId="13" xfId="0" applyNumberFormat="1" applyFont="1" applyFill="1" applyBorder="1"/>
    <xf numFmtId="165" fontId="226" fillId="71" borderId="32" xfId="0" applyNumberFormat="1" applyFont="1" applyFill="1" applyBorder="1"/>
    <xf numFmtId="0" fontId="226" fillId="71" borderId="10" xfId="0" applyFont="1" applyFill="1" applyBorder="1" applyAlignment="1">
      <alignment horizontal="left" indent="1"/>
    </xf>
    <xf numFmtId="0" fontId="226" fillId="71" borderId="45" xfId="0" applyFont="1" applyFill="1" applyBorder="1"/>
    <xf numFmtId="169" fontId="226" fillId="71" borderId="11" xfId="0" applyNumberFormat="1" applyFont="1" applyFill="1" applyBorder="1"/>
    <xf numFmtId="0" fontId="226" fillId="71" borderId="49" xfId="0" applyFont="1" applyFill="1" applyBorder="1"/>
    <xf numFmtId="0" fontId="226" fillId="71" borderId="33" xfId="0" applyFont="1" applyFill="1" applyBorder="1"/>
    <xf numFmtId="0" fontId="238" fillId="71" borderId="33" xfId="0" applyFont="1" applyFill="1" applyBorder="1" applyAlignment="1">
      <alignment horizontal="center"/>
    </xf>
    <xf numFmtId="0" fontId="226" fillId="71" borderId="33" xfId="0" applyFont="1" applyFill="1" applyBorder="1" applyAlignment="1">
      <alignment horizontal="center"/>
    </xf>
    <xf numFmtId="0" fontId="238" fillId="71" borderId="50" xfId="0" applyFont="1" applyFill="1" applyBorder="1" applyAlignment="1">
      <alignment horizontal="center"/>
    </xf>
    <xf numFmtId="0" fontId="235" fillId="71" borderId="53" xfId="0" applyFont="1" applyFill="1" applyBorder="1" applyAlignment="1">
      <alignment horizontal="left"/>
    </xf>
    <xf numFmtId="0" fontId="203" fillId="71" borderId="101" xfId="0" applyFont="1" applyFill="1" applyBorder="1"/>
    <xf numFmtId="169" fontId="226" fillId="71" borderId="45" xfId="0" applyNumberFormat="1" applyFont="1" applyFill="1" applyBorder="1"/>
    <xf numFmtId="165" fontId="203" fillId="71" borderId="13" xfId="0" applyNumberFormat="1" applyFont="1" applyFill="1" applyBorder="1"/>
    <xf numFmtId="0" fontId="203" fillId="71" borderId="12" xfId="0" applyFont="1" applyFill="1" applyBorder="1"/>
    <xf numFmtId="0" fontId="203" fillId="71" borderId="13" xfId="0" applyFont="1" applyFill="1" applyBorder="1"/>
    <xf numFmtId="0" fontId="226" fillId="71" borderId="10" xfId="0" applyFont="1" applyFill="1" applyBorder="1" applyAlignment="1">
      <alignment horizontal="left"/>
    </xf>
    <xf numFmtId="0" fontId="203" fillId="71" borderId="3" xfId="0" applyFont="1" applyFill="1" applyBorder="1"/>
    <xf numFmtId="169" fontId="226" fillId="71" borderId="67" xfId="0" applyNumberFormat="1" applyFont="1" applyFill="1" applyBorder="1"/>
    <xf numFmtId="165" fontId="226" fillId="71" borderId="42" xfId="0" applyNumberFormat="1" applyFont="1" applyFill="1" applyBorder="1"/>
    <xf numFmtId="272" fontId="203" fillId="0" borderId="0" xfId="0" applyNumberFormat="1" applyFont="1"/>
    <xf numFmtId="0" fontId="234" fillId="0" borderId="0" xfId="0" quotePrefix="1" applyFont="1" applyAlignment="1">
      <alignment horizontal="right" vertical="top"/>
    </xf>
    <xf numFmtId="0" fontId="228" fillId="0" borderId="0" xfId="0" applyFont="1" applyAlignment="1">
      <alignment horizontal="center"/>
    </xf>
    <xf numFmtId="43" fontId="226" fillId="0" borderId="45" xfId="12427" applyFont="1" applyBorder="1" applyAlignment="1">
      <alignment horizontal="center"/>
    </xf>
    <xf numFmtId="0" fontId="226" fillId="0" borderId="45" xfId="0" applyFont="1" applyBorder="1" applyAlignment="1">
      <alignment horizontal="center"/>
    </xf>
    <xf numFmtId="1" fontId="226" fillId="0" borderId="45" xfId="0" applyNumberFormat="1" applyFont="1" applyBorder="1"/>
    <xf numFmtId="167" fontId="223" fillId="0" borderId="0" xfId="12427" applyNumberFormat="1" applyFont="1" applyAlignment="1">
      <alignment horizontal="center"/>
    </xf>
    <xf numFmtId="1" fontId="203" fillId="0" borderId="0" xfId="0" applyNumberFormat="1" applyFont="1"/>
    <xf numFmtId="41" fontId="203" fillId="0" borderId="0" xfId="0" applyNumberFormat="1" applyFont="1"/>
    <xf numFmtId="167" fontId="203" fillId="0" borderId="0" xfId="12427" applyNumberFormat="1" applyFont="1" applyAlignment="1">
      <alignment horizontal="center"/>
    </xf>
    <xf numFmtId="167" fontId="226" fillId="0" borderId="0" xfId="12427" applyNumberFormat="1" applyFont="1"/>
    <xf numFmtId="0" fontId="203" fillId="0" borderId="151" xfId="0" applyFont="1" applyBorder="1"/>
    <xf numFmtId="167" fontId="226" fillId="0" borderId="151" xfId="12427" applyNumberFormat="1" applyFont="1" applyBorder="1"/>
    <xf numFmtId="0" fontId="234" fillId="0" borderId="99" xfId="0" applyFont="1" applyBorder="1" applyAlignment="1">
      <alignment horizontal="right"/>
    </xf>
    <xf numFmtId="0" fontId="203" fillId="0" borderId="100" xfId="0" applyFont="1" applyBorder="1"/>
    <xf numFmtId="167" fontId="203" fillId="0" borderId="100" xfId="12427" applyNumberFormat="1" applyFont="1" applyBorder="1"/>
    <xf numFmtId="0" fontId="203" fillId="0" borderId="101" xfId="0" applyFont="1" applyBorder="1"/>
    <xf numFmtId="0" fontId="234" fillId="0" borderId="62" xfId="0" applyFont="1" applyBorder="1" applyAlignment="1">
      <alignment horizontal="right"/>
    </xf>
    <xf numFmtId="167" fontId="203" fillId="0" borderId="0" xfId="12427" applyNumberFormat="1" applyFont="1"/>
    <xf numFmtId="0" fontId="234" fillId="0" borderId="10" xfId="0" applyFont="1" applyBorder="1" applyAlignment="1">
      <alignment horizontal="right"/>
    </xf>
    <xf numFmtId="272" fontId="203" fillId="0" borderId="45" xfId="0" applyNumberFormat="1" applyFont="1" applyBorder="1"/>
    <xf numFmtId="0" fontId="203" fillId="0" borderId="97" xfId="0" applyFont="1" applyBorder="1"/>
    <xf numFmtId="9" fontId="203" fillId="0" borderId="0" xfId="12422" applyFont="1"/>
    <xf numFmtId="0" fontId="249" fillId="0" borderId="134" xfId="20390" applyFont="1" applyBorder="1"/>
    <xf numFmtId="0" fontId="234" fillId="0" borderId="0" xfId="20390" applyFont="1"/>
    <xf numFmtId="0" fontId="235" fillId="0" borderId="135" xfId="20390" applyFont="1" applyBorder="1" applyAlignment="1">
      <alignment horizontal="right"/>
    </xf>
    <xf numFmtId="0" fontId="235" fillId="0" borderId="136" xfId="20390" applyFont="1" applyBorder="1" applyAlignment="1">
      <alignment horizontal="right"/>
    </xf>
    <xf numFmtId="0" fontId="235" fillId="0" borderId="137" xfId="20390" applyFont="1" applyBorder="1" applyAlignment="1">
      <alignment horizontal="right"/>
    </xf>
    <xf numFmtId="0" fontId="234" fillId="0" borderId="138" xfId="20390" applyFont="1" applyBorder="1"/>
    <xf numFmtId="165" fontId="234" fillId="0" borderId="139" xfId="20390" applyNumberFormat="1" applyFont="1" applyBorder="1"/>
    <xf numFmtId="165" fontId="234" fillId="0" borderId="140" xfId="20390" applyNumberFormat="1" applyFont="1" applyBorder="1"/>
    <xf numFmtId="0" fontId="234" fillId="0" borderId="140" xfId="20390" applyFont="1" applyBorder="1"/>
    <xf numFmtId="0" fontId="234" fillId="0" borderId="141" xfId="20390" applyFont="1" applyBorder="1"/>
    <xf numFmtId="0" fontId="234" fillId="0" borderId="51" xfId="20390" applyFont="1" applyBorder="1"/>
    <xf numFmtId="165" fontId="234" fillId="0" borderId="62" xfId="20390" applyNumberFormat="1" applyFont="1" applyBorder="1"/>
    <xf numFmtId="165" fontId="234" fillId="0" borderId="0" xfId="20390" applyNumberFormat="1" applyFont="1"/>
    <xf numFmtId="165" fontId="234" fillId="0" borderId="13" xfId="20390" applyNumberFormat="1" applyFont="1" applyBorder="1"/>
    <xf numFmtId="0" fontId="234" fillId="0" borderId="13" xfId="20390" applyFont="1" applyBorder="1"/>
    <xf numFmtId="0" fontId="234" fillId="0" borderId="133" xfId="20390" applyFont="1" applyBorder="1"/>
    <xf numFmtId="165" fontId="234" fillId="0" borderId="132" xfId="20390" applyNumberFormat="1" applyFont="1" applyBorder="1"/>
    <xf numFmtId="165" fontId="234" fillId="0" borderId="45" xfId="20390" applyNumberFormat="1" applyFont="1" applyBorder="1"/>
    <xf numFmtId="0" fontId="234" fillId="0" borderId="45" xfId="20391" applyFont="1" applyBorder="1"/>
    <xf numFmtId="0" fontId="234" fillId="0" borderId="45" xfId="20390" applyFont="1" applyBorder="1"/>
    <xf numFmtId="0" fontId="234" fillId="0" borderId="97" xfId="20390" applyFont="1" applyBorder="1"/>
    <xf numFmtId="0" fontId="203" fillId="0" borderId="0" xfId="20391" applyFont="1"/>
    <xf numFmtId="0" fontId="234" fillId="0" borderId="0" xfId="20391" applyFont="1"/>
    <xf numFmtId="0" fontId="203" fillId="0" borderId="12" xfId="0" applyFont="1" applyBorder="1"/>
    <xf numFmtId="43" fontId="203" fillId="0" borderId="0" xfId="0" applyNumberFormat="1" applyFont="1" applyAlignment="1">
      <alignment horizontal="center" vertical="center"/>
    </xf>
    <xf numFmtId="0" fontId="226" fillId="0" borderId="18" xfId="0" applyFont="1" applyBorder="1"/>
    <xf numFmtId="0" fontId="226" fillId="0" borderId="0" xfId="20396" applyFont="1" applyAlignment="1">
      <alignment horizontal="center" wrapText="1"/>
    </xf>
    <xf numFmtId="0" fontId="226" fillId="91" borderId="132" xfId="20396" applyFont="1" applyFill="1" applyBorder="1" applyAlignment="1">
      <alignment horizontal="left" wrapText="1"/>
    </xf>
    <xf numFmtId="164" fontId="203" fillId="0" borderId="0" xfId="11807" applyNumberFormat="1" applyFont="1" applyAlignment="1">
      <alignment horizontal="center" wrapText="1"/>
    </xf>
    <xf numFmtId="0" fontId="203" fillId="65" borderId="0" xfId="0" applyFont="1" applyFill="1"/>
    <xf numFmtId="0" fontId="203" fillId="0" borderId="65" xfId="0" applyFont="1" applyBorder="1" applyAlignment="1">
      <alignment horizontal="justify" vertical="center" wrapText="1"/>
    </xf>
    <xf numFmtId="164" fontId="203" fillId="0" borderId="0" xfId="0" applyNumberFormat="1" applyFont="1" applyAlignment="1">
      <alignment horizontal="center" vertical="top" wrapText="1"/>
    </xf>
    <xf numFmtId="0" fontId="203" fillId="0" borderId="98" xfId="0" applyFont="1" applyBorder="1" applyAlignment="1">
      <alignment horizontal="justify" vertical="center" wrapText="1"/>
    </xf>
    <xf numFmtId="0" fontId="226" fillId="0" borderId="34" xfId="0" applyFont="1" applyBorder="1"/>
    <xf numFmtId="0" fontId="226" fillId="0" borderId="0" xfId="20390" applyFont="1" applyAlignment="1">
      <alignment horizontal="left"/>
    </xf>
    <xf numFmtId="43" fontId="219" fillId="68" borderId="57" xfId="11155" quotePrefix="1" applyFont="1" applyFill="1" applyBorder="1" applyAlignment="1">
      <alignment horizontal="center"/>
    </xf>
    <xf numFmtId="43" fontId="219" fillId="0" borderId="56" xfId="11155" applyFont="1" applyBorder="1"/>
    <xf numFmtId="43" fontId="219" fillId="0" borderId="0" xfId="11155" applyFont="1"/>
    <xf numFmtId="43" fontId="219" fillId="0" borderId="57" xfId="11155" applyFont="1" applyBorder="1" applyAlignment="1">
      <alignment horizontal="right"/>
    </xf>
    <xf numFmtId="43" fontId="250" fillId="68" borderId="57" xfId="11155" quotePrefix="1" applyFont="1" applyFill="1" applyBorder="1" applyAlignment="1">
      <alignment horizontal="left"/>
    </xf>
    <xf numFmtId="43" fontId="250" fillId="68" borderId="57" xfId="11155" quotePrefix="1" applyFont="1" applyFill="1" applyBorder="1" applyAlignment="1">
      <alignment horizontal="center"/>
    </xf>
    <xf numFmtId="0" fontId="250" fillId="68" borderId="57" xfId="11155" quotePrefix="1" applyNumberFormat="1" applyFont="1" applyFill="1" applyBorder="1" applyAlignment="1">
      <alignment horizontal="center"/>
    </xf>
    <xf numFmtId="0" fontId="224" fillId="72" borderId="135" xfId="0" applyFont="1" applyFill="1" applyBorder="1" applyAlignment="1">
      <alignment horizontal="centerContinuous"/>
    </xf>
    <xf numFmtId="0" fontId="224" fillId="72" borderId="136" xfId="0" applyFont="1" applyFill="1" applyBorder="1" applyAlignment="1">
      <alignment horizontal="centerContinuous"/>
    </xf>
    <xf numFmtId="0" fontId="224" fillId="72" borderId="137" xfId="0" applyFont="1" applyFill="1" applyBorder="1" applyAlignment="1">
      <alignment horizontal="centerContinuous"/>
    </xf>
    <xf numFmtId="0" fontId="226" fillId="0" borderId="139" xfId="0" applyFont="1" applyBorder="1" applyAlignment="1">
      <alignment horizontal="centerContinuous"/>
    </xf>
    <xf numFmtId="0" fontId="226" fillId="0" borderId="140" xfId="0" applyFont="1" applyBorder="1" applyAlignment="1">
      <alignment horizontal="centerContinuous"/>
    </xf>
    <xf numFmtId="0" fontId="226" fillId="0" borderId="141" xfId="0" applyFont="1" applyBorder="1" applyAlignment="1">
      <alignment horizontal="centerContinuous"/>
    </xf>
    <xf numFmtId="1" fontId="235" fillId="0" borderId="135" xfId="0" applyNumberFormat="1" applyFont="1" applyBorder="1" applyAlignment="1">
      <alignment horizontal="right"/>
    </xf>
    <xf numFmtId="0" fontId="235" fillId="0" borderId="136" xfId="0" applyFont="1" applyBorder="1" applyAlignment="1">
      <alignment horizontal="right"/>
    </xf>
    <xf numFmtId="0" fontId="235" fillId="0" borderId="137" xfId="0" applyFont="1" applyBorder="1" applyAlignment="1">
      <alignment horizontal="right"/>
    </xf>
    <xf numFmtId="0" fontId="235" fillId="0" borderId="0" xfId="20392" applyFont="1"/>
    <xf numFmtId="0" fontId="251" fillId="0" borderId="0" xfId="20390" applyFont="1"/>
    <xf numFmtId="0" fontId="252" fillId="0" borderId="0" xfId="20390" applyFont="1"/>
    <xf numFmtId="248" fontId="252" fillId="0" borderId="0" xfId="20390" applyNumberFormat="1" applyFont="1" applyAlignment="1">
      <alignment horizontal="right"/>
    </xf>
    <xf numFmtId="43" fontId="252" fillId="0" borderId="0" xfId="20390" applyNumberFormat="1" applyFont="1" applyAlignment="1">
      <alignment horizontal="right"/>
    </xf>
    <xf numFmtId="0" fontId="252" fillId="0" borderId="0" xfId="20390" applyFont="1" applyAlignment="1">
      <alignment horizontal="right"/>
    </xf>
    <xf numFmtId="0" fontId="235" fillId="0" borderId="0" xfId="20390" applyFont="1" applyAlignment="1">
      <alignment horizontal="left"/>
    </xf>
    <xf numFmtId="0" fontId="253" fillId="0" borderId="142" xfId="20390" applyFont="1" applyBorder="1" applyAlignment="1">
      <alignment horizontal="right"/>
    </xf>
    <xf numFmtId="0" fontId="235" fillId="0" borderId="0" xfId="20390" applyFont="1"/>
    <xf numFmtId="1" fontId="235" fillId="0" borderId="139" xfId="20391" applyNumberFormat="1" applyFont="1" applyBorder="1" applyAlignment="1">
      <alignment horizontal="right"/>
    </xf>
    <xf numFmtId="1" fontId="235" fillId="0" borderId="140" xfId="20391" applyNumberFormat="1" applyFont="1" applyBorder="1" applyAlignment="1">
      <alignment horizontal="right"/>
    </xf>
    <xf numFmtId="1" fontId="235" fillId="0" borderId="141" xfId="20391" applyNumberFormat="1" applyFont="1" applyBorder="1" applyAlignment="1">
      <alignment horizontal="right"/>
    </xf>
    <xf numFmtId="1" fontId="235" fillId="0" borderId="0" xfId="20391" applyNumberFormat="1" applyFont="1" applyAlignment="1">
      <alignment horizontal="center"/>
    </xf>
    <xf numFmtId="0" fontId="228" fillId="0" borderId="0" xfId="20390" applyFont="1"/>
    <xf numFmtId="165" fontId="253" fillId="93" borderId="138" xfId="20390" applyNumberFormat="1" applyFont="1" applyFill="1" applyBorder="1" applyAlignment="1">
      <alignment horizontal="right"/>
    </xf>
    <xf numFmtId="165" fontId="234" fillId="0" borderId="139" xfId="20390" applyNumberFormat="1" applyFont="1" applyBorder="1" applyAlignment="1">
      <alignment horizontal="right"/>
    </xf>
    <xf numFmtId="165" fontId="234" fillId="0" borderId="140" xfId="20390" applyNumberFormat="1" applyFont="1" applyBorder="1" applyAlignment="1">
      <alignment horizontal="right"/>
    </xf>
    <xf numFmtId="165" fontId="234" fillId="0" borderId="141" xfId="20390" applyNumberFormat="1" applyFont="1" applyBorder="1" applyAlignment="1">
      <alignment horizontal="right"/>
    </xf>
    <xf numFmtId="165" fontId="234" fillId="0" borderId="143" xfId="20390" applyNumberFormat="1" applyFont="1" applyBorder="1" applyAlignment="1">
      <alignment horizontal="right"/>
    </xf>
    <xf numFmtId="165" fontId="234" fillId="0" borderId="0" xfId="20390" applyNumberFormat="1" applyFont="1" applyAlignment="1">
      <alignment horizontal="center"/>
    </xf>
    <xf numFmtId="0" fontId="254" fillId="0" borderId="0" xfId="20391" applyFont="1" applyAlignment="1">
      <alignment vertical="center"/>
    </xf>
    <xf numFmtId="165" fontId="253" fillId="93" borderId="133" xfId="20390" applyNumberFormat="1" applyFont="1" applyFill="1" applyBorder="1" applyAlignment="1">
      <alignment horizontal="right"/>
    </xf>
    <xf numFmtId="165" fontId="234" fillId="0" borderId="132" xfId="20390" applyNumberFormat="1" applyFont="1" applyBorder="1" applyAlignment="1">
      <alignment horizontal="right"/>
    </xf>
    <xf numFmtId="165" fontId="234" fillId="0" borderId="45" xfId="20390" applyNumberFormat="1" applyFont="1" applyBorder="1" applyAlignment="1">
      <alignment horizontal="right"/>
    </xf>
    <xf numFmtId="165" fontId="234" fillId="0" borderId="97" xfId="20390" applyNumberFormat="1" applyFont="1" applyBorder="1" applyAlignment="1">
      <alignment horizontal="right"/>
    </xf>
    <xf numFmtId="0" fontId="255" fillId="0" borderId="0" xfId="20390" applyFont="1" applyAlignment="1">
      <alignment horizontal="left"/>
    </xf>
    <xf numFmtId="0" fontId="251" fillId="0" borderId="0" xfId="20390" applyFont="1" applyAlignment="1">
      <alignment horizontal="left"/>
    </xf>
    <xf numFmtId="0" fontId="251" fillId="0" borderId="0" xfId="20390" applyFont="1" applyAlignment="1">
      <alignment horizontal="right"/>
    </xf>
    <xf numFmtId="248" fontId="235" fillId="0" borderId="0" xfId="20393" applyNumberFormat="1" applyFont="1" applyAlignment="1">
      <alignment horizontal="right"/>
    </xf>
    <xf numFmtId="248" fontId="235" fillId="0" borderId="0" xfId="20393" applyNumberFormat="1" applyFont="1"/>
    <xf numFmtId="0" fontId="226" fillId="0" borderId="0" xfId="20390" applyFont="1" applyAlignment="1">
      <alignment horizontal="left" indent="1"/>
    </xf>
    <xf numFmtId="10" fontId="231" fillId="0" borderId="0" xfId="20390" applyNumberFormat="1" applyFont="1" applyAlignment="1">
      <alignment horizontal="right"/>
    </xf>
    <xf numFmtId="165" fontId="235" fillId="0" borderId="135" xfId="20390" applyNumberFormat="1" applyFont="1" applyBorder="1" applyAlignment="1">
      <alignment horizontal="right"/>
    </xf>
    <xf numFmtId="165" fontId="235" fillId="0" borderId="136" xfId="20390" applyNumberFormat="1" applyFont="1" applyBorder="1" applyAlignment="1">
      <alignment horizontal="right"/>
    </xf>
    <xf numFmtId="165" fontId="235" fillId="0" borderId="137" xfId="20390" applyNumberFormat="1" applyFont="1" applyBorder="1" applyAlignment="1">
      <alignment horizontal="right"/>
    </xf>
    <xf numFmtId="165" fontId="235" fillId="0" borderId="0" xfId="20390" applyNumberFormat="1" applyFont="1" applyAlignment="1">
      <alignment horizontal="center"/>
    </xf>
    <xf numFmtId="43" fontId="239" fillId="0" borderId="0" xfId="20393" applyFont="1" applyAlignment="1">
      <alignment horizontal="right"/>
    </xf>
    <xf numFmtId="248" fontId="251" fillId="0" borderId="0" xfId="20393" applyNumberFormat="1" applyFont="1" applyAlignment="1">
      <alignment horizontal="right"/>
    </xf>
    <xf numFmtId="248" fontId="251" fillId="0" borderId="0" xfId="20393" applyNumberFormat="1" applyFont="1"/>
    <xf numFmtId="0" fontId="235" fillId="0" borderId="0" xfId="20390" applyFont="1" applyAlignment="1">
      <alignment horizontal="left" indent="1"/>
    </xf>
    <xf numFmtId="0" fontId="235" fillId="0" borderId="139" xfId="20391" applyFont="1" applyBorder="1" applyAlignment="1">
      <alignment horizontal="right"/>
    </xf>
    <xf numFmtId="0" fontId="235" fillId="0" borderId="140" xfId="20391" applyFont="1" applyBorder="1" applyAlignment="1">
      <alignment horizontal="right"/>
    </xf>
    <xf numFmtId="0" fontId="235" fillId="0" borderId="141" xfId="20391" applyFont="1" applyBorder="1" applyAlignment="1">
      <alignment horizontal="right"/>
    </xf>
    <xf numFmtId="0" fontId="234" fillId="0" borderId="0" xfId="20391" applyFont="1" applyAlignment="1">
      <alignment horizontal="center"/>
    </xf>
    <xf numFmtId="192" fontId="228" fillId="0" borderId="0" xfId="20391" applyNumberFormat="1" applyFont="1" applyAlignment="1" applyProtection="1">
      <alignment horizontal="right"/>
      <protection locked="0"/>
    </xf>
    <xf numFmtId="0" fontId="234" fillId="0" borderId="62" xfId="20391" applyFont="1" applyBorder="1" applyAlignment="1">
      <alignment horizontal="right"/>
    </xf>
    <xf numFmtId="0" fontId="234" fillId="0" borderId="0" xfId="20391" applyFont="1" applyAlignment="1">
      <alignment horizontal="right"/>
    </xf>
    <xf numFmtId="0" fontId="234" fillId="0" borderId="97" xfId="20391" applyFont="1" applyBorder="1" applyAlignment="1">
      <alignment horizontal="right"/>
    </xf>
    <xf numFmtId="167" fontId="235" fillId="0" borderId="135" xfId="12427" applyNumberFormat="1" applyFont="1" applyBorder="1" applyAlignment="1">
      <alignment horizontal="right"/>
    </xf>
    <xf numFmtId="167" fontId="235" fillId="0" borderId="136" xfId="12427" applyNumberFormat="1" applyFont="1" applyBorder="1" applyAlignment="1">
      <alignment horizontal="right"/>
    </xf>
    <xf numFmtId="167" fontId="235" fillId="0" borderId="144" xfId="12427" applyNumberFormat="1" applyFont="1" applyBorder="1" applyAlignment="1">
      <alignment horizontal="right"/>
    </xf>
    <xf numFmtId="248" fontId="235" fillId="0" borderId="0" xfId="20393" applyNumberFormat="1" applyFont="1" applyAlignment="1">
      <alignment horizontal="center"/>
    </xf>
    <xf numFmtId="0" fontId="225" fillId="0" borderId="0" xfId="20390" applyFont="1"/>
    <xf numFmtId="0" fontId="249" fillId="0" borderId="0" xfId="20390" applyFont="1" applyAlignment="1">
      <alignment horizontal="left"/>
    </xf>
    <xf numFmtId="165" fontId="247" fillId="93" borderId="138" xfId="20390" applyNumberFormat="1" applyFont="1" applyFill="1" applyBorder="1" applyAlignment="1">
      <alignment horizontal="right"/>
    </xf>
    <xf numFmtId="165" fontId="247" fillId="93" borderId="51" xfId="20390" applyNumberFormat="1" applyFont="1" applyFill="1" applyBorder="1" applyAlignment="1">
      <alignment horizontal="right"/>
    </xf>
    <xf numFmtId="165" fontId="234" fillId="0" borderId="62" xfId="20390" applyNumberFormat="1" applyFont="1" applyBorder="1" applyAlignment="1">
      <alignment horizontal="right"/>
    </xf>
    <xf numFmtId="165" fontId="234" fillId="0" borderId="0" xfId="20390" applyNumberFormat="1" applyFont="1" applyAlignment="1">
      <alignment horizontal="right"/>
    </xf>
    <xf numFmtId="165" fontId="234" fillId="0" borderId="13" xfId="20390" applyNumberFormat="1" applyFont="1" applyBorder="1" applyAlignment="1">
      <alignment horizontal="right"/>
    </xf>
    <xf numFmtId="165" fontId="247" fillId="93" borderId="133" xfId="20390" applyNumberFormat="1" applyFont="1" applyFill="1" applyBorder="1" applyAlignment="1">
      <alignment horizontal="right"/>
    </xf>
    <xf numFmtId="43" fontId="239" fillId="0" borderId="0" xfId="20393" applyFont="1"/>
    <xf numFmtId="10" fontId="231" fillId="0" borderId="0" xfId="20390" applyNumberFormat="1" applyFont="1"/>
    <xf numFmtId="0" fontId="234" fillId="0" borderId="0" xfId="20390" applyFont="1" applyAlignment="1">
      <alignment horizontal="left" indent="1"/>
    </xf>
    <xf numFmtId="0" fontId="234" fillId="0" borderId="0" xfId="20390" applyFont="1" applyAlignment="1">
      <alignment horizontal="right"/>
    </xf>
    <xf numFmtId="44" fontId="252" fillId="0" borderId="0" xfId="20390" applyNumberFormat="1" applyFont="1"/>
    <xf numFmtId="1" fontId="235" fillId="0" borderId="135" xfId="20391" applyNumberFormat="1" applyFont="1" applyBorder="1" applyAlignment="1">
      <alignment horizontal="right"/>
    </xf>
    <xf numFmtId="1" fontId="235" fillId="0" borderId="136" xfId="20391" applyNumberFormat="1" applyFont="1" applyBorder="1" applyAlignment="1">
      <alignment horizontal="right"/>
    </xf>
    <xf numFmtId="1" fontId="235" fillId="0" borderId="137" xfId="20391" applyNumberFormat="1" applyFont="1" applyBorder="1" applyAlignment="1">
      <alignment horizontal="right"/>
    </xf>
    <xf numFmtId="1" fontId="252" fillId="0" borderId="0" xfId="20390" applyNumberFormat="1" applyFont="1" applyAlignment="1">
      <alignment horizontal="left"/>
    </xf>
    <xf numFmtId="1" fontId="234" fillId="0" borderId="0" xfId="20390" applyNumberFormat="1" applyFont="1" applyAlignment="1">
      <alignment horizontal="left"/>
    </xf>
    <xf numFmtId="272" fontId="252" fillId="0" borderId="0" xfId="20390" applyNumberFormat="1" applyFont="1"/>
    <xf numFmtId="167" fontId="234" fillId="0" borderId="0" xfId="12427" applyNumberFormat="1" applyFont="1" applyAlignment="1">
      <alignment horizontal="right"/>
    </xf>
    <xf numFmtId="248" fontId="234" fillId="0" borderId="0" xfId="20393" applyNumberFormat="1" applyFont="1"/>
    <xf numFmtId="167" fontId="227" fillId="0" borderId="0" xfId="20394" applyNumberFormat="1" applyFont="1"/>
    <xf numFmtId="248" fontId="252" fillId="0" borderId="0" xfId="20390" applyNumberFormat="1" applyFont="1"/>
    <xf numFmtId="166" fontId="256" fillId="0" borderId="0" xfId="20395" applyNumberFormat="1" applyFont="1"/>
    <xf numFmtId="0" fontId="252" fillId="0" borderId="0" xfId="20390" applyFont="1" applyAlignment="1">
      <alignment horizontal="left"/>
    </xf>
    <xf numFmtId="0" fontId="234" fillId="0" borderId="0" xfId="20390" applyFont="1" applyAlignment="1">
      <alignment horizontal="left"/>
    </xf>
    <xf numFmtId="41" fontId="234" fillId="0" borderId="0" xfId="20390" applyNumberFormat="1" applyFont="1"/>
    <xf numFmtId="167" fontId="234" fillId="0" borderId="135" xfId="12427" applyNumberFormat="1" applyFont="1" applyBorder="1" applyAlignment="1">
      <alignment horizontal="right"/>
    </xf>
    <xf numFmtId="167" fontId="234" fillId="0" borderId="136" xfId="12427" applyNumberFormat="1" applyFont="1" applyBorder="1" applyAlignment="1">
      <alignment horizontal="right"/>
    </xf>
    <xf numFmtId="167" fontId="234" fillId="0" borderId="137" xfId="12427" applyNumberFormat="1" applyFont="1" applyBorder="1" applyAlignment="1">
      <alignment horizontal="right"/>
    </xf>
    <xf numFmtId="42" fontId="234" fillId="0" borderId="0" xfId="20393" applyNumberFormat="1" applyFont="1"/>
    <xf numFmtId="44" fontId="234" fillId="0" borderId="0" xfId="20390" applyNumberFormat="1" applyFont="1" applyAlignment="1">
      <alignment horizontal="right"/>
    </xf>
    <xf numFmtId="220" fontId="234" fillId="0" borderId="0" xfId="20390" applyNumberFormat="1" applyFont="1" applyAlignment="1">
      <alignment horizontal="right"/>
    </xf>
    <xf numFmtId="167" fontId="235" fillId="0" borderId="148" xfId="12427" applyNumberFormat="1" applyFont="1" applyBorder="1" applyAlignment="1">
      <alignment horizontal="right"/>
    </xf>
    <xf numFmtId="167" fontId="235" fillId="0" borderId="149" xfId="12427" applyNumberFormat="1" applyFont="1" applyBorder="1" applyAlignment="1">
      <alignment horizontal="right"/>
    </xf>
    <xf numFmtId="167" fontId="235" fillId="0" borderId="150" xfId="12427" applyNumberFormat="1" applyFont="1" applyBorder="1" applyAlignment="1">
      <alignment horizontal="right"/>
    </xf>
    <xf numFmtId="167" fontId="235" fillId="0" borderId="137" xfId="12427" applyNumberFormat="1" applyFont="1" applyBorder="1" applyAlignment="1">
      <alignment horizontal="right"/>
    </xf>
    <xf numFmtId="42" fontId="235" fillId="0" borderId="0" xfId="20393" applyNumberFormat="1" applyFont="1"/>
    <xf numFmtId="0" fontId="234" fillId="0" borderId="0" xfId="20391" quotePrefix="1" applyFont="1" applyAlignment="1">
      <alignment vertical="top"/>
    </xf>
    <xf numFmtId="0" fontId="234" fillId="0" borderId="0" xfId="20391" applyFont="1" applyAlignment="1">
      <alignment vertical="top"/>
    </xf>
    <xf numFmtId="0" fontId="234" fillId="0" borderId="0" xfId="20391" applyFont="1" applyAlignment="1">
      <alignment vertical="top" wrapText="1"/>
    </xf>
    <xf numFmtId="0" fontId="234" fillId="0" borderId="0" xfId="20390" applyFont="1" applyAlignment="1">
      <alignment horizontal="left" vertical="top" wrapText="1"/>
    </xf>
    <xf numFmtId="0" fontId="234" fillId="0" borderId="0" xfId="20390" quotePrefix="1" applyFont="1" applyAlignment="1">
      <alignment vertical="top"/>
    </xf>
    <xf numFmtId="41" fontId="252" fillId="0" borderId="0" xfId="20390" applyNumberFormat="1" applyFont="1"/>
    <xf numFmtId="0" fontId="203" fillId="74" borderId="0" xfId="0" quotePrefix="1" applyFont="1" applyFill="1" applyAlignment="1">
      <alignment horizontal="left" indent="1"/>
    </xf>
    <xf numFmtId="0" fontId="249" fillId="0" borderId="79" xfId="20390" applyFont="1" applyBorder="1"/>
    <xf numFmtId="0" fontId="224" fillId="72" borderId="4" xfId="0" applyFont="1" applyFill="1" applyBorder="1" applyAlignment="1">
      <alignment horizontal="centerContinuous"/>
    </xf>
    <xf numFmtId="0" fontId="224" fillId="72" borderId="5" xfId="0" applyFont="1" applyFill="1" applyBorder="1" applyAlignment="1">
      <alignment horizontal="centerContinuous"/>
    </xf>
    <xf numFmtId="0" fontId="224" fillId="72" borderId="6" xfId="0" applyFont="1" applyFill="1" applyBorder="1" applyAlignment="1">
      <alignment horizontal="centerContinuous"/>
    </xf>
    <xf numFmtId="0" fontId="235" fillId="0" borderId="4" xfId="0" applyFont="1" applyBorder="1" applyAlignment="1">
      <alignment wrapText="1"/>
    </xf>
    <xf numFmtId="0" fontId="235" fillId="0" borderId="5" xfId="0" applyFont="1" applyBorder="1" applyAlignment="1">
      <alignment horizontal="center" wrapText="1"/>
    </xf>
    <xf numFmtId="0" fontId="235" fillId="0" borderId="6" xfId="0" applyFont="1" applyBorder="1" applyAlignment="1">
      <alignment horizontal="center" wrapText="1"/>
    </xf>
    <xf numFmtId="0" fontId="226" fillId="71" borderId="7" xfId="0" applyFont="1" applyFill="1" applyBorder="1"/>
    <xf numFmtId="0" fontId="226" fillId="71" borderId="8" xfId="0" applyFont="1" applyFill="1" applyBorder="1"/>
    <xf numFmtId="165" fontId="226" fillId="71" borderId="9" xfId="0" applyNumberFormat="1" applyFont="1" applyFill="1" applyBorder="1"/>
    <xf numFmtId="0" fontId="226" fillId="71" borderId="10" xfId="0" applyFont="1" applyFill="1" applyBorder="1"/>
    <xf numFmtId="0" fontId="226" fillId="71" borderId="3" xfId="0" applyFont="1" applyFill="1" applyBorder="1"/>
    <xf numFmtId="165" fontId="226" fillId="71" borderId="11" xfId="0" applyNumberFormat="1" applyFont="1" applyFill="1" applyBorder="1"/>
    <xf numFmtId="0" fontId="235" fillId="0" borderId="4" xfId="0" applyFont="1" applyBorder="1" applyAlignment="1">
      <alignment horizontal="left" wrapText="1"/>
    </xf>
    <xf numFmtId="0" fontId="235" fillId="0" borderId="5" xfId="0" applyFont="1" applyBorder="1" applyAlignment="1">
      <alignment horizontal="centerContinuous" wrapText="1"/>
    </xf>
    <xf numFmtId="0" fontId="235" fillId="0" borderId="6" xfId="0" applyFont="1" applyBorder="1" applyAlignment="1">
      <alignment horizontal="centerContinuous" wrapText="1"/>
    </xf>
    <xf numFmtId="0" fontId="224" fillId="72" borderId="7" xfId="0" applyFont="1" applyFill="1" applyBorder="1" applyAlignment="1">
      <alignment horizontal="left"/>
    </xf>
    <xf numFmtId="0" fontId="224" fillId="72" borderId="8" xfId="0" applyFont="1" applyFill="1" applyBorder="1" applyAlignment="1">
      <alignment horizontal="centerContinuous"/>
    </xf>
    <xf numFmtId="0" fontId="224" fillId="72" borderId="9" xfId="0" applyFont="1" applyFill="1" applyBorder="1" applyAlignment="1">
      <alignment horizontal="right"/>
    </xf>
    <xf numFmtId="0" fontId="226" fillId="0" borderId="35" xfId="0" applyFont="1" applyBorder="1" applyAlignment="1">
      <alignment horizontal="right"/>
    </xf>
    <xf numFmtId="0" fontId="226" fillId="0" borderId="42" xfId="0" applyFont="1" applyBorder="1" applyAlignment="1">
      <alignment horizontal="right"/>
    </xf>
    <xf numFmtId="0" fontId="226" fillId="0" borderId="12" xfId="0" applyFont="1" applyBorder="1"/>
    <xf numFmtId="43" fontId="203" fillId="0" borderId="0" xfId="1" applyFont="1"/>
    <xf numFmtId="165" fontId="203" fillId="0" borderId="0" xfId="2" applyNumberFormat="1" applyFont="1"/>
    <xf numFmtId="165" fontId="203" fillId="0" borderId="13" xfId="2" applyNumberFormat="1" applyFont="1" applyBorder="1"/>
    <xf numFmtId="166" fontId="203" fillId="0" borderId="0" xfId="3" applyNumberFormat="1" applyFont="1"/>
    <xf numFmtId="167" fontId="203" fillId="0" borderId="0" xfId="1" applyNumberFormat="1" applyFont="1"/>
    <xf numFmtId="165" fontId="203" fillId="0" borderId="13" xfId="2" applyNumberFormat="1" applyFont="1" applyBorder="1" applyAlignment="1">
      <alignment horizontal="right"/>
    </xf>
    <xf numFmtId="165" fontId="203" fillId="0" borderId="3" xfId="2" applyNumberFormat="1" applyFont="1" applyBorder="1"/>
    <xf numFmtId="165" fontId="203" fillId="0" borderId="11" xfId="2" applyNumberFormat="1" applyFont="1" applyBorder="1"/>
    <xf numFmtId="0" fontId="226" fillId="0" borderId="12" xfId="0" applyFont="1" applyBorder="1" applyAlignment="1">
      <alignment horizontal="left" indent="7"/>
    </xf>
    <xf numFmtId="165" fontId="226" fillId="0" borderId="14" xfId="2" applyNumberFormat="1" applyFont="1" applyBorder="1"/>
    <xf numFmtId="0" fontId="226" fillId="0" borderId="0" xfId="0" applyFont="1" applyAlignment="1">
      <alignment horizontal="left" indent="7"/>
    </xf>
    <xf numFmtId="165" fontId="226" fillId="0" borderId="15" xfId="2" applyNumberFormat="1" applyFont="1" applyBorder="1"/>
    <xf numFmtId="0" fontId="203" fillId="0" borderId="11" xfId="0" applyFont="1" applyBorder="1"/>
    <xf numFmtId="0" fontId="203" fillId="0" borderId="53" xfId="0" applyFont="1" applyBorder="1"/>
    <xf numFmtId="14" fontId="203" fillId="0" borderId="55" xfId="0" applyNumberFormat="1" applyFont="1" applyBorder="1" applyAlignment="1">
      <alignment horizontal="right"/>
    </xf>
    <xf numFmtId="0" fontId="228" fillId="0" borderId="13" xfId="0" applyFont="1" applyBorder="1" applyAlignment="1">
      <alignment horizontal="right"/>
    </xf>
    <xf numFmtId="0" fontId="257" fillId="0" borderId="0" xfId="0" applyFont="1"/>
    <xf numFmtId="0" fontId="228" fillId="0" borderId="11" xfId="0" applyFont="1" applyBorder="1" applyAlignment="1">
      <alignment horizontal="right"/>
    </xf>
    <xf numFmtId="0" fontId="226" fillId="0" borderId="80" xfId="0" applyFont="1" applyBorder="1" applyAlignment="1">
      <alignment horizontal="centerContinuous"/>
    </xf>
    <xf numFmtId="0" fontId="226" fillId="0" borderId="67" xfId="0" applyFont="1" applyBorder="1" applyAlignment="1">
      <alignment horizontal="centerContinuous"/>
    </xf>
    <xf numFmtId="0" fontId="224" fillId="72" borderId="80" xfId="0" applyFont="1" applyFill="1" applyBorder="1" applyAlignment="1">
      <alignment horizontal="centerContinuous"/>
    </xf>
    <xf numFmtId="0" fontId="224" fillId="72" borderId="67" xfId="0" applyFont="1" applyFill="1" applyBorder="1" applyAlignment="1">
      <alignment horizontal="centerContinuous"/>
    </xf>
    <xf numFmtId="0" fontId="224" fillId="72" borderId="79" xfId="0" applyFont="1" applyFill="1" applyBorder="1" applyAlignment="1">
      <alignment horizontal="centerContinuous"/>
    </xf>
    <xf numFmtId="0" fontId="224" fillId="0" borderId="0" xfId="0" applyFont="1"/>
    <xf numFmtId="0" fontId="224" fillId="72" borderId="58" xfId="0" applyFont="1" applyFill="1" applyBorder="1" applyAlignment="1">
      <alignment horizontal="centerContinuous"/>
    </xf>
    <xf numFmtId="0" fontId="224" fillId="72" borderId="59" xfId="0" applyFont="1" applyFill="1" applyBorder="1" applyAlignment="1">
      <alignment horizontal="centerContinuous"/>
    </xf>
    <xf numFmtId="0" fontId="224" fillId="72" borderId="60" xfId="0" applyFont="1" applyFill="1" applyBorder="1" applyAlignment="1">
      <alignment horizontal="centerContinuous"/>
    </xf>
    <xf numFmtId="0" fontId="235" fillId="0" borderId="80" xfId="0" applyFont="1" applyBorder="1" applyAlignment="1">
      <alignment horizontal="left" wrapText="1"/>
    </xf>
    <xf numFmtId="0" fontId="235" fillId="0" borderId="42" xfId="0" applyFont="1" applyBorder="1" applyAlignment="1">
      <alignment horizontal="right" wrapText="1"/>
    </xf>
    <xf numFmtId="0" fontId="235" fillId="0" borderId="10" xfId="0" applyFont="1" applyBorder="1" applyAlignment="1">
      <alignment horizontal="right" wrapText="1"/>
    </xf>
    <xf numFmtId="0" fontId="235" fillId="0" borderId="97" xfId="0" applyFont="1" applyBorder="1" applyAlignment="1">
      <alignment horizontal="right" wrapText="1"/>
    </xf>
    <xf numFmtId="0" fontId="235" fillId="0" borderId="79" xfId="0" applyFont="1" applyBorder="1" applyAlignment="1">
      <alignment horizontal="right" wrapText="1"/>
    </xf>
    <xf numFmtId="0" fontId="235" fillId="0" borderId="0" xfId="0" applyFont="1" applyAlignment="1">
      <alignment horizontal="right" wrapText="1"/>
    </xf>
    <xf numFmtId="0" fontId="235" fillId="0" borderId="80" xfId="0" applyFont="1" applyBorder="1" applyAlignment="1">
      <alignment horizontal="right" wrapText="1"/>
    </xf>
    <xf numFmtId="1" fontId="235" fillId="0" borderId="67" xfId="0" applyNumberFormat="1" applyFont="1" applyBorder="1" applyAlignment="1">
      <alignment horizontal="right" wrapText="1"/>
    </xf>
    <xf numFmtId="0" fontId="235" fillId="0" borderId="32" xfId="0" applyFont="1" applyBorder="1" applyAlignment="1">
      <alignment horizontal="right" wrapText="1"/>
    </xf>
    <xf numFmtId="0" fontId="235" fillId="0" borderId="67" xfId="0" applyFont="1" applyBorder="1" applyAlignment="1">
      <alignment horizontal="right" wrapText="1"/>
    </xf>
    <xf numFmtId="0" fontId="226" fillId="0" borderId="4" xfId="0" applyFont="1" applyBorder="1" applyAlignment="1">
      <alignment horizontal="center" wrapText="1"/>
    </xf>
    <xf numFmtId="0" fontId="226" fillId="0" borderId="5" xfId="0" applyFont="1" applyBorder="1" applyAlignment="1">
      <alignment horizontal="center" wrapText="1"/>
    </xf>
    <xf numFmtId="0" fontId="226" fillId="0" borderId="6" xfId="0" applyFont="1" applyBorder="1" applyAlignment="1">
      <alignment horizontal="center" wrapText="1"/>
    </xf>
    <xf numFmtId="0" fontId="258" fillId="0" borderId="103" xfId="0" applyFont="1" applyBorder="1" applyAlignment="1">
      <alignment horizontal="centerContinuous"/>
    </xf>
    <xf numFmtId="169" fontId="226" fillId="0" borderId="104" xfId="0" applyNumberFormat="1" applyFont="1" applyBorder="1" applyAlignment="1">
      <alignment horizontal="centerContinuous"/>
    </xf>
    <xf numFmtId="0" fontId="258" fillId="0" borderId="104" xfId="0" applyFont="1" applyBorder="1" applyAlignment="1">
      <alignment horizontal="centerContinuous"/>
    </xf>
    <xf numFmtId="169" fontId="226" fillId="0" borderId="105" xfId="0" applyNumberFormat="1" applyFont="1" applyBorder="1" applyAlignment="1">
      <alignment horizontal="centerContinuous"/>
    </xf>
    <xf numFmtId="0" fontId="203" fillId="0" borderId="0" xfId="0" applyFont="1" applyAlignment="1">
      <alignment horizontal="centerContinuous"/>
    </xf>
    <xf numFmtId="0" fontId="233" fillId="0" borderId="0" xfId="0" applyFont="1"/>
    <xf numFmtId="169" fontId="235" fillId="0" borderId="0" xfId="0" applyNumberFormat="1" applyFont="1"/>
    <xf numFmtId="234" fontId="203" fillId="0" borderId="0" xfId="0" applyNumberFormat="1" applyFont="1" applyAlignment="1">
      <alignment horizontal="right"/>
    </xf>
    <xf numFmtId="41" fontId="234" fillId="0" borderId="0" xfId="0" applyNumberFormat="1" applyFont="1" applyAlignment="1">
      <alignment horizontal="right"/>
    </xf>
    <xf numFmtId="0" fontId="229" fillId="0" borderId="0" xfId="0" applyFont="1"/>
    <xf numFmtId="0" fontId="259" fillId="0" borderId="0" xfId="0" applyFont="1"/>
    <xf numFmtId="0" fontId="226" fillId="71" borderId="126" xfId="0" applyFont="1" applyFill="1" applyBorder="1"/>
    <xf numFmtId="169" fontId="226" fillId="71" borderId="127" xfId="0" applyNumberFormat="1" applyFont="1" applyFill="1" applyBorder="1"/>
    <xf numFmtId="0" fontId="226" fillId="71" borderId="127" xfId="0" applyFont="1" applyFill="1" applyBorder="1"/>
    <xf numFmtId="169" fontId="226" fillId="71" borderId="128" xfId="0" applyNumberFormat="1" applyFont="1" applyFill="1" applyBorder="1"/>
    <xf numFmtId="0" fontId="226" fillId="71" borderId="62" xfId="0" applyFont="1" applyFill="1" applyBorder="1"/>
    <xf numFmtId="169" fontId="226" fillId="71" borderId="0" xfId="0" applyNumberFormat="1" applyFont="1" applyFill="1"/>
    <xf numFmtId="0" fontId="226" fillId="71" borderId="0" xfId="0" applyFont="1" applyFill="1"/>
    <xf numFmtId="169" fontId="226" fillId="71" borderId="13" xfId="0" applyNumberFormat="1" applyFont="1" applyFill="1" applyBorder="1"/>
    <xf numFmtId="169" fontId="226" fillId="71" borderId="97" xfId="0" applyNumberFormat="1" applyFont="1" applyFill="1" applyBorder="1"/>
    <xf numFmtId="164" fontId="227" fillId="0" borderId="0" xfId="0" applyNumberFormat="1" applyFont="1" applyAlignment="1">
      <alignment horizontal="right"/>
    </xf>
    <xf numFmtId="14" fontId="234" fillId="0" borderId="0" xfId="0" applyNumberFormat="1" applyFont="1" applyAlignment="1">
      <alignment horizontal="right"/>
    </xf>
    <xf numFmtId="0" fontId="234" fillId="0" borderId="0" xfId="0" applyFont="1" applyAlignment="1">
      <alignment horizontal="right" wrapText="1"/>
    </xf>
    <xf numFmtId="192" fontId="227" fillId="0" borderId="0" xfId="0" applyNumberFormat="1" applyFont="1" applyAlignment="1">
      <alignment horizontal="right"/>
    </xf>
    <xf numFmtId="192" fontId="234" fillId="0" borderId="0" xfId="0" applyNumberFormat="1" applyFont="1" applyAlignment="1">
      <alignment horizontal="right"/>
    </xf>
    <xf numFmtId="342" fontId="234" fillId="0" borderId="0" xfId="0" applyNumberFormat="1" applyFont="1" applyAlignment="1">
      <alignment horizontal="right"/>
    </xf>
    <xf numFmtId="165" fontId="227" fillId="0" borderId="0" xfId="12422" applyNumberFormat="1" applyFont="1" applyAlignment="1">
      <alignment horizontal="right"/>
    </xf>
    <xf numFmtId="165" fontId="234" fillId="0" borderId="0" xfId="12422" applyNumberFormat="1" applyFont="1" applyAlignment="1">
      <alignment horizontal="right"/>
    </xf>
    <xf numFmtId="191" fontId="203" fillId="0" borderId="0" xfId="0" applyNumberFormat="1" applyFont="1" applyAlignment="1">
      <alignment horizontal="right"/>
    </xf>
    <xf numFmtId="165" fontId="203" fillId="0" borderId="0" xfId="12422" applyNumberFormat="1" applyFont="1" applyAlignment="1">
      <alignment horizontal="right"/>
    </xf>
    <xf numFmtId="234" fontId="227" fillId="0" borderId="0" xfId="0" applyNumberFormat="1" applyFont="1"/>
    <xf numFmtId="234" fontId="234" fillId="0" borderId="0" xfId="0" applyNumberFormat="1" applyFont="1"/>
    <xf numFmtId="9" fontId="234" fillId="0" borderId="0" xfId="12422" applyFont="1" applyAlignment="1">
      <alignment horizontal="right"/>
    </xf>
    <xf numFmtId="167" fontId="203" fillId="0" borderId="0" xfId="12427" applyNumberFormat="1" applyFont="1" applyAlignment="1">
      <alignment horizontal="right"/>
    </xf>
    <xf numFmtId="243" fontId="234" fillId="0" borderId="0" xfId="20305" applyNumberFormat="1" applyFont="1" applyAlignment="1">
      <alignment horizontal="right"/>
    </xf>
    <xf numFmtId="0" fontId="203" fillId="0" borderId="95" xfId="0" applyFont="1" applyBorder="1"/>
    <xf numFmtId="14" fontId="203" fillId="0" borderId="96" xfId="0" applyNumberFormat="1" applyFont="1" applyBorder="1" applyAlignment="1">
      <alignment horizontal="right"/>
    </xf>
    <xf numFmtId="0" fontId="228" fillId="0" borderId="97" xfId="0" applyFont="1" applyBorder="1" applyAlignment="1">
      <alignment horizontal="right"/>
    </xf>
    <xf numFmtId="14" fontId="224" fillId="72" borderId="99" xfId="0" applyNumberFormat="1" applyFont="1" applyFill="1" applyBorder="1" applyAlignment="1">
      <alignment horizontal="centerContinuous"/>
    </xf>
    <xf numFmtId="0" fontId="224" fillId="72" borderId="100" xfId="0" applyFont="1" applyFill="1" applyBorder="1" applyAlignment="1">
      <alignment horizontal="centerContinuous"/>
    </xf>
    <xf numFmtId="0" fontId="224" fillId="72" borderId="101" xfId="0" applyFont="1" applyFill="1" applyBorder="1" applyAlignment="1">
      <alignment horizontal="centerContinuous"/>
    </xf>
    <xf numFmtId="0" fontId="224" fillId="72" borderId="99" xfId="0" applyFont="1" applyFill="1" applyBorder="1" applyAlignment="1">
      <alignment horizontal="centerContinuous"/>
    </xf>
    <xf numFmtId="9" fontId="228" fillId="0" borderId="161" xfId="0" applyNumberFormat="1" applyFont="1" applyBorder="1" applyAlignment="1">
      <alignment horizontal="right"/>
    </xf>
    <xf numFmtId="0" fontId="235" fillId="0" borderId="118" xfId="0" applyFont="1" applyBorder="1" applyAlignment="1">
      <alignment horizontal="left"/>
    </xf>
    <xf numFmtId="0" fontId="226" fillId="0" borderId="81" xfId="0" applyFont="1" applyBorder="1" applyAlignment="1">
      <alignment horizontal="right" wrapText="1"/>
    </xf>
    <xf numFmtId="0" fontId="226" fillId="0" borderId="67" xfId="0" applyFont="1" applyBorder="1" applyAlignment="1">
      <alignment horizontal="right" wrapText="1"/>
    </xf>
    <xf numFmtId="0" fontId="203" fillId="0" borderId="51" xfId="0" applyFont="1" applyBorder="1" applyAlignment="1">
      <alignment horizontal="right" wrapText="1"/>
    </xf>
    <xf numFmtId="0" fontId="258" fillId="0" borderId="0" xfId="0" applyFont="1"/>
    <xf numFmtId="0" fontId="226" fillId="71" borderId="99" xfId="0" applyFont="1" applyFill="1" applyBorder="1"/>
    <xf numFmtId="0" fontId="226" fillId="71" borderId="117" xfId="0" applyFont="1" applyFill="1" applyBorder="1"/>
    <xf numFmtId="169" fontId="226" fillId="71" borderId="100" xfId="0" applyNumberFormat="1" applyFont="1" applyFill="1" applyBorder="1"/>
    <xf numFmtId="0" fontId="226" fillId="71" borderId="100" xfId="0" applyFont="1" applyFill="1" applyBorder="1"/>
    <xf numFmtId="165" fontId="226" fillId="71" borderId="100" xfId="12422" applyNumberFormat="1" applyFont="1" applyFill="1" applyBorder="1"/>
    <xf numFmtId="165" fontId="226" fillId="71" borderId="121" xfId="12422" applyNumberFormat="1" applyFont="1" applyFill="1" applyBorder="1"/>
    <xf numFmtId="165" fontId="226" fillId="71" borderId="0" xfId="0" applyNumberFormat="1" applyFont="1" applyFill="1"/>
    <xf numFmtId="165" fontId="226" fillId="71" borderId="13" xfId="0" applyNumberFormat="1" applyFont="1" applyFill="1" applyBorder="1"/>
    <xf numFmtId="165" fontId="226" fillId="71" borderId="0" xfId="12422" applyNumberFormat="1" applyFont="1" applyFill="1"/>
    <xf numFmtId="165" fontId="226" fillId="71" borderId="13" xfId="12422" applyNumberFormat="1" applyFont="1" applyFill="1" applyBorder="1"/>
    <xf numFmtId="0" fontId="203" fillId="71" borderId="45" xfId="0" applyFont="1" applyFill="1" applyBorder="1"/>
    <xf numFmtId="165" fontId="226" fillId="71" borderId="45" xfId="0" applyNumberFormat="1" applyFont="1" applyFill="1" applyBorder="1"/>
    <xf numFmtId="165" fontId="226" fillId="71" borderId="97" xfId="0" applyNumberFormat="1" applyFont="1" applyFill="1" applyBorder="1"/>
    <xf numFmtId="0" fontId="235" fillId="0" borderId="119" xfId="0" applyFont="1" applyBorder="1" applyAlignment="1">
      <alignment horizontal="right" wrapText="1"/>
    </xf>
    <xf numFmtId="165" fontId="227" fillId="0" borderId="153" xfId="12422" applyNumberFormat="1" applyFont="1" applyBorder="1"/>
    <xf numFmtId="0" fontId="224" fillId="72" borderId="154" xfId="0" applyFont="1" applyFill="1" applyBorder="1" applyAlignment="1">
      <alignment horizontal="centerContinuous"/>
    </xf>
    <xf numFmtId="0" fontId="224" fillId="72" borderId="151" xfId="0" applyFont="1" applyFill="1" applyBorder="1" applyAlignment="1">
      <alignment horizontal="centerContinuous"/>
    </xf>
    <xf numFmtId="0" fontId="224" fillId="72" borderId="155" xfId="0" applyFont="1" applyFill="1" applyBorder="1" applyAlignment="1">
      <alignment horizontal="centerContinuous"/>
    </xf>
    <xf numFmtId="43" fontId="203" fillId="0" borderId="148" xfId="0" applyNumberFormat="1" applyFont="1" applyBorder="1" applyAlignment="1">
      <alignment horizontal="right"/>
    </xf>
    <xf numFmtId="43" fontId="203" fillId="0" borderId="149" xfId="0" applyNumberFormat="1" applyFont="1" applyBorder="1" applyAlignment="1">
      <alignment horizontal="right"/>
    </xf>
    <xf numFmtId="43" fontId="203" fillId="0" borderId="150" xfId="0" applyNumberFormat="1" applyFont="1" applyBorder="1" applyAlignment="1">
      <alignment horizontal="right"/>
    </xf>
    <xf numFmtId="0" fontId="224" fillId="72" borderId="132" xfId="0" applyFont="1" applyFill="1" applyBorder="1" applyAlignment="1">
      <alignment horizontal="centerContinuous"/>
    </xf>
    <xf numFmtId="0" fontId="224" fillId="72" borderId="45" xfId="0" applyFont="1" applyFill="1" applyBorder="1" applyAlignment="1">
      <alignment horizontal="centerContinuous"/>
    </xf>
    <xf numFmtId="0" fontId="224" fillId="72" borderId="97" xfId="0" applyFont="1" applyFill="1" applyBorder="1" applyAlignment="1">
      <alignment horizontal="centerContinuous"/>
    </xf>
    <xf numFmtId="167" fontId="203" fillId="0" borderId="62" xfId="12427" applyNumberFormat="1" applyFont="1" applyBorder="1"/>
    <xf numFmtId="165" fontId="203" fillId="0" borderId="13" xfId="12422" applyNumberFormat="1" applyFont="1" applyBorder="1"/>
    <xf numFmtId="167" fontId="226" fillId="0" borderId="148" xfId="12427" applyNumberFormat="1" applyFont="1" applyBorder="1"/>
    <xf numFmtId="43" fontId="226" fillId="0" borderId="149" xfId="12427" applyFont="1" applyBorder="1"/>
    <xf numFmtId="165" fontId="226" fillId="0" borderId="149" xfId="12422" applyNumberFormat="1" applyFont="1" applyBorder="1"/>
    <xf numFmtId="165" fontId="226" fillId="0" borderId="150" xfId="12422" applyNumberFormat="1" applyFont="1" applyBorder="1"/>
    <xf numFmtId="165" fontId="227" fillId="0" borderId="0" xfId="12422" applyNumberFormat="1" applyFont="1"/>
    <xf numFmtId="0" fontId="224" fillId="72" borderId="0" xfId="0" applyFont="1" applyFill="1" applyAlignment="1">
      <alignment horizontal="centerContinuous"/>
    </xf>
    <xf numFmtId="43" fontId="203" fillId="0" borderId="0" xfId="0" applyNumberFormat="1" applyFont="1" applyAlignment="1">
      <alignment horizontal="right"/>
    </xf>
    <xf numFmtId="43" fontId="226" fillId="0" borderId="0" xfId="12427" applyFont="1"/>
    <xf numFmtId="165" fontId="226" fillId="0" borderId="0" xfId="12422" applyNumberFormat="1" applyFont="1"/>
    <xf numFmtId="0" fontId="203" fillId="0" borderId="13" xfId="0" applyFont="1" applyBorder="1" applyAlignment="1">
      <alignment horizontal="right"/>
    </xf>
    <xf numFmtId="0" fontId="203" fillId="0" borderId="11" xfId="0" applyFont="1" applyBorder="1" applyAlignment="1">
      <alignment horizontal="right"/>
    </xf>
    <xf numFmtId="10" fontId="224" fillId="72" borderId="5" xfId="0" applyNumberFormat="1" applyFont="1" applyFill="1" applyBorder="1" applyAlignment="1">
      <alignment horizontal="centerContinuous"/>
    </xf>
    <xf numFmtId="0" fontId="235" fillId="0" borderId="16" xfId="0" applyFont="1" applyBorder="1" applyAlignment="1">
      <alignment horizontal="left" wrapText="1"/>
    </xf>
    <xf numFmtId="0" fontId="235" fillId="0" borderId="4" xfId="0" applyFont="1" applyBorder="1" applyAlignment="1">
      <alignment horizontal="right" wrapText="1"/>
    </xf>
    <xf numFmtId="0" fontId="235" fillId="0" borderId="5" xfId="0" applyFont="1" applyBorder="1" applyAlignment="1">
      <alignment horizontal="right" wrapText="1"/>
    </xf>
    <xf numFmtId="0" fontId="235" fillId="0" borderId="6" xfId="0" applyFont="1" applyBorder="1" applyAlignment="1">
      <alignment horizontal="right" wrapText="1"/>
    </xf>
    <xf numFmtId="0" fontId="235" fillId="0" borderId="16" xfId="0" applyFont="1" applyBorder="1" applyAlignment="1">
      <alignment horizontal="right" wrapText="1"/>
    </xf>
    <xf numFmtId="0" fontId="226" fillId="0" borderId="0" xfId="0" applyFont="1" applyAlignment="1">
      <alignment wrapText="1"/>
    </xf>
    <xf numFmtId="10" fontId="203" fillId="0" borderId="0" xfId="0" applyNumberFormat="1" applyFont="1" applyAlignment="1">
      <alignment horizontal="right"/>
    </xf>
    <xf numFmtId="10" fontId="234" fillId="0" borderId="0" xfId="0" applyNumberFormat="1" applyFont="1"/>
    <xf numFmtId="165" fontId="234" fillId="0" borderId="0" xfId="0" applyNumberFormat="1" applyFont="1" applyAlignment="1">
      <alignment horizontal="right"/>
    </xf>
    <xf numFmtId="168" fontId="203" fillId="0" borderId="0" xfId="0" applyNumberFormat="1" applyFont="1" applyAlignment="1">
      <alignment horizontal="right"/>
    </xf>
    <xf numFmtId="168" fontId="234" fillId="0" borderId="0" xfId="0" applyNumberFormat="1" applyFont="1" applyAlignment="1">
      <alignment horizontal="right"/>
    </xf>
    <xf numFmtId="169" fontId="245" fillId="0" borderId="0" xfId="0" applyNumberFormat="1" applyFont="1"/>
    <xf numFmtId="165" fontId="226" fillId="71" borderId="127" xfId="0" applyNumberFormat="1" applyFont="1" applyFill="1" applyBorder="1"/>
    <xf numFmtId="10" fontId="226" fillId="71" borderId="127" xfId="0" applyNumberFormat="1" applyFont="1" applyFill="1" applyBorder="1"/>
    <xf numFmtId="10" fontId="235" fillId="71" borderId="127" xfId="0" applyNumberFormat="1" applyFont="1" applyFill="1" applyBorder="1"/>
    <xf numFmtId="165" fontId="235" fillId="71" borderId="127" xfId="0" applyNumberFormat="1" applyFont="1" applyFill="1" applyBorder="1"/>
    <xf numFmtId="0" fontId="235" fillId="71" borderId="127" xfId="0" applyFont="1" applyFill="1" applyBorder="1"/>
    <xf numFmtId="168" fontId="226" fillId="71" borderId="127" xfId="0" applyNumberFormat="1" applyFont="1" applyFill="1" applyBorder="1" applyAlignment="1">
      <alignment horizontal="right"/>
    </xf>
    <xf numFmtId="168" fontId="235" fillId="71" borderId="127" xfId="0" applyNumberFormat="1" applyFont="1" applyFill="1" applyBorder="1" applyAlignment="1">
      <alignment horizontal="right"/>
    </xf>
    <xf numFmtId="165" fontId="235" fillId="71" borderId="128" xfId="0" applyNumberFormat="1" applyFont="1" applyFill="1" applyBorder="1" applyAlignment="1">
      <alignment horizontal="right"/>
    </xf>
    <xf numFmtId="165" fontId="203" fillId="0" borderId="126" xfId="12422" applyNumberFormat="1" applyFont="1" applyBorder="1"/>
    <xf numFmtId="0" fontId="203" fillId="0" borderId="127" xfId="0" applyFont="1" applyBorder="1"/>
    <xf numFmtId="10" fontId="226" fillId="71" borderId="0" xfId="0" applyNumberFormat="1" applyFont="1" applyFill="1"/>
    <xf numFmtId="10" fontId="235" fillId="71" borderId="0" xfId="0" applyNumberFormat="1" applyFont="1" applyFill="1"/>
    <xf numFmtId="165" fontId="235" fillId="71" borderId="0" xfId="0" applyNumberFormat="1" applyFont="1" applyFill="1"/>
    <xf numFmtId="0" fontId="235" fillId="71" borderId="0" xfId="0" applyFont="1" applyFill="1"/>
    <xf numFmtId="168" fontId="226" fillId="71" borderId="0" xfId="0" applyNumberFormat="1" applyFont="1" applyFill="1" applyAlignment="1">
      <alignment horizontal="right"/>
    </xf>
    <xf numFmtId="168" fontId="235" fillId="71" borderId="0" xfId="0" applyNumberFormat="1" applyFont="1" applyFill="1" applyAlignment="1">
      <alignment horizontal="right"/>
    </xf>
    <xf numFmtId="165" fontId="235" fillId="71" borderId="13" xfId="0" applyNumberFormat="1" applyFont="1" applyFill="1" applyBorder="1" applyAlignment="1">
      <alignment horizontal="right"/>
    </xf>
    <xf numFmtId="165" fontId="203" fillId="0" borderId="62" xfId="12422" applyNumberFormat="1" applyFont="1" applyBorder="1"/>
    <xf numFmtId="0" fontId="260" fillId="0" borderId="13" xfId="0" applyFont="1" applyBorder="1"/>
    <xf numFmtId="0" fontId="225" fillId="0" borderId="62" xfId="0" applyFont="1" applyBorder="1"/>
    <xf numFmtId="0" fontId="225" fillId="0" borderId="10" xfId="0" applyFont="1" applyBorder="1"/>
    <xf numFmtId="10" fontId="226" fillId="71" borderId="45" xfId="0" applyNumberFormat="1" applyFont="1" applyFill="1" applyBorder="1"/>
    <xf numFmtId="10" fontId="235" fillId="71" borderId="45" xfId="0" applyNumberFormat="1" applyFont="1" applyFill="1" applyBorder="1"/>
    <xf numFmtId="165" fontId="235" fillId="71" borderId="45" xfId="0" applyNumberFormat="1" applyFont="1" applyFill="1" applyBorder="1"/>
    <xf numFmtId="0" fontId="235" fillId="71" borderId="45" xfId="0" applyFont="1" applyFill="1" applyBorder="1"/>
    <xf numFmtId="168" fontId="226" fillId="71" borderId="45" xfId="0" applyNumberFormat="1" applyFont="1" applyFill="1" applyBorder="1" applyAlignment="1">
      <alignment horizontal="right"/>
    </xf>
    <xf numFmtId="168" fontId="235" fillId="71" borderId="45" xfId="0" applyNumberFormat="1" applyFont="1" applyFill="1" applyBorder="1" applyAlignment="1">
      <alignment horizontal="right"/>
    </xf>
    <xf numFmtId="165" fontId="235" fillId="71" borderId="97" xfId="0" applyNumberFormat="1" applyFont="1" applyFill="1" applyBorder="1" applyAlignment="1">
      <alignment horizontal="right"/>
    </xf>
    <xf numFmtId="0" fontId="237" fillId="0" borderId="153" xfId="0" applyFont="1" applyBorder="1"/>
    <xf numFmtId="0" fontId="226" fillId="71" borderId="4" xfId="0" applyFont="1" applyFill="1" applyBorder="1" applyAlignment="1">
      <alignment horizontal="left"/>
    </xf>
    <xf numFmtId="0" fontId="203" fillId="71" borderId="5" xfId="0" quotePrefix="1" applyFont="1" applyFill="1" applyBorder="1" applyAlignment="1">
      <alignment horizontal="center"/>
    </xf>
    <xf numFmtId="0" fontId="226" fillId="71" borderId="5" xfId="0" applyFont="1" applyFill="1" applyBorder="1"/>
    <xf numFmtId="169" fontId="261" fillId="71" borderId="5" xfId="0" applyNumberFormat="1" applyFont="1" applyFill="1" applyBorder="1"/>
    <xf numFmtId="167" fontId="226" fillId="71" borderId="5" xfId="12427" applyNumberFormat="1" applyFont="1" applyFill="1" applyBorder="1"/>
    <xf numFmtId="165" fontId="261" fillId="71" borderId="5" xfId="0" applyNumberFormat="1" applyFont="1" applyFill="1" applyBorder="1"/>
    <xf numFmtId="169" fontId="226" fillId="71" borderId="5" xfId="0" applyNumberFormat="1" applyFont="1" applyFill="1" applyBorder="1"/>
    <xf numFmtId="10" fontId="226" fillId="71" borderId="5" xfId="0" applyNumberFormat="1" applyFont="1" applyFill="1" applyBorder="1"/>
    <xf numFmtId="0" fontId="235" fillId="71" borderId="5" xfId="0" applyFont="1" applyFill="1" applyBorder="1"/>
    <xf numFmtId="165" fontId="240" fillId="71" borderId="35" xfId="0" applyNumberFormat="1" applyFont="1" applyFill="1" applyBorder="1"/>
    <xf numFmtId="168" fontId="226" fillId="71" borderId="5" xfId="0" applyNumberFormat="1" applyFont="1" applyFill="1" applyBorder="1" applyAlignment="1">
      <alignment horizontal="right"/>
    </xf>
    <xf numFmtId="168" fontId="235" fillId="71" borderId="5" xfId="0" applyNumberFormat="1" applyFont="1" applyFill="1" applyBorder="1" applyAlignment="1">
      <alignment horizontal="right"/>
    </xf>
    <xf numFmtId="165" fontId="235" fillId="71" borderId="6" xfId="0" applyNumberFormat="1" applyFont="1" applyFill="1" applyBorder="1" applyAlignment="1">
      <alignment horizontal="right"/>
    </xf>
    <xf numFmtId="169" fontId="235" fillId="71" borderId="5" xfId="0" applyNumberFormat="1" applyFont="1" applyFill="1" applyBorder="1"/>
    <xf numFmtId="165" fontId="235" fillId="71" borderId="5" xfId="0" applyNumberFormat="1" applyFont="1" applyFill="1" applyBorder="1"/>
    <xf numFmtId="0" fontId="224" fillId="72" borderId="149" xfId="0" applyFont="1" applyFill="1" applyBorder="1" applyAlignment="1">
      <alignment horizontal="centerContinuous"/>
    </xf>
    <xf numFmtId="0" fontId="224" fillId="72" borderId="150" xfId="0" applyFont="1" applyFill="1" applyBorder="1" applyAlignment="1">
      <alignment horizontal="centerContinuous"/>
    </xf>
    <xf numFmtId="0" fontId="224" fillId="72" borderId="16" xfId="0" applyFont="1" applyFill="1" applyBorder="1" applyAlignment="1">
      <alignment horizontal="center"/>
    </xf>
    <xf numFmtId="0" fontId="203" fillId="0" borderId="154" xfId="0" applyFont="1" applyBorder="1"/>
    <xf numFmtId="10" fontId="229" fillId="0" borderId="13" xfId="0" applyNumberFormat="1" applyFont="1" applyBorder="1" applyAlignment="1">
      <alignment horizontal="right"/>
    </xf>
    <xf numFmtId="10" fontId="233" fillId="0" borderId="13" xfId="0" applyNumberFormat="1" applyFont="1" applyBorder="1"/>
    <xf numFmtId="165" fontId="229" fillId="0" borderId="13" xfId="0" applyNumberFormat="1" applyFont="1" applyBorder="1"/>
    <xf numFmtId="43" fontId="234" fillId="0" borderId="0" xfId="0" applyNumberFormat="1" applyFont="1" applyAlignment="1">
      <alignment horizontal="center"/>
    </xf>
    <xf numFmtId="168" fontId="203" fillId="0" borderId="13" xfId="0" applyNumberFormat="1" applyFont="1" applyBorder="1"/>
    <xf numFmtId="170" fontId="203" fillId="0" borderId="13" xfId="0" applyNumberFormat="1" applyFont="1" applyBorder="1"/>
    <xf numFmtId="0" fontId="226" fillId="0" borderId="132" xfId="0" applyFont="1" applyBorder="1"/>
    <xf numFmtId="0" fontId="226" fillId="0" borderId="45" xfId="0" applyFont="1" applyBorder="1"/>
    <xf numFmtId="165" fontId="226" fillId="0" borderId="45" xfId="0" applyNumberFormat="1" applyFont="1" applyBorder="1"/>
    <xf numFmtId="165" fontId="226" fillId="0" borderId="97" xfId="0" applyNumberFormat="1" applyFont="1" applyBorder="1"/>
    <xf numFmtId="0" fontId="224" fillId="72" borderId="148" xfId="0" applyFont="1" applyFill="1" applyBorder="1" applyAlignment="1">
      <alignment horizontal="centerContinuous"/>
    </xf>
    <xf numFmtId="8" fontId="203" fillId="0" borderId="155" xfId="0" applyNumberFormat="1" applyFont="1" applyBorder="1"/>
    <xf numFmtId="10" fontId="203" fillId="0" borderId="13" xfId="0" applyNumberFormat="1" applyFont="1" applyBorder="1"/>
    <xf numFmtId="169" fontId="203" fillId="0" borderId="155" xfId="0" applyNumberFormat="1" applyFont="1" applyBorder="1"/>
    <xf numFmtId="0" fontId="226" fillId="71" borderId="148" xfId="0" applyFont="1" applyFill="1" applyBorder="1"/>
    <xf numFmtId="0" fontId="226" fillId="71" borderId="149" xfId="0" applyFont="1" applyFill="1" applyBorder="1"/>
    <xf numFmtId="165" fontId="235" fillId="71" borderId="150" xfId="12422" applyNumberFormat="1" applyFont="1" applyFill="1" applyBorder="1"/>
    <xf numFmtId="0" fontId="203" fillId="0" borderId="0" xfId="0" quotePrefix="1" applyFont="1" applyAlignment="1">
      <alignment horizontal="left" indent="1"/>
    </xf>
    <xf numFmtId="167" fontId="228" fillId="0" borderId="0" xfId="12427" applyNumberFormat="1" applyFont="1"/>
    <xf numFmtId="0" fontId="234" fillId="0" borderId="31" xfId="0" applyFont="1" applyBorder="1" applyAlignment="1">
      <alignment horizontal="center"/>
    </xf>
    <xf numFmtId="0" fontId="225" fillId="0" borderId="32" xfId="0" applyFont="1" applyBorder="1"/>
    <xf numFmtId="43" fontId="243" fillId="87" borderId="168" xfId="0" applyNumberFormat="1" applyFont="1" applyFill="1" applyBorder="1"/>
    <xf numFmtId="0" fontId="226" fillId="0" borderId="163" xfId="0" applyFont="1" applyBorder="1"/>
    <xf numFmtId="0" fontId="203" fillId="0" borderId="163" xfId="0" applyFont="1" applyBorder="1"/>
    <xf numFmtId="0" fontId="230" fillId="0" borderId="0" xfId="0" applyFont="1" applyAlignment="1">
      <alignment horizontal="center"/>
    </xf>
    <xf numFmtId="0" fontId="203" fillId="0" borderId="45" xfId="0" applyFont="1" applyBorder="1" applyAlignment="1">
      <alignment horizontal="left" indent="1"/>
    </xf>
    <xf numFmtId="0" fontId="243" fillId="72" borderId="167" xfId="0" applyFont="1" applyFill="1" applyBorder="1"/>
    <xf numFmtId="0" fontId="243" fillId="72" borderId="168" xfId="0" applyFont="1" applyFill="1" applyBorder="1"/>
    <xf numFmtId="0" fontId="243" fillId="72" borderId="169" xfId="0" applyFont="1" applyFill="1" applyBorder="1"/>
    <xf numFmtId="43" fontId="203" fillId="0" borderId="0" xfId="12427" applyFont="1"/>
    <xf numFmtId="43" fontId="262" fillId="0" borderId="0" xfId="11155" applyFont="1"/>
    <xf numFmtId="0" fontId="224" fillId="72" borderId="148" xfId="0" applyFont="1" applyFill="1" applyBorder="1" applyAlignment="1">
      <alignment wrapText="1"/>
    </xf>
    <xf numFmtId="0" fontId="224" fillId="72" borderId="149" xfId="0" applyFont="1" applyFill="1" applyBorder="1" applyAlignment="1">
      <alignment wrapText="1"/>
    </xf>
    <xf numFmtId="0" fontId="224" fillId="72" borderId="149" xfId="0" applyFont="1" applyFill="1" applyBorder="1" applyAlignment="1">
      <alignment horizontal="right" wrapText="1"/>
    </xf>
    <xf numFmtId="0" fontId="224" fillId="72" borderId="150" xfId="0" applyFont="1" applyFill="1" applyBorder="1" applyAlignment="1">
      <alignment horizontal="right" wrapText="1"/>
    </xf>
    <xf numFmtId="8" fontId="227" fillId="0" borderId="0" xfId="0" applyNumberFormat="1" applyFont="1" applyAlignment="1">
      <alignment horizontal="right"/>
    </xf>
    <xf numFmtId="0" fontId="203" fillId="73" borderId="0" xfId="0" applyFont="1" applyFill="1" applyAlignment="1">
      <alignment horizontal="center"/>
    </xf>
    <xf numFmtId="0" fontId="203" fillId="73" borderId="45" xfId="0" applyFont="1" applyFill="1" applyBorder="1" applyAlignment="1">
      <alignment horizontal="center"/>
    </xf>
    <xf numFmtId="0" fontId="203" fillId="73" borderId="151" xfId="0" applyFont="1" applyFill="1" applyBorder="1" applyAlignment="1">
      <alignment horizontal="center"/>
    </xf>
    <xf numFmtId="167" fontId="203" fillId="0" borderId="151" xfId="12427" applyNumberFormat="1" applyFont="1" applyBorder="1"/>
    <xf numFmtId="0" fontId="226" fillId="0" borderId="152" xfId="0" applyFont="1" applyBorder="1" applyAlignment="1">
      <alignment horizontal="right"/>
    </xf>
    <xf numFmtId="167" fontId="227" fillId="0" borderId="133" xfId="12427" applyNumberFormat="1" applyFont="1" applyBorder="1"/>
    <xf numFmtId="8" fontId="228" fillId="0" borderId="0" xfId="0" applyNumberFormat="1" applyFont="1"/>
    <xf numFmtId="0" fontId="235" fillId="0" borderId="148" xfId="0" applyFont="1" applyBorder="1"/>
    <xf numFmtId="0" fontId="226" fillId="0" borderId="149" xfId="0" applyFont="1" applyBorder="1"/>
    <xf numFmtId="0" fontId="226" fillId="0" borderId="150" xfId="0" applyFont="1" applyBorder="1"/>
    <xf numFmtId="0" fontId="226" fillId="0" borderId="0" xfId="20401" applyFont="1" applyAlignment="1">
      <alignment horizontal="left" indent="1"/>
    </xf>
    <xf numFmtId="248" fontId="228" fillId="0" borderId="0" xfId="12427" applyNumberFormat="1" applyFont="1"/>
    <xf numFmtId="0" fontId="230" fillId="0" borderId="0" xfId="20401" applyFont="1" applyAlignment="1">
      <alignment horizontal="left"/>
    </xf>
    <xf numFmtId="0" fontId="203" fillId="0" borderId="0" xfId="20401" quotePrefix="1" applyFont="1" applyAlignment="1">
      <alignment horizontal="left"/>
    </xf>
    <xf numFmtId="0" fontId="203" fillId="0" borderId="0" xfId="0" applyFont="1" applyAlignment="1">
      <alignment vertical="top"/>
    </xf>
    <xf numFmtId="0" fontId="203" fillId="0" borderId="0" xfId="0" applyFont="1" applyAlignment="1">
      <alignment horizontal="left" indent="3"/>
    </xf>
    <xf numFmtId="43" fontId="222" fillId="68" borderId="56" xfId="11155" applyFont="1" applyFill="1" applyBorder="1" applyAlignment="1">
      <alignment horizontal="center"/>
    </xf>
    <xf numFmtId="43" fontId="222" fillId="68" borderId="57" xfId="11155" applyFont="1" applyFill="1" applyBorder="1" applyAlignment="1">
      <alignment horizontal="center"/>
    </xf>
    <xf numFmtId="0" fontId="226" fillId="0" borderId="0" xfId="0" applyFont="1" applyAlignment="1">
      <alignment horizontal="center" vertical="center"/>
    </xf>
    <xf numFmtId="0" fontId="226" fillId="74" borderId="0" xfId="0" applyFont="1" applyFill="1" applyAlignment="1">
      <alignment horizontal="left"/>
    </xf>
    <xf numFmtId="0" fontId="226" fillId="74" borderId="0" xfId="0" applyFont="1" applyFill="1" applyAlignment="1">
      <alignment horizontal="centerContinuous"/>
    </xf>
    <xf numFmtId="0" fontId="224" fillId="72" borderId="80" xfId="0" applyFont="1" applyFill="1" applyBorder="1" applyAlignment="1">
      <alignment wrapText="1"/>
    </xf>
    <xf numFmtId="0" fontId="224" fillId="72" borderId="67" xfId="0" applyFont="1" applyFill="1" applyBorder="1" applyAlignment="1">
      <alignment wrapText="1"/>
    </xf>
    <xf numFmtId="0" fontId="224" fillId="72" borderId="79" xfId="0" applyFont="1" applyFill="1" applyBorder="1" applyAlignment="1">
      <alignment horizontal="right" wrapText="1"/>
    </xf>
    <xf numFmtId="0" fontId="224" fillId="0" borderId="0" xfId="0" applyFont="1" applyAlignment="1">
      <alignment horizontal="center" wrapText="1"/>
    </xf>
    <xf numFmtId="0" fontId="224" fillId="72" borderId="80" xfId="0" applyFont="1" applyFill="1" applyBorder="1" applyAlignment="1">
      <alignment horizontal="centerContinuous" wrapText="1"/>
    </xf>
    <xf numFmtId="0" fontId="224" fillId="72" borderId="67" xfId="0" applyFont="1" applyFill="1" applyBorder="1" applyAlignment="1">
      <alignment horizontal="centerContinuous" wrapText="1"/>
    </xf>
    <xf numFmtId="165" fontId="234" fillId="0" borderId="0" xfId="12422" applyNumberFormat="1" applyFont="1" applyAlignment="1">
      <alignment vertical="top"/>
    </xf>
    <xf numFmtId="168" fontId="226" fillId="0" borderId="18" xfId="0" applyNumberFormat="1" applyFont="1" applyBorder="1"/>
    <xf numFmtId="168" fontId="226" fillId="0" borderId="18" xfId="0" applyNumberFormat="1" applyFont="1" applyBorder="1" applyAlignment="1">
      <alignment horizontal="right" wrapText="1"/>
    </xf>
    <xf numFmtId="0" fontId="226" fillId="74" borderId="18" xfId="0" applyFont="1" applyFill="1" applyBorder="1"/>
    <xf numFmtId="165" fontId="228" fillId="0" borderId="0" xfId="0" applyNumberFormat="1" applyFont="1" applyAlignment="1">
      <alignment horizontal="right" indent="1"/>
    </xf>
    <xf numFmtId="0" fontId="203" fillId="0" borderId="0" xfId="0" applyFont="1" applyAlignment="1">
      <alignment horizontal="right" indent="1"/>
    </xf>
    <xf numFmtId="0" fontId="226" fillId="0" borderId="18" xfId="0" applyFont="1" applyBorder="1" applyAlignment="1">
      <alignment horizontal="right" indent="1"/>
    </xf>
    <xf numFmtId="0" fontId="224" fillId="72" borderId="80" xfId="0" applyFont="1" applyFill="1" applyBorder="1"/>
    <xf numFmtId="0" fontId="224" fillId="72" borderId="67" xfId="0" applyFont="1" applyFill="1" applyBorder="1" applyAlignment="1">
      <alignment horizontal="left" wrapText="1"/>
    </xf>
    <xf numFmtId="0" fontId="224" fillId="72" borderId="80" xfId="0" applyFont="1" applyFill="1" applyBorder="1" applyAlignment="1">
      <alignment horizontal="left" wrapText="1"/>
    </xf>
    <xf numFmtId="0" fontId="226" fillId="71" borderId="68" xfId="0" applyFont="1" applyFill="1" applyBorder="1"/>
    <xf numFmtId="0" fontId="203" fillId="71" borderId="100" xfId="0" applyFont="1" applyFill="1" applyBorder="1"/>
    <xf numFmtId="165" fontId="203" fillId="71" borderId="100" xfId="0" applyNumberFormat="1" applyFont="1" applyFill="1" applyBorder="1"/>
    <xf numFmtId="165" fontId="203" fillId="71" borderId="100" xfId="0" quotePrefix="1" applyNumberFormat="1" applyFont="1" applyFill="1" applyBorder="1"/>
    <xf numFmtId="165" fontId="231" fillId="71" borderId="101" xfId="0" applyNumberFormat="1" applyFont="1" applyFill="1" applyBorder="1"/>
    <xf numFmtId="0" fontId="203" fillId="71" borderId="100" xfId="0" quotePrefix="1" applyFont="1" applyFill="1" applyBorder="1"/>
    <xf numFmtId="165" fontId="226" fillId="71" borderId="45" xfId="12422" applyNumberFormat="1" applyFont="1" applyFill="1" applyBorder="1"/>
    <xf numFmtId="0" fontId="226" fillId="0" borderId="0" xfId="20385" applyFont="1" applyAlignment="1">
      <alignment vertical="top"/>
    </xf>
    <xf numFmtId="0" fontId="203" fillId="0" borderId="0" xfId="20385" applyFont="1"/>
    <xf numFmtId="0" fontId="203" fillId="0" borderId="0" xfId="20385" applyFont="1" applyAlignment="1">
      <alignment horizontal="right" vertical="top"/>
    </xf>
    <xf numFmtId="0" fontId="203" fillId="0" borderId="0" xfId="20385" applyFont="1" applyAlignment="1">
      <alignment horizontal="right"/>
    </xf>
    <xf numFmtId="0" fontId="235" fillId="0" borderId="126" xfId="20385" applyFont="1" applyBorder="1"/>
    <xf numFmtId="0" fontId="235" fillId="0" borderId="128" xfId="20385" applyFont="1" applyBorder="1"/>
    <xf numFmtId="14" fontId="203" fillId="0" borderId="0" xfId="20385" applyNumberFormat="1" applyFont="1" applyAlignment="1">
      <alignment horizontal="center"/>
    </xf>
    <xf numFmtId="0" fontId="203" fillId="0" borderId="0" xfId="20385" applyFont="1" applyAlignment="1">
      <alignment horizontal="left"/>
    </xf>
    <xf numFmtId="248" fontId="203" fillId="0" borderId="0" xfId="20386" applyNumberFormat="1" applyFont="1" applyAlignment="1">
      <alignment horizontal="right"/>
    </xf>
    <xf numFmtId="43" fontId="225" fillId="0" borderId="0" xfId="12427" applyFont="1"/>
    <xf numFmtId="43" fontId="235" fillId="0" borderId="10" xfId="20385" applyNumberFormat="1" applyFont="1" applyBorder="1"/>
    <xf numFmtId="164" fontId="235" fillId="0" borderId="97" xfId="20385" applyNumberFormat="1" applyFont="1" applyBorder="1"/>
    <xf numFmtId="43" fontId="225" fillId="0" borderId="0" xfId="20385" applyNumberFormat="1" applyFont="1"/>
    <xf numFmtId="0" fontId="225" fillId="0" borderId="0" xfId="20385" applyFont="1"/>
    <xf numFmtId="0" fontId="203" fillId="74" borderId="0" xfId="20385" applyFont="1" applyFill="1" applyAlignment="1">
      <alignment horizontal="left"/>
    </xf>
    <xf numFmtId="0" fontId="203" fillId="74" borderId="0" xfId="20385" applyFont="1" applyFill="1" applyAlignment="1">
      <alignment horizontal="right" vertical="top"/>
    </xf>
    <xf numFmtId="357" fontId="203" fillId="0" borderId="0" xfId="20385" applyNumberFormat="1" applyFont="1" applyAlignment="1">
      <alignment horizontal="right" vertical="top"/>
    </xf>
    <xf numFmtId="42" fontId="203" fillId="0" borderId="0" xfId="20385" applyNumberFormat="1" applyFont="1" applyAlignment="1">
      <alignment horizontal="right" vertical="top"/>
    </xf>
    <xf numFmtId="0" fontId="225" fillId="0" borderId="0" xfId="20385" applyFont="1" applyAlignment="1">
      <alignment horizontal="right"/>
    </xf>
    <xf numFmtId="0" fontId="203" fillId="0" borderId="0" xfId="20396" applyFont="1"/>
    <xf numFmtId="0" fontId="224" fillId="72" borderId="80" xfId="0" applyFont="1" applyFill="1" applyBorder="1" applyAlignment="1">
      <alignment horizontal="left"/>
    </xf>
    <xf numFmtId="0" fontId="224" fillId="72" borderId="136" xfId="0" applyFont="1" applyFill="1" applyBorder="1" applyAlignment="1">
      <alignment horizontal="center"/>
    </xf>
    <xf numFmtId="0" fontId="224" fillId="72" borderId="137" xfId="0" applyFont="1" applyFill="1" applyBorder="1" applyAlignment="1">
      <alignment horizontal="center"/>
    </xf>
    <xf numFmtId="248" fontId="203" fillId="0" borderId="0" xfId="20397" applyNumberFormat="1" applyFont="1" applyAlignment="1">
      <alignment horizontal="right"/>
    </xf>
    <xf numFmtId="0" fontId="243" fillId="90" borderId="0" xfId="20396" applyFont="1" applyFill="1"/>
    <xf numFmtId="0" fontId="203" fillId="0" borderId="0" xfId="20396" applyFont="1" applyAlignment="1">
      <alignment horizontal="center" wrapText="1"/>
    </xf>
    <xf numFmtId="0" fontId="226" fillId="91" borderId="147" xfId="20396" applyFont="1" applyFill="1" applyBorder="1" applyAlignment="1">
      <alignment horizontal="center" wrapText="1"/>
    </xf>
    <xf numFmtId="0" fontId="226" fillId="91" borderId="145" xfId="20396" applyFont="1" applyFill="1" applyBorder="1" applyAlignment="1">
      <alignment horizontal="center" wrapText="1"/>
    </xf>
    <xf numFmtId="0" fontId="226" fillId="91" borderId="45" xfId="20396" applyFont="1" applyFill="1" applyBorder="1" applyAlignment="1">
      <alignment horizontal="center" wrapText="1"/>
    </xf>
    <xf numFmtId="0" fontId="226" fillId="91" borderId="45" xfId="20396" applyFont="1" applyFill="1" applyBorder="1" applyAlignment="1">
      <alignment horizontal="right" wrapText="1"/>
    </xf>
    <xf numFmtId="248" fontId="226" fillId="0" borderId="0" xfId="20396" applyNumberFormat="1" applyFont="1" applyAlignment="1">
      <alignment horizontal="center" wrapText="1"/>
    </xf>
    <xf numFmtId="0" fontId="226" fillId="92" borderId="0" xfId="20396" applyFont="1" applyFill="1" applyAlignment="1">
      <alignment horizontal="center" wrapText="1"/>
    </xf>
    <xf numFmtId="0" fontId="228" fillId="0" borderId="0" xfId="20398" applyFont="1" applyAlignment="1">
      <alignment horizontal="center"/>
    </xf>
    <xf numFmtId="0" fontId="203" fillId="0" borderId="0" xfId="20398" applyFont="1" applyAlignment="1">
      <alignment horizontal="center"/>
    </xf>
    <xf numFmtId="164" fontId="203" fillId="0" borderId="0" xfId="20396" applyNumberFormat="1" applyFont="1" applyAlignment="1">
      <alignment horizontal="center"/>
    </xf>
    <xf numFmtId="243" fontId="203" fillId="0" borderId="0" xfId="0" applyNumberFormat="1" applyFont="1"/>
    <xf numFmtId="243" fontId="203" fillId="0" borderId="0" xfId="0" applyNumberFormat="1" applyFont="1" applyAlignment="1">
      <alignment horizontal="right"/>
    </xf>
    <xf numFmtId="248" fontId="203" fillId="0" borderId="0" xfId="12427" applyNumberFormat="1" applyFont="1" applyAlignment="1">
      <alignment horizontal="center"/>
    </xf>
    <xf numFmtId="248" fontId="203" fillId="0" borderId="0" xfId="12427" applyNumberFormat="1" applyFont="1"/>
    <xf numFmtId="248" fontId="203" fillId="0" borderId="0" xfId="12427" applyNumberFormat="1" applyFont="1" applyAlignment="1">
      <alignment horizontal="right"/>
    </xf>
    <xf numFmtId="248" fontId="203" fillId="74" borderId="0" xfId="12427" applyNumberFormat="1" applyFont="1" applyFill="1" applyAlignment="1">
      <alignment horizontal="right"/>
    </xf>
    <xf numFmtId="164" fontId="203" fillId="74" borderId="0" xfId="20396" applyNumberFormat="1" applyFont="1" applyFill="1" applyAlignment="1">
      <alignment horizontal="left"/>
    </xf>
    <xf numFmtId="248" fontId="203" fillId="0" borderId="0" xfId="20396" applyNumberFormat="1" applyFont="1"/>
    <xf numFmtId="0" fontId="203" fillId="0" borderId="0" xfId="20396" applyFont="1" applyAlignment="1">
      <alignment horizontal="left"/>
    </xf>
    <xf numFmtId="248" fontId="203" fillId="0" borderId="0" xfId="20396" applyNumberFormat="1" applyFont="1" applyAlignment="1">
      <alignment horizontal="center" wrapText="1"/>
    </xf>
    <xf numFmtId="248" fontId="234" fillId="0" borderId="0" xfId="12427" applyNumberFormat="1" applyFont="1" applyAlignment="1">
      <alignment horizontal="center" wrapText="1"/>
    </xf>
    <xf numFmtId="248" fontId="234" fillId="74" borderId="0" xfId="20397" applyNumberFormat="1" applyFont="1" applyFill="1" applyAlignment="1">
      <alignment horizontal="right"/>
    </xf>
    <xf numFmtId="0" fontId="203" fillId="0" borderId="0" xfId="20396" applyFont="1" applyAlignment="1">
      <alignment wrapText="1"/>
    </xf>
    <xf numFmtId="0" fontId="226" fillId="0" borderId="0" xfId="20396" applyFont="1" applyAlignment="1">
      <alignment horizontal="left" wrapText="1"/>
    </xf>
    <xf numFmtId="167" fontId="203" fillId="0" borderId="0" xfId="12427" applyNumberFormat="1" applyFont="1" applyAlignment="1">
      <alignment horizontal="center" wrapText="1"/>
    </xf>
    <xf numFmtId="248" fontId="203" fillId="0" borderId="0" xfId="20397" applyNumberFormat="1" applyFont="1" applyAlignment="1">
      <alignment horizontal="center"/>
    </xf>
    <xf numFmtId="248" fontId="234" fillId="0" borderId="0" xfId="20397" applyNumberFormat="1" applyFont="1" applyAlignment="1">
      <alignment horizontal="right"/>
    </xf>
    <xf numFmtId="43" fontId="203" fillId="74" borderId="0" xfId="20397" applyFont="1" applyFill="1" applyAlignment="1">
      <alignment horizontal="right"/>
    </xf>
    <xf numFmtId="165" fontId="203" fillId="74" borderId="0" xfId="20397" applyNumberFormat="1" applyFont="1" applyFill="1" applyAlignment="1">
      <alignment horizontal="right"/>
    </xf>
    <xf numFmtId="243" fontId="203" fillId="0" borderId="0" xfId="20397" applyNumberFormat="1" applyFont="1"/>
    <xf numFmtId="243" fontId="203" fillId="0" borderId="0" xfId="20397" applyNumberFormat="1" applyFont="1" applyAlignment="1">
      <alignment horizontal="right"/>
    </xf>
    <xf numFmtId="248" fontId="203" fillId="74" borderId="0" xfId="20396" applyNumberFormat="1" applyFont="1" applyFill="1"/>
    <xf numFmtId="0" fontId="203" fillId="74" borderId="0" xfId="20396" applyFont="1" applyFill="1" applyAlignment="1">
      <alignment horizontal="center" wrapText="1"/>
    </xf>
    <xf numFmtId="0" fontId="228" fillId="74" borderId="0" xfId="20398" applyFont="1" applyFill="1" applyAlignment="1">
      <alignment horizontal="center"/>
    </xf>
    <xf numFmtId="248" fontId="203" fillId="88" borderId="0" xfId="20396" applyNumberFormat="1" applyFont="1" applyFill="1"/>
    <xf numFmtId="0" fontId="203" fillId="88" borderId="0" xfId="20396" applyFont="1" applyFill="1"/>
    <xf numFmtId="248" fontId="234" fillId="88" borderId="0" xfId="20397" applyNumberFormat="1" applyFont="1" applyFill="1" applyAlignment="1">
      <alignment horizontal="right"/>
    </xf>
    <xf numFmtId="234" fontId="203" fillId="88" borderId="0" xfId="20398" applyNumberFormat="1" applyFont="1" applyFill="1" applyAlignment="1">
      <alignment horizontal="right"/>
    </xf>
    <xf numFmtId="14" fontId="203" fillId="88" borderId="0" xfId="20396" applyNumberFormat="1" applyFont="1" applyFill="1" applyAlignment="1">
      <alignment horizontal="left"/>
    </xf>
    <xf numFmtId="248" fontId="203" fillId="88" borderId="0" xfId="20397" applyNumberFormat="1" applyFont="1" applyFill="1" applyAlignment="1">
      <alignment horizontal="center" wrapText="1"/>
    </xf>
    <xf numFmtId="0" fontId="203" fillId="0" borderId="0" xfId="20396" quotePrefix="1" applyFont="1" applyAlignment="1">
      <alignment horizontal="right" wrapText="1"/>
    </xf>
    <xf numFmtId="0" fontId="226" fillId="71" borderId="147" xfId="11807" applyFont="1" applyFill="1" applyBorder="1"/>
    <xf numFmtId="0" fontId="203" fillId="71" borderId="145" xfId="11807" applyFont="1" applyFill="1" applyBorder="1"/>
    <xf numFmtId="167" fontId="226" fillId="71" borderId="145" xfId="12427" applyNumberFormat="1" applyFont="1" applyFill="1" applyBorder="1"/>
    <xf numFmtId="167" fontId="226" fillId="71" borderId="146" xfId="12427" applyNumberFormat="1" applyFont="1" applyFill="1" applyBorder="1"/>
    <xf numFmtId="243" fontId="203" fillId="0" borderId="138" xfId="0" applyNumberFormat="1" applyFont="1" applyBorder="1" applyAlignment="1">
      <alignment horizontal="right"/>
    </xf>
    <xf numFmtId="0" fontId="226" fillId="71" borderId="62" xfId="11807" applyFont="1" applyFill="1" applyBorder="1"/>
    <xf numFmtId="0" fontId="203" fillId="71" borderId="0" xfId="11807" applyFont="1" applyFill="1"/>
    <xf numFmtId="167" fontId="226" fillId="71" borderId="0" xfId="12427" applyNumberFormat="1" applyFont="1" applyFill="1"/>
    <xf numFmtId="167" fontId="226" fillId="71" borderId="13" xfId="12427" applyNumberFormat="1" applyFont="1" applyFill="1" applyBorder="1"/>
    <xf numFmtId="243" fontId="203" fillId="0" borderId="51" xfId="0" applyNumberFormat="1" applyFont="1" applyBorder="1" applyAlignment="1">
      <alignment horizontal="right"/>
    </xf>
    <xf numFmtId="0" fontId="226" fillId="71" borderId="132" xfId="11807" applyFont="1" applyFill="1" applyBorder="1"/>
    <xf numFmtId="0" fontId="203" fillId="71" borderId="45" xfId="11807" applyFont="1" applyFill="1" applyBorder="1"/>
    <xf numFmtId="167" fontId="226" fillId="71" borderId="45" xfId="12427" applyNumberFormat="1" applyFont="1" applyFill="1" applyBorder="1"/>
    <xf numFmtId="167" fontId="226" fillId="71" borderId="97" xfId="12427" applyNumberFormat="1" applyFont="1" applyFill="1" applyBorder="1"/>
    <xf numFmtId="243" fontId="203" fillId="0" borderId="133" xfId="0" applyNumberFormat="1" applyFont="1" applyBorder="1" applyAlignment="1">
      <alignment horizontal="right"/>
    </xf>
    <xf numFmtId="0" fontId="226" fillId="0" borderId="0" xfId="20396" applyFont="1"/>
    <xf numFmtId="43" fontId="203" fillId="0" borderId="0" xfId="20397" applyFont="1" applyAlignment="1">
      <alignment horizontal="right"/>
    </xf>
    <xf numFmtId="0" fontId="203" fillId="0" borderId="0" xfId="20396" applyFont="1" applyAlignment="1">
      <alignment horizontal="left" vertical="center" wrapText="1"/>
    </xf>
    <xf numFmtId="165" fontId="203" fillId="0" borderId="0" xfId="20397" applyNumberFormat="1" applyFont="1" applyAlignment="1">
      <alignment horizontal="right"/>
    </xf>
    <xf numFmtId="0" fontId="230" fillId="0" borderId="0" xfId="20396" applyFont="1" applyAlignment="1">
      <alignment horizontal="left"/>
    </xf>
    <xf numFmtId="248" fontId="203" fillId="88" borderId="0" xfId="20397" applyNumberFormat="1" applyFont="1" applyFill="1" applyAlignment="1">
      <alignment horizontal="center"/>
    </xf>
    <xf numFmtId="0" fontId="203" fillId="0" borderId="0" xfId="20396" applyFont="1" applyAlignment="1">
      <alignment horizontal="right"/>
    </xf>
    <xf numFmtId="243" fontId="203" fillId="0" borderId="138" xfId="16218" applyNumberFormat="1" applyFont="1" applyBorder="1" applyAlignment="1">
      <alignment horizontal="right"/>
    </xf>
    <xf numFmtId="243" fontId="203" fillId="0" borderId="51" xfId="20397" applyNumberFormat="1" applyFont="1" applyBorder="1" applyAlignment="1">
      <alignment horizontal="right"/>
    </xf>
    <xf numFmtId="243" fontId="203" fillId="0" borderId="133" xfId="16218" applyNumberFormat="1" applyFont="1" applyBorder="1" applyAlignment="1">
      <alignment horizontal="right"/>
    </xf>
    <xf numFmtId="248" fontId="226" fillId="71" borderId="145" xfId="12427" applyNumberFormat="1" applyFont="1" applyFill="1" applyBorder="1"/>
    <xf numFmtId="248" fontId="226" fillId="71" borderId="146" xfId="12427" applyNumberFormat="1" applyFont="1" applyFill="1" applyBorder="1"/>
    <xf numFmtId="248" fontId="226" fillId="0" borderId="152" xfId="12427" applyNumberFormat="1" applyFont="1" applyBorder="1" applyAlignment="1">
      <alignment horizontal="right"/>
    </xf>
    <xf numFmtId="248" fontId="226" fillId="71" borderId="0" xfId="12427" applyNumberFormat="1" applyFont="1" applyFill="1"/>
    <xf numFmtId="248" fontId="226" fillId="71" borderId="13" xfId="12427" applyNumberFormat="1" applyFont="1" applyFill="1" applyBorder="1"/>
    <xf numFmtId="248" fontId="226" fillId="0" borderId="51" xfId="12427" applyNumberFormat="1" applyFont="1" applyBorder="1" applyAlignment="1">
      <alignment horizontal="right"/>
    </xf>
    <xf numFmtId="248" fontId="226" fillId="71" borderId="45" xfId="12427" applyNumberFormat="1" applyFont="1" applyFill="1" applyBorder="1"/>
    <xf numFmtId="248" fontId="226" fillId="71" borderId="97" xfId="12427" applyNumberFormat="1" applyFont="1" applyFill="1" applyBorder="1"/>
    <xf numFmtId="248" fontId="226" fillId="0" borderId="133" xfId="12427" applyNumberFormat="1" applyFont="1" applyBorder="1" applyAlignment="1">
      <alignment horizontal="right"/>
    </xf>
    <xf numFmtId="0" fontId="203" fillId="0" borderId="127" xfId="20385" applyFont="1" applyBorder="1" applyAlignment="1">
      <alignment horizontal="right"/>
    </xf>
    <xf numFmtId="248" fontId="203" fillId="0" borderId="0" xfId="20399" applyNumberFormat="1" applyFont="1" applyAlignment="1">
      <alignment horizontal="right"/>
    </xf>
    <xf numFmtId="0" fontId="226" fillId="0" borderId="80" xfId="20396" applyFont="1" applyBorder="1" applyAlignment="1">
      <alignment horizontal="center" wrapText="1"/>
    </xf>
    <xf numFmtId="0" fontId="226" fillId="0" borderId="136" xfId="20396" applyFont="1" applyBorder="1" applyAlignment="1">
      <alignment horizontal="center" wrapText="1"/>
    </xf>
    <xf numFmtId="0" fontId="226" fillId="0" borderId="136" xfId="20396" applyFont="1" applyBorder="1" applyAlignment="1">
      <alignment wrapText="1"/>
    </xf>
    <xf numFmtId="0" fontId="224" fillId="0" borderId="136" xfId="0" applyFont="1" applyBorder="1" applyAlignment="1">
      <alignment horizontal="center"/>
    </xf>
    <xf numFmtId="0" fontId="226" fillId="0" borderId="137" xfId="20396" applyFont="1" applyBorder="1" applyAlignment="1">
      <alignment horizontal="center" wrapText="1"/>
    </xf>
    <xf numFmtId="0" fontId="226" fillId="0" borderId="136" xfId="20396" applyFont="1" applyBorder="1" applyAlignment="1">
      <alignment horizontal="centerContinuous" vertical="center" wrapText="1"/>
    </xf>
    <xf numFmtId="0" fontId="226" fillId="0" borderId="137" xfId="20396" applyFont="1" applyBorder="1" applyAlignment="1">
      <alignment horizontal="centerContinuous" vertical="center" wrapText="1"/>
    </xf>
    <xf numFmtId="0" fontId="243" fillId="0" borderId="0" xfId="20396" applyFont="1"/>
    <xf numFmtId="0" fontId="226" fillId="91" borderId="62" xfId="20396" applyFont="1" applyFill="1" applyBorder="1" applyAlignment="1">
      <alignment horizontal="center" wrapText="1"/>
    </xf>
    <xf numFmtId="0" fontId="226" fillId="91" borderId="0" xfId="20396" applyFont="1" applyFill="1" applyAlignment="1">
      <alignment horizontal="center" wrapText="1"/>
    </xf>
    <xf numFmtId="0" fontId="226" fillId="91" borderId="146" xfId="20396" applyFont="1" applyFill="1" applyBorder="1" applyAlignment="1">
      <alignment horizontal="center" wrapText="1"/>
    </xf>
    <xf numFmtId="0" fontId="226" fillId="91" borderId="13" xfId="20396" applyFont="1" applyFill="1" applyBorder="1" applyAlignment="1">
      <alignment horizontal="center" wrapText="1"/>
    </xf>
    <xf numFmtId="0" fontId="226" fillId="91" borderId="97" xfId="20396" applyFont="1" applyFill="1" applyBorder="1" applyAlignment="1">
      <alignment horizontal="center" wrapText="1"/>
    </xf>
    <xf numFmtId="0" fontId="226" fillId="0" borderId="145" xfId="20396" applyFont="1" applyBorder="1" applyAlignment="1">
      <alignment horizontal="center" wrapText="1"/>
    </xf>
    <xf numFmtId="0" fontId="226" fillId="92" borderId="0" xfId="20396" applyFont="1" applyFill="1" applyAlignment="1">
      <alignment wrapText="1"/>
    </xf>
    <xf numFmtId="243" fontId="203" fillId="0" borderId="0" xfId="20400" applyNumberFormat="1" applyFont="1" applyAlignment="1">
      <alignment horizontal="right"/>
    </xf>
    <xf numFmtId="243" fontId="203" fillId="0" borderId="0" xfId="20399" applyNumberFormat="1" applyFont="1" applyAlignment="1">
      <alignment horizontal="right"/>
    </xf>
    <xf numFmtId="248" fontId="234" fillId="0" borderId="0" xfId="12427" applyNumberFormat="1" applyFont="1" applyAlignment="1">
      <alignment horizontal="right"/>
    </xf>
    <xf numFmtId="14" fontId="203" fillId="0" borderId="0" xfId="20396" applyNumberFormat="1" applyFont="1" applyAlignment="1">
      <alignment horizontal="left"/>
    </xf>
    <xf numFmtId="248" fontId="203" fillId="0" borderId="0" xfId="12427" applyNumberFormat="1" applyFont="1" applyAlignment="1">
      <alignment horizontal="center" wrapText="1"/>
    </xf>
    <xf numFmtId="248" fontId="203" fillId="0" borderId="0" xfId="12427" applyNumberFormat="1" applyFont="1" applyAlignment="1">
      <alignment horizontal="right" wrapText="1"/>
    </xf>
    <xf numFmtId="0" fontId="203" fillId="0" borderId="45" xfId="20396" applyFont="1" applyBorder="1"/>
    <xf numFmtId="0" fontId="203" fillId="0" borderId="45" xfId="20396" applyFont="1" applyBorder="1" applyAlignment="1">
      <alignment horizontal="right"/>
    </xf>
    <xf numFmtId="248" fontId="234" fillId="0" borderId="45" xfId="20399" applyNumberFormat="1" applyFont="1" applyBorder="1" applyAlignment="1">
      <alignment horizontal="right"/>
    </xf>
    <xf numFmtId="0" fontId="226" fillId="71" borderId="147" xfId="20396" applyFont="1" applyFill="1" applyBorder="1"/>
    <xf numFmtId="0" fontId="226" fillId="71" borderId="145" xfId="20396" applyFont="1" applyFill="1" applyBorder="1"/>
    <xf numFmtId="0" fontId="226" fillId="71" borderId="145" xfId="20396" applyFont="1" applyFill="1" applyBorder="1" applyAlignment="1">
      <alignment horizontal="right"/>
    </xf>
    <xf numFmtId="248" fontId="226" fillId="71" borderId="145" xfId="12427" applyNumberFormat="1" applyFont="1" applyFill="1" applyBorder="1" applyAlignment="1">
      <alignment horizontal="right"/>
    </xf>
    <xf numFmtId="248" fontId="226" fillId="71" borderId="146" xfId="12427" applyNumberFormat="1" applyFont="1" applyFill="1" applyBorder="1" applyAlignment="1">
      <alignment horizontal="right"/>
    </xf>
    <xf numFmtId="248" fontId="226" fillId="0" borderId="145" xfId="12427" applyNumberFormat="1" applyFont="1" applyBorder="1" applyAlignment="1">
      <alignment horizontal="right"/>
    </xf>
    <xf numFmtId="234" fontId="226" fillId="0" borderId="145" xfId="0" applyNumberFormat="1" applyFont="1" applyBorder="1" applyAlignment="1">
      <alignment horizontal="right"/>
    </xf>
    <xf numFmtId="234" fontId="226" fillId="0" borderId="146" xfId="0" applyNumberFormat="1" applyFont="1" applyBorder="1" applyAlignment="1">
      <alignment horizontal="right"/>
    </xf>
    <xf numFmtId="0" fontId="226" fillId="71" borderId="62" xfId="20396" applyFont="1" applyFill="1" applyBorder="1"/>
    <xf numFmtId="0" fontId="226" fillId="71" borderId="0" xfId="20396" applyFont="1" applyFill="1"/>
    <xf numFmtId="0" fontId="226" fillId="71" borderId="0" xfId="20396" applyFont="1" applyFill="1" applyAlignment="1">
      <alignment horizontal="right"/>
    </xf>
    <xf numFmtId="248" fontId="226" fillId="71" borderId="0" xfId="12427" applyNumberFormat="1" applyFont="1" applyFill="1" applyAlignment="1">
      <alignment horizontal="right"/>
    </xf>
    <xf numFmtId="248" fontId="226" fillId="71" borderId="13" xfId="12427" applyNumberFormat="1" applyFont="1" applyFill="1" applyBorder="1" applyAlignment="1">
      <alignment horizontal="right"/>
    </xf>
    <xf numFmtId="248" fontId="226" fillId="0" borderId="0" xfId="12427" applyNumberFormat="1" applyFont="1" applyAlignment="1">
      <alignment horizontal="right"/>
    </xf>
    <xf numFmtId="234" fontId="226" fillId="0" borderId="0" xfId="0" applyNumberFormat="1" applyFont="1" applyAlignment="1">
      <alignment horizontal="right"/>
    </xf>
    <xf numFmtId="234" fontId="226" fillId="0" borderId="13" xfId="0" applyNumberFormat="1" applyFont="1" applyBorder="1" applyAlignment="1">
      <alignment horizontal="right"/>
    </xf>
    <xf numFmtId="0" fontId="226" fillId="71" borderId="132" xfId="20396" applyFont="1" applyFill="1" applyBorder="1"/>
    <xf numFmtId="0" fontId="226" fillId="71" borderId="45" xfId="20396" applyFont="1" applyFill="1" applyBorder="1"/>
    <xf numFmtId="0" fontId="226" fillId="71" borderId="45" xfId="20396" applyFont="1" applyFill="1" applyBorder="1" applyAlignment="1">
      <alignment horizontal="right"/>
    </xf>
    <xf numFmtId="248" fontId="226" fillId="71" borderId="45" xfId="12427" applyNumberFormat="1" applyFont="1" applyFill="1" applyBorder="1" applyAlignment="1">
      <alignment horizontal="right"/>
    </xf>
    <xf numFmtId="248" fontId="226" fillId="71" borderId="97" xfId="12427" applyNumberFormat="1" applyFont="1" applyFill="1" applyBorder="1" applyAlignment="1">
      <alignment horizontal="right"/>
    </xf>
    <xf numFmtId="248" fontId="226" fillId="0" borderId="45" xfId="12427" applyNumberFormat="1" applyFont="1" applyBorder="1" applyAlignment="1">
      <alignment horizontal="right"/>
    </xf>
    <xf numFmtId="234" fontId="226" fillId="0" borderId="45" xfId="0" applyNumberFormat="1" applyFont="1" applyBorder="1" applyAlignment="1">
      <alignment horizontal="right"/>
    </xf>
    <xf numFmtId="234" fontId="226" fillId="0" borderId="97" xfId="0" applyNumberFormat="1" applyFont="1" applyBorder="1" applyAlignment="1">
      <alignment horizontal="right"/>
    </xf>
    <xf numFmtId="0" fontId="203" fillId="0" borderId="145" xfId="20396" applyFont="1" applyBorder="1"/>
    <xf numFmtId="0" fontId="203" fillId="0" borderId="145" xfId="20396" applyFont="1" applyBorder="1" applyAlignment="1">
      <alignment horizontal="right"/>
    </xf>
    <xf numFmtId="0" fontId="246" fillId="0" borderId="0" xfId="20385" applyFont="1" applyAlignment="1">
      <alignment horizontal="left"/>
    </xf>
    <xf numFmtId="248" fontId="246" fillId="0" borderId="0" xfId="20386" applyNumberFormat="1" applyFont="1" applyAlignment="1">
      <alignment horizontal="right"/>
    </xf>
    <xf numFmtId="43" fontId="263" fillId="0" borderId="0" xfId="12427" applyFont="1"/>
    <xf numFmtId="43" fontId="264" fillId="0" borderId="10" xfId="20385" applyNumberFormat="1" applyFont="1" applyBorder="1"/>
    <xf numFmtId="164" fontId="264" fillId="0" borderId="97" xfId="20385" applyNumberFormat="1" applyFont="1" applyBorder="1"/>
    <xf numFmtId="0" fontId="246" fillId="0" borderId="0" xfId="20385" applyFont="1"/>
    <xf numFmtId="0" fontId="265" fillId="0" borderId="138" xfId="20385" applyFont="1" applyBorder="1" applyAlignment="1">
      <alignment horizontal="center"/>
    </xf>
    <xf numFmtId="43" fontId="263" fillId="0" borderId="0" xfId="20385" applyNumberFormat="1" applyFont="1"/>
    <xf numFmtId="0" fontId="263" fillId="0" borderId="0" xfId="20385" applyFont="1"/>
    <xf numFmtId="164" fontId="265" fillId="0" borderId="79" xfId="20385" applyNumberFormat="1" applyFont="1" applyBorder="1" applyAlignment="1">
      <alignment horizontal="center"/>
    </xf>
    <xf numFmtId="43" fontId="225" fillId="0" borderId="79" xfId="20385" applyNumberFormat="1" applyFont="1" applyBorder="1"/>
    <xf numFmtId="0" fontId="224" fillId="72" borderId="159" xfId="0" applyFont="1" applyFill="1" applyBorder="1" applyAlignment="1">
      <alignment horizontal="left"/>
    </xf>
    <xf numFmtId="0" fontId="224" fillId="72" borderId="160" xfId="0" applyFont="1" applyFill="1" applyBorder="1" applyAlignment="1">
      <alignment horizontal="center"/>
    </xf>
    <xf numFmtId="0" fontId="224" fillId="72" borderId="161" xfId="0" applyFont="1" applyFill="1" applyBorder="1" applyAlignment="1">
      <alignment horizontal="center"/>
    </xf>
    <xf numFmtId="0" fontId="226" fillId="91" borderId="162" xfId="20396" applyFont="1" applyFill="1" applyBorder="1" applyAlignment="1">
      <alignment horizontal="center" wrapText="1"/>
    </xf>
    <xf numFmtId="0" fontId="226" fillId="91" borderId="163" xfId="20396" applyFont="1" applyFill="1" applyBorder="1" applyAlignment="1">
      <alignment horizontal="center" wrapText="1"/>
    </xf>
    <xf numFmtId="248" fontId="226" fillId="0" borderId="0" xfId="20397" applyNumberFormat="1" applyFont="1" applyAlignment="1">
      <alignment horizontal="right"/>
    </xf>
    <xf numFmtId="0" fontId="226" fillId="0" borderId="0" xfId="20396" applyFont="1" applyAlignment="1">
      <alignment horizontal="left"/>
    </xf>
    <xf numFmtId="0" fontId="234" fillId="0" borderId="0" xfId="11807" applyFont="1"/>
    <xf numFmtId="0" fontId="225" fillId="0" borderId="0" xfId="11807" applyFont="1"/>
    <xf numFmtId="0" fontId="243" fillId="87" borderId="123" xfId="20303" applyFont="1" applyFill="1" applyBorder="1" applyAlignment="1">
      <alignment horizontal="center" wrapText="1"/>
    </xf>
    <xf numFmtId="0" fontId="243" fillId="87" borderId="124" xfId="20303" applyFont="1" applyFill="1" applyBorder="1" applyAlignment="1">
      <alignment horizontal="left" wrapText="1"/>
    </xf>
    <xf numFmtId="0" fontId="243" fillId="87" borderId="130" xfId="20303" applyFont="1" applyFill="1" applyBorder="1" applyAlignment="1">
      <alignment horizontal="left" wrapText="1"/>
    </xf>
    <xf numFmtId="0" fontId="243" fillId="87" borderId="124" xfId="20303" applyFont="1" applyFill="1" applyBorder="1" applyAlignment="1">
      <alignment horizontal="center" wrapText="1"/>
    </xf>
    <xf numFmtId="0" fontId="243" fillId="87" borderId="130" xfId="20303" applyFont="1" applyFill="1" applyBorder="1" applyAlignment="1">
      <alignment horizontal="center" wrapText="1"/>
    </xf>
    <xf numFmtId="0" fontId="243" fillId="87" borderId="125" xfId="20303" applyFont="1" applyFill="1" applyBorder="1" applyAlignment="1">
      <alignment horizontal="center" wrapText="1"/>
    </xf>
    <xf numFmtId="0" fontId="243" fillId="0" borderId="0" xfId="20303" applyFont="1" applyAlignment="1">
      <alignment horizontal="center" wrapText="1"/>
    </xf>
    <xf numFmtId="0" fontId="243" fillId="0" borderId="0" xfId="20303" applyFont="1" applyAlignment="1">
      <alignment horizontal="left" wrapText="1"/>
    </xf>
    <xf numFmtId="0" fontId="243" fillId="0" borderId="0" xfId="20303" applyFont="1" applyAlignment="1">
      <alignment horizontal="right" wrapText="1"/>
    </xf>
    <xf numFmtId="0" fontId="258" fillId="0" borderId="0" xfId="11846" applyFont="1"/>
    <xf numFmtId="0" fontId="234" fillId="0" borderId="0" xfId="11846" applyFont="1" applyAlignment="1">
      <alignment horizontal="left"/>
    </xf>
    <xf numFmtId="0" fontId="234" fillId="0" borderId="0" xfId="11846" applyFont="1" applyAlignment="1">
      <alignment horizontal="left" wrapText="1" indent="1"/>
    </xf>
    <xf numFmtId="0" fontId="234" fillId="0" borderId="0" xfId="11846" applyFont="1" applyAlignment="1">
      <alignment horizontal="left" indent="1"/>
    </xf>
    <xf numFmtId="310" fontId="234" fillId="0" borderId="0" xfId="11846" applyNumberFormat="1" applyFont="1" applyAlignment="1">
      <alignment horizontal="right"/>
    </xf>
    <xf numFmtId="165" fontId="234" fillId="0" borderId="0" xfId="20384" applyNumberFormat="1" applyFont="1" applyAlignment="1">
      <alignment horizontal="right"/>
    </xf>
    <xf numFmtId="0" fontId="203" fillId="88" borderId="0" xfId="0" applyFont="1" applyFill="1" applyAlignment="1">
      <alignment vertical="top"/>
    </xf>
    <xf numFmtId="0" fontId="203" fillId="89" borderId="0" xfId="0" applyFont="1" applyFill="1" applyAlignment="1">
      <alignment vertical="top"/>
    </xf>
    <xf numFmtId="164" fontId="244" fillId="0" borderId="0" xfId="11807" applyNumberFormat="1" applyFont="1" applyAlignment="1">
      <alignment horizontal="left"/>
    </xf>
    <xf numFmtId="0" fontId="234" fillId="0" borderId="0" xfId="11807" applyFont="1" applyAlignment="1">
      <alignment horizontal="left"/>
    </xf>
    <xf numFmtId="0" fontId="203" fillId="71" borderId="127" xfId="0" applyFont="1" applyFill="1" applyBorder="1"/>
    <xf numFmtId="0" fontId="203" fillId="71" borderId="131" xfId="0" applyFont="1" applyFill="1" applyBorder="1"/>
    <xf numFmtId="167" fontId="226" fillId="71" borderId="127" xfId="12427" applyNumberFormat="1" applyFont="1" applyFill="1" applyBorder="1"/>
    <xf numFmtId="167" fontId="226" fillId="71" borderId="131" xfId="12427" applyNumberFormat="1" applyFont="1" applyFill="1" applyBorder="1"/>
    <xf numFmtId="165" fontId="226" fillId="71" borderId="128" xfId="0" applyNumberFormat="1" applyFont="1" applyFill="1" applyBorder="1"/>
    <xf numFmtId="234" fontId="226" fillId="0" borderId="0" xfId="0" applyNumberFormat="1" applyFont="1"/>
    <xf numFmtId="10" fontId="203" fillId="71" borderId="0" xfId="0" applyNumberFormat="1" applyFont="1" applyFill="1"/>
    <xf numFmtId="10" fontId="203" fillId="71" borderId="45" xfId="0" applyNumberFormat="1" applyFont="1" applyFill="1" applyBorder="1"/>
    <xf numFmtId="0" fontId="203" fillId="0" borderId="4" xfId="0" applyFont="1" applyBorder="1"/>
    <xf numFmtId="0" fontId="203" fillId="0" borderId="5" xfId="0" applyFont="1" applyBorder="1"/>
    <xf numFmtId="0" fontId="227" fillId="0" borderId="6" xfId="0" applyFont="1" applyBorder="1" applyAlignment="1">
      <alignment horizontal="right"/>
    </xf>
    <xf numFmtId="0" fontId="203" fillId="0" borderId="148" xfId="0" applyFont="1" applyBorder="1"/>
    <xf numFmtId="0" fontId="203" fillId="0" borderId="149" xfId="0" applyFont="1" applyBorder="1"/>
    <xf numFmtId="0" fontId="227" fillId="0" borderId="149" xfId="0" applyFont="1" applyBorder="1"/>
    <xf numFmtId="0" fontId="203" fillId="0" borderId="157" xfId="0" applyFont="1" applyBorder="1"/>
    <xf numFmtId="0" fontId="203" fillId="0" borderId="156" xfId="0" applyFont="1" applyBorder="1"/>
    <xf numFmtId="164" fontId="203" fillId="0" borderId="6" xfId="0" applyNumberFormat="1" applyFont="1" applyBorder="1" applyAlignment="1">
      <alignment horizontal="right"/>
    </xf>
    <xf numFmtId="167" fontId="227" fillId="0" borderId="45" xfId="12427" applyNumberFormat="1" applyFont="1" applyBorder="1"/>
    <xf numFmtId="167" fontId="227" fillId="0" borderId="97" xfId="12427" applyNumberFormat="1" applyFont="1" applyBorder="1"/>
    <xf numFmtId="0" fontId="224" fillId="72" borderId="16" xfId="0" applyFont="1" applyFill="1" applyBorder="1" applyAlignment="1">
      <alignment wrapText="1"/>
    </xf>
    <xf numFmtId="0" fontId="224" fillId="72" borderId="4" xfId="0" applyFont="1" applyFill="1" applyBorder="1" applyAlignment="1">
      <alignment horizontal="right" wrapText="1"/>
    </xf>
    <xf numFmtId="0" fontId="224" fillId="72" borderId="6" xfId="0" applyFont="1" applyFill="1" applyBorder="1" applyAlignment="1">
      <alignment horizontal="right" wrapText="1"/>
    </xf>
    <xf numFmtId="0" fontId="266" fillId="28" borderId="4" xfId="0" applyFont="1" applyFill="1" applyBorder="1" applyAlignment="1">
      <alignment horizontal="center" wrapText="1"/>
    </xf>
    <xf numFmtId="0" fontId="266" fillId="28" borderId="5" xfId="0" applyFont="1" applyFill="1" applyBorder="1" applyAlignment="1">
      <alignment horizontal="center" wrapText="1"/>
    </xf>
    <xf numFmtId="0" fontId="266" fillId="28" borderId="6" xfId="0" applyFont="1" applyFill="1" applyBorder="1" applyAlignment="1">
      <alignment horizontal="center" wrapText="1"/>
    </xf>
    <xf numFmtId="164" fontId="234" fillId="0" borderId="0" xfId="0" applyNumberFormat="1" applyFont="1"/>
    <xf numFmtId="168" fontId="234" fillId="0" borderId="0" xfId="0" applyNumberFormat="1" applyFont="1"/>
    <xf numFmtId="168" fontId="203" fillId="29" borderId="0" xfId="0" applyNumberFormat="1" applyFont="1" applyFill="1"/>
    <xf numFmtId="0" fontId="203" fillId="71" borderId="8" xfId="0" applyFont="1" applyFill="1" applyBorder="1"/>
    <xf numFmtId="0" fontId="203" fillId="71" borderId="9" xfId="0" applyFont="1" applyFill="1" applyBorder="1"/>
    <xf numFmtId="169" fontId="203" fillId="71" borderId="0" xfId="0" applyNumberFormat="1" applyFont="1" applyFill="1"/>
    <xf numFmtId="10" fontId="203" fillId="71" borderId="13" xfId="0" applyNumberFormat="1" applyFont="1" applyFill="1" applyBorder="1" applyAlignment="1">
      <alignment horizontal="right"/>
    </xf>
    <xf numFmtId="10" fontId="203" fillId="0" borderId="0" xfId="12422" applyNumberFormat="1" applyFont="1"/>
    <xf numFmtId="10" fontId="203" fillId="71" borderId="13" xfId="0" applyNumberFormat="1" applyFont="1" applyFill="1" applyBorder="1"/>
    <xf numFmtId="10" fontId="226" fillId="71" borderId="11" xfId="0" applyNumberFormat="1" applyFont="1" applyFill="1" applyBorder="1" applyAlignment="1">
      <alignment horizontal="right"/>
    </xf>
    <xf numFmtId="0" fontId="203" fillId="0" borderId="119" xfId="0" applyFont="1" applyBorder="1"/>
    <xf numFmtId="9" fontId="228" fillId="0" borderId="120" xfId="12422" applyFont="1" applyBorder="1" applyAlignment="1">
      <alignment horizontal="right"/>
    </xf>
    <xf numFmtId="164" fontId="229" fillId="0" borderId="6" xfId="0" applyNumberFormat="1" applyFont="1" applyBorder="1" applyAlignment="1">
      <alignment horizontal="center"/>
    </xf>
    <xf numFmtId="168" fontId="235" fillId="0" borderId="148" xfId="0" applyNumberFormat="1" applyFont="1" applyBorder="1" applyAlignment="1">
      <alignment horizontal="center"/>
    </xf>
    <xf numFmtId="168" fontId="235" fillId="0" borderId="149" xfId="0" applyNumberFormat="1" applyFont="1" applyBorder="1" applyAlignment="1">
      <alignment horizontal="center"/>
    </xf>
    <xf numFmtId="168" fontId="235" fillId="0" borderId="150" xfId="0" applyNumberFormat="1" applyFont="1" applyBorder="1" applyAlignment="1">
      <alignment horizontal="center"/>
    </xf>
    <xf numFmtId="14" fontId="227" fillId="0" borderId="0" xfId="0" applyNumberFormat="1" applyFont="1" applyAlignment="1">
      <alignment horizontal="center"/>
    </xf>
    <xf numFmtId="0" fontId="203" fillId="0" borderId="0" xfId="0" quotePrefix="1" applyFont="1" applyAlignment="1">
      <alignment horizontal="right" vertical="top"/>
    </xf>
    <xf numFmtId="0" fontId="259" fillId="0" borderId="4" xfId="0" applyFont="1" applyBorder="1" applyAlignment="1">
      <alignment wrapText="1"/>
    </xf>
    <xf numFmtId="0" fontId="203" fillId="0" borderId="5" xfId="0" applyFont="1" applyBorder="1" applyAlignment="1">
      <alignment wrapText="1"/>
    </xf>
    <xf numFmtId="0" fontId="233" fillId="0" borderId="5" xfId="0" applyFont="1" applyBorder="1" applyAlignment="1">
      <alignment wrapText="1"/>
    </xf>
    <xf numFmtId="0" fontId="233" fillId="0" borderId="6" xfId="0" applyFont="1" applyBorder="1" applyAlignment="1">
      <alignment wrapText="1"/>
    </xf>
    <xf numFmtId="0" fontId="233" fillId="0" borderId="0" xfId="0" applyFont="1" applyAlignment="1">
      <alignment wrapText="1"/>
    </xf>
    <xf numFmtId="0" fontId="203" fillId="0" borderId="0" xfId="0" applyFont="1" applyAlignment="1">
      <alignment horizontal="center" wrapText="1"/>
    </xf>
    <xf numFmtId="0" fontId="224" fillId="72" borderId="4" xfId="0" applyFont="1" applyFill="1" applyBorder="1" applyAlignment="1">
      <alignment horizontal="centerContinuous" wrapText="1"/>
    </xf>
    <xf numFmtId="0" fontId="224" fillId="72" borderId="6" xfId="0" applyFont="1" applyFill="1" applyBorder="1" applyAlignment="1">
      <alignment horizontal="centerContinuous" wrapText="1"/>
    </xf>
    <xf numFmtId="0" fontId="224" fillId="72" borderId="148" xfId="0" applyFont="1" applyFill="1" applyBorder="1" applyAlignment="1">
      <alignment horizontal="left"/>
    </xf>
    <xf numFmtId="0" fontId="224" fillId="0" borderId="0" xfId="0" applyFont="1" applyAlignment="1">
      <alignment horizontal="center"/>
    </xf>
    <xf numFmtId="43" fontId="203" fillId="0" borderId="0" xfId="0" quotePrefix="1" applyNumberFormat="1" applyFont="1" applyAlignment="1">
      <alignment horizontal="center"/>
    </xf>
    <xf numFmtId="43" fontId="234" fillId="0" borderId="0" xfId="0" quotePrefix="1" applyNumberFormat="1" applyFont="1" applyAlignment="1">
      <alignment horizontal="center"/>
    </xf>
    <xf numFmtId="8" fontId="203" fillId="0" borderId="157" xfId="0" applyNumberFormat="1" applyFont="1" applyBorder="1"/>
    <xf numFmtId="8" fontId="203" fillId="0" borderId="156" xfId="0" applyNumberFormat="1" applyFont="1" applyBorder="1"/>
    <xf numFmtId="0" fontId="224" fillId="72" borderId="170" xfId="0" applyFont="1" applyFill="1" applyBorder="1" applyAlignment="1">
      <alignment horizontal="left"/>
    </xf>
    <xf numFmtId="0" fontId="224" fillId="72" borderId="171" xfId="0" applyFont="1" applyFill="1" applyBorder="1" applyAlignment="1">
      <alignment horizontal="centerContinuous"/>
    </xf>
    <xf numFmtId="0" fontId="224" fillId="72" borderId="171" xfId="0" applyFont="1" applyFill="1" applyBorder="1" applyAlignment="1">
      <alignment horizontal="right" wrapText="1"/>
    </xf>
    <xf numFmtId="0" fontId="224" fillId="72" borderId="172" xfId="0" applyFont="1" applyFill="1" applyBorder="1" applyAlignment="1">
      <alignment horizontal="right" wrapText="1"/>
    </xf>
    <xf numFmtId="0" fontId="203" fillId="0" borderId="173" xfId="0" applyFont="1" applyBorder="1"/>
    <xf numFmtId="0" fontId="203" fillId="0" borderId="174" xfId="0" applyFont="1" applyBorder="1"/>
    <xf numFmtId="167" fontId="234" fillId="0" borderId="174" xfId="12427" applyNumberFormat="1" applyFont="1" applyBorder="1"/>
    <xf numFmtId="167" fontId="234" fillId="0" borderId="175" xfId="12427" applyNumberFormat="1" applyFont="1" applyBorder="1"/>
    <xf numFmtId="10" fontId="234" fillId="0" borderId="13" xfId="0" applyNumberFormat="1" applyFont="1" applyBorder="1"/>
    <xf numFmtId="165" fontId="234" fillId="0" borderId="13" xfId="0" applyNumberFormat="1" applyFont="1" applyBorder="1"/>
    <xf numFmtId="0" fontId="203" fillId="0" borderId="0" xfId="0" applyFont="1" applyAlignment="1">
      <alignment horizontal="right" vertical="top"/>
    </xf>
    <xf numFmtId="0" fontId="237" fillId="0" borderId="0" xfId="12421" applyFont="1"/>
    <xf numFmtId="0" fontId="203" fillId="0" borderId="42" xfId="0" applyFont="1" applyBorder="1"/>
    <xf numFmtId="164" fontId="233" fillId="0" borderId="0" xfId="0" applyNumberFormat="1" applyFont="1" applyAlignment="1">
      <alignment horizontal="right"/>
    </xf>
    <xf numFmtId="167" fontId="203" fillId="0" borderId="0" xfId="0" applyNumberFormat="1" applyFont="1" applyAlignment="1">
      <alignment horizontal="right"/>
    </xf>
    <xf numFmtId="289" fontId="203" fillId="0" borderId="0" xfId="0" applyNumberFormat="1" applyFont="1" applyAlignment="1">
      <alignment horizontal="right"/>
    </xf>
    <xf numFmtId="234" fontId="233" fillId="0" borderId="0" xfId="0" applyNumberFormat="1" applyFont="1" applyAlignment="1">
      <alignment horizontal="right" vertical="top"/>
    </xf>
    <xf numFmtId="0" fontId="233" fillId="0" borderId="0" xfId="0" applyFont="1" applyAlignment="1">
      <alignment horizontal="right"/>
    </xf>
    <xf numFmtId="165" fontId="233" fillId="0" borderId="0" xfId="0" applyNumberFormat="1" applyFont="1"/>
    <xf numFmtId="0" fontId="233" fillId="0" borderId="0" xfId="0" applyFont="1" applyAlignment="1">
      <alignment horizontal="right" wrapText="1"/>
    </xf>
    <xf numFmtId="0" fontId="234" fillId="0" borderId="0" xfId="0" quotePrefix="1" applyFont="1" applyAlignment="1">
      <alignment horizontal="left" indent="1"/>
    </xf>
    <xf numFmtId="0" fontId="267" fillId="0" borderId="0" xfId="0" applyFont="1" applyAlignment="1">
      <alignment horizontal="left" indent="2"/>
    </xf>
    <xf numFmtId="0" fontId="224" fillId="72" borderId="52" xfId="0" applyFont="1" applyFill="1" applyBorder="1" applyAlignment="1">
      <alignment wrapText="1"/>
    </xf>
    <xf numFmtId="0" fontId="224" fillId="72" borderId="58" xfId="0" applyFont="1" applyFill="1" applyBorder="1" applyAlignment="1">
      <alignment horizontal="right" wrapText="1"/>
    </xf>
    <xf numFmtId="0" fontId="224" fillId="72" borderId="52" xfId="0" applyFont="1" applyFill="1" applyBorder="1" applyAlignment="1">
      <alignment horizontal="right" wrapText="1"/>
    </xf>
    <xf numFmtId="270" fontId="233" fillId="0" borderId="0" xfId="0" applyNumberFormat="1" applyFont="1"/>
    <xf numFmtId="169" fontId="233" fillId="0" borderId="0" xfId="0" applyNumberFormat="1" applyFont="1"/>
    <xf numFmtId="234" fontId="268" fillId="0" borderId="0" xfId="0" applyNumberFormat="1" applyFont="1" applyAlignment="1">
      <alignment horizontal="right" vertical="top"/>
    </xf>
    <xf numFmtId="0" fontId="226" fillId="71" borderId="58" xfId="0" applyFont="1" applyFill="1" applyBorder="1"/>
    <xf numFmtId="0" fontId="226" fillId="71" borderId="59" xfId="0" applyFont="1" applyFill="1" applyBorder="1"/>
    <xf numFmtId="169" fontId="226" fillId="71" borderId="59" xfId="0" applyNumberFormat="1" applyFont="1" applyFill="1" applyBorder="1"/>
    <xf numFmtId="169" fontId="226" fillId="71" borderId="129" xfId="0" applyNumberFormat="1" applyFont="1" applyFill="1" applyBorder="1"/>
    <xf numFmtId="169" fontId="226" fillId="71" borderId="52" xfId="0" applyNumberFormat="1" applyFont="1" applyFill="1" applyBorder="1"/>
    <xf numFmtId="0" fontId="224" fillId="72" borderId="58" xfId="0" applyFont="1" applyFill="1" applyBorder="1" applyAlignment="1">
      <alignment wrapText="1"/>
    </xf>
    <xf numFmtId="0" fontId="224" fillId="72" borderId="59" xfId="0" applyFont="1" applyFill="1" applyBorder="1" applyAlignment="1">
      <alignment wrapText="1"/>
    </xf>
    <xf numFmtId="0" fontId="224" fillId="72" borderId="60" xfId="0" applyFont="1" applyFill="1" applyBorder="1" applyAlignment="1">
      <alignment wrapText="1"/>
    </xf>
    <xf numFmtId="0" fontId="269" fillId="0" borderId="0" xfId="0" applyFont="1" applyAlignment="1">
      <alignment horizontal="left"/>
    </xf>
    <xf numFmtId="0" fontId="269" fillId="0" borderId="0" xfId="0" applyFont="1" applyAlignment="1">
      <alignment horizontal="right"/>
    </xf>
    <xf numFmtId="8" fontId="234" fillId="0" borderId="0" xfId="0" applyNumberFormat="1" applyFont="1"/>
    <xf numFmtId="270" fontId="233" fillId="0" borderId="0" xfId="0" applyNumberFormat="1" applyFont="1" applyAlignment="1">
      <alignment horizontal="right"/>
    </xf>
    <xf numFmtId="8" fontId="233" fillId="0" borderId="45" xfId="0" applyNumberFormat="1" applyFont="1" applyBorder="1"/>
    <xf numFmtId="169" fontId="233" fillId="0" borderId="45" xfId="0" applyNumberFormat="1" applyFont="1" applyBorder="1" applyAlignment="1">
      <alignment horizontal="right"/>
    </xf>
    <xf numFmtId="8" fontId="226" fillId="0" borderId="0" xfId="0" applyNumberFormat="1" applyFont="1"/>
    <xf numFmtId="0" fontId="234" fillId="0" borderId="0" xfId="0" quotePrefix="1" applyFont="1" applyAlignment="1">
      <alignment horizontal="left"/>
    </xf>
    <xf numFmtId="0" fontId="234" fillId="74" borderId="0" xfId="0" quotePrefix="1" applyFont="1" applyFill="1" applyAlignment="1">
      <alignment horizontal="left"/>
    </xf>
    <xf numFmtId="0" fontId="224" fillId="72" borderId="79" xfId="0" applyFont="1" applyFill="1" applyBorder="1" applyAlignment="1">
      <alignment horizontal="left"/>
    </xf>
    <xf numFmtId="0" fontId="224" fillId="0" borderId="0" xfId="0" applyFont="1" applyAlignment="1">
      <alignment horizontal="left"/>
    </xf>
    <xf numFmtId="0" fontId="224" fillId="72" borderId="79" xfId="0" applyFont="1" applyFill="1" applyBorder="1" applyAlignment="1">
      <alignment horizontal="center"/>
    </xf>
    <xf numFmtId="0" fontId="203" fillId="0" borderId="116" xfId="0" applyFont="1" applyBorder="1" applyAlignment="1">
      <alignment horizontal="justify" vertical="center" wrapText="1"/>
    </xf>
    <xf numFmtId="0" fontId="203" fillId="0" borderId="0" xfId="0" applyFont="1" applyAlignment="1">
      <alignment horizontal="justify" vertical="top" wrapText="1"/>
    </xf>
    <xf numFmtId="0" fontId="203" fillId="0" borderId="112" xfId="0" applyFont="1" applyBorder="1"/>
    <xf numFmtId="0" fontId="203" fillId="0" borderId="114" xfId="0" applyFont="1" applyBorder="1"/>
    <xf numFmtId="0" fontId="203" fillId="0" borderId="115" xfId="0" applyFont="1" applyBorder="1"/>
    <xf numFmtId="0" fontId="203" fillId="0" borderId="62" xfId="0" applyFont="1" applyBorder="1" applyAlignment="1">
      <alignment horizontal="left"/>
    </xf>
    <xf numFmtId="0" fontId="203" fillId="0" borderId="10" xfId="0" applyFont="1" applyBorder="1" applyAlignment="1">
      <alignment horizontal="left"/>
    </xf>
    <xf numFmtId="167" fontId="203" fillId="0" borderId="45" xfId="12427" applyNumberFormat="1" applyFont="1" applyBorder="1"/>
    <xf numFmtId="0" fontId="224" fillId="72" borderId="126" xfId="0" applyFont="1" applyFill="1" applyBorder="1" applyAlignment="1">
      <alignment horizontal="centerContinuous"/>
    </xf>
    <xf numFmtId="0" fontId="224" fillId="72" borderId="108" xfId="0" applyFont="1" applyFill="1" applyBorder="1" applyAlignment="1">
      <alignment horizontal="centerContinuous"/>
    </xf>
    <xf numFmtId="0" fontId="235" fillId="0" borderId="34" xfId="0" applyFont="1" applyBorder="1" applyAlignment="1">
      <alignment horizontal="center" wrapText="1"/>
    </xf>
    <xf numFmtId="0" fontId="235" fillId="0" borderId="35" xfId="0" applyFont="1" applyBorder="1" applyAlignment="1">
      <alignment horizontal="center" wrapText="1"/>
    </xf>
    <xf numFmtId="0" fontId="235" fillId="0" borderId="67" xfId="0" applyFont="1" applyBorder="1" applyAlignment="1">
      <alignment horizontal="center" wrapText="1"/>
    </xf>
    <xf numFmtId="0" fontId="235" fillId="0" borderId="42" xfId="0" applyFont="1" applyBorder="1" applyAlignment="1">
      <alignment horizontal="center" wrapText="1"/>
    </xf>
    <xf numFmtId="0" fontId="235" fillId="0" borderId="159" xfId="0" applyFont="1" applyBorder="1" applyAlignment="1">
      <alignment horizontal="right" wrapText="1"/>
    </xf>
    <xf numFmtId="0" fontId="235" fillId="0" borderId="34" xfId="0" applyFont="1" applyBorder="1" applyAlignment="1">
      <alignment horizontal="right" wrapText="1"/>
    </xf>
    <xf numFmtId="0" fontId="235" fillId="0" borderId="149" xfId="0" applyFont="1" applyBorder="1" applyAlignment="1">
      <alignment horizontal="right" wrapText="1"/>
    </xf>
    <xf numFmtId="0" fontId="235" fillId="0" borderId="35" xfId="0" applyFont="1" applyBorder="1" applyAlignment="1">
      <alignment horizontal="right" wrapText="1"/>
    </xf>
    <xf numFmtId="0" fontId="235" fillId="0" borderId="123" xfId="0" applyFont="1" applyBorder="1" applyAlignment="1">
      <alignment horizontal="right" wrapText="1"/>
    </xf>
    <xf numFmtId="0" fontId="235" fillId="0" borderId="129" xfId="0" applyFont="1" applyBorder="1" applyAlignment="1">
      <alignment horizontal="right" wrapText="1"/>
    </xf>
    <xf numFmtId="234" fontId="228" fillId="0" borderId="125" xfId="0" applyNumberFormat="1" applyFont="1" applyBorder="1" applyAlignment="1">
      <alignment horizontal="right"/>
    </xf>
    <xf numFmtId="165" fontId="203" fillId="0" borderId="0" xfId="0" applyNumberFormat="1" applyFont="1" applyAlignment="1">
      <alignment horizontal="center" vertical="top" wrapText="1"/>
    </xf>
    <xf numFmtId="0" fontId="203" fillId="0" borderId="0" xfId="0" applyFont="1" applyAlignment="1">
      <alignment vertical="top" wrapText="1"/>
    </xf>
    <xf numFmtId="169" fontId="203" fillId="0" borderId="0" xfId="0" applyNumberFormat="1" applyFont="1" applyAlignment="1">
      <alignment horizontal="right" vertical="top"/>
    </xf>
    <xf numFmtId="234" fontId="203" fillId="0" borderId="0" xfId="0" applyNumberFormat="1" applyFont="1" applyAlignment="1">
      <alignment horizontal="right" vertical="top"/>
    </xf>
    <xf numFmtId="0" fontId="228" fillId="0" borderId="0" xfId="0" applyFont="1" applyAlignment="1">
      <alignment horizontal="center" vertical="top" wrapText="1"/>
    </xf>
    <xf numFmtId="0" fontId="203" fillId="71" borderId="33" xfId="0" applyFont="1" applyFill="1" applyBorder="1"/>
    <xf numFmtId="10" fontId="203" fillId="71" borderId="33" xfId="0" applyNumberFormat="1" applyFont="1" applyFill="1" applyBorder="1"/>
    <xf numFmtId="0" fontId="203" fillId="71" borderId="163" xfId="0" applyFont="1" applyFill="1" applyBorder="1"/>
    <xf numFmtId="169" fontId="226" fillId="71" borderId="33" xfId="0" applyNumberFormat="1" applyFont="1" applyFill="1" applyBorder="1"/>
    <xf numFmtId="169" fontId="226" fillId="71" borderId="158" xfId="0" applyNumberFormat="1" applyFont="1" applyFill="1" applyBorder="1"/>
    <xf numFmtId="169" fontId="226" fillId="71" borderId="54" xfId="0" applyNumberFormat="1" applyFont="1" applyFill="1" applyBorder="1"/>
    <xf numFmtId="0" fontId="203" fillId="71" borderId="96" xfId="0" applyFont="1" applyFill="1" applyBorder="1"/>
    <xf numFmtId="234" fontId="226" fillId="71" borderId="33" xfId="0" applyNumberFormat="1" applyFont="1" applyFill="1" applyBorder="1"/>
    <xf numFmtId="0" fontId="203" fillId="0" borderId="33" xfId="0" applyFont="1" applyBorder="1"/>
    <xf numFmtId="165" fontId="226" fillId="71" borderId="33" xfId="0" applyNumberFormat="1" applyFont="1" applyFill="1" applyBorder="1"/>
    <xf numFmtId="165" fontId="226" fillId="71" borderId="50" xfId="0" applyNumberFormat="1" applyFont="1" applyFill="1" applyBorder="1"/>
    <xf numFmtId="0" fontId="226" fillId="71" borderId="12" xfId="0" applyFont="1" applyFill="1" applyBorder="1"/>
    <xf numFmtId="234" fontId="226" fillId="71" borderId="0" xfId="0" applyNumberFormat="1" applyFont="1" applyFill="1"/>
    <xf numFmtId="0" fontId="203" fillId="71" borderId="97" xfId="0" applyFont="1" applyFill="1" applyBorder="1"/>
    <xf numFmtId="234" fontId="226" fillId="71" borderId="45" xfId="0" applyNumberFormat="1" applyFont="1" applyFill="1" applyBorder="1"/>
    <xf numFmtId="0" fontId="238" fillId="0" borderId="0" xfId="0" applyFont="1"/>
    <xf numFmtId="0" fontId="238" fillId="0" borderId="0" xfId="0" applyFont="1" applyAlignment="1">
      <alignment horizontal="centerContinuous"/>
    </xf>
    <xf numFmtId="0" fontId="226" fillId="0" borderId="0" xfId="0" applyFont="1" applyAlignment="1">
      <alignment horizontal="right" wrapText="1"/>
    </xf>
    <xf numFmtId="0" fontId="224" fillId="72" borderId="52" xfId="0" applyFont="1" applyFill="1" applyBorder="1" applyAlignment="1">
      <alignment horizontal="centerContinuous"/>
    </xf>
    <xf numFmtId="0" fontId="224" fillId="72" borderId="63" xfId="0" applyFont="1" applyFill="1" applyBorder="1" applyAlignment="1">
      <alignment horizontal="centerContinuous"/>
    </xf>
    <xf numFmtId="0" fontId="224" fillId="72" borderId="52" xfId="0" applyFont="1" applyFill="1" applyBorder="1" applyAlignment="1">
      <alignment horizontal="centerContinuous" wrapText="1"/>
    </xf>
    <xf numFmtId="0" fontId="235" fillId="0" borderId="52" xfId="0" applyFont="1" applyBorder="1" applyAlignment="1">
      <alignment horizontal="right" wrapText="1"/>
    </xf>
    <xf numFmtId="0" fontId="235" fillId="0" borderId="51" xfId="0" applyFont="1" applyBorder="1" applyAlignment="1">
      <alignment horizontal="right" wrapText="1"/>
    </xf>
    <xf numFmtId="165" fontId="235" fillId="0" borderId="32" xfId="12422" applyNumberFormat="1" applyFont="1" applyBorder="1" applyAlignment="1">
      <alignment horizontal="right" wrapText="1"/>
    </xf>
    <xf numFmtId="0" fontId="235" fillId="0" borderId="29" xfId="0" applyFont="1" applyBorder="1" applyAlignment="1">
      <alignment horizontal="right" wrapText="1"/>
    </xf>
    <xf numFmtId="165" fontId="235" fillId="0" borderId="52" xfId="12422" applyNumberFormat="1" applyFont="1" applyBorder="1" applyAlignment="1">
      <alignment horizontal="right" wrapText="1"/>
    </xf>
    <xf numFmtId="0" fontId="235" fillId="0" borderId="51" xfId="0" applyFont="1" applyBorder="1" applyAlignment="1">
      <alignment horizontal="centerContinuous" wrapText="1"/>
    </xf>
    <xf numFmtId="0" fontId="235" fillId="0" borderId="29" xfId="0" applyFont="1" applyBorder="1" applyAlignment="1">
      <alignment horizontal="centerContinuous" wrapText="1"/>
    </xf>
    <xf numFmtId="0" fontId="239" fillId="0" borderId="68" xfId="0" applyFont="1" applyBorder="1"/>
    <xf numFmtId="234" fontId="233" fillId="0" borderId="0" xfId="0" applyNumberFormat="1" applyFont="1" applyAlignment="1">
      <alignment horizontal="right"/>
    </xf>
    <xf numFmtId="2" fontId="228" fillId="0" borderId="0" xfId="0" applyNumberFormat="1" applyFont="1" applyAlignment="1">
      <alignment horizontal="right"/>
    </xf>
    <xf numFmtId="165" fontId="228" fillId="0" borderId="0" xfId="12422" applyNumberFormat="1" applyFont="1" applyAlignment="1">
      <alignment horizontal="right"/>
    </xf>
    <xf numFmtId="0" fontId="226" fillId="0" borderId="64" xfId="0" applyFont="1" applyBorder="1"/>
    <xf numFmtId="0" fontId="203" fillId="0" borderId="64" xfId="0" applyFont="1" applyBorder="1"/>
    <xf numFmtId="169" fontId="226" fillId="0" borderId="64" xfId="0" applyNumberFormat="1" applyFont="1" applyBorder="1"/>
    <xf numFmtId="165" fontId="227" fillId="0" borderId="0" xfId="0" applyNumberFormat="1" applyFont="1"/>
    <xf numFmtId="0" fontId="203" fillId="71" borderId="35" xfId="0" applyFont="1" applyFill="1" applyBorder="1"/>
    <xf numFmtId="0" fontId="203" fillId="71" borderId="59" xfId="0" applyFont="1" applyFill="1" applyBorder="1"/>
    <xf numFmtId="169" fontId="226" fillId="71" borderId="35" xfId="0" applyNumberFormat="1" applyFont="1" applyFill="1" applyBorder="1"/>
    <xf numFmtId="169" fontId="226" fillId="71" borderId="42" xfId="0" applyNumberFormat="1" applyFont="1" applyFill="1" applyBorder="1"/>
    <xf numFmtId="0" fontId="230" fillId="65" borderId="0" xfId="0" applyFont="1" applyFill="1"/>
    <xf numFmtId="0" fontId="230" fillId="65" borderId="0" xfId="0" quotePrefix="1" applyFont="1" applyFill="1"/>
    <xf numFmtId="0" fontId="203" fillId="0" borderId="65" xfId="0" applyFont="1" applyBorder="1"/>
    <xf numFmtId="0" fontId="203" fillId="0" borderId="122" xfId="0" applyFont="1" applyBorder="1"/>
    <xf numFmtId="0" fontId="203" fillId="0" borderId="35" xfId="0" applyFont="1" applyBorder="1" applyAlignment="1">
      <alignment horizontal="centerContinuous"/>
    </xf>
    <xf numFmtId="0" fontId="203" fillId="0" borderId="42" xfId="0" applyFont="1" applyBorder="1" applyAlignment="1">
      <alignment horizontal="centerContinuous"/>
    </xf>
    <xf numFmtId="0" fontId="235" fillId="0" borderId="79" xfId="0" applyFont="1" applyBorder="1" applyAlignment="1">
      <alignment horizontal="left" wrapText="1"/>
    </xf>
    <xf numFmtId="0" fontId="235" fillId="0" borderId="45" xfId="0" applyFont="1" applyBorder="1" applyAlignment="1">
      <alignment horizontal="right" wrapText="1"/>
    </xf>
    <xf numFmtId="0" fontId="235" fillId="0" borderId="11" xfId="0" applyFont="1" applyBorder="1" applyAlignment="1">
      <alignment horizontal="right" wrapText="1"/>
    </xf>
    <xf numFmtId="0" fontId="203" fillId="0" borderId="34" xfId="0" applyFont="1" applyBorder="1" applyAlignment="1">
      <alignment wrapText="1"/>
    </xf>
    <xf numFmtId="0" fontId="203" fillId="0" borderId="35" xfId="0" applyFont="1" applyBorder="1" applyAlignment="1">
      <alignment wrapText="1"/>
    </xf>
    <xf numFmtId="0" fontId="233" fillId="0" borderId="35" xfId="0" applyFont="1" applyBorder="1" applyAlignment="1">
      <alignment wrapText="1"/>
    </xf>
    <xf numFmtId="0" fontId="233" fillId="0" borderId="42" xfId="0" applyFont="1" applyBorder="1" applyAlignment="1">
      <alignment wrapText="1"/>
    </xf>
    <xf numFmtId="0" fontId="226" fillId="0" borderId="81" xfId="0" applyFont="1" applyBorder="1" applyAlignment="1">
      <alignment horizontal="centerContinuous"/>
    </xf>
    <xf numFmtId="234" fontId="228" fillId="0" borderId="120" xfId="0" applyNumberFormat="1" applyFont="1" applyBorder="1" applyAlignment="1">
      <alignment horizontal="right"/>
    </xf>
    <xf numFmtId="0" fontId="224" fillId="72" borderId="81" xfId="0" applyFont="1" applyFill="1" applyBorder="1" applyAlignment="1">
      <alignment horizontal="centerContinuous"/>
    </xf>
    <xf numFmtId="0" fontId="224" fillId="72" borderId="62" xfId="0" applyFont="1" applyFill="1" applyBorder="1" applyAlignment="1">
      <alignment horizontal="centerContinuous"/>
    </xf>
    <xf numFmtId="0" fontId="224" fillId="72" borderId="13" xfId="0" applyFont="1" applyFill="1" applyBorder="1" applyAlignment="1">
      <alignment horizontal="centerContinuous"/>
    </xf>
    <xf numFmtId="0" fontId="235" fillId="0" borderId="81" xfId="0" applyFont="1" applyBorder="1" applyAlignment="1">
      <alignment horizontal="right" wrapText="1"/>
    </xf>
    <xf numFmtId="41" fontId="226" fillId="71" borderId="33" xfId="0" applyNumberFormat="1" applyFont="1" applyFill="1" applyBorder="1"/>
    <xf numFmtId="234" fontId="226" fillId="71" borderId="50" xfId="0" applyNumberFormat="1" applyFont="1" applyFill="1" applyBorder="1"/>
    <xf numFmtId="41" fontId="226" fillId="71" borderId="0" xfId="0" applyNumberFormat="1" applyFont="1" applyFill="1"/>
    <xf numFmtId="234" fontId="226" fillId="71" borderId="13" xfId="0" applyNumberFormat="1" applyFont="1" applyFill="1" applyBorder="1"/>
    <xf numFmtId="41" fontId="226" fillId="71" borderId="45" xfId="0" applyNumberFormat="1" applyFont="1" applyFill="1" applyBorder="1"/>
    <xf numFmtId="234" fontId="226" fillId="71" borderId="11" xfId="0" applyNumberFormat="1" applyFont="1" applyFill="1" applyBorder="1"/>
    <xf numFmtId="0" fontId="203" fillId="0" borderId="81" xfId="0" applyFont="1" applyBorder="1" applyAlignment="1">
      <alignment horizontal="centerContinuous"/>
    </xf>
    <xf numFmtId="0" fontId="226" fillId="0" borderId="68" xfId="0" applyFont="1" applyBorder="1" applyAlignment="1">
      <alignment horizontal="centerContinuous"/>
    </xf>
    <xf numFmtId="0" fontId="203" fillId="0" borderId="100" xfId="0" applyFont="1" applyBorder="1" applyAlignment="1">
      <alignment horizontal="centerContinuous"/>
    </xf>
    <xf numFmtId="0" fontId="226" fillId="0" borderId="100" xfId="0" applyFont="1" applyBorder="1" applyAlignment="1">
      <alignment horizontal="centerContinuous"/>
    </xf>
    <xf numFmtId="0" fontId="224" fillId="74" borderId="59" xfId="0" applyFont="1" applyFill="1" applyBorder="1" applyAlignment="1">
      <alignment horizontal="centerContinuous"/>
    </xf>
    <xf numFmtId="0" fontId="226" fillId="74" borderId="5" xfId="0" applyFont="1" applyFill="1" applyBorder="1" applyAlignment="1">
      <alignment horizontal="center" wrapText="1"/>
    </xf>
    <xf numFmtId="169" fontId="203" fillId="74" borderId="0" xfId="0" applyNumberFormat="1" applyFont="1" applyFill="1"/>
    <xf numFmtId="0" fontId="225" fillId="0" borderId="68" xfId="0" applyFont="1" applyBorder="1"/>
    <xf numFmtId="165" fontId="231" fillId="71" borderId="42" xfId="0" applyNumberFormat="1" applyFont="1" applyFill="1" applyBorder="1" applyAlignment="1">
      <alignment horizontal="center"/>
    </xf>
    <xf numFmtId="165" fontId="261" fillId="0" borderId="0" xfId="0" applyNumberFormat="1" applyFont="1"/>
    <xf numFmtId="0" fontId="266" fillId="72" borderId="80" xfId="0" applyFont="1" applyFill="1" applyBorder="1" applyAlignment="1">
      <alignment horizontal="left"/>
    </xf>
    <xf numFmtId="0" fontId="266" fillId="0" borderId="62" xfId="0" applyFont="1" applyBorder="1" applyAlignment="1">
      <alignment horizontal="centerContinuous"/>
    </xf>
    <xf numFmtId="0" fontId="266" fillId="72" borderId="80" xfId="0" applyFont="1" applyFill="1" applyBorder="1" applyAlignment="1">
      <alignment horizontal="center"/>
    </xf>
    <xf numFmtId="0" fontId="266" fillId="72" borderId="81" xfId="0" applyFont="1" applyFill="1" applyBorder="1" applyAlignment="1">
      <alignment horizontal="center"/>
    </xf>
    <xf numFmtId="0" fontId="266" fillId="72" borderId="67" xfId="0" applyFont="1" applyFill="1" applyBorder="1" applyAlignment="1">
      <alignment horizontal="center"/>
    </xf>
    <xf numFmtId="0" fontId="266" fillId="0" borderId="0" xfId="0" applyFont="1"/>
    <xf numFmtId="0" fontId="266" fillId="72" borderId="80" xfId="0" applyFont="1" applyFill="1" applyBorder="1" applyAlignment="1">
      <alignment horizontal="centerContinuous"/>
    </xf>
    <xf numFmtId="0" fontId="266" fillId="72" borderId="79" xfId="0" applyFont="1" applyFill="1" applyBorder="1" applyAlignment="1">
      <alignment horizontal="centerContinuous"/>
    </xf>
    <xf numFmtId="0" fontId="203" fillId="76" borderId="0" xfId="0" applyFont="1" applyFill="1" applyAlignment="1">
      <alignment horizontal="right"/>
    </xf>
    <xf numFmtId="165" fontId="233" fillId="0" borderId="0" xfId="0" applyNumberFormat="1" applyFont="1" applyAlignment="1">
      <alignment horizontal="right"/>
    </xf>
    <xf numFmtId="0" fontId="227" fillId="0" borderId="0" xfId="0" applyFont="1" applyAlignment="1">
      <alignment horizontal="right"/>
    </xf>
    <xf numFmtId="0" fontId="203" fillId="30" borderId="0" xfId="0" applyFont="1" applyFill="1"/>
    <xf numFmtId="8" fontId="270" fillId="0" borderId="0" xfId="0" applyNumberFormat="1" applyFont="1" applyAlignment="1">
      <alignment horizontal="right"/>
    </xf>
    <xf numFmtId="169" fontId="270" fillId="0" borderId="0" xfId="0" applyNumberFormat="1" applyFont="1" applyAlignment="1">
      <alignment horizontal="right"/>
    </xf>
    <xf numFmtId="8" fontId="234" fillId="0" borderId="0" xfId="0" applyNumberFormat="1" applyFont="1" applyAlignment="1">
      <alignment horizontal="right"/>
    </xf>
    <xf numFmtId="0" fontId="235" fillId="71" borderId="34" xfId="0" applyFont="1" applyFill="1" applyBorder="1"/>
    <xf numFmtId="0" fontId="234" fillId="71" borderId="35" xfId="0" applyFont="1" applyFill="1" applyBorder="1"/>
    <xf numFmtId="0" fontId="234" fillId="71" borderId="35" xfId="0" applyFont="1" applyFill="1" applyBorder="1" applyAlignment="1">
      <alignment horizontal="right"/>
    </xf>
    <xf numFmtId="169" fontId="235" fillId="71" borderId="35" xfId="0" applyNumberFormat="1" applyFont="1" applyFill="1" applyBorder="1" applyAlignment="1">
      <alignment horizontal="right"/>
    </xf>
    <xf numFmtId="0" fontId="235" fillId="71" borderId="35" xfId="0" applyFont="1" applyFill="1" applyBorder="1" applyAlignment="1">
      <alignment horizontal="right"/>
    </xf>
    <xf numFmtId="165" fontId="235" fillId="71" borderId="42" xfId="0" applyNumberFormat="1" applyFont="1" applyFill="1" applyBorder="1" applyAlignment="1">
      <alignment horizontal="right"/>
    </xf>
    <xf numFmtId="9" fontId="228" fillId="0" borderId="70" xfId="12422" applyFont="1" applyBorder="1"/>
    <xf numFmtId="0" fontId="226" fillId="71" borderId="35" xfId="0" applyFont="1" applyFill="1" applyBorder="1" applyAlignment="1">
      <alignment horizontal="right"/>
    </xf>
    <xf numFmtId="165" fontId="240" fillId="71" borderId="42" xfId="0" applyNumberFormat="1" applyFont="1" applyFill="1" applyBorder="1" applyAlignment="1">
      <alignment horizontal="right"/>
    </xf>
    <xf numFmtId="0" fontId="234" fillId="65" borderId="0" xfId="0" quotePrefix="1" applyFont="1" applyFill="1"/>
    <xf numFmtId="0" fontId="234" fillId="65" borderId="0" xfId="0" quotePrefix="1" applyFont="1" applyFill="1" applyAlignment="1">
      <alignment horizontal="left" indent="1"/>
    </xf>
    <xf numFmtId="0" fontId="234" fillId="0" borderId="0" xfId="0" quotePrefix="1" applyFont="1" applyAlignment="1">
      <alignment vertical="top"/>
    </xf>
    <xf numFmtId="0" fontId="203" fillId="0" borderId="0" xfId="0" applyFont="1" applyAlignment="1">
      <alignment horizontal="center" vertical="top"/>
    </xf>
    <xf numFmtId="0" fontId="234" fillId="0" borderId="0" xfId="0" quotePrefix="1" applyFont="1" applyAlignment="1">
      <alignment horizontal="right"/>
    </xf>
    <xf numFmtId="0" fontId="246" fillId="0" borderId="0" xfId="0" applyFont="1" applyAlignment="1">
      <alignment horizontal="right"/>
    </xf>
    <xf numFmtId="0" fontId="266" fillId="72" borderId="53" xfId="0" applyFont="1" applyFill="1" applyBorder="1" applyAlignment="1">
      <alignment horizontal="centerContinuous"/>
    </xf>
    <xf numFmtId="0" fontId="266" fillId="72" borderId="54" xfId="0" applyFont="1" applyFill="1" applyBorder="1" applyAlignment="1">
      <alignment horizontal="centerContinuous"/>
    </xf>
    <xf numFmtId="0" fontId="266" fillId="72" borderId="55" xfId="0" applyFont="1" applyFill="1" applyBorder="1" applyAlignment="1">
      <alignment horizontal="centerContinuous"/>
    </xf>
    <xf numFmtId="0" fontId="235" fillId="72" borderId="54" xfId="0" applyFont="1" applyFill="1" applyBorder="1" applyAlignment="1">
      <alignment horizontal="centerContinuous"/>
    </xf>
    <xf numFmtId="0" fontId="235" fillId="72" borderId="55" xfId="0" applyFont="1" applyFill="1" applyBorder="1" applyAlignment="1">
      <alignment horizontal="centerContinuous"/>
    </xf>
    <xf numFmtId="165" fontId="229" fillId="0" borderId="0" xfId="0" applyNumberFormat="1" applyFont="1"/>
    <xf numFmtId="0" fontId="235" fillId="0" borderId="52" xfId="0" applyFont="1" applyBorder="1" applyAlignment="1">
      <alignment horizontal="center" wrapText="1"/>
    </xf>
    <xf numFmtId="0" fontId="203" fillId="0" borderId="35" xfId="0" applyFont="1" applyBorder="1" applyAlignment="1">
      <alignment horizontal="right" wrapText="1"/>
    </xf>
    <xf numFmtId="0" fontId="266" fillId="28" borderId="34" xfId="0" applyFont="1" applyFill="1" applyBorder="1" applyAlignment="1">
      <alignment horizontal="center" wrapText="1"/>
    </xf>
    <xf numFmtId="0" fontId="266" fillId="28" borderId="35" xfId="0" applyFont="1" applyFill="1" applyBorder="1" applyAlignment="1">
      <alignment horizontal="center" wrapText="1"/>
    </xf>
    <xf numFmtId="0" fontId="266" fillId="28" borderId="42" xfId="0" applyFont="1" applyFill="1" applyBorder="1" applyAlignment="1">
      <alignment horizontal="center" wrapText="1"/>
    </xf>
    <xf numFmtId="0" fontId="237" fillId="0" borderId="153" xfId="0" applyFont="1" applyBorder="1" applyAlignment="1">
      <alignment wrapText="1"/>
    </xf>
    <xf numFmtId="0" fontId="233" fillId="0" borderId="0" xfId="0" applyFont="1" applyAlignment="1">
      <alignment horizontal="center"/>
    </xf>
    <xf numFmtId="234" fontId="203" fillId="0" borderId="0" xfId="0" quotePrefix="1" applyNumberFormat="1" applyFont="1" applyAlignment="1">
      <alignment horizontal="right"/>
    </xf>
    <xf numFmtId="234" fontId="226" fillId="71" borderId="127" xfId="0" applyNumberFormat="1" applyFont="1" applyFill="1" applyBorder="1"/>
    <xf numFmtId="0" fontId="243" fillId="72" borderId="79" xfId="0" applyFont="1" applyFill="1" applyBorder="1" applyAlignment="1">
      <alignment horizontal="left"/>
    </xf>
    <xf numFmtId="0" fontId="243" fillId="72" borderId="80" xfId="0" applyFont="1" applyFill="1" applyBorder="1" applyAlignment="1">
      <alignment horizontal="right"/>
    </xf>
    <xf numFmtId="0" fontId="243" fillId="72" borderId="81" xfId="0" applyFont="1" applyFill="1" applyBorder="1" applyAlignment="1">
      <alignment horizontal="right"/>
    </xf>
    <xf numFmtId="0" fontId="243" fillId="72" borderId="67" xfId="0" applyFont="1" applyFill="1" applyBorder="1" applyAlignment="1">
      <alignment horizontal="right"/>
    </xf>
    <xf numFmtId="0" fontId="243" fillId="72" borderId="79" xfId="0" applyFont="1" applyFill="1" applyBorder="1" applyAlignment="1">
      <alignment horizontal="centerContinuous"/>
    </xf>
    <xf numFmtId="0" fontId="203" fillId="72" borderId="45" xfId="0" applyFont="1" applyFill="1" applyBorder="1"/>
    <xf numFmtId="164" fontId="229" fillId="0" borderId="45" xfId="0" applyNumberFormat="1" applyFont="1" applyBorder="1" applyAlignment="1">
      <alignment horizontal="center"/>
    </xf>
    <xf numFmtId="10" fontId="203" fillId="0" borderId="45" xfId="0" applyNumberFormat="1" applyFont="1" applyBorder="1"/>
    <xf numFmtId="10" fontId="226" fillId="0" borderId="35" xfId="0" applyNumberFormat="1" applyFont="1" applyBorder="1"/>
    <xf numFmtId="165" fontId="226" fillId="0" borderId="35" xfId="0" applyNumberFormat="1" applyFont="1" applyBorder="1"/>
    <xf numFmtId="165" fontId="235" fillId="71" borderId="42" xfId="0" applyNumberFormat="1" applyFont="1" applyFill="1" applyBorder="1"/>
    <xf numFmtId="0" fontId="243" fillId="72" borderId="34" xfId="0" applyFont="1" applyFill="1" applyBorder="1"/>
    <xf numFmtId="0" fontId="248" fillId="72" borderId="35" xfId="0" applyFont="1" applyFill="1" applyBorder="1"/>
    <xf numFmtId="0" fontId="243" fillId="72" borderId="42" xfId="0" applyFont="1" applyFill="1" applyBorder="1" applyAlignment="1">
      <alignment horizontal="centerContinuous" wrapText="1"/>
    </xf>
    <xf numFmtId="0" fontId="234" fillId="0" borderId="0" xfId="0" quotePrefix="1" applyFont="1" applyAlignment="1">
      <alignment horizontal="center"/>
    </xf>
    <xf numFmtId="165" fontId="233" fillId="74" borderId="0" xfId="0" applyNumberFormat="1" applyFont="1" applyFill="1"/>
    <xf numFmtId="10" fontId="233" fillId="0" borderId="0" xfId="0" applyNumberFormat="1" applyFont="1"/>
    <xf numFmtId="10" fontId="227" fillId="0" borderId="0" xfId="0" applyNumberFormat="1" applyFont="1"/>
    <xf numFmtId="0" fontId="235" fillId="0" borderId="89" xfId="20379" applyFont="1" applyBorder="1" applyAlignment="1" applyProtection="1">
      <alignment horizontal="left"/>
      <protection locked="0"/>
    </xf>
    <xf numFmtId="0" fontId="235" fillId="0" borderId="90" xfId="20379" applyFont="1" applyBorder="1" applyAlignment="1" applyProtection="1">
      <alignment horizontal="center"/>
      <protection locked="0"/>
    </xf>
    <xf numFmtId="0" fontId="203" fillId="0" borderId="90" xfId="0" applyFont="1" applyBorder="1"/>
    <xf numFmtId="0" fontId="235" fillId="0" borderId="90" xfId="20379" applyFont="1" applyBorder="1" applyAlignment="1" applyProtection="1">
      <alignment horizontal="right"/>
      <protection locked="0"/>
    </xf>
    <xf numFmtId="0" fontId="235" fillId="0" borderId="93" xfId="20379" applyFont="1" applyBorder="1" applyAlignment="1" applyProtection="1">
      <alignment horizontal="right"/>
      <protection locked="0"/>
    </xf>
    <xf numFmtId="0" fontId="234" fillId="0" borderId="62" xfId="20379" applyFont="1" applyBorder="1" applyProtection="1">
      <protection locked="0"/>
    </xf>
    <xf numFmtId="0" fontId="234" fillId="0" borderId="0" xfId="20379" applyFont="1" applyProtection="1">
      <protection locked="0"/>
    </xf>
    <xf numFmtId="368" fontId="234" fillId="0" borderId="0" xfId="11155" applyNumberFormat="1" applyFont="1" applyProtection="1">
      <protection locked="0"/>
    </xf>
    <xf numFmtId="10" fontId="234" fillId="0" borderId="13" xfId="12074" applyNumberFormat="1" applyFont="1" applyBorder="1" applyAlignment="1" applyProtection="1">
      <alignment horizontal="right"/>
      <protection locked="0"/>
    </xf>
    <xf numFmtId="0" fontId="234" fillId="0" borderId="13" xfId="20379" applyFont="1" applyBorder="1" applyAlignment="1" applyProtection="1">
      <alignment horizontal="right"/>
      <protection locked="0"/>
    </xf>
    <xf numFmtId="0" fontId="234" fillId="0" borderId="10" xfId="20379" applyFont="1" applyBorder="1" applyProtection="1">
      <protection locked="0"/>
    </xf>
    <xf numFmtId="0" fontId="234" fillId="0" borderId="45" xfId="20379" applyFont="1" applyBorder="1" applyProtection="1">
      <protection locked="0"/>
    </xf>
    <xf numFmtId="368" fontId="234" fillId="0" borderId="45" xfId="11155" applyNumberFormat="1" applyFont="1" applyBorder="1" applyProtection="1">
      <protection locked="0"/>
    </xf>
    <xf numFmtId="10" fontId="234" fillId="0" borderId="97" xfId="12074" applyNumberFormat="1" applyFont="1" applyBorder="1" applyAlignment="1" applyProtection="1">
      <alignment horizontal="right"/>
      <protection locked="0"/>
    </xf>
    <xf numFmtId="0" fontId="203" fillId="0" borderId="99" xfId="0" applyFont="1" applyBorder="1"/>
    <xf numFmtId="0" fontId="203" fillId="0" borderId="45" xfId="0" applyFont="1" applyBorder="1" applyAlignment="1">
      <alignment wrapText="1"/>
    </xf>
    <xf numFmtId="10" fontId="203" fillId="0" borderId="97" xfId="12422" applyNumberFormat="1" applyFont="1" applyBorder="1"/>
    <xf numFmtId="0" fontId="224" fillId="72" borderId="53" xfId="0" applyFont="1" applyFill="1" applyBorder="1" applyAlignment="1">
      <alignment horizontal="centerContinuous"/>
    </xf>
    <xf numFmtId="1" fontId="235" fillId="0" borderId="34" xfId="0" applyNumberFormat="1" applyFont="1" applyBorder="1" applyAlignment="1">
      <alignment horizontal="right"/>
    </xf>
    <xf numFmtId="1" fontId="235" fillId="0" borderId="67" xfId="0" applyNumberFormat="1" applyFont="1" applyBorder="1" applyAlignment="1">
      <alignment horizontal="right"/>
    </xf>
    <xf numFmtId="169" fontId="235" fillId="0" borderId="163" xfId="0" applyNumberFormat="1" applyFont="1" applyBorder="1"/>
    <xf numFmtId="0" fontId="203" fillId="74" borderId="0" xfId="0" quotePrefix="1" applyFont="1" applyFill="1" applyAlignment="1">
      <alignment horizontal="center"/>
    </xf>
    <xf numFmtId="169" fontId="234" fillId="74" borderId="0" xfId="0" applyNumberFormat="1" applyFont="1" applyFill="1"/>
    <xf numFmtId="0" fontId="234" fillId="0" borderId="45" xfId="0" applyFont="1" applyBorder="1" applyAlignment="1">
      <alignment horizontal="left" indent="1"/>
    </xf>
    <xf numFmtId="169" fontId="234" fillId="0" borderId="45" xfId="0" applyNumberFormat="1" applyFont="1" applyBorder="1"/>
    <xf numFmtId="0" fontId="203" fillId="65" borderId="0" xfId="0" quotePrefix="1" applyFont="1" applyFill="1" applyAlignment="1">
      <alignment horizontal="left" indent="1"/>
    </xf>
    <xf numFmtId="169" fontId="271" fillId="0" borderId="35" xfId="0" applyNumberFormat="1" applyFont="1" applyBorder="1"/>
    <xf numFmtId="0" fontId="235" fillId="0" borderId="80" xfId="0" applyFont="1" applyBorder="1"/>
    <xf numFmtId="272" fontId="235" fillId="0" borderId="0" xfId="0" applyNumberFormat="1" applyFont="1"/>
    <xf numFmtId="0" fontId="220" fillId="0" borderId="153" xfId="0" applyFont="1" applyBorder="1"/>
    <xf numFmtId="0" fontId="220" fillId="0" borderId="148" xfId="0" applyFont="1" applyBorder="1" applyAlignment="1">
      <alignment horizontal="center"/>
    </xf>
    <xf numFmtId="0" fontId="220" fillId="0" borderId="149" xfId="0" applyFont="1" applyBorder="1" applyAlignment="1">
      <alignment horizontal="center"/>
    </xf>
    <xf numFmtId="0" fontId="220" fillId="0" borderId="150" xfId="0" applyFont="1" applyBorder="1" applyAlignment="1">
      <alignment horizontal="right"/>
    </xf>
    <xf numFmtId="43" fontId="220" fillId="0" borderId="0" xfId="0" applyNumberFormat="1" applyFont="1" applyAlignment="1">
      <alignment horizontal="center" vertical="center"/>
    </xf>
    <xf numFmtId="43" fontId="221" fillId="0" borderId="0" xfId="0" applyNumberFormat="1" applyFont="1" applyAlignment="1">
      <alignment horizontal="center" vertical="center"/>
    </xf>
    <xf numFmtId="22" fontId="203" fillId="0" borderId="0" xfId="0" applyNumberFormat="1" applyFont="1" applyAlignment="1">
      <alignment horizontal="left"/>
    </xf>
    <xf numFmtId="0" fontId="226" fillId="0" borderId="79" xfId="0" applyFont="1" applyBorder="1"/>
    <xf numFmtId="0" fontId="203" fillId="0" borderId="79" xfId="0" applyFont="1" applyBorder="1"/>
    <xf numFmtId="164" fontId="203" fillId="0" borderId="79" xfId="0" applyNumberFormat="1" applyFont="1" applyBorder="1"/>
    <xf numFmtId="0" fontId="203" fillId="0" borderId="79" xfId="0" applyFont="1" applyBorder="1" applyAlignment="1">
      <alignment wrapText="1"/>
    </xf>
    <xf numFmtId="14" fontId="203" fillId="0" borderId="79" xfId="0" applyNumberFormat="1" applyFont="1" applyBorder="1"/>
    <xf numFmtId="164" fontId="226" fillId="73" borderId="0" xfId="0" applyNumberFormat="1" applyFont="1" applyFill="1"/>
    <xf numFmtId="0" fontId="228" fillId="70" borderId="0" xfId="0" applyFont="1" applyFill="1" applyAlignment="1">
      <alignment horizontal="right"/>
    </xf>
    <xf numFmtId="164" fontId="228" fillId="70" borderId="0" xfId="0" applyNumberFormat="1" applyFont="1" applyFill="1" applyAlignment="1">
      <alignment horizontal="right"/>
    </xf>
    <xf numFmtId="165" fontId="228" fillId="70" borderId="0" xfId="12422" applyNumberFormat="1" applyFont="1" applyFill="1" applyAlignment="1">
      <alignment horizontal="right"/>
    </xf>
    <xf numFmtId="0" fontId="226" fillId="0" borderId="34" xfId="0" applyFont="1" applyBorder="1" applyAlignment="1">
      <alignment horizontal="center"/>
    </xf>
    <xf numFmtId="0" fontId="226" fillId="0" borderId="35" xfId="0" applyFont="1" applyBorder="1" applyAlignment="1">
      <alignment horizontal="left"/>
    </xf>
    <xf numFmtId="0" fontId="259" fillId="0" borderId="35" xfId="0" applyFont="1" applyBorder="1" applyAlignment="1">
      <alignment horizontal="center"/>
    </xf>
    <xf numFmtId="0" fontId="203" fillId="0" borderId="42" xfId="0" applyFont="1" applyBorder="1" applyAlignment="1">
      <alignment horizontal="right"/>
    </xf>
    <xf numFmtId="0" fontId="203" fillId="0" borderId="112" xfId="0" applyFont="1" applyBorder="1" applyAlignment="1">
      <alignment horizontal="center"/>
    </xf>
    <xf numFmtId="0" fontId="233" fillId="70" borderId="114" xfId="0" applyFont="1" applyFill="1" applyBorder="1"/>
    <xf numFmtId="0" fontId="203" fillId="73" borderId="114" xfId="0" applyFont="1" applyFill="1" applyBorder="1" applyAlignment="1">
      <alignment horizontal="center"/>
    </xf>
    <xf numFmtId="342" fontId="203" fillId="73" borderId="115" xfId="0" applyNumberFormat="1" applyFont="1" applyFill="1" applyBorder="1" applyAlignment="1">
      <alignment horizontal="right"/>
    </xf>
    <xf numFmtId="0" fontId="233" fillId="70" borderId="0" xfId="0" applyFont="1" applyFill="1"/>
    <xf numFmtId="342" fontId="203" fillId="73" borderId="13" xfId="0" applyNumberFormat="1" applyFont="1" applyFill="1" applyBorder="1" applyAlignment="1">
      <alignment horizontal="right"/>
    </xf>
    <xf numFmtId="0" fontId="233" fillId="70" borderId="45" xfId="0" applyFont="1" applyFill="1" applyBorder="1"/>
    <xf numFmtId="342" fontId="203" fillId="73" borderId="97" xfId="0" applyNumberFormat="1" applyFont="1" applyFill="1" applyBorder="1" applyAlignment="1">
      <alignment horizontal="right"/>
    </xf>
    <xf numFmtId="0" fontId="4" fillId="0" borderId="0" xfId="20405"/>
    <xf numFmtId="0" fontId="273" fillId="94" borderId="0" xfId="20405" applyFont="1" applyFill="1" applyAlignment="1">
      <alignment horizontal="right" vertical="center" wrapText="1"/>
    </xf>
    <xf numFmtId="0" fontId="273" fillId="94" borderId="0" xfId="20405" applyFont="1" applyFill="1" applyAlignment="1">
      <alignment horizontal="left" vertical="center"/>
    </xf>
    <xf numFmtId="0" fontId="273" fillId="94" borderId="184" xfId="20405" applyFont="1" applyFill="1" applyBorder="1" applyAlignment="1">
      <alignment horizontal="right" vertical="center" wrapText="1"/>
    </xf>
    <xf numFmtId="0" fontId="273" fillId="94" borderId="184" xfId="20405" applyFont="1" applyFill="1" applyBorder="1" applyAlignment="1">
      <alignment horizontal="left" vertical="center"/>
    </xf>
    <xf numFmtId="0" fontId="274" fillId="95" borderId="0" xfId="20405" applyFont="1" applyFill="1" applyAlignment="1">
      <alignment horizontal="right" vertical="center" wrapText="1"/>
    </xf>
    <xf numFmtId="0" fontId="273" fillId="95" borderId="0" xfId="20405" applyFont="1" applyFill="1" applyAlignment="1">
      <alignment horizontal="left" vertical="center"/>
    </xf>
    <xf numFmtId="0" fontId="274" fillId="95" borderId="185" xfId="20405" applyFont="1" applyFill="1" applyBorder="1" applyAlignment="1">
      <alignment horizontal="right" vertical="center" wrapText="1"/>
    </xf>
    <xf numFmtId="0" fontId="273" fillId="95" borderId="185" xfId="20405" applyFont="1" applyFill="1" applyBorder="1" applyAlignment="1">
      <alignment horizontal="left" vertical="center"/>
    </xf>
    <xf numFmtId="0" fontId="274" fillId="95" borderId="186" xfId="20405" applyFont="1" applyFill="1" applyBorder="1" applyAlignment="1">
      <alignment horizontal="right" vertical="center" wrapText="1"/>
    </xf>
    <xf numFmtId="0" fontId="274" fillId="0" borderId="186" xfId="20405" applyFont="1" applyBorder="1" applyAlignment="1">
      <alignment horizontal="right" vertical="center" wrapText="1"/>
    </xf>
    <xf numFmtId="0" fontId="274" fillId="0" borderId="186" xfId="20405" applyFont="1" applyBorder="1" applyAlignment="1">
      <alignment horizontal="left" vertical="center"/>
    </xf>
    <xf numFmtId="0" fontId="273" fillId="96" borderId="187" xfId="20405" applyFont="1" applyFill="1" applyBorder="1" applyAlignment="1">
      <alignment horizontal="right" vertical="center" wrapText="1"/>
    </xf>
    <xf numFmtId="0" fontId="273" fillId="96" borderId="187" xfId="20405" applyFont="1" applyFill="1" applyBorder="1" applyAlignment="1">
      <alignment horizontal="left" vertical="center"/>
    </xf>
    <xf numFmtId="0" fontId="274" fillId="96" borderId="0" xfId="20405" applyFont="1" applyFill="1"/>
    <xf numFmtId="0" fontId="275" fillId="96" borderId="0" xfId="20405" applyFont="1" applyFill="1"/>
    <xf numFmtId="0" fontId="274" fillId="0" borderId="0" xfId="20405" applyFont="1" applyAlignment="1">
      <alignment horizontal="left" vertical="center"/>
    </xf>
    <xf numFmtId="0" fontId="274" fillId="0" borderId="0" xfId="20405" applyFont="1" applyAlignment="1">
      <alignment horizontal="right" vertical="center" wrapText="1"/>
    </xf>
    <xf numFmtId="0" fontId="274" fillId="0" borderId="0" xfId="20405" applyFont="1" applyAlignment="1">
      <alignment horizontal="center" vertical="center" wrapText="1"/>
    </xf>
    <xf numFmtId="0" fontId="274" fillId="0" borderId="0" xfId="20405" applyFont="1" applyAlignment="1">
      <alignment horizontal="left" vertical="center" wrapText="1"/>
    </xf>
    <xf numFmtId="0" fontId="273" fillId="96" borderId="187" xfId="20405" applyFont="1" applyFill="1" applyBorder="1" applyAlignment="1">
      <alignment horizontal="center" vertical="center" wrapText="1"/>
    </xf>
    <xf numFmtId="0" fontId="273" fillId="96" borderId="187" xfId="20405" applyFont="1" applyFill="1" applyBorder="1" applyAlignment="1">
      <alignment horizontal="left" vertical="center" wrapText="1"/>
    </xf>
    <xf numFmtId="0" fontId="274" fillId="96" borderId="0" xfId="20405" applyFont="1" applyFill="1" applyAlignment="1">
      <alignment horizontal="left" vertical="center"/>
    </xf>
    <xf numFmtId="0" fontId="274" fillId="96" borderId="0" xfId="20405" applyFont="1" applyFill="1" applyAlignment="1">
      <alignment horizontal="right" vertical="center" wrapText="1"/>
    </xf>
    <xf numFmtId="0" fontId="274" fillId="96" borderId="0" xfId="20405" applyFont="1" applyFill="1" applyAlignment="1">
      <alignment horizontal="center" vertical="center" wrapText="1"/>
    </xf>
    <xf numFmtId="0" fontId="274" fillId="96" borderId="0" xfId="20405" applyFont="1" applyFill="1" applyAlignment="1">
      <alignment horizontal="left" vertical="center" wrapText="1"/>
    </xf>
    <xf numFmtId="0" fontId="274" fillId="97" borderId="188" xfId="20405" applyFont="1" applyFill="1" applyBorder="1" applyAlignment="1">
      <alignment horizontal="center" vertical="center" wrapText="1"/>
    </xf>
    <xf numFmtId="0" fontId="274" fillId="96" borderId="0" xfId="20405" applyFont="1" applyFill="1" applyAlignment="1">
      <alignment horizontal="right" vertical="center"/>
    </xf>
    <xf numFmtId="49" fontId="276" fillId="0" borderId="0" xfId="20405" applyNumberFormat="1" applyFont="1" applyAlignment="1">
      <alignment horizontal="center"/>
    </xf>
    <xf numFmtId="49" fontId="272" fillId="0" borderId="0" xfId="20405" applyNumberFormat="1" applyFont="1" applyAlignment="1">
      <alignment horizontal="center"/>
    </xf>
    <xf numFmtId="49" fontId="277" fillId="0" borderId="0" xfId="20405" applyNumberFormat="1" applyFont="1" applyAlignment="1">
      <alignment horizontal="centerContinuous"/>
    </xf>
    <xf numFmtId="49" fontId="277" fillId="0" borderId="0" xfId="20405" applyNumberFormat="1" applyFont="1" applyAlignment="1">
      <alignment horizontal="center"/>
    </xf>
    <xf numFmtId="0" fontId="279" fillId="0" borderId="45" xfId="20405" applyFont="1" applyBorder="1" applyAlignment="1">
      <alignment horizontal="center"/>
    </xf>
    <xf numFmtId="49" fontId="277" fillId="0" borderId="45" xfId="20405" applyNumberFormat="1" applyFont="1" applyBorder="1" applyAlignment="1">
      <alignment horizontal="center"/>
    </xf>
    <xf numFmtId="49" fontId="277" fillId="0" borderId="0" xfId="20405" applyNumberFormat="1" applyFont="1"/>
    <xf numFmtId="0" fontId="279" fillId="98" borderId="0" xfId="20405" applyFont="1" applyFill="1"/>
    <xf numFmtId="0" fontId="279" fillId="0" borderId="0" xfId="20406" applyNumberFormat="1" applyFont="1"/>
    <xf numFmtId="248" fontId="279" fillId="0" borderId="0" xfId="20407" applyNumberFormat="1" applyFont="1"/>
    <xf numFmtId="248" fontId="279" fillId="0" borderId="189" xfId="20407" applyNumberFormat="1" applyFont="1" applyBorder="1"/>
    <xf numFmtId="248" fontId="279" fillId="99" borderId="0" xfId="20407" applyNumberFormat="1" applyFont="1" applyFill="1"/>
    <xf numFmtId="248" fontId="4" fillId="0" borderId="0" xfId="20405" applyNumberFormat="1"/>
    <xf numFmtId="49" fontId="280" fillId="0" borderId="0" xfId="20405" applyNumberFormat="1" applyFont="1"/>
    <xf numFmtId="0" fontId="281" fillId="0" borderId="190" xfId="20406" applyNumberFormat="1" applyFont="1" applyBorder="1"/>
    <xf numFmtId="0" fontId="279" fillId="98" borderId="191" xfId="20405" applyFont="1" applyFill="1" applyBorder="1"/>
    <xf numFmtId="248" fontId="0" fillId="0" borderId="0" xfId="20407" applyNumberFormat="1" applyFont="1"/>
    <xf numFmtId="49" fontId="276" fillId="0" borderId="0" xfId="20405" applyNumberFormat="1" applyFont="1"/>
    <xf numFmtId="49" fontId="277" fillId="100" borderId="0" xfId="20405" applyNumberFormat="1" applyFont="1" applyFill="1"/>
    <xf numFmtId="49" fontId="282" fillId="0" borderId="0" xfId="20405" applyNumberFormat="1" applyFont="1"/>
    <xf numFmtId="49" fontId="282" fillId="100" borderId="0" xfId="20405" applyNumberFormat="1" applyFont="1" applyFill="1"/>
    <xf numFmtId="49" fontId="280" fillId="100" borderId="0" xfId="20405" applyNumberFormat="1" applyFont="1" applyFill="1"/>
    <xf numFmtId="0" fontId="281" fillId="0" borderId="192" xfId="20406" applyNumberFormat="1" applyFont="1" applyBorder="1"/>
    <xf numFmtId="0" fontId="277" fillId="0" borderId="0" xfId="20405" applyFont="1"/>
    <xf numFmtId="0" fontId="279" fillId="0" borderId="0" xfId="20405" applyFont="1"/>
    <xf numFmtId="0" fontId="284" fillId="0" borderId="0" xfId="20405" applyFont="1"/>
    <xf numFmtId="248" fontId="277" fillId="0" borderId="0" xfId="20407" applyNumberFormat="1" applyFont="1"/>
    <xf numFmtId="0" fontId="281" fillId="0" borderId="0" xfId="20405" applyFont="1"/>
    <xf numFmtId="0" fontId="280" fillId="0" borderId="14" xfId="20406" applyNumberFormat="1" applyFont="1" applyBorder="1"/>
    <xf numFmtId="248" fontId="277" fillId="0" borderId="177" xfId="20407" applyNumberFormat="1" applyFont="1" applyBorder="1"/>
    <xf numFmtId="0" fontId="280" fillId="0" borderId="14" xfId="20407" applyNumberFormat="1" applyFont="1" applyBorder="1"/>
    <xf numFmtId="0" fontId="224" fillId="72" borderId="176" xfId="0" applyFont="1" applyFill="1" applyBorder="1" applyAlignment="1">
      <alignment horizontal="centerContinuous"/>
    </xf>
    <xf numFmtId="0" fontId="224" fillId="72" borderId="178" xfId="0" applyFont="1" applyFill="1" applyBorder="1" applyAlignment="1">
      <alignment horizontal="centerContinuous"/>
    </xf>
    <xf numFmtId="0" fontId="224" fillId="0" borderId="0" xfId="0" applyFont="1" applyAlignment="1">
      <alignment horizontal="centerContinuous"/>
    </xf>
    <xf numFmtId="0" fontId="224" fillId="0" borderId="45" xfId="0" applyFont="1" applyBorder="1" applyAlignment="1">
      <alignment horizontal="centerContinuous"/>
    </xf>
    <xf numFmtId="1" fontId="235" fillId="0" borderId="176" xfId="0" applyNumberFormat="1" applyFont="1" applyBorder="1" applyAlignment="1">
      <alignment horizontal="right"/>
    </xf>
    <xf numFmtId="1" fontId="235" fillId="0" borderId="178" xfId="0" applyNumberFormat="1" applyFont="1" applyBorder="1" applyAlignment="1">
      <alignment horizontal="right"/>
    </xf>
    <xf numFmtId="0" fontId="224" fillId="72" borderId="180" xfId="0" applyFont="1" applyFill="1" applyBorder="1" applyAlignment="1">
      <alignment horizontal="centerContinuous"/>
    </xf>
    <xf numFmtId="1" fontId="235" fillId="0" borderId="177" xfId="0" applyNumberFormat="1" applyFont="1" applyBorder="1" applyAlignment="1">
      <alignment horizontal="right"/>
    </xf>
    <xf numFmtId="0" fontId="224" fillId="72" borderId="177" xfId="0" applyFont="1" applyFill="1" applyBorder="1" applyAlignment="1">
      <alignment horizontal="centerContinuous"/>
    </xf>
    <xf numFmtId="44" fontId="284" fillId="0" borderId="0" xfId="20405" applyNumberFormat="1" applyFont="1"/>
    <xf numFmtId="0" fontId="285" fillId="0" borderId="0" xfId="20405" applyFont="1"/>
    <xf numFmtId="248" fontId="284" fillId="0" borderId="0" xfId="20405" applyNumberFormat="1" applyFont="1"/>
    <xf numFmtId="0" fontId="279" fillId="0" borderId="14" xfId="20406" applyNumberFormat="1" applyFont="1" applyBorder="1"/>
    <xf numFmtId="248" fontId="279" fillId="0" borderId="14" xfId="20407" applyNumberFormat="1" applyFont="1" applyBorder="1"/>
    <xf numFmtId="248" fontId="279" fillId="0" borderId="177" xfId="20407" applyNumberFormat="1" applyFont="1" applyBorder="1"/>
    <xf numFmtId="248" fontId="279" fillId="0" borderId="183" xfId="20407" applyNumberFormat="1" applyFont="1" applyBorder="1"/>
    <xf numFmtId="248" fontId="279" fillId="0" borderId="45" xfId="20407" applyNumberFormat="1" applyFont="1" applyBorder="1"/>
    <xf numFmtId="37" fontId="279" fillId="0" borderId="0" xfId="20407" applyNumberFormat="1" applyFont="1"/>
    <xf numFmtId="0" fontId="279" fillId="0" borderId="183" xfId="20405" applyFont="1" applyBorder="1"/>
    <xf numFmtId="248" fontId="277" fillId="0" borderId="45" xfId="20407" applyNumberFormat="1" applyFont="1" applyBorder="1"/>
    <xf numFmtId="0" fontId="279" fillId="0" borderId="97" xfId="20405" applyFont="1" applyBorder="1" applyAlignment="1">
      <alignment horizontal="center"/>
    </xf>
    <xf numFmtId="0" fontId="279" fillId="0" borderId="194" xfId="20405" applyFont="1" applyBorder="1"/>
    <xf numFmtId="0" fontId="279" fillId="0" borderId="0" xfId="20405" applyFont="1" applyAlignment="1">
      <alignment horizontal="center"/>
    </xf>
    <xf numFmtId="0" fontId="279" fillId="0" borderId="32" xfId="20405" applyFont="1" applyBorder="1" applyAlignment="1">
      <alignment horizontal="center"/>
    </xf>
    <xf numFmtId="0" fontId="279" fillId="0" borderId="132" xfId="20405" applyFont="1" applyBorder="1" applyAlignment="1">
      <alignment horizontal="center"/>
    </xf>
    <xf numFmtId="0" fontId="286" fillId="101" borderId="0" xfId="20405" applyFont="1" applyFill="1" applyAlignment="1">
      <alignment horizontal="center"/>
    </xf>
    <xf numFmtId="0" fontId="286" fillId="101" borderId="177" xfId="20405" applyFont="1" applyFill="1" applyBorder="1" applyAlignment="1">
      <alignment horizontal="center"/>
    </xf>
    <xf numFmtId="0" fontId="286" fillId="101" borderId="166" xfId="20405" applyFont="1" applyFill="1" applyBorder="1" applyAlignment="1">
      <alignment horizontal="center"/>
    </xf>
    <xf numFmtId="0" fontId="286" fillId="101" borderId="176" xfId="20405" applyFont="1" applyFill="1" applyBorder="1" applyAlignment="1">
      <alignment horizontal="center"/>
    </xf>
    <xf numFmtId="0" fontId="279" fillId="102" borderId="0" xfId="20405" applyFont="1" applyFill="1" applyAlignment="1">
      <alignment horizontal="center"/>
    </xf>
    <xf numFmtId="0" fontId="150" fillId="0" borderId="0" xfId="20405" applyFont="1"/>
    <xf numFmtId="248" fontId="279" fillId="0" borderId="0" xfId="20405" applyNumberFormat="1" applyFont="1"/>
    <xf numFmtId="248" fontId="279" fillId="102" borderId="0" xfId="20407" applyNumberFormat="1" applyFont="1" applyFill="1"/>
    <xf numFmtId="0" fontId="279" fillId="102" borderId="0" xfId="20405" applyFont="1" applyFill="1"/>
    <xf numFmtId="0" fontId="280" fillId="102" borderId="14" xfId="20407" applyNumberFormat="1" applyFont="1" applyFill="1" applyBorder="1"/>
    <xf numFmtId="248" fontId="277" fillId="102" borderId="0" xfId="20407" applyNumberFormat="1" applyFont="1" applyFill="1"/>
    <xf numFmtId="248" fontId="277" fillId="102" borderId="183" xfId="20407" applyNumberFormat="1" applyFont="1" applyFill="1" applyBorder="1"/>
    <xf numFmtId="248" fontId="277" fillId="102" borderId="45" xfId="20407" applyNumberFormat="1" applyFont="1" applyFill="1" applyBorder="1"/>
    <xf numFmtId="0" fontId="277" fillId="102" borderId="45" xfId="20407" applyNumberFormat="1" applyFont="1" applyFill="1" applyBorder="1"/>
    <xf numFmtId="37" fontId="277" fillId="102" borderId="0" xfId="20407" applyNumberFormat="1" applyFont="1" applyFill="1"/>
    <xf numFmtId="0" fontId="277" fillId="102" borderId="0" xfId="20407" applyNumberFormat="1" applyFont="1" applyFill="1"/>
    <xf numFmtId="248" fontId="277" fillId="102" borderId="177" xfId="20407" applyNumberFormat="1" applyFont="1" applyFill="1" applyBorder="1"/>
    <xf numFmtId="0" fontId="280" fillId="102" borderId="14" xfId="20406" applyNumberFormat="1" applyFont="1" applyFill="1" applyBorder="1"/>
    <xf numFmtId="0" fontId="279" fillId="0" borderId="45" xfId="20405" applyFont="1" applyBorder="1"/>
    <xf numFmtId="0" fontId="277" fillId="0" borderId="45" xfId="20407" applyNumberFormat="1" applyFont="1" applyBorder="1"/>
    <xf numFmtId="0" fontId="4" fillId="102" borderId="0" xfId="20405" applyFill="1"/>
    <xf numFmtId="0" fontId="277" fillId="102" borderId="0" xfId="20405" applyFont="1" applyFill="1"/>
    <xf numFmtId="0" fontId="284" fillId="102" borderId="0" xfId="20405" applyFont="1" applyFill="1"/>
    <xf numFmtId="0" fontId="279" fillId="102" borderId="45" xfId="20405" applyFont="1" applyFill="1" applyBorder="1" applyAlignment="1">
      <alignment horizontal="center"/>
    </xf>
    <xf numFmtId="0" fontId="279" fillId="102" borderId="132" xfId="20405" applyFont="1" applyFill="1" applyBorder="1" applyAlignment="1">
      <alignment horizontal="center"/>
    </xf>
    <xf numFmtId="14" fontId="279" fillId="102" borderId="0" xfId="20405" applyNumberFormat="1" applyFont="1" applyFill="1" applyAlignment="1">
      <alignment horizontal="center"/>
    </xf>
    <xf numFmtId="266" fontId="279" fillId="0" borderId="0" xfId="20407" applyNumberFormat="1" applyFont="1"/>
    <xf numFmtId="43" fontId="279" fillId="0" borderId="0" xfId="20407" applyFont="1"/>
    <xf numFmtId="368" fontId="279" fillId="0" borderId="0" xfId="20407" applyNumberFormat="1" applyFont="1"/>
    <xf numFmtId="248" fontId="287" fillId="0" borderId="0" xfId="20407" applyNumberFormat="1" applyFont="1"/>
    <xf numFmtId="0" fontId="279" fillId="0" borderId="176" xfId="20405" applyFont="1" applyBorder="1" applyAlignment="1">
      <alignment horizontal="center"/>
    </xf>
    <xf numFmtId="0" fontId="288" fillId="0" borderId="0" xfId="0" applyFont="1"/>
    <xf numFmtId="14" fontId="274" fillId="0" borderId="0" xfId="20405" applyNumberFormat="1" applyFont="1" applyAlignment="1">
      <alignment horizontal="center" vertical="center" wrapText="1"/>
    </xf>
    <xf numFmtId="0" fontId="150" fillId="0" borderId="0" xfId="20405" applyFont="1" applyAlignment="1">
      <alignment horizontal="center"/>
    </xf>
    <xf numFmtId="41" fontId="4" fillId="0" borderId="0" xfId="20405" applyNumberFormat="1"/>
    <xf numFmtId="41" fontId="150" fillId="0" borderId="0" xfId="20405" applyNumberFormat="1" applyFont="1"/>
    <xf numFmtId="0" fontId="203" fillId="0" borderId="166" xfId="0" applyFont="1" applyBorder="1"/>
    <xf numFmtId="164" fontId="233" fillId="92" borderId="0" xfId="0" applyNumberFormat="1" applyFont="1" applyFill="1" applyAlignment="1">
      <alignment horizontal="right"/>
    </xf>
    <xf numFmtId="325" fontId="228" fillId="0" borderId="0" xfId="0" applyNumberFormat="1" applyFont="1"/>
    <xf numFmtId="0" fontId="226" fillId="0" borderId="176" xfId="0" applyFont="1" applyBorder="1" applyAlignment="1">
      <alignment horizontal="center"/>
    </xf>
    <xf numFmtId="325" fontId="227" fillId="0" borderId="51" xfId="0" applyNumberFormat="1" applyFont="1" applyBorder="1" applyAlignment="1">
      <alignment horizontal="center"/>
    </xf>
    <xf numFmtId="325" fontId="234" fillId="0" borderId="51" xfId="0" applyNumberFormat="1" applyFont="1" applyBorder="1" applyAlignment="1">
      <alignment horizontal="center"/>
    </xf>
    <xf numFmtId="325" fontId="234" fillId="0" borderId="32" xfId="0" applyNumberFormat="1" applyFont="1" applyBorder="1" applyAlignment="1">
      <alignment horizontal="center"/>
    </xf>
    <xf numFmtId="0" fontId="203" fillId="0" borderId="183" xfId="0" applyFont="1" applyBorder="1"/>
    <xf numFmtId="0" fontId="203" fillId="0" borderId="182" xfId="0" applyFont="1" applyBorder="1"/>
    <xf numFmtId="8" fontId="229" fillId="0" borderId="0" xfId="0" applyNumberFormat="1" applyFont="1"/>
    <xf numFmtId="0" fontId="243" fillId="72" borderId="0" xfId="0" applyFont="1" applyFill="1" applyAlignment="1">
      <alignment horizontal="center" wrapText="1"/>
    </xf>
    <xf numFmtId="0" fontId="243" fillId="72" borderId="178" xfId="0" applyFont="1" applyFill="1" applyBorder="1" applyAlignment="1">
      <alignment horizontal="center" wrapText="1"/>
    </xf>
    <xf numFmtId="0" fontId="3" fillId="0" borderId="0" xfId="20408"/>
    <xf numFmtId="49" fontId="276" fillId="0" borderId="0" xfId="20408" applyNumberFormat="1" applyFont="1"/>
    <xf numFmtId="49" fontId="283" fillId="0" borderId="0" xfId="20408" applyNumberFormat="1" applyFont="1"/>
    <xf numFmtId="49" fontId="280" fillId="0" borderId="0" xfId="20408" applyNumberFormat="1" applyFont="1"/>
    <xf numFmtId="49" fontId="277" fillId="0" borderId="0" xfId="20408" applyNumberFormat="1" applyFont="1" applyAlignment="1">
      <alignment horizontal="centerContinuous"/>
    </xf>
    <xf numFmtId="0" fontId="279" fillId="0" borderId="0" xfId="20408" applyFont="1"/>
    <xf numFmtId="49" fontId="277" fillId="0" borderId="0" xfId="20408" applyNumberFormat="1" applyFont="1" applyAlignment="1">
      <alignment horizontal="center"/>
    </xf>
    <xf numFmtId="0" fontId="279" fillId="0" borderId="45" xfId="20408" applyFont="1" applyBorder="1" applyAlignment="1">
      <alignment horizontal="center"/>
    </xf>
    <xf numFmtId="0" fontId="284" fillId="0" borderId="0" xfId="20408" applyFont="1"/>
    <xf numFmtId="0" fontId="277" fillId="0" borderId="0" xfId="20408" applyFont="1"/>
    <xf numFmtId="0" fontId="277" fillId="0" borderId="0" xfId="20409" applyNumberFormat="1" applyFont="1"/>
    <xf numFmtId="0" fontId="277" fillId="0" borderId="189" xfId="20409" applyNumberFormat="1" applyFont="1" applyBorder="1"/>
    <xf numFmtId="248" fontId="0" fillId="0" borderId="0" xfId="20409" applyNumberFormat="1" applyFont="1"/>
    <xf numFmtId="248" fontId="277" fillId="0" borderId="0" xfId="20409" applyNumberFormat="1" applyFont="1"/>
    <xf numFmtId="248" fontId="277" fillId="0" borderId="189" xfId="20409" applyNumberFormat="1" applyFont="1" applyBorder="1"/>
    <xf numFmtId="248" fontId="277" fillId="0" borderId="183" xfId="20409" applyNumberFormat="1" applyFont="1" applyBorder="1"/>
    <xf numFmtId="0" fontId="281" fillId="0" borderId="0" xfId="20408" applyFont="1"/>
    <xf numFmtId="0" fontId="280" fillId="0" borderId="14" xfId="20410" applyNumberFormat="1" applyFont="1" applyBorder="1"/>
    <xf numFmtId="0" fontId="280" fillId="0" borderId="192" xfId="20410" applyNumberFormat="1" applyFont="1" applyBorder="1"/>
    <xf numFmtId="248" fontId="277" fillId="0" borderId="177" xfId="20409" applyNumberFormat="1" applyFont="1" applyBorder="1"/>
    <xf numFmtId="248" fontId="277" fillId="0" borderId="193" xfId="20409" applyNumberFormat="1" applyFont="1" applyBorder="1"/>
    <xf numFmtId="0" fontId="280" fillId="0" borderId="14" xfId="20409" applyNumberFormat="1" applyFont="1" applyBorder="1"/>
    <xf numFmtId="0" fontId="280" fillId="0" borderId="192" xfId="20409" applyNumberFormat="1" applyFont="1" applyBorder="1"/>
    <xf numFmtId="248" fontId="279" fillId="0" borderId="0" xfId="20409" applyNumberFormat="1" applyFont="1"/>
    <xf numFmtId="0" fontId="150" fillId="0" borderId="0" xfId="20408" applyFont="1"/>
    <xf numFmtId="0" fontId="3" fillId="0" borderId="0" xfId="20408" applyAlignment="1">
      <alignment horizontal="center"/>
    </xf>
    <xf numFmtId="0" fontId="279" fillId="0" borderId="132" xfId="20408" applyFont="1" applyBorder="1" applyAlignment="1">
      <alignment horizontal="center"/>
    </xf>
    <xf numFmtId="0" fontId="279" fillId="0" borderId="97" xfId="20408" applyFont="1" applyBorder="1" applyAlignment="1">
      <alignment horizontal="center"/>
    </xf>
    <xf numFmtId="248" fontId="0" fillId="102" borderId="0" xfId="20409" applyNumberFormat="1" applyFont="1" applyFill="1"/>
    <xf numFmtId="248" fontId="3" fillId="0" borderId="0" xfId="20408" applyNumberFormat="1"/>
    <xf numFmtId="0" fontId="0" fillId="0" borderId="0" xfId="20410" applyNumberFormat="1" applyFont="1"/>
    <xf numFmtId="0" fontId="224" fillId="72" borderId="176" xfId="20382" applyFont="1" applyFill="1" applyBorder="1" applyAlignment="1">
      <alignment horizontal="center" wrapText="1"/>
    </xf>
    <xf numFmtId="0" fontId="224" fillId="72" borderId="178" xfId="20382" applyFont="1" applyFill="1" applyBorder="1" applyAlignment="1">
      <alignment horizontal="center" wrapText="1"/>
    </xf>
    <xf numFmtId="0" fontId="224" fillId="72" borderId="176" xfId="0" applyFont="1" applyFill="1" applyBorder="1" applyAlignment="1">
      <alignment horizontal="center"/>
    </xf>
    <xf numFmtId="0" fontId="224" fillId="72" borderId="177" xfId="0" applyFont="1" applyFill="1" applyBorder="1" applyAlignment="1">
      <alignment horizontal="center" wrapText="1"/>
    </xf>
    <xf numFmtId="0" fontId="224" fillId="72" borderId="177" xfId="0" applyFont="1" applyFill="1" applyBorder="1" applyAlignment="1">
      <alignment horizontal="center"/>
    </xf>
    <xf numFmtId="0" fontId="224" fillId="72" borderId="178" xfId="0" applyFont="1" applyFill="1" applyBorder="1" applyAlignment="1">
      <alignment horizontal="center" wrapText="1"/>
    </xf>
    <xf numFmtId="0" fontId="224" fillId="72" borderId="176" xfId="20382" applyFont="1" applyFill="1" applyBorder="1" applyAlignment="1">
      <alignment horizontal="center"/>
    </xf>
    <xf numFmtId="0" fontId="224" fillId="72" borderId="177" xfId="20382" applyFont="1" applyFill="1" applyBorder="1" applyAlignment="1">
      <alignment horizontal="center" wrapText="1"/>
    </xf>
    <xf numFmtId="0" fontId="224" fillId="72" borderId="178" xfId="20382" applyFont="1" applyFill="1" applyBorder="1" applyAlignment="1">
      <alignment horizontal="center"/>
    </xf>
    <xf numFmtId="0" fontId="234" fillId="0" borderId="0" xfId="0" applyFont="1" applyAlignment="1">
      <alignment horizontal="center" wrapText="1"/>
    </xf>
    <xf numFmtId="164" fontId="228" fillId="0" borderId="0" xfId="0" applyNumberFormat="1" applyFont="1" applyAlignment="1">
      <alignment horizontal="center"/>
    </xf>
    <xf numFmtId="0" fontId="2" fillId="0" borderId="0" xfId="20411"/>
    <xf numFmtId="0" fontId="103" fillId="0" borderId="0" xfId="20411" applyFont="1"/>
    <xf numFmtId="248" fontId="103" fillId="0" borderId="0" xfId="20412" applyNumberFormat="1" applyFont="1"/>
    <xf numFmtId="0" fontId="287" fillId="102" borderId="195" xfId="20411" applyFont="1" applyFill="1" applyBorder="1"/>
    <xf numFmtId="248" fontId="291" fillId="0" borderId="195" xfId="20412" applyNumberFormat="1" applyFont="1" applyBorder="1"/>
    <xf numFmtId="49" fontId="291" fillId="0" borderId="0" xfId="20411" applyNumberFormat="1" applyFont="1"/>
    <xf numFmtId="0" fontId="287" fillId="102" borderId="40" xfId="20411" applyFont="1" applyFill="1" applyBorder="1"/>
    <xf numFmtId="248" fontId="287" fillId="0" borderId="40" xfId="20412" applyNumberFormat="1" applyFont="1" applyBorder="1"/>
    <xf numFmtId="49" fontId="287" fillId="0" borderId="0" xfId="20411" applyNumberFormat="1" applyFont="1"/>
    <xf numFmtId="0" fontId="287" fillId="102" borderId="0" xfId="20411" applyFont="1" applyFill="1"/>
    <xf numFmtId="248" fontId="287" fillId="0" borderId="0" xfId="20412" applyNumberFormat="1" applyFont="1"/>
    <xf numFmtId="0" fontId="287" fillId="102" borderId="102" xfId="20411" applyFont="1" applyFill="1" applyBorder="1"/>
    <xf numFmtId="248" fontId="287" fillId="0" borderId="102" xfId="20412" applyNumberFormat="1" applyFont="1" applyBorder="1"/>
    <xf numFmtId="39" fontId="103" fillId="0" borderId="0" xfId="20411" applyNumberFormat="1" applyFont="1"/>
    <xf numFmtId="0" fontId="287" fillId="102" borderId="18" xfId="20411" applyFont="1" applyFill="1" applyBorder="1"/>
    <xf numFmtId="248" fontId="287" fillId="0" borderId="18" xfId="20412" applyNumberFormat="1" applyFont="1" applyBorder="1"/>
    <xf numFmtId="43" fontId="103" fillId="0" borderId="0" xfId="20412" applyFont="1"/>
    <xf numFmtId="0" fontId="103" fillId="102" borderId="0" xfId="20411" applyFont="1" applyFill="1"/>
    <xf numFmtId="0" fontId="287" fillId="0" borderId="0" xfId="20411" applyFont="1"/>
    <xf numFmtId="49" fontId="287" fillId="102" borderId="41" xfId="20411" applyNumberFormat="1" applyFont="1" applyFill="1" applyBorder="1" applyAlignment="1">
      <alignment horizontal="center"/>
    </xf>
    <xf numFmtId="49" fontId="287" fillId="0" borderId="41" xfId="20411" applyNumberFormat="1" applyFont="1" applyBorder="1" applyAlignment="1">
      <alignment horizontal="center"/>
    </xf>
    <xf numFmtId="49" fontId="287" fillId="0" borderId="0" xfId="20411" applyNumberFormat="1" applyFont="1" applyAlignment="1">
      <alignment horizontal="center"/>
    </xf>
    <xf numFmtId="0" fontId="103" fillId="0" borderId="0" xfId="20411" applyFont="1" applyAlignment="1">
      <alignment horizontal="center"/>
    </xf>
    <xf numFmtId="49" fontId="287" fillId="0" borderId="0" xfId="20411" applyNumberFormat="1" applyFont="1" applyAlignment="1">
      <alignment horizontal="right"/>
    </xf>
    <xf numFmtId="49" fontId="287" fillId="0" borderId="0" xfId="20411" applyNumberFormat="1" applyFont="1" applyAlignment="1">
      <alignment horizontal="centerContinuous"/>
    </xf>
    <xf numFmtId="0" fontId="287" fillId="0" borderId="0" xfId="20411" applyFont="1" applyAlignment="1">
      <alignment horizontal="right"/>
    </xf>
    <xf numFmtId="49" fontId="287" fillId="0" borderId="0" xfId="20411" applyNumberFormat="1" applyFont="1" applyAlignment="1">
      <alignment horizontal="left"/>
    </xf>
    <xf numFmtId="0" fontId="103" fillId="103" borderId="0" xfId="20411" applyFont="1" applyFill="1"/>
    <xf numFmtId="169" fontId="271" fillId="0" borderId="178" xfId="0" applyNumberFormat="1" applyFont="1" applyBorder="1"/>
    <xf numFmtId="192" fontId="271" fillId="0" borderId="178" xfId="0" applyNumberFormat="1" applyFont="1" applyBorder="1"/>
    <xf numFmtId="0" fontId="226" fillId="71" borderId="178" xfId="0" applyFont="1" applyFill="1" applyBorder="1"/>
    <xf numFmtId="0" fontId="227" fillId="0" borderId="0" xfId="0" applyFont="1" applyAlignment="1">
      <alignment horizontal="right" vertical="top"/>
    </xf>
    <xf numFmtId="191" fontId="227" fillId="0" borderId="0" xfId="0" applyNumberFormat="1" applyFont="1" applyAlignment="1">
      <alignment horizontal="right" vertical="top"/>
    </xf>
    <xf numFmtId="165" fontId="227" fillId="0" borderId="0" xfId="12422" applyNumberFormat="1" applyFont="1" applyAlignment="1">
      <alignment horizontal="right" vertical="top"/>
    </xf>
    <xf numFmtId="191" fontId="234" fillId="0" borderId="0" xfId="0" applyNumberFormat="1" applyFont="1" applyAlignment="1">
      <alignment horizontal="right" vertical="top"/>
    </xf>
    <xf numFmtId="0" fontId="235" fillId="0" borderId="0" xfId="20303" applyFont="1" applyAlignment="1">
      <alignment horizontal="left"/>
    </xf>
    <xf numFmtId="0" fontId="153" fillId="71" borderId="180" xfId="0" applyFont="1" applyFill="1" applyBorder="1"/>
    <xf numFmtId="0" fontId="152" fillId="71" borderId="183" xfId="0" applyFont="1" applyFill="1" applyBorder="1"/>
    <xf numFmtId="165" fontId="153" fillId="71" borderId="182" xfId="0" applyNumberFormat="1" applyFont="1" applyFill="1" applyBorder="1"/>
    <xf numFmtId="0" fontId="153" fillId="71" borderId="62" xfId="0" applyFont="1" applyFill="1" applyBorder="1"/>
    <xf numFmtId="0" fontId="153" fillId="71" borderId="132" xfId="0" applyFont="1" applyFill="1" applyBorder="1"/>
    <xf numFmtId="165" fontId="153" fillId="71" borderId="97" xfId="0" applyNumberFormat="1" applyFont="1" applyFill="1" applyBorder="1"/>
    <xf numFmtId="167" fontId="220" fillId="71" borderId="183" xfId="12427" applyNumberFormat="1" applyFont="1" applyFill="1" applyBorder="1"/>
    <xf numFmtId="167" fontId="220" fillId="71" borderId="0" xfId="12427" applyNumberFormat="1" applyFont="1" applyFill="1"/>
    <xf numFmtId="167" fontId="220" fillId="71" borderId="45" xfId="12427" applyNumberFormat="1" applyFont="1" applyFill="1" applyBorder="1"/>
    <xf numFmtId="0" fontId="226" fillId="71" borderId="180" xfId="0" applyFont="1" applyFill="1" applyBorder="1"/>
    <xf numFmtId="0" fontId="203" fillId="71" borderId="183" xfId="0" applyFont="1" applyFill="1" applyBorder="1"/>
    <xf numFmtId="0" fontId="203" fillId="71" borderId="183" xfId="0" applyFont="1" applyFill="1" applyBorder="1" applyAlignment="1">
      <alignment horizontal="center"/>
    </xf>
    <xf numFmtId="167" fontId="226" fillId="71" borderId="183" xfId="12427" applyNumberFormat="1" applyFont="1" applyFill="1" applyBorder="1"/>
    <xf numFmtId="165" fontId="226" fillId="71" borderId="182" xfId="0" applyNumberFormat="1" applyFont="1" applyFill="1" applyBorder="1"/>
    <xf numFmtId="0" fontId="203" fillId="71" borderId="0" xfId="0" applyFont="1" applyFill="1" applyAlignment="1">
      <alignment horizontal="center"/>
    </xf>
    <xf numFmtId="10" fontId="203" fillId="71" borderId="0" xfId="0" applyNumberFormat="1" applyFont="1" applyFill="1" applyAlignment="1">
      <alignment horizontal="center"/>
    </xf>
    <xf numFmtId="0" fontId="226" fillId="71" borderId="132" xfId="0" applyFont="1" applyFill="1" applyBorder="1"/>
    <xf numFmtId="10" fontId="203" fillId="71" borderId="45" xfId="0" applyNumberFormat="1" applyFont="1" applyFill="1" applyBorder="1" applyAlignment="1">
      <alignment horizontal="center"/>
    </xf>
    <xf numFmtId="0" fontId="203" fillId="71" borderId="45" xfId="0" applyFont="1" applyFill="1" applyBorder="1" applyAlignment="1">
      <alignment horizontal="center"/>
    </xf>
    <xf numFmtId="310" fontId="234" fillId="73" borderId="0" xfId="11846" applyNumberFormat="1" applyFont="1" applyFill="1" applyAlignment="1">
      <alignment horizontal="right"/>
    </xf>
    <xf numFmtId="0" fontId="218" fillId="0" borderId="0" xfId="20413" applyFont="1" applyAlignment="1">
      <alignment horizontal="center" wrapText="1"/>
    </xf>
    <xf numFmtId="0" fontId="218" fillId="0" borderId="0" xfId="20413" applyFont="1"/>
    <xf numFmtId="0" fontId="289" fillId="0" borderId="0" xfId="20414" applyFont="1" applyAlignment="1">
      <alignment horizontal="center"/>
    </xf>
    <xf numFmtId="0" fontId="218" fillId="0" borderId="0" xfId="20414" applyFont="1" applyAlignment="1">
      <alignment horizontal="center"/>
    </xf>
    <xf numFmtId="164" fontId="218" fillId="0" borderId="0" xfId="20413" applyNumberFormat="1" applyFont="1" applyAlignment="1">
      <alignment horizontal="center"/>
    </xf>
    <xf numFmtId="243" fontId="218" fillId="0" borderId="0" xfId="20415" applyNumberFormat="1" applyFont="1" applyAlignment="1">
      <alignment horizontal="right"/>
    </xf>
    <xf numFmtId="248" fontId="218" fillId="0" borderId="0" xfId="20416" applyNumberFormat="1" applyFont="1" applyAlignment="1">
      <alignment horizontal="right"/>
    </xf>
    <xf numFmtId="167" fontId="292" fillId="0" borderId="0" xfId="20415" applyNumberFormat="1" applyFont="1" applyAlignment="1">
      <alignment horizontal="right"/>
    </xf>
    <xf numFmtId="167" fontId="218" fillId="0" borderId="0" xfId="20415" applyNumberFormat="1" applyFont="1" applyAlignment="1">
      <alignment horizontal="right"/>
    </xf>
    <xf numFmtId="248" fontId="218" fillId="0" borderId="0" xfId="20415" applyNumberFormat="1" applyFont="1" applyAlignment="1">
      <alignment horizontal="right"/>
    </xf>
    <xf numFmtId="243" fontId="218" fillId="0" borderId="0" xfId="0" applyNumberFormat="1" applyFont="1" applyAlignment="1">
      <alignment horizontal="right"/>
    </xf>
    <xf numFmtId="43" fontId="218" fillId="74" borderId="0" xfId="20415" applyFont="1" applyFill="1" applyAlignment="1">
      <alignment horizontal="right"/>
    </xf>
    <xf numFmtId="165" fontId="218" fillId="74" borderId="0" xfId="20415" applyNumberFormat="1" applyFont="1" applyFill="1" applyAlignment="1">
      <alignment horizontal="right"/>
    </xf>
    <xf numFmtId="248" fontId="218" fillId="0" borderId="0" xfId="20413" applyNumberFormat="1" applyFont="1"/>
    <xf numFmtId="0" fontId="218" fillId="0" borderId="0" xfId="20413" applyFont="1" applyAlignment="1">
      <alignment horizontal="left"/>
    </xf>
    <xf numFmtId="248" fontId="218" fillId="0" borderId="0" xfId="20413" applyNumberFormat="1" applyFont="1" applyAlignment="1">
      <alignment horizontal="center" wrapText="1"/>
    </xf>
    <xf numFmtId="248" fontId="292" fillId="0" borderId="0" xfId="12427" applyNumberFormat="1" applyFont="1" applyAlignment="1">
      <alignment horizontal="right"/>
    </xf>
    <xf numFmtId="248" fontId="292" fillId="0" borderId="0" xfId="20417" applyNumberFormat="1" applyFont="1" applyAlignment="1">
      <alignment horizontal="center" wrapText="1"/>
    </xf>
    <xf numFmtId="248" fontId="218" fillId="0" borderId="0" xfId="12427" applyNumberFormat="1" applyFont="1" applyAlignment="1">
      <alignment horizontal="center"/>
    </xf>
    <xf numFmtId="0" fontId="218" fillId="88" borderId="0" xfId="20417" applyFont="1" applyFill="1"/>
    <xf numFmtId="248" fontId="218" fillId="0" borderId="0" xfId="20417" applyNumberFormat="1" applyFont="1" applyAlignment="1">
      <alignment horizontal="right" wrapText="1"/>
    </xf>
    <xf numFmtId="248" fontId="292" fillId="74" borderId="0" xfId="20415" applyNumberFormat="1" applyFont="1" applyFill="1" applyAlignment="1">
      <alignment horizontal="right"/>
    </xf>
    <xf numFmtId="248" fontId="292" fillId="0" borderId="0" xfId="20415" applyNumberFormat="1" applyFont="1" applyAlignment="1">
      <alignment horizontal="right"/>
    </xf>
    <xf numFmtId="0" fontId="289" fillId="74" borderId="0" xfId="20414" applyFont="1" applyFill="1" applyAlignment="1">
      <alignment horizontal="center"/>
    </xf>
    <xf numFmtId="0" fontId="218" fillId="74" borderId="0" xfId="20413" applyFont="1" applyFill="1" applyAlignment="1">
      <alignment horizontal="center" wrapText="1"/>
    </xf>
    <xf numFmtId="0" fontId="218" fillId="88" borderId="0" xfId="20413" applyFont="1" applyFill="1"/>
    <xf numFmtId="248" fontId="218" fillId="70" borderId="0" xfId="20416" applyNumberFormat="1" applyFont="1" applyFill="1" applyAlignment="1">
      <alignment horizontal="right"/>
    </xf>
    <xf numFmtId="167" fontId="218" fillId="70" borderId="0" xfId="12427" applyNumberFormat="1" applyFont="1" applyFill="1" applyAlignment="1">
      <alignment horizontal="right" wrapText="1"/>
    </xf>
    <xf numFmtId="248" fontId="292" fillId="70" borderId="0" xfId="20416" applyNumberFormat="1" applyFont="1" applyFill="1" applyAlignment="1">
      <alignment horizontal="right"/>
    </xf>
    <xf numFmtId="167" fontId="218" fillId="0" borderId="0" xfId="12427" applyNumberFormat="1" applyFont="1" applyAlignment="1">
      <alignment horizontal="right" wrapText="1"/>
    </xf>
    <xf numFmtId="167" fontId="218" fillId="0" borderId="0" xfId="20416" applyNumberFormat="1" applyFont="1" applyAlignment="1">
      <alignment horizontal="right"/>
    </xf>
    <xf numFmtId="248" fontId="218" fillId="0" borderId="0" xfId="20418" applyNumberFormat="1" applyFont="1" applyAlignment="1">
      <alignment horizontal="center" wrapText="1"/>
    </xf>
    <xf numFmtId="248" fontId="292" fillId="0" borderId="0" xfId="20413" applyNumberFormat="1" applyFont="1" applyAlignment="1">
      <alignment horizontal="center" wrapText="1"/>
    </xf>
    <xf numFmtId="248" fontId="218" fillId="0" borderId="0" xfId="20418" applyNumberFormat="1" applyFont="1" applyAlignment="1">
      <alignment horizontal="right" wrapText="1"/>
    </xf>
    <xf numFmtId="248" fontId="292" fillId="0" borderId="0" xfId="20416" applyNumberFormat="1" applyFont="1" applyAlignment="1">
      <alignment horizontal="right"/>
    </xf>
    <xf numFmtId="0" fontId="218" fillId="0" borderId="0" xfId="20418" applyFont="1" applyAlignment="1">
      <alignment horizontal="center" wrapText="1"/>
    </xf>
    <xf numFmtId="248" fontId="218" fillId="74" borderId="0" xfId="20416" applyNumberFormat="1" applyFont="1" applyFill="1" applyAlignment="1">
      <alignment horizontal="right"/>
    </xf>
    <xf numFmtId="243" fontId="218" fillId="74" borderId="0" xfId="0" applyNumberFormat="1" applyFont="1" applyFill="1" applyAlignment="1">
      <alignment horizontal="right"/>
    </xf>
    <xf numFmtId="43" fontId="218" fillId="74" borderId="0" xfId="20416" applyFont="1" applyFill="1" applyAlignment="1">
      <alignment horizontal="right"/>
    </xf>
    <xf numFmtId="165" fontId="218" fillId="74" borderId="0" xfId="20416" applyNumberFormat="1" applyFont="1" applyFill="1" applyAlignment="1">
      <alignment horizontal="right"/>
    </xf>
    <xf numFmtId="248" fontId="218" fillId="74" borderId="0" xfId="20418" applyNumberFormat="1" applyFont="1" applyFill="1"/>
    <xf numFmtId="0" fontId="218" fillId="74" borderId="0" xfId="20418" applyFont="1" applyFill="1" applyAlignment="1">
      <alignment horizontal="left"/>
    </xf>
    <xf numFmtId="248" fontId="218" fillId="74" borderId="0" xfId="20418" applyNumberFormat="1" applyFont="1" applyFill="1" applyAlignment="1">
      <alignment horizontal="center" wrapText="1"/>
    </xf>
    <xf numFmtId="248" fontId="218" fillId="74" borderId="0" xfId="12427" applyNumberFormat="1" applyFont="1" applyFill="1" applyAlignment="1">
      <alignment horizontal="center"/>
    </xf>
    <xf numFmtId="248" fontId="292" fillId="74" borderId="0" xfId="12427" applyNumberFormat="1" applyFont="1" applyFill="1" applyAlignment="1">
      <alignment horizontal="right"/>
    </xf>
    <xf numFmtId="248" fontId="218" fillId="74" borderId="0" xfId="20418" applyNumberFormat="1" applyFont="1" applyFill="1" applyAlignment="1">
      <alignment horizontal="right" wrapText="1"/>
    </xf>
    <xf numFmtId="248" fontId="292" fillId="74" borderId="0" xfId="20416" applyNumberFormat="1" applyFont="1" applyFill="1" applyAlignment="1">
      <alignment horizontal="right"/>
    </xf>
    <xf numFmtId="0" fontId="218" fillId="74" borderId="0" xfId="20418" applyFont="1" applyFill="1" applyAlignment="1">
      <alignment horizontal="center" wrapText="1"/>
    </xf>
    <xf numFmtId="0" fontId="218" fillId="0" borderId="0" xfId="20418" applyFont="1"/>
    <xf numFmtId="0" fontId="289" fillId="0" borderId="0" xfId="20419" applyFont="1" applyAlignment="1">
      <alignment horizontal="center"/>
    </xf>
    <xf numFmtId="0" fontId="218" fillId="0" borderId="0" xfId="20419" applyFont="1" applyAlignment="1">
      <alignment horizontal="center"/>
    </xf>
    <xf numFmtId="164" fontId="218" fillId="0" borderId="0" xfId="20418" applyNumberFormat="1" applyFont="1" applyAlignment="1">
      <alignment horizontal="center"/>
    </xf>
    <xf numFmtId="248" fontId="218" fillId="0" borderId="0" xfId="20418" applyNumberFormat="1" applyFont="1"/>
    <xf numFmtId="0" fontId="218" fillId="0" borderId="0" xfId="20418" applyFont="1" applyAlignment="1">
      <alignment horizontal="left"/>
    </xf>
    <xf numFmtId="43" fontId="218" fillId="0" borderId="0" xfId="20416" applyFont="1" applyAlignment="1">
      <alignment horizontal="right"/>
    </xf>
    <xf numFmtId="165" fontId="218" fillId="0" borderId="0" xfId="20416" applyNumberFormat="1" applyFont="1" applyAlignment="1">
      <alignment horizontal="right"/>
    </xf>
    <xf numFmtId="248" fontId="292" fillId="0" borderId="0" xfId="20418" applyNumberFormat="1" applyFont="1" applyAlignment="1">
      <alignment horizontal="center" wrapText="1"/>
    </xf>
    <xf numFmtId="243" fontId="218" fillId="0" borderId="0" xfId="20416" applyNumberFormat="1" applyFont="1" applyAlignment="1">
      <alignment horizontal="right"/>
    </xf>
    <xf numFmtId="248" fontId="218" fillId="0" borderId="0" xfId="12427" applyNumberFormat="1" applyFont="1" applyAlignment="1">
      <alignment horizontal="right"/>
    </xf>
    <xf numFmtId="0" fontId="289" fillId="74" borderId="0" xfId="20419" applyFont="1" applyFill="1" applyAlignment="1">
      <alignment horizontal="center"/>
    </xf>
    <xf numFmtId="0" fontId="218" fillId="88" borderId="0" xfId="20418" applyFont="1" applyFill="1"/>
    <xf numFmtId="248" fontId="292" fillId="88" borderId="0" xfId="20416" applyNumberFormat="1" applyFont="1" applyFill="1" applyAlignment="1">
      <alignment horizontal="right"/>
    </xf>
    <xf numFmtId="248" fontId="218" fillId="88" borderId="0" xfId="20418" applyNumberFormat="1" applyFont="1" applyFill="1"/>
    <xf numFmtId="243" fontId="218" fillId="0" borderId="0" xfId="20416" applyNumberFormat="1" applyFont="1"/>
    <xf numFmtId="248" fontId="218" fillId="0" borderId="0" xfId="20416" applyNumberFormat="1" applyFont="1" applyAlignment="1">
      <alignment horizontal="center"/>
    </xf>
    <xf numFmtId="0" fontId="220" fillId="71" borderId="180" xfId="11807" applyFont="1" applyFill="1" applyBorder="1"/>
    <xf numFmtId="0" fontId="218" fillId="71" borderId="183" xfId="11807" applyFont="1" applyFill="1" applyBorder="1"/>
    <xf numFmtId="167" fontId="220" fillId="71" borderId="182" xfId="12427" applyNumberFormat="1" applyFont="1" applyFill="1" applyBorder="1"/>
    <xf numFmtId="243" fontId="218" fillId="0" borderId="165" xfId="0" applyNumberFormat="1" applyFont="1" applyBorder="1" applyAlignment="1">
      <alignment horizontal="right"/>
    </xf>
    <xf numFmtId="0" fontId="220" fillId="71" borderId="62" xfId="11807" applyFont="1" applyFill="1" applyBorder="1"/>
    <xf numFmtId="0" fontId="218" fillId="71" borderId="0" xfId="11807" applyFont="1" applyFill="1"/>
    <xf numFmtId="167" fontId="220" fillId="71" borderId="13" xfId="12427" applyNumberFormat="1" applyFont="1" applyFill="1" applyBorder="1"/>
    <xf numFmtId="243" fontId="218" fillId="0" borderId="51" xfId="0" applyNumberFormat="1" applyFont="1" applyBorder="1" applyAlignment="1">
      <alignment horizontal="right"/>
    </xf>
    <xf numFmtId="0" fontId="220" fillId="71" borderId="132" xfId="11807" applyFont="1" applyFill="1" applyBorder="1"/>
    <xf numFmtId="0" fontId="218" fillId="71" borderId="45" xfId="11807" applyFont="1" applyFill="1" applyBorder="1"/>
    <xf numFmtId="167" fontId="220" fillId="71" borderId="97" xfId="12427" applyNumberFormat="1" applyFont="1" applyFill="1" applyBorder="1"/>
    <xf numFmtId="243" fontId="218" fillId="0" borderId="133" xfId="0" applyNumberFormat="1" applyFont="1" applyBorder="1" applyAlignment="1">
      <alignment horizontal="right"/>
    </xf>
    <xf numFmtId="0" fontId="220" fillId="0" borderId="0" xfId="20418" applyFont="1"/>
    <xf numFmtId="0" fontId="218" fillId="0" borderId="0" xfId="20420" applyFont="1" applyAlignment="1">
      <alignment horizontal="center" wrapText="1"/>
    </xf>
    <xf numFmtId="248" fontId="218" fillId="74" borderId="0" xfId="20422" applyNumberFormat="1" applyFont="1" applyFill="1" applyAlignment="1">
      <alignment horizontal="right"/>
    </xf>
    <xf numFmtId="43" fontId="218" fillId="74" borderId="0" xfId="20422" applyFont="1" applyFill="1" applyAlignment="1">
      <alignment horizontal="right"/>
    </xf>
    <xf numFmtId="165" fontId="218" fillId="74" borderId="0" xfId="20422" applyNumberFormat="1" applyFont="1" applyFill="1" applyAlignment="1">
      <alignment horizontal="right"/>
    </xf>
    <xf numFmtId="0" fontId="218" fillId="74" borderId="0" xfId="20420" applyFont="1" applyFill="1" applyAlignment="1">
      <alignment horizontal="left"/>
    </xf>
    <xf numFmtId="248" fontId="218" fillId="74" borderId="0" xfId="20420" applyNumberFormat="1" applyFont="1" applyFill="1" applyAlignment="1">
      <alignment horizontal="center" wrapText="1"/>
    </xf>
    <xf numFmtId="0" fontId="218" fillId="74" borderId="0" xfId="20420" applyFont="1" applyFill="1"/>
    <xf numFmtId="248" fontId="292" fillId="74" borderId="0" xfId="20422" applyNumberFormat="1" applyFont="1" applyFill="1" applyAlignment="1">
      <alignment horizontal="right"/>
    </xf>
    <xf numFmtId="0" fontId="289" fillId="74" borderId="0" xfId="20421" applyFont="1" applyFill="1" applyAlignment="1">
      <alignment horizontal="center"/>
    </xf>
    <xf numFmtId="0" fontId="218" fillId="74" borderId="0" xfId="20420" applyFont="1" applyFill="1" applyAlignment="1">
      <alignment horizontal="center" wrapText="1"/>
    </xf>
    <xf numFmtId="0" fontId="218" fillId="0" borderId="0" xfId="20420" applyFont="1"/>
    <xf numFmtId="0" fontId="289" fillId="0" borderId="0" xfId="20421" applyFont="1" applyAlignment="1">
      <alignment horizontal="center"/>
    </xf>
    <xf numFmtId="0" fontId="218" fillId="0" borderId="0" xfId="20421" applyFont="1" applyAlignment="1">
      <alignment horizontal="center"/>
    </xf>
    <xf numFmtId="164" fontId="218" fillId="0" borderId="0" xfId="20420" applyNumberFormat="1" applyFont="1" applyAlignment="1">
      <alignment horizontal="center"/>
    </xf>
    <xf numFmtId="243" fontId="218" fillId="0" borderId="0" xfId="20422" applyNumberFormat="1" applyFont="1"/>
    <xf numFmtId="243" fontId="218" fillId="0" borderId="0" xfId="20422" applyNumberFormat="1" applyFont="1" applyAlignment="1">
      <alignment horizontal="right"/>
    </xf>
    <xf numFmtId="248" fontId="218" fillId="0" borderId="0" xfId="20422" applyNumberFormat="1" applyFont="1" applyAlignment="1">
      <alignment horizontal="center"/>
    </xf>
    <xf numFmtId="248" fontId="292" fillId="0" borderId="0" xfId="20422" applyNumberFormat="1" applyFont="1" applyAlignment="1">
      <alignment horizontal="right"/>
    </xf>
    <xf numFmtId="248" fontId="218" fillId="0" borderId="0" xfId="20422" applyNumberFormat="1" applyFont="1" applyAlignment="1">
      <alignment horizontal="right"/>
    </xf>
    <xf numFmtId="248" fontId="218" fillId="74" borderId="0" xfId="20420" applyNumberFormat="1" applyFont="1" applyFill="1"/>
    <xf numFmtId="43" fontId="218" fillId="0" borderId="0" xfId="20422" applyFont="1" applyAlignment="1">
      <alignment horizontal="right"/>
    </xf>
    <xf numFmtId="165" fontId="218" fillId="0" borderId="0" xfId="20422" applyNumberFormat="1" applyFont="1" applyAlignment="1">
      <alignment horizontal="right"/>
    </xf>
    <xf numFmtId="248" fontId="218" fillId="0" borderId="0" xfId="20420" applyNumberFormat="1" applyFont="1"/>
    <xf numFmtId="0" fontId="218" fillId="0" borderId="0" xfId="20420" applyFont="1" applyAlignment="1">
      <alignment horizontal="left"/>
    </xf>
    <xf numFmtId="248" fontId="218" fillId="0" borderId="0" xfId="20420" applyNumberFormat="1" applyFont="1" applyAlignment="1">
      <alignment horizontal="center" wrapText="1"/>
    </xf>
    <xf numFmtId="0" fontId="218" fillId="0" borderId="0" xfId="20423" applyFont="1" applyAlignment="1">
      <alignment horizontal="center" wrapText="1"/>
    </xf>
    <xf numFmtId="0" fontId="218" fillId="0" borderId="0" xfId="20418" quotePrefix="1" applyFont="1" applyAlignment="1">
      <alignment horizontal="right" wrapText="1"/>
    </xf>
    <xf numFmtId="248" fontId="292" fillId="74" borderId="0" xfId="20425" applyNumberFormat="1" applyFont="1" applyFill="1" applyAlignment="1">
      <alignment horizontal="center" wrapText="1"/>
    </xf>
    <xf numFmtId="248" fontId="218" fillId="74" borderId="0" xfId="20425" applyNumberFormat="1" applyFont="1" applyFill="1" applyAlignment="1">
      <alignment horizontal="right" wrapText="1"/>
    </xf>
    <xf numFmtId="248" fontId="292" fillId="0" borderId="0" xfId="20425" applyNumberFormat="1" applyFont="1" applyAlignment="1">
      <alignment horizontal="center" wrapText="1"/>
    </xf>
    <xf numFmtId="248" fontId="218" fillId="0" borderId="0" xfId="20425" applyNumberFormat="1" applyFont="1" applyAlignment="1">
      <alignment horizontal="right" wrapText="1"/>
    </xf>
    <xf numFmtId="0" fontId="218" fillId="0" borderId="0" xfId="20418" applyFont="1" applyAlignment="1">
      <alignment horizontal="left" vertical="center" wrapText="1"/>
    </xf>
    <xf numFmtId="248" fontId="218" fillId="0" borderId="0" xfId="20420" applyNumberFormat="1" applyFont="1" applyAlignment="1">
      <alignment horizontal="right" wrapText="1"/>
    </xf>
    <xf numFmtId="248" fontId="292" fillId="0" borderId="0" xfId="20423" applyNumberFormat="1" applyFont="1" applyAlignment="1">
      <alignment horizontal="center" wrapText="1"/>
    </xf>
    <xf numFmtId="248" fontId="218" fillId="0" borderId="0" xfId="20423" applyNumberFormat="1" applyFont="1" applyAlignment="1">
      <alignment horizontal="right" wrapText="1"/>
    </xf>
    <xf numFmtId="0" fontId="218" fillId="0" borderId="0" xfId="20418" applyFont="1" applyAlignment="1">
      <alignment horizontal="right"/>
    </xf>
    <xf numFmtId="243" fontId="218" fillId="0" borderId="165" xfId="16218" applyNumberFormat="1" applyFont="1" applyBorder="1" applyAlignment="1">
      <alignment horizontal="right"/>
    </xf>
    <xf numFmtId="243" fontId="218" fillId="0" borderId="51" xfId="20416" applyNumberFormat="1" applyFont="1" applyBorder="1" applyAlignment="1">
      <alignment horizontal="right"/>
    </xf>
    <xf numFmtId="243" fontId="218" fillId="0" borderId="133" xfId="16218" applyNumberFormat="1" applyFont="1" applyBorder="1" applyAlignment="1">
      <alignment horizontal="right"/>
    </xf>
    <xf numFmtId="0" fontId="293" fillId="0" borderId="0" xfId="0" applyFont="1"/>
    <xf numFmtId="0" fontId="218" fillId="0" borderId="0" xfId="20418" applyFont="1" applyAlignment="1">
      <alignment vertical="top" wrapText="1"/>
    </xf>
    <xf numFmtId="234" fontId="218" fillId="0" borderId="0" xfId="20419" applyNumberFormat="1" applyFont="1" applyAlignment="1">
      <alignment horizontal="right"/>
    </xf>
    <xf numFmtId="14" fontId="218" fillId="0" borderId="0" xfId="20418" applyNumberFormat="1" applyFont="1" applyAlignment="1">
      <alignment horizontal="left"/>
    </xf>
    <xf numFmtId="248" fontId="218" fillId="0" borderId="0" xfId="20416" applyNumberFormat="1" applyFont="1" applyAlignment="1">
      <alignment horizontal="center" wrapText="1"/>
    </xf>
    <xf numFmtId="0" fontId="218" fillId="0" borderId="0" xfId="20423" applyFont="1"/>
    <xf numFmtId="248" fontId="218" fillId="0" borderId="0" xfId="20423" applyNumberFormat="1" applyFont="1" applyAlignment="1">
      <alignment horizontal="center" wrapText="1"/>
    </xf>
    <xf numFmtId="248" fontId="292" fillId="0" borderId="0" xfId="20424" applyNumberFormat="1" applyFont="1" applyAlignment="1">
      <alignment horizontal="right"/>
    </xf>
    <xf numFmtId="0" fontId="293" fillId="0" borderId="0" xfId="20418" applyFont="1" applyAlignment="1">
      <alignment horizontal="left"/>
    </xf>
    <xf numFmtId="169" fontId="153" fillId="71" borderId="183" xfId="0" applyNumberFormat="1" applyFont="1" applyFill="1" applyBorder="1"/>
    <xf numFmtId="0" fontId="152" fillId="71" borderId="182" xfId="0" applyFont="1" applyFill="1" applyBorder="1"/>
    <xf numFmtId="234" fontId="153" fillId="71" borderId="183" xfId="0" applyNumberFormat="1" applyFont="1" applyFill="1" applyBorder="1"/>
    <xf numFmtId="165" fontId="153" fillId="71" borderId="183" xfId="0" applyNumberFormat="1" applyFont="1" applyFill="1" applyBorder="1"/>
    <xf numFmtId="165" fontId="152" fillId="0" borderId="0" xfId="0" applyNumberFormat="1" applyFont="1" applyAlignment="1">
      <alignment horizontal="right" vertical="top" wrapText="1"/>
    </xf>
    <xf numFmtId="0" fontId="235" fillId="0" borderId="0" xfId="0" applyFont="1" applyAlignment="1">
      <alignment horizontal="left" wrapText="1"/>
    </xf>
    <xf numFmtId="168" fontId="235" fillId="0" borderId="0" xfId="0" applyNumberFormat="1" applyFont="1" applyAlignment="1">
      <alignment horizontal="center"/>
    </xf>
    <xf numFmtId="0" fontId="203" fillId="0" borderId="197" xfId="0" applyFont="1" applyBorder="1" applyAlignment="1">
      <alignment horizontal="justify" vertical="center" wrapText="1"/>
    </xf>
    <xf numFmtId="0" fontId="203" fillId="0" borderId="197" xfId="0" applyFont="1" applyBorder="1"/>
    <xf numFmtId="0" fontId="203" fillId="0" borderId="196" xfId="0" applyFont="1" applyBorder="1"/>
    <xf numFmtId="0" fontId="203" fillId="0" borderId="196" xfId="0" applyFont="1" applyBorder="1" applyAlignment="1">
      <alignment horizontal="justify" vertical="center" wrapText="1"/>
    </xf>
    <xf numFmtId="0" fontId="249" fillId="0" borderId="0" xfId="0" applyFont="1" applyAlignment="1">
      <alignment vertical="top"/>
    </xf>
    <xf numFmtId="0" fontId="238" fillId="0" borderId="196" xfId="0" applyFont="1" applyBorder="1" applyAlignment="1">
      <alignment horizontal="justify" vertical="top" wrapText="1"/>
    </xf>
    <xf numFmtId="0" fontId="238" fillId="0" borderId="0" xfId="0" applyFont="1" applyAlignment="1">
      <alignment vertical="top"/>
    </xf>
    <xf numFmtId="0" fontId="235" fillId="0" borderId="0" xfId="0" applyFont="1" applyAlignment="1">
      <alignment vertical="top"/>
    </xf>
    <xf numFmtId="0" fontId="234" fillId="0" borderId="0" xfId="0" applyFont="1" applyAlignment="1">
      <alignment vertical="top"/>
    </xf>
    <xf numFmtId="0" fontId="203" fillId="74" borderId="0" xfId="0" applyFont="1" applyFill="1" applyAlignment="1">
      <alignment vertical="top"/>
    </xf>
    <xf numFmtId="169" fontId="203" fillId="0" borderId="0" xfId="0" applyNumberFormat="1" applyFont="1" applyAlignment="1">
      <alignment vertical="top"/>
    </xf>
    <xf numFmtId="169" fontId="203" fillId="74" borderId="0" xfId="0" applyNumberFormat="1" applyFont="1" applyFill="1" applyAlignment="1">
      <alignment vertical="top"/>
    </xf>
    <xf numFmtId="0" fontId="229" fillId="0" borderId="0" xfId="0" applyFont="1" applyAlignment="1">
      <alignment vertical="top"/>
    </xf>
    <xf numFmtId="0" fontId="226" fillId="71" borderId="49" xfId="0" applyFont="1" applyFill="1" applyBorder="1" applyAlignment="1">
      <alignment vertical="top"/>
    </xf>
    <xf numFmtId="169" fontId="226" fillId="71" borderId="33" xfId="0" applyNumberFormat="1" applyFont="1" applyFill="1" applyBorder="1" applyAlignment="1">
      <alignment vertical="top"/>
    </xf>
    <xf numFmtId="0" fontId="226" fillId="71" borderId="33" xfId="0" applyFont="1" applyFill="1" applyBorder="1" applyAlignment="1">
      <alignment vertical="top"/>
    </xf>
    <xf numFmtId="0" fontId="226" fillId="71" borderId="163" xfId="0" applyFont="1" applyFill="1" applyBorder="1" applyAlignment="1">
      <alignment vertical="top"/>
    </xf>
    <xf numFmtId="41" fontId="226" fillId="71" borderId="33" xfId="0" applyNumberFormat="1" applyFont="1" applyFill="1" applyBorder="1" applyAlignment="1">
      <alignment vertical="top"/>
    </xf>
    <xf numFmtId="234" fontId="226" fillId="71" borderId="33" xfId="0" applyNumberFormat="1" applyFont="1" applyFill="1" applyBorder="1" applyAlignment="1">
      <alignment vertical="top"/>
    </xf>
    <xf numFmtId="234" fontId="226" fillId="71" borderId="50" xfId="0" applyNumberFormat="1" applyFont="1" applyFill="1" applyBorder="1" applyAlignment="1">
      <alignment vertical="top"/>
    </xf>
    <xf numFmtId="0" fontId="226" fillId="71" borderId="12" xfId="0" applyFont="1" applyFill="1" applyBorder="1" applyAlignment="1">
      <alignment vertical="top"/>
    </xf>
    <xf numFmtId="169" fontId="226" fillId="71" borderId="0" xfId="0" applyNumberFormat="1" applyFont="1" applyFill="1" applyAlignment="1">
      <alignment vertical="top"/>
    </xf>
    <xf numFmtId="0" fontId="226" fillId="71" borderId="0" xfId="0" applyFont="1" applyFill="1" applyAlignment="1">
      <alignment vertical="top"/>
    </xf>
    <xf numFmtId="41" fontId="226" fillId="71" borderId="0" xfId="0" applyNumberFormat="1" applyFont="1" applyFill="1" applyAlignment="1">
      <alignment vertical="top"/>
    </xf>
    <xf numFmtId="234" fontId="226" fillId="71" borderId="0" xfId="0" applyNumberFormat="1" applyFont="1" applyFill="1" applyAlignment="1">
      <alignment vertical="top"/>
    </xf>
    <xf numFmtId="234" fontId="226" fillId="71" borderId="13" xfId="0" applyNumberFormat="1" applyFont="1" applyFill="1" applyBorder="1" applyAlignment="1">
      <alignment vertical="top"/>
    </xf>
    <xf numFmtId="0" fontId="226" fillId="71" borderId="10" xfId="0" applyFont="1" applyFill="1" applyBorder="1" applyAlignment="1">
      <alignment vertical="top"/>
    </xf>
    <xf numFmtId="169" fontId="226" fillId="71" borderId="45" xfId="0" applyNumberFormat="1" applyFont="1" applyFill="1" applyBorder="1" applyAlignment="1">
      <alignment vertical="top"/>
    </xf>
    <xf numFmtId="0" fontId="226" fillId="71" borderId="45" xfId="0" applyFont="1" applyFill="1" applyBorder="1" applyAlignment="1">
      <alignment vertical="top"/>
    </xf>
    <xf numFmtId="41" fontId="226" fillId="71" borderId="45" xfId="0" applyNumberFormat="1" applyFont="1" applyFill="1" applyBorder="1" applyAlignment="1">
      <alignment vertical="top"/>
    </xf>
    <xf numFmtId="234" fontId="226" fillId="71" borderId="45" xfId="0" applyNumberFormat="1" applyFont="1" applyFill="1" applyBorder="1" applyAlignment="1">
      <alignment vertical="top"/>
    </xf>
    <xf numFmtId="234" fontId="226" fillId="71" borderId="11" xfId="0" applyNumberFormat="1" applyFont="1" applyFill="1" applyBorder="1" applyAlignment="1">
      <alignment vertical="top"/>
    </xf>
    <xf numFmtId="0" fontId="224" fillId="72" borderId="198" xfId="0" applyFont="1" applyFill="1" applyBorder="1" applyAlignment="1">
      <alignment horizontal="center" wrapText="1"/>
    </xf>
    <xf numFmtId="0" fontId="235" fillId="0" borderId="198" xfId="0" applyFont="1" applyBorder="1"/>
    <xf numFmtId="0" fontId="203" fillId="0" borderId="198" xfId="0" applyFont="1" applyBorder="1"/>
    <xf numFmtId="165" fontId="225" fillId="0" borderId="0" xfId="0" applyNumberFormat="1" applyFont="1"/>
    <xf numFmtId="0" fontId="203" fillId="0" borderId="132" xfId="0" applyFont="1" applyBorder="1" applyAlignment="1">
      <alignment horizontal="center"/>
    </xf>
    <xf numFmtId="0" fontId="226" fillId="0" borderId="166" xfId="0" applyFont="1" applyBorder="1"/>
    <xf numFmtId="165" fontId="203" fillId="0" borderId="0" xfId="12422" applyNumberFormat="1" applyFont="1" applyAlignment="1">
      <alignment horizontal="center"/>
    </xf>
    <xf numFmtId="0" fontId="243" fillId="72" borderId="0" xfId="0" applyFont="1" applyFill="1"/>
    <xf numFmtId="4" fontId="234" fillId="0" borderId="0" xfId="0" applyNumberFormat="1" applyFont="1"/>
    <xf numFmtId="167" fontId="227" fillId="0" borderId="62" xfId="12427" applyNumberFormat="1" applyFont="1" applyBorder="1"/>
    <xf numFmtId="169" fontId="229" fillId="0" borderId="182" xfId="0" applyNumberFormat="1" applyFont="1" applyBorder="1"/>
    <xf numFmtId="167" fontId="228" fillId="0" borderId="13" xfId="12427" applyNumberFormat="1" applyFont="1" applyBorder="1"/>
    <xf numFmtId="243" fontId="203" fillId="0" borderId="183" xfId="0" applyNumberFormat="1" applyFont="1" applyBorder="1" applyAlignment="1">
      <alignment horizontal="right"/>
    </xf>
    <xf numFmtId="169" fontId="227" fillId="0" borderId="45" xfId="0" applyNumberFormat="1" applyFont="1" applyBorder="1"/>
    <xf numFmtId="41" fontId="203" fillId="0" borderId="0" xfId="0" applyNumberFormat="1" applyFont="1" applyAlignment="1">
      <alignment horizontal="right"/>
    </xf>
    <xf numFmtId="165" fontId="234" fillId="73" borderId="0" xfId="12422" applyNumberFormat="1" applyFont="1" applyFill="1" applyAlignment="1">
      <alignment horizontal="right"/>
    </xf>
    <xf numFmtId="165" fontId="227" fillId="0" borderId="177" xfId="12422" applyNumberFormat="1" applyFont="1" applyBorder="1" applyAlignment="1">
      <alignment horizontal="right"/>
    </xf>
    <xf numFmtId="165" fontId="234" fillId="0" borderId="177" xfId="12422" applyNumberFormat="1" applyFont="1" applyBorder="1" applyAlignment="1">
      <alignment horizontal="right"/>
    </xf>
    <xf numFmtId="165" fontId="203" fillId="0" borderId="198" xfId="0" applyNumberFormat="1" applyFont="1" applyBorder="1" applyAlignment="1">
      <alignment horizontal="right"/>
    </xf>
    <xf numFmtId="243" fontId="227" fillId="0" borderId="0" xfId="12422" applyNumberFormat="1" applyFont="1" applyAlignment="1">
      <alignment horizontal="right"/>
    </xf>
    <xf numFmtId="272" fontId="227" fillId="0" borderId="0" xfId="12422" applyNumberFormat="1" applyFont="1" applyAlignment="1">
      <alignment horizontal="right"/>
    </xf>
    <xf numFmtId="164" fontId="234" fillId="0" borderId="0" xfId="12422" applyNumberFormat="1" applyFont="1" applyAlignment="1">
      <alignment horizontal="right"/>
    </xf>
    <xf numFmtId="243" fontId="227" fillId="0" borderId="0" xfId="20305" applyNumberFormat="1" applyFont="1" applyAlignment="1">
      <alignment horizontal="right"/>
    </xf>
    <xf numFmtId="0" fontId="203" fillId="0" borderId="0" xfId="0" quotePrefix="1" applyFont="1" applyAlignment="1">
      <alignment horizontal="justify" vertical="top" wrapText="1"/>
    </xf>
    <xf numFmtId="243" fontId="4" fillId="0" borderId="0" xfId="20405" applyNumberFormat="1"/>
    <xf numFmtId="243" fontId="228" fillId="0" borderId="165" xfId="0" applyNumberFormat="1" applyFont="1" applyBorder="1" applyAlignment="1">
      <alignment horizontal="center"/>
    </xf>
    <xf numFmtId="243" fontId="228" fillId="0" borderId="51" xfId="0" applyNumberFormat="1" applyFont="1" applyBorder="1" applyAlignment="1">
      <alignment horizontal="center"/>
    </xf>
    <xf numFmtId="243" fontId="227" fillId="0" borderId="51" xfId="0" applyNumberFormat="1" applyFont="1" applyBorder="1" applyAlignment="1">
      <alignment horizontal="center"/>
    </xf>
    <xf numFmtId="0" fontId="228" fillId="0" borderId="0" xfId="0" quotePrefix="1" applyFont="1" applyAlignment="1">
      <alignment horizontal="center"/>
    </xf>
    <xf numFmtId="165" fontId="228" fillId="0" borderId="0" xfId="0" applyNumberFormat="1" applyFont="1" applyAlignment="1">
      <alignment horizontal="right"/>
    </xf>
    <xf numFmtId="0" fontId="224" fillId="72" borderId="177" xfId="0" applyFont="1" applyFill="1" applyBorder="1" applyAlignment="1">
      <alignment horizontal="right" wrapText="1"/>
    </xf>
    <xf numFmtId="0" fontId="224" fillId="72" borderId="198" xfId="0" applyFont="1" applyFill="1" applyBorder="1" applyAlignment="1">
      <alignment horizontal="right" wrapText="1"/>
    </xf>
    <xf numFmtId="167" fontId="227" fillId="73" borderId="0" xfId="12427" applyNumberFormat="1" applyFont="1" applyFill="1" applyAlignment="1">
      <alignment horizontal="right"/>
    </xf>
    <xf numFmtId="167" fontId="227" fillId="73" borderId="45" xfId="12427" applyNumberFormat="1" applyFont="1" applyFill="1" applyBorder="1" applyAlignment="1">
      <alignment horizontal="right"/>
    </xf>
    <xf numFmtId="0" fontId="203" fillId="73" borderId="13" xfId="0" applyFont="1" applyFill="1" applyBorder="1"/>
    <xf numFmtId="165" fontId="236" fillId="0" borderId="0" xfId="0" applyNumberFormat="1" applyFont="1"/>
    <xf numFmtId="9" fontId="228" fillId="0" borderId="0" xfId="20382" applyNumberFormat="1" applyFont="1" applyAlignment="1">
      <alignment horizontal="center"/>
    </xf>
    <xf numFmtId="0" fontId="152" fillId="73" borderId="177" xfId="0" applyFont="1" applyFill="1" applyBorder="1"/>
    <xf numFmtId="0" fontId="235" fillId="0" borderId="176" xfId="0" applyFont="1" applyBorder="1"/>
    <xf numFmtId="164" fontId="235" fillId="0" borderId="177" xfId="0" applyNumberFormat="1" applyFont="1" applyBorder="1" applyAlignment="1">
      <alignment horizontal="center"/>
    </xf>
    <xf numFmtId="165" fontId="235" fillId="0" borderId="177" xfId="0" applyNumberFormat="1" applyFont="1" applyBorder="1" applyAlignment="1">
      <alignment horizontal="center"/>
    </xf>
    <xf numFmtId="234" fontId="203" fillId="0" borderId="0" xfId="0" applyNumberFormat="1" applyFont="1"/>
    <xf numFmtId="234" fontId="226" fillId="0" borderId="198" xfId="0" applyNumberFormat="1" applyFont="1" applyBorder="1" applyAlignment="1">
      <alignment horizontal="right"/>
    </xf>
    <xf numFmtId="0" fontId="234" fillId="0" borderId="132" xfId="0" applyFont="1" applyBorder="1"/>
    <xf numFmtId="234" fontId="227" fillId="0" borderId="0" xfId="0" applyNumberFormat="1" applyFont="1" applyAlignment="1">
      <alignment horizontal="right"/>
    </xf>
    <xf numFmtId="167" fontId="236" fillId="0" borderId="177" xfId="12427" applyNumberFormat="1" applyFont="1" applyBorder="1" applyAlignment="1">
      <alignment horizontal="center"/>
    </xf>
    <xf numFmtId="1" fontId="235" fillId="0" borderId="0" xfId="0" applyNumberFormat="1" applyFont="1" applyAlignment="1">
      <alignment horizontal="right"/>
    </xf>
    <xf numFmtId="0" fontId="224" fillId="72" borderId="198" xfId="0" applyFont="1" applyFill="1" applyBorder="1" applyAlignment="1">
      <alignment horizontal="centerContinuous"/>
    </xf>
    <xf numFmtId="1" fontId="235" fillId="0" borderId="198" xfId="0" applyNumberFormat="1" applyFont="1" applyBorder="1" applyAlignment="1">
      <alignment horizontal="right"/>
    </xf>
    <xf numFmtId="1" fontId="226" fillId="0" borderId="177" xfId="0" applyNumberFormat="1" applyFont="1" applyBorder="1"/>
    <xf numFmtId="1" fontId="226" fillId="0" borderId="198" xfId="0" applyNumberFormat="1" applyFont="1" applyBorder="1"/>
    <xf numFmtId="169" fontId="203" fillId="73" borderId="0" xfId="0" applyNumberFormat="1" applyFont="1" applyFill="1"/>
    <xf numFmtId="325" fontId="227" fillId="0" borderId="165" xfId="0" applyNumberFormat="1" applyFont="1" applyBorder="1"/>
    <xf numFmtId="325" fontId="227" fillId="0" borderId="51" xfId="0" applyNumberFormat="1" applyFont="1" applyBorder="1"/>
    <xf numFmtId="325" fontId="227" fillId="0" borderId="133" xfId="0" applyNumberFormat="1" applyFont="1" applyBorder="1"/>
    <xf numFmtId="169" fontId="236" fillId="0" borderId="45" xfId="0" applyNumberFormat="1" applyFont="1" applyBorder="1"/>
    <xf numFmtId="0" fontId="152" fillId="0" borderId="0" xfId="0" quotePrefix="1" applyFont="1" applyAlignment="1">
      <alignment vertical="top" wrapText="1"/>
    </xf>
    <xf numFmtId="0" fontId="235" fillId="0" borderId="54" xfId="0" applyFont="1" applyBorder="1" applyAlignment="1">
      <alignment horizontal="right"/>
    </xf>
    <xf numFmtId="0" fontId="235" fillId="0" borderId="55" xfId="0" applyFont="1" applyBorder="1" applyAlignment="1">
      <alignment horizontal="right"/>
    </xf>
    <xf numFmtId="243" fontId="228" fillId="0" borderId="70" xfId="0" applyNumberFormat="1" applyFont="1" applyBorder="1"/>
    <xf numFmtId="0" fontId="241" fillId="0" borderId="0" xfId="0" applyFont="1" applyAlignment="1">
      <alignment horizontal="right"/>
    </xf>
    <xf numFmtId="165" fontId="241" fillId="0" borderId="0" xfId="12422" applyNumberFormat="1" applyFont="1" applyAlignment="1">
      <alignment horizontal="right"/>
    </xf>
    <xf numFmtId="43" fontId="235" fillId="0" borderId="0" xfId="0" applyNumberFormat="1" applyFont="1"/>
    <xf numFmtId="0" fontId="250" fillId="68" borderId="57" xfId="11155" quotePrefix="1" applyNumberFormat="1" applyFont="1" applyFill="1" applyBorder="1" applyAlignment="1">
      <alignment horizontal="left"/>
    </xf>
    <xf numFmtId="0" fontId="235" fillId="0" borderId="159" xfId="0" applyFont="1" applyBorder="1" applyAlignment="1">
      <alignment horizontal="center" wrapText="1"/>
    </xf>
    <xf numFmtId="0" fontId="235" fillId="0" borderId="161" xfId="0" applyFont="1" applyBorder="1" applyAlignment="1">
      <alignment horizontal="center" wrapText="1"/>
    </xf>
    <xf numFmtId="0" fontId="235" fillId="0" borderId="0" xfId="0" applyFont="1" applyAlignment="1">
      <alignment horizontal="center" vertical="top"/>
    </xf>
    <xf numFmtId="0" fontId="226" fillId="71" borderId="163" xfId="0" applyFont="1" applyFill="1" applyBorder="1" applyAlignment="1">
      <alignment horizontal="center" vertical="top"/>
    </xf>
    <xf numFmtId="0" fontId="226" fillId="71" borderId="0" xfId="0" applyFont="1" applyFill="1" applyAlignment="1">
      <alignment horizontal="center" vertical="top"/>
    </xf>
    <xf numFmtId="0" fontId="235" fillId="0" borderId="198" xfId="0" applyFont="1" applyBorder="1" applyAlignment="1">
      <alignment horizontal="center" wrapText="1"/>
    </xf>
    <xf numFmtId="0" fontId="203" fillId="0" borderId="0" xfId="0" applyFont="1" applyAlignment="1">
      <alignment horizontal="center" vertical="top" wrapText="1"/>
    </xf>
    <xf numFmtId="0" fontId="203" fillId="71" borderId="163" xfId="0" applyFont="1" applyFill="1" applyBorder="1" applyAlignment="1">
      <alignment horizontal="center"/>
    </xf>
    <xf numFmtId="0" fontId="224" fillId="72" borderId="176" xfId="0" applyFont="1" applyFill="1" applyBorder="1" applyAlignment="1">
      <alignment horizontal="center" wrapText="1"/>
    </xf>
    <xf numFmtId="0" fontId="224" fillId="72" borderId="166" xfId="0" applyFont="1" applyFill="1" applyBorder="1" applyAlignment="1">
      <alignment horizontal="center"/>
    </xf>
    <xf numFmtId="0" fontId="235" fillId="0" borderId="176" xfId="0" applyFont="1" applyBorder="1" applyAlignment="1">
      <alignment horizontal="left"/>
    </xf>
    <xf numFmtId="0" fontId="235" fillId="0" borderId="177" xfId="0" applyFont="1" applyBorder="1" applyAlignment="1">
      <alignment horizontal="centerContinuous"/>
    </xf>
    <xf numFmtId="0" fontId="235" fillId="0" borderId="177" xfId="0" applyFont="1" applyBorder="1" applyAlignment="1">
      <alignment horizontal="right"/>
    </xf>
    <xf numFmtId="0" fontId="235" fillId="0" borderId="198" xfId="0" applyFont="1" applyBorder="1" applyAlignment="1">
      <alignment horizontal="right"/>
    </xf>
    <xf numFmtId="191" fontId="228" fillId="0" borderId="0" xfId="12427" applyNumberFormat="1" applyFont="1" applyAlignment="1">
      <alignment horizontal="right"/>
    </xf>
    <xf numFmtId="191" fontId="203" fillId="0" borderId="0" xfId="12427" applyNumberFormat="1" applyFont="1"/>
    <xf numFmtId="2" fontId="227" fillId="0" borderId="0" xfId="0" applyNumberFormat="1" applyFont="1"/>
    <xf numFmtId="2" fontId="203" fillId="0" borderId="0" xfId="0" applyNumberFormat="1" applyFont="1"/>
    <xf numFmtId="43" fontId="203" fillId="0" borderId="166" xfId="12427" applyFont="1" applyBorder="1"/>
    <xf numFmtId="191" fontId="203" fillId="0" borderId="0" xfId="0" applyNumberFormat="1" applyFont="1"/>
    <xf numFmtId="342" fontId="203" fillId="0" borderId="0" xfId="0" applyNumberFormat="1" applyFont="1"/>
    <xf numFmtId="0" fontId="203" fillId="0" borderId="183" xfId="0" quotePrefix="1" applyFont="1" applyBorder="1"/>
    <xf numFmtId="167" fontId="203" fillId="0" borderId="182" xfId="12427" applyNumberFormat="1" applyFont="1" applyBorder="1"/>
    <xf numFmtId="165" fontId="203" fillId="0" borderId="97" xfId="12422" applyNumberFormat="1" applyFont="1" applyBorder="1"/>
    <xf numFmtId="165" fontId="203" fillId="0" borderId="177" xfId="12422" applyNumberFormat="1" applyFont="1" applyBorder="1"/>
    <xf numFmtId="0" fontId="249" fillId="0" borderId="0" xfId="11807" applyFont="1"/>
    <xf numFmtId="43" fontId="222" fillId="68" borderId="57" xfId="11155" applyFont="1" applyFill="1" applyBorder="1"/>
    <xf numFmtId="43" fontId="235" fillId="68" borderId="57" xfId="11155" applyFont="1" applyFill="1" applyBorder="1"/>
    <xf numFmtId="43" fontId="222" fillId="68" borderId="57" xfId="11155" applyFont="1" applyFill="1" applyBorder="1" applyAlignment="1">
      <alignment horizontal="right"/>
    </xf>
    <xf numFmtId="243" fontId="226" fillId="0" borderId="199" xfId="0" applyNumberFormat="1" applyFont="1" applyBorder="1"/>
    <xf numFmtId="243" fontId="226" fillId="0" borderId="102" xfId="0" applyNumberFormat="1" applyFont="1" applyBorder="1"/>
    <xf numFmtId="243" fontId="235" fillId="0" borderId="102" xfId="0" applyNumberFormat="1" applyFont="1" applyBorder="1"/>
    <xf numFmtId="243" fontId="235" fillId="0" borderId="200" xfId="0" applyNumberFormat="1" applyFont="1" applyBorder="1"/>
    <xf numFmtId="0" fontId="239" fillId="0" borderId="176" xfId="0" applyFont="1" applyBorder="1" applyAlignment="1">
      <alignment horizontal="right"/>
    </xf>
    <xf numFmtId="0" fontId="239" fillId="0" borderId="177" xfId="0" applyFont="1" applyBorder="1" applyAlignment="1">
      <alignment horizontal="right"/>
    </xf>
    <xf numFmtId="0" fontId="239" fillId="0" borderId="198" xfId="0" applyFont="1" applyBorder="1" applyAlignment="1">
      <alignment horizontal="right"/>
    </xf>
    <xf numFmtId="192" fontId="228" fillId="0" borderId="0" xfId="0" applyNumberFormat="1" applyFont="1" applyAlignment="1">
      <alignment horizontal="right"/>
    </xf>
    <xf numFmtId="243" fontId="227" fillId="0" borderId="0" xfId="0" applyNumberFormat="1" applyFont="1" applyAlignment="1">
      <alignment horizontal="right"/>
    </xf>
    <xf numFmtId="243" fontId="228" fillId="0" borderId="0" xfId="0" applyNumberFormat="1" applyFont="1" applyAlignment="1">
      <alignment horizontal="right"/>
    </xf>
    <xf numFmtId="167" fontId="228" fillId="0" borderId="0" xfId="12427" applyNumberFormat="1" applyFont="1" applyAlignment="1">
      <alignment horizontal="right"/>
    </xf>
    <xf numFmtId="165" fontId="235" fillId="71" borderId="177" xfId="12422" applyNumberFormat="1" applyFont="1" applyFill="1" applyBorder="1"/>
    <xf numFmtId="165" fontId="235" fillId="71" borderId="198" xfId="12422" applyNumberFormat="1" applyFont="1" applyFill="1" applyBorder="1"/>
    <xf numFmtId="243" fontId="228" fillId="0" borderId="0" xfId="12422" applyNumberFormat="1" applyFont="1" applyAlignment="1">
      <alignment horizontal="right"/>
    </xf>
    <xf numFmtId="272" fontId="228" fillId="0" borderId="0" xfId="12422" applyNumberFormat="1" applyFont="1" applyAlignment="1">
      <alignment horizontal="right"/>
    </xf>
    <xf numFmtId="243" fontId="228" fillId="0" borderId="0" xfId="20305" applyNumberFormat="1" applyFont="1" applyAlignment="1">
      <alignment horizontal="right"/>
    </xf>
    <xf numFmtId="0" fontId="224" fillId="72" borderId="150" xfId="0" applyFont="1" applyFill="1" applyBorder="1" applyAlignment="1">
      <alignment horizontal="right"/>
    </xf>
    <xf numFmtId="169" fontId="226" fillId="0" borderId="198" xfId="0" applyNumberFormat="1" applyFont="1" applyBorder="1"/>
    <xf numFmtId="165" fontId="294" fillId="0" borderId="0" xfId="12422" applyNumberFormat="1" applyFont="1" applyAlignment="1">
      <alignment horizontal="right"/>
    </xf>
    <xf numFmtId="165" fontId="294" fillId="0" borderId="0" xfId="0" applyNumberFormat="1" applyFont="1" applyAlignment="1">
      <alignment horizontal="right"/>
    </xf>
    <xf numFmtId="243" fontId="227" fillId="0" borderId="0" xfId="12427" applyNumberFormat="1" applyFont="1"/>
    <xf numFmtId="243" fontId="203" fillId="0" borderId="0" xfId="12427" applyNumberFormat="1" applyFont="1" applyAlignment="1">
      <alignment horizontal="center"/>
    </xf>
    <xf numFmtId="167" fontId="226" fillId="0" borderId="0" xfId="0" applyNumberFormat="1" applyFont="1"/>
    <xf numFmtId="165" fontId="226" fillId="0" borderId="198" xfId="12422" applyNumberFormat="1" applyFont="1" applyBorder="1"/>
    <xf numFmtId="0" fontId="233" fillId="0" borderId="0" xfId="0" applyFont="1" applyAlignment="1">
      <alignment horizontal="left" wrapText="1"/>
    </xf>
    <xf numFmtId="0" fontId="237" fillId="0" borderId="0" xfId="0" applyFont="1" applyAlignment="1">
      <alignment horizontal="centerContinuous"/>
    </xf>
    <xf numFmtId="0" fontId="203" fillId="0" borderId="180" xfId="0" applyFont="1" applyBorder="1" applyAlignment="1">
      <alignment horizontal="right"/>
    </xf>
    <xf numFmtId="8" fontId="226" fillId="0" borderId="182" xfId="0" applyNumberFormat="1" applyFont="1" applyBorder="1" applyAlignment="1">
      <alignment horizontal="right"/>
    </xf>
    <xf numFmtId="43" fontId="203" fillId="0" borderId="62" xfId="0" applyNumberFormat="1" applyFont="1" applyBorder="1"/>
    <xf numFmtId="0" fontId="224" fillId="72" borderId="182" xfId="0" applyFont="1" applyFill="1" applyBorder="1" applyAlignment="1">
      <alignment horizontal="centerContinuous"/>
    </xf>
    <xf numFmtId="43" fontId="203" fillId="0" borderId="198" xfId="0" applyNumberFormat="1" applyFont="1" applyBorder="1" applyAlignment="1">
      <alignment horizontal="right"/>
    </xf>
    <xf numFmtId="169" fontId="231" fillId="0" borderId="0" xfId="0" applyNumberFormat="1" applyFont="1"/>
    <xf numFmtId="43" fontId="226" fillId="71" borderId="5" xfId="0" applyNumberFormat="1" applyFont="1" applyFill="1" applyBorder="1"/>
    <xf numFmtId="165" fontId="203" fillId="0" borderId="0" xfId="0" applyNumberFormat="1" applyFont="1" applyAlignment="1">
      <alignment horizontal="right" vertical="top"/>
    </xf>
    <xf numFmtId="165" fontId="203" fillId="73" borderId="0" xfId="0" applyNumberFormat="1" applyFont="1" applyFill="1" applyAlignment="1">
      <alignment horizontal="right" vertical="top"/>
    </xf>
    <xf numFmtId="165" fontId="203" fillId="70" borderId="0" xfId="0" applyNumberFormat="1" applyFont="1" applyFill="1" applyAlignment="1">
      <alignment horizontal="right" vertical="top"/>
    </xf>
    <xf numFmtId="0" fontId="226" fillId="71" borderId="126" xfId="0" applyFont="1" applyFill="1" applyBorder="1" applyAlignment="1">
      <alignment vertical="top"/>
    </xf>
    <xf numFmtId="0" fontId="203" fillId="71" borderId="127" xfId="0" applyFont="1" applyFill="1" applyBorder="1" applyAlignment="1">
      <alignment vertical="top"/>
    </xf>
    <xf numFmtId="165" fontId="226" fillId="71" borderId="127" xfId="0" applyNumberFormat="1" applyFont="1" applyFill="1" applyBorder="1" applyAlignment="1">
      <alignment vertical="top"/>
    </xf>
    <xf numFmtId="165" fontId="226" fillId="71" borderId="128" xfId="0" applyNumberFormat="1" applyFont="1" applyFill="1" applyBorder="1" applyAlignment="1">
      <alignment vertical="top"/>
    </xf>
    <xf numFmtId="0" fontId="226" fillId="71" borderId="62" xfId="0" applyFont="1" applyFill="1" applyBorder="1" applyAlignment="1">
      <alignment vertical="top"/>
    </xf>
    <xf numFmtId="0" fontId="203" fillId="71" borderId="0" xfId="0" applyFont="1" applyFill="1" applyAlignment="1">
      <alignment vertical="top"/>
    </xf>
    <xf numFmtId="165" fontId="226" fillId="71" borderId="0" xfId="0" applyNumberFormat="1" applyFont="1" applyFill="1" applyAlignment="1">
      <alignment vertical="top"/>
    </xf>
    <xf numFmtId="165" fontId="226" fillId="71" borderId="13" xfId="0" applyNumberFormat="1" applyFont="1" applyFill="1" applyBorder="1" applyAlignment="1">
      <alignment vertical="top"/>
    </xf>
    <xf numFmtId="0" fontId="203" fillId="71" borderId="45" xfId="0" applyFont="1" applyFill="1" applyBorder="1" applyAlignment="1">
      <alignment vertical="top"/>
    </xf>
    <xf numFmtId="165" fontId="226" fillId="71" borderId="45" xfId="0" applyNumberFormat="1" applyFont="1" applyFill="1" applyBorder="1" applyAlignment="1">
      <alignment vertical="top"/>
    </xf>
    <xf numFmtId="165" fontId="226" fillId="71" borderId="97" xfId="0" applyNumberFormat="1" applyFont="1" applyFill="1" applyBorder="1" applyAlignment="1">
      <alignment vertical="top"/>
    </xf>
    <xf numFmtId="0" fontId="230" fillId="0" borderId="0" xfId="0" applyFont="1" applyAlignment="1">
      <alignment vertical="top"/>
    </xf>
    <xf numFmtId="10" fontId="203" fillId="0" borderId="0" xfId="0" applyNumberFormat="1" applyFont="1" applyAlignment="1">
      <alignment horizontal="right" vertical="top"/>
    </xf>
    <xf numFmtId="10" fontId="234" fillId="0" borderId="0" xfId="0" applyNumberFormat="1" applyFont="1" applyAlignment="1">
      <alignment vertical="top"/>
    </xf>
    <xf numFmtId="165" fontId="234" fillId="0" borderId="0" xfId="0" applyNumberFormat="1" applyFont="1" applyAlignment="1">
      <alignment horizontal="right" vertical="top"/>
    </xf>
    <xf numFmtId="165" fontId="234" fillId="0" borderId="0" xfId="0" applyNumberFormat="1" applyFont="1" applyAlignment="1">
      <alignment vertical="top"/>
    </xf>
    <xf numFmtId="168" fontId="203" fillId="0" borderId="0" xfId="0" applyNumberFormat="1" applyFont="1" applyAlignment="1">
      <alignment horizontal="right" vertical="top"/>
    </xf>
    <xf numFmtId="168" fontId="234" fillId="0" borderId="0" xfId="0" applyNumberFormat="1" applyFont="1" applyAlignment="1">
      <alignment horizontal="right" vertical="top"/>
    </xf>
    <xf numFmtId="169" fontId="245" fillId="0" borderId="0" xfId="0" applyNumberFormat="1" applyFont="1" applyAlignment="1">
      <alignment vertical="top"/>
    </xf>
    <xf numFmtId="0" fontId="233" fillId="0" borderId="0" xfId="0" applyFont="1" applyAlignment="1">
      <alignment vertical="top"/>
    </xf>
    <xf numFmtId="0" fontId="226" fillId="71" borderId="127" xfId="0" applyFont="1" applyFill="1" applyBorder="1" applyAlignment="1">
      <alignment vertical="top"/>
    </xf>
    <xf numFmtId="169" fontId="226" fillId="71" borderId="127" xfId="0" applyNumberFormat="1" applyFont="1" applyFill="1" applyBorder="1" applyAlignment="1">
      <alignment vertical="top"/>
    </xf>
    <xf numFmtId="10" fontId="226" fillId="71" borderId="127" xfId="0" applyNumberFormat="1" applyFont="1" applyFill="1" applyBorder="1" applyAlignment="1">
      <alignment vertical="top"/>
    </xf>
    <xf numFmtId="10" fontId="235" fillId="71" borderId="127" xfId="0" applyNumberFormat="1" applyFont="1" applyFill="1" applyBorder="1" applyAlignment="1">
      <alignment vertical="top"/>
    </xf>
    <xf numFmtId="165" fontId="235" fillId="71" borderId="127" xfId="0" applyNumberFormat="1" applyFont="1" applyFill="1" applyBorder="1" applyAlignment="1">
      <alignment vertical="top"/>
    </xf>
    <xf numFmtId="0" fontId="235" fillId="71" borderId="127" xfId="0" applyFont="1" applyFill="1" applyBorder="1" applyAlignment="1">
      <alignment vertical="top"/>
    </xf>
    <xf numFmtId="168" fontId="226" fillId="71" borderId="127" xfId="0" applyNumberFormat="1" applyFont="1" applyFill="1" applyBorder="1" applyAlignment="1">
      <alignment horizontal="right" vertical="top"/>
    </xf>
    <xf numFmtId="168" fontId="235" fillId="71" borderId="127" xfId="0" applyNumberFormat="1" applyFont="1" applyFill="1" applyBorder="1" applyAlignment="1">
      <alignment horizontal="right" vertical="top"/>
    </xf>
    <xf numFmtId="165" fontId="235" fillId="71" borderId="128" xfId="0" applyNumberFormat="1" applyFont="1" applyFill="1" applyBorder="1" applyAlignment="1">
      <alignment horizontal="right" vertical="top"/>
    </xf>
    <xf numFmtId="165" fontId="203" fillId="0" borderId="126" xfId="12422" applyNumberFormat="1" applyFont="1" applyBorder="1" applyAlignment="1">
      <alignment vertical="top"/>
    </xf>
    <xf numFmtId="0" fontId="203" fillId="0" borderId="127" xfId="0" applyFont="1" applyBorder="1" applyAlignment="1">
      <alignment vertical="top"/>
    </xf>
    <xf numFmtId="0" fontId="203" fillId="0" borderId="128" xfId="0" applyFont="1" applyBorder="1" applyAlignment="1">
      <alignment vertical="top"/>
    </xf>
    <xf numFmtId="10" fontId="226" fillId="71" borderId="0" xfId="0" applyNumberFormat="1" applyFont="1" applyFill="1" applyAlignment="1">
      <alignment vertical="top"/>
    </xf>
    <xf numFmtId="10" fontId="235" fillId="71" borderId="0" xfId="0" applyNumberFormat="1" applyFont="1" applyFill="1" applyAlignment="1">
      <alignment vertical="top"/>
    </xf>
    <xf numFmtId="165" fontId="235" fillId="71" borderId="0" xfId="0" applyNumberFormat="1" applyFont="1" applyFill="1" applyAlignment="1">
      <alignment vertical="top"/>
    </xf>
    <xf numFmtId="0" fontId="235" fillId="71" borderId="0" xfId="0" applyFont="1" applyFill="1" applyAlignment="1">
      <alignment vertical="top"/>
    </xf>
    <xf numFmtId="168" fontId="226" fillId="71" borderId="0" xfId="0" applyNumberFormat="1" applyFont="1" applyFill="1" applyAlignment="1">
      <alignment horizontal="right" vertical="top"/>
    </xf>
    <xf numFmtId="168" fontId="235" fillId="71" borderId="0" xfId="0" applyNumberFormat="1" applyFont="1" applyFill="1" applyAlignment="1">
      <alignment horizontal="right" vertical="top"/>
    </xf>
    <xf numFmtId="165" fontId="235" fillId="71" borderId="13" xfId="0" applyNumberFormat="1" applyFont="1" applyFill="1" applyBorder="1" applyAlignment="1">
      <alignment horizontal="right" vertical="top"/>
    </xf>
    <xf numFmtId="165" fontId="203" fillId="0" borderId="62" xfId="12422" applyNumberFormat="1" applyFont="1" applyBorder="1" applyAlignment="1">
      <alignment vertical="top"/>
    </xf>
    <xf numFmtId="0" fontId="203" fillId="0" borderId="13" xfId="0" applyFont="1" applyBorder="1" applyAlignment="1">
      <alignment vertical="top"/>
    </xf>
    <xf numFmtId="0" fontId="260" fillId="0" borderId="13" xfId="0" applyFont="1" applyBorder="1" applyAlignment="1">
      <alignment vertical="top"/>
    </xf>
    <xf numFmtId="0" fontId="225" fillId="0" borderId="62" xfId="0" applyFont="1" applyBorder="1" applyAlignment="1">
      <alignment vertical="top"/>
    </xf>
    <xf numFmtId="0" fontId="225" fillId="0" borderId="10" xfId="0" applyFont="1" applyBorder="1" applyAlignment="1">
      <alignment vertical="top"/>
    </xf>
    <xf numFmtId="0" fontId="203" fillId="0" borderId="45" xfId="0" applyFont="1" applyBorder="1" applyAlignment="1">
      <alignment vertical="top"/>
    </xf>
    <xf numFmtId="0" fontId="203" fillId="0" borderId="97" xfId="0" applyFont="1" applyBorder="1" applyAlignment="1">
      <alignment vertical="top"/>
    </xf>
    <xf numFmtId="10" fontId="226" fillId="71" borderId="45" xfId="0" applyNumberFormat="1" applyFont="1" applyFill="1" applyBorder="1" applyAlignment="1">
      <alignment vertical="top"/>
    </xf>
    <xf numFmtId="10" fontId="235" fillId="71" borderId="45" xfId="0" applyNumberFormat="1" applyFont="1" applyFill="1" applyBorder="1" applyAlignment="1">
      <alignment vertical="top"/>
    </xf>
    <xf numFmtId="165" fontId="235" fillId="71" borderId="45" xfId="0" applyNumberFormat="1" applyFont="1" applyFill="1" applyBorder="1" applyAlignment="1">
      <alignment vertical="top"/>
    </xf>
    <xf numFmtId="0" fontId="235" fillId="71" borderId="45" xfId="0" applyFont="1" applyFill="1" applyBorder="1" applyAlignment="1">
      <alignment vertical="top"/>
    </xf>
    <xf numFmtId="168" fontId="226" fillId="71" borderId="45" xfId="0" applyNumberFormat="1" applyFont="1" applyFill="1" applyBorder="1" applyAlignment="1">
      <alignment horizontal="right" vertical="top"/>
    </xf>
    <xf numFmtId="168" fontId="235" fillId="71" borderId="45" xfId="0" applyNumberFormat="1" applyFont="1" applyFill="1" applyBorder="1" applyAlignment="1">
      <alignment horizontal="right" vertical="top"/>
    </xf>
    <xf numFmtId="165" fontId="235" fillId="71" borderId="97" xfId="0" applyNumberFormat="1" applyFont="1" applyFill="1" applyBorder="1" applyAlignment="1">
      <alignment horizontal="right" vertical="top"/>
    </xf>
    <xf numFmtId="0" fontId="225" fillId="0" borderId="0" xfId="0" applyFont="1" applyAlignment="1">
      <alignment vertical="top"/>
    </xf>
    <xf numFmtId="0" fontId="237" fillId="0" borderId="153" xfId="0" applyFont="1" applyBorder="1" applyAlignment="1">
      <alignment vertical="top"/>
    </xf>
    <xf numFmtId="0" fontId="226" fillId="71" borderId="4" xfId="0" applyFont="1" applyFill="1" applyBorder="1" applyAlignment="1">
      <alignment horizontal="left" vertical="top"/>
    </xf>
    <xf numFmtId="0" fontId="203" fillId="71" borderId="5" xfId="0" quotePrefix="1" applyFont="1" applyFill="1" applyBorder="1" applyAlignment="1">
      <alignment horizontal="center" vertical="top"/>
    </xf>
    <xf numFmtId="169" fontId="261" fillId="71" borderId="5" xfId="0" applyNumberFormat="1" applyFont="1" applyFill="1" applyBorder="1" applyAlignment="1">
      <alignment vertical="top"/>
    </xf>
    <xf numFmtId="0" fontId="226" fillId="71" borderId="5" xfId="0" applyFont="1" applyFill="1" applyBorder="1" applyAlignment="1">
      <alignment vertical="top"/>
    </xf>
    <xf numFmtId="167" fontId="226" fillId="71" borderId="5" xfId="12427" applyNumberFormat="1" applyFont="1" applyFill="1" applyBorder="1" applyAlignment="1">
      <alignment vertical="top"/>
    </xf>
    <xf numFmtId="165" fontId="261" fillId="71" borderId="5" xfId="0" applyNumberFormat="1" applyFont="1" applyFill="1" applyBorder="1" applyAlignment="1">
      <alignment vertical="top"/>
    </xf>
    <xf numFmtId="169" fontId="226" fillId="71" borderId="5" xfId="0" applyNumberFormat="1" applyFont="1" applyFill="1" applyBorder="1" applyAlignment="1">
      <alignment vertical="top"/>
    </xf>
    <xf numFmtId="10" fontId="226" fillId="71" borderId="5" xfId="0" applyNumberFormat="1" applyFont="1" applyFill="1" applyBorder="1" applyAlignment="1">
      <alignment vertical="top"/>
    </xf>
    <xf numFmtId="0" fontId="235" fillId="71" borderId="5" xfId="0" applyFont="1" applyFill="1" applyBorder="1" applyAlignment="1">
      <alignment vertical="top"/>
    </xf>
    <xf numFmtId="165" fontId="240" fillId="71" borderId="35" xfId="0" applyNumberFormat="1" applyFont="1" applyFill="1" applyBorder="1" applyAlignment="1">
      <alignment vertical="top"/>
    </xf>
    <xf numFmtId="168" fontId="226" fillId="71" borderId="5" xfId="0" applyNumberFormat="1" applyFont="1" applyFill="1" applyBorder="1" applyAlignment="1">
      <alignment horizontal="right" vertical="top"/>
    </xf>
    <xf numFmtId="168" fontId="235" fillId="71" borderId="5" xfId="0" applyNumberFormat="1" applyFont="1" applyFill="1" applyBorder="1" applyAlignment="1">
      <alignment horizontal="right" vertical="top"/>
    </xf>
    <xf numFmtId="165" fontId="235" fillId="71" borderId="6" xfId="0" applyNumberFormat="1" applyFont="1" applyFill="1" applyBorder="1" applyAlignment="1">
      <alignment horizontal="right" vertical="top"/>
    </xf>
    <xf numFmtId="169" fontId="235" fillId="71" borderId="5" xfId="0" applyNumberFormat="1" applyFont="1" applyFill="1" applyBorder="1" applyAlignment="1">
      <alignment vertical="top"/>
    </xf>
    <xf numFmtId="167" fontId="226" fillId="71" borderId="177" xfId="12427" applyNumberFormat="1" applyFont="1" applyFill="1" applyBorder="1" applyAlignment="1">
      <alignment vertical="top"/>
    </xf>
    <xf numFmtId="165" fontId="235" fillId="71" borderId="5" xfId="0" applyNumberFormat="1" applyFont="1" applyFill="1" applyBorder="1" applyAlignment="1">
      <alignment vertical="top"/>
    </xf>
    <xf numFmtId="169" fontId="229" fillId="0" borderId="0" xfId="0" applyNumberFormat="1" applyFont="1" applyAlignment="1">
      <alignment vertical="top"/>
    </xf>
    <xf numFmtId="43" fontId="203" fillId="0" borderId="0" xfId="0" applyNumberFormat="1" applyFont="1" applyAlignment="1">
      <alignment horizontal="center" vertical="top"/>
    </xf>
    <xf numFmtId="169" fontId="229" fillId="76" borderId="0" xfId="0" applyNumberFormat="1" applyFont="1" applyFill="1" applyAlignment="1">
      <alignment vertical="top"/>
    </xf>
    <xf numFmtId="167" fontId="228" fillId="0" borderId="0" xfId="12427" applyNumberFormat="1" applyFont="1" applyAlignment="1">
      <alignment vertical="top"/>
    </xf>
    <xf numFmtId="43" fontId="203" fillId="0" borderId="0" xfId="0" quotePrefix="1" applyNumberFormat="1" applyFont="1" applyAlignment="1">
      <alignment horizontal="center" vertical="top"/>
    </xf>
    <xf numFmtId="0" fontId="226" fillId="0" borderId="151" xfId="0" applyFont="1" applyBorder="1" applyAlignment="1">
      <alignment vertical="top"/>
    </xf>
    <xf numFmtId="0" fontId="203" fillId="0" borderId="151" xfId="0" applyFont="1" applyBorder="1" applyAlignment="1">
      <alignment vertical="top"/>
    </xf>
    <xf numFmtId="169" fontId="235" fillId="0" borderId="151" xfId="0" applyNumberFormat="1" applyFont="1" applyBorder="1" applyAlignment="1">
      <alignment vertical="top"/>
    </xf>
    <xf numFmtId="169" fontId="235" fillId="0" borderId="157" xfId="0" applyNumberFormat="1" applyFont="1" applyBorder="1" applyAlignment="1">
      <alignment vertical="top"/>
    </xf>
    <xf numFmtId="0" fontId="203" fillId="0" borderId="154" xfId="0" applyFont="1" applyBorder="1" applyAlignment="1">
      <alignment vertical="top"/>
    </xf>
    <xf numFmtId="0" fontId="203" fillId="0" borderId="157" xfId="0" applyFont="1" applyBorder="1" applyAlignment="1">
      <alignment vertical="top"/>
    </xf>
    <xf numFmtId="167" fontId="234" fillId="0" borderId="157" xfId="12427" applyNumberFormat="1" applyFont="1" applyBorder="1" applyAlignment="1">
      <alignment vertical="top"/>
    </xf>
    <xf numFmtId="167" fontId="234" fillId="0" borderId="156" xfId="12427" applyNumberFormat="1" applyFont="1" applyBorder="1" applyAlignment="1">
      <alignment vertical="top"/>
    </xf>
    <xf numFmtId="43" fontId="234" fillId="0" borderId="0" xfId="0" quotePrefix="1" applyNumberFormat="1" applyFont="1" applyAlignment="1">
      <alignment horizontal="center" vertical="top"/>
    </xf>
    <xf numFmtId="0" fontId="203" fillId="0" borderId="62" xfId="0" applyFont="1" applyBorder="1" applyAlignment="1">
      <alignment vertical="top"/>
    </xf>
    <xf numFmtId="10" fontId="227" fillId="0" borderId="0" xfId="0" applyNumberFormat="1" applyFont="1" applyAlignment="1">
      <alignment vertical="top"/>
    </xf>
    <xf numFmtId="10" fontId="227" fillId="0" borderId="13" xfId="0" applyNumberFormat="1" applyFont="1" applyBorder="1" applyAlignment="1">
      <alignment vertical="top"/>
    </xf>
    <xf numFmtId="0" fontId="234" fillId="0" borderId="0" xfId="0" applyFont="1" applyAlignment="1">
      <alignment horizontal="center" vertical="top"/>
    </xf>
    <xf numFmtId="10" fontId="233" fillId="0" borderId="0" xfId="0" applyNumberFormat="1" applyFont="1" applyAlignment="1">
      <alignment vertical="top"/>
    </xf>
    <xf numFmtId="10" fontId="233" fillId="0" borderId="13" xfId="0" applyNumberFormat="1" applyFont="1" applyBorder="1" applyAlignment="1">
      <alignment vertical="top"/>
    </xf>
    <xf numFmtId="165" fontId="227" fillId="0" borderId="0" xfId="0" applyNumberFormat="1" applyFont="1" applyAlignment="1">
      <alignment vertical="top"/>
    </xf>
    <xf numFmtId="165" fontId="227" fillId="0" borderId="13" xfId="0" applyNumberFormat="1" applyFont="1" applyBorder="1" applyAlignment="1">
      <alignment vertical="top"/>
    </xf>
    <xf numFmtId="0" fontId="234" fillId="0" borderId="0" xfId="0" quotePrefix="1" applyFont="1" applyAlignment="1">
      <alignment horizontal="center" vertical="top"/>
    </xf>
    <xf numFmtId="168" fontId="203" fillId="0" borderId="0" xfId="0" applyNumberFormat="1" applyFont="1" applyAlignment="1">
      <alignment vertical="top"/>
    </xf>
    <xf numFmtId="168" fontId="203" fillId="0" borderId="13" xfId="0" applyNumberFormat="1" applyFont="1" applyBorder="1" applyAlignment="1">
      <alignment vertical="top"/>
    </xf>
    <xf numFmtId="170" fontId="203" fillId="0" borderId="0" xfId="0" applyNumberFormat="1" applyFont="1" applyAlignment="1">
      <alignment vertical="top"/>
    </xf>
    <xf numFmtId="170" fontId="203" fillId="0" borderId="13" xfId="0" applyNumberFormat="1" applyFont="1" applyBorder="1" applyAlignment="1">
      <alignment vertical="top"/>
    </xf>
    <xf numFmtId="0" fontId="226" fillId="0" borderId="132" xfId="0" applyFont="1" applyBorder="1" applyAlignment="1">
      <alignment vertical="top"/>
    </xf>
    <xf numFmtId="0" fontId="226" fillId="0" borderId="45" xfId="0" applyFont="1" applyBorder="1" applyAlignment="1">
      <alignment vertical="top"/>
    </xf>
    <xf numFmtId="165" fontId="226" fillId="0" borderId="45" xfId="0" applyNumberFormat="1" applyFont="1" applyBorder="1" applyAlignment="1">
      <alignment vertical="top"/>
    </xf>
    <xf numFmtId="165" fontId="226" fillId="0" borderId="97" xfId="0" applyNumberFormat="1" applyFont="1" applyBorder="1" applyAlignment="1">
      <alignment vertical="top"/>
    </xf>
    <xf numFmtId="169" fontId="203" fillId="0" borderId="157" xfId="0" applyNumberFormat="1" applyFont="1" applyBorder="1" applyAlignment="1">
      <alignment vertical="top"/>
    </xf>
    <xf numFmtId="169" fontId="203" fillId="0" borderId="156" xfId="0" applyNumberFormat="1" applyFont="1" applyBorder="1" applyAlignment="1">
      <alignment vertical="top"/>
    </xf>
    <xf numFmtId="8" fontId="203" fillId="0" borderId="0" xfId="0" applyNumberFormat="1" applyFont="1" applyAlignment="1">
      <alignment vertical="top"/>
    </xf>
    <xf numFmtId="8" fontId="203" fillId="0" borderId="13" xfId="0" applyNumberFormat="1" applyFont="1" applyBorder="1" applyAlignment="1">
      <alignment vertical="top"/>
    </xf>
    <xf numFmtId="10" fontId="203" fillId="0" borderId="0" xfId="0" applyNumberFormat="1" applyFont="1" applyAlignment="1">
      <alignment vertical="top"/>
    </xf>
    <xf numFmtId="10" fontId="203" fillId="0" borderId="13" xfId="0" applyNumberFormat="1" applyFont="1" applyBorder="1" applyAlignment="1">
      <alignment vertical="top"/>
    </xf>
    <xf numFmtId="165" fontId="203" fillId="0" borderId="0" xfId="0" applyNumberFormat="1" applyFont="1" applyAlignment="1">
      <alignment vertical="top"/>
    </xf>
    <xf numFmtId="165" fontId="203" fillId="0" borderId="13" xfId="0" applyNumberFormat="1" applyFont="1" applyBorder="1" applyAlignment="1">
      <alignment vertical="top"/>
    </xf>
    <xf numFmtId="234" fontId="228" fillId="0" borderId="13" xfId="0" applyNumberFormat="1" applyFont="1" applyBorder="1" applyAlignment="1">
      <alignment horizontal="right"/>
    </xf>
    <xf numFmtId="234" fontId="228" fillId="0" borderId="97" xfId="0" applyNumberFormat="1" applyFont="1" applyBorder="1" applyAlignment="1">
      <alignment horizontal="right"/>
    </xf>
    <xf numFmtId="169" fontId="234" fillId="0" borderId="0" xfId="0" applyNumberFormat="1" applyFont="1" applyAlignment="1">
      <alignment horizontal="right" vertical="top"/>
    </xf>
    <xf numFmtId="169" fontId="234" fillId="0" borderId="0" xfId="0" applyNumberFormat="1" applyFont="1" applyAlignment="1">
      <alignment vertical="top"/>
    </xf>
    <xf numFmtId="234" fontId="234" fillId="0" borderId="0" xfId="0" applyNumberFormat="1" applyFont="1" applyAlignment="1">
      <alignment horizontal="right" vertical="top"/>
    </xf>
    <xf numFmtId="305" fontId="289" fillId="0" borderId="0" xfId="0" applyNumberFormat="1" applyFont="1"/>
    <xf numFmtId="305" fontId="290" fillId="0" borderId="0" xfId="0" applyNumberFormat="1" applyFont="1"/>
    <xf numFmtId="169" fontId="236" fillId="71" borderId="5" xfId="0" applyNumberFormat="1" applyFont="1" applyFill="1" applyBorder="1" applyAlignment="1">
      <alignment vertical="top"/>
    </xf>
    <xf numFmtId="0" fontId="231" fillId="0" borderId="0" xfId="0" applyFont="1"/>
    <xf numFmtId="243" fontId="228" fillId="0" borderId="0" xfId="0" applyNumberFormat="1" applyFont="1"/>
    <xf numFmtId="0" fontId="226" fillId="0" borderId="176" xfId="0" quotePrefix="1" applyFont="1" applyBorder="1" applyAlignment="1">
      <alignment horizontal="left"/>
    </xf>
    <xf numFmtId="165" fontId="226" fillId="0" borderId="177" xfId="0" applyNumberFormat="1" applyFont="1" applyBorder="1"/>
    <xf numFmtId="165" fontId="226" fillId="0" borderId="198" xfId="0" applyNumberFormat="1" applyFont="1" applyBorder="1"/>
    <xf numFmtId="0" fontId="203" fillId="0" borderId="0" xfId="20382" applyFont="1" applyAlignment="1">
      <alignment horizontal="justify" vertical="top"/>
    </xf>
    <xf numFmtId="0" fontId="234" fillId="0" borderId="0" xfId="0" quotePrefix="1" applyFont="1" applyAlignment="1">
      <alignment horizontal="left" vertical="top" wrapText="1"/>
    </xf>
    <xf numFmtId="0" fontId="203" fillId="0" borderId="0" xfId="0" applyFont="1" applyAlignment="1">
      <alignment horizontal="left" vertical="top" wrapText="1"/>
    </xf>
    <xf numFmtId="0" fontId="203" fillId="0" borderId="0" xfId="0" quotePrefix="1" applyFont="1" applyAlignment="1">
      <alignment horizontal="justify" vertical="top" wrapText="1"/>
    </xf>
    <xf numFmtId="0" fontId="203" fillId="0" borderId="0" xfId="0" quotePrefix="1" applyFont="1" applyAlignment="1">
      <alignment horizontal="justify" vertical="top"/>
    </xf>
    <xf numFmtId="0" fontId="203" fillId="0" borderId="0" xfId="0" applyFont="1" applyAlignment="1">
      <alignment horizontal="justify" vertical="top" wrapText="1"/>
    </xf>
    <xf numFmtId="0" fontId="226" fillId="92" borderId="0" xfId="20396" applyFont="1" applyFill="1" applyAlignment="1">
      <alignment horizontal="center" wrapText="1"/>
    </xf>
    <xf numFmtId="0" fontId="226" fillId="91" borderId="0" xfId="20396" applyFont="1" applyFill="1" applyAlignment="1">
      <alignment horizontal="center" wrapText="1"/>
    </xf>
    <xf numFmtId="0" fontId="226" fillId="91" borderId="163" xfId="20396" applyFont="1" applyFill="1" applyBorder="1" applyAlignment="1">
      <alignment horizontal="center" wrapText="1"/>
    </xf>
    <xf numFmtId="0" fontId="226" fillId="91" borderId="45" xfId="20396" applyFont="1" applyFill="1" applyBorder="1" applyAlignment="1">
      <alignment horizontal="center" wrapText="1"/>
    </xf>
    <xf numFmtId="0" fontId="226" fillId="91" borderId="163" xfId="20396" applyFont="1" applyFill="1" applyBorder="1" applyAlignment="1">
      <alignment horizontal="right" wrapText="1"/>
    </xf>
    <xf numFmtId="0" fontId="226" fillId="91" borderId="45" xfId="20396" applyFont="1" applyFill="1" applyBorder="1" applyAlignment="1">
      <alignment horizontal="right" wrapText="1"/>
    </xf>
    <xf numFmtId="0" fontId="226" fillId="91" borderId="164" xfId="20396" applyFont="1" applyFill="1" applyBorder="1" applyAlignment="1">
      <alignment horizontal="right" wrapText="1"/>
    </xf>
    <xf numFmtId="0" fontId="226" fillId="91" borderId="97" xfId="20396" applyFont="1" applyFill="1" applyBorder="1" applyAlignment="1">
      <alignment horizontal="right" wrapText="1"/>
    </xf>
    <xf numFmtId="0" fontId="203" fillId="0" borderId="0" xfId="20401" quotePrefix="1" applyFont="1" applyAlignment="1">
      <alignment horizontal="left" vertical="top" wrapText="1"/>
    </xf>
    <xf numFmtId="0" fontId="286" fillId="101" borderId="176" xfId="20408" applyFont="1" applyFill="1" applyBorder="1" applyAlignment="1">
      <alignment horizontal="center"/>
    </xf>
    <xf numFmtId="0" fontId="286" fillId="101" borderId="177" xfId="20408" applyFont="1" applyFill="1" applyBorder="1" applyAlignment="1">
      <alignment horizontal="center"/>
    </xf>
    <xf numFmtId="0" fontId="286" fillId="101" borderId="178" xfId="20408" applyFont="1" applyFill="1" applyBorder="1" applyAlignment="1">
      <alignment horizontal="center"/>
    </xf>
    <xf numFmtId="0" fontId="286" fillId="101" borderId="177" xfId="20405" applyFont="1" applyFill="1" applyBorder="1" applyAlignment="1">
      <alignment horizontal="center"/>
    </xf>
    <xf numFmtId="0" fontId="286" fillId="101" borderId="176" xfId="20405" applyFont="1" applyFill="1" applyBorder="1" applyAlignment="1">
      <alignment horizontal="center"/>
    </xf>
    <xf numFmtId="0" fontId="286" fillId="101" borderId="178" xfId="20405" applyFont="1" applyFill="1" applyBorder="1" applyAlignment="1">
      <alignment horizontal="center"/>
    </xf>
    <xf numFmtId="49" fontId="276" fillId="0" borderId="0" xfId="20405" applyNumberFormat="1" applyFont="1" applyAlignment="1">
      <alignment horizontal="center"/>
    </xf>
    <xf numFmtId="17" fontId="278" fillId="0" borderId="0" xfId="20405" applyNumberFormat="1" applyFont="1" applyAlignment="1">
      <alignment horizontal="center"/>
    </xf>
    <xf numFmtId="0" fontId="278" fillId="0" borderId="0" xfId="20405" applyFont="1" applyAlignment="1">
      <alignment horizontal="center"/>
    </xf>
    <xf numFmtId="49" fontId="276" fillId="0" borderId="0" xfId="20408" applyNumberFormat="1" applyFont="1" applyAlignment="1">
      <alignment horizontal="center"/>
    </xf>
    <xf numFmtId="49" fontId="283" fillId="0" borderId="0" xfId="20408" applyNumberFormat="1" applyFont="1" applyAlignment="1">
      <alignment horizontal="center"/>
    </xf>
    <xf numFmtId="49" fontId="280" fillId="0" borderId="0" xfId="20408" applyNumberFormat="1" applyFont="1" applyAlignment="1">
      <alignment horizontal="center"/>
    </xf>
    <xf numFmtId="17" fontId="281" fillId="0" borderId="0" xfId="20405" applyNumberFormat="1" applyFont="1" applyAlignment="1">
      <alignment horizontal="center"/>
    </xf>
    <xf numFmtId="0" fontId="281" fillId="0" borderId="0" xfId="20405" applyFont="1" applyAlignment="1">
      <alignment horizontal="center"/>
    </xf>
    <xf numFmtId="0" fontId="158" fillId="72" borderId="152" xfId="0" applyFont="1" applyFill="1" applyBorder="1" applyAlignment="1">
      <alignment horizontal="center" vertical="top"/>
    </xf>
    <xf numFmtId="0" fontId="158" fillId="72" borderId="133" xfId="0" applyFont="1" applyFill="1" applyBorder="1" applyAlignment="1">
      <alignment horizontal="center" vertical="top"/>
    </xf>
    <xf numFmtId="0" fontId="226" fillId="91" borderId="183" xfId="20396" applyFont="1" applyFill="1" applyBorder="1" applyAlignment="1">
      <alignment horizontal="right" wrapText="1"/>
    </xf>
    <xf numFmtId="0" fontId="226" fillId="91" borderId="183" xfId="20396" applyFont="1" applyFill="1" applyBorder="1" applyAlignment="1">
      <alignment horizontal="center" wrapText="1"/>
    </xf>
    <xf numFmtId="0" fontId="226" fillId="0" borderId="0" xfId="20396" applyFont="1" applyAlignment="1">
      <alignment horizontal="center" wrapText="1"/>
    </xf>
    <xf numFmtId="0" fontId="226" fillId="91" borderId="182" xfId="20396" applyFont="1" applyFill="1" applyBorder="1" applyAlignment="1">
      <alignment horizontal="right" wrapText="1"/>
    </xf>
    <xf numFmtId="0" fontId="226" fillId="91" borderId="145" xfId="20396" applyFont="1" applyFill="1" applyBorder="1" applyAlignment="1">
      <alignment horizontal="right" wrapText="1"/>
    </xf>
    <xf numFmtId="0" fontId="226" fillId="91" borderId="158" xfId="20396" applyFont="1" applyFill="1" applyBorder="1" applyAlignment="1">
      <alignment horizontal="center" wrapText="1"/>
    </xf>
    <xf numFmtId="0" fontId="226" fillId="91" borderId="158" xfId="20396" applyFont="1" applyFill="1" applyBorder="1" applyAlignment="1">
      <alignment horizontal="right" wrapText="1"/>
    </xf>
    <xf numFmtId="0" fontId="226" fillId="91" borderId="156" xfId="20396" applyFont="1" applyFill="1" applyBorder="1" applyAlignment="1">
      <alignment horizontal="right" wrapText="1"/>
    </xf>
    <xf numFmtId="0" fontId="203" fillId="74" borderId="0" xfId="0" quotePrefix="1" applyFont="1" applyFill="1" applyAlignment="1">
      <alignment horizontal="left" wrapText="1"/>
    </xf>
    <xf numFmtId="0" fontId="224" fillId="72" borderId="80" xfId="0" applyFont="1" applyFill="1" applyBorder="1" applyAlignment="1">
      <alignment horizontal="center" wrapText="1"/>
    </xf>
    <xf numFmtId="0" fontId="224" fillId="72" borderId="81" xfId="0" applyFont="1" applyFill="1" applyBorder="1" applyAlignment="1">
      <alignment horizontal="center" wrapText="1"/>
    </xf>
    <xf numFmtId="0" fontId="224" fillId="72" borderId="67" xfId="0" applyFont="1" applyFill="1" applyBorder="1" applyAlignment="1">
      <alignment horizontal="center" wrapText="1"/>
    </xf>
    <xf numFmtId="0" fontId="226" fillId="0" borderId="0" xfId="0" applyFont="1" applyAlignment="1">
      <alignment horizontal="right" vertical="center" textRotation="90"/>
    </xf>
    <xf numFmtId="0" fontId="234" fillId="74" borderId="0" xfId="20390" applyFont="1" applyFill="1" applyAlignment="1">
      <alignment horizontal="justify" vertical="top"/>
    </xf>
  </cellXfs>
  <cellStyles count="20426">
    <cellStyle name="-" xfId="4" xr:uid="{00000000-0005-0000-0000-000000000000}"/>
    <cellStyle name="------------------" xfId="5" xr:uid="{00000000-0005-0000-0000-000001000000}"/>
    <cellStyle name=" 1" xfId="6" xr:uid="{00000000-0005-0000-0000-000002000000}"/>
    <cellStyle name=" 1 2" xfId="7" xr:uid="{00000000-0005-0000-0000-000003000000}"/>
    <cellStyle name=" 1 3" xfId="8" xr:uid="{00000000-0005-0000-0000-000004000000}"/>
    <cellStyle name=" 1_Volatility" xfId="9" xr:uid="{00000000-0005-0000-0000-000005000000}"/>
    <cellStyle name=" 10" xfId="10" xr:uid="{00000000-0005-0000-0000-000006000000}"/>
    <cellStyle name=" 11" xfId="11" xr:uid="{00000000-0005-0000-0000-000007000000}"/>
    <cellStyle name=" 12" xfId="12" xr:uid="{00000000-0005-0000-0000-000008000000}"/>
    <cellStyle name=" 13" xfId="13" xr:uid="{00000000-0005-0000-0000-000009000000}"/>
    <cellStyle name=" 14" xfId="14" xr:uid="{00000000-0005-0000-0000-00000A000000}"/>
    <cellStyle name=" 15" xfId="15" xr:uid="{00000000-0005-0000-0000-00000B000000}"/>
    <cellStyle name=" 16" xfId="16" xr:uid="{00000000-0005-0000-0000-00000C000000}"/>
    <cellStyle name=" 17" xfId="17" xr:uid="{00000000-0005-0000-0000-00000D000000}"/>
    <cellStyle name=" 18" xfId="18" xr:uid="{00000000-0005-0000-0000-00000E000000}"/>
    <cellStyle name=" 19" xfId="19" xr:uid="{00000000-0005-0000-0000-00000F000000}"/>
    <cellStyle name=" 2" xfId="20" xr:uid="{00000000-0005-0000-0000-000010000000}"/>
    <cellStyle name=" 20" xfId="21" xr:uid="{00000000-0005-0000-0000-000011000000}"/>
    <cellStyle name=" 21" xfId="22" xr:uid="{00000000-0005-0000-0000-000012000000}"/>
    <cellStyle name=" 22" xfId="23" xr:uid="{00000000-0005-0000-0000-000013000000}"/>
    <cellStyle name=" 23" xfId="24" xr:uid="{00000000-0005-0000-0000-000014000000}"/>
    <cellStyle name=" 24" xfId="25" xr:uid="{00000000-0005-0000-0000-000015000000}"/>
    <cellStyle name=" 25" xfId="26" xr:uid="{00000000-0005-0000-0000-000016000000}"/>
    <cellStyle name=" 26" xfId="27" xr:uid="{00000000-0005-0000-0000-000017000000}"/>
    <cellStyle name=" 27" xfId="28" xr:uid="{00000000-0005-0000-0000-000018000000}"/>
    <cellStyle name=" 28" xfId="29" xr:uid="{00000000-0005-0000-0000-000019000000}"/>
    <cellStyle name=" 29" xfId="30" xr:uid="{00000000-0005-0000-0000-00001A000000}"/>
    <cellStyle name=" 3" xfId="31" xr:uid="{00000000-0005-0000-0000-00001B000000}"/>
    <cellStyle name=" 30" xfId="32" xr:uid="{00000000-0005-0000-0000-00001C000000}"/>
    <cellStyle name=" 31" xfId="33" xr:uid="{00000000-0005-0000-0000-00001D000000}"/>
    <cellStyle name=" 32" xfId="34" xr:uid="{00000000-0005-0000-0000-00001E000000}"/>
    <cellStyle name=" 33" xfId="35" xr:uid="{00000000-0005-0000-0000-00001F000000}"/>
    <cellStyle name=" 34" xfId="36" xr:uid="{00000000-0005-0000-0000-000020000000}"/>
    <cellStyle name=" 35" xfId="37" xr:uid="{00000000-0005-0000-0000-000021000000}"/>
    <cellStyle name=" 36" xfId="38" xr:uid="{00000000-0005-0000-0000-000022000000}"/>
    <cellStyle name=" 37" xfId="39" xr:uid="{00000000-0005-0000-0000-000023000000}"/>
    <cellStyle name=" 38" xfId="40" xr:uid="{00000000-0005-0000-0000-000024000000}"/>
    <cellStyle name=" 39" xfId="41" xr:uid="{00000000-0005-0000-0000-000025000000}"/>
    <cellStyle name=" 4" xfId="42" xr:uid="{00000000-0005-0000-0000-000026000000}"/>
    <cellStyle name=" 40" xfId="43" xr:uid="{00000000-0005-0000-0000-000027000000}"/>
    <cellStyle name=" 41" xfId="44" xr:uid="{00000000-0005-0000-0000-000028000000}"/>
    <cellStyle name=" 42" xfId="45" xr:uid="{00000000-0005-0000-0000-000029000000}"/>
    <cellStyle name=" 43" xfId="46" xr:uid="{00000000-0005-0000-0000-00002A000000}"/>
    <cellStyle name=" 44" xfId="47" xr:uid="{00000000-0005-0000-0000-00002B000000}"/>
    <cellStyle name=" 45" xfId="48" xr:uid="{00000000-0005-0000-0000-00002C000000}"/>
    <cellStyle name=" 46" xfId="49" xr:uid="{00000000-0005-0000-0000-00002D000000}"/>
    <cellStyle name=" 47" xfId="50" xr:uid="{00000000-0005-0000-0000-00002E000000}"/>
    <cellStyle name=" 48" xfId="51" xr:uid="{00000000-0005-0000-0000-00002F000000}"/>
    <cellStyle name=" 49" xfId="52" xr:uid="{00000000-0005-0000-0000-000030000000}"/>
    <cellStyle name=" 5" xfId="53" xr:uid="{00000000-0005-0000-0000-000031000000}"/>
    <cellStyle name=" 50" xfId="54" xr:uid="{00000000-0005-0000-0000-000032000000}"/>
    <cellStyle name=" 51" xfId="55" xr:uid="{00000000-0005-0000-0000-000033000000}"/>
    <cellStyle name=" 52" xfId="56" xr:uid="{00000000-0005-0000-0000-000034000000}"/>
    <cellStyle name=" 53" xfId="57" xr:uid="{00000000-0005-0000-0000-000035000000}"/>
    <cellStyle name=" 54" xfId="58" xr:uid="{00000000-0005-0000-0000-000036000000}"/>
    <cellStyle name=" 55" xfId="59" xr:uid="{00000000-0005-0000-0000-000037000000}"/>
    <cellStyle name=" 56" xfId="60" xr:uid="{00000000-0005-0000-0000-000038000000}"/>
    <cellStyle name=" 57" xfId="61" xr:uid="{00000000-0005-0000-0000-000039000000}"/>
    <cellStyle name=" 58" xfId="62" xr:uid="{00000000-0005-0000-0000-00003A000000}"/>
    <cellStyle name=" 59" xfId="63" xr:uid="{00000000-0005-0000-0000-00003B000000}"/>
    <cellStyle name=" 6" xfId="64" xr:uid="{00000000-0005-0000-0000-00003C000000}"/>
    <cellStyle name=" 60" xfId="65" xr:uid="{00000000-0005-0000-0000-00003D000000}"/>
    <cellStyle name=" 61" xfId="66" xr:uid="{00000000-0005-0000-0000-00003E000000}"/>
    <cellStyle name=" 62" xfId="67" xr:uid="{00000000-0005-0000-0000-00003F000000}"/>
    <cellStyle name=" 63" xfId="68" xr:uid="{00000000-0005-0000-0000-000040000000}"/>
    <cellStyle name=" 64" xfId="69" xr:uid="{00000000-0005-0000-0000-000041000000}"/>
    <cellStyle name=" 65" xfId="70" xr:uid="{00000000-0005-0000-0000-000042000000}"/>
    <cellStyle name=" 66" xfId="71" xr:uid="{00000000-0005-0000-0000-000043000000}"/>
    <cellStyle name=" 67" xfId="72" xr:uid="{00000000-0005-0000-0000-000044000000}"/>
    <cellStyle name=" 68" xfId="73" xr:uid="{00000000-0005-0000-0000-000045000000}"/>
    <cellStyle name=" 69" xfId="74" xr:uid="{00000000-0005-0000-0000-000046000000}"/>
    <cellStyle name=" 7" xfId="75" xr:uid="{00000000-0005-0000-0000-000047000000}"/>
    <cellStyle name=" 70" xfId="76" xr:uid="{00000000-0005-0000-0000-000048000000}"/>
    <cellStyle name=" 8" xfId="77" xr:uid="{00000000-0005-0000-0000-000049000000}"/>
    <cellStyle name=" 9" xfId="78" xr:uid="{00000000-0005-0000-0000-00004A000000}"/>
    <cellStyle name="_x000a_386grabber=M" xfId="79" xr:uid="{00000000-0005-0000-0000-00004B000000}"/>
    <cellStyle name="_x000a_386grabber=M 2" xfId="80" xr:uid="{00000000-0005-0000-0000-00004C000000}"/>
    <cellStyle name="_x0007__x000b_" xfId="81" xr:uid="{00000000-0005-0000-0000-00004D000000}"/>
    <cellStyle name=" ✀ⰀఀĀ" xfId="82" xr:uid="{00000000-0005-0000-0000-00004E000000}"/>
    <cellStyle name="&quot;X&quot; MEN" xfId="83" xr:uid="{00000000-0005-0000-0000-00004F000000}"/>
    <cellStyle name="&quot;X&quot; MEN 2" xfId="84" xr:uid="{00000000-0005-0000-0000-000050000000}"/>
    <cellStyle name="&quot;X&quot; MEN 2 2" xfId="85" xr:uid="{00000000-0005-0000-0000-000051000000}"/>
    <cellStyle name="&quot;X&quot; MEN 3" xfId="86" xr:uid="{00000000-0005-0000-0000-000052000000}"/>
    <cellStyle name="&quot;X&quot; MEN 4" xfId="87" xr:uid="{00000000-0005-0000-0000-000053000000}"/>
    <cellStyle name="&quot;X&quot; MEN 5" xfId="88" xr:uid="{00000000-0005-0000-0000-000054000000}"/>
    <cellStyle name="#" xfId="89" xr:uid="{00000000-0005-0000-0000-000055000000}"/>
    <cellStyle name="#-" xfId="90" xr:uid="{00000000-0005-0000-0000-000056000000}"/>
    <cellStyle name="#,##0" xfId="91" xr:uid="{00000000-0005-0000-0000-000057000000}"/>
    <cellStyle name="#,##0 3 spaces" xfId="16220" xr:uid="{00000000-0005-0000-0000-000058000000}"/>
    <cellStyle name="#_Latam Comps_12.20.07" xfId="92" xr:uid="{00000000-0005-0000-0000-000059000000}"/>
    <cellStyle name="#_Latam Comps_12.20.07_Medley_Financial_Model_v5" xfId="93" xr:uid="{00000000-0005-0000-0000-00005A000000}"/>
    <cellStyle name="#_Latam Comps_2.5.08_HC" xfId="94" xr:uid="{00000000-0005-0000-0000-00005B000000}"/>
    <cellStyle name="#_Latam Comps_2.5.08_HC_Medley_Financial_Model_v5" xfId="95" xr:uid="{00000000-0005-0000-0000-00005C000000}"/>
    <cellStyle name="#_Modelo Puerto 2007 Management Case DB 14-11 (DB) v20" xfId="96" xr:uid="{00000000-0005-0000-0000-00005D000000}"/>
    <cellStyle name="$" xfId="97" xr:uid="{00000000-0005-0000-0000-00005E000000}"/>
    <cellStyle name="$-" xfId="98" xr:uid="{00000000-0005-0000-0000-00005F000000}"/>
    <cellStyle name="$ &amp; ¢" xfId="99" xr:uid="{00000000-0005-0000-0000-000060000000}"/>
    <cellStyle name="$ 0 decimal" xfId="16221" xr:uid="{00000000-0005-0000-0000-000061000000}"/>
    <cellStyle name="$ 2" xfId="100" xr:uid="{00000000-0005-0000-0000-000062000000}"/>
    <cellStyle name="$ 2 decimals" xfId="16222" xr:uid="{00000000-0005-0000-0000-000063000000}"/>
    <cellStyle name="$_12.20.04 Analysis v14" xfId="16223" xr:uid="{00000000-0005-0000-0000-000064000000}"/>
    <cellStyle name="$_56 Centra FO 10.4.05" xfId="16224" xr:uid="{00000000-0005-0000-0000-000065000000}"/>
    <cellStyle name="$_ANF Assignment 1.5" xfId="16225" xr:uid="{00000000-0005-0000-0000-000066000000}"/>
    <cellStyle name="$_Cheddars_IPO Model_Final_v7" xfId="16226" xr:uid="{00000000-0005-0000-0000-000067000000}"/>
    <cellStyle name="$_EPL LBO 5.16.05 - Mgmt IPO v6" xfId="16227" xr:uid="{00000000-0005-0000-0000-000068000000}"/>
    <cellStyle name="$_IPO Model_v01.0" xfId="16228" xr:uid="{00000000-0005-0000-0000-000069000000}"/>
    <cellStyle name="$_Model v14 (IPO)" xfId="16229" xr:uid="{00000000-0005-0000-0000-00006A000000}"/>
    <cellStyle name="$_Model v14 (IPO) brooke" xfId="16230" xr:uid="{00000000-0005-0000-0000-00006B000000}"/>
    <cellStyle name="$_Store Buildup v6" xfId="16231" xr:uid="{00000000-0005-0000-0000-00006C000000}"/>
    <cellStyle name="$_YRK_LBO" xfId="16232" xr:uid="{00000000-0005-0000-0000-00006D000000}"/>
    <cellStyle name="$0.0;($0.0)" xfId="101" xr:uid="{00000000-0005-0000-0000-00006E000000}"/>
    <cellStyle name="$0.0;($0.0) 2" xfId="102" xr:uid="{00000000-0005-0000-0000-00006F000000}"/>
    <cellStyle name="$000s1Place" xfId="103" xr:uid="{00000000-0005-0000-0000-000070000000}"/>
    <cellStyle name="$m" xfId="16233" xr:uid="{00000000-0005-0000-0000-000071000000}"/>
    <cellStyle name="$MMs1Place" xfId="104" xr:uid="{00000000-0005-0000-0000-000072000000}"/>
    <cellStyle name="$MMs2Places" xfId="105" xr:uid="{00000000-0005-0000-0000-000073000000}"/>
    <cellStyle name="$q" xfId="16234" xr:uid="{00000000-0005-0000-0000-000074000000}"/>
    <cellStyle name="$q*" xfId="16235" xr:uid="{00000000-0005-0000-0000-000075000000}"/>
    <cellStyle name="$q_AVP" xfId="16236" xr:uid="{00000000-0005-0000-0000-000076000000}"/>
    <cellStyle name="$qA" xfId="16237" xr:uid="{00000000-0005-0000-0000-000077000000}"/>
    <cellStyle name="$qRange" xfId="16238" xr:uid="{00000000-0005-0000-0000-000078000000}"/>
    <cellStyle name="$sign" xfId="16239" xr:uid="{00000000-0005-0000-0000-000079000000}"/>
    <cellStyle name="%" xfId="106" xr:uid="{00000000-0005-0000-0000-00007A000000}"/>
    <cellStyle name="%-" xfId="107" xr:uid="{00000000-0005-0000-0000-00007B000000}"/>
    <cellStyle name="% [2]" xfId="108" xr:uid="{00000000-0005-0000-0000-00007C000000}"/>
    <cellStyle name="% Input" xfId="109" xr:uid="{00000000-0005-0000-0000-00007D000000}"/>
    <cellStyle name="% Input 2" xfId="110" xr:uid="{00000000-0005-0000-0000-00007E000000}"/>
    <cellStyle name="% Presentation" xfId="111" xr:uid="{00000000-0005-0000-0000-00007F000000}"/>
    <cellStyle name="% Presentation 2" xfId="112" xr:uid="{00000000-0005-0000-0000-000080000000}"/>
    <cellStyle name="% Presentation 2 2" xfId="113" xr:uid="{00000000-0005-0000-0000-000081000000}"/>
    <cellStyle name="% Presentation 3" xfId="114" xr:uid="{00000000-0005-0000-0000-000082000000}"/>
    <cellStyle name="% Presentation 4" xfId="115" xr:uid="{00000000-0005-0000-0000-000083000000}"/>
    <cellStyle name="% Presentation 5" xfId="116" xr:uid="{00000000-0005-0000-0000-000084000000}"/>
    <cellStyle name="%.00" xfId="117" xr:uid="{00000000-0005-0000-0000-000085000000}"/>
    <cellStyle name="%_Detailed Cap Table 6 9 08" xfId="16240" xr:uid="{00000000-0005-0000-0000-000086000000}"/>
    <cellStyle name="%_V.C.3 2006 Forecast 4-19-06" xfId="16241" xr:uid="{00000000-0005-0000-0000-000087000000}"/>
    <cellStyle name="%20 - Vurgu1" xfId="16242" xr:uid="{00000000-0005-0000-0000-000088000000}"/>
    <cellStyle name="%20 - Vurgu2" xfId="16243" xr:uid="{00000000-0005-0000-0000-000089000000}"/>
    <cellStyle name="%20 - Vurgu3" xfId="16244" xr:uid="{00000000-0005-0000-0000-00008A000000}"/>
    <cellStyle name="%20 - Vurgu4" xfId="16245" xr:uid="{00000000-0005-0000-0000-00008B000000}"/>
    <cellStyle name="%20 - Vurgu5" xfId="16246" xr:uid="{00000000-0005-0000-0000-00008C000000}"/>
    <cellStyle name="%20 - Vurgu6" xfId="16247" xr:uid="{00000000-0005-0000-0000-00008D000000}"/>
    <cellStyle name="%40 - Vurgu1" xfId="16248" xr:uid="{00000000-0005-0000-0000-00008E000000}"/>
    <cellStyle name="%40 - Vurgu2" xfId="16249" xr:uid="{00000000-0005-0000-0000-00008F000000}"/>
    <cellStyle name="%40 - Vurgu3" xfId="16250" xr:uid="{00000000-0005-0000-0000-000090000000}"/>
    <cellStyle name="%40 - Vurgu4" xfId="16251" xr:uid="{00000000-0005-0000-0000-000091000000}"/>
    <cellStyle name="%40 - Vurgu5" xfId="16252" xr:uid="{00000000-0005-0000-0000-000092000000}"/>
    <cellStyle name="%40 - Vurgu6" xfId="16253" xr:uid="{00000000-0005-0000-0000-000093000000}"/>
    <cellStyle name="%60 - Vurgu1" xfId="16254" xr:uid="{00000000-0005-0000-0000-000094000000}"/>
    <cellStyle name="%60 - Vurgu2" xfId="16255" xr:uid="{00000000-0005-0000-0000-000095000000}"/>
    <cellStyle name="%60 - Vurgu3" xfId="16256" xr:uid="{00000000-0005-0000-0000-000096000000}"/>
    <cellStyle name="%60 - Vurgu4" xfId="16257" xr:uid="{00000000-0005-0000-0000-000097000000}"/>
    <cellStyle name="%60 - Vurgu5" xfId="16258" xr:uid="{00000000-0005-0000-0000-000098000000}"/>
    <cellStyle name="%60 - Vurgu6" xfId="16259" xr:uid="{00000000-0005-0000-0000-000099000000}"/>
    <cellStyle name="&amp;U" xfId="16260" xr:uid="{00000000-0005-0000-0000-00009A000000}"/>
    <cellStyle name=")_מעגלים 12.95" xfId="118" xr:uid="{00000000-0005-0000-0000-00009B000000}"/>
    <cellStyle name=")_מעגלים 12.95 2" xfId="119" xr:uid="{00000000-0005-0000-0000-00009C000000}"/>
    <cellStyle name="******************************************" xfId="120" xr:uid="{00000000-0005-0000-0000-00009D000000}"/>
    <cellStyle name="****************************************** 2" xfId="121" xr:uid="{00000000-0005-0000-0000-00009E000000}"/>
    <cellStyle name="," xfId="16261" xr:uid="{00000000-0005-0000-0000-00009F000000}"/>
    <cellStyle name=";;;" xfId="122" xr:uid="{00000000-0005-0000-0000-0000A0000000}"/>
    <cellStyle name=";;; 2" xfId="123" xr:uid="{00000000-0005-0000-0000-0000A1000000}"/>
    <cellStyle name=";;; 2 2" xfId="124" xr:uid="{00000000-0005-0000-0000-0000A2000000}"/>
    <cellStyle name=";;; 3" xfId="125" xr:uid="{00000000-0005-0000-0000-0000A3000000}"/>
    <cellStyle name=";;; 4" xfId="126" xr:uid="{00000000-0005-0000-0000-0000A4000000}"/>
    <cellStyle name=";;; 5" xfId="127" xr:uid="{00000000-0005-0000-0000-0000A5000000}"/>
    <cellStyle name="?? [0]_??" xfId="16262" xr:uid="{00000000-0005-0000-0000-0000A6000000}"/>
    <cellStyle name="???[0]_RESULTS" xfId="128" xr:uid="{00000000-0005-0000-0000-0000A7000000}"/>
    <cellStyle name="???_RESULTS" xfId="129" xr:uid="{00000000-0005-0000-0000-0000A8000000}"/>
    <cellStyle name="??_?.????" xfId="16263" xr:uid="{00000000-0005-0000-0000-0000A9000000}"/>
    <cellStyle name="\" xfId="16264" xr:uid="{00000000-0005-0000-0000-0000AA000000}"/>
    <cellStyle name="_$accounting" xfId="130" xr:uid="{00000000-0005-0000-0000-0000AB000000}"/>
    <cellStyle name="_$accounting 2" xfId="131" xr:uid="{00000000-0005-0000-0000-0000AC000000}"/>
    <cellStyle name="_%(SignOnly)" xfId="132" xr:uid="{00000000-0005-0000-0000-0000AD000000}"/>
    <cellStyle name="_%(SignOnly)_Model and Valuation - Aros 6 30 08" xfId="16265" xr:uid="{00000000-0005-0000-0000-0000AE000000}"/>
    <cellStyle name="_%(SignSpaceOnly)" xfId="133" xr:uid="{00000000-0005-0000-0000-0000AF000000}"/>
    <cellStyle name="_%(SignSpaceOnly)_Model and Valuation - Aros 6 30 08" xfId="16266" xr:uid="{00000000-0005-0000-0000-0000B0000000}"/>
    <cellStyle name="___æ_Ø_è [0.00]_Affiliate Fcst Inputs" xfId="134" xr:uid="{00000000-0005-0000-0000-0000B1000000}"/>
    <cellStyle name="___æ_Ø_è [0.00]_Affiliate Fcst Inputs 2" xfId="135" xr:uid="{00000000-0005-0000-0000-0000B2000000}"/>
    <cellStyle name="___æ_Ø_è [0.00]_Affiliate Fcst Inputs 2 2" xfId="136" xr:uid="{00000000-0005-0000-0000-0000B3000000}"/>
    <cellStyle name="___æ_Ø_è [0.00]_Affiliate Fcst Inputs 3" xfId="137" xr:uid="{00000000-0005-0000-0000-0000B4000000}"/>
    <cellStyle name="___æ_Ø_è [0.00]_Affiliate Fcst Inputs 4" xfId="138" xr:uid="{00000000-0005-0000-0000-0000B5000000}"/>
    <cellStyle name="___æ_Ø_è [0.00]_Affiliate Fcst Inputs 5" xfId="139" xr:uid="{00000000-0005-0000-0000-0000B6000000}"/>
    <cellStyle name="_~0910772" xfId="16267" xr:uid="{00000000-0005-0000-0000-0000B7000000}"/>
    <cellStyle name="_~1072145" xfId="16268" xr:uid="{00000000-0005-0000-0000-0000B8000000}"/>
    <cellStyle name="_~7037329" xfId="16269" xr:uid="{00000000-0005-0000-0000-0000B9000000}"/>
    <cellStyle name="_03 Seahawk Status Report - 1.08.07" xfId="16270" xr:uid="{00000000-0005-0000-0000-0000BA000000}"/>
    <cellStyle name="_2007 M06 On Hold On Watch Svcs Maint Jun  06-14-07" xfId="16271" xr:uid="{00000000-0005-0000-0000-0000BB000000}"/>
    <cellStyle name="_56 Centra FO 10.4.05" xfId="16272" xr:uid="{00000000-0005-0000-0000-0000BC000000}"/>
    <cellStyle name="_accounting" xfId="140" xr:uid="{00000000-0005-0000-0000-0000BD000000}"/>
    <cellStyle name="_accounting 2" xfId="141" xr:uid="{00000000-0005-0000-0000-0000BE000000}"/>
    <cellStyle name="_APT 141 101603 ver 51" xfId="142" xr:uid="{00000000-0005-0000-0000-0000BF000000}"/>
    <cellStyle name="_Backup for FY2005" xfId="16273" xr:uid="{00000000-0005-0000-0000-0000C0000000}"/>
    <cellStyle name="_Balance Sheet to E&amp;Y - HH &amp; SP" xfId="143" xr:uid="{00000000-0005-0000-0000-0000C1000000}"/>
    <cellStyle name="_Balance Sheet to E&amp;Y - HH &amp; SP_Panasas Cap Table by Investor June and Dec 2008 - updated analysis" xfId="144" xr:uid="{00000000-0005-0000-0000-0000C2000000}"/>
    <cellStyle name="_Base Valuation3.xls Chart 69_4" xfId="16274" xr:uid="{00000000-0005-0000-0000-0000C3000000}"/>
    <cellStyle name="_Base Valuation7-13" xfId="16275" xr:uid="{00000000-0005-0000-0000-0000C4000000}"/>
    <cellStyle name="_Book1" xfId="16276" xr:uid="{00000000-0005-0000-0000-0000C5000000}"/>
    <cellStyle name="-_Cash Flow" xfId="145" xr:uid="{00000000-0005-0000-0000-0000C6000000}"/>
    <cellStyle name="-_Cash Flow_EBITDA template v2" xfId="146" xr:uid="{00000000-0005-0000-0000-0000C7000000}"/>
    <cellStyle name="_Cheddars_IPO valuation v1" xfId="16277" xr:uid="{00000000-0005-0000-0000-0000C8000000}"/>
    <cellStyle name="_Column1" xfId="16278" xr:uid="{00000000-0005-0000-0000-0000C9000000}"/>
    <cellStyle name="_Column2" xfId="16279" xr:uid="{00000000-0005-0000-0000-0000CA000000}"/>
    <cellStyle name="_Column3" xfId="16280" xr:uid="{00000000-0005-0000-0000-0000CB000000}"/>
    <cellStyle name="_Column4" xfId="16281" xr:uid="{00000000-0005-0000-0000-0000CC000000}"/>
    <cellStyle name="_Column5" xfId="16282" xr:uid="{00000000-0005-0000-0000-0000CD000000}"/>
    <cellStyle name="_Column6" xfId="16283" xr:uid="{00000000-0005-0000-0000-0000CE000000}"/>
    <cellStyle name="_Comma" xfId="147" xr:uid="{00000000-0005-0000-0000-0000CF000000}"/>
    <cellStyle name="_Comma__DCF Template" xfId="148" xr:uid="{00000000-0005-0000-0000-0000D0000000}"/>
    <cellStyle name="_Comma_04 Alaska Model 2002-05-31 GS" xfId="149" xr:uid="{00000000-0005-0000-0000-0000D1000000}"/>
    <cellStyle name="_Comma_Control" xfId="150" xr:uid="{00000000-0005-0000-0000-0000D2000000}"/>
    <cellStyle name="_Comma_Dividend Template" xfId="151" xr:uid="{00000000-0005-0000-0000-0000D3000000}"/>
    <cellStyle name="_Comma_Eric CapIQ unlinked v1" xfId="152" xr:uid="{00000000-0005-0000-0000-0000D4000000}"/>
    <cellStyle name="_Comma_H-G Holdings race car v5 (change dep)" xfId="153" xr:uid="{00000000-0005-0000-0000-0000D5000000}"/>
    <cellStyle name="_Comma_lbo_long_model" xfId="154" xr:uid="{00000000-0005-0000-0000-0000D6000000}"/>
    <cellStyle name="_Comma_lbo_long_model 2" xfId="155" xr:uid="{00000000-0005-0000-0000-0000D7000000}"/>
    <cellStyle name="_Comma_Medicis WACC" xfId="156" xr:uid="{00000000-0005-0000-0000-0000D8000000}"/>
    <cellStyle name="_Comma_Meggitt AirDynamics WACC" xfId="157" xr:uid="{00000000-0005-0000-0000-0000D9000000}"/>
    <cellStyle name="_Comma_Pro-Forma Financials" xfId="158" xr:uid="{00000000-0005-0000-0000-0000DA000000}"/>
    <cellStyle name="_Comma_Pro-Forma Spin-off" xfId="159" xr:uid="{00000000-0005-0000-0000-0000DB000000}"/>
    <cellStyle name="_Comma_Revised Basic Modelv2.4" xfId="160" xr:uid="{00000000-0005-0000-0000-0000DC000000}"/>
    <cellStyle name="_Comma_Rider Henning" xfId="161" xr:uid="{00000000-0005-0000-0000-0000DD000000}"/>
    <cellStyle name="_Comma_Updated Model - CapitalIQ6 -04.20.06" xfId="162" xr:uid="{00000000-0005-0000-0000-0000DE000000}"/>
    <cellStyle name="_Comma_WACCv2" xfId="163" xr:uid="{00000000-0005-0000-0000-0000DF000000}"/>
    <cellStyle name="_Copy of Culinary Concepts 9_30_08" xfId="16284" xr:uid="{00000000-0005-0000-0000-0000E0000000}"/>
    <cellStyle name="_Currency" xfId="164" xr:uid="{00000000-0005-0000-0000-0000E1000000}"/>
    <cellStyle name="_Currency__DCF Template" xfId="165" xr:uid="{00000000-0005-0000-0000-0000E2000000}"/>
    <cellStyle name="_Currency_04 Alaska Model 2002-05-31 GS" xfId="166" xr:uid="{00000000-0005-0000-0000-0000E3000000}"/>
    <cellStyle name="_Currency_12.20.04 Analysis v14" xfId="16285" xr:uid="{00000000-0005-0000-0000-0000E4000000}"/>
    <cellStyle name="_Currency_BASF" xfId="167" xr:uid="{00000000-0005-0000-0000-0000E5000000}"/>
    <cellStyle name="_Currency_Book1" xfId="168" xr:uid="{00000000-0005-0000-0000-0000E6000000}"/>
    <cellStyle name="_Currency_Book3" xfId="169" xr:uid="{00000000-0005-0000-0000-0000E7000000}"/>
    <cellStyle name="_Currency_com_sel_bro_Eagle" xfId="170" xr:uid="{00000000-0005-0000-0000-0000E8000000}"/>
    <cellStyle name="_Currency_Control" xfId="171" xr:uid="{00000000-0005-0000-0000-0000E9000000}"/>
    <cellStyle name="_Currency_Dividend Template" xfId="172" xr:uid="{00000000-0005-0000-0000-0000EA000000}"/>
    <cellStyle name="_Currency_Eagle Financial Model" xfId="173" xr:uid="{00000000-0005-0000-0000-0000EB000000}"/>
    <cellStyle name="_Currency_Eagle-NewCastle Model 20Mar2001" xfId="174" xr:uid="{00000000-0005-0000-0000-0000EC000000}"/>
    <cellStyle name="_Currency_Eric CapIQ unlinked v1" xfId="175" xr:uid="{00000000-0005-0000-0000-0000ED000000}"/>
    <cellStyle name="_Currency_H-G Holdings race car v5 (change dep)" xfId="176" xr:uid="{00000000-0005-0000-0000-0000EE000000}"/>
    <cellStyle name="_Currency_Hokuriku Financials" xfId="177" xr:uid="{00000000-0005-0000-0000-0000EF000000}"/>
    <cellStyle name="_Currency_Indicative Valuation Summary" xfId="178" xr:uid="{00000000-0005-0000-0000-0000F0000000}"/>
    <cellStyle name="_Currency_Indicative Valuation Summary DCF Valuation" xfId="179" xr:uid="{00000000-0005-0000-0000-0000F1000000}"/>
    <cellStyle name="_Currency_INTU Comps v2" xfId="16286" xr:uid="{00000000-0005-0000-0000-0000F2000000}"/>
    <cellStyle name="_Currency_lbo_long_model" xfId="180" xr:uid="{00000000-0005-0000-0000-0000F3000000}"/>
    <cellStyle name="_Currency_lbo_long_model 2" xfId="181" xr:uid="{00000000-0005-0000-0000-0000F4000000}"/>
    <cellStyle name="_Currency_Medicis WACC" xfId="182" xr:uid="{00000000-0005-0000-0000-0000F5000000}"/>
    <cellStyle name="_Currency_Meggitt AirDynamics WACC" xfId="183" xr:uid="{00000000-0005-0000-0000-0000F6000000}"/>
    <cellStyle name="_Currency_Model 2000-09-04" xfId="184" xr:uid="{00000000-0005-0000-0000-0000F7000000}"/>
    <cellStyle name="_Currency_NK104 US Output" xfId="185" xr:uid="{00000000-0005-0000-0000-0000F8000000}"/>
    <cellStyle name="_Currency_Preliminary Valuation Summary of Seahawk" xfId="186" xr:uid="{00000000-0005-0000-0000-0000F9000000}"/>
    <cellStyle name="_Currency_Preliminary Valuation Summary of Seahawk b" xfId="187" xr:uid="{00000000-0005-0000-0000-0000FA000000}"/>
    <cellStyle name="_Currency_Pro-Forma Financials" xfId="188" xr:uid="{00000000-0005-0000-0000-0000FB000000}"/>
    <cellStyle name="_Currency_Pro-Forma Spin-off" xfId="189" xr:uid="{00000000-0005-0000-0000-0000FC000000}"/>
    <cellStyle name="_Currency_Proposed Cost Structure" xfId="190" xr:uid="{00000000-0005-0000-0000-0000FD000000}"/>
    <cellStyle name="_Currency_Revised Basic Modelv2.4" xfId="191" xr:uid="{00000000-0005-0000-0000-0000FE000000}"/>
    <cellStyle name="_Currency_Rider Henning" xfId="192" xr:uid="{00000000-0005-0000-0000-0000FF000000}"/>
    <cellStyle name="_Currency_Scaled Synergies Analysis - Mathematical Illustration - Gem as Target" xfId="193" xr:uid="{00000000-0005-0000-0000-000000010000}"/>
    <cellStyle name="_Currency_Scaled Synergies Analysis - Mathematical Illustration - Gem as Target_Value_Sharing" xfId="194" xr:uid="{00000000-0005-0000-0000-000001010000}"/>
    <cellStyle name="_Currency_Updated Model - CapitalIQ6 -04.20.06" xfId="195" xr:uid="{00000000-0005-0000-0000-000002010000}"/>
    <cellStyle name="_Currency_Valuation Overview" xfId="196" xr:uid="{00000000-0005-0000-0000-000003010000}"/>
    <cellStyle name="_Currency_valuation summary for ASP" xfId="197" xr:uid="{00000000-0005-0000-0000-000004010000}"/>
    <cellStyle name="_Currency_WACCv2" xfId="198" xr:uid="{00000000-0005-0000-0000-000005010000}"/>
    <cellStyle name="_CurrencySpace" xfId="199" xr:uid="{00000000-0005-0000-0000-000006010000}"/>
    <cellStyle name="_CurrencySpace__DCF Template" xfId="200" xr:uid="{00000000-0005-0000-0000-000007010000}"/>
    <cellStyle name="_CurrencySpace_04 Alaska Model 2002-05-31 GS" xfId="201" xr:uid="{00000000-0005-0000-0000-000008010000}"/>
    <cellStyle name="_CurrencySpace_Control" xfId="202" xr:uid="{00000000-0005-0000-0000-000009010000}"/>
    <cellStyle name="_CurrencySpace_Dividend Template" xfId="203" xr:uid="{00000000-0005-0000-0000-00000A010000}"/>
    <cellStyle name="_CurrencySpace_Eric CapIQ unlinked v1" xfId="204" xr:uid="{00000000-0005-0000-0000-00000B010000}"/>
    <cellStyle name="_CurrencySpace_H-G Holdings race car v5 (change dep)" xfId="205" xr:uid="{00000000-0005-0000-0000-00000C010000}"/>
    <cellStyle name="_CurrencySpace_IPO Model_v01.0" xfId="16287" xr:uid="{00000000-0005-0000-0000-00000D010000}"/>
    <cellStyle name="_CurrencySpace_lbo_long_model" xfId="206" xr:uid="{00000000-0005-0000-0000-00000E010000}"/>
    <cellStyle name="_CurrencySpace_lbo_long_model 2" xfId="207" xr:uid="{00000000-0005-0000-0000-00000F010000}"/>
    <cellStyle name="_CurrencySpace_MA Kinko's Model v5.5" xfId="16288" xr:uid="{00000000-0005-0000-0000-000010010000}"/>
    <cellStyle name="_CurrencySpace_Medicis WACC" xfId="208" xr:uid="{00000000-0005-0000-0000-000011010000}"/>
    <cellStyle name="_CurrencySpace_Meggitt AirDynamics WACC" xfId="209" xr:uid="{00000000-0005-0000-0000-000012010000}"/>
    <cellStyle name="_CurrencySpace_Pro-Forma Financials" xfId="210" xr:uid="{00000000-0005-0000-0000-000013010000}"/>
    <cellStyle name="_CurrencySpace_Pro-Forma Spin-off" xfId="211" xr:uid="{00000000-0005-0000-0000-000014010000}"/>
    <cellStyle name="_CurrencySpace_Revised Basic Modelv2.4" xfId="212" xr:uid="{00000000-0005-0000-0000-000015010000}"/>
    <cellStyle name="_CurrencySpace_Rider Henning" xfId="213" xr:uid="{00000000-0005-0000-0000-000016010000}"/>
    <cellStyle name="_CurrencySpace_RUBY DCF Model v42" xfId="16289" xr:uid="{00000000-0005-0000-0000-000017010000}"/>
    <cellStyle name="_CurrencySpace_RUBY merger v64" xfId="16290" xr:uid="{00000000-0005-0000-0000-000018010000}"/>
    <cellStyle name="_CurrencySpace_Updated Model - CapitalIQ6 -04.20.06" xfId="214" xr:uid="{00000000-0005-0000-0000-000019010000}"/>
    <cellStyle name="_CurrencySpace_valuation" xfId="16291" xr:uid="{00000000-0005-0000-0000-00001A010000}"/>
    <cellStyle name="_CurrencySpace_WACCv2" xfId="215" xr:uid="{00000000-0005-0000-0000-00001B010000}"/>
    <cellStyle name="_Data" xfId="16292" xr:uid="{00000000-0005-0000-0000-00001C010000}"/>
    <cellStyle name="_date" xfId="216" xr:uid="{00000000-0005-0000-0000-00001D010000}"/>
    <cellStyle name="_date 2" xfId="217" xr:uid="{00000000-0005-0000-0000-00001E010000}"/>
    <cellStyle name="_DCF (G2)" xfId="218" xr:uid="{00000000-0005-0000-0000-00001F010000}"/>
    <cellStyle name="_DCF (G2) 2" xfId="219" xr:uid="{00000000-0005-0000-0000-000020010000}"/>
    <cellStyle name="_DCF (G2) 3" xfId="220" xr:uid="{00000000-0005-0000-0000-000021010000}"/>
    <cellStyle name="_DTAs 2007 Post-Acq 3-19-08" xfId="221" xr:uid="{00000000-0005-0000-0000-000022010000}"/>
    <cellStyle name="_Epsilon IPO Model NEW v3" xfId="16293" xr:uid="{00000000-0005-0000-0000-000023010000}"/>
    <cellStyle name="_Epsilon Model 3.21.05 v.4" xfId="16294" xr:uid="{00000000-0005-0000-0000-000024010000}"/>
    <cellStyle name="_Epsilon Model 3.21.05 v.4_1" xfId="16295" xr:uid="{00000000-0005-0000-0000-000025010000}"/>
    <cellStyle name="_Epsilon Model 3.21.05 v.4_2" xfId="16296" xr:uid="{00000000-0005-0000-0000-000026010000}"/>
    <cellStyle name="_Epsilon Model 3.21.05 v.4_3" xfId="16297" xr:uid="{00000000-0005-0000-0000-000027010000}"/>
    <cellStyle name="_Epsilon Model 3.30.05 v7" xfId="16298" xr:uid="{00000000-0005-0000-0000-000028010000}"/>
    <cellStyle name="_Epsilon Model 3.30.05 v7_1" xfId="16299" xr:uid="{00000000-0005-0000-0000-000029010000}"/>
    <cellStyle name="_Epsilon Model 3.30.05 v7_2" xfId="16300" xr:uid="{00000000-0005-0000-0000-00002A010000}"/>
    <cellStyle name="_Epsilon Model 3.30.05 v7_3" xfId="16301" xr:uid="{00000000-0005-0000-0000-00002B010000}"/>
    <cellStyle name="_Epsilon Model 3.30.05 v7_4" xfId="16302" xr:uid="{00000000-0005-0000-0000-00002C010000}"/>
    <cellStyle name="_Euro" xfId="222" xr:uid="{00000000-0005-0000-0000-00002D010000}"/>
    <cellStyle name="_Euro 2" xfId="223" xr:uid="{00000000-0005-0000-0000-00002E010000}"/>
    <cellStyle name="_Euro 2 2" xfId="224" xr:uid="{00000000-0005-0000-0000-00002F010000}"/>
    <cellStyle name="_Euro 3" xfId="225" xr:uid="{00000000-0005-0000-0000-000030010000}"/>
    <cellStyle name="_Euro 4" xfId="226" xr:uid="{00000000-0005-0000-0000-000031010000}"/>
    <cellStyle name="_Euro 5" xfId="227" xr:uid="{00000000-0005-0000-0000-000032010000}"/>
    <cellStyle name="_Euro_Cable_Industry Overview5" xfId="228" xr:uid="{00000000-0005-0000-0000-000033010000}"/>
    <cellStyle name="_Euro_Cable_Industry Overview5 2" xfId="229" xr:uid="{00000000-0005-0000-0000-000034010000}"/>
    <cellStyle name="_Euro_Cable_Industry Overview5 2 2" xfId="230" xr:uid="{00000000-0005-0000-0000-000035010000}"/>
    <cellStyle name="_Euro_Cable_Industry Overview5 3" xfId="231" xr:uid="{00000000-0005-0000-0000-000036010000}"/>
    <cellStyle name="_Euro_Cable_Industry Overview5 4" xfId="232" xr:uid="{00000000-0005-0000-0000-000037010000}"/>
    <cellStyle name="_Euro_Cable_Industry Overview5 5" xfId="233" xr:uid="{00000000-0005-0000-0000-000038010000}"/>
    <cellStyle name="_Euro_Gelco Model" xfId="234" xr:uid="{00000000-0005-0000-0000-000039010000}"/>
    <cellStyle name="_Euro_Model and Valuation - Aros 6 30 08" xfId="16303" xr:uid="{00000000-0005-0000-0000-00003A010000}"/>
    <cellStyle name="_Euro_Summary" xfId="235" xr:uid="{00000000-0005-0000-0000-00003B010000}"/>
    <cellStyle name="_G2 Comps v4" xfId="236" xr:uid="{00000000-0005-0000-0000-00003C010000}"/>
    <cellStyle name="_GBP" xfId="237" xr:uid="{00000000-0005-0000-0000-00003D010000}"/>
    <cellStyle name="_GBP 2" xfId="238" xr:uid="{00000000-0005-0000-0000-00003E010000}"/>
    <cellStyle name="_Header" xfId="16304" xr:uid="{00000000-0005-0000-0000-00003F010000}"/>
    <cellStyle name="_HeaderBlue" xfId="239" xr:uid="{00000000-0005-0000-0000-000040010000}"/>
    <cellStyle name="_Heading" xfId="240" xr:uid="{00000000-0005-0000-0000-000041010000}"/>
    <cellStyle name="_Heading 2" xfId="241" xr:uid="{00000000-0005-0000-0000-000042010000}"/>
    <cellStyle name="_Heading_lbo_long_model" xfId="242" xr:uid="{00000000-0005-0000-0000-000043010000}"/>
    <cellStyle name="_Heading_lbo_long_model 2" xfId="243" xr:uid="{00000000-0005-0000-0000-000044010000}"/>
    <cellStyle name="_Heading_lbo_long_model 2 2" xfId="244" xr:uid="{00000000-0005-0000-0000-000045010000}"/>
    <cellStyle name="_Heading_lbo_long_model 3" xfId="245" xr:uid="{00000000-0005-0000-0000-000046010000}"/>
    <cellStyle name="_Heading_lbo_long_model 4" xfId="246" xr:uid="{00000000-0005-0000-0000-000047010000}"/>
    <cellStyle name="_Heading_lbo_long_model 5" xfId="247" xr:uid="{00000000-0005-0000-0000-000048010000}"/>
    <cellStyle name="_Heading_lbo_long_model_Anaphore 12 31 2008 Draft Analysis 02 19 2009" xfId="248" xr:uid="{00000000-0005-0000-0000-000049010000}"/>
    <cellStyle name="_Heading_lbo_long_model_Anaphore 12 31 2008 Draft Analysis 02 20 2009 - DM REVISED" xfId="249" xr:uid="{00000000-0005-0000-0000-00004A010000}"/>
    <cellStyle name="_Heading_lbo_long_model_Book2" xfId="250" xr:uid="{00000000-0005-0000-0000-00004B010000}"/>
    <cellStyle name="_Heading_lbo_long_model_Book2 2" xfId="251" xr:uid="{00000000-0005-0000-0000-00004C010000}"/>
    <cellStyle name="_Heading_lbo_long_model_Boston Power VD 01 31 2008 Model 02 26 2008" xfId="252" xr:uid="{00000000-0005-0000-0000-00004D010000}"/>
    <cellStyle name="_Heading_lbo_long_model_Boston Power VD 01 31 2008 Model 02 26 2008 2" xfId="253" xr:uid="{00000000-0005-0000-0000-00004E010000}"/>
    <cellStyle name="_Heading_lbo_long_model_Boston Power VD 01 31 2008 Model 02 26 2008 2 2" xfId="254" xr:uid="{00000000-0005-0000-0000-00004F010000}"/>
    <cellStyle name="_Heading_lbo_long_model_Boston Power VD 01 31 2008 Model 02 26 2008 3" xfId="255" xr:uid="{00000000-0005-0000-0000-000050010000}"/>
    <cellStyle name="_Heading_lbo_long_model_Boston Power VD 01 31 2008 Model 02 26 2008 4" xfId="256" xr:uid="{00000000-0005-0000-0000-000051010000}"/>
    <cellStyle name="_Heading_lbo_long_model_Boston Power VD 01 31 2008 Model 02 26 2008 5" xfId="257" xr:uid="{00000000-0005-0000-0000-000052010000}"/>
    <cellStyle name="_Heading_lbo_long_model_Boston Power VD 01 31 2008 Model 02 26 2008_CompanyABC Valuation Draft Model 04 21 2009" xfId="258" xr:uid="{00000000-0005-0000-0000-000053010000}"/>
    <cellStyle name="_Heading_lbo_long_model_Boston Power VD 01 31 2008 Model 02 26 2008_CompanyABC Valuation Draft Model 04 21 2009 2" xfId="259" xr:uid="{00000000-0005-0000-0000-000054010000}"/>
    <cellStyle name="_Heading_lbo_long_model_Boston Power VD 01 31 2008 Model 02 26 2008_DB" xfId="260" xr:uid="{00000000-0005-0000-0000-000055010000}"/>
    <cellStyle name="_Heading_lbo_long_model_Boston Power VD 01 31 2008 Model 02 26 2008_DB 2" xfId="261" xr:uid="{00000000-0005-0000-0000-000056010000}"/>
    <cellStyle name="_Heading_lbo_long_model_Boston Power VD 01 31 2008 Model 02 26 2008_DB 2 2" xfId="262" xr:uid="{00000000-0005-0000-0000-000057010000}"/>
    <cellStyle name="_Heading_lbo_long_model_Boston Power VD 01 31 2008 Model 02 26 2008_FAS 157 Model Template 04 26 2009" xfId="263" xr:uid="{00000000-0005-0000-0000-000058010000}"/>
    <cellStyle name="_Heading_lbo_long_model_Boston Power VD 01 31 2008 Model 02 26 2008_FAS 157 Model Template 04 26 2009 2" xfId="264" xr:uid="{00000000-0005-0000-0000-000059010000}"/>
    <cellStyle name="_Heading_lbo_long_model_Boston Power VD 01 31 2008 Model 02 26 2008_Miragen VD 05 31 2008 Model 05 22 2009" xfId="265" xr:uid="{00000000-0005-0000-0000-00005A010000}"/>
    <cellStyle name="_Heading_lbo_long_model_Cap Table Inputs" xfId="266" xr:uid="{00000000-0005-0000-0000-00005B010000}"/>
    <cellStyle name="_Heading_lbo_long_model_Cap Table Inputs 2" xfId="267" xr:uid="{00000000-0005-0000-0000-00005C010000}"/>
    <cellStyle name="_Heading_lbo_long_model_Cap Table Inputs 2 2" xfId="268" xr:uid="{00000000-0005-0000-0000-00005D010000}"/>
    <cellStyle name="_Heading_lbo_long_model_Cap Table Inputs 3" xfId="269" xr:uid="{00000000-0005-0000-0000-00005E010000}"/>
    <cellStyle name="_Heading_lbo_long_model_Cap Table Inputs 4" xfId="270" xr:uid="{00000000-0005-0000-0000-00005F010000}"/>
    <cellStyle name="_Heading_lbo_long_model_Cap Table Inputs 5" xfId="271" xr:uid="{00000000-0005-0000-0000-000060010000}"/>
    <cellStyle name="_Heading_lbo_long_model_Cap Table Inputs_CompanyABC Valuation Draft Model 04 21 2009" xfId="272" xr:uid="{00000000-0005-0000-0000-000061010000}"/>
    <cellStyle name="_Heading_lbo_long_model_Cap Table Inputs_CompanyABC Valuation Draft Model 04 21 2009 2" xfId="273" xr:uid="{00000000-0005-0000-0000-000062010000}"/>
    <cellStyle name="_Heading_lbo_long_model_Cap Table Inputs_DB" xfId="274" xr:uid="{00000000-0005-0000-0000-000063010000}"/>
    <cellStyle name="_Heading_lbo_long_model_Cap Table Inputs_DB 2" xfId="275" xr:uid="{00000000-0005-0000-0000-000064010000}"/>
    <cellStyle name="_Heading_lbo_long_model_Cap Table Inputs_DB 2 2" xfId="276" xr:uid="{00000000-0005-0000-0000-000065010000}"/>
    <cellStyle name="_Heading_lbo_long_model_Cap Table Inputs_FAS 157 Model Template 04 26 2009" xfId="277" xr:uid="{00000000-0005-0000-0000-000066010000}"/>
    <cellStyle name="_Heading_lbo_long_model_Cap Table Inputs_FAS 157 Model Template 04 26 2009 2" xfId="278" xr:uid="{00000000-0005-0000-0000-000067010000}"/>
    <cellStyle name="_Heading_lbo_long_model_Cap Table Inputs_Miragen VD 05 31 2008 Model 05 22 2009" xfId="279" xr:uid="{00000000-0005-0000-0000-000068010000}"/>
    <cellStyle name="_Heading_lbo_long_model_CardioSolutions 05 31 2007 Final Model 09 27 2007" xfId="280" xr:uid="{00000000-0005-0000-0000-000069010000}"/>
    <cellStyle name="_Heading_lbo_long_model_CardioSolutions 05 31 2007 Final Model 09 27 2007 2" xfId="281" xr:uid="{00000000-0005-0000-0000-00006A010000}"/>
    <cellStyle name="_Heading_lbo_long_model_CardioSolutions 05 31 2007 Final Model 09 27 2007 2 2" xfId="282" xr:uid="{00000000-0005-0000-0000-00006B010000}"/>
    <cellStyle name="_Heading_lbo_long_model_CardioSolutions 05 31 2007 Final Model 09 27 2007 3" xfId="283" xr:uid="{00000000-0005-0000-0000-00006C010000}"/>
    <cellStyle name="_Heading_lbo_long_model_CardioSolutions 05 31 2007 Final Model 09 27 2007 4" xfId="284" xr:uid="{00000000-0005-0000-0000-00006D010000}"/>
    <cellStyle name="_Heading_lbo_long_model_CardioSolutions 05 31 2007 Final Model 09 27 2007 5" xfId="285" xr:uid="{00000000-0005-0000-0000-00006E010000}"/>
    <cellStyle name="_Heading_lbo_long_model_CardioSolutions 05 31 2007 Final Model 09 27 2007_CompanyABC Valuation Draft Model 04 21 2009" xfId="286" xr:uid="{00000000-0005-0000-0000-00006F010000}"/>
    <cellStyle name="_Heading_lbo_long_model_CardioSolutions 05 31 2007 Final Model 09 27 2007_CompanyABC Valuation Draft Model 04 21 2009 2" xfId="287" xr:uid="{00000000-0005-0000-0000-000070010000}"/>
    <cellStyle name="_Heading_lbo_long_model_CardioSolutions 05 31 2007 Final Model 09 27 2007_DB" xfId="288" xr:uid="{00000000-0005-0000-0000-000071010000}"/>
    <cellStyle name="_Heading_lbo_long_model_CardioSolutions 05 31 2007 Final Model 09 27 2007_DB 2" xfId="289" xr:uid="{00000000-0005-0000-0000-000072010000}"/>
    <cellStyle name="_Heading_lbo_long_model_CardioSolutions 05 31 2007 Final Model 09 27 2007_DB 2 2" xfId="290" xr:uid="{00000000-0005-0000-0000-000073010000}"/>
    <cellStyle name="_Heading_lbo_long_model_CardioSolutions 05 31 2007 Final Model 09 27 2007_FAS 157 Model Template 04 26 2009" xfId="291" xr:uid="{00000000-0005-0000-0000-000074010000}"/>
    <cellStyle name="_Heading_lbo_long_model_CardioSolutions 05 31 2007 Final Model 09 27 2007_FAS 157 Model Template 04 26 2009 2" xfId="292" xr:uid="{00000000-0005-0000-0000-000075010000}"/>
    <cellStyle name="_Heading_lbo_long_model_CardioSolutions 05 31 2007 Final Model 09 27 2007_Miragen VD 05 31 2008 Model 05 22 2009" xfId="293" xr:uid="{00000000-0005-0000-0000-000076010000}"/>
    <cellStyle name="_Heading_lbo_long_model_CardioSolutions VD 05 31 08 Draft Model 07 15 2008" xfId="294" xr:uid="{00000000-0005-0000-0000-000077010000}"/>
    <cellStyle name="_Heading_lbo_long_model_CardioSolutions VD 05 31 08 Draft Model 07 15 2008 2" xfId="295" xr:uid="{00000000-0005-0000-0000-000078010000}"/>
    <cellStyle name="_Heading_lbo_long_model_CardioSolutions VD 05 31 08 Draft Model 08 06 08-u" xfId="296" xr:uid="{00000000-0005-0000-0000-000079010000}"/>
    <cellStyle name="_Heading_lbo_long_model_CardioSolutions VD 05 31 08 Draft Model 08 06 08-u 2" xfId="297" xr:uid="{00000000-0005-0000-0000-00007A010000}"/>
    <cellStyle name="_Heading_lbo_long_model_CompanyABC Valuation Draft Model 04 21 2009" xfId="298" xr:uid="{00000000-0005-0000-0000-00007B010000}"/>
    <cellStyle name="_Heading_lbo_long_model_CompanyABC Valuation Draft Model 04 21 2009 2" xfId="299" xr:uid="{00000000-0005-0000-0000-00007C010000}"/>
    <cellStyle name="_Heading_lbo_long_model_CompanyABC Valuation Model Draft 07 07 2008" xfId="300" xr:uid="{00000000-0005-0000-0000-00007D010000}"/>
    <cellStyle name="_Heading_lbo_long_model_CompanyABC Valuation Model Draft 07 07 2008 2" xfId="301" xr:uid="{00000000-0005-0000-0000-00007E010000}"/>
    <cellStyle name="_Heading_lbo_long_model_CompanyABC Valuation Model Draft 08 07 2008" xfId="302" xr:uid="{00000000-0005-0000-0000-00007F010000}"/>
    <cellStyle name="_Heading_lbo_long_model_CompanyABC Valuation Model Draft 08 07 2008 2" xfId="303" xr:uid="{00000000-0005-0000-0000-000080010000}"/>
    <cellStyle name="_Heading_lbo_long_model_CompanyABC Valuation Model Draft 08 25 2008" xfId="304" xr:uid="{00000000-0005-0000-0000-000081010000}"/>
    <cellStyle name="_Heading_lbo_long_model_CompanyABC Valuation Model Draft 08 25 2008 2" xfId="305" xr:uid="{00000000-0005-0000-0000-000082010000}"/>
    <cellStyle name="_Heading_lbo_long_model_CompanyABC Valuation Model Draft 09 25 2008-Team Liquidity" xfId="306" xr:uid="{00000000-0005-0000-0000-000083010000}"/>
    <cellStyle name="_Heading_lbo_long_model_CompanyABC Valuation Model Draft 09 25 2008-Team Liquidity 2" xfId="307" xr:uid="{00000000-0005-0000-0000-000084010000}"/>
    <cellStyle name="_Heading_lbo_long_model_CompanyABC Valuation Model Draft 10 01 2008" xfId="308" xr:uid="{00000000-0005-0000-0000-000085010000}"/>
    <cellStyle name="_Heading_lbo_long_model_CompanyABC Valuation Model Draft 10 01 2008 2" xfId="309" xr:uid="{00000000-0005-0000-0000-000086010000}"/>
    <cellStyle name="_Heading_lbo_long_model_CompanyABC Valuation Model Draft 10 27 2008" xfId="310" xr:uid="{00000000-0005-0000-0000-000087010000}"/>
    <cellStyle name="_Heading_lbo_long_model_CompanyABC Valuation Model Draft 10 27 2008 2" xfId="311" xr:uid="{00000000-0005-0000-0000-000088010000}"/>
    <cellStyle name="_Heading_lbo_long_model_DB" xfId="312" xr:uid="{00000000-0005-0000-0000-000089010000}"/>
    <cellStyle name="_Heading_lbo_long_model_DB 2" xfId="313" xr:uid="{00000000-0005-0000-0000-00008A010000}"/>
    <cellStyle name="_Heading_lbo_long_model_EXAMPLE model C-5" xfId="314" xr:uid="{00000000-0005-0000-0000-00008B010000}"/>
    <cellStyle name="_Heading_lbo_long_model_EXAMPLE model C-5 2" xfId="315" xr:uid="{00000000-0005-0000-0000-00008C010000}"/>
    <cellStyle name="_Heading_lbo_long_model_FAS 157 Model Template 04 26 2009" xfId="316" xr:uid="{00000000-0005-0000-0000-00008D010000}"/>
    <cellStyle name="_Heading_lbo_long_model_FAS 157 Model Template 04 26 2009 2" xfId="317" xr:uid="{00000000-0005-0000-0000-00008E010000}"/>
    <cellStyle name="_Heading_lbo_long_model_Great Call VD 09 30 08 Draft Model 11 20 08" xfId="318" xr:uid="{00000000-0005-0000-0000-00008F010000}"/>
    <cellStyle name="_Heading_lbo_long_model_Great Call VD 09 30 08 Draft Model 11 20 08 2" xfId="319" xr:uid="{00000000-0005-0000-0000-000090010000}"/>
    <cellStyle name="_Heading_lbo_long_model_Intermedia, Inc. VD 05 31 08 Draft Model 07 16 2008" xfId="320" xr:uid="{00000000-0005-0000-0000-000091010000}"/>
    <cellStyle name="_Heading_lbo_long_model_Intermedia, Inc. VD 05 31 08 Draft Model 07 16 2008 2" xfId="321" xr:uid="{00000000-0005-0000-0000-000092010000}"/>
    <cellStyle name="_Heading_lbo_long_model_Island Data Corporatin VD 06 30 08 Projections and Comparables 08 11 2008" xfId="322" xr:uid="{00000000-0005-0000-0000-000093010000}"/>
    <cellStyle name="_Heading_lbo_long_model_Island Data Corporatin VD 06 30 08 Projections and Comparables 08 11 2008 2" xfId="323" xr:uid="{00000000-0005-0000-0000-000094010000}"/>
    <cellStyle name="_Heading_lbo_long_model_Jentro Tech VD 03 31 2008 Model 04 10 2008" xfId="324" xr:uid="{00000000-0005-0000-0000-000095010000}"/>
    <cellStyle name="_Heading_lbo_long_model_Jentro Tech VD 03 31 2008 Model 04 10 2008 2" xfId="325" xr:uid="{00000000-0005-0000-0000-000096010000}"/>
    <cellStyle name="_Heading_lbo_long_model_Kythera Biopharmaceuticals VD 05 16 08 Draft Analysis 07 01 08" xfId="326" xr:uid="{00000000-0005-0000-0000-000097010000}"/>
    <cellStyle name="_Heading_lbo_long_model_Kythera Biopharmaceuticals VD 05 16 08 Draft Analysis 07 01 08 2" xfId="327" xr:uid="{00000000-0005-0000-0000-000098010000}"/>
    <cellStyle name="_Heading_lbo_long_model_Kythera Biopharmaceuticals VD 05 16 08 Final Model 07 20 08" xfId="328" xr:uid="{00000000-0005-0000-0000-000099010000}"/>
    <cellStyle name="_Heading_lbo_long_model_Kythera Biopharmaceuticals VD 05 16 08 Final Model 07 20 08 2" xfId="329" xr:uid="{00000000-0005-0000-0000-00009A010000}"/>
    <cellStyle name="_Heading_lbo_long_model_Kythera Biopharmaceuticals, Inc. VD 5 16 2008 Draft 5 24 2008" xfId="330" xr:uid="{00000000-0005-0000-0000-00009B010000}"/>
    <cellStyle name="_Heading_lbo_long_model_Kythera Biopharmaceuticals, Inc. VD 5 16 2008 Draft 5 24 2008 2" xfId="331" xr:uid="{00000000-0005-0000-0000-00009C010000}"/>
    <cellStyle name="_Heading_lbo_long_model_Miragen VD 05 31 2008 Model 05 22 2009" xfId="332" xr:uid="{00000000-0005-0000-0000-00009D010000}"/>
    <cellStyle name="_Heading_lbo_long_model_Notes" xfId="333" xr:uid="{00000000-0005-0000-0000-00009E010000}"/>
    <cellStyle name="_Heading_lbo_long_model_Notes 2" xfId="334" xr:uid="{00000000-0005-0000-0000-00009F010000}"/>
    <cellStyle name="_Heading_lbo_long_model_OMT VD 10 15 2008 Draft Analysis 12 17 2008.xls" xfId="335" xr:uid="{00000000-0005-0000-0000-0000A0010000}"/>
    <cellStyle name="_Heading_lbo_long_model_PubComps IPO -C-7" xfId="336" xr:uid="{00000000-0005-0000-0000-0000A1010000}"/>
    <cellStyle name="_Heading_lbo_long_model_PubComps IPO -C-7 2" xfId="337" xr:uid="{00000000-0005-0000-0000-0000A2010000}"/>
    <cellStyle name="_Heading_lbo_long_model_Tmax Soft VD 07 31 2008 Draft Model 08 20 2008" xfId="338" xr:uid="{00000000-0005-0000-0000-0000A3010000}"/>
    <cellStyle name="_Heading_lbo_long_model_Tmax Soft VD 07 31 2008 Draft Model 08 20 2008 2" xfId="339" xr:uid="{00000000-0005-0000-0000-0000A4010000}"/>
    <cellStyle name="_Heading_lbo_long_model_WACC -E-2" xfId="340" xr:uid="{00000000-0005-0000-0000-0000A5010000}"/>
    <cellStyle name="_Heading_lbo_long_model_WACC -E-2 2" xfId="341" xr:uid="{00000000-0005-0000-0000-0000A6010000}"/>
    <cellStyle name="_Heading_lbo_long_model_Xmos Limited VD 05 13 2008  Model 06 04 08" xfId="342" xr:uid="{00000000-0005-0000-0000-0000A7010000}"/>
    <cellStyle name="_Heading_lbo_long_model_Xmos Limited VD 05 13 2008  Model 06 04 08 2" xfId="343" xr:uid="{00000000-0005-0000-0000-0000A8010000}"/>
    <cellStyle name="_Heading_prestemp" xfId="344" xr:uid="{00000000-0005-0000-0000-0000A9010000}"/>
    <cellStyle name="_Heading_prestemp 2" xfId="345" xr:uid="{00000000-0005-0000-0000-0000AA010000}"/>
    <cellStyle name="_Heading_prestemp 2 2" xfId="346" xr:uid="{00000000-0005-0000-0000-0000AB010000}"/>
    <cellStyle name="_Heading_prestemp 3" xfId="347" xr:uid="{00000000-0005-0000-0000-0000AC010000}"/>
    <cellStyle name="_Heading_prestemp 4" xfId="348" xr:uid="{00000000-0005-0000-0000-0000AD010000}"/>
    <cellStyle name="_Heading_prestemp 5" xfId="349" xr:uid="{00000000-0005-0000-0000-0000AE010000}"/>
    <cellStyle name="_Heading_prestemp_Anaphore 12 31 2008 Draft Analysis 02 19 2009" xfId="350" xr:uid="{00000000-0005-0000-0000-0000AF010000}"/>
    <cellStyle name="_Heading_prestemp_Anaphore 12 31 2008 Draft Analysis 02 20 2009 - DM REVISED" xfId="351" xr:uid="{00000000-0005-0000-0000-0000B0010000}"/>
    <cellStyle name="_Heading_prestemp_Book2" xfId="352" xr:uid="{00000000-0005-0000-0000-0000B1010000}"/>
    <cellStyle name="_Heading_prestemp_Book2 2" xfId="353" xr:uid="{00000000-0005-0000-0000-0000B2010000}"/>
    <cellStyle name="_Heading_prestemp_Boston Power VD 01 31 2008 Model 02 26 2008" xfId="354" xr:uid="{00000000-0005-0000-0000-0000B3010000}"/>
    <cellStyle name="_Heading_prestemp_Boston Power VD 01 31 2008 Model 02 26 2008 2" xfId="355" xr:uid="{00000000-0005-0000-0000-0000B4010000}"/>
    <cellStyle name="_Heading_prestemp_Boston Power VD 01 31 2008 Model 02 26 2008 2 2" xfId="356" xr:uid="{00000000-0005-0000-0000-0000B5010000}"/>
    <cellStyle name="_Heading_prestemp_Boston Power VD 01 31 2008 Model 02 26 2008 3" xfId="357" xr:uid="{00000000-0005-0000-0000-0000B6010000}"/>
    <cellStyle name="_Heading_prestemp_Boston Power VD 01 31 2008 Model 02 26 2008 4" xfId="358" xr:uid="{00000000-0005-0000-0000-0000B7010000}"/>
    <cellStyle name="_Heading_prestemp_Boston Power VD 01 31 2008 Model 02 26 2008 5" xfId="359" xr:uid="{00000000-0005-0000-0000-0000B8010000}"/>
    <cellStyle name="_Heading_prestemp_Boston Power VD 01 31 2008 Model 02 26 2008_CompanyABC Valuation Draft Model 04 21 2009" xfId="360" xr:uid="{00000000-0005-0000-0000-0000B9010000}"/>
    <cellStyle name="_Heading_prestemp_Boston Power VD 01 31 2008 Model 02 26 2008_CompanyABC Valuation Draft Model 04 21 2009 2" xfId="361" xr:uid="{00000000-0005-0000-0000-0000BA010000}"/>
    <cellStyle name="_Heading_prestemp_Boston Power VD 01 31 2008 Model 02 26 2008_DB" xfId="362" xr:uid="{00000000-0005-0000-0000-0000BB010000}"/>
    <cellStyle name="_Heading_prestemp_Boston Power VD 01 31 2008 Model 02 26 2008_DB 2" xfId="363" xr:uid="{00000000-0005-0000-0000-0000BC010000}"/>
    <cellStyle name="_Heading_prestemp_Boston Power VD 01 31 2008 Model 02 26 2008_DB 2 2" xfId="364" xr:uid="{00000000-0005-0000-0000-0000BD010000}"/>
    <cellStyle name="_Heading_prestemp_Boston Power VD 01 31 2008 Model 02 26 2008_FAS 157 Model Template 04 26 2009" xfId="365" xr:uid="{00000000-0005-0000-0000-0000BE010000}"/>
    <cellStyle name="_Heading_prestemp_Boston Power VD 01 31 2008 Model 02 26 2008_FAS 157 Model Template 04 26 2009 2" xfId="366" xr:uid="{00000000-0005-0000-0000-0000BF010000}"/>
    <cellStyle name="_Heading_prestemp_Boston Power VD 01 31 2008 Model 02 26 2008_Miragen VD 05 31 2008 Model 05 22 2009" xfId="367" xr:uid="{00000000-0005-0000-0000-0000C0010000}"/>
    <cellStyle name="_Heading_prestemp_Cap Table Inputs" xfId="368" xr:uid="{00000000-0005-0000-0000-0000C1010000}"/>
    <cellStyle name="_Heading_prestemp_Cap Table Inputs 2" xfId="369" xr:uid="{00000000-0005-0000-0000-0000C2010000}"/>
    <cellStyle name="_Heading_prestemp_Cap Table Inputs 2 2" xfId="370" xr:uid="{00000000-0005-0000-0000-0000C3010000}"/>
    <cellStyle name="_Heading_prestemp_Cap Table Inputs 3" xfId="371" xr:uid="{00000000-0005-0000-0000-0000C4010000}"/>
    <cellStyle name="_Heading_prestemp_Cap Table Inputs 4" xfId="372" xr:uid="{00000000-0005-0000-0000-0000C5010000}"/>
    <cellStyle name="_Heading_prestemp_Cap Table Inputs 5" xfId="373" xr:uid="{00000000-0005-0000-0000-0000C6010000}"/>
    <cellStyle name="_Heading_prestemp_Cap Table Inputs_CompanyABC Valuation Draft Model 04 21 2009" xfId="374" xr:uid="{00000000-0005-0000-0000-0000C7010000}"/>
    <cellStyle name="_Heading_prestemp_Cap Table Inputs_CompanyABC Valuation Draft Model 04 21 2009 2" xfId="375" xr:uid="{00000000-0005-0000-0000-0000C8010000}"/>
    <cellStyle name="_Heading_prestemp_Cap Table Inputs_DB" xfId="376" xr:uid="{00000000-0005-0000-0000-0000C9010000}"/>
    <cellStyle name="_Heading_prestemp_Cap Table Inputs_DB 2" xfId="377" xr:uid="{00000000-0005-0000-0000-0000CA010000}"/>
    <cellStyle name="_Heading_prestemp_Cap Table Inputs_DB 2 2" xfId="378" xr:uid="{00000000-0005-0000-0000-0000CB010000}"/>
    <cellStyle name="_Heading_prestemp_Cap Table Inputs_FAS 157 Model Template 04 26 2009" xfId="379" xr:uid="{00000000-0005-0000-0000-0000CC010000}"/>
    <cellStyle name="_Heading_prestemp_Cap Table Inputs_FAS 157 Model Template 04 26 2009 2" xfId="380" xr:uid="{00000000-0005-0000-0000-0000CD010000}"/>
    <cellStyle name="_Heading_prestemp_Cap Table Inputs_Miragen VD 05 31 2008 Model 05 22 2009" xfId="381" xr:uid="{00000000-0005-0000-0000-0000CE010000}"/>
    <cellStyle name="_Heading_prestemp_CardioSolutions 05 31 2007 Final Model 09 27 2007" xfId="382" xr:uid="{00000000-0005-0000-0000-0000CF010000}"/>
    <cellStyle name="_Heading_prestemp_CardioSolutions 05 31 2007 Final Model 09 27 2007 2" xfId="383" xr:uid="{00000000-0005-0000-0000-0000D0010000}"/>
    <cellStyle name="_Heading_prestemp_CardioSolutions 05 31 2007 Final Model 09 27 2007 2 2" xfId="384" xr:uid="{00000000-0005-0000-0000-0000D1010000}"/>
    <cellStyle name="_Heading_prestemp_CardioSolutions 05 31 2007 Final Model 09 27 2007 3" xfId="385" xr:uid="{00000000-0005-0000-0000-0000D2010000}"/>
    <cellStyle name="_Heading_prestemp_CardioSolutions 05 31 2007 Final Model 09 27 2007 4" xfId="386" xr:uid="{00000000-0005-0000-0000-0000D3010000}"/>
    <cellStyle name="_Heading_prestemp_CardioSolutions 05 31 2007 Final Model 09 27 2007 5" xfId="387" xr:uid="{00000000-0005-0000-0000-0000D4010000}"/>
    <cellStyle name="_Heading_prestemp_CardioSolutions 05 31 2007 Final Model 09 27 2007_CompanyABC Valuation Draft Model 04 21 2009" xfId="388" xr:uid="{00000000-0005-0000-0000-0000D5010000}"/>
    <cellStyle name="_Heading_prestemp_CardioSolutions 05 31 2007 Final Model 09 27 2007_CompanyABC Valuation Draft Model 04 21 2009 2" xfId="389" xr:uid="{00000000-0005-0000-0000-0000D6010000}"/>
    <cellStyle name="_Heading_prestemp_CardioSolutions 05 31 2007 Final Model 09 27 2007_DB" xfId="390" xr:uid="{00000000-0005-0000-0000-0000D7010000}"/>
    <cellStyle name="_Heading_prestemp_CardioSolutions 05 31 2007 Final Model 09 27 2007_DB 2" xfId="391" xr:uid="{00000000-0005-0000-0000-0000D8010000}"/>
    <cellStyle name="_Heading_prestemp_CardioSolutions 05 31 2007 Final Model 09 27 2007_DB 2 2" xfId="392" xr:uid="{00000000-0005-0000-0000-0000D9010000}"/>
    <cellStyle name="_Heading_prestemp_CardioSolutions 05 31 2007 Final Model 09 27 2007_FAS 157 Model Template 04 26 2009" xfId="393" xr:uid="{00000000-0005-0000-0000-0000DA010000}"/>
    <cellStyle name="_Heading_prestemp_CardioSolutions 05 31 2007 Final Model 09 27 2007_FAS 157 Model Template 04 26 2009 2" xfId="394" xr:uid="{00000000-0005-0000-0000-0000DB010000}"/>
    <cellStyle name="_Heading_prestemp_CardioSolutions 05 31 2007 Final Model 09 27 2007_Miragen VD 05 31 2008 Model 05 22 2009" xfId="395" xr:uid="{00000000-0005-0000-0000-0000DC010000}"/>
    <cellStyle name="_Heading_prestemp_CardioSolutions VD 05 31 08 Draft Model 07 15 2008" xfId="396" xr:uid="{00000000-0005-0000-0000-0000DD010000}"/>
    <cellStyle name="_Heading_prestemp_CardioSolutions VD 05 31 08 Draft Model 07 15 2008 2" xfId="397" xr:uid="{00000000-0005-0000-0000-0000DE010000}"/>
    <cellStyle name="_Heading_prestemp_CardioSolutions VD 05 31 08 Draft Model 08 06 08-u" xfId="398" xr:uid="{00000000-0005-0000-0000-0000DF010000}"/>
    <cellStyle name="_Heading_prestemp_CardioSolutions VD 05 31 08 Draft Model 08 06 08-u 2" xfId="399" xr:uid="{00000000-0005-0000-0000-0000E0010000}"/>
    <cellStyle name="_Heading_prestemp_CompanyABC Valuation Draft Model 04 21 2009" xfId="400" xr:uid="{00000000-0005-0000-0000-0000E1010000}"/>
    <cellStyle name="_Heading_prestemp_CompanyABC Valuation Draft Model 04 21 2009 2" xfId="401" xr:uid="{00000000-0005-0000-0000-0000E2010000}"/>
    <cellStyle name="_Heading_prestemp_CompanyABC Valuation Model Draft 07 07 2008" xfId="402" xr:uid="{00000000-0005-0000-0000-0000E3010000}"/>
    <cellStyle name="_Heading_prestemp_CompanyABC Valuation Model Draft 07 07 2008 2" xfId="403" xr:uid="{00000000-0005-0000-0000-0000E4010000}"/>
    <cellStyle name="_Heading_prestemp_CompanyABC Valuation Model Draft 08 07 2008" xfId="404" xr:uid="{00000000-0005-0000-0000-0000E5010000}"/>
    <cellStyle name="_Heading_prestemp_CompanyABC Valuation Model Draft 08 07 2008 2" xfId="405" xr:uid="{00000000-0005-0000-0000-0000E6010000}"/>
    <cellStyle name="_Heading_prestemp_CompanyABC Valuation Model Draft 08 25 2008" xfId="406" xr:uid="{00000000-0005-0000-0000-0000E7010000}"/>
    <cellStyle name="_Heading_prestemp_CompanyABC Valuation Model Draft 08 25 2008 2" xfId="407" xr:uid="{00000000-0005-0000-0000-0000E8010000}"/>
    <cellStyle name="_Heading_prestemp_CompanyABC Valuation Model Draft 09 25 2008-Team Liquidity" xfId="408" xr:uid="{00000000-0005-0000-0000-0000E9010000}"/>
    <cellStyle name="_Heading_prestemp_CompanyABC Valuation Model Draft 09 25 2008-Team Liquidity 2" xfId="409" xr:uid="{00000000-0005-0000-0000-0000EA010000}"/>
    <cellStyle name="_Heading_prestemp_CompanyABC Valuation Model Draft 10 01 2008" xfId="410" xr:uid="{00000000-0005-0000-0000-0000EB010000}"/>
    <cellStyle name="_Heading_prestemp_CompanyABC Valuation Model Draft 10 01 2008 2" xfId="411" xr:uid="{00000000-0005-0000-0000-0000EC010000}"/>
    <cellStyle name="_Heading_prestemp_CompanyABC Valuation Model Draft 10 27 2008" xfId="412" xr:uid="{00000000-0005-0000-0000-0000ED010000}"/>
    <cellStyle name="_Heading_prestemp_CompanyABC Valuation Model Draft 10 27 2008 2" xfId="413" xr:uid="{00000000-0005-0000-0000-0000EE010000}"/>
    <cellStyle name="_Heading_prestemp_Cyrela - Goldzstein - Financial Model - v1" xfId="414" xr:uid="{00000000-0005-0000-0000-0000EF010000}"/>
    <cellStyle name="_Heading_prestemp_Cyrela - Goldzstein - Financial Model - v5" xfId="415" xr:uid="{00000000-0005-0000-0000-0000F0010000}"/>
    <cellStyle name="_Heading_prestemp_DB" xfId="416" xr:uid="{00000000-0005-0000-0000-0000F1010000}"/>
    <cellStyle name="_Heading_prestemp_DB 2" xfId="417" xr:uid="{00000000-0005-0000-0000-0000F2010000}"/>
    <cellStyle name="_Heading_prestemp_EXAMPLE model C-5" xfId="418" xr:uid="{00000000-0005-0000-0000-0000F3010000}"/>
    <cellStyle name="_Heading_prestemp_EXAMPLE model C-5 2" xfId="419" xr:uid="{00000000-0005-0000-0000-0000F4010000}"/>
    <cellStyle name="_Heading_prestemp_FAS 157 Model Template 04 26 2009" xfId="420" xr:uid="{00000000-0005-0000-0000-0000F5010000}"/>
    <cellStyle name="_Heading_prestemp_FAS 157 Model Template 04 26 2009 2" xfId="421" xr:uid="{00000000-0005-0000-0000-0000F6010000}"/>
    <cellStyle name="_Heading_prestemp_Gas Natural - Financial Model - April 18 2008 - v1" xfId="422" xr:uid="{00000000-0005-0000-0000-0000F7010000}"/>
    <cellStyle name="_Heading_prestemp_Gas Natural - Financial Model - April 18 2008 - v2" xfId="423" xr:uid="{00000000-0005-0000-0000-0000F8010000}"/>
    <cellStyle name="_Heading_prestemp_Gas Natural - Financial Model - May 20, 2009" xfId="424" xr:uid="{00000000-0005-0000-0000-0000F9010000}"/>
    <cellStyle name="_Heading_prestemp_Goldzstein Cyrela - Financial Model - v7" xfId="425" xr:uid="{00000000-0005-0000-0000-0000FA010000}"/>
    <cellStyle name="_Heading_prestemp_Great Call VD 09 30 08 Draft Model 11 20 08" xfId="426" xr:uid="{00000000-0005-0000-0000-0000FB010000}"/>
    <cellStyle name="_Heading_prestemp_Great Call VD 09 30 08 Draft Model 11 20 08 2" xfId="427" xr:uid="{00000000-0005-0000-0000-0000FC010000}"/>
    <cellStyle name="_Heading_prestemp_Grupo Ibmec - Financial Model - v2" xfId="428" xr:uid="{00000000-0005-0000-0000-0000FD010000}"/>
    <cellStyle name="_Heading_prestemp_Grupo Ibmec - Financial Model - v5" xfId="429" xr:uid="{00000000-0005-0000-0000-0000FE010000}"/>
    <cellStyle name="_Heading_prestemp_Independencia - Financial Model - Dec 02 2008 - v3" xfId="430" xr:uid="{00000000-0005-0000-0000-0000FF010000}"/>
    <cellStyle name="_Heading_prestemp_Independencia - Financial Model - Nov 24 2008" xfId="431" xr:uid="{00000000-0005-0000-0000-000000020000}"/>
    <cellStyle name="_Heading_prestemp_Intermedia, Inc. VD 05 31 08 Draft Model 07 16 2008" xfId="432" xr:uid="{00000000-0005-0000-0000-000001020000}"/>
    <cellStyle name="_Heading_prestemp_Intermedia, Inc. VD 05 31 08 Draft Model 07 16 2008 2" xfId="433" xr:uid="{00000000-0005-0000-0000-000002020000}"/>
    <cellStyle name="_Heading_prestemp_Island Data Corporatin VD 06 30 08 Projections and Comparables 08 11 2008" xfId="434" xr:uid="{00000000-0005-0000-0000-000003020000}"/>
    <cellStyle name="_Heading_prestemp_Island Data Corporatin VD 06 30 08 Projections and Comparables 08 11 2008 2" xfId="435" xr:uid="{00000000-0005-0000-0000-000004020000}"/>
    <cellStyle name="_Heading_prestemp_Jentro Tech VD 03 31 2008 Model 04 10 2008" xfId="436" xr:uid="{00000000-0005-0000-0000-000005020000}"/>
    <cellStyle name="_Heading_prestemp_Jentro Tech VD 03 31 2008 Model 04 10 2008 2" xfId="437" xr:uid="{00000000-0005-0000-0000-000006020000}"/>
    <cellStyle name="_Heading_prestemp_Kythera Biopharmaceuticals VD 05 16 08 Draft Analysis 07 01 08" xfId="438" xr:uid="{00000000-0005-0000-0000-000007020000}"/>
    <cellStyle name="_Heading_prestemp_Kythera Biopharmaceuticals VD 05 16 08 Draft Analysis 07 01 08 2" xfId="439" xr:uid="{00000000-0005-0000-0000-000008020000}"/>
    <cellStyle name="_Heading_prestemp_Kythera Biopharmaceuticals VD 05 16 08 Final Model 07 20 08" xfId="440" xr:uid="{00000000-0005-0000-0000-000009020000}"/>
    <cellStyle name="_Heading_prestemp_Kythera Biopharmaceuticals VD 05 16 08 Final Model 07 20 08 2" xfId="441" xr:uid="{00000000-0005-0000-0000-00000A020000}"/>
    <cellStyle name="_Heading_prestemp_Kythera Biopharmaceuticals, Inc. VD 5 16 2008 Draft 5 24 2008" xfId="442" xr:uid="{00000000-0005-0000-0000-00000B020000}"/>
    <cellStyle name="_Heading_prestemp_Kythera Biopharmaceuticals, Inc. VD 5 16 2008 Draft 5 24 2008 2" xfId="443" xr:uid="{00000000-0005-0000-0000-00000C020000}"/>
    <cellStyle name="_Heading_prestemp_Medley_Financial_Model_v5" xfId="444" xr:uid="{00000000-0005-0000-0000-00000D020000}"/>
    <cellStyle name="_Heading_prestemp_Medley_Financial_Model_v5_Ubiquiti Ownership Table" xfId="445" xr:uid="{00000000-0005-0000-0000-00000E020000}"/>
    <cellStyle name="_Heading_prestemp_Miragen VD 05 31 2008 Model 05 22 2009" xfId="446" xr:uid="{00000000-0005-0000-0000-00000F020000}"/>
    <cellStyle name="_Heading_prestemp_Notes" xfId="447" xr:uid="{00000000-0005-0000-0000-000010020000}"/>
    <cellStyle name="_Heading_prestemp_Notes 2" xfId="448" xr:uid="{00000000-0005-0000-0000-000011020000}"/>
    <cellStyle name="_Heading_prestemp_OMT VD 10 15 2008 Draft Analysis 12 17 2008.xls" xfId="449" xr:uid="{00000000-0005-0000-0000-000012020000}"/>
    <cellStyle name="_Heading_prestemp_Project Emet - Forecasts" xfId="450" xr:uid="{00000000-0005-0000-0000-000013020000}"/>
    <cellStyle name="_Heading_prestemp_PubComps IPO -C-7" xfId="451" xr:uid="{00000000-0005-0000-0000-000014020000}"/>
    <cellStyle name="_Heading_prestemp_PubComps IPO -C-7 2" xfId="452" xr:uid="{00000000-0005-0000-0000-000015020000}"/>
    <cellStyle name="_Heading_prestemp_Rumo_Financial_Model_05jun2009_v1" xfId="453" xr:uid="{00000000-0005-0000-0000-000016020000}"/>
    <cellStyle name="_Heading_prestemp_Rumo_Financial_Model_05jun2009_v4" xfId="454" xr:uid="{00000000-0005-0000-0000-000017020000}"/>
    <cellStyle name="_Heading_prestemp_Rumo_Financial_Model_05jun2009_v5" xfId="455" xr:uid="{00000000-0005-0000-0000-000018020000}"/>
    <cellStyle name="_Heading_prestemp_Rumo_Financial_Model_05jun2009_v6" xfId="456" xr:uid="{00000000-0005-0000-0000-000019020000}"/>
    <cellStyle name="_Heading_prestemp_SCPC_Financial_Model_10jun2009_v2" xfId="457" xr:uid="{00000000-0005-0000-0000-00001A020000}"/>
    <cellStyle name="_Heading_prestemp_SCPC_Financial_Model_17jun2009_v5" xfId="458" xr:uid="{00000000-0005-0000-0000-00001B020000}"/>
    <cellStyle name="_Heading_prestemp_Tmax Soft VD 07 31 2008 Draft Model 08 20 2008" xfId="459" xr:uid="{00000000-0005-0000-0000-00001C020000}"/>
    <cellStyle name="_Heading_prestemp_Tmax Soft VD 07 31 2008 Draft Model 08 20 2008 2" xfId="460" xr:uid="{00000000-0005-0000-0000-00001D020000}"/>
    <cellStyle name="_Heading_prestemp_WACC -E-2" xfId="461" xr:uid="{00000000-0005-0000-0000-00001E020000}"/>
    <cellStyle name="_Heading_prestemp_WACC -E-2 2" xfId="462" xr:uid="{00000000-0005-0000-0000-00001F020000}"/>
    <cellStyle name="_Heading_prestemp_Xmos Limited VD 05 13 2008  Model 06 04 08" xfId="463" xr:uid="{00000000-0005-0000-0000-000020020000}"/>
    <cellStyle name="_Heading_prestemp_Xmos Limited VD 05 13 2008  Model 06 04 08 2" xfId="464" xr:uid="{00000000-0005-0000-0000-000021020000}"/>
    <cellStyle name="_Headline" xfId="16305" xr:uid="{00000000-0005-0000-0000-000022020000}"/>
    <cellStyle name="_Hea_x0010_line" xfId="16306" xr:uid="{00000000-0005-0000-0000-000023020000}"/>
    <cellStyle name="_Highlight" xfId="465" xr:uid="{00000000-0005-0000-0000-000024020000}"/>
    <cellStyle name="_Highlight 2" xfId="466" xr:uid="{00000000-0005-0000-0000-000025020000}"/>
    <cellStyle name="_IPO Val 08.01.05 v1.1" xfId="16307" xr:uid="{00000000-0005-0000-0000-000026020000}"/>
    <cellStyle name="_laroux_2000 Reforecast Summary 6-00" xfId="16308" xr:uid="{00000000-0005-0000-0000-000027020000}"/>
    <cellStyle name="_laroux_April 2000 Review_Property Disclosure 2000 Reforecast 8-00" xfId="16309" xr:uid="{00000000-0005-0000-0000-000028020000}"/>
    <cellStyle name="_LIBOR" xfId="467" xr:uid="{00000000-0005-0000-0000-000029020000}"/>
    <cellStyle name="_LIBOR 2" xfId="468" xr:uid="{00000000-0005-0000-0000-00002A020000}"/>
    <cellStyle name="_LIBOR_IRR Model" xfId="469" xr:uid="{00000000-0005-0000-0000-00002B020000}"/>
    <cellStyle name="_LIBOR_IRR Model 2" xfId="470" xr:uid="{00000000-0005-0000-0000-00002C020000}"/>
    <cellStyle name="_LIBOR_Mesa_Irr Grid" xfId="471" xr:uid="{00000000-0005-0000-0000-00002D020000}"/>
    <cellStyle name="_LIBOR_Mesa_Irr Grid 2" xfId="472" xr:uid="{00000000-0005-0000-0000-00002E020000}"/>
    <cellStyle name="_Luxury Goods Comps latest" xfId="473" xr:uid="{00000000-0005-0000-0000-00002F020000}"/>
    <cellStyle name="_Luxury Goods Comps latest_Medley_Financial_Model_v5" xfId="474" xr:uid="{00000000-0005-0000-0000-000030020000}"/>
    <cellStyle name="_Luxury Goods Comps latest_Medley_Financial_Model_v5_Ubiquiti Ownership Table" xfId="475" xr:uid="{00000000-0005-0000-0000-000031020000}"/>
    <cellStyle name="_MemoHead" xfId="476" xr:uid="{00000000-0005-0000-0000-000032020000}"/>
    <cellStyle name="_MemoHead 2" xfId="477" xr:uid="{00000000-0005-0000-0000-000033020000}"/>
    <cellStyle name="_MemoSubHead" xfId="478" xr:uid="{00000000-0005-0000-0000-000034020000}"/>
    <cellStyle name="_MemoSubHead 2" xfId="479" xr:uid="{00000000-0005-0000-0000-000035020000}"/>
    <cellStyle name="-_Merger Overview Paste-ins" xfId="480" xr:uid="{00000000-0005-0000-0000-000036020000}"/>
    <cellStyle name="-_Merger Overview Paste-ins_EBITDA template v2" xfId="481" xr:uid="{00000000-0005-0000-0000-000037020000}"/>
    <cellStyle name="-_Merger Overview Paste-ins_Ranpak Model (10-27-05) v1.1" xfId="482" xr:uid="{00000000-0005-0000-0000-000038020000}"/>
    <cellStyle name="-_Merger Overview Paste-ins_Ranpak Model (10-27-05) v1.1_EBITDA template v2" xfId="483" xr:uid="{00000000-0005-0000-0000-000039020000}"/>
    <cellStyle name="_Model and Valuation - Aros 6 30 08" xfId="16310" xr:uid="{00000000-0005-0000-0000-00003A020000}"/>
    <cellStyle name="_Modelo Puerto 2007 Management Case DB 14-11 (DB) v20" xfId="484" xr:uid="{00000000-0005-0000-0000-00003B020000}"/>
    <cellStyle name="_Modelo Puerto 2007 Management Case DB 14-11 (DB) v20_Medley_Financial_Model_v5" xfId="485" xr:uid="{00000000-0005-0000-0000-00003C020000}"/>
    <cellStyle name="_Multiple" xfId="486" xr:uid="{00000000-0005-0000-0000-00003D020000}"/>
    <cellStyle name="_Multiple__DCF Template" xfId="487" xr:uid="{00000000-0005-0000-0000-00003E020000}"/>
    <cellStyle name="_Multiple_04 Alaska Model 2002-05-31 GS" xfId="488" xr:uid="{00000000-0005-0000-0000-00003F020000}"/>
    <cellStyle name="_Multiple_Cable_Industry Overview5" xfId="489" xr:uid="{00000000-0005-0000-0000-000040020000}"/>
    <cellStyle name="_Multiple_Control" xfId="490" xr:uid="{00000000-0005-0000-0000-000041020000}"/>
    <cellStyle name="_Multiple_Dividend Template" xfId="491" xr:uid="{00000000-0005-0000-0000-000042020000}"/>
    <cellStyle name="_Multiple_Eric CapIQ unlinked v1" xfId="492" xr:uid="{00000000-0005-0000-0000-000043020000}"/>
    <cellStyle name="_Multiple_Gelco Model" xfId="493" xr:uid="{00000000-0005-0000-0000-000044020000}"/>
    <cellStyle name="_Multiple_H-G Holdings race car v5 (change dep)" xfId="494" xr:uid="{00000000-0005-0000-0000-000045020000}"/>
    <cellStyle name="_Multiple_INTU Comps v2" xfId="16311" xr:uid="{00000000-0005-0000-0000-000046020000}"/>
    <cellStyle name="_Multiple_lbo_long_model" xfId="495" xr:uid="{00000000-0005-0000-0000-000047020000}"/>
    <cellStyle name="_Multiple_lbo_long_model 2" xfId="496" xr:uid="{00000000-0005-0000-0000-000048020000}"/>
    <cellStyle name="_Multiple_Medicis WACC" xfId="497" xr:uid="{00000000-0005-0000-0000-000049020000}"/>
    <cellStyle name="_Multiple_Meggitt AirDynamics WACC" xfId="498" xr:uid="{00000000-0005-0000-0000-00004A020000}"/>
    <cellStyle name="_Multiple_Pro-Forma Financials" xfId="499" xr:uid="{00000000-0005-0000-0000-00004B020000}"/>
    <cellStyle name="_Multiple_Pro-Forma Spin-off" xfId="500" xr:uid="{00000000-0005-0000-0000-00004C020000}"/>
    <cellStyle name="_Multiple_Revised Basic Modelv2.4" xfId="501" xr:uid="{00000000-0005-0000-0000-00004D020000}"/>
    <cellStyle name="_Multiple_Rider Henning" xfId="502" xr:uid="{00000000-0005-0000-0000-00004E020000}"/>
    <cellStyle name="_Multiple_Summary" xfId="503" xr:uid="{00000000-0005-0000-0000-00004F020000}"/>
    <cellStyle name="_Multiple_Updated Model - CapitalIQ6 -04.20.06" xfId="504" xr:uid="{00000000-0005-0000-0000-000050020000}"/>
    <cellStyle name="_Multiple_WACCv2" xfId="505" xr:uid="{00000000-0005-0000-0000-000051020000}"/>
    <cellStyle name="_Multiple_Yield Tables" xfId="506" xr:uid="{00000000-0005-0000-0000-000052020000}"/>
    <cellStyle name="_MultipleSpace" xfId="507" xr:uid="{00000000-0005-0000-0000-000053020000}"/>
    <cellStyle name="_MultipleSpace__DCF Template" xfId="508" xr:uid="{00000000-0005-0000-0000-000054020000}"/>
    <cellStyle name="_MultipleSpace_04 Alaska Model 2002-05-31 GS" xfId="509" xr:uid="{00000000-0005-0000-0000-000055020000}"/>
    <cellStyle name="_MultipleSpace_Control" xfId="510" xr:uid="{00000000-0005-0000-0000-000056020000}"/>
    <cellStyle name="_MultipleSpace_Dividend Template" xfId="511" xr:uid="{00000000-0005-0000-0000-000057020000}"/>
    <cellStyle name="_MultipleSpace_EPL LBO 5.16.05 - Mgmt IPO v6" xfId="16312" xr:uid="{00000000-0005-0000-0000-000058020000}"/>
    <cellStyle name="_MultipleSpace_Epsilon IPO Model NEW v3" xfId="16313" xr:uid="{00000000-0005-0000-0000-000059020000}"/>
    <cellStyle name="_MultipleSpace_Epsilon Model 3.30.05 v7" xfId="16314" xr:uid="{00000000-0005-0000-0000-00005A020000}"/>
    <cellStyle name="_MultipleSpace_Eric CapIQ unlinked v1" xfId="512" xr:uid="{00000000-0005-0000-0000-00005B020000}"/>
    <cellStyle name="_MultipleSpace_H-G Holdings race car v5 (change dep)" xfId="513" xr:uid="{00000000-0005-0000-0000-00005C020000}"/>
    <cellStyle name="_MultipleSpace_Hist_Rev1" xfId="16315" xr:uid="{00000000-0005-0000-0000-00005D020000}"/>
    <cellStyle name="_MultipleSpace_lbo_long_model" xfId="514" xr:uid="{00000000-0005-0000-0000-00005E020000}"/>
    <cellStyle name="_MultipleSpace_lbo_long_model 2" xfId="515" xr:uid="{00000000-0005-0000-0000-00005F020000}"/>
    <cellStyle name="_MultipleSpace_Medicis WACC" xfId="516" xr:uid="{00000000-0005-0000-0000-000060020000}"/>
    <cellStyle name="_MultipleSpace_Meggitt AirDynamics WACC" xfId="517" xr:uid="{00000000-0005-0000-0000-000061020000}"/>
    <cellStyle name="_MultipleSpace_Pro-Forma Financials" xfId="518" xr:uid="{00000000-0005-0000-0000-000062020000}"/>
    <cellStyle name="_MultipleSpace_Pro-Forma Spin-off" xfId="519" xr:uid="{00000000-0005-0000-0000-000063020000}"/>
    <cellStyle name="_MultipleSpace_Revised Basic Modelv2.4" xfId="520" xr:uid="{00000000-0005-0000-0000-000064020000}"/>
    <cellStyle name="_MultipleSpace_Rider Henning" xfId="521" xr:uid="{00000000-0005-0000-0000-000065020000}"/>
    <cellStyle name="_MultipleSpace_RJB Long LBO LTM" xfId="16316" xr:uid="{00000000-0005-0000-0000-000066020000}"/>
    <cellStyle name="_MultipleSpace_Updated Model - CapitalIQ6 -04.20.06" xfId="522" xr:uid="{00000000-0005-0000-0000-000067020000}"/>
    <cellStyle name="_MultipleSpace_WACCv2" xfId="523" xr:uid="{00000000-0005-0000-0000-000068020000}"/>
    <cellStyle name="_Nomos WACC" xfId="524" xr:uid="{00000000-0005-0000-0000-000069020000}"/>
    <cellStyle name="_Percent" xfId="525" xr:uid="{00000000-0005-0000-0000-00006A020000}"/>
    <cellStyle name="_Percent_Control" xfId="526" xr:uid="{00000000-0005-0000-0000-00006B020000}"/>
    <cellStyle name="_Percent_Rider Henning" xfId="527" xr:uid="{00000000-0005-0000-0000-00006C020000}"/>
    <cellStyle name="_PercentReal" xfId="528" xr:uid="{00000000-0005-0000-0000-00006D020000}"/>
    <cellStyle name="_PercentReal 2" xfId="529" xr:uid="{00000000-0005-0000-0000-00006E020000}"/>
    <cellStyle name="_PercentReal_Gelco Model" xfId="530" xr:uid="{00000000-0005-0000-0000-00006F020000}"/>
    <cellStyle name="_PercentReal_Gelco Model 2" xfId="531" xr:uid="{00000000-0005-0000-0000-000070020000}"/>
    <cellStyle name="_PercentReal_Gelco Overview_3-11-04" xfId="532" xr:uid="{00000000-0005-0000-0000-000071020000}"/>
    <cellStyle name="_PercentReal_Gelco Overview_3-11-04 2" xfId="533" xr:uid="{00000000-0005-0000-0000-000072020000}"/>
    <cellStyle name="_PercentReal_Indicative Term Sheet" xfId="534" xr:uid="{00000000-0005-0000-0000-000073020000}"/>
    <cellStyle name="_PercentReal_Indicative Term Sheet 2" xfId="535" xr:uid="{00000000-0005-0000-0000-000074020000}"/>
    <cellStyle name="_PercentReal_IRR Summary" xfId="536" xr:uid="{00000000-0005-0000-0000-000075020000}"/>
    <cellStyle name="_PercentReal_IRR Summary 2" xfId="537" xr:uid="{00000000-0005-0000-0000-000076020000}"/>
    <cellStyle name="_PercentReal_PADD" xfId="538" xr:uid="{00000000-0005-0000-0000-000077020000}"/>
    <cellStyle name="_PercentReal_PADD 2" xfId="539" xr:uid="{00000000-0005-0000-0000-000078020000}"/>
    <cellStyle name="_PercentSpace" xfId="540" xr:uid="{00000000-0005-0000-0000-000079020000}"/>
    <cellStyle name="_PercentSpace_Control" xfId="541" xr:uid="{00000000-0005-0000-0000-00007A020000}"/>
    <cellStyle name="_PercentSpace_Rider Henning" xfId="542" xr:uid="{00000000-0005-0000-0000-00007B020000}"/>
    <cellStyle name="_PMR_Val_v3" xfId="16317" xr:uid="{00000000-0005-0000-0000-00007C020000}"/>
    <cellStyle name="_PMR_Val_v4" xfId="16318" xr:uid="{00000000-0005-0000-0000-00007D020000}"/>
    <cellStyle name="_Projection IS  BS 2007-2010" xfId="543" xr:uid="{00000000-0005-0000-0000-00007E020000}"/>
    <cellStyle name="_Public Equity Analysis - v1" xfId="544" xr:uid="{00000000-0005-0000-0000-00007F020000}"/>
    <cellStyle name="_Public Equity Analysis - v1_Medley_Financial_Model_v5" xfId="545" xr:uid="{00000000-0005-0000-0000-000080020000}"/>
    <cellStyle name="_Pulpo 01.30.07 v.2" xfId="16319" xr:uid="{00000000-0005-0000-0000-000081020000}"/>
    <cellStyle name="_RangeColumns" xfId="546" xr:uid="{00000000-0005-0000-0000-000082020000}"/>
    <cellStyle name="_RangeColumns_East Coast Bulk Caustic 2+10" xfId="547" xr:uid="{00000000-0005-0000-0000-000083020000}"/>
    <cellStyle name="_RangeColumns_East Coast Bulk Caustic 2+10 2" xfId="12431" xr:uid="{00000000-0005-0000-0000-000084020000}"/>
    <cellStyle name="_RangeColumns_East Profit  Loss 1Q Review" xfId="548" xr:uid="{00000000-0005-0000-0000-000085020000}"/>
    <cellStyle name="_RangeColumns_East Profit  Loss 1Q Review 2" xfId="12432" xr:uid="{00000000-0005-0000-0000-000086020000}"/>
    <cellStyle name="_RangeData" xfId="549" xr:uid="{00000000-0005-0000-0000-000087020000}"/>
    <cellStyle name="_RangeData 2" xfId="12433" xr:uid="{00000000-0005-0000-0000-000088020000}"/>
    <cellStyle name="_RangeData_East Coast Bulk Caustic 2+10" xfId="550" xr:uid="{00000000-0005-0000-0000-000089020000}"/>
    <cellStyle name="_RangeData_East Coast Bulk Caustic 2+10 2" xfId="12434" xr:uid="{00000000-0005-0000-0000-00008A020000}"/>
    <cellStyle name="_RangeData_East Profit  Loss 1Q Review" xfId="551" xr:uid="{00000000-0005-0000-0000-00008B020000}"/>
    <cellStyle name="_RangeData_East Profit  Loss 1Q Review 2" xfId="12435" xr:uid="{00000000-0005-0000-0000-00008C020000}"/>
    <cellStyle name="_RangeProperties" xfId="552" xr:uid="{00000000-0005-0000-0000-00008D020000}"/>
    <cellStyle name="_RangeProperties 2" xfId="12436" xr:uid="{00000000-0005-0000-0000-00008E020000}"/>
    <cellStyle name="_RangePropertiesColumns" xfId="553" xr:uid="{00000000-0005-0000-0000-00008F020000}"/>
    <cellStyle name="_RangePropertiesColumns 2" xfId="12437" xr:uid="{00000000-0005-0000-0000-000090020000}"/>
    <cellStyle name="_RangeRows" xfId="554" xr:uid="{00000000-0005-0000-0000-000091020000}"/>
    <cellStyle name="_RangeRows_East Coast Bulk Caustic 2+10" xfId="555" xr:uid="{00000000-0005-0000-0000-000092020000}"/>
    <cellStyle name="_RangeRows_East Coast Bulk Caustic 2+10 2" xfId="12438" xr:uid="{00000000-0005-0000-0000-000093020000}"/>
    <cellStyle name="_RangeRows_East Profit  Loss 1Q Review" xfId="556" xr:uid="{00000000-0005-0000-0000-000094020000}"/>
    <cellStyle name="_RangeRows_East Profit  Loss 1Q Review 2" xfId="12439" xr:uid="{00000000-0005-0000-0000-000095020000}"/>
    <cellStyle name="_RangeSlicer" xfId="557" xr:uid="{00000000-0005-0000-0000-000096020000}"/>
    <cellStyle name="_Revised BP 2007-2010" xfId="558" xr:uid="{00000000-0005-0000-0000-000097020000}"/>
    <cellStyle name="_Roster with Salary and Bonus v2" xfId="16320" xr:uid="{00000000-0005-0000-0000-000098020000}"/>
    <cellStyle name="_Store Buildup v6" xfId="16321" xr:uid="{00000000-0005-0000-0000-000099020000}"/>
    <cellStyle name="_Store Buildup v6_1" xfId="16322" xr:uid="{00000000-0005-0000-0000-00009A020000}"/>
    <cellStyle name="_Store Buildup v6_2" xfId="16323" xr:uid="{00000000-0005-0000-0000-00009B020000}"/>
    <cellStyle name="_Store Buildup v6_3" xfId="16324" xr:uid="{00000000-0005-0000-0000-00009C020000}"/>
    <cellStyle name="_Store Buildup v6_4" xfId="16325" xr:uid="{00000000-0005-0000-0000-00009D020000}"/>
    <cellStyle name="_SubHeading" xfId="559" xr:uid="{00000000-0005-0000-0000-00009E020000}"/>
    <cellStyle name="_SubHeading 2" xfId="560" xr:uid="{00000000-0005-0000-0000-00009F020000}"/>
    <cellStyle name="_SubHeading_lbo_long_model" xfId="561" xr:uid="{00000000-0005-0000-0000-0000A0020000}"/>
    <cellStyle name="_SubHeading_lbo_long_model 2" xfId="562" xr:uid="{00000000-0005-0000-0000-0000A1020000}"/>
    <cellStyle name="_SubHeading_lbo_long_model 2 2" xfId="563" xr:uid="{00000000-0005-0000-0000-0000A2020000}"/>
    <cellStyle name="_SubHeading_lbo_long_model 3" xfId="564" xr:uid="{00000000-0005-0000-0000-0000A3020000}"/>
    <cellStyle name="_SubHeading_lbo_long_model 4" xfId="565" xr:uid="{00000000-0005-0000-0000-0000A4020000}"/>
    <cellStyle name="_SubHeading_lbo_long_model 5" xfId="566" xr:uid="{00000000-0005-0000-0000-0000A5020000}"/>
    <cellStyle name="_SubHeading_lbo_long_model_Anaphore 12 31 2008 Draft Analysis 02 19 2009" xfId="567" xr:uid="{00000000-0005-0000-0000-0000A6020000}"/>
    <cellStyle name="_SubHeading_lbo_long_model_Anaphore 12 31 2008 Draft Analysis 02 20 2009 - DM REVISED" xfId="568" xr:uid="{00000000-0005-0000-0000-0000A7020000}"/>
    <cellStyle name="_SubHeading_lbo_long_model_Book2" xfId="569" xr:uid="{00000000-0005-0000-0000-0000A8020000}"/>
    <cellStyle name="_SubHeading_lbo_long_model_Book2 2" xfId="570" xr:uid="{00000000-0005-0000-0000-0000A9020000}"/>
    <cellStyle name="_SubHeading_lbo_long_model_Boston Power VD 01 31 2008 Model 02 26 2008" xfId="571" xr:uid="{00000000-0005-0000-0000-0000AA020000}"/>
    <cellStyle name="_SubHeading_lbo_long_model_Boston Power VD 01 31 2008 Model 02 26 2008 2" xfId="572" xr:uid="{00000000-0005-0000-0000-0000AB020000}"/>
    <cellStyle name="_SubHeading_lbo_long_model_Boston Power VD 01 31 2008 Model 02 26 2008 2 2" xfId="573" xr:uid="{00000000-0005-0000-0000-0000AC020000}"/>
    <cellStyle name="_SubHeading_lbo_long_model_Boston Power VD 01 31 2008 Model 02 26 2008 3" xfId="574" xr:uid="{00000000-0005-0000-0000-0000AD020000}"/>
    <cellStyle name="_SubHeading_lbo_long_model_Boston Power VD 01 31 2008 Model 02 26 2008 4" xfId="575" xr:uid="{00000000-0005-0000-0000-0000AE020000}"/>
    <cellStyle name="_SubHeading_lbo_long_model_Boston Power VD 01 31 2008 Model 02 26 2008 5" xfId="576" xr:uid="{00000000-0005-0000-0000-0000AF020000}"/>
    <cellStyle name="_SubHeading_lbo_long_model_Boston Power VD 01 31 2008 Model 02 26 2008_CompanyABC Valuation Draft Model 04 21 2009" xfId="577" xr:uid="{00000000-0005-0000-0000-0000B0020000}"/>
    <cellStyle name="_SubHeading_lbo_long_model_Boston Power VD 01 31 2008 Model 02 26 2008_CompanyABC Valuation Draft Model 04 21 2009 2" xfId="578" xr:uid="{00000000-0005-0000-0000-0000B1020000}"/>
    <cellStyle name="_SubHeading_lbo_long_model_Boston Power VD 01 31 2008 Model 02 26 2008_DB" xfId="579" xr:uid="{00000000-0005-0000-0000-0000B2020000}"/>
    <cellStyle name="_SubHeading_lbo_long_model_Boston Power VD 01 31 2008 Model 02 26 2008_DB 2" xfId="580" xr:uid="{00000000-0005-0000-0000-0000B3020000}"/>
    <cellStyle name="_SubHeading_lbo_long_model_Boston Power VD 01 31 2008 Model 02 26 2008_DB 2 2" xfId="581" xr:uid="{00000000-0005-0000-0000-0000B4020000}"/>
    <cellStyle name="_SubHeading_lbo_long_model_Boston Power VD 01 31 2008 Model 02 26 2008_FAS 157 Model Template 04 26 2009" xfId="582" xr:uid="{00000000-0005-0000-0000-0000B5020000}"/>
    <cellStyle name="_SubHeading_lbo_long_model_Boston Power VD 01 31 2008 Model 02 26 2008_FAS 157 Model Template 04 26 2009 2" xfId="583" xr:uid="{00000000-0005-0000-0000-0000B6020000}"/>
    <cellStyle name="_SubHeading_lbo_long_model_Boston Power VD 01 31 2008 Model 02 26 2008_Miragen VD 05 31 2008 Model 05 22 2009" xfId="584" xr:uid="{00000000-0005-0000-0000-0000B7020000}"/>
    <cellStyle name="_SubHeading_lbo_long_model_Cap Table Inputs" xfId="585" xr:uid="{00000000-0005-0000-0000-0000B8020000}"/>
    <cellStyle name="_SubHeading_lbo_long_model_Cap Table Inputs 2" xfId="586" xr:uid="{00000000-0005-0000-0000-0000B9020000}"/>
    <cellStyle name="_SubHeading_lbo_long_model_Cap Table Inputs 2 2" xfId="587" xr:uid="{00000000-0005-0000-0000-0000BA020000}"/>
    <cellStyle name="_SubHeading_lbo_long_model_Cap Table Inputs 3" xfId="588" xr:uid="{00000000-0005-0000-0000-0000BB020000}"/>
    <cellStyle name="_SubHeading_lbo_long_model_Cap Table Inputs 4" xfId="589" xr:uid="{00000000-0005-0000-0000-0000BC020000}"/>
    <cellStyle name="_SubHeading_lbo_long_model_Cap Table Inputs 5" xfId="590" xr:uid="{00000000-0005-0000-0000-0000BD020000}"/>
    <cellStyle name="_SubHeading_lbo_long_model_Cap Table Inputs_CompanyABC Valuation Draft Model 04 21 2009" xfId="591" xr:uid="{00000000-0005-0000-0000-0000BE020000}"/>
    <cellStyle name="_SubHeading_lbo_long_model_Cap Table Inputs_CompanyABC Valuation Draft Model 04 21 2009 2" xfId="592" xr:uid="{00000000-0005-0000-0000-0000BF020000}"/>
    <cellStyle name="_SubHeading_lbo_long_model_Cap Table Inputs_DB" xfId="593" xr:uid="{00000000-0005-0000-0000-0000C0020000}"/>
    <cellStyle name="_SubHeading_lbo_long_model_Cap Table Inputs_DB 2" xfId="594" xr:uid="{00000000-0005-0000-0000-0000C1020000}"/>
    <cellStyle name="_SubHeading_lbo_long_model_Cap Table Inputs_DB 2 2" xfId="595" xr:uid="{00000000-0005-0000-0000-0000C2020000}"/>
    <cellStyle name="_SubHeading_lbo_long_model_Cap Table Inputs_FAS 157 Model Template 04 26 2009" xfId="596" xr:uid="{00000000-0005-0000-0000-0000C3020000}"/>
    <cellStyle name="_SubHeading_lbo_long_model_Cap Table Inputs_FAS 157 Model Template 04 26 2009 2" xfId="597" xr:uid="{00000000-0005-0000-0000-0000C4020000}"/>
    <cellStyle name="_SubHeading_lbo_long_model_Cap Table Inputs_Miragen VD 05 31 2008 Model 05 22 2009" xfId="598" xr:uid="{00000000-0005-0000-0000-0000C5020000}"/>
    <cellStyle name="_SubHeading_lbo_long_model_CardioSolutions 05 31 2007 Final Model 09 27 2007" xfId="599" xr:uid="{00000000-0005-0000-0000-0000C6020000}"/>
    <cellStyle name="_SubHeading_lbo_long_model_CardioSolutions 05 31 2007 Final Model 09 27 2007 2" xfId="600" xr:uid="{00000000-0005-0000-0000-0000C7020000}"/>
    <cellStyle name="_SubHeading_lbo_long_model_CardioSolutions 05 31 2007 Final Model 09 27 2007 2 2" xfId="601" xr:uid="{00000000-0005-0000-0000-0000C8020000}"/>
    <cellStyle name="_SubHeading_lbo_long_model_CardioSolutions 05 31 2007 Final Model 09 27 2007 3" xfId="602" xr:uid="{00000000-0005-0000-0000-0000C9020000}"/>
    <cellStyle name="_SubHeading_lbo_long_model_CardioSolutions 05 31 2007 Final Model 09 27 2007 4" xfId="603" xr:uid="{00000000-0005-0000-0000-0000CA020000}"/>
    <cellStyle name="_SubHeading_lbo_long_model_CardioSolutions 05 31 2007 Final Model 09 27 2007 5" xfId="604" xr:uid="{00000000-0005-0000-0000-0000CB020000}"/>
    <cellStyle name="_SubHeading_lbo_long_model_CardioSolutions 05 31 2007 Final Model 09 27 2007_CompanyABC Valuation Draft Model 04 21 2009" xfId="605" xr:uid="{00000000-0005-0000-0000-0000CC020000}"/>
    <cellStyle name="_SubHeading_lbo_long_model_CardioSolutions 05 31 2007 Final Model 09 27 2007_CompanyABC Valuation Draft Model 04 21 2009 2" xfId="606" xr:uid="{00000000-0005-0000-0000-0000CD020000}"/>
    <cellStyle name="_SubHeading_lbo_long_model_CardioSolutions 05 31 2007 Final Model 09 27 2007_DB" xfId="607" xr:uid="{00000000-0005-0000-0000-0000CE020000}"/>
    <cellStyle name="_SubHeading_lbo_long_model_CardioSolutions 05 31 2007 Final Model 09 27 2007_DB 2" xfId="608" xr:uid="{00000000-0005-0000-0000-0000CF020000}"/>
    <cellStyle name="_SubHeading_lbo_long_model_CardioSolutions 05 31 2007 Final Model 09 27 2007_DB 2 2" xfId="609" xr:uid="{00000000-0005-0000-0000-0000D0020000}"/>
    <cellStyle name="_SubHeading_lbo_long_model_CardioSolutions 05 31 2007 Final Model 09 27 2007_FAS 157 Model Template 04 26 2009" xfId="610" xr:uid="{00000000-0005-0000-0000-0000D1020000}"/>
    <cellStyle name="_SubHeading_lbo_long_model_CardioSolutions 05 31 2007 Final Model 09 27 2007_FAS 157 Model Template 04 26 2009 2" xfId="611" xr:uid="{00000000-0005-0000-0000-0000D2020000}"/>
    <cellStyle name="_SubHeading_lbo_long_model_CardioSolutions 05 31 2007 Final Model 09 27 2007_Miragen VD 05 31 2008 Model 05 22 2009" xfId="612" xr:uid="{00000000-0005-0000-0000-0000D3020000}"/>
    <cellStyle name="_SubHeading_lbo_long_model_CardioSolutions VD 05 31 08 Draft Model 07 15 2008" xfId="613" xr:uid="{00000000-0005-0000-0000-0000D4020000}"/>
    <cellStyle name="_SubHeading_lbo_long_model_CardioSolutions VD 05 31 08 Draft Model 07 15 2008 2" xfId="614" xr:uid="{00000000-0005-0000-0000-0000D5020000}"/>
    <cellStyle name="_SubHeading_lbo_long_model_CardioSolutions VD 05 31 08 Draft Model 08 06 08-u" xfId="615" xr:uid="{00000000-0005-0000-0000-0000D6020000}"/>
    <cellStyle name="_SubHeading_lbo_long_model_CardioSolutions VD 05 31 08 Draft Model 08 06 08-u 2" xfId="616" xr:uid="{00000000-0005-0000-0000-0000D7020000}"/>
    <cellStyle name="_SubHeading_lbo_long_model_CompanyABC Valuation Draft Model 04 21 2009" xfId="617" xr:uid="{00000000-0005-0000-0000-0000D8020000}"/>
    <cellStyle name="_SubHeading_lbo_long_model_CompanyABC Valuation Draft Model 04 21 2009 2" xfId="618" xr:uid="{00000000-0005-0000-0000-0000D9020000}"/>
    <cellStyle name="_SubHeading_lbo_long_model_CompanyABC Valuation Model Draft 07 07 2008" xfId="619" xr:uid="{00000000-0005-0000-0000-0000DA020000}"/>
    <cellStyle name="_SubHeading_lbo_long_model_CompanyABC Valuation Model Draft 07 07 2008 2" xfId="620" xr:uid="{00000000-0005-0000-0000-0000DB020000}"/>
    <cellStyle name="_SubHeading_lbo_long_model_CompanyABC Valuation Model Draft 08 07 2008" xfId="621" xr:uid="{00000000-0005-0000-0000-0000DC020000}"/>
    <cellStyle name="_SubHeading_lbo_long_model_CompanyABC Valuation Model Draft 08 07 2008 2" xfId="622" xr:uid="{00000000-0005-0000-0000-0000DD020000}"/>
    <cellStyle name="_SubHeading_lbo_long_model_CompanyABC Valuation Model Draft 08 25 2008" xfId="623" xr:uid="{00000000-0005-0000-0000-0000DE020000}"/>
    <cellStyle name="_SubHeading_lbo_long_model_CompanyABC Valuation Model Draft 08 25 2008 2" xfId="624" xr:uid="{00000000-0005-0000-0000-0000DF020000}"/>
    <cellStyle name="_SubHeading_lbo_long_model_CompanyABC Valuation Model Draft 09 25 2008-Team Liquidity" xfId="625" xr:uid="{00000000-0005-0000-0000-0000E0020000}"/>
    <cellStyle name="_SubHeading_lbo_long_model_CompanyABC Valuation Model Draft 09 25 2008-Team Liquidity 2" xfId="626" xr:uid="{00000000-0005-0000-0000-0000E1020000}"/>
    <cellStyle name="_SubHeading_lbo_long_model_CompanyABC Valuation Model Draft 10 01 2008" xfId="627" xr:uid="{00000000-0005-0000-0000-0000E2020000}"/>
    <cellStyle name="_SubHeading_lbo_long_model_CompanyABC Valuation Model Draft 10 01 2008 2" xfId="628" xr:uid="{00000000-0005-0000-0000-0000E3020000}"/>
    <cellStyle name="_SubHeading_lbo_long_model_CompanyABC Valuation Model Draft 10 27 2008" xfId="629" xr:uid="{00000000-0005-0000-0000-0000E4020000}"/>
    <cellStyle name="_SubHeading_lbo_long_model_CompanyABC Valuation Model Draft 10 27 2008 2" xfId="630" xr:uid="{00000000-0005-0000-0000-0000E5020000}"/>
    <cellStyle name="_SubHeading_lbo_long_model_DB" xfId="631" xr:uid="{00000000-0005-0000-0000-0000E6020000}"/>
    <cellStyle name="_SubHeading_lbo_long_model_DB 2" xfId="632" xr:uid="{00000000-0005-0000-0000-0000E7020000}"/>
    <cellStyle name="_SubHeading_lbo_long_model_EXAMPLE model C-5" xfId="633" xr:uid="{00000000-0005-0000-0000-0000E8020000}"/>
    <cellStyle name="_SubHeading_lbo_long_model_EXAMPLE model C-5 2" xfId="634" xr:uid="{00000000-0005-0000-0000-0000E9020000}"/>
    <cellStyle name="_SubHeading_lbo_long_model_FAS 157 Model Template 04 26 2009" xfId="635" xr:uid="{00000000-0005-0000-0000-0000EA020000}"/>
    <cellStyle name="_SubHeading_lbo_long_model_FAS 157 Model Template 04 26 2009 2" xfId="636" xr:uid="{00000000-0005-0000-0000-0000EB020000}"/>
    <cellStyle name="_SubHeading_lbo_long_model_Great Call VD 09 30 08 Draft Model 11 20 08" xfId="637" xr:uid="{00000000-0005-0000-0000-0000EC020000}"/>
    <cellStyle name="_SubHeading_lbo_long_model_Great Call VD 09 30 08 Draft Model 11 20 08 2" xfId="638" xr:uid="{00000000-0005-0000-0000-0000ED020000}"/>
    <cellStyle name="_SubHeading_lbo_long_model_Intermedia, Inc. VD 05 31 08 Draft Model 07 16 2008" xfId="639" xr:uid="{00000000-0005-0000-0000-0000EE020000}"/>
    <cellStyle name="_SubHeading_lbo_long_model_Intermedia, Inc. VD 05 31 08 Draft Model 07 16 2008 2" xfId="640" xr:uid="{00000000-0005-0000-0000-0000EF020000}"/>
    <cellStyle name="_SubHeading_lbo_long_model_Island Data Corporatin VD 06 30 08 Projections and Comparables 08 11 2008" xfId="641" xr:uid="{00000000-0005-0000-0000-0000F0020000}"/>
    <cellStyle name="_SubHeading_lbo_long_model_Island Data Corporatin VD 06 30 08 Projections and Comparables 08 11 2008 2" xfId="642" xr:uid="{00000000-0005-0000-0000-0000F1020000}"/>
    <cellStyle name="_SubHeading_lbo_long_model_Jentro Tech VD 03 31 2008 Model 04 10 2008" xfId="643" xr:uid="{00000000-0005-0000-0000-0000F2020000}"/>
    <cellStyle name="_SubHeading_lbo_long_model_Jentro Tech VD 03 31 2008 Model 04 10 2008 2" xfId="644" xr:uid="{00000000-0005-0000-0000-0000F3020000}"/>
    <cellStyle name="_SubHeading_lbo_long_model_Kythera Biopharmaceuticals VD 05 16 08 Draft Analysis 07 01 08" xfId="645" xr:uid="{00000000-0005-0000-0000-0000F4020000}"/>
    <cellStyle name="_SubHeading_lbo_long_model_Kythera Biopharmaceuticals VD 05 16 08 Draft Analysis 07 01 08 2" xfId="646" xr:uid="{00000000-0005-0000-0000-0000F5020000}"/>
    <cellStyle name="_SubHeading_lbo_long_model_Kythera Biopharmaceuticals VD 05 16 08 Final Model 07 20 08" xfId="647" xr:uid="{00000000-0005-0000-0000-0000F6020000}"/>
    <cellStyle name="_SubHeading_lbo_long_model_Kythera Biopharmaceuticals VD 05 16 08 Final Model 07 20 08 2" xfId="648" xr:uid="{00000000-0005-0000-0000-0000F7020000}"/>
    <cellStyle name="_SubHeading_lbo_long_model_Kythera Biopharmaceuticals, Inc. VD 5 16 2008 Draft 5 24 2008" xfId="649" xr:uid="{00000000-0005-0000-0000-0000F8020000}"/>
    <cellStyle name="_SubHeading_lbo_long_model_Kythera Biopharmaceuticals, Inc. VD 5 16 2008 Draft 5 24 2008 2" xfId="650" xr:uid="{00000000-0005-0000-0000-0000F9020000}"/>
    <cellStyle name="_SubHeading_lbo_long_model_Miragen VD 05 31 2008 Model 05 22 2009" xfId="651" xr:uid="{00000000-0005-0000-0000-0000FA020000}"/>
    <cellStyle name="_SubHeading_lbo_long_model_Notes" xfId="652" xr:uid="{00000000-0005-0000-0000-0000FB020000}"/>
    <cellStyle name="_SubHeading_lbo_long_model_Notes 2" xfId="653" xr:uid="{00000000-0005-0000-0000-0000FC020000}"/>
    <cellStyle name="_SubHeading_lbo_long_model_OMT VD 10 15 2008 Draft Analysis 12 17 2008.xls" xfId="654" xr:uid="{00000000-0005-0000-0000-0000FD020000}"/>
    <cellStyle name="_SubHeading_lbo_long_model_PubComps IPO -C-7" xfId="655" xr:uid="{00000000-0005-0000-0000-0000FE020000}"/>
    <cellStyle name="_SubHeading_lbo_long_model_PubComps IPO -C-7 2" xfId="656" xr:uid="{00000000-0005-0000-0000-0000FF020000}"/>
    <cellStyle name="_SubHeading_lbo_long_model_Tmax Soft VD 07 31 2008 Draft Model 08 20 2008" xfId="657" xr:uid="{00000000-0005-0000-0000-000000030000}"/>
    <cellStyle name="_SubHeading_lbo_long_model_Tmax Soft VD 07 31 2008 Draft Model 08 20 2008 2" xfId="658" xr:uid="{00000000-0005-0000-0000-000001030000}"/>
    <cellStyle name="_SubHeading_lbo_long_model_WACC -E-2" xfId="659" xr:uid="{00000000-0005-0000-0000-000002030000}"/>
    <cellStyle name="_SubHeading_lbo_long_model_WACC -E-2 2" xfId="660" xr:uid="{00000000-0005-0000-0000-000003030000}"/>
    <cellStyle name="_SubHeading_lbo_long_model_Xmos Limited VD 05 13 2008  Model 06 04 08" xfId="661" xr:uid="{00000000-0005-0000-0000-000004030000}"/>
    <cellStyle name="_SubHeading_lbo_long_model_Xmos Limited VD 05 13 2008  Model 06 04 08 2" xfId="662" xr:uid="{00000000-0005-0000-0000-000005030000}"/>
    <cellStyle name="_SubHeading_prestemp" xfId="663" xr:uid="{00000000-0005-0000-0000-000006030000}"/>
    <cellStyle name="_SubHeading_prestemp 2" xfId="664" xr:uid="{00000000-0005-0000-0000-000007030000}"/>
    <cellStyle name="_SubHeading_prestemp 2 2" xfId="665" xr:uid="{00000000-0005-0000-0000-000008030000}"/>
    <cellStyle name="_SubHeading_prestemp 3" xfId="666" xr:uid="{00000000-0005-0000-0000-000009030000}"/>
    <cellStyle name="_SubHeading_prestemp 4" xfId="667" xr:uid="{00000000-0005-0000-0000-00000A030000}"/>
    <cellStyle name="_SubHeading_prestemp 5" xfId="668" xr:uid="{00000000-0005-0000-0000-00000B030000}"/>
    <cellStyle name="_SubHeading_prestemp_1" xfId="669" xr:uid="{00000000-0005-0000-0000-00000C030000}"/>
    <cellStyle name="_SubHeading_prestemp_1_Cyrela - Goldzstein - Financial Model - v1" xfId="670" xr:uid="{00000000-0005-0000-0000-00000D030000}"/>
    <cellStyle name="_SubHeading_prestemp_1_Cyrela - Goldzstein - Financial Model - v5" xfId="671" xr:uid="{00000000-0005-0000-0000-00000E030000}"/>
    <cellStyle name="_SubHeading_prestemp_1_Gas Natural - Financial Model - April 18 2008 - v1" xfId="672" xr:uid="{00000000-0005-0000-0000-00000F030000}"/>
    <cellStyle name="_SubHeading_prestemp_1_Gas Natural - Financial Model - April 18 2008 - v2" xfId="673" xr:uid="{00000000-0005-0000-0000-000010030000}"/>
    <cellStyle name="_SubHeading_prestemp_1_Gas Natural - Financial Model - May 20, 2009" xfId="674" xr:uid="{00000000-0005-0000-0000-000011030000}"/>
    <cellStyle name="_SubHeading_prestemp_1_Goldzstein Cyrela - Financial Model - v7" xfId="675" xr:uid="{00000000-0005-0000-0000-000012030000}"/>
    <cellStyle name="_SubHeading_prestemp_1_Grupo Ibmec - Financial Model - v2" xfId="676" xr:uid="{00000000-0005-0000-0000-000013030000}"/>
    <cellStyle name="_SubHeading_prestemp_1_Grupo Ibmec - Financial Model - v5" xfId="677" xr:uid="{00000000-0005-0000-0000-000014030000}"/>
    <cellStyle name="_SubHeading_prestemp_1_Independencia - Financial Model - Dec 02 2008 - v3" xfId="678" xr:uid="{00000000-0005-0000-0000-000015030000}"/>
    <cellStyle name="_SubHeading_prestemp_1_Independencia - Financial Model - Nov 24 2008" xfId="679" xr:uid="{00000000-0005-0000-0000-000016030000}"/>
    <cellStyle name="_SubHeading_prestemp_1_Medley_Financial_Model_v5" xfId="680" xr:uid="{00000000-0005-0000-0000-000017030000}"/>
    <cellStyle name="_SubHeading_prestemp_1_Medley_Financial_Model_v5_Ubiquiti Ownership Table" xfId="681" xr:uid="{00000000-0005-0000-0000-000018030000}"/>
    <cellStyle name="_SubHeading_prestemp_1_Project Emet - Forecasts" xfId="682" xr:uid="{00000000-0005-0000-0000-000019030000}"/>
    <cellStyle name="_SubHeading_prestemp_1_Rumo_Financial_Model_05jun2009_v1" xfId="683" xr:uid="{00000000-0005-0000-0000-00001A030000}"/>
    <cellStyle name="_SubHeading_prestemp_1_Rumo_Financial_Model_05jun2009_v4" xfId="684" xr:uid="{00000000-0005-0000-0000-00001B030000}"/>
    <cellStyle name="_SubHeading_prestemp_1_Rumo_Financial_Model_05jun2009_v5" xfId="685" xr:uid="{00000000-0005-0000-0000-00001C030000}"/>
    <cellStyle name="_SubHeading_prestemp_1_Rumo_Financial_Model_05jun2009_v6" xfId="686" xr:uid="{00000000-0005-0000-0000-00001D030000}"/>
    <cellStyle name="_SubHeading_prestemp_1_SCPC_Financial_Model_10jun2009_v2" xfId="687" xr:uid="{00000000-0005-0000-0000-00001E030000}"/>
    <cellStyle name="_SubHeading_prestemp_1_SCPC_Financial_Model_17jun2009_v5" xfId="688" xr:uid="{00000000-0005-0000-0000-00001F030000}"/>
    <cellStyle name="_SubHeading_prestemp_Anaphore 12 31 2008 Draft Analysis 02 19 2009" xfId="689" xr:uid="{00000000-0005-0000-0000-000020030000}"/>
    <cellStyle name="_SubHeading_prestemp_Anaphore 12 31 2008 Draft Analysis 02 20 2009 - DM REVISED" xfId="690" xr:uid="{00000000-0005-0000-0000-000021030000}"/>
    <cellStyle name="_SubHeading_prestemp_Book2" xfId="691" xr:uid="{00000000-0005-0000-0000-000022030000}"/>
    <cellStyle name="_SubHeading_prestemp_Book2 2" xfId="692" xr:uid="{00000000-0005-0000-0000-000023030000}"/>
    <cellStyle name="_SubHeading_prestemp_Boston Power VD 01 31 2008 Model 02 26 2008" xfId="693" xr:uid="{00000000-0005-0000-0000-000024030000}"/>
    <cellStyle name="_SubHeading_prestemp_Boston Power VD 01 31 2008 Model 02 26 2008 2" xfId="694" xr:uid="{00000000-0005-0000-0000-000025030000}"/>
    <cellStyle name="_SubHeading_prestemp_Boston Power VD 01 31 2008 Model 02 26 2008 2 2" xfId="695" xr:uid="{00000000-0005-0000-0000-000026030000}"/>
    <cellStyle name="_SubHeading_prestemp_Boston Power VD 01 31 2008 Model 02 26 2008 3" xfId="696" xr:uid="{00000000-0005-0000-0000-000027030000}"/>
    <cellStyle name="_SubHeading_prestemp_Boston Power VD 01 31 2008 Model 02 26 2008 4" xfId="697" xr:uid="{00000000-0005-0000-0000-000028030000}"/>
    <cellStyle name="_SubHeading_prestemp_Boston Power VD 01 31 2008 Model 02 26 2008 5" xfId="698" xr:uid="{00000000-0005-0000-0000-000029030000}"/>
    <cellStyle name="_SubHeading_prestemp_Boston Power VD 01 31 2008 Model 02 26 2008_CompanyABC Valuation Draft Model 04 21 2009" xfId="699" xr:uid="{00000000-0005-0000-0000-00002A030000}"/>
    <cellStyle name="_SubHeading_prestemp_Boston Power VD 01 31 2008 Model 02 26 2008_CompanyABC Valuation Draft Model 04 21 2009 2" xfId="700" xr:uid="{00000000-0005-0000-0000-00002B030000}"/>
    <cellStyle name="_SubHeading_prestemp_Boston Power VD 01 31 2008 Model 02 26 2008_DB" xfId="701" xr:uid="{00000000-0005-0000-0000-00002C030000}"/>
    <cellStyle name="_SubHeading_prestemp_Boston Power VD 01 31 2008 Model 02 26 2008_DB 2" xfId="702" xr:uid="{00000000-0005-0000-0000-00002D030000}"/>
    <cellStyle name="_SubHeading_prestemp_Boston Power VD 01 31 2008 Model 02 26 2008_DB 2 2" xfId="703" xr:uid="{00000000-0005-0000-0000-00002E030000}"/>
    <cellStyle name="_SubHeading_prestemp_Boston Power VD 01 31 2008 Model 02 26 2008_FAS 157 Model Template 04 26 2009" xfId="704" xr:uid="{00000000-0005-0000-0000-00002F030000}"/>
    <cellStyle name="_SubHeading_prestemp_Boston Power VD 01 31 2008 Model 02 26 2008_FAS 157 Model Template 04 26 2009 2" xfId="705" xr:uid="{00000000-0005-0000-0000-000030030000}"/>
    <cellStyle name="_SubHeading_prestemp_Boston Power VD 01 31 2008 Model 02 26 2008_Miragen VD 05 31 2008 Model 05 22 2009" xfId="706" xr:uid="{00000000-0005-0000-0000-000031030000}"/>
    <cellStyle name="_SubHeading_prestemp_Cap Table Inputs" xfId="707" xr:uid="{00000000-0005-0000-0000-000032030000}"/>
    <cellStyle name="_SubHeading_prestemp_Cap Table Inputs 2" xfId="708" xr:uid="{00000000-0005-0000-0000-000033030000}"/>
    <cellStyle name="_SubHeading_prestemp_Cap Table Inputs 2 2" xfId="709" xr:uid="{00000000-0005-0000-0000-000034030000}"/>
    <cellStyle name="_SubHeading_prestemp_Cap Table Inputs 3" xfId="710" xr:uid="{00000000-0005-0000-0000-000035030000}"/>
    <cellStyle name="_SubHeading_prestemp_Cap Table Inputs 4" xfId="711" xr:uid="{00000000-0005-0000-0000-000036030000}"/>
    <cellStyle name="_SubHeading_prestemp_Cap Table Inputs 5" xfId="712" xr:uid="{00000000-0005-0000-0000-000037030000}"/>
    <cellStyle name="_SubHeading_prestemp_Cap Table Inputs_CompanyABC Valuation Draft Model 04 21 2009" xfId="713" xr:uid="{00000000-0005-0000-0000-000038030000}"/>
    <cellStyle name="_SubHeading_prestemp_Cap Table Inputs_CompanyABC Valuation Draft Model 04 21 2009 2" xfId="714" xr:uid="{00000000-0005-0000-0000-000039030000}"/>
    <cellStyle name="_SubHeading_prestemp_Cap Table Inputs_DB" xfId="715" xr:uid="{00000000-0005-0000-0000-00003A030000}"/>
    <cellStyle name="_SubHeading_prestemp_Cap Table Inputs_DB 2" xfId="716" xr:uid="{00000000-0005-0000-0000-00003B030000}"/>
    <cellStyle name="_SubHeading_prestemp_Cap Table Inputs_DB 2 2" xfId="717" xr:uid="{00000000-0005-0000-0000-00003C030000}"/>
    <cellStyle name="_SubHeading_prestemp_Cap Table Inputs_FAS 157 Model Template 04 26 2009" xfId="718" xr:uid="{00000000-0005-0000-0000-00003D030000}"/>
    <cellStyle name="_SubHeading_prestemp_Cap Table Inputs_FAS 157 Model Template 04 26 2009 2" xfId="719" xr:uid="{00000000-0005-0000-0000-00003E030000}"/>
    <cellStyle name="_SubHeading_prestemp_Cap Table Inputs_Miragen VD 05 31 2008 Model 05 22 2009" xfId="720" xr:uid="{00000000-0005-0000-0000-00003F030000}"/>
    <cellStyle name="_SubHeading_prestemp_CardioSolutions 05 31 2007 Final Model 09 27 2007" xfId="721" xr:uid="{00000000-0005-0000-0000-000040030000}"/>
    <cellStyle name="_SubHeading_prestemp_CardioSolutions 05 31 2007 Final Model 09 27 2007 2" xfId="722" xr:uid="{00000000-0005-0000-0000-000041030000}"/>
    <cellStyle name="_SubHeading_prestemp_CardioSolutions 05 31 2007 Final Model 09 27 2007 2 2" xfId="723" xr:uid="{00000000-0005-0000-0000-000042030000}"/>
    <cellStyle name="_SubHeading_prestemp_CardioSolutions 05 31 2007 Final Model 09 27 2007 3" xfId="724" xr:uid="{00000000-0005-0000-0000-000043030000}"/>
    <cellStyle name="_SubHeading_prestemp_CardioSolutions 05 31 2007 Final Model 09 27 2007 4" xfId="725" xr:uid="{00000000-0005-0000-0000-000044030000}"/>
    <cellStyle name="_SubHeading_prestemp_CardioSolutions 05 31 2007 Final Model 09 27 2007 5" xfId="726" xr:uid="{00000000-0005-0000-0000-000045030000}"/>
    <cellStyle name="_SubHeading_prestemp_CardioSolutions 05 31 2007 Final Model 09 27 2007_CompanyABC Valuation Draft Model 04 21 2009" xfId="727" xr:uid="{00000000-0005-0000-0000-000046030000}"/>
    <cellStyle name="_SubHeading_prestemp_CardioSolutions 05 31 2007 Final Model 09 27 2007_CompanyABC Valuation Draft Model 04 21 2009 2" xfId="728" xr:uid="{00000000-0005-0000-0000-000047030000}"/>
    <cellStyle name="_SubHeading_prestemp_CardioSolutions 05 31 2007 Final Model 09 27 2007_DB" xfId="729" xr:uid="{00000000-0005-0000-0000-000048030000}"/>
    <cellStyle name="_SubHeading_prestemp_CardioSolutions 05 31 2007 Final Model 09 27 2007_DB 2" xfId="730" xr:uid="{00000000-0005-0000-0000-000049030000}"/>
    <cellStyle name="_SubHeading_prestemp_CardioSolutions 05 31 2007 Final Model 09 27 2007_DB 2 2" xfId="731" xr:uid="{00000000-0005-0000-0000-00004A030000}"/>
    <cellStyle name="_SubHeading_prestemp_CardioSolutions 05 31 2007 Final Model 09 27 2007_FAS 157 Model Template 04 26 2009" xfId="732" xr:uid="{00000000-0005-0000-0000-00004B030000}"/>
    <cellStyle name="_SubHeading_prestemp_CardioSolutions 05 31 2007 Final Model 09 27 2007_FAS 157 Model Template 04 26 2009 2" xfId="733" xr:uid="{00000000-0005-0000-0000-00004C030000}"/>
    <cellStyle name="_SubHeading_prestemp_CardioSolutions 05 31 2007 Final Model 09 27 2007_Miragen VD 05 31 2008 Model 05 22 2009" xfId="734" xr:uid="{00000000-0005-0000-0000-00004D030000}"/>
    <cellStyle name="_SubHeading_prestemp_CardioSolutions VD 05 31 08 Draft Model 07 15 2008" xfId="735" xr:uid="{00000000-0005-0000-0000-00004E030000}"/>
    <cellStyle name="_SubHeading_prestemp_CardioSolutions VD 05 31 08 Draft Model 07 15 2008 2" xfId="736" xr:uid="{00000000-0005-0000-0000-00004F030000}"/>
    <cellStyle name="_SubHeading_prestemp_CardioSolutions VD 05 31 08 Draft Model 08 06 08-u" xfId="737" xr:uid="{00000000-0005-0000-0000-000050030000}"/>
    <cellStyle name="_SubHeading_prestemp_CardioSolutions VD 05 31 08 Draft Model 08 06 08-u 2" xfId="738" xr:uid="{00000000-0005-0000-0000-000051030000}"/>
    <cellStyle name="_SubHeading_prestemp_CompanyABC Valuation Draft Model 04 21 2009" xfId="739" xr:uid="{00000000-0005-0000-0000-000052030000}"/>
    <cellStyle name="_SubHeading_prestemp_CompanyABC Valuation Draft Model 04 21 2009 2" xfId="740" xr:uid="{00000000-0005-0000-0000-000053030000}"/>
    <cellStyle name="_SubHeading_prestemp_CompanyABC Valuation Model Draft 07 07 2008" xfId="741" xr:uid="{00000000-0005-0000-0000-000054030000}"/>
    <cellStyle name="_SubHeading_prestemp_CompanyABC Valuation Model Draft 07 07 2008 2" xfId="742" xr:uid="{00000000-0005-0000-0000-000055030000}"/>
    <cellStyle name="_SubHeading_prestemp_CompanyABC Valuation Model Draft 08 07 2008" xfId="743" xr:uid="{00000000-0005-0000-0000-000056030000}"/>
    <cellStyle name="_SubHeading_prestemp_CompanyABC Valuation Model Draft 08 07 2008 2" xfId="744" xr:uid="{00000000-0005-0000-0000-000057030000}"/>
    <cellStyle name="_SubHeading_prestemp_CompanyABC Valuation Model Draft 08 25 2008" xfId="745" xr:uid="{00000000-0005-0000-0000-000058030000}"/>
    <cellStyle name="_SubHeading_prestemp_CompanyABC Valuation Model Draft 08 25 2008 2" xfId="746" xr:uid="{00000000-0005-0000-0000-000059030000}"/>
    <cellStyle name="_SubHeading_prestemp_CompanyABC Valuation Model Draft 09 25 2008-Team Liquidity" xfId="747" xr:uid="{00000000-0005-0000-0000-00005A030000}"/>
    <cellStyle name="_SubHeading_prestemp_CompanyABC Valuation Model Draft 09 25 2008-Team Liquidity 2" xfId="748" xr:uid="{00000000-0005-0000-0000-00005B030000}"/>
    <cellStyle name="_SubHeading_prestemp_CompanyABC Valuation Model Draft 10 01 2008" xfId="749" xr:uid="{00000000-0005-0000-0000-00005C030000}"/>
    <cellStyle name="_SubHeading_prestemp_CompanyABC Valuation Model Draft 10 01 2008 2" xfId="750" xr:uid="{00000000-0005-0000-0000-00005D030000}"/>
    <cellStyle name="_SubHeading_prestemp_CompanyABC Valuation Model Draft 10 27 2008" xfId="751" xr:uid="{00000000-0005-0000-0000-00005E030000}"/>
    <cellStyle name="_SubHeading_prestemp_CompanyABC Valuation Model Draft 10 27 2008 2" xfId="752" xr:uid="{00000000-0005-0000-0000-00005F030000}"/>
    <cellStyle name="_SubHeading_prestemp_DB" xfId="753" xr:uid="{00000000-0005-0000-0000-000060030000}"/>
    <cellStyle name="_SubHeading_prestemp_DB 2" xfId="754" xr:uid="{00000000-0005-0000-0000-000061030000}"/>
    <cellStyle name="_SubHeading_prestemp_EXAMPLE model C-5" xfId="755" xr:uid="{00000000-0005-0000-0000-000062030000}"/>
    <cellStyle name="_SubHeading_prestemp_EXAMPLE model C-5 2" xfId="756" xr:uid="{00000000-0005-0000-0000-000063030000}"/>
    <cellStyle name="_SubHeading_prestemp_FAS 157 Model Template 04 26 2009" xfId="757" xr:uid="{00000000-0005-0000-0000-000064030000}"/>
    <cellStyle name="_SubHeading_prestemp_FAS 157 Model Template 04 26 2009 2" xfId="758" xr:uid="{00000000-0005-0000-0000-000065030000}"/>
    <cellStyle name="_SubHeading_prestemp_Great Call VD 09 30 08 Draft Model 11 20 08" xfId="759" xr:uid="{00000000-0005-0000-0000-000066030000}"/>
    <cellStyle name="_SubHeading_prestemp_Great Call VD 09 30 08 Draft Model 11 20 08 2" xfId="760" xr:uid="{00000000-0005-0000-0000-000067030000}"/>
    <cellStyle name="_SubHeading_prestemp_Intermedia, Inc. VD 05 31 08 Draft Model 07 16 2008" xfId="761" xr:uid="{00000000-0005-0000-0000-000068030000}"/>
    <cellStyle name="_SubHeading_prestemp_Intermedia, Inc. VD 05 31 08 Draft Model 07 16 2008 2" xfId="762" xr:uid="{00000000-0005-0000-0000-000069030000}"/>
    <cellStyle name="_SubHeading_prestemp_Island Data Corporatin VD 06 30 08 Projections and Comparables 08 11 2008" xfId="763" xr:uid="{00000000-0005-0000-0000-00006A030000}"/>
    <cellStyle name="_SubHeading_prestemp_Island Data Corporatin VD 06 30 08 Projections and Comparables 08 11 2008 2" xfId="764" xr:uid="{00000000-0005-0000-0000-00006B030000}"/>
    <cellStyle name="_SubHeading_prestemp_Jentro Tech VD 03 31 2008 Model 04 10 2008" xfId="765" xr:uid="{00000000-0005-0000-0000-00006C030000}"/>
    <cellStyle name="_SubHeading_prestemp_Jentro Tech VD 03 31 2008 Model 04 10 2008 2" xfId="766" xr:uid="{00000000-0005-0000-0000-00006D030000}"/>
    <cellStyle name="_SubHeading_prestemp_Kythera Biopharmaceuticals VD 05 16 08 Draft Analysis 07 01 08" xfId="767" xr:uid="{00000000-0005-0000-0000-00006E030000}"/>
    <cellStyle name="_SubHeading_prestemp_Kythera Biopharmaceuticals VD 05 16 08 Draft Analysis 07 01 08 2" xfId="768" xr:uid="{00000000-0005-0000-0000-00006F030000}"/>
    <cellStyle name="_SubHeading_prestemp_Kythera Biopharmaceuticals VD 05 16 08 Final Model 07 20 08" xfId="769" xr:uid="{00000000-0005-0000-0000-000070030000}"/>
    <cellStyle name="_SubHeading_prestemp_Kythera Biopharmaceuticals VD 05 16 08 Final Model 07 20 08 2" xfId="770" xr:uid="{00000000-0005-0000-0000-000071030000}"/>
    <cellStyle name="_SubHeading_prestemp_Kythera Biopharmaceuticals, Inc. VD 5 16 2008 Draft 5 24 2008" xfId="771" xr:uid="{00000000-0005-0000-0000-000072030000}"/>
    <cellStyle name="_SubHeading_prestemp_Kythera Biopharmaceuticals, Inc. VD 5 16 2008 Draft 5 24 2008 2" xfId="772" xr:uid="{00000000-0005-0000-0000-000073030000}"/>
    <cellStyle name="_SubHeading_prestemp_Miragen VD 05 31 2008 Model 05 22 2009" xfId="773" xr:uid="{00000000-0005-0000-0000-000074030000}"/>
    <cellStyle name="_SubHeading_prestemp_Notes" xfId="774" xr:uid="{00000000-0005-0000-0000-000075030000}"/>
    <cellStyle name="_SubHeading_prestemp_Notes 2" xfId="775" xr:uid="{00000000-0005-0000-0000-000076030000}"/>
    <cellStyle name="_SubHeading_prestemp_OMT VD 10 15 2008 Draft Analysis 12 17 2008.xls" xfId="776" xr:uid="{00000000-0005-0000-0000-000077030000}"/>
    <cellStyle name="_SubHeading_prestemp_PubComps IPO -C-7" xfId="777" xr:uid="{00000000-0005-0000-0000-000078030000}"/>
    <cellStyle name="_SubHeading_prestemp_PubComps IPO -C-7 2" xfId="778" xr:uid="{00000000-0005-0000-0000-000079030000}"/>
    <cellStyle name="_SubHeading_prestemp_Tmax Soft VD 07 31 2008 Draft Model 08 20 2008" xfId="779" xr:uid="{00000000-0005-0000-0000-00007A030000}"/>
    <cellStyle name="_SubHeading_prestemp_Tmax Soft VD 07 31 2008 Draft Model 08 20 2008 2" xfId="780" xr:uid="{00000000-0005-0000-0000-00007B030000}"/>
    <cellStyle name="_SubHeading_prestemp_WACC -E-2" xfId="781" xr:uid="{00000000-0005-0000-0000-00007C030000}"/>
    <cellStyle name="_SubHeading_prestemp_WACC -E-2 2" xfId="782" xr:uid="{00000000-0005-0000-0000-00007D030000}"/>
    <cellStyle name="_SubHeading_prestemp_Xmos Limited VD 05 13 2008  Model 06 04 08" xfId="783" xr:uid="{00000000-0005-0000-0000-00007E030000}"/>
    <cellStyle name="_SubHeading_prestemp_Xmos Limited VD 05 13 2008  Model 06 04 08 2" xfId="784" xr:uid="{00000000-0005-0000-0000-00007F030000}"/>
    <cellStyle name="_Table" xfId="785" xr:uid="{00000000-0005-0000-0000-000080030000}"/>
    <cellStyle name="_Table 2" xfId="786" xr:uid="{00000000-0005-0000-0000-000081030000}"/>
    <cellStyle name="_Table__DCF Template" xfId="787" xr:uid="{00000000-0005-0000-0000-000082030000}"/>
    <cellStyle name="_Table__DCF Template 2" xfId="788" xr:uid="{00000000-0005-0000-0000-000083030000}"/>
    <cellStyle name="_Table__DCF Template 2 2" xfId="16388" xr:uid="{00000000-0005-0000-0000-000084030000}"/>
    <cellStyle name="_Table__DCF Template 3" xfId="16387" xr:uid="{00000000-0005-0000-0000-000085030000}"/>
    <cellStyle name="_Table_04 Alaska Model 2002-05-31 GS" xfId="789" xr:uid="{00000000-0005-0000-0000-000086030000}"/>
    <cellStyle name="_Table_04 Alaska Model 2002-05-31 GS 2" xfId="790" xr:uid="{00000000-0005-0000-0000-000087030000}"/>
    <cellStyle name="_Table_04 Alaska Model 2002-05-31 GS 2 2" xfId="16390" xr:uid="{00000000-0005-0000-0000-000088030000}"/>
    <cellStyle name="_Table_04 Alaska Model 2002-05-31 GS 3" xfId="16389" xr:uid="{00000000-0005-0000-0000-000089030000}"/>
    <cellStyle name="_Table_Book3" xfId="791" xr:uid="{00000000-0005-0000-0000-00008A030000}"/>
    <cellStyle name="_Table_Dividend Template" xfId="792" xr:uid="{00000000-0005-0000-0000-00008B030000}"/>
    <cellStyle name="_Table_Pro-Forma Financials" xfId="793" xr:uid="{00000000-0005-0000-0000-00008C030000}"/>
    <cellStyle name="_Table_Pro-Forma Spin-off" xfId="794" xr:uid="{00000000-0005-0000-0000-00008D030000}"/>
    <cellStyle name="_TableHead" xfId="795" xr:uid="{00000000-0005-0000-0000-00008E030000}"/>
    <cellStyle name="_TableHead 2" xfId="796" xr:uid="{00000000-0005-0000-0000-00008F030000}"/>
    <cellStyle name="_TableHead_Cable_Industry Overview5" xfId="797" xr:uid="{00000000-0005-0000-0000-000090030000}"/>
    <cellStyle name="_TableHead_Cable_Industry Overview5 2" xfId="798" xr:uid="{00000000-0005-0000-0000-000091030000}"/>
    <cellStyle name="_TableHead_Gelco Model" xfId="799" xr:uid="{00000000-0005-0000-0000-000092030000}"/>
    <cellStyle name="_TableHead_Gelco Model 2" xfId="800" xr:uid="{00000000-0005-0000-0000-000093030000}"/>
    <cellStyle name="_TableHead_Summary" xfId="801" xr:uid="{00000000-0005-0000-0000-000094030000}"/>
    <cellStyle name="_TableHead_Summary 2" xfId="802" xr:uid="{00000000-0005-0000-0000-000095030000}"/>
    <cellStyle name="_TableHead_Yield Tables" xfId="803" xr:uid="{00000000-0005-0000-0000-000096030000}"/>
    <cellStyle name="_TableHead_Yield Tables 2" xfId="804" xr:uid="{00000000-0005-0000-0000-000097030000}"/>
    <cellStyle name="_TableHeading" xfId="16326" xr:uid="{00000000-0005-0000-0000-000098030000}"/>
    <cellStyle name="_TableRowBorder" xfId="16327" xr:uid="{00000000-0005-0000-0000-000099030000}"/>
    <cellStyle name="_TableRowHead" xfId="805" xr:uid="{00000000-0005-0000-0000-00009A030000}"/>
    <cellStyle name="_TableRowHead 2" xfId="806" xr:uid="{00000000-0005-0000-0000-00009B030000}"/>
    <cellStyle name="_TableRowHead_Gelco Model" xfId="807" xr:uid="{00000000-0005-0000-0000-00009C030000}"/>
    <cellStyle name="_TableRowHead_Gelco Model 2" xfId="808" xr:uid="{00000000-0005-0000-0000-00009D030000}"/>
    <cellStyle name="_TableRowHead_Summary" xfId="809" xr:uid="{00000000-0005-0000-0000-00009E030000}"/>
    <cellStyle name="_TableRowHead_Summary 2" xfId="810" xr:uid="{00000000-0005-0000-0000-00009F030000}"/>
    <cellStyle name="_TableRowHeading" xfId="16328" xr:uid="{00000000-0005-0000-0000-0000A0030000}"/>
    <cellStyle name="_TableSuperHead" xfId="811" xr:uid="{00000000-0005-0000-0000-0000A1030000}"/>
    <cellStyle name="_TableSuperHead 2" xfId="812" xr:uid="{00000000-0005-0000-0000-0000A2030000}"/>
    <cellStyle name="_TableSuperHead__DCF Template" xfId="813" xr:uid="{00000000-0005-0000-0000-0000A3030000}"/>
    <cellStyle name="_TableSuperHead_04 Alaska Model 2002-05-31 GS" xfId="814" xr:uid="{00000000-0005-0000-0000-0000A4030000}"/>
    <cellStyle name="_TableSuperHead_Book3" xfId="815" xr:uid="{00000000-0005-0000-0000-0000A5030000}"/>
    <cellStyle name="_TableSuperHead_Cable_Industry Overview5" xfId="816" xr:uid="{00000000-0005-0000-0000-0000A6030000}"/>
    <cellStyle name="_TableSuperHead_Cable_Industry Overview5 2" xfId="817" xr:uid="{00000000-0005-0000-0000-0000A7030000}"/>
    <cellStyle name="_TableSuperHead_Dividend Template" xfId="818" xr:uid="{00000000-0005-0000-0000-0000A8030000}"/>
    <cellStyle name="_TableSuperHead_Gelco Model" xfId="819" xr:uid="{00000000-0005-0000-0000-0000A9030000}"/>
    <cellStyle name="_TableSuperHead_Gelco Model 2" xfId="820" xr:uid="{00000000-0005-0000-0000-0000AA030000}"/>
    <cellStyle name="_TableSuperHead_Pro-Forma Financials" xfId="821" xr:uid="{00000000-0005-0000-0000-0000AB030000}"/>
    <cellStyle name="_TableSuperHead_Pro-Forma Spin-off" xfId="822" xr:uid="{00000000-0005-0000-0000-0000AC030000}"/>
    <cellStyle name="_TableSuperHead_Summary" xfId="823" xr:uid="{00000000-0005-0000-0000-0000AD030000}"/>
    <cellStyle name="_TableSuperHead_Summary 2" xfId="824" xr:uid="{00000000-0005-0000-0000-0000AE030000}"/>
    <cellStyle name="_TableSuperHead_Yield Tables" xfId="825" xr:uid="{00000000-0005-0000-0000-0000AF030000}"/>
    <cellStyle name="_TableSuperHead_Yield Tables 2" xfId="826" xr:uid="{00000000-0005-0000-0000-0000B0030000}"/>
    <cellStyle name="_TableSuperHeading" xfId="16329" xr:uid="{00000000-0005-0000-0000-0000B1030000}"/>
    <cellStyle name="_TableText" xfId="16330" xr:uid="{00000000-0005-0000-0000-0000B2030000}"/>
    <cellStyle name="_Tax Provision 2-1-07 sent to KPMG" xfId="827" xr:uid="{00000000-0005-0000-0000-0000B3030000}"/>
    <cellStyle name="_TDI1602 Non-Food Retail Historic Transactions 060428" xfId="828" xr:uid="{00000000-0005-0000-0000-0000B4030000}"/>
    <cellStyle name="_TDI1602 Non-Food Retail Historic Transactions 060428_Medley_Financial_Model_v5" xfId="829" xr:uid="{00000000-0005-0000-0000-0000B5030000}"/>
    <cellStyle name="_TDI2246 Chemical Comps 061019" xfId="830" xr:uid="{00000000-0005-0000-0000-0000B6030000}"/>
    <cellStyle name="_TDI2246 Chemical Comps 061019_Medley_Financial_Model_v5" xfId="831" xr:uid="{00000000-0005-0000-0000-0000B7030000}"/>
    <cellStyle name="_TDU757 Fintech Comps 070227" xfId="832" xr:uid="{00000000-0005-0000-0000-0000B8030000}"/>
    <cellStyle name="_TDU757 Fintech Comps 070227_Cyrela - Goldzstein - Financial Model - v1" xfId="833" xr:uid="{00000000-0005-0000-0000-0000B9030000}"/>
    <cellStyle name="_TDU757 Fintech Comps 070227_Cyrela - Goldzstein - Financial Model - v5" xfId="834" xr:uid="{00000000-0005-0000-0000-0000BA030000}"/>
    <cellStyle name="_TDU757 Fintech Comps 070227_Gas Natural - Financial Model - April 18 2008 - v1" xfId="835" xr:uid="{00000000-0005-0000-0000-0000BB030000}"/>
    <cellStyle name="_TDU757 Fintech Comps 070227_Gas Natural - Financial Model - April 18 2008 - v2" xfId="836" xr:uid="{00000000-0005-0000-0000-0000BC030000}"/>
    <cellStyle name="_TDU757 Fintech Comps 070227_Gas Natural - Financial Model - May 20, 2009" xfId="837" xr:uid="{00000000-0005-0000-0000-0000BD030000}"/>
    <cellStyle name="_TDU757 Fintech Comps 070227_Goldzstein Cyrela - Financial Model - v7" xfId="838" xr:uid="{00000000-0005-0000-0000-0000BE030000}"/>
    <cellStyle name="_TDU757 Fintech Comps 070227_Grupo Ibmec - Financial Model - v2" xfId="839" xr:uid="{00000000-0005-0000-0000-0000BF030000}"/>
    <cellStyle name="_TDU757 Fintech Comps 070227_Grupo Ibmec - Financial Model - v5" xfId="840" xr:uid="{00000000-0005-0000-0000-0000C0030000}"/>
    <cellStyle name="_TDU757 Fintech Comps 070227_Independencia - Financial Model - Dec 02 2008 - v3" xfId="841" xr:uid="{00000000-0005-0000-0000-0000C1030000}"/>
    <cellStyle name="_TDU757 Fintech Comps 070227_Independencia - Financial Model - Nov 24 2008" xfId="842" xr:uid="{00000000-0005-0000-0000-0000C2030000}"/>
    <cellStyle name="_TDU757 Fintech Comps 070227_Medley_Financial_Model_v5" xfId="843" xr:uid="{00000000-0005-0000-0000-0000C3030000}"/>
    <cellStyle name="_TDU757 Fintech Comps 070227_Project Emet - Forecasts" xfId="844" xr:uid="{00000000-0005-0000-0000-0000C4030000}"/>
    <cellStyle name="_TDU757 Fintech Comps 070227_Rumo_Financial_Model_05jun2009_v1" xfId="845" xr:uid="{00000000-0005-0000-0000-0000C5030000}"/>
    <cellStyle name="_TDU757 Fintech Comps 070227_Rumo_Financial_Model_05jun2009_v4" xfId="846" xr:uid="{00000000-0005-0000-0000-0000C6030000}"/>
    <cellStyle name="_TDU757 Fintech Comps 070227_Rumo_Financial_Model_05jun2009_v5" xfId="847" xr:uid="{00000000-0005-0000-0000-0000C7030000}"/>
    <cellStyle name="_TDU757 Fintech Comps 070227_Rumo_Financial_Model_05jun2009_v6" xfId="848" xr:uid="{00000000-0005-0000-0000-0000C8030000}"/>
    <cellStyle name="_TDU757 Fintech Comps 070227_SCPC_Financial_Model_10jun2009_v2" xfId="849" xr:uid="{00000000-0005-0000-0000-0000C9030000}"/>
    <cellStyle name="_TDU757 Fintech Comps 070227_SCPC_Financial_Model_17jun2009_v5" xfId="850" xr:uid="{00000000-0005-0000-0000-0000CA030000}"/>
    <cellStyle name="_TDU769 Aluminium Comps Database 070303" xfId="851" xr:uid="{00000000-0005-0000-0000-0000CB030000}"/>
    <cellStyle name="_TDU769 Aluminium Comps Database 070303_Medley_Financial_Model_v5" xfId="852" xr:uid="{00000000-0005-0000-0000-0000CC030000}"/>
    <cellStyle name="_Veeco SFAS 142 &amp; 144 - Oct 2004 - v11" xfId="853" xr:uid="{00000000-0005-0000-0000-0000CD030000}"/>
    <cellStyle name="_הלוואות" xfId="854" xr:uid="{00000000-0005-0000-0000-0000CE030000}"/>
    <cellStyle name="_הלוואות 2" xfId="855" xr:uid="{00000000-0005-0000-0000-0000CF030000}"/>
    <cellStyle name="_התחיבות שכ&quot;ד" xfId="856" xr:uid="{00000000-0005-0000-0000-0000D0030000}"/>
    <cellStyle name="_התחיבות שכ&quot;ד 2" xfId="857" xr:uid="{00000000-0005-0000-0000-0000D1030000}"/>
    <cellStyle name="_מדדים" xfId="858" xr:uid="{00000000-0005-0000-0000-0000D2030000}"/>
    <cellStyle name="_מדדים 2" xfId="859" xr:uid="{00000000-0005-0000-0000-0000D3030000}"/>
    <cellStyle name="£ BP" xfId="860" xr:uid="{00000000-0005-0000-0000-0000D4030000}"/>
    <cellStyle name="£ BP 2" xfId="861" xr:uid="{00000000-0005-0000-0000-0000D5030000}"/>
    <cellStyle name="£/GJ" xfId="16331" xr:uid="{00000000-0005-0000-0000-0000D6030000}"/>
    <cellStyle name="£/t" xfId="16332" xr:uid="{00000000-0005-0000-0000-0000D7030000}"/>
    <cellStyle name="£Currency [0]" xfId="862" xr:uid="{00000000-0005-0000-0000-0000D8030000}"/>
    <cellStyle name="£Currency [0] 2" xfId="863" xr:uid="{00000000-0005-0000-0000-0000D9030000}"/>
    <cellStyle name="£Currency [1]" xfId="864" xr:uid="{00000000-0005-0000-0000-0000DA030000}"/>
    <cellStyle name="£Currency [1] 2" xfId="865" xr:uid="{00000000-0005-0000-0000-0000DB030000}"/>
    <cellStyle name="£Currency [2]" xfId="866" xr:uid="{00000000-0005-0000-0000-0000DC030000}"/>
    <cellStyle name="£Currency [2] 2" xfId="867" xr:uid="{00000000-0005-0000-0000-0000DD030000}"/>
    <cellStyle name="£Currency [p]" xfId="868" xr:uid="{00000000-0005-0000-0000-0000DE030000}"/>
    <cellStyle name="£Currency [p] 2" xfId="869" xr:uid="{00000000-0005-0000-0000-0000DF030000}"/>
    <cellStyle name="£Currency [p2]" xfId="870" xr:uid="{00000000-0005-0000-0000-0000E0030000}"/>
    <cellStyle name="£Currency [p2] 2" xfId="871" xr:uid="{00000000-0005-0000-0000-0000E1030000}"/>
    <cellStyle name="£Pounds" xfId="872" xr:uid="{00000000-0005-0000-0000-0000E2030000}"/>
    <cellStyle name="£Pounds 2" xfId="873" xr:uid="{00000000-0005-0000-0000-0000E3030000}"/>
    <cellStyle name="¤@¯ë_P721-Spd" xfId="874" xr:uid="{00000000-0005-0000-0000-0000E4030000}"/>
    <cellStyle name="¤d¤À¦ì[0]_P721-Spd" xfId="875" xr:uid="{00000000-0005-0000-0000-0000E5030000}"/>
    <cellStyle name="¤d¤À¦ì_P721-Spd" xfId="876" xr:uid="{00000000-0005-0000-0000-0000E6030000}"/>
    <cellStyle name="¥ JY" xfId="877" xr:uid="{00000000-0005-0000-0000-0000E7030000}"/>
    <cellStyle name="¥ JY 2" xfId="878" xr:uid="{00000000-0005-0000-0000-0000E8030000}"/>
    <cellStyle name="=C:\WINNT\SYSTEM32\COMMAND.COM" xfId="879" xr:uid="{00000000-0005-0000-0000-0000E9030000}"/>
    <cellStyle name="=C:\WINNT35\SYSTEM32\COMMAND.COM" xfId="16333" xr:uid="{00000000-0005-0000-0000-0000EA030000}"/>
    <cellStyle name="°" xfId="16334" xr:uid="{00000000-0005-0000-0000-0000EB030000}"/>
    <cellStyle name="°_ENS Economic Model 070802 v4" xfId="16335" xr:uid="{00000000-0005-0000-0000-0000EC030000}"/>
    <cellStyle name="•W?_Sheet1" xfId="880" xr:uid="{00000000-0005-0000-0000-0000ED030000}"/>
    <cellStyle name="•W€_Capital Structure" xfId="881" xr:uid="{00000000-0005-0000-0000-0000EE030000}"/>
    <cellStyle name="•W_Sheet1" xfId="882" xr:uid="{00000000-0005-0000-0000-0000EF030000}"/>
    <cellStyle name="\¦ÏÝÌnCp[N" xfId="883" xr:uid="{00000000-0005-0000-0000-0000F0030000}"/>
    <cellStyle name="æØè [0.00]_Affiliate Fcst Inputs" xfId="884" xr:uid="{00000000-0005-0000-0000-0000F1030000}"/>
    <cellStyle name="W_Sheet1" xfId="885" xr:uid="{00000000-0005-0000-0000-0000F2030000}"/>
    <cellStyle name="0" xfId="886" xr:uid="{00000000-0005-0000-0000-0000F3030000}"/>
    <cellStyle name="0 2" xfId="887" xr:uid="{00000000-0005-0000-0000-0000F4030000}"/>
    <cellStyle name="0%" xfId="888" xr:uid="{00000000-0005-0000-0000-0000F5030000}"/>
    <cellStyle name="0,0" xfId="889" xr:uid="{00000000-0005-0000-0000-0000F6030000}"/>
    <cellStyle name="0,0 F" xfId="890" xr:uid="{00000000-0005-0000-0000-0000F7030000}"/>
    <cellStyle name="0,0%" xfId="891" xr:uid="{00000000-0005-0000-0000-0000F8030000}"/>
    <cellStyle name="0,0_Co&amp;Lo180800" xfId="892" xr:uid="{00000000-0005-0000-0000-0000F9030000}"/>
    <cellStyle name="0,00x" xfId="893" xr:uid="{00000000-0005-0000-0000-0000FA030000}"/>
    <cellStyle name="0,0x" xfId="894" xr:uid="{00000000-0005-0000-0000-0000FB030000}"/>
    <cellStyle name="0.0" xfId="895" xr:uid="{00000000-0005-0000-0000-0000FC030000}"/>
    <cellStyle name="0.0 NORMAL" xfId="16336" xr:uid="{00000000-0005-0000-0000-0000FD030000}"/>
    <cellStyle name="0.0 PERCENT" xfId="16337" xr:uid="{00000000-0005-0000-0000-0000FE030000}"/>
    <cellStyle name="0.0 x" xfId="896" xr:uid="{00000000-0005-0000-0000-0000FF030000}"/>
    <cellStyle name="0.0%" xfId="897" xr:uid="{00000000-0005-0000-0000-000000040000}"/>
    <cellStyle name="0.0_Crystal Model final" xfId="16338" xr:uid="{00000000-0005-0000-0000-000001040000}"/>
    <cellStyle name="0.00" xfId="898" xr:uid="{00000000-0005-0000-0000-000002040000}"/>
    <cellStyle name="0.00%" xfId="899" xr:uid="{00000000-0005-0000-0000-000003040000}"/>
    <cellStyle name="0.00_Medley_Financial_Model_v5" xfId="900" xr:uid="{00000000-0005-0000-0000-000004040000}"/>
    <cellStyle name="0_APT 141 101603 ver 51" xfId="901" xr:uid="{00000000-0005-0000-0000-000005040000}"/>
    <cellStyle name="0_APT 141 101603 ver 51 2" xfId="902" xr:uid="{00000000-0005-0000-0000-000006040000}"/>
    <cellStyle name="0_Medley_Financial_Model_v5" xfId="903" xr:uid="{00000000-0005-0000-0000-000007040000}"/>
    <cellStyle name="0_Medley_Financial_Model_v5_Ubiquiti Ownership Table" xfId="904" xr:uid="{00000000-0005-0000-0000-000008040000}"/>
    <cellStyle name="0_Nomos WACC" xfId="905" xr:uid="{00000000-0005-0000-0000-000009040000}"/>
    <cellStyle name="0_Nomos WACC 2" xfId="906" xr:uid="{00000000-0005-0000-0000-00000A040000}"/>
    <cellStyle name="0_Nomos WACC_Boston Power VD 01 31 2008 Model 02 26 2008" xfId="907" xr:uid="{00000000-0005-0000-0000-00000B040000}"/>
    <cellStyle name="0_Nomos WACC_Boston Power VD 01 31 2008 Model 02 26 2008 2" xfId="908" xr:uid="{00000000-0005-0000-0000-00000C040000}"/>
    <cellStyle name="0_Nomos WACC_Boston Power VD 01 31 2008 Model 02 26 2008 2 2" xfId="909" xr:uid="{00000000-0005-0000-0000-00000D040000}"/>
    <cellStyle name="0_Nomos WACC_Boston Power VD 01 31 2008 Model 02 26 2008 3" xfId="910" xr:uid="{00000000-0005-0000-0000-00000E040000}"/>
    <cellStyle name="0_Nomos WACC_Boston Power VD 01 31 2008 Model 02 26 2008 4" xfId="911" xr:uid="{00000000-0005-0000-0000-00000F040000}"/>
    <cellStyle name="0_Nomos WACC_Boston Power VD 01 31 2008 Model 02 26 2008 5" xfId="912" xr:uid="{00000000-0005-0000-0000-000010040000}"/>
    <cellStyle name="0_Nomos WACC_Boston Power VD 01 31 2008 Model 02 26 2008_CompanyABC Valuation Draft Model 04 21 2009" xfId="913" xr:uid="{00000000-0005-0000-0000-000011040000}"/>
    <cellStyle name="0_Nomos WACC_Boston Power VD 01 31 2008 Model 02 26 2008_CompanyABC Valuation Draft Model 04 21 2009 2" xfId="914" xr:uid="{00000000-0005-0000-0000-000012040000}"/>
    <cellStyle name="0_Nomos WACC_Boston Power VD 01 31 2008 Model 02 26 2008_DB" xfId="915" xr:uid="{00000000-0005-0000-0000-000013040000}"/>
    <cellStyle name="0_Nomos WACC_Boston Power VD 01 31 2008 Model 02 26 2008_DB 2" xfId="916" xr:uid="{00000000-0005-0000-0000-000014040000}"/>
    <cellStyle name="0_Nomos WACC_Boston Power VD 01 31 2008 Model 02 26 2008_DB 2 2" xfId="917" xr:uid="{00000000-0005-0000-0000-000015040000}"/>
    <cellStyle name="0_Nomos WACC_Boston Power VD 01 31 2008 Model 02 26 2008_FAS 157 Model Template 04 26 2009" xfId="918" xr:uid="{00000000-0005-0000-0000-000016040000}"/>
    <cellStyle name="0_Nomos WACC_Boston Power VD 01 31 2008 Model 02 26 2008_FAS 157 Model Template 04 26 2009 2" xfId="919" xr:uid="{00000000-0005-0000-0000-000017040000}"/>
    <cellStyle name="0_Nomos WACC_Boston Power VD 01 31 2008 Model 02 26 2008_Miragen VD 05 31 2008 Model 05 22 2009" xfId="920" xr:uid="{00000000-0005-0000-0000-000018040000}"/>
    <cellStyle name="0_Nomos WACC_Cap Table Inputs" xfId="921" xr:uid="{00000000-0005-0000-0000-000019040000}"/>
    <cellStyle name="0_Nomos WACC_Cap Table Inputs 2" xfId="922" xr:uid="{00000000-0005-0000-0000-00001A040000}"/>
    <cellStyle name="0_Nomos WACC_Cap Table Inputs 2 2" xfId="923" xr:uid="{00000000-0005-0000-0000-00001B040000}"/>
    <cellStyle name="0_Nomos WACC_Cap Table Inputs 3" xfId="924" xr:uid="{00000000-0005-0000-0000-00001C040000}"/>
    <cellStyle name="0_Nomos WACC_Cap Table Inputs 4" xfId="925" xr:uid="{00000000-0005-0000-0000-00001D040000}"/>
    <cellStyle name="0_Nomos WACC_Cap Table Inputs 5" xfId="926" xr:uid="{00000000-0005-0000-0000-00001E040000}"/>
    <cellStyle name="0_Nomos WACC_Cap Table Inputs_CompanyABC Valuation Draft Model 04 21 2009" xfId="927" xr:uid="{00000000-0005-0000-0000-00001F040000}"/>
    <cellStyle name="0_Nomos WACC_Cap Table Inputs_CompanyABC Valuation Draft Model 04 21 2009 2" xfId="928" xr:uid="{00000000-0005-0000-0000-000020040000}"/>
    <cellStyle name="0_Nomos WACC_Cap Table Inputs_DB" xfId="929" xr:uid="{00000000-0005-0000-0000-000021040000}"/>
    <cellStyle name="0_Nomos WACC_Cap Table Inputs_DB 2" xfId="930" xr:uid="{00000000-0005-0000-0000-000022040000}"/>
    <cellStyle name="0_Nomos WACC_Cap Table Inputs_DB 2 2" xfId="931" xr:uid="{00000000-0005-0000-0000-000023040000}"/>
    <cellStyle name="0_Nomos WACC_Cap Table Inputs_FAS 157 Model Template 04 26 2009" xfId="932" xr:uid="{00000000-0005-0000-0000-000024040000}"/>
    <cellStyle name="0_Nomos WACC_Cap Table Inputs_FAS 157 Model Template 04 26 2009 2" xfId="933" xr:uid="{00000000-0005-0000-0000-000025040000}"/>
    <cellStyle name="0_Nomos WACC_Cap Table Inputs_Miragen VD 05 31 2008 Model 05 22 2009" xfId="934" xr:uid="{00000000-0005-0000-0000-000026040000}"/>
    <cellStyle name="0_Nomos WACC_CardioSolutions 05 31 2007 Final Model 09 27 2007" xfId="935" xr:uid="{00000000-0005-0000-0000-000027040000}"/>
    <cellStyle name="0_Nomos WACC_CardioSolutions 05 31 2007 Final Model 09 27 2007 2" xfId="936" xr:uid="{00000000-0005-0000-0000-000028040000}"/>
    <cellStyle name="0_Nomos WACC_CardioSolutions 05 31 2007 Final Model 09 27 2007 2 2" xfId="937" xr:uid="{00000000-0005-0000-0000-000029040000}"/>
    <cellStyle name="0_Nomos WACC_CardioSolutions 05 31 2007 Final Model 09 27 2007 3" xfId="938" xr:uid="{00000000-0005-0000-0000-00002A040000}"/>
    <cellStyle name="0_Nomos WACC_CardioSolutions 05 31 2007 Final Model 09 27 2007 4" xfId="939" xr:uid="{00000000-0005-0000-0000-00002B040000}"/>
    <cellStyle name="0_Nomos WACC_CardioSolutions 05 31 2007 Final Model 09 27 2007 5" xfId="940" xr:uid="{00000000-0005-0000-0000-00002C040000}"/>
    <cellStyle name="0_Nomos WACC_CardioSolutions 05 31 2007 Final Model 09 27 2007_CompanyABC Valuation Draft Model 04 21 2009" xfId="941" xr:uid="{00000000-0005-0000-0000-00002D040000}"/>
    <cellStyle name="0_Nomos WACC_CardioSolutions 05 31 2007 Final Model 09 27 2007_CompanyABC Valuation Draft Model 04 21 2009 2" xfId="942" xr:uid="{00000000-0005-0000-0000-00002E040000}"/>
    <cellStyle name="0_Nomos WACC_CardioSolutions 05 31 2007 Final Model 09 27 2007_DB" xfId="943" xr:uid="{00000000-0005-0000-0000-00002F040000}"/>
    <cellStyle name="0_Nomos WACC_CardioSolutions 05 31 2007 Final Model 09 27 2007_DB 2" xfId="944" xr:uid="{00000000-0005-0000-0000-000030040000}"/>
    <cellStyle name="0_Nomos WACC_CardioSolutions 05 31 2007 Final Model 09 27 2007_DB 2 2" xfId="945" xr:uid="{00000000-0005-0000-0000-000031040000}"/>
    <cellStyle name="0_Nomos WACC_CardioSolutions 05 31 2007 Final Model 09 27 2007_FAS 157 Model Template 04 26 2009" xfId="946" xr:uid="{00000000-0005-0000-0000-000032040000}"/>
    <cellStyle name="0_Nomos WACC_CardioSolutions 05 31 2007 Final Model 09 27 2007_FAS 157 Model Template 04 26 2009 2" xfId="947" xr:uid="{00000000-0005-0000-0000-000033040000}"/>
    <cellStyle name="0_Nomos WACC_CardioSolutions 05 31 2007 Final Model 09 27 2007_Miragen VD 05 31 2008 Model 05 22 2009" xfId="948" xr:uid="{00000000-0005-0000-0000-000034040000}"/>
    <cellStyle name="0_Veeco SFAS 142 &amp; 144 - Oct 2004 - v11" xfId="949" xr:uid="{00000000-0005-0000-0000-000035040000}"/>
    <cellStyle name="0_Veeco SFAS 142 &amp; 144 - Oct 2004 - v11 2" xfId="950" xr:uid="{00000000-0005-0000-0000-000036040000}"/>
    <cellStyle name="0_Veeco SFAS 142 &amp; 144 - Oct 2004 - v11_Boston Power VD 01 31 2008 Model 02 26 2008" xfId="951" xr:uid="{00000000-0005-0000-0000-000037040000}"/>
    <cellStyle name="0_Veeco SFAS 142 &amp; 144 - Oct 2004 - v11_Boston Power VD 01 31 2008 Model 02 26 2008 2" xfId="952" xr:uid="{00000000-0005-0000-0000-000038040000}"/>
    <cellStyle name="0_Veeco SFAS 142 &amp; 144 - Oct 2004 - v11_Boston Power VD 01 31 2008 Model 02 26 2008 2 2" xfId="953" xr:uid="{00000000-0005-0000-0000-000039040000}"/>
    <cellStyle name="0_Veeco SFAS 142 &amp; 144 - Oct 2004 - v11_Boston Power VD 01 31 2008 Model 02 26 2008 3" xfId="954" xr:uid="{00000000-0005-0000-0000-00003A040000}"/>
    <cellStyle name="0_Veeco SFAS 142 &amp; 144 - Oct 2004 - v11_Boston Power VD 01 31 2008 Model 02 26 2008 4" xfId="955" xr:uid="{00000000-0005-0000-0000-00003B040000}"/>
    <cellStyle name="0_Veeco SFAS 142 &amp; 144 - Oct 2004 - v11_Boston Power VD 01 31 2008 Model 02 26 2008 5" xfId="956" xr:uid="{00000000-0005-0000-0000-00003C040000}"/>
    <cellStyle name="0_Veeco SFAS 142 &amp; 144 - Oct 2004 - v11_Boston Power VD 01 31 2008 Model 02 26 2008_CompanyABC Valuation Draft Model 04 21 2009" xfId="957" xr:uid="{00000000-0005-0000-0000-00003D040000}"/>
    <cellStyle name="0_Veeco SFAS 142 &amp; 144 - Oct 2004 - v11_Boston Power VD 01 31 2008 Model 02 26 2008_CompanyABC Valuation Draft Model 04 21 2009 2" xfId="958" xr:uid="{00000000-0005-0000-0000-00003E040000}"/>
    <cellStyle name="0_Veeco SFAS 142 &amp; 144 - Oct 2004 - v11_Boston Power VD 01 31 2008 Model 02 26 2008_DB" xfId="959" xr:uid="{00000000-0005-0000-0000-00003F040000}"/>
    <cellStyle name="0_Veeco SFAS 142 &amp; 144 - Oct 2004 - v11_Boston Power VD 01 31 2008 Model 02 26 2008_DB 2" xfId="960" xr:uid="{00000000-0005-0000-0000-000040040000}"/>
    <cellStyle name="0_Veeco SFAS 142 &amp; 144 - Oct 2004 - v11_Boston Power VD 01 31 2008 Model 02 26 2008_DB 2 2" xfId="961" xr:uid="{00000000-0005-0000-0000-000041040000}"/>
    <cellStyle name="0_Veeco SFAS 142 &amp; 144 - Oct 2004 - v11_Boston Power VD 01 31 2008 Model 02 26 2008_FAS 157 Model Template 04 26 2009" xfId="962" xr:uid="{00000000-0005-0000-0000-000042040000}"/>
    <cellStyle name="0_Veeco SFAS 142 &amp; 144 - Oct 2004 - v11_Boston Power VD 01 31 2008 Model 02 26 2008_FAS 157 Model Template 04 26 2009 2" xfId="963" xr:uid="{00000000-0005-0000-0000-000043040000}"/>
    <cellStyle name="0_Veeco SFAS 142 &amp; 144 - Oct 2004 - v11_Boston Power VD 01 31 2008 Model 02 26 2008_Miragen VD 05 31 2008 Model 05 22 2009" xfId="964" xr:uid="{00000000-0005-0000-0000-000044040000}"/>
    <cellStyle name="0_Veeco SFAS 142 &amp; 144 - Oct 2004 - v11_Cap Table Inputs" xfId="965" xr:uid="{00000000-0005-0000-0000-000045040000}"/>
    <cellStyle name="0_Veeco SFAS 142 &amp; 144 - Oct 2004 - v11_Cap Table Inputs 2" xfId="966" xr:uid="{00000000-0005-0000-0000-000046040000}"/>
    <cellStyle name="0_Veeco SFAS 142 &amp; 144 - Oct 2004 - v11_Cap Table Inputs 2 2" xfId="967" xr:uid="{00000000-0005-0000-0000-000047040000}"/>
    <cellStyle name="0_Veeco SFAS 142 &amp; 144 - Oct 2004 - v11_Cap Table Inputs 3" xfId="968" xr:uid="{00000000-0005-0000-0000-000048040000}"/>
    <cellStyle name="0_Veeco SFAS 142 &amp; 144 - Oct 2004 - v11_Cap Table Inputs 4" xfId="969" xr:uid="{00000000-0005-0000-0000-000049040000}"/>
    <cellStyle name="0_Veeco SFAS 142 &amp; 144 - Oct 2004 - v11_Cap Table Inputs 5" xfId="970" xr:uid="{00000000-0005-0000-0000-00004A040000}"/>
    <cellStyle name="0_Veeco SFAS 142 &amp; 144 - Oct 2004 - v11_Cap Table Inputs_CompanyABC Valuation Draft Model 04 21 2009" xfId="971" xr:uid="{00000000-0005-0000-0000-00004B040000}"/>
    <cellStyle name="0_Veeco SFAS 142 &amp; 144 - Oct 2004 - v11_Cap Table Inputs_CompanyABC Valuation Draft Model 04 21 2009 2" xfId="972" xr:uid="{00000000-0005-0000-0000-00004C040000}"/>
    <cellStyle name="0_Veeco SFAS 142 &amp; 144 - Oct 2004 - v11_Cap Table Inputs_DB" xfId="973" xr:uid="{00000000-0005-0000-0000-00004D040000}"/>
    <cellStyle name="0_Veeco SFAS 142 &amp; 144 - Oct 2004 - v11_Cap Table Inputs_DB 2" xfId="974" xr:uid="{00000000-0005-0000-0000-00004E040000}"/>
    <cellStyle name="0_Veeco SFAS 142 &amp; 144 - Oct 2004 - v11_Cap Table Inputs_DB 2 2" xfId="975" xr:uid="{00000000-0005-0000-0000-00004F040000}"/>
    <cellStyle name="0_Veeco SFAS 142 &amp; 144 - Oct 2004 - v11_Cap Table Inputs_FAS 157 Model Template 04 26 2009" xfId="976" xr:uid="{00000000-0005-0000-0000-000050040000}"/>
    <cellStyle name="0_Veeco SFAS 142 &amp; 144 - Oct 2004 - v11_Cap Table Inputs_FAS 157 Model Template 04 26 2009 2" xfId="977" xr:uid="{00000000-0005-0000-0000-000051040000}"/>
    <cellStyle name="0_Veeco SFAS 142 &amp; 144 - Oct 2004 - v11_Cap Table Inputs_Miragen VD 05 31 2008 Model 05 22 2009" xfId="978" xr:uid="{00000000-0005-0000-0000-000052040000}"/>
    <cellStyle name="0_Veeco SFAS 142 &amp; 144 - Oct 2004 - v11_CardioSolutions 05 31 2007 Final Model 09 27 2007" xfId="979" xr:uid="{00000000-0005-0000-0000-000053040000}"/>
    <cellStyle name="0_Veeco SFAS 142 &amp; 144 - Oct 2004 - v11_CardioSolutions 05 31 2007 Final Model 09 27 2007 2" xfId="980" xr:uid="{00000000-0005-0000-0000-000054040000}"/>
    <cellStyle name="0_Veeco SFAS 142 &amp; 144 - Oct 2004 - v11_CardioSolutions 05 31 2007 Final Model 09 27 2007 2 2" xfId="981" xr:uid="{00000000-0005-0000-0000-000055040000}"/>
    <cellStyle name="0_Veeco SFAS 142 &amp; 144 - Oct 2004 - v11_CardioSolutions 05 31 2007 Final Model 09 27 2007 3" xfId="982" xr:uid="{00000000-0005-0000-0000-000056040000}"/>
    <cellStyle name="0_Veeco SFAS 142 &amp; 144 - Oct 2004 - v11_CardioSolutions 05 31 2007 Final Model 09 27 2007 4" xfId="983" xr:uid="{00000000-0005-0000-0000-000057040000}"/>
    <cellStyle name="0_Veeco SFAS 142 &amp; 144 - Oct 2004 - v11_CardioSolutions 05 31 2007 Final Model 09 27 2007 5" xfId="984" xr:uid="{00000000-0005-0000-0000-000058040000}"/>
    <cellStyle name="0_Veeco SFAS 142 &amp; 144 - Oct 2004 - v11_CardioSolutions 05 31 2007 Final Model 09 27 2007_CompanyABC Valuation Draft Model 04 21 2009" xfId="985" xr:uid="{00000000-0005-0000-0000-000059040000}"/>
    <cellStyle name="0_Veeco SFAS 142 &amp; 144 - Oct 2004 - v11_CardioSolutions 05 31 2007 Final Model 09 27 2007_CompanyABC Valuation Draft Model 04 21 2009 2" xfId="986" xr:uid="{00000000-0005-0000-0000-00005A040000}"/>
    <cellStyle name="0_Veeco SFAS 142 &amp; 144 - Oct 2004 - v11_CardioSolutions 05 31 2007 Final Model 09 27 2007_DB" xfId="987" xr:uid="{00000000-0005-0000-0000-00005B040000}"/>
    <cellStyle name="0_Veeco SFAS 142 &amp; 144 - Oct 2004 - v11_CardioSolutions 05 31 2007 Final Model 09 27 2007_DB 2" xfId="988" xr:uid="{00000000-0005-0000-0000-00005C040000}"/>
    <cellStyle name="0_Veeco SFAS 142 &amp; 144 - Oct 2004 - v11_CardioSolutions 05 31 2007 Final Model 09 27 2007_DB 2 2" xfId="989" xr:uid="{00000000-0005-0000-0000-00005D040000}"/>
    <cellStyle name="0_Veeco SFAS 142 &amp; 144 - Oct 2004 - v11_CardioSolutions 05 31 2007 Final Model 09 27 2007_FAS 157 Model Template 04 26 2009" xfId="990" xr:uid="{00000000-0005-0000-0000-00005E040000}"/>
    <cellStyle name="0_Veeco SFAS 142 &amp; 144 - Oct 2004 - v11_CardioSolutions 05 31 2007 Final Model 09 27 2007_FAS 157 Model Template 04 26 2009 2" xfId="991" xr:uid="{00000000-0005-0000-0000-00005F040000}"/>
    <cellStyle name="0_Veeco SFAS 142 &amp; 144 - Oct 2004 - v11_CardioSolutions 05 31 2007 Final Model 09 27 2007_Miragen VD 05 31 2008 Model 05 22 2009" xfId="992" xr:uid="{00000000-0005-0000-0000-000060040000}"/>
    <cellStyle name="000" xfId="993" xr:uid="{00000000-0005-0000-0000-000061040000}"/>
    <cellStyle name="000 MF" xfId="994" xr:uid="{00000000-0005-0000-0000-000062040000}"/>
    <cellStyle name="000,0" xfId="995" xr:uid="{00000000-0005-0000-0000-000063040000}"/>
    <cellStyle name="000_Halloween version SPV" xfId="996" xr:uid="{00000000-0005-0000-0000-000064040000}"/>
    <cellStyle name="0000" xfId="997" xr:uid="{00000000-0005-0000-0000-000065040000}"/>
    <cellStyle name="000000" xfId="998" xr:uid="{00000000-0005-0000-0000-000066040000}"/>
    <cellStyle name="1,comma" xfId="999" xr:uid="{00000000-0005-0000-0000-000067040000}"/>
    <cellStyle name="1.0 TITLE" xfId="16339" xr:uid="{00000000-0005-0000-0000-000068040000}"/>
    <cellStyle name="1.1 TITLE" xfId="16340" xr:uid="{00000000-0005-0000-0000-000069040000}"/>
    <cellStyle name="1000s1Place" xfId="1000" xr:uid="{00000000-0005-0000-0000-00006A040000}"/>
    <cellStyle name="18.xls]Mgmt" xfId="16341" xr:uid="{00000000-0005-0000-0000-00006B040000}"/>
    <cellStyle name="1Decimal" xfId="1001" xr:uid="{00000000-0005-0000-0000-00006C040000}"/>
    <cellStyle name="1Decimal 2" xfId="1002" xr:uid="{00000000-0005-0000-0000-00006D040000}"/>
    <cellStyle name="1Decimal 2 2" xfId="1003" xr:uid="{00000000-0005-0000-0000-00006E040000}"/>
    <cellStyle name="1Decimal 3" xfId="1004" xr:uid="{00000000-0005-0000-0000-00006F040000}"/>
    <cellStyle name="1Decimal 4" xfId="1005" xr:uid="{00000000-0005-0000-0000-000070040000}"/>
    <cellStyle name="1Decimal 5" xfId="1006" xr:uid="{00000000-0005-0000-0000-000071040000}"/>
    <cellStyle name="¹éºÐÀ²_±âÅ¸" xfId="16342" xr:uid="{00000000-0005-0000-0000-000072040000}"/>
    <cellStyle name="1MMs1Place" xfId="1007" xr:uid="{00000000-0005-0000-0000-000073040000}"/>
    <cellStyle name="1MMs2Places" xfId="1008" xr:uid="{00000000-0005-0000-0000-000074040000}"/>
    <cellStyle name="1Normal" xfId="16343" xr:uid="{00000000-0005-0000-0000-000075040000}"/>
    <cellStyle name="1place" xfId="1009" xr:uid="{00000000-0005-0000-0000-000076040000}"/>
    <cellStyle name="2" xfId="16344" xr:uid="{00000000-0005-0000-0000-000077040000}"/>
    <cellStyle name="2 Decimal Places" xfId="16345" xr:uid="{00000000-0005-0000-0000-000078040000}"/>
    <cellStyle name="20% - Accent1 10" xfId="1010" xr:uid="{00000000-0005-0000-0000-000079040000}"/>
    <cellStyle name="20% - Accent1 10 10" xfId="16391" xr:uid="{00000000-0005-0000-0000-00007A040000}"/>
    <cellStyle name="20% - Accent1 10 2" xfId="1011" xr:uid="{00000000-0005-0000-0000-00007B040000}"/>
    <cellStyle name="20% - Accent1 10 2 2" xfId="1012" xr:uid="{00000000-0005-0000-0000-00007C040000}"/>
    <cellStyle name="20% - Accent1 10 2 2 2" xfId="1013" xr:uid="{00000000-0005-0000-0000-00007D040000}"/>
    <cellStyle name="20% - Accent1 10 2 2 2 2" xfId="12443" xr:uid="{00000000-0005-0000-0000-00007E040000}"/>
    <cellStyle name="20% - Accent1 10 2 2 2 3" xfId="16394" xr:uid="{00000000-0005-0000-0000-00007F040000}"/>
    <cellStyle name="20% - Accent1 10 2 2 3" xfId="1014" xr:uid="{00000000-0005-0000-0000-000080040000}"/>
    <cellStyle name="20% - Accent1 10 2 2 3 2" xfId="12444" xr:uid="{00000000-0005-0000-0000-000081040000}"/>
    <cellStyle name="20% - Accent1 10 2 2 3 3" xfId="16395" xr:uid="{00000000-0005-0000-0000-000082040000}"/>
    <cellStyle name="20% - Accent1 10 2 2 4" xfId="12442" xr:uid="{00000000-0005-0000-0000-000083040000}"/>
    <cellStyle name="20% - Accent1 10 2 2 5" xfId="16393" xr:uid="{00000000-0005-0000-0000-000084040000}"/>
    <cellStyle name="20% - Accent1 10 2 3" xfId="1015" xr:uid="{00000000-0005-0000-0000-000085040000}"/>
    <cellStyle name="20% - Accent1 10 2 3 2" xfId="1016" xr:uid="{00000000-0005-0000-0000-000086040000}"/>
    <cellStyle name="20% - Accent1 10 2 3 2 2" xfId="12446" xr:uid="{00000000-0005-0000-0000-000087040000}"/>
    <cellStyle name="20% - Accent1 10 2 3 2 3" xfId="16397" xr:uid="{00000000-0005-0000-0000-000088040000}"/>
    <cellStyle name="20% - Accent1 10 2 3 3" xfId="1017" xr:uid="{00000000-0005-0000-0000-000089040000}"/>
    <cellStyle name="20% - Accent1 10 2 3 3 2" xfId="12447" xr:uid="{00000000-0005-0000-0000-00008A040000}"/>
    <cellStyle name="20% - Accent1 10 2 3 3 3" xfId="16398" xr:uid="{00000000-0005-0000-0000-00008B040000}"/>
    <cellStyle name="20% - Accent1 10 2 3 4" xfId="12445" xr:uid="{00000000-0005-0000-0000-00008C040000}"/>
    <cellStyle name="20% - Accent1 10 2 3 5" xfId="16396" xr:uid="{00000000-0005-0000-0000-00008D040000}"/>
    <cellStyle name="20% - Accent1 10 2 4" xfId="1018" xr:uid="{00000000-0005-0000-0000-00008E040000}"/>
    <cellStyle name="20% - Accent1 10 2 4 2" xfId="1019" xr:uid="{00000000-0005-0000-0000-00008F040000}"/>
    <cellStyle name="20% - Accent1 10 2 4 2 2" xfId="12449" xr:uid="{00000000-0005-0000-0000-000090040000}"/>
    <cellStyle name="20% - Accent1 10 2 4 2 3" xfId="16400" xr:uid="{00000000-0005-0000-0000-000091040000}"/>
    <cellStyle name="20% - Accent1 10 2 4 3" xfId="1020" xr:uid="{00000000-0005-0000-0000-000092040000}"/>
    <cellStyle name="20% - Accent1 10 2 4 3 2" xfId="12450" xr:uid="{00000000-0005-0000-0000-000093040000}"/>
    <cellStyle name="20% - Accent1 10 2 4 3 3" xfId="16401" xr:uid="{00000000-0005-0000-0000-000094040000}"/>
    <cellStyle name="20% - Accent1 10 2 4 4" xfId="12448" xr:uid="{00000000-0005-0000-0000-000095040000}"/>
    <cellStyle name="20% - Accent1 10 2 4 5" xfId="16399" xr:uid="{00000000-0005-0000-0000-000096040000}"/>
    <cellStyle name="20% - Accent1 10 2 5" xfId="1021" xr:uid="{00000000-0005-0000-0000-000097040000}"/>
    <cellStyle name="20% - Accent1 10 2 5 2" xfId="12451" xr:uid="{00000000-0005-0000-0000-000098040000}"/>
    <cellStyle name="20% - Accent1 10 2 5 3" xfId="16402" xr:uid="{00000000-0005-0000-0000-000099040000}"/>
    <cellStyle name="20% - Accent1 10 2 6" xfId="1022" xr:uid="{00000000-0005-0000-0000-00009A040000}"/>
    <cellStyle name="20% - Accent1 10 2 6 2" xfId="12452" xr:uid="{00000000-0005-0000-0000-00009B040000}"/>
    <cellStyle name="20% - Accent1 10 2 6 3" xfId="16403" xr:uid="{00000000-0005-0000-0000-00009C040000}"/>
    <cellStyle name="20% - Accent1 10 2 7" xfId="12441" xr:uid="{00000000-0005-0000-0000-00009D040000}"/>
    <cellStyle name="20% - Accent1 10 2 8" xfId="16392" xr:uid="{00000000-0005-0000-0000-00009E040000}"/>
    <cellStyle name="20% - Accent1 10 2_Volatility" xfId="1023" xr:uid="{00000000-0005-0000-0000-00009F040000}"/>
    <cellStyle name="20% - Accent1 10 3" xfId="1024" xr:uid="{00000000-0005-0000-0000-0000A0040000}"/>
    <cellStyle name="20% - Accent1 10 3 2" xfId="1025" xr:uid="{00000000-0005-0000-0000-0000A1040000}"/>
    <cellStyle name="20% - Accent1 10 3 2 2" xfId="1026" xr:uid="{00000000-0005-0000-0000-0000A2040000}"/>
    <cellStyle name="20% - Accent1 10 3 2 2 2" xfId="12455" xr:uid="{00000000-0005-0000-0000-0000A3040000}"/>
    <cellStyle name="20% - Accent1 10 3 2 2 3" xfId="16406" xr:uid="{00000000-0005-0000-0000-0000A4040000}"/>
    <cellStyle name="20% - Accent1 10 3 2 3" xfId="1027" xr:uid="{00000000-0005-0000-0000-0000A5040000}"/>
    <cellStyle name="20% - Accent1 10 3 2 3 2" xfId="12456" xr:uid="{00000000-0005-0000-0000-0000A6040000}"/>
    <cellStyle name="20% - Accent1 10 3 2 3 3" xfId="16407" xr:uid="{00000000-0005-0000-0000-0000A7040000}"/>
    <cellStyle name="20% - Accent1 10 3 2 4" xfId="12454" xr:uid="{00000000-0005-0000-0000-0000A8040000}"/>
    <cellStyle name="20% - Accent1 10 3 2 5" xfId="16405" xr:uid="{00000000-0005-0000-0000-0000A9040000}"/>
    <cellStyle name="20% - Accent1 10 3 3" xfId="1028" xr:uid="{00000000-0005-0000-0000-0000AA040000}"/>
    <cellStyle name="20% - Accent1 10 3 3 2" xfId="1029" xr:uid="{00000000-0005-0000-0000-0000AB040000}"/>
    <cellStyle name="20% - Accent1 10 3 3 2 2" xfId="12458" xr:uid="{00000000-0005-0000-0000-0000AC040000}"/>
    <cellStyle name="20% - Accent1 10 3 3 2 3" xfId="16409" xr:uid="{00000000-0005-0000-0000-0000AD040000}"/>
    <cellStyle name="20% - Accent1 10 3 3 3" xfId="1030" xr:uid="{00000000-0005-0000-0000-0000AE040000}"/>
    <cellStyle name="20% - Accent1 10 3 3 3 2" xfId="12459" xr:uid="{00000000-0005-0000-0000-0000AF040000}"/>
    <cellStyle name="20% - Accent1 10 3 3 3 3" xfId="16410" xr:uid="{00000000-0005-0000-0000-0000B0040000}"/>
    <cellStyle name="20% - Accent1 10 3 3 4" xfId="12457" xr:uid="{00000000-0005-0000-0000-0000B1040000}"/>
    <cellStyle name="20% - Accent1 10 3 3 5" xfId="16408" xr:uid="{00000000-0005-0000-0000-0000B2040000}"/>
    <cellStyle name="20% - Accent1 10 3 4" xfId="1031" xr:uid="{00000000-0005-0000-0000-0000B3040000}"/>
    <cellStyle name="20% - Accent1 10 3 4 2" xfId="12460" xr:uid="{00000000-0005-0000-0000-0000B4040000}"/>
    <cellStyle name="20% - Accent1 10 3 4 3" xfId="16411" xr:uid="{00000000-0005-0000-0000-0000B5040000}"/>
    <cellStyle name="20% - Accent1 10 3 5" xfId="1032" xr:uid="{00000000-0005-0000-0000-0000B6040000}"/>
    <cellStyle name="20% - Accent1 10 3 5 2" xfId="12461" xr:uid="{00000000-0005-0000-0000-0000B7040000}"/>
    <cellStyle name="20% - Accent1 10 3 5 3" xfId="16412" xr:uid="{00000000-0005-0000-0000-0000B8040000}"/>
    <cellStyle name="20% - Accent1 10 3 6" xfId="12453" xr:uid="{00000000-0005-0000-0000-0000B9040000}"/>
    <cellStyle name="20% - Accent1 10 3 7" xfId="16404" xr:uid="{00000000-0005-0000-0000-0000BA040000}"/>
    <cellStyle name="20% - Accent1 10 3_Volatility" xfId="1033" xr:uid="{00000000-0005-0000-0000-0000BB040000}"/>
    <cellStyle name="20% - Accent1 10 4" xfId="1034" xr:uid="{00000000-0005-0000-0000-0000BC040000}"/>
    <cellStyle name="20% - Accent1 10 4 2" xfId="1035" xr:uid="{00000000-0005-0000-0000-0000BD040000}"/>
    <cellStyle name="20% - Accent1 10 4 2 2" xfId="12463" xr:uid="{00000000-0005-0000-0000-0000BE040000}"/>
    <cellStyle name="20% - Accent1 10 4 2 3" xfId="16414" xr:uid="{00000000-0005-0000-0000-0000BF040000}"/>
    <cellStyle name="20% - Accent1 10 4 3" xfId="1036" xr:uid="{00000000-0005-0000-0000-0000C0040000}"/>
    <cellStyle name="20% - Accent1 10 4 3 2" xfId="12464" xr:uid="{00000000-0005-0000-0000-0000C1040000}"/>
    <cellStyle name="20% - Accent1 10 4 3 3" xfId="16415" xr:uid="{00000000-0005-0000-0000-0000C2040000}"/>
    <cellStyle name="20% - Accent1 10 4 4" xfId="12462" xr:uid="{00000000-0005-0000-0000-0000C3040000}"/>
    <cellStyle name="20% - Accent1 10 4 5" xfId="16413" xr:uid="{00000000-0005-0000-0000-0000C4040000}"/>
    <cellStyle name="20% - Accent1 10 5" xfId="1037" xr:uid="{00000000-0005-0000-0000-0000C5040000}"/>
    <cellStyle name="20% - Accent1 10 5 2" xfId="1038" xr:uid="{00000000-0005-0000-0000-0000C6040000}"/>
    <cellStyle name="20% - Accent1 10 5 2 2" xfId="12466" xr:uid="{00000000-0005-0000-0000-0000C7040000}"/>
    <cellStyle name="20% - Accent1 10 5 2 3" xfId="16417" xr:uid="{00000000-0005-0000-0000-0000C8040000}"/>
    <cellStyle name="20% - Accent1 10 5 3" xfId="1039" xr:uid="{00000000-0005-0000-0000-0000C9040000}"/>
    <cellStyle name="20% - Accent1 10 5 3 2" xfId="12467" xr:uid="{00000000-0005-0000-0000-0000CA040000}"/>
    <cellStyle name="20% - Accent1 10 5 3 3" xfId="16418" xr:uid="{00000000-0005-0000-0000-0000CB040000}"/>
    <cellStyle name="20% - Accent1 10 5 4" xfId="12465" xr:uid="{00000000-0005-0000-0000-0000CC040000}"/>
    <cellStyle name="20% - Accent1 10 5 5" xfId="16416" xr:uid="{00000000-0005-0000-0000-0000CD040000}"/>
    <cellStyle name="20% - Accent1 10 6" xfId="1040" xr:uid="{00000000-0005-0000-0000-0000CE040000}"/>
    <cellStyle name="20% - Accent1 10 6 2" xfId="1041" xr:uid="{00000000-0005-0000-0000-0000CF040000}"/>
    <cellStyle name="20% - Accent1 10 6 2 2" xfId="12469" xr:uid="{00000000-0005-0000-0000-0000D0040000}"/>
    <cellStyle name="20% - Accent1 10 6 2 3" xfId="16420" xr:uid="{00000000-0005-0000-0000-0000D1040000}"/>
    <cellStyle name="20% - Accent1 10 6 3" xfId="1042" xr:uid="{00000000-0005-0000-0000-0000D2040000}"/>
    <cellStyle name="20% - Accent1 10 6 3 2" xfId="12470" xr:uid="{00000000-0005-0000-0000-0000D3040000}"/>
    <cellStyle name="20% - Accent1 10 6 3 3" xfId="16421" xr:uid="{00000000-0005-0000-0000-0000D4040000}"/>
    <cellStyle name="20% - Accent1 10 6 4" xfId="12468" xr:uid="{00000000-0005-0000-0000-0000D5040000}"/>
    <cellStyle name="20% - Accent1 10 6 5" xfId="16419" xr:uid="{00000000-0005-0000-0000-0000D6040000}"/>
    <cellStyle name="20% - Accent1 10 7" xfId="1043" xr:uid="{00000000-0005-0000-0000-0000D7040000}"/>
    <cellStyle name="20% - Accent1 10 7 2" xfId="12471" xr:uid="{00000000-0005-0000-0000-0000D8040000}"/>
    <cellStyle name="20% - Accent1 10 7 3" xfId="16422" xr:uid="{00000000-0005-0000-0000-0000D9040000}"/>
    <cellStyle name="20% - Accent1 10 8" xfId="1044" xr:uid="{00000000-0005-0000-0000-0000DA040000}"/>
    <cellStyle name="20% - Accent1 10 8 2" xfId="12472" xr:uid="{00000000-0005-0000-0000-0000DB040000}"/>
    <cellStyle name="20% - Accent1 10 8 3" xfId="16423" xr:uid="{00000000-0005-0000-0000-0000DC040000}"/>
    <cellStyle name="20% - Accent1 10 9" xfId="12440" xr:uid="{00000000-0005-0000-0000-0000DD040000}"/>
    <cellStyle name="20% - Accent1 10_Volatility" xfId="1045" xr:uid="{00000000-0005-0000-0000-0000DE040000}"/>
    <cellStyle name="20% - Accent1 11" xfId="1046" xr:uid="{00000000-0005-0000-0000-0000DF040000}"/>
    <cellStyle name="20% - Accent1 11 10" xfId="16424" xr:uid="{00000000-0005-0000-0000-0000E0040000}"/>
    <cellStyle name="20% - Accent1 11 2" xfId="1047" xr:uid="{00000000-0005-0000-0000-0000E1040000}"/>
    <cellStyle name="20% - Accent1 11 2 2" xfId="1048" xr:uid="{00000000-0005-0000-0000-0000E2040000}"/>
    <cellStyle name="20% - Accent1 11 2 2 2" xfId="1049" xr:uid="{00000000-0005-0000-0000-0000E3040000}"/>
    <cellStyle name="20% - Accent1 11 2 2 2 2" xfId="12476" xr:uid="{00000000-0005-0000-0000-0000E4040000}"/>
    <cellStyle name="20% - Accent1 11 2 2 2 3" xfId="16427" xr:uid="{00000000-0005-0000-0000-0000E5040000}"/>
    <cellStyle name="20% - Accent1 11 2 2 3" xfId="1050" xr:uid="{00000000-0005-0000-0000-0000E6040000}"/>
    <cellStyle name="20% - Accent1 11 2 2 3 2" xfId="12477" xr:uid="{00000000-0005-0000-0000-0000E7040000}"/>
    <cellStyle name="20% - Accent1 11 2 2 3 3" xfId="16428" xr:uid="{00000000-0005-0000-0000-0000E8040000}"/>
    <cellStyle name="20% - Accent1 11 2 2 4" xfId="12475" xr:uid="{00000000-0005-0000-0000-0000E9040000}"/>
    <cellStyle name="20% - Accent1 11 2 2 5" xfId="16426" xr:uid="{00000000-0005-0000-0000-0000EA040000}"/>
    <cellStyle name="20% - Accent1 11 2 3" xfId="1051" xr:uid="{00000000-0005-0000-0000-0000EB040000}"/>
    <cellStyle name="20% - Accent1 11 2 3 2" xfId="1052" xr:uid="{00000000-0005-0000-0000-0000EC040000}"/>
    <cellStyle name="20% - Accent1 11 2 3 2 2" xfId="12479" xr:uid="{00000000-0005-0000-0000-0000ED040000}"/>
    <cellStyle name="20% - Accent1 11 2 3 2 3" xfId="16430" xr:uid="{00000000-0005-0000-0000-0000EE040000}"/>
    <cellStyle name="20% - Accent1 11 2 3 3" xfId="1053" xr:uid="{00000000-0005-0000-0000-0000EF040000}"/>
    <cellStyle name="20% - Accent1 11 2 3 3 2" xfId="12480" xr:uid="{00000000-0005-0000-0000-0000F0040000}"/>
    <cellStyle name="20% - Accent1 11 2 3 3 3" xfId="16431" xr:uid="{00000000-0005-0000-0000-0000F1040000}"/>
    <cellStyle name="20% - Accent1 11 2 3 4" xfId="12478" xr:uid="{00000000-0005-0000-0000-0000F2040000}"/>
    <cellStyle name="20% - Accent1 11 2 3 5" xfId="16429" xr:uid="{00000000-0005-0000-0000-0000F3040000}"/>
    <cellStyle name="20% - Accent1 11 2 4" xfId="1054" xr:uid="{00000000-0005-0000-0000-0000F4040000}"/>
    <cellStyle name="20% - Accent1 11 2 4 2" xfId="1055" xr:uid="{00000000-0005-0000-0000-0000F5040000}"/>
    <cellStyle name="20% - Accent1 11 2 4 2 2" xfId="12482" xr:uid="{00000000-0005-0000-0000-0000F6040000}"/>
    <cellStyle name="20% - Accent1 11 2 4 2 3" xfId="16433" xr:uid="{00000000-0005-0000-0000-0000F7040000}"/>
    <cellStyle name="20% - Accent1 11 2 4 3" xfId="1056" xr:uid="{00000000-0005-0000-0000-0000F8040000}"/>
    <cellStyle name="20% - Accent1 11 2 4 3 2" xfId="12483" xr:uid="{00000000-0005-0000-0000-0000F9040000}"/>
    <cellStyle name="20% - Accent1 11 2 4 3 3" xfId="16434" xr:uid="{00000000-0005-0000-0000-0000FA040000}"/>
    <cellStyle name="20% - Accent1 11 2 4 4" xfId="12481" xr:uid="{00000000-0005-0000-0000-0000FB040000}"/>
    <cellStyle name="20% - Accent1 11 2 4 5" xfId="16432" xr:uid="{00000000-0005-0000-0000-0000FC040000}"/>
    <cellStyle name="20% - Accent1 11 2 5" xfId="1057" xr:uid="{00000000-0005-0000-0000-0000FD040000}"/>
    <cellStyle name="20% - Accent1 11 2 5 2" xfId="12484" xr:uid="{00000000-0005-0000-0000-0000FE040000}"/>
    <cellStyle name="20% - Accent1 11 2 5 3" xfId="16435" xr:uid="{00000000-0005-0000-0000-0000FF040000}"/>
    <cellStyle name="20% - Accent1 11 2 6" xfId="1058" xr:uid="{00000000-0005-0000-0000-000000050000}"/>
    <cellStyle name="20% - Accent1 11 2 6 2" xfId="12485" xr:uid="{00000000-0005-0000-0000-000001050000}"/>
    <cellStyle name="20% - Accent1 11 2 6 3" xfId="16436" xr:uid="{00000000-0005-0000-0000-000002050000}"/>
    <cellStyle name="20% - Accent1 11 2 7" xfId="12474" xr:uid="{00000000-0005-0000-0000-000003050000}"/>
    <cellStyle name="20% - Accent1 11 2 8" xfId="16425" xr:uid="{00000000-0005-0000-0000-000004050000}"/>
    <cellStyle name="20% - Accent1 11 2_Volatility" xfId="1059" xr:uid="{00000000-0005-0000-0000-000005050000}"/>
    <cellStyle name="20% - Accent1 11 3" xfId="1060" xr:uid="{00000000-0005-0000-0000-000006050000}"/>
    <cellStyle name="20% - Accent1 11 3 2" xfId="1061" xr:uid="{00000000-0005-0000-0000-000007050000}"/>
    <cellStyle name="20% - Accent1 11 3 2 2" xfId="1062" xr:uid="{00000000-0005-0000-0000-000008050000}"/>
    <cellStyle name="20% - Accent1 11 3 2 2 2" xfId="12488" xr:uid="{00000000-0005-0000-0000-000009050000}"/>
    <cellStyle name="20% - Accent1 11 3 2 2 3" xfId="16439" xr:uid="{00000000-0005-0000-0000-00000A050000}"/>
    <cellStyle name="20% - Accent1 11 3 2 3" xfId="1063" xr:uid="{00000000-0005-0000-0000-00000B050000}"/>
    <cellStyle name="20% - Accent1 11 3 2 3 2" xfId="12489" xr:uid="{00000000-0005-0000-0000-00000C050000}"/>
    <cellStyle name="20% - Accent1 11 3 2 3 3" xfId="16440" xr:uid="{00000000-0005-0000-0000-00000D050000}"/>
    <cellStyle name="20% - Accent1 11 3 2 4" xfId="12487" xr:uid="{00000000-0005-0000-0000-00000E050000}"/>
    <cellStyle name="20% - Accent1 11 3 2 5" xfId="16438" xr:uid="{00000000-0005-0000-0000-00000F050000}"/>
    <cellStyle name="20% - Accent1 11 3 3" xfId="1064" xr:uid="{00000000-0005-0000-0000-000010050000}"/>
    <cellStyle name="20% - Accent1 11 3 3 2" xfId="1065" xr:uid="{00000000-0005-0000-0000-000011050000}"/>
    <cellStyle name="20% - Accent1 11 3 3 2 2" xfId="12491" xr:uid="{00000000-0005-0000-0000-000012050000}"/>
    <cellStyle name="20% - Accent1 11 3 3 2 3" xfId="16442" xr:uid="{00000000-0005-0000-0000-000013050000}"/>
    <cellStyle name="20% - Accent1 11 3 3 3" xfId="1066" xr:uid="{00000000-0005-0000-0000-000014050000}"/>
    <cellStyle name="20% - Accent1 11 3 3 3 2" xfId="12492" xr:uid="{00000000-0005-0000-0000-000015050000}"/>
    <cellStyle name="20% - Accent1 11 3 3 3 3" xfId="16443" xr:uid="{00000000-0005-0000-0000-000016050000}"/>
    <cellStyle name="20% - Accent1 11 3 3 4" xfId="12490" xr:uid="{00000000-0005-0000-0000-000017050000}"/>
    <cellStyle name="20% - Accent1 11 3 3 5" xfId="16441" xr:uid="{00000000-0005-0000-0000-000018050000}"/>
    <cellStyle name="20% - Accent1 11 3 4" xfId="1067" xr:uid="{00000000-0005-0000-0000-000019050000}"/>
    <cellStyle name="20% - Accent1 11 3 4 2" xfId="12493" xr:uid="{00000000-0005-0000-0000-00001A050000}"/>
    <cellStyle name="20% - Accent1 11 3 4 3" xfId="16444" xr:uid="{00000000-0005-0000-0000-00001B050000}"/>
    <cellStyle name="20% - Accent1 11 3 5" xfId="1068" xr:uid="{00000000-0005-0000-0000-00001C050000}"/>
    <cellStyle name="20% - Accent1 11 3 5 2" xfId="12494" xr:uid="{00000000-0005-0000-0000-00001D050000}"/>
    <cellStyle name="20% - Accent1 11 3 5 3" xfId="16445" xr:uid="{00000000-0005-0000-0000-00001E050000}"/>
    <cellStyle name="20% - Accent1 11 3 6" xfId="12486" xr:uid="{00000000-0005-0000-0000-00001F050000}"/>
    <cellStyle name="20% - Accent1 11 3 7" xfId="16437" xr:uid="{00000000-0005-0000-0000-000020050000}"/>
    <cellStyle name="20% - Accent1 11 3_Volatility" xfId="1069" xr:uid="{00000000-0005-0000-0000-000021050000}"/>
    <cellStyle name="20% - Accent1 11 4" xfId="1070" xr:uid="{00000000-0005-0000-0000-000022050000}"/>
    <cellStyle name="20% - Accent1 11 4 2" xfId="1071" xr:uid="{00000000-0005-0000-0000-000023050000}"/>
    <cellStyle name="20% - Accent1 11 4 2 2" xfId="12496" xr:uid="{00000000-0005-0000-0000-000024050000}"/>
    <cellStyle name="20% - Accent1 11 4 2 3" xfId="16447" xr:uid="{00000000-0005-0000-0000-000025050000}"/>
    <cellStyle name="20% - Accent1 11 4 3" xfId="1072" xr:uid="{00000000-0005-0000-0000-000026050000}"/>
    <cellStyle name="20% - Accent1 11 4 3 2" xfId="12497" xr:uid="{00000000-0005-0000-0000-000027050000}"/>
    <cellStyle name="20% - Accent1 11 4 3 3" xfId="16448" xr:uid="{00000000-0005-0000-0000-000028050000}"/>
    <cellStyle name="20% - Accent1 11 4 4" xfId="12495" xr:uid="{00000000-0005-0000-0000-000029050000}"/>
    <cellStyle name="20% - Accent1 11 4 5" xfId="16446" xr:uid="{00000000-0005-0000-0000-00002A050000}"/>
    <cellStyle name="20% - Accent1 11 5" xfId="1073" xr:uid="{00000000-0005-0000-0000-00002B050000}"/>
    <cellStyle name="20% - Accent1 11 5 2" xfId="1074" xr:uid="{00000000-0005-0000-0000-00002C050000}"/>
    <cellStyle name="20% - Accent1 11 5 2 2" xfId="12499" xr:uid="{00000000-0005-0000-0000-00002D050000}"/>
    <cellStyle name="20% - Accent1 11 5 2 3" xfId="16450" xr:uid="{00000000-0005-0000-0000-00002E050000}"/>
    <cellStyle name="20% - Accent1 11 5 3" xfId="1075" xr:uid="{00000000-0005-0000-0000-00002F050000}"/>
    <cellStyle name="20% - Accent1 11 5 3 2" xfId="12500" xr:uid="{00000000-0005-0000-0000-000030050000}"/>
    <cellStyle name="20% - Accent1 11 5 3 3" xfId="16451" xr:uid="{00000000-0005-0000-0000-000031050000}"/>
    <cellStyle name="20% - Accent1 11 5 4" xfId="12498" xr:uid="{00000000-0005-0000-0000-000032050000}"/>
    <cellStyle name="20% - Accent1 11 5 5" xfId="16449" xr:uid="{00000000-0005-0000-0000-000033050000}"/>
    <cellStyle name="20% - Accent1 11 6" xfId="1076" xr:uid="{00000000-0005-0000-0000-000034050000}"/>
    <cellStyle name="20% - Accent1 11 6 2" xfId="1077" xr:uid="{00000000-0005-0000-0000-000035050000}"/>
    <cellStyle name="20% - Accent1 11 6 2 2" xfId="12502" xr:uid="{00000000-0005-0000-0000-000036050000}"/>
    <cellStyle name="20% - Accent1 11 6 2 3" xfId="16453" xr:uid="{00000000-0005-0000-0000-000037050000}"/>
    <cellStyle name="20% - Accent1 11 6 3" xfId="1078" xr:uid="{00000000-0005-0000-0000-000038050000}"/>
    <cellStyle name="20% - Accent1 11 6 3 2" xfId="12503" xr:uid="{00000000-0005-0000-0000-000039050000}"/>
    <cellStyle name="20% - Accent1 11 6 3 3" xfId="16454" xr:uid="{00000000-0005-0000-0000-00003A050000}"/>
    <cellStyle name="20% - Accent1 11 6 4" xfId="12501" xr:uid="{00000000-0005-0000-0000-00003B050000}"/>
    <cellStyle name="20% - Accent1 11 6 5" xfId="16452" xr:uid="{00000000-0005-0000-0000-00003C050000}"/>
    <cellStyle name="20% - Accent1 11 7" xfId="1079" xr:uid="{00000000-0005-0000-0000-00003D050000}"/>
    <cellStyle name="20% - Accent1 11 7 2" xfId="12504" xr:uid="{00000000-0005-0000-0000-00003E050000}"/>
    <cellStyle name="20% - Accent1 11 7 3" xfId="16455" xr:uid="{00000000-0005-0000-0000-00003F050000}"/>
    <cellStyle name="20% - Accent1 11 8" xfId="1080" xr:uid="{00000000-0005-0000-0000-000040050000}"/>
    <cellStyle name="20% - Accent1 11 8 2" xfId="12505" xr:uid="{00000000-0005-0000-0000-000041050000}"/>
    <cellStyle name="20% - Accent1 11 8 3" xfId="16456" xr:uid="{00000000-0005-0000-0000-000042050000}"/>
    <cellStyle name="20% - Accent1 11 9" xfId="12473" xr:uid="{00000000-0005-0000-0000-000043050000}"/>
    <cellStyle name="20% - Accent1 11_Volatility" xfId="1081" xr:uid="{00000000-0005-0000-0000-000044050000}"/>
    <cellStyle name="20% - Accent1 12" xfId="1082" xr:uid="{00000000-0005-0000-0000-000045050000}"/>
    <cellStyle name="20% - Accent1 12 10" xfId="16457" xr:uid="{00000000-0005-0000-0000-000046050000}"/>
    <cellStyle name="20% - Accent1 12 2" xfId="1083" xr:uid="{00000000-0005-0000-0000-000047050000}"/>
    <cellStyle name="20% - Accent1 12 2 2" xfId="1084" xr:uid="{00000000-0005-0000-0000-000048050000}"/>
    <cellStyle name="20% - Accent1 12 2 2 2" xfId="1085" xr:uid="{00000000-0005-0000-0000-000049050000}"/>
    <cellStyle name="20% - Accent1 12 2 2 2 2" xfId="12509" xr:uid="{00000000-0005-0000-0000-00004A050000}"/>
    <cellStyle name="20% - Accent1 12 2 2 2 3" xfId="16460" xr:uid="{00000000-0005-0000-0000-00004B050000}"/>
    <cellStyle name="20% - Accent1 12 2 2 3" xfId="1086" xr:uid="{00000000-0005-0000-0000-00004C050000}"/>
    <cellStyle name="20% - Accent1 12 2 2 3 2" xfId="12510" xr:uid="{00000000-0005-0000-0000-00004D050000}"/>
    <cellStyle name="20% - Accent1 12 2 2 3 3" xfId="16461" xr:uid="{00000000-0005-0000-0000-00004E050000}"/>
    <cellStyle name="20% - Accent1 12 2 2 4" xfId="12508" xr:uid="{00000000-0005-0000-0000-00004F050000}"/>
    <cellStyle name="20% - Accent1 12 2 2 5" xfId="16459" xr:uid="{00000000-0005-0000-0000-000050050000}"/>
    <cellStyle name="20% - Accent1 12 2 3" xfId="1087" xr:uid="{00000000-0005-0000-0000-000051050000}"/>
    <cellStyle name="20% - Accent1 12 2 3 2" xfId="1088" xr:uid="{00000000-0005-0000-0000-000052050000}"/>
    <cellStyle name="20% - Accent1 12 2 3 2 2" xfId="12512" xr:uid="{00000000-0005-0000-0000-000053050000}"/>
    <cellStyle name="20% - Accent1 12 2 3 2 3" xfId="16463" xr:uid="{00000000-0005-0000-0000-000054050000}"/>
    <cellStyle name="20% - Accent1 12 2 3 3" xfId="1089" xr:uid="{00000000-0005-0000-0000-000055050000}"/>
    <cellStyle name="20% - Accent1 12 2 3 3 2" xfId="12513" xr:uid="{00000000-0005-0000-0000-000056050000}"/>
    <cellStyle name="20% - Accent1 12 2 3 3 3" xfId="16464" xr:uid="{00000000-0005-0000-0000-000057050000}"/>
    <cellStyle name="20% - Accent1 12 2 3 4" xfId="12511" xr:uid="{00000000-0005-0000-0000-000058050000}"/>
    <cellStyle name="20% - Accent1 12 2 3 5" xfId="16462" xr:uid="{00000000-0005-0000-0000-000059050000}"/>
    <cellStyle name="20% - Accent1 12 2 4" xfId="1090" xr:uid="{00000000-0005-0000-0000-00005A050000}"/>
    <cellStyle name="20% - Accent1 12 2 4 2" xfId="1091" xr:uid="{00000000-0005-0000-0000-00005B050000}"/>
    <cellStyle name="20% - Accent1 12 2 4 2 2" xfId="12515" xr:uid="{00000000-0005-0000-0000-00005C050000}"/>
    <cellStyle name="20% - Accent1 12 2 4 2 3" xfId="16466" xr:uid="{00000000-0005-0000-0000-00005D050000}"/>
    <cellStyle name="20% - Accent1 12 2 4 3" xfId="1092" xr:uid="{00000000-0005-0000-0000-00005E050000}"/>
    <cellStyle name="20% - Accent1 12 2 4 3 2" xfId="12516" xr:uid="{00000000-0005-0000-0000-00005F050000}"/>
    <cellStyle name="20% - Accent1 12 2 4 3 3" xfId="16467" xr:uid="{00000000-0005-0000-0000-000060050000}"/>
    <cellStyle name="20% - Accent1 12 2 4 4" xfId="12514" xr:uid="{00000000-0005-0000-0000-000061050000}"/>
    <cellStyle name="20% - Accent1 12 2 4 5" xfId="16465" xr:uid="{00000000-0005-0000-0000-000062050000}"/>
    <cellStyle name="20% - Accent1 12 2 5" xfId="1093" xr:uid="{00000000-0005-0000-0000-000063050000}"/>
    <cellStyle name="20% - Accent1 12 2 5 2" xfId="12517" xr:uid="{00000000-0005-0000-0000-000064050000}"/>
    <cellStyle name="20% - Accent1 12 2 5 3" xfId="16468" xr:uid="{00000000-0005-0000-0000-000065050000}"/>
    <cellStyle name="20% - Accent1 12 2 6" xfId="1094" xr:uid="{00000000-0005-0000-0000-000066050000}"/>
    <cellStyle name="20% - Accent1 12 2 6 2" xfId="12518" xr:uid="{00000000-0005-0000-0000-000067050000}"/>
    <cellStyle name="20% - Accent1 12 2 6 3" xfId="16469" xr:uid="{00000000-0005-0000-0000-000068050000}"/>
    <cellStyle name="20% - Accent1 12 2 7" xfId="12507" xr:uid="{00000000-0005-0000-0000-000069050000}"/>
    <cellStyle name="20% - Accent1 12 2 8" xfId="16458" xr:uid="{00000000-0005-0000-0000-00006A050000}"/>
    <cellStyle name="20% - Accent1 12 2_Volatility" xfId="1095" xr:uid="{00000000-0005-0000-0000-00006B050000}"/>
    <cellStyle name="20% - Accent1 12 3" xfId="1096" xr:uid="{00000000-0005-0000-0000-00006C050000}"/>
    <cellStyle name="20% - Accent1 12 3 2" xfId="1097" xr:uid="{00000000-0005-0000-0000-00006D050000}"/>
    <cellStyle name="20% - Accent1 12 3 2 2" xfId="1098" xr:uid="{00000000-0005-0000-0000-00006E050000}"/>
    <cellStyle name="20% - Accent1 12 3 2 2 2" xfId="12521" xr:uid="{00000000-0005-0000-0000-00006F050000}"/>
    <cellStyle name="20% - Accent1 12 3 2 2 3" xfId="16472" xr:uid="{00000000-0005-0000-0000-000070050000}"/>
    <cellStyle name="20% - Accent1 12 3 2 3" xfId="1099" xr:uid="{00000000-0005-0000-0000-000071050000}"/>
    <cellStyle name="20% - Accent1 12 3 2 3 2" xfId="12522" xr:uid="{00000000-0005-0000-0000-000072050000}"/>
    <cellStyle name="20% - Accent1 12 3 2 3 3" xfId="16473" xr:uid="{00000000-0005-0000-0000-000073050000}"/>
    <cellStyle name="20% - Accent1 12 3 2 4" xfId="12520" xr:uid="{00000000-0005-0000-0000-000074050000}"/>
    <cellStyle name="20% - Accent1 12 3 2 5" xfId="16471" xr:uid="{00000000-0005-0000-0000-000075050000}"/>
    <cellStyle name="20% - Accent1 12 3 3" xfId="1100" xr:uid="{00000000-0005-0000-0000-000076050000}"/>
    <cellStyle name="20% - Accent1 12 3 3 2" xfId="1101" xr:uid="{00000000-0005-0000-0000-000077050000}"/>
    <cellStyle name="20% - Accent1 12 3 3 2 2" xfId="12524" xr:uid="{00000000-0005-0000-0000-000078050000}"/>
    <cellStyle name="20% - Accent1 12 3 3 2 3" xfId="16475" xr:uid="{00000000-0005-0000-0000-000079050000}"/>
    <cellStyle name="20% - Accent1 12 3 3 3" xfId="1102" xr:uid="{00000000-0005-0000-0000-00007A050000}"/>
    <cellStyle name="20% - Accent1 12 3 3 3 2" xfId="12525" xr:uid="{00000000-0005-0000-0000-00007B050000}"/>
    <cellStyle name="20% - Accent1 12 3 3 3 3" xfId="16476" xr:uid="{00000000-0005-0000-0000-00007C050000}"/>
    <cellStyle name="20% - Accent1 12 3 3 4" xfId="12523" xr:uid="{00000000-0005-0000-0000-00007D050000}"/>
    <cellStyle name="20% - Accent1 12 3 3 5" xfId="16474" xr:uid="{00000000-0005-0000-0000-00007E050000}"/>
    <cellStyle name="20% - Accent1 12 3 4" xfId="1103" xr:uid="{00000000-0005-0000-0000-00007F050000}"/>
    <cellStyle name="20% - Accent1 12 3 4 2" xfId="12526" xr:uid="{00000000-0005-0000-0000-000080050000}"/>
    <cellStyle name="20% - Accent1 12 3 4 3" xfId="16477" xr:uid="{00000000-0005-0000-0000-000081050000}"/>
    <cellStyle name="20% - Accent1 12 3 5" xfId="1104" xr:uid="{00000000-0005-0000-0000-000082050000}"/>
    <cellStyle name="20% - Accent1 12 3 5 2" xfId="12527" xr:uid="{00000000-0005-0000-0000-000083050000}"/>
    <cellStyle name="20% - Accent1 12 3 5 3" xfId="16478" xr:uid="{00000000-0005-0000-0000-000084050000}"/>
    <cellStyle name="20% - Accent1 12 3 6" xfId="12519" xr:uid="{00000000-0005-0000-0000-000085050000}"/>
    <cellStyle name="20% - Accent1 12 3 7" xfId="16470" xr:uid="{00000000-0005-0000-0000-000086050000}"/>
    <cellStyle name="20% - Accent1 12 3_Volatility" xfId="1105" xr:uid="{00000000-0005-0000-0000-000087050000}"/>
    <cellStyle name="20% - Accent1 12 4" xfId="1106" xr:uid="{00000000-0005-0000-0000-000088050000}"/>
    <cellStyle name="20% - Accent1 12 4 2" xfId="1107" xr:uid="{00000000-0005-0000-0000-000089050000}"/>
    <cellStyle name="20% - Accent1 12 4 2 2" xfId="12529" xr:uid="{00000000-0005-0000-0000-00008A050000}"/>
    <cellStyle name="20% - Accent1 12 4 2 3" xfId="16480" xr:uid="{00000000-0005-0000-0000-00008B050000}"/>
    <cellStyle name="20% - Accent1 12 4 3" xfId="1108" xr:uid="{00000000-0005-0000-0000-00008C050000}"/>
    <cellStyle name="20% - Accent1 12 4 3 2" xfId="12530" xr:uid="{00000000-0005-0000-0000-00008D050000}"/>
    <cellStyle name="20% - Accent1 12 4 3 3" xfId="16481" xr:uid="{00000000-0005-0000-0000-00008E050000}"/>
    <cellStyle name="20% - Accent1 12 4 4" xfId="12528" xr:uid="{00000000-0005-0000-0000-00008F050000}"/>
    <cellStyle name="20% - Accent1 12 4 5" xfId="16479" xr:uid="{00000000-0005-0000-0000-000090050000}"/>
    <cellStyle name="20% - Accent1 12 5" xfId="1109" xr:uid="{00000000-0005-0000-0000-000091050000}"/>
    <cellStyle name="20% - Accent1 12 5 2" xfId="1110" xr:uid="{00000000-0005-0000-0000-000092050000}"/>
    <cellStyle name="20% - Accent1 12 5 2 2" xfId="12532" xr:uid="{00000000-0005-0000-0000-000093050000}"/>
    <cellStyle name="20% - Accent1 12 5 2 3" xfId="16483" xr:uid="{00000000-0005-0000-0000-000094050000}"/>
    <cellStyle name="20% - Accent1 12 5 3" xfId="1111" xr:uid="{00000000-0005-0000-0000-000095050000}"/>
    <cellStyle name="20% - Accent1 12 5 3 2" xfId="12533" xr:uid="{00000000-0005-0000-0000-000096050000}"/>
    <cellStyle name="20% - Accent1 12 5 3 3" xfId="16484" xr:uid="{00000000-0005-0000-0000-000097050000}"/>
    <cellStyle name="20% - Accent1 12 5 4" xfId="12531" xr:uid="{00000000-0005-0000-0000-000098050000}"/>
    <cellStyle name="20% - Accent1 12 5 5" xfId="16482" xr:uid="{00000000-0005-0000-0000-000099050000}"/>
    <cellStyle name="20% - Accent1 12 6" xfId="1112" xr:uid="{00000000-0005-0000-0000-00009A050000}"/>
    <cellStyle name="20% - Accent1 12 6 2" xfId="1113" xr:uid="{00000000-0005-0000-0000-00009B050000}"/>
    <cellStyle name="20% - Accent1 12 6 2 2" xfId="12535" xr:uid="{00000000-0005-0000-0000-00009C050000}"/>
    <cellStyle name="20% - Accent1 12 6 2 3" xfId="16486" xr:uid="{00000000-0005-0000-0000-00009D050000}"/>
    <cellStyle name="20% - Accent1 12 6 3" xfId="1114" xr:uid="{00000000-0005-0000-0000-00009E050000}"/>
    <cellStyle name="20% - Accent1 12 6 3 2" xfId="12536" xr:uid="{00000000-0005-0000-0000-00009F050000}"/>
    <cellStyle name="20% - Accent1 12 6 3 3" xfId="16487" xr:uid="{00000000-0005-0000-0000-0000A0050000}"/>
    <cellStyle name="20% - Accent1 12 6 4" xfId="12534" xr:uid="{00000000-0005-0000-0000-0000A1050000}"/>
    <cellStyle name="20% - Accent1 12 6 5" xfId="16485" xr:uid="{00000000-0005-0000-0000-0000A2050000}"/>
    <cellStyle name="20% - Accent1 12 7" xfId="1115" xr:uid="{00000000-0005-0000-0000-0000A3050000}"/>
    <cellStyle name="20% - Accent1 12 7 2" xfId="12537" xr:uid="{00000000-0005-0000-0000-0000A4050000}"/>
    <cellStyle name="20% - Accent1 12 7 3" xfId="16488" xr:uid="{00000000-0005-0000-0000-0000A5050000}"/>
    <cellStyle name="20% - Accent1 12 8" xfId="1116" xr:uid="{00000000-0005-0000-0000-0000A6050000}"/>
    <cellStyle name="20% - Accent1 12 8 2" xfId="12538" xr:uid="{00000000-0005-0000-0000-0000A7050000}"/>
    <cellStyle name="20% - Accent1 12 8 3" xfId="16489" xr:uid="{00000000-0005-0000-0000-0000A8050000}"/>
    <cellStyle name="20% - Accent1 12 9" xfId="12506" xr:uid="{00000000-0005-0000-0000-0000A9050000}"/>
    <cellStyle name="20% - Accent1 12_Volatility" xfId="1117" xr:uid="{00000000-0005-0000-0000-0000AA050000}"/>
    <cellStyle name="20% - Accent1 13" xfId="1118" xr:uid="{00000000-0005-0000-0000-0000AB050000}"/>
    <cellStyle name="20% - Accent1 13 10" xfId="16490" xr:uid="{00000000-0005-0000-0000-0000AC050000}"/>
    <cellStyle name="20% - Accent1 13 2" xfId="1119" xr:uid="{00000000-0005-0000-0000-0000AD050000}"/>
    <cellStyle name="20% - Accent1 13 2 2" xfId="1120" xr:uid="{00000000-0005-0000-0000-0000AE050000}"/>
    <cellStyle name="20% - Accent1 13 2 2 2" xfId="1121" xr:uid="{00000000-0005-0000-0000-0000AF050000}"/>
    <cellStyle name="20% - Accent1 13 2 2 2 2" xfId="12542" xr:uid="{00000000-0005-0000-0000-0000B0050000}"/>
    <cellStyle name="20% - Accent1 13 2 2 2 3" xfId="16493" xr:uid="{00000000-0005-0000-0000-0000B1050000}"/>
    <cellStyle name="20% - Accent1 13 2 2 3" xfId="1122" xr:uid="{00000000-0005-0000-0000-0000B2050000}"/>
    <cellStyle name="20% - Accent1 13 2 2 3 2" xfId="12543" xr:uid="{00000000-0005-0000-0000-0000B3050000}"/>
    <cellStyle name="20% - Accent1 13 2 2 3 3" xfId="16494" xr:uid="{00000000-0005-0000-0000-0000B4050000}"/>
    <cellStyle name="20% - Accent1 13 2 2 4" xfId="12541" xr:uid="{00000000-0005-0000-0000-0000B5050000}"/>
    <cellStyle name="20% - Accent1 13 2 2 5" xfId="16492" xr:uid="{00000000-0005-0000-0000-0000B6050000}"/>
    <cellStyle name="20% - Accent1 13 2 3" xfId="1123" xr:uid="{00000000-0005-0000-0000-0000B7050000}"/>
    <cellStyle name="20% - Accent1 13 2 3 2" xfId="1124" xr:uid="{00000000-0005-0000-0000-0000B8050000}"/>
    <cellStyle name="20% - Accent1 13 2 3 2 2" xfId="12545" xr:uid="{00000000-0005-0000-0000-0000B9050000}"/>
    <cellStyle name="20% - Accent1 13 2 3 2 3" xfId="16496" xr:uid="{00000000-0005-0000-0000-0000BA050000}"/>
    <cellStyle name="20% - Accent1 13 2 3 3" xfId="1125" xr:uid="{00000000-0005-0000-0000-0000BB050000}"/>
    <cellStyle name="20% - Accent1 13 2 3 3 2" xfId="12546" xr:uid="{00000000-0005-0000-0000-0000BC050000}"/>
    <cellStyle name="20% - Accent1 13 2 3 3 3" xfId="16497" xr:uid="{00000000-0005-0000-0000-0000BD050000}"/>
    <cellStyle name="20% - Accent1 13 2 3 4" xfId="12544" xr:uid="{00000000-0005-0000-0000-0000BE050000}"/>
    <cellStyle name="20% - Accent1 13 2 3 5" xfId="16495" xr:uid="{00000000-0005-0000-0000-0000BF050000}"/>
    <cellStyle name="20% - Accent1 13 2 4" xfId="1126" xr:uid="{00000000-0005-0000-0000-0000C0050000}"/>
    <cellStyle name="20% - Accent1 13 2 4 2" xfId="1127" xr:uid="{00000000-0005-0000-0000-0000C1050000}"/>
    <cellStyle name="20% - Accent1 13 2 4 2 2" xfId="12548" xr:uid="{00000000-0005-0000-0000-0000C2050000}"/>
    <cellStyle name="20% - Accent1 13 2 4 2 3" xfId="16499" xr:uid="{00000000-0005-0000-0000-0000C3050000}"/>
    <cellStyle name="20% - Accent1 13 2 4 3" xfId="1128" xr:uid="{00000000-0005-0000-0000-0000C4050000}"/>
    <cellStyle name="20% - Accent1 13 2 4 3 2" xfId="12549" xr:uid="{00000000-0005-0000-0000-0000C5050000}"/>
    <cellStyle name="20% - Accent1 13 2 4 3 3" xfId="16500" xr:uid="{00000000-0005-0000-0000-0000C6050000}"/>
    <cellStyle name="20% - Accent1 13 2 4 4" xfId="12547" xr:uid="{00000000-0005-0000-0000-0000C7050000}"/>
    <cellStyle name="20% - Accent1 13 2 4 5" xfId="16498" xr:uid="{00000000-0005-0000-0000-0000C8050000}"/>
    <cellStyle name="20% - Accent1 13 2 5" xfId="1129" xr:uid="{00000000-0005-0000-0000-0000C9050000}"/>
    <cellStyle name="20% - Accent1 13 2 5 2" xfId="12550" xr:uid="{00000000-0005-0000-0000-0000CA050000}"/>
    <cellStyle name="20% - Accent1 13 2 5 3" xfId="16501" xr:uid="{00000000-0005-0000-0000-0000CB050000}"/>
    <cellStyle name="20% - Accent1 13 2 6" xfId="1130" xr:uid="{00000000-0005-0000-0000-0000CC050000}"/>
    <cellStyle name="20% - Accent1 13 2 6 2" xfId="12551" xr:uid="{00000000-0005-0000-0000-0000CD050000}"/>
    <cellStyle name="20% - Accent1 13 2 6 3" xfId="16502" xr:uid="{00000000-0005-0000-0000-0000CE050000}"/>
    <cellStyle name="20% - Accent1 13 2 7" xfId="12540" xr:uid="{00000000-0005-0000-0000-0000CF050000}"/>
    <cellStyle name="20% - Accent1 13 2 8" xfId="16491" xr:uid="{00000000-0005-0000-0000-0000D0050000}"/>
    <cellStyle name="20% - Accent1 13 2_Volatility" xfId="1131" xr:uid="{00000000-0005-0000-0000-0000D1050000}"/>
    <cellStyle name="20% - Accent1 13 3" xfId="1132" xr:uid="{00000000-0005-0000-0000-0000D2050000}"/>
    <cellStyle name="20% - Accent1 13 3 2" xfId="1133" xr:uid="{00000000-0005-0000-0000-0000D3050000}"/>
    <cellStyle name="20% - Accent1 13 3 2 2" xfId="1134" xr:uid="{00000000-0005-0000-0000-0000D4050000}"/>
    <cellStyle name="20% - Accent1 13 3 2 2 2" xfId="12554" xr:uid="{00000000-0005-0000-0000-0000D5050000}"/>
    <cellStyle name="20% - Accent1 13 3 2 2 3" xfId="16505" xr:uid="{00000000-0005-0000-0000-0000D6050000}"/>
    <cellStyle name="20% - Accent1 13 3 2 3" xfId="1135" xr:uid="{00000000-0005-0000-0000-0000D7050000}"/>
    <cellStyle name="20% - Accent1 13 3 2 3 2" xfId="12555" xr:uid="{00000000-0005-0000-0000-0000D8050000}"/>
    <cellStyle name="20% - Accent1 13 3 2 3 3" xfId="16506" xr:uid="{00000000-0005-0000-0000-0000D9050000}"/>
    <cellStyle name="20% - Accent1 13 3 2 4" xfId="12553" xr:uid="{00000000-0005-0000-0000-0000DA050000}"/>
    <cellStyle name="20% - Accent1 13 3 2 5" xfId="16504" xr:uid="{00000000-0005-0000-0000-0000DB050000}"/>
    <cellStyle name="20% - Accent1 13 3 3" xfId="1136" xr:uid="{00000000-0005-0000-0000-0000DC050000}"/>
    <cellStyle name="20% - Accent1 13 3 3 2" xfId="1137" xr:uid="{00000000-0005-0000-0000-0000DD050000}"/>
    <cellStyle name="20% - Accent1 13 3 3 2 2" xfId="12557" xr:uid="{00000000-0005-0000-0000-0000DE050000}"/>
    <cellStyle name="20% - Accent1 13 3 3 2 3" xfId="16508" xr:uid="{00000000-0005-0000-0000-0000DF050000}"/>
    <cellStyle name="20% - Accent1 13 3 3 3" xfId="1138" xr:uid="{00000000-0005-0000-0000-0000E0050000}"/>
    <cellStyle name="20% - Accent1 13 3 3 3 2" xfId="12558" xr:uid="{00000000-0005-0000-0000-0000E1050000}"/>
    <cellStyle name="20% - Accent1 13 3 3 3 3" xfId="16509" xr:uid="{00000000-0005-0000-0000-0000E2050000}"/>
    <cellStyle name="20% - Accent1 13 3 3 4" xfId="12556" xr:uid="{00000000-0005-0000-0000-0000E3050000}"/>
    <cellStyle name="20% - Accent1 13 3 3 5" xfId="16507" xr:uid="{00000000-0005-0000-0000-0000E4050000}"/>
    <cellStyle name="20% - Accent1 13 3 4" xfId="1139" xr:uid="{00000000-0005-0000-0000-0000E5050000}"/>
    <cellStyle name="20% - Accent1 13 3 4 2" xfId="12559" xr:uid="{00000000-0005-0000-0000-0000E6050000}"/>
    <cellStyle name="20% - Accent1 13 3 4 3" xfId="16510" xr:uid="{00000000-0005-0000-0000-0000E7050000}"/>
    <cellStyle name="20% - Accent1 13 3 5" xfId="1140" xr:uid="{00000000-0005-0000-0000-0000E8050000}"/>
    <cellStyle name="20% - Accent1 13 3 5 2" xfId="12560" xr:uid="{00000000-0005-0000-0000-0000E9050000}"/>
    <cellStyle name="20% - Accent1 13 3 5 3" xfId="16511" xr:uid="{00000000-0005-0000-0000-0000EA050000}"/>
    <cellStyle name="20% - Accent1 13 3 6" xfId="12552" xr:uid="{00000000-0005-0000-0000-0000EB050000}"/>
    <cellStyle name="20% - Accent1 13 3 7" xfId="16503" xr:uid="{00000000-0005-0000-0000-0000EC050000}"/>
    <cellStyle name="20% - Accent1 13 3_Volatility" xfId="1141" xr:uid="{00000000-0005-0000-0000-0000ED050000}"/>
    <cellStyle name="20% - Accent1 13 4" xfId="1142" xr:uid="{00000000-0005-0000-0000-0000EE050000}"/>
    <cellStyle name="20% - Accent1 13 4 2" xfId="1143" xr:uid="{00000000-0005-0000-0000-0000EF050000}"/>
    <cellStyle name="20% - Accent1 13 4 2 2" xfId="12562" xr:uid="{00000000-0005-0000-0000-0000F0050000}"/>
    <cellStyle name="20% - Accent1 13 4 2 3" xfId="16513" xr:uid="{00000000-0005-0000-0000-0000F1050000}"/>
    <cellStyle name="20% - Accent1 13 4 3" xfId="1144" xr:uid="{00000000-0005-0000-0000-0000F2050000}"/>
    <cellStyle name="20% - Accent1 13 4 3 2" xfId="12563" xr:uid="{00000000-0005-0000-0000-0000F3050000}"/>
    <cellStyle name="20% - Accent1 13 4 3 3" xfId="16514" xr:uid="{00000000-0005-0000-0000-0000F4050000}"/>
    <cellStyle name="20% - Accent1 13 4 4" xfId="12561" xr:uid="{00000000-0005-0000-0000-0000F5050000}"/>
    <cellStyle name="20% - Accent1 13 4 5" xfId="16512" xr:uid="{00000000-0005-0000-0000-0000F6050000}"/>
    <cellStyle name="20% - Accent1 13 5" xfId="1145" xr:uid="{00000000-0005-0000-0000-0000F7050000}"/>
    <cellStyle name="20% - Accent1 13 5 2" xfId="1146" xr:uid="{00000000-0005-0000-0000-0000F8050000}"/>
    <cellStyle name="20% - Accent1 13 5 2 2" xfId="12565" xr:uid="{00000000-0005-0000-0000-0000F9050000}"/>
    <cellStyle name="20% - Accent1 13 5 2 3" xfId="16516" xr:uid="{00000000-0005-0000-0000-0000FA050000}"/>
    <cellStyle name="20% - Accent1 13 5 3" xfId="1147" xr:uid="{00000000-0005-0000-0000-0000FB050000}"/>
    <cellStyle name="20% - Accent1 13 5 3 2" xfId="12566" xr:uid="{00000000-0005-0000-0000-0000FC050000}"/>
    <cellStyle name="20% - Accent1 13 5 3 3" xfId="16517" xr:uid="{00000000-0005-0000-0000-0000FD050000}"/>
    <cellStyle name="20% - Accent1 13 5 4" xfId="12564" xr:uid="{00000000-0005-0000-0000-0000FE050000}"/>
    <cellStyle name="20% - Accent1 13 5 5" xfId="16515" xr:uid="{00000000-0005-0000-0000-0000FF050000}"/>
    <cellStyle name="20% - Accent1 13 6" xfId="1148" xr:uid="{00000000-0005-0000-0000-000000060000}"/>
    <cellStyle name="20% - Accent1 13 6 2" xfId="1149" xr:uid="{00000000-0005-0000-0000-000001060000}"/>
    <cellStyle name="20% - Accent1 13 6 2 2" xfId="12568" xr:uid="{00000000-0005-0000-0000-000002060000}"/>
    <cellStyle name="20% - Accent1 13 6 2 3" xfId="16519" xr:uid="{00000000-0005-0000-0000-000003060000}"/>
    <cellStyle name="20% - Accent1 13 6 3" xfId="1150" xr:uid="{00000000-0005-0000-0000-000004060000}"/>
    <cellStyle name="20% - Accent1 13 6 3 2" xfId="12569" xr:uid="{00000000-0005-0000-0000-000005060000}"/>
    <cellStyle name="20% - Accent1 13 6 3 3" xfId="16520" xr:uid="{00000000-0005-0000-0000-000006060000}"/>
    <cellStyle name="20% - Accent1 13 6 4" xfId="12567" xr:uid="{00000000-0005-0000-0000-000007060000}"/>
    <cellStyle name="20% - Accent1 13 6 5" xfId="16518" xr:uid="{00000000-0005-0000-0000-000008060000}"/>
    <cellStyle name="20% - Accent1 13 7" xfId="1151" xr:uid="{00000000-0005-0000-0000-000009060000}"/>
    <cellStyle name="20% - Accent1 13 7 2" xfId="12570" xr:uid="{00000000-0005-0000-0000-00000A060000}"/>
    <cellStyle name="20% - Accent1 13 7 3" xfId="16521" xr:uid="{00000000-0005-0000-0000-00000B060000}"/>
    <cellStyle name="20% - Accent1 13 8" xfId="1152" xr:uid="{00000000-0005-0000-0000-00000C060000}"/>
    <cellStyle name="20% - Accent1 13 8 2" xfId="12571" xr:uid="{00000000-0005-0000-0000-00000D060000}"/>
    <cellStyle name="20% - Accent1 13 8 3" xfId="16522" xr:uid="{00000000-0005-0000-0000-00000E060000}"/>
    <cellStyle name="20% - Accent1 13 9" xfId="12539" xr:uid="{00000000-0005-0000-0000-00000F060000}"/>
    <cellStyle name="20% - Accent1 13_Volatility" xfId="1153" xr:uid="{00000000-0005-0000-0000-000010060000}"/>
    <cellStyle name="20% - Accent1 14" xfId="1154" xr:uid="{00000000-0005-0000-0000-000011060000}"/>
    <cellStyle name="20% - Accent1 14 10" xfId="16523" xr:uid="{00000000-0005-0000-0000-000012060000}"/>
    <cellStyle name="20% - Accent1 14 2" xfId="1155" xr:uid="{00000000-0005-0000-0000-000013060000}"/>
    <cellStyle name="20% - Accent1 14 2 2" xfId="1156" xr:uid="{00000000-0005-0000-0000-000014060000}"/>
    <cellStyle name="20% - Accent1 14 2 2 2" xfId="1157" xr:uid="{00000000-0005-0000-0000-000015060000}"/>
    <cellStyle name="20% - Accent1 14 2 2 2 2" xfId="12575" xr:uid="{00000000-0005-0000-0000-000016060000}"/>
    <cellStyle name="20% - Accent1 14 2 2 2 3" xfId="16526" xr:uid="{00000000-0005-0000-0000-000017060000}"/>
    <cellStyle name="20% - Accent1 14 2 2 3" xfId="1158" xr:uid="{00000000-0005-0000-0000-000018060000}"/>
    <cellStyle name="20% - Accent1 14 2 2 3 2" xfId="12576" xr:uid="{00000000-0005-0000-0000-000019060000}"/>
    <cellStyle name="20% - Accent1 14 2 2 3 3" xfId="16527" xr:uid="{00000000-0005-0000-0000-00001A060000}"/>
    <cellStyle name="20% - Accent1 14 2 2 4" xfId="12574" xr:uid="{00000000-0005-0000-0000-00001B060000}"/>
    <cellStyle name="20% - Accent1 14 2 2 5" xfId="16525" xr:uid="{00000000-0005-0000-0000-00001C060000}"/>
    <cellStyle name="20% - Accent1 14 2 3" xfId="1159" xr:uid="{00000000-0005-0000-0000-00001D060000}"/>
    <cellStyle name="20% - Accent1 14 2 3 2" xfId="1160" xr:uid="{00000000-0005-0000-0000-00001E060000}"/>
    <cellStyle name="20% - Accent1 14 2 3 2 2" xfId="12578" xr:uid="{00000000-0005-0000-0000-00001F060000}"/>
    <cellStyle name="20% - Accent1 14 2 3 2 3" xfId="16529" xr:uid="{00000000-0005-0000-0000-000020060000}"/>
    <cellStyle name="20% - Accent1 14 2 3 3" xfId="1161" xr:uid="{00000000-0005-0000-0000-000021060000}"/>
    <cellStyle name="20% - Accent1 14 2 3 3 2" xfId="12579" xr:uid="{00000000-0005-0000-0000-000022060000}"/>
    <cellStyle name="20% - Accent1 14 2 3 3 3" xfId="16530" xr:uid="{00000000-0005-0000-0000-000023060000}"/>
    <cellStyle name="20% - Accent1 14 2 3 4" xfId="12577" xr:uid="{00000000-0005-0000-0000-000024060000}"/>
    <cellStyle name="20% - Accent1 14 2 3 5" xfId="16528" xr:uid="{00000000-0005-0000-0000-000025060000}"/>
    <cellStyle name="20% - Accent1 14 2 4" xfId="1162" xr:uid="{00000000-0005-0000-0000-000026060000}"/>
    <cellStyle name="20% - Accent1 14 2 4 2" xfId="1163" xr:uid="{00000000-0005-0000-0000-000027060000}"/>
    <cellStyle name="20% - Accent1 14 2 4 2 2" xfId="12581" xr:uid="{00000000-0005-0000-0000-000028060000}"/>
    <cellStyle name="20% - Accent1 14 2 4 2 3" xfId="16532" xr:uid="{00000000-0005-0000-0000-000029060000}"/>
    <cellStyle name="20% - Accent1 14 2 4 3" xfId="1164" xr:uid="{00000000-0005-0000-0000-00002A060000}"/>
    <cellStyle name="20% - Accent1 14 2 4 3 2" xfId="12582" xr:uid="{00000000-0005-0000-0000-00002B060000}"/>
    <cellStyle name="20% - Accent1 14 2 4 3 3" xfId="16533" xr:uid="{00000000-0005-0000-0000-00002C060000}"/>
    <cellStyle name="20% - Accent1 14 2 4 4" xfId="12580" xr:uid="{00000000-0005-0000-0000-00002D060000}"/>
    <cellStyle name="20% - Accent1 14 2 4 5" xfId="16531" xr:uid="{00000000-0005-0000-0000-00002E060000}"/>
    <cellStyle name="20% - Accent1 14 2 5" xfId="1165" xr:uid="{00000000-0005-0000-0000-00002F060000}"/>
    <cellStyle name="20% - Accent1 14 2 5 2" xfId="12583" xr:uid="{00000000-0005-0000-0000-000030060000}"/>
    <cellStyle name="20% - Accent1 14 2 5 3" xfId="16534" xr:uid="{00000000-0005-0000-0000-000031060000}"/>
    <cellStyle name="20% - Accent1 14 2 6" xfId="1166" xr:uid="{00000000-0005-0000-0000-000032060000}"/>
    <cellStyle name="20% - Accent1 14 2 6 2" xfId="12584" xr:uid="{00000000-0005-0000-0000-000033060000}"/>
    <cellStyle name="20% - Accent1 14 2 6 3" xfId="16535" xr:uid="{00000000-0005-0000-0000-000034060000}"/>
    <cellStyle name="20% - Accent1 14 2 7" xfId="12573" xr:uid="{00000000-0005-0000-0000-000035060000}"/>
    <cellStyle name="20% - Accent1 14 2 8" xfId="16524" xr:uid="{00000000-0005-0000-0000-000036060000}"/>
    <cellStyle name="20% - Accent1 14 2_Volatility" xfId="1167" xr:uid="{00000000-0005-0000-0000-000037060000}"/>
    <cellStyle name="20% - Accent1 14 3" xfId="1168" xr:uid="{00000000-0005-0000-0000-000038060000}"/>
    <cellStyle name="20% - Accent1 14 3 2" xfId="1169" xr:uid="{00000000-0005-0000-0000-000039060000}"/>
    <cellStyle name="20% - Accent1 14 3 2 2" xfId="1170" xr:uid="{00000000-0005-0000-0000-00003A060000}"/>
    <cellStyle name="20% - Accent1 14 3 2 2 2" xfId="12587" xr:uid="{00000000-0005-0000-0000-00003B060000}"/>
    <cellStyle name="20% - Accent1 14 3 2 2 3" xfId="16538" xr:uid="{00000000-0005-0000-0000-00003C060000}"/>
    <cellStyle name="20% - Accent1 14 3 2 3" xfId="1171" xr:uid="{00000000-0005-0000-0000-00003D060000}"/>
    <cellStyle name="20% - Accent1 14 3 2 3 2" xfId="12588" xr:uid="{00000000-0005-0000-0000-00003E060000}"/>
    <cellStyle name="20% - Accent1 14 3 2 3 3" xfId="16539" xr:uid="{00000000-0005-0000-0000-00003F060000}"/>
    <cellStyle name="20% - Accent1 14 3 2 4" xfId="12586" xr:uid="{00000000-0005-0000-0000-000040060000}"/>
    <cellStyle name="20% - Accent1 14 3 2 5" xfId="16537" xr:uid="{00000000-0005-0000-0000-000041060000}"/>
    <cellStyle name="20% - Accent1 14 3 3" xfId="1172" xr:uid="{00000000-0005-0000-0000-000042060000}"/>
    <cellStyle name="20% - Accent1 14 3 3 2" xfId="1173" xr:uid="{00000000-0005-0000-0000-000043060000}"/>
    <cellStyle name="20% - Accent1 14 3 3 2 2" xfId="12590" xr:uid="{00000000-0005-0000-0000-000044060000}"/>
    <cellStyle name="20% - Accent1 14 3 3 2 3" xfId="16541" xr:uid="{00000000-0005-0000-0000-000045060000}"/>
    <cellStyle name="20% - Accent1 14 3 3 3" xfId="1174" xr:uid="{00000000-0005-0000-0000-000046060000}"/>
    <cellStyle name="20% - Accent1 14 3 3 3 2" xfId="12591" xr:uid="{00000000-0005-0000-0000-000047060000}"/>
    <cellStyle name="20% - Accent1 14 3 3 3 3" xfId="16542" xr:uid="{00000000-0005-0000-0000-000048060000}"/>
    <cellStyle name="20% - Accent1 14 3 3 4" xfId="12589" xr:uid="{00000000-0005-0000-0000-000049060000}"/>
    <cellStyle name="20% - Accent1 14 3 3 5" xfId="16540" xr:uid="{00000000-0005-0000-0000-00004A060000}"/>
    <cellStyle name="20% - Accent1 14 3 4" xfId="1175" xr:uid="{00000000-0005-0000-0000-00004B060000}"/>
    <cellStyle name="20% - Accent1 14 3 4 2" xfId="12592" xr:uid="{00000000-0005-0000-0000-00004C060000}"/>
    <cellStyle name="20% - Accent1 14 3 4 3" xfId="16543" xr:uid="{00000000-0005-0000-0000-00004D060000}"/>
    <cellStyle name="20% - Accent1 14 3 5" xfId="1176" xr:uid="{00000000-0005-0000-0000-00004E060000}"/>
    <cellStyle name="20% - Accent1 14 3 5 2" xfId="12593" xr:uid="{00000000-0005-0000-0000-00004F060000}"/>
    <cellStyle name="20% - Accent1 14 3 5 3" xfId="16544" xr:uid="{00000000-0005-0000-0000-000050060000}"/>
    <cellStyle name="20% - Accent1 14 3 6" xfId="12585" xr:uid="{00000000-0005-0000-0000-000051060000}"/>
    <cellStyle name="20% - Accent1 14 3 7" xfId="16536" xr:uid="{00000000-0005-0000-0000-000052060000}"/>
    <cellStyle name="20% - Accent1 14 3_Volatility" xfId="1177" xr:uid="{00000000-0005-0000-0000-000053060000}"/>
    <cellStyle name="20% - Accent1 14 4" xfId="1178" xr:uid="{00000000-0005-0000-0000-000054060000}"/>
    <cellStyle name="20% - Accent1 14 4 2" xfId="1179" xr:uid="{00000000-0005-0000-0000-000055060000}"/>
    <cellStyle name="20% - Accent1 14 4 2 2" xfId="12595" xr:uid="{00000000-0005-0000-0000-000056060000}"/>
    <cellStyle name="20% - Accent1 14 4 2 3" xfId="16546" xr:uid="{00000000-0005-0000-0000-000057060000}"/>
    <cellStyle name="20% - Accent1 14 4 3" xfId="1180" xr:uid="{00000000-0005-0000-0000-000058060000}"/>
    <cellStyle name="20% - Accent1 14 4 3 2" xfId="12596" xr:uid="{00000000-0005-0000-0000-000059060000}"/>
    <cellStyle name="20% - Accent1 14 4 3 3" xfId="16547" xr:uid="{00000000-0005-0000-0000-00005A060000}"/>
    <cellStyle name="20% - Accent1 14 4 4" xfId="12594" xr:uid="{00000000-0005-0000-0000-00005B060000}"/>
    <cellStyle name="20% - Accent1 14 4 5" xfId="16545" xr:uid="{00000000-0005-0000-0000-00005C060000}"/>
    <cellStyle name="20% - Accent1 14 5" xfId="1181" xr:uid="{00000000-0005-0000-0000-00005D060000}"/>
    <cellStyle name="20% - Accent1 14 5 2" xfId="1182" xr:uid="{00000000-0005-0000-0000-00005E060000}"/>
    <cellStyle name="20% - Accent1 14 5 2 2" xfId="12598" xr:uid="{00000000-0005-0000-0000-00005F060000}"/>
    <cellStyle name="20% - Accent1 14 5 2 3" xfId="16549" xr:uid="{00000000-0005-0000-0000-000060060000}"/>
    <cellStyle name="20% - Accent1 14 5 3" xfId="1183" xr:uid="{00000000-0005-0000-0000-000061060000}"/>
    <cellStyle name="20% - Accent1 14 5 3 2" xfId="12599" xr:uid="{00000000-0005-0000-0000-000062060000}"/>
    <cellStyle name="20% - Accent1 14 5 3 3" xfId="16550" xr:uid="{00000000-0005-0000-0000-000063060000}"/>
    <cellStyle name="20% - Accent1 14 5 4" xfId="12597" xr:uid="{00000000-0005-0000-0000-000064060000}"/>
    <cellStyle name="20% - Accent1 14 5 5" xfId="16548" xr:uid="{00000000-0005-0000-0000-000065060000}"/>
    <cellStyle name="20% - Accent1 14 6" xfId="1184" xr:uid="{00000000-0005-0000-0000-000066060000}"/>
    <cellStyle name="20% - Accent1 14 6 2" xfId="1185" xr:uid="{00000000-0005-0000-0000-000067060000}"/>
    <cellStyle name="20% - Accent1 14 6 2 2" xfId="12601" xr:uid="{00000000-0005-0000-0000-000068060000}"/>
    <cellStyle name="20% - Accent1 14 6 2 3" xfId="16552" xr:uid="{00000000-0005-0000-0000-000069060000}"/>
    <cellStyle name="20% - Accent1 14 6 3" xfId="1186" xr:uid="{00000000-0005-0000-0000-00006A060000}"/>
    <cellStyle name="20% - Accent1 14 6 3 2" xfId="12602" xr:uid="{00000000-0005-0000-0000-00006B060000}"/>
    <cellStyle name="20% - Accent1 14 6 3 3" xfId="16553" xr:uid="{00000000-0005-0000-0000-00006C060000}"/>
    <cellStyle name="20% - Accent1 14 6 4" xfId="12600" xr:uid="{00000000-0005-0000-0000-00006D060000}"/>
    <cellStyle name="20% - Accent1 14 6 5" xfId="16551" xr:uid="{00000000-0005-0000-0000-00006E060000}"/>
    <cellStyle name="20% - Accent1 14 7" xfId="1187" xr:uid="{00000000-0005-0000-0000-00006F060000}"/>
    <cellStyle name="20% - Accent1 14 7 2" xfId="12603" xr:uid="{00000000-0005-0000-0000-000070060000}"/>
    <cellStyle name="20% - Accent1 14 7 3" xfId="16554" xr:uid="{00000000-0005-0000-0000-000071060000}"/>
    <cellStyle name="20% - Accent1 14 8" xfId="1188" xr:uid="{00000000-0005-0000-0000-000072060000}"/>
    <cellStyle name="20% - Accent1 14 8 2" xfId="12604" xr:uid="{00000000-0005-0000-0000-000073060000}"/>
    <cellStyle name="20% - Accent1 14 8 3" xfId="16555" xr:uid="{00000000-0005-0000-0000-000074060000}"/>
    <cellStyle name="20% - Accent1 14 9" xfId="12572" xr:uid="{00000000-0005-0000-0000-000075060000}"/>
    <cellStyle name="20% - Accent1 14_Volatility" xfId="1189" xr:uid="{00000000-0005-0000-0000-000076060000}"/>
    <cellStyle name="20% - Accent1 15" xfId="1190" xr:uid="{00000000-0005-0000-0000-000077060000}"/>
    <cellStyle name="20% - Accent1 15 10" xfId="16556" xr:uid="{00000000-0005-0000-0000-000078060000}"/>
    <cellStyle name="20% - Accent1 15 2" xfId="1191" xr:uid="{00000000-0005-0000-0000-000079060000}"/>
    <cellStyle name="20% - Accent1 15 2 2" xfId="1192" xr:uid="{00000000-0005-0000-0000-00007A060000}"/>
    <cellStyle name="20% - Accent1 15 2 2 2" xfId="1193" xr:uid="{00000000-0005-0000-0000-00007B060000}"/>
    <cellStyle name="20% - Accent1 15 2 2 2 2" xfId="12608" xr:uid="{00000000-0005-0000-0000-00007C060000}"/>
    <cellStyle name="20% - Accent1 15 2 2 2 3" xfId="16559" xr:uid="{00000000-0005-0000-0000-00007D060000}"/>
    <cellStyle name="20% - Accent1 15 2 2 3" xfId="1194" xr:uid="{00000000-0005-0000-0000-00007E060000}"/>
    <cellStyle name="20% - Accent1 15 2 2 3 2" xfId="12609" xr:uid="{00000000-0005-0000-0000-00007F060000}"/>
    <cellStyle name="20% - Accent1 15 2 2 3 3" xfId="16560" xr:uid="{00000000-0005-0000-0000-000080060000}"/>
    <cellStyle name="20% - Accent1 15 2 2 4" xfId="12607" xr:uid="{00000000-0005-0000-0000-000081060000}"/>
    <cellStyle name="20% - Accent1 15 2 2 5" xfId="16558" xr:uid="{00000000-0005-0000-0000-000082060000}"/>
    <cellStyle name="20% - Accent1 15 2 3" xfId="1195" xr:uid="{00000000-0005-0000-0000-000083060000}"/>
    <cellStyle name="20% - Accent1 15 2 3 2" xfId="1196" xr:uid="{00000000-0005-0000-0000-000084060000}"/>
    <cellStyle name="20% - Accent1 15 2 3 2 2" xfId="12611" xr:uid="{00000000-0005-0000-0000-000085060000}"/>
    <cellStyle name="20% - Accent1 15 2 3 2 3" xfId="16562" xr:uid="{00000000-0005-0000-0000-000086060000}"/>
    <cellStyle name="20% - Accent1 15 2 3 3" xfId="1197" xr:uid="{00000000-0005-0000-0000-000087060000}"/>
    <cellStyle name="20% - Accent1 15 2 3 3 2" xfId="12612" xr:uid="{00000000-0005-0000-0000-000088060000}"/>
    <cellStyle name="20% - Accent1 15 2 3 3 3" xfId="16563" xr:uid="{00000000-0005-0000-0000-000089060000}"/>
    <cellStyle name="20% - Accent1 15 2 3 4" xfId="12610" xr:uid="{00000000-0005-0000-0000-00008A060000}"/>
    <cellStyle name="20% - Accent1 15 2 3 5" xfId="16561" xr:uid="{00000000-0005-0000-0000-00008B060000}"/>
    <cellStyle name="20% - Accent1 15 2 4" xfId="1198" xr:uid="{00000000-0005-0000-0000-00008C060000}"/>
    <cellStyle name="20% - Accent1 15 2 4 2" xfId="1199" xr:uid="{00000000-0005-0000-0000-00008D060000}"/>
    <cellStyle name="20% - Accent1 15 2 4 2 2" xfId="12614" xr:uid="{00000000-0005-0000-0000-00008E060000}"/>
    <cellStyle name="20% - Accent1 15 2 4 2 3" xfId="16565" xr:uid="{00000000-0005-0000-0000-00008F060000}"/>
    <cellStyle name="20% - Accent1 15 2 4 3" xfId="1200" xr:uid="{00000000-0005-0000-0000-000090060000}"/>
    <cellStyle name="20% - Accent1 15 2 4 3 2" xfId="12615" xr:uid="{00000000-0005-0000-0000-000091060000}"/>
    <cellStyle name="20% - Accent1 15 2 4 3 3" xfId="16566" xr:uid="{00000000-0005-0000-0000-000092060000}"/>
    <cellStyle name="20% - Accent1 15 2 4 4" xfId="12613" xr:uid="{00000000-0005-0000-0000-000093060000}"/>
    <cellStyle name="20% - Accent1 15 2 4 5" xfId="16564" xr:uid="{00000000-0005-0000-0000-000094060000}"/>
    <cellStyle name="20% - Accent1 15 2 5" xfId="1201" xr:uid="{00000000-0005-0000-0000-000095060000}"/>
    <cellStyle name="20% - Accent1 15 2 5 2" xfId="12616" xr:uid="{00000000-0005-0000-0000-000096060000}"/>
    <cellStyle name="20% - Accent1 15 2 5 3" xfId="16567" xr:uid="{00000000-0005-0000-0000-000097060000}"/>
    <cellStyle name="20% - Accent1 15 2 6" xfId="1202" xr:uid="{00000000-0005-0000-0000-000098060000}"/>
    <cellStyle name="20% - Accent1 15 2 6 2" xfId="12617" xr:uid="{00000000-0005-0000-0000-000099060000}"/>
    <cellStyle name="20% - Accent1 15 2 6 3" xfId="16568" xr:uid="{00000000-0005-0000-0000-00009A060000}"/>
    <cellStyle name="20% - Accent1 15 2 7" xfId="12606" xr:uid="{00000000-0005-0000-0000-00009B060000}"/>
    <cellStyle name="20% - Accent1 15 2 8" xfId="16557" xr:uid="{00000000-0005-0000-0000-00009C060000}"/>
    <cellStyle name="20% - Accent1 15 2_Volatility" xfId="1203" xr:uid="{00000000-0005-0000-0000-00009D060000}"/>
    <cellStyle name="20% - Accent1 15 3" xfId="1204" xr:uid="{00000000-0005-0000-0000-00009E060000}"/>
    <cellStyle name="20% - Accent1 15 3 2" xfId="1205" xr:uid="{00000000-0005-0000-0000-00009F060000}"/>
    <cellStyle name="20% - Accent1 15 3 2 2" xfId="1206" xr:uid="{00000000-0005-0000-0000-0000A0060000}"/>
    <cellStyle name="20% - Accent1 15 3 2 2 2" xfId="12620" xr:uid="{00000000-0005-0000-0000-0000A1060000}"/>
    <cellStyle name="20% - Accent1 15 3 2 2 3" xfId="16571" xr:uid="{00000000-0005-0000-0000-0000A2060000}"/>
    <cellStyle name="20% - Accent1 15 3 2 3" xfId="1207" xr:uid="{00000000-0005-0000-0000-0000A3060000}"/>
    <cellStyle name="20% - Accent1 15 3 2 3 2" xfId="12621" xr:uid="{00000000-0005-0000-0000-0000A4060000}"/>
    <cellStyle name="20% - Accent1 15 3 2 3 3" xfId="16572" xr:uid="{00000000-0005-0000-0000-0000A5060000}"/>
    <cellStyle name="20% - Accent1 15 3 2 4" xfId="12619" xr:uid="{00000000-0005-0000-0000-0000A6060000}"/>
    <cellStyle name="20% - Accent1 15 3 2 5" xfId="16570" xr:uid="{00000000-0005-0000-0000-0000A7060000}"/>
    <cellStyle name="20% - Accent1 15 3 3" xfId="1208" xr:uid="{00000000-0005-0000-0000-0000A8060000}"/>
    <cellStyle name="20% - Accent1 15 3 3 2" xfId="1209" xr:uid="{00000000-0005-0000-0000-0000A9060000}"/>
    <cellStyle name="20% - Accent1 15 3 3 2 2" xfId="12623" xr:uid="{00000000-0005-0000-0000-0000AA060000}"/>
    <cellStyle name="20% - Accent1 15 3 3 2 3" xfId="16574" xr:uid="{00000000-0005-0000-0000-0000AB060000}"/>
    <cellStyle name="20% - Accent1 15 3 3 3" xfId="1210" xr:uid="{00000000-0005-0000-0000-0000AC060000}"/>
    <cellStyle name="20% - Accent1 15 3 3 3 2" xfId="12624" xr:uid="{00000000-0005-0000-0000-0000AD060000}"/>
    <cellStyle name="20% - Accent1 15 3 3 3 3" xfId="16575" xr:uid="{00000000-0005-0000-0000-0000AE060000}"/>
    <cellStyle name="20% - Accent1 15 3 3 4" xfId="12622" xr:uid="{00000000-0005-0000-0000-0000AF060000}"/>
    <cellStyle name="20% - Accent1 15 3 3 5" xfId="16573" xr:uid="{00000000-0005-0000-0000-0000B0060000}"/>
    <cellStyle name="20% - Accent1 15 3 4" xfId="1211" xr:uid="{00000000-0005-0000-0000-0000B1060000}"/>
    <cellStyle name="20% - Accent1 15 3 4 2" xfId="12625" xr:uid="{00000000-0005-0000-0000-0000B2060000}"/>
    <cellStyle name="20% - Accent1 15 3 4 3" xfId="16576" xr:uid="{00000000-0005-0000-0000-0000B3060000}"/>
    <cellStyle name="20% - Accent1 15 3 5" xfId="1212" xr:uid="{00000000-0005-0000-0000-0000B4060000}"/>
    <cellStyle name="20% - Accent1 15 3 5 2" xfId="12626" xr:uid="{00000000-0005-0000-0000-0000B5060000}"/>
    <cellStyle name="20% - Accent1 15 3 5 3" xfId="16577" xr:uid="{00000000-0005-0000-0000-0000B6060000}"/>
    <cellStyle name="20% - Accent1 15 3 6" xfId="12618" xr:uid="{00000000-0005-0000-0000-0000B7060000}"/>
    <cellStyle name="20% - Accent1 15 3 7" xfId="16569" xr:uid="{00000000-0005-0000-0000-0000B8060000}"/>
    <cellStyle name="20% - Accent1 15 3_Volatility" xfId="1213" xr:uid="{00000000-0005-0000-0000-0000B9060000}"/>
    <cellStyle name="20% - Accent1 15 4" xfId="1214" xr:uid="{00000000-0005-0000-0000-0000BA060000}"/>
    <cellStyle name="20% - Accent1 15 4 2" xfId="1215" xr:uid="{00000000-0005-0000-0000-0000BB060000}"/>
    <cellStyle name="20% - Accent1 15 4 2 2" xfId="12628" xr:uid="{00000000-0005-0000-0000-0000BC060000}"/>
    <cellStyle name="20% - Accent1 15 4 2 3" xfId="16579" xr:uid="{00000000-0005-0000-0000-0000BD060000}"/>
    <cellStyle name="20% - Accent1 15 4 3" xfId="1216" xr:uid="{00000000-0005-0000-0000-0000BE060000}"/>
    <cellStyle name="20% - Accent1 15 4 3 2" xfId="12629" xr:uid="{00000000-0005-0000-0000-0000BF060000}"/>
    <cellStyle name="20% - Accent1 15 4 3 3" xfId="16580" xr:uid="{00000000-0005-0000-0000-0000C0060000}"/>
    <cellStyle name="20% - Accent1 15 4 4" xfId="12627" xr:uid="{00000000-0005-0000-0000-0000C1060000}"/>
    <cellStyle name="20% - Accent1 15 4 5" xfId="16578" xr:uid="{00000000-0005-0000-0000-0000C2060000}"/>
    <cellStyle name="20% - Accent1 15 5" xfId="1217" xr:uid="{00000000-0005-0000-0000-0000C3060000}"/>
    <cellStyle name="20% - Accent1 15 5 2" xfId="1218" xr:uid="{00000000-0005-0000-0000-0000C4060000}"/>
    <cellStyle name="20% - Accent1 15 5 2 2" xfId="12631" xr:uid="{00000000-0005-0000-0000-0000C5060000}"/>
    <cellStyle name="20% - Accent1 15 5 2 3" xfId="16582" xr:uid="{00000000-0005-0000-0000-0000C6060000}"/>
    <cellStyle name="20% - Accent1 15 5 3" xfId="1219" xr:uid="{00000000-0005-0000-0000-0000C7060000}"/>
    <cellStyle name="20% - Accent1 15 5 3 2" xfId="12632" xr:uid="{00000000-0005-0000-0000-0000C8060000}"/>
    <cellStyle name="20% - Accent1 15 5 3 3" xfId="16583" xr:uid="{00000000-0005-0000-0000-0000C9060000}"/>
    <cellStyle name="20% - Accent1 15 5 4" xfId="12630" xr:uid="{00000000-0005-0000-0000-0000CA060000}"/>
    <cellStyle name="20% - Accent1 15 5 5" xfId="16581" xr:uid="{00000000-0005-0000-0000-0000CB060000}"/>
    <cellStyle name="20% - Accent1 15 6" xfId="1220" xr:uid="{00000000-0005-0000-0000-0000CC060000}"/>
    <cellStyle name="20% - Accent1 15 6 2" xfId="1221" xr:uid="{00000000-0005-0000-0000-0000CD060000}"/>
    <cellStyle name="20% - Accent1 15 6 2 2" xfId="12634" xr:uid="{00000000-0005-0000-0000-0000CE060000}"/>
    <cellStyle name="20% - Accent1 15 6 2 3" xfId="16585" xr:uid="{00000000-0005-0000-0000-0000CF060000}"/>
    <cellStyle name="20% - Accent1 15 6 3" xfId="1222" xr:uid="{00000000-0005-0000-0000-0000D0060000}"/>
    <cellStyle name="20% - Accent1 15 6 3 2" xfId="12635" xr:uid="{00000000-0005-0000-0000-0000D1060000}"/>
    <cellStyle name="20% - Accent1 15 6 3 3" xfId="16586" xr:uid="{00000000-0005-0000-0000-0000D2060000}"/>
    <cellStyle name="20% - Accent1 15 6 4" xfId="12633" xr:uid="{00000000-0005-0000-0000-0000D3060000}"/>
    <cellStyle name="20% - Accent1 15 6 5" xfId="16584" xr:uid="{00000000-0005-0000-0000-0000D4060000}"/>
    <cellStyle name="20% - Accent1 15 7" xfId="1223" xr:uid="{00000000-0005-0000-0000-0000D5060000}"/>
    <cellStyle name="20% - Accent1 15 7 2" xfId="12636" xr:uid="{00000000-0005-0000-0000-0000D6060000}"/>
    <cellStyle name="20% - Accent1 15 7 3" xfId="16587" xr:uid="{00000000-0005-0000-0000-0000D7060000}"/>
    <cellStyle name="20% - Accent1 15 8" xfId="1224" xr:uid="{00000000-0005-0000-0000-0000D8060000}"/>
    <cellStyle name="20% - Accent1 15 8 2" xfId="12637" xr:uid="{00000000-0005-0000-0000-0000D9060000}"/>
    <cellStyle name="20% - Accent1 15 8 3" xfId="16588" xr:uid="{00000000-0005-0000-0000-0000DA060000}"/>
    <cellStyle name="20% - Accent1 15 9" xfId="12605" xr:uid="{00000000-0005-0000-0000-0000DB060000}"/>
    <cellStyle name="20% - Accent1 15_Volatility" xfId="1225" xr:uid="{00000000-0005-0000-0000-0000DC060000}"/>
    <cellStyle name="20% - Accent1 16" xfId="1226" xr:uid="{00000000-0005-0000-0000-0000DD060000}"/>
    <cellStyle name="20% - Accent1 16 2" xfId="12638" xr:uid="{00000000-0005-0000-0000-0000DE060000}"/>
    <cellStyle name="20% - Accent1 16 3" xfId="16589" xr:uid="{00000000-0005-0000-0000-0000DF060000}"/>
    <cellStyle name="20% - Accent1 17" xfId="1227" xr:uid="{00000000-0005-0000-0000-0000E0060000}"/>
    <cellStyle name="20% - Accent1 17 2" xfId="12639" xr:uid="{00000000-0005-0000-0000-0000E1060000}"/>
    <cellStyle name="20% - Accent1 17 3" xfId="16590" xr:uid="{00000000-0005-0000-0000-0000E2060000}"/>
    <cellStyle name="20% - Accent1 18" xfId="1228" xr:uid="{00000000-0005-0000-0000-0000E3060000}"/>
    <cellStyle name="20% - Accent1 18 2" xfId="12640" xr:uid="{00000000-0005-0000-0000-0000E4060000}"/>
    <cellStyle name="20% - Accent1 18 3" xfId="16591" xr:uid="{00000000-0005-0000-0000-0000E5060000}"/>
    <cellStyle name="20% - Accent1 19" xfId="1229" xr:uid="{00000000-0005-0000-0000-0000E6060000}"/>
    <cellStyle name="20% - Accent1 19 2" xfId="12641" xr:uid="{00000000-0005-0000-0000-0000E7060000}"/>
    <cellStyle name="20% - Accent1 19 3" xfId="16592" xr:uid="{00000000-0005-0000-0000-0000E8060000}"/>
    <cellStyle name="20% - Accent1 2" xfId="1230" xr:uid="{00000000-0005-0000-0000-0000E9060000}"/>
    <cellStyle name="20% - Accent1 2 10" xfId="16593" xr:uid="{00000000-0005-0000-0000-0000EA060000}"/>
    <cellStyle name="20% - Accent1 2 2" xfId="1231" xr:uid="{00000000-0005-0000-0000-0000EB060000}"/>
    <cellStyle name="20% - Accent1 2 2 2" xfId="1232" xr:uid="{00000000-0005-0000-0000-0000EC060000}"/>
    <cellStyle name="20% - Accent1 2 2 2 2" xfId="1233" xr:uid="{00000000-0005-0000-0000-0000ED060000}"/>
    <cellStyle name="20% - Accent1 2 2 2 2 2" xfId="12645" xr:uid="{00000000-0005-0000-0000-0000EE060000}"/>
    <cellStyle name="20% - Accent1 2 2 2 2 3" xfId="16596" xr:uid="{00000000-0005-0000-0000-0000EF060000}"/>
    <cellStyle name="20% - Accent1 2 2 2 3" xfId="1234" xr:uid="{00000000-0005-0000-0000-0000F0060000}"/>
    <cellStyle name="20% - Accent1 2 2 2 3 2" xfId="12646" xr:uid="{00000000-0005-0000-0000-0000F1060000}"/>
    <cellStyle name="20% - Accent1 2 2 2 3 3" xfId="16597" xr:uid="{00000000-0005-0000-0000-0000F2060000}"/>
    <cellStyle name="20% - Accent1 2 2 2 4" xfId="12644" xr:uid="{00000000-0005-0000-0000-0000F3060000}"/>
    <cellStyle name="20% - Accent1 2 2 2 5" xfId="16595" xr:uid="{00000000-0005-0000-0000-0000F4060000}"/>
    <cellStyle name="20% - Accent1 2 2 3" xfId="1235" xr:uid="{00000000-0005-0000-0000-0000F5060000}"/>
    <cellStyle name="20% - Accent1 2 2 3 2" xfId="1236" xr:uid="{00000000-0005-0000-0000-0000F6060000}"/>
    <cellStyle name="20% - Accent1 2 2 3 2 2" xfId="12648" xr:uid="{00000000-0005-0000-0000-0000F7060000}"/>
    <cellStyle name="20% - Accent1 2 2 3 2 3" xfId="16599" xr:uid="{00000000-0005-0000-0000-0000F8060000}"/>
    <cellStyle name="20% - Accent1 2 2 3 3" xfId="1237" xr:uid="{00000000-0005-0000-0000-0000F9060000}"/>
    <cellStyle name="20% - Accent1 2 2 3 3 2" xfId="12649" xr:uid="{00000000-0005-0000-0000-0000FA060000}"/>
    <cellStyle name="20% - Accent1 2 2 3 3 3" xfId="16600" xr:uid="{00000000-0005-0000-0000-0000FB060000}"/>
    <cellStyle name="20% - Accent1 2 2 3 4" xfId="12647" xr:uid="{00000000-0005-0000-0000-0000FC060000}"/>
    <cellStyle name="20% - Accent1 2 2 3 5" xfId="16598" xr:uid="{00000000-0005-0000-0000-0000FD060000}"/>
    <cellStyle name="20% - Accent1 2 2 4" xfId="1238" xr:uid="{00000000-0005-0000-0000-0000FE060000}"/>
    <cellStyle name="20% - Accent1 2 2 4 2" xfId="1239" xr:uid="{00000000-0005-0000-0000-0000FF060000}"/>
    <cellStyle name="20% - Accent1 2 2 4 2 2" xfId="12651" xr:uid="{00000000-0005-0000-0000-000000070000}"/>
    <cellStyle name="20% - Accent1 2 2 4 2 3" xfId="16602" xr:uid="{00000000-0005-0000-0000-000001070000}"/>
    <cellStyle name="20% - Accent1 2 2 4 3" xfId="1240" xr:uid="{00000000-0005-0000-0000-000002070000}"/>
    <cellStyle name="20% - Accent1 2 2 4 3 2" xfId="12652" xr:uid="{00000000-0005-0000-0000-000003070000}"/>
    <cellStyle name="20% - Accent1 2 2 4 3 3" xfId="16603" xr:uid="{00000000-0005-0000-0000-000004070000}"/>
    <cellStyle name="20% - Accent1 2 2 4 4" xfId="12650" xr:uid="{00000000-0005-0000-0000-000005070000}"/>
    <cellStyle name="20% - Accent1 2 2 4 5" xfId="16601" xr:uid="{00000000-0005-0000-0000-000006070000}"/>
    <cellStyle name="20% - Accent1 2 2 5" xfId="1241" xr:uid="{00000000-0005-0000-0000-000007070000}"/>
    <cellStyle name="20% - Accent1 2 2 5 2" xfId="12653" xr:uid="{00000000-0005-0000-0000-000008070000}"/>
    <cellStyle name="20% - Accent1 2 2 5 3" xfId="16604" xr:uid="{00000000-0005-0000-0000-000009070000}"/>
    <cellStyle name="20% - Accent1 2 2 6" xfId="1242" xr:uid="{00000000-0005-0000-0000-00000A070000}"/>
    <cellStyle name="20% - Accent1 2 2 6 2" xfId="12654" xr:uid="{00000000-0005-0000-0000-00000B070000}"/>
    <cellStyle name="20% - Accent1 2 2 6 3" xfId="16605" xr:uid="{00000000-0005-0000-0000-00000C070000}"/>
    <cellStyle name="20% - Accent1 2 2 7" xfId="12643" xr:uid="{00000000-0005-0000-0000-00000D070000}"/>
    <cellStyle name="20% - Accent1 2 2 8" xfId="16594" xr:uid="{00000000-0005-0000-0000-00000E070000}"/>
    <cellStyle name="20% - Accent1 2 2_Volatility" xfId="1243" xr:uid="{00000000-0005-0000-0000-00000F070000}"/>
    <cellStyle name="20% - Accent1 2 3" xfId="1244" xr:uid="{00000000-0005-0000-0000-000010070000}"/>
    <cellStyle name="20% - Accent1 2 3 2" xfId="1245" xr:uid="{00000000-0005-0000-0000-000011070000}"/>
    <cellStyle name="20% - Accent1 2 3 2 2" xfId="1246" xr:uid="{00000000-0005-0000-0000-000012070000}"/>
    <cellStyle name="20% - Accent1 2 3 2 2 2" xfId="12657" xr:uid="{00000000-0005-0000-0000-000013070000}"/>
    <cellStyle name="20% - Accent1 2 3 2 2 3" xfId="16608" xr:uid="{00000000-0005-0000-0000-000014070000}"/>
    <cellStyle name="20% - Accent1 2 3 2 3" xfId="1247" xr:uid="{00000000-0005-0000-0000-000015070000}"/>
    <cellStyle name="20% - Accent1 2 3 2 3 2" xfId="12658" xr:uid="{00000000-0005-0000-0000-000016070000}"/>
    <cellStyle name="20% - Accent1 2 3 2 3 3" xfId="16609" xr:uid="{00000000-0005-0000-0000-000017070000}"/>
    <cellStyle name="20% - Accent1 2 3 2 4" xfId="12656" xr:uid="{00000000-0005-0000-0000-000018070000}"/>
    <cellStyle name="20% - Accent1 2 3 2 5" xfId="16607" xr:uid="{00000000-0005-0000-0000-000019070000}"/>
    <cellStyle name="20% - Accent1 2 3 3" xfId="1248" xr:uid="{00000000-0005-0000-0000-00001A070000}"/>
    <cellStyle name="20% - Accent1 2 3 3 2" xfId="1249" xr:uid="{00000000-0005-0000-0000-00001B070000}"/>
    <cellStyle name="20% - Accent1 2 3 3 2 2" xfId="12660" xr:uid="{00000000-0005-0000-0000-00001C070000}"/>
    <cellStyle name="20% - Accent1 2 3 3 2 3" xfId="16611" xr:uid="{00000000-0005-0000-0000-00001D070000}"/>
    <cellStyle name="20% - Accent1 2 3 3 3" xfId="1250" xr:uid="{00000000-0005-0000-0000-00001E070000}"/>
    <cellStyle name="20% - Accent1 2 3 3 3 2" xfId="12661" xr:uid="{00000000-0005-0000-0000-00001F070000}"/>
    <cellStyle name="20% - Accent1 2 3 3 3 3" xfId="16612" xr:uid="{00000000-0005-0000-0000-000020070000}"/>
    <cellStyle name="20% - Accent1 2 3 3 4" xfId="12659" xr:uid="{00000000-0005-0000-0000-000021070000}"/>
    <cellStyle name="20% - Accent1 2 3 3 5" xfId="16610" xr:uid="{00000000-0005-0000-0000-000022070000}"/>
    <cellStyle name="20% - Accent1 2 3 4" xfId="1251" xr:uid="{00000000-0005-0000-0000-000023070000}"/>
    <cellStyle name="20% - Accent1 2 3 4 2" xfId="12662" xr:uid="{00000000-0005-0000-0000-000024070000}"/>
    <cellStyle name="20% - Accent1 2 3 4 3" xfId="16613" xr:uid="{00000000-0005-0000-0000-000025070000}"/>
    <cellStyle name="20% - Accent1 2 3 5" xfId="1252" xr:uid="{00000000-0005-0000-0000-000026070000}"/>
    <cellStyle name="20% - Accent1 2 3 5 2" xfId="12663" xr:uid="{00000000-0005-0000-0000-000027070000}"/>
    <cellStyle name="20% - Accent1 2 3 5 3" xfId="16614" xr:uid="{00000000-0005-0000-0000-000028070000}"/>
    <cellStyle name="20% - Accent1 2 3 6" xfId="12655" xr:uid="{00000000-0005-0000-0000-000029070000}"/>
    <cellStyle name="20% - Accent1 2 3 7" xfId="16606" xr:uid="{00000000-0005-0000-0000-00002A070000}"/>
    <cellStyle name="20% - Accent1 2 3_Volatility" xfId="1253" xr:uid="{00000000-0005-0000-0000-00002B070000}"/>
    <cellStyle name="20% - Accent1 2 4" xfId="1254" xr:uid="{00000000-0005-0000-0000-00002C070000}"/>
    <cellStyle name="20% - Accent1 2 4 2" xfId="1255" xr:uid="{00000000-0005-0000-0000-00002D070000}"/>
    <cellStyle name="20% - Accent1 2 4 2 2" xfId="12665" xr:uid="{00000000-0005-0000-0000-00002E070000}"/>
    <cellStyle name="20% - Accent1 2 4 2 3" xfId="16616" xr:uid="{00000000-0005-0000-0000-00002F070000}"/>
    <cellStyle name="20% - Accent1 2 4 3" xfId="1256" xr:uid="{00000000-0005-0000-0000-000030070000}"/>
    <cellStyle name="20% - Accent1 2 4 3 2" xfId="12666" xr:uid="{00000000-0005-0000-0000-000031070000}"/>
    <cellStyle name="20% - Accent1 2 4 3 3" xfId="16617" xr:uid="{00000000-0005-0000-0000-000032070000}"/>
    <cellStyle name="20% - Accent1 2 4 4" xfId="12664" xr:uid="{00000000-0005-0000-0000-000033070000}"/>
    <cellStyle name="20% - Accent1 2 4 5" xfId="16615" xr:uid="{00000000-0005-0000-0000-000034070000}"/>
    <cellStyle name="20% - Accent1 2 5" xfId="1257" xr:uid="{00000000-0005-0000-0000-000035070000}"/>
    <cellStyle name="20% - Accent1 2 5 2" xfId="1258" xr:uid="{00000000-0005-0000-0000-000036070000}"/>
    <cellStyle name="20% - Accent1 2 5 2 2" xfId="12668" xr:uid="{00000000-0005-0000-0000-000037070000}"/>
    <cellStyle name="20% - Accent1 2 5 2 3" xfId="16619" xr:uid="{00000000-0005-0000-0000-000038070000}"/>
    <cellStyle name="20% - Accent1 2 5 3" xfId="1259" xr:uid="{00000000-0005-0000-0000-000039070000}"/>
    <cellStyle name="20% - Accent1 2 5 3 2" xfId="12669" xr:uid="{00000000-0005-0000-0000-00003A070000}"/>
    <cellStyle name="20% - Accent1 2 5 3 3" xfId="16620" xr:uid="{00000000-0005-0000-0000-00003B070000}"/>
    <cellStyle name="20% - Accent1 2 5 4" xfId="12667" xr:uid="{00000000-0005-0000-0000-00003C070000}"/>
    <cellStyle name="20% - Accent1 2 5 5" xfId="16618" xr:uid="{00000000-0005-0000-0000-00003D070000}"/>
    <cellStyle name="20% - Accent1 2 6" xfId="1260" xr:uid="{00000000-0005-0000-0000-00003E070000}"/>
    <cellStyle name="20% - Accent1 2 6 2" xfId="1261" xr:uid="{00000000-0005-0000-0000-00003F070000}"/>
    <cellStyle name="20% - Accent1 2 6 2 2" xfId="12671" xr:uid="{00000000-0005-0000-0000-000040070000}"/>
    <cellStyle name="20% - Accent1 2 6 2 3" xfId="16622" xr:uid="{00000000-0005-0000-0000-000041070000}"/>
    <cellStyle name="20% - Accent1 2 6 3" xfId="1262" xr:uid="{00000000-0005-0000-0000-000042070000}"/>
    <cellStyle name="20% - Accent1 2 6 3 2" xfId="12672" xr:uid="{00000000-0005-0000-0000-000043070000}"/>
    <cellStyle name="20% - Accent1 2 6 3 3" xfId="16623" xr:uid="{00000000-0005-0000-0000-000044070000}"/>
    <cellStyle name="20% - Accent1 2 6 4" xfId="12670" xr:uid="{00000000-0005-0000-0000-000045070000}"/>
    <cellStyle name="20% - Accent1 2 6 5" xfId="16621" xr:uid="{00000000-0005-0000-0000-000046070000}"/>
    <cellStyle name="20% - Accent1 2 7" xfId="1263" xr:uid="{00000000-0005-0000-0000-000047070000}"/>
    <cellStyle name="20% - Accent1 2 7 2" xfId="12673" xr:uid="{00000000-0005-0000-0000-000048070000}"/>
    <cellStyle name="20% - Accent1 2 7 3" xfId="16624" xr:uid="{00000000-0005-0000-0000-000049070000}"/>
    <cellStyle name="20% - Accent1 2 8" xfId="1264" xr:uid="{00000000-0005-0000-0000-00004A070000}"/>
    <cellStyle name="20% - Accent1 2 8 2" xfId="12674" xr:uid="{00000000-0005-0000-0000-00004B070000}"/>
    <cellStyle name="20% - Accent1 2 8 3" xfId="16625" xr:uid="{00000000-0005-0000-0000-00004C070000}"/>
    <cellStyle name="20% - Accent1 2 9" xfId="12642" xr:uid="{00000000-0005-0000-0000-00004D070000}"/>
    <cellStyle name="20% - Accent1 2_Volatility" xfId="1265" xr:uid="{00000000-0005-0000-0000-00004E070000}"/>
    <cellStyle name="20% - Accent1 3" xfId="1266" xr:uid="{00000000-0005-0000-0000-00004F070000}"/>
    <cellStyle name="20% - Accent1 3 10" xfId="16626" xr:uid="{00000000-0005-0000-0000-000050070000}"/>
    <cellStyle name="20% - Accent1 3 2" xfId="1267" xr:uid="{00000000-0005-0000-0000-000051070000}"/>
    <cellStyle name="20% - Accent1 3 2 2" xfId="1268" xr:uid="{00000000-0005-0000-0000-000052070000}"/>
    <cellStyle name="20% - Accent1 3 2 2 2" xfId="1269" xr:uid="{00000000-0005-0000-0000-000053070000}"/>
    <cellStyle name="20% - Accent1 3 2 2 2 2" xfId="12678" xr:uid="{00000000-0005-0000-0000-000054070000}"/>
    <cellStyle name="20% - Accent1 3 2 2 2 3" xfId="16629" xr:uid="{00000000-0005-0000-0000-000055070000}"/>
    <cellStyle name="20% - Accent1 3 2 2 3" xfId="1270" xr:uid="{00000000-0005-0000-0000-000056070000}"/>
    <cellStyle name="20% - Accent1 3 2 2 3 2" xfId="12679" xr:uid="{00000000-0005-0000-0000-000057070000}"/>
    <cellStyle name="20% - Accent1 3 2 2 3 3" xfId="16630" xr:uid="{00000000-0005-0000-0000-000058070000}"/>
    <cellStyle name="20% - Accent1 3 2 2 4" xfId="12677" xr:uid="{00000000-0005-0000-0000-000059070000}"/>
    <cellStyle name="20% - Accent1 3 2 2 5" xfId="16628" xr:uid="{00000000-0005-0000-0000-00005A070000}"/>
    <cellStyle name="20% - Accent1 3 2 3" xfId="1271" xr:uid="{00000000-0005-0000-0000-00005B070000}"/>
    <cellStyle name="20% - Accent1 3 2 3 2" xfId="1272" xr:uid="{00000000-0005-0000-0000-00005C070000}"/>
    <cellStyle name="20% - Accent1 3 2 3 2 2" xfId="12681" xr:uid="{00000000-0005-0000-0000-00005D070000}"/>
    <cellStyle name="20% - Accent1 3 2 3 2 3" xfId="16632" xr:uid="{00000000-0005-0000-0000-00005E070000}"/>
    <cellStyle name="20% - Accent1 3 2 3 3" xfId="1273" xr:uid="{00000000-0005-0000-0000-00005F070000}"/>
    <cellStyle name="20% - Accent1 3 2 3 3 2" xfId="12682" xr:uid="{00000000-0005-0000-0000-000060070000}"/>
    <cellStyle name="20% - Accent1 3 2 3 3 3" xfId="16633" xr:uid="{00000000-0005-0000-0000-000061070000}"/>
    <cellStyle name="20% - Accent1 3 2 3 4" xfId="12680" xr:uid="{00000000-0005-0000-0000-000062070000}"/>
    <cellStyle name="20% - Accent1 3 2 3 5" xfId="16631" xr:uid="{00000000-0005-0000-0000-000063070000}"/>
    <cellStyle name="20% - Accent1 3 2 4" xfId="1274" xr:uid="{00000000-0005-0000-0000-000064070000}"/>
    <cellStyle name="20% - Accent1 3 2 4 2" xfId="1275" xr:uid="{00000000-0005-0000-0000-000065070000}"/>
    <cellStyle name="20% - Accent1 3 2 4 2 2" xfId="12684" xr:uid="{00000000-0005-0000-0000-000066070000}"/>
    <cellStyle name="20% - Accent1 3 2 4 2 3" xfId="16635" xr:uid="{00000000-0005-0000-0000-000067070000}"/>
    <cellStyle name="20% - Accent1 3 2 4 3" xfId="1276" xr:uid="{00000000-0005-0000-0000-000068070000}"/>
    <cellStyle name="20% - Accent1 3 2 4 3 2" xfId="12685" xr:uid="{00000000-0005-0000-0000-000069070000}"/>
    <cellStyle name="20% - Accent1 3 2 4 3 3" xfId="16636" xr:uid="{00000000-0005-0000-0000-00006A070000}"/>
    <cellStyle name="20% - Accent1 3 2 4 4" xfId="12683" xr:uid="{00000000-0005-0000-0000-00006B070000}"/>
    <cellStyle name="20% - Accent1 3 2 4 5" xfId="16634" xr:uid="{00000000-0005-0000-0000-00006C070000}"/>
    <cellStyle name="20% - Accent1 3 2 5" xfId="1277" xr:uid="{00000000-0005-0000-0000-00006D070000}"/>
    <cellStyle name="20% - Accent1 3 2 5 2" xfId="12686" xr:uid="{00000000-0005-0000-0000-00006E070000}"/>
    <cellStyle name="20% - Accent1 3 2 5 3" xfId="16637" xr:uid="{00000000-0005-0000-0000-00006F070000}"/>
    <cellStyle name="20% - Accent1 3 2 6" xfId="1278" xr:uid="{00000000-0005-0000-0000-000070070000}"/>
    <cellStyle name="20% - Accent1 3 2 6 2" xfId="12687" xr:uid="{00000000-0005-0000-0000-000071070000}"/>
    <cellStyle name="20% - Accent1 3 2 6 3" xfId="16638" xr:uid="{00000000-0005-0000-0000-000072070000}"/>
    <cellStyle name="20% - Accent1 3 2 7" xfId="12676" xr:uid="{00000000-0005-0000-0000-000073070000}"/>
    <cellStyle name="20% - Accent1 3 2 8" xfId="16627" xr:uid="{00000000-0005-0000-0000-000074070000}"/>
    <cellStyle name="20% - Accent1 3 2_Volatility" xfId="1279" xr:uid="{00000000-0005-0000-0000-000075070000}"/>
    <cellStyle name="20% - Accent1 3 3" xfId="1280" xr:uid="{00000000-0005-0000-0000-000076070000}"/>
    <cellStyle name="20% - Accent1 3 3 2" xfId="1281" xr:uid="{00000000-0005-0000-0000-000077070000}"/>
    <cellStyle name="20% - Accent1 3 3 2 2" xfId="1282" xr:uid="{00000000-0005-0000-0000-000078070000}"/>
    <cellStyle name="20% - Accent1 3 3 2 2 2" xfId="12690" xr:uid="{00000000-0005-0000-0000-000079070000}"/>
    <cellStyle name="20% - Accent1 3 3 2 2 3" xfId="16641" xr:uid="{00000000-0005-0000-0000-00007A070000}"/>
    <cellStyle name="20% - Accent1 3 3 2 3" xfId="1283" xr:uid="{00000000-0005-0000-0000-00007B070000}"/>
    <cellStyle name="20% - Accent1 3 3 2 3 2" xfId="12691" xr:uid="{00000000-0005-0000-0000-00007C070000}"/>
    <cellStyle name="20% - Accent1 3 3 2 3 3" xfId="16642" xr:uid="{00000000-0005-0000-0000-00007D070000}"/>
    <cellStyle name="20% - Accent1 3 3 2 4" xfId="12689" xr:uid="{00000000-0005-0000-0000-00007E070000}"/>
    <cellStyle name="20% - Accent1 3 3 2 5" xfId="16640" xr:uid="{00000000-0005-0000-0000-00007F070000}"/>
    <cellStyle name="20% - Accent1 3 3 3" xfId="1284" xr:uid="{00000000-0005-0000-0000-000080070000}"/>
    <cellStyle name="20% - Accent1 3 3 3 2" xfId="1285" xr:uid="{00000000-0005-0000-0000-000081070000}"/>
    <cellStyle name="20% - Accent1 3 3 3 2 2" xfId="12693" xr:uid="{00000000-0005-0000-0000-000082070000}"/>
    <cellStyle name="20% - Accent1 3 3 3 2 3" xfId="16644" xr:uid="{00000000-0005-0000-0000-000083070000}"/>
    <cellStyle name="20% - Accent1 3 3 3 3" xfId="1286" xr:uid="{00000000-0005-0000-0000-000084070000}"/>
    <cellStyle name="20% - Accent1 3 3 3 3 2" xfId="12694" xr:uid="{00000000-0005-0000-0000-000085070000}"/>
    <cellStyle name="20% - Accent1 3 3 3 3 3" xfId="16645" xr:uid="{00000000-0005-0000-0000-000086070000}"/>
    <cellStyle name="20% - Accent1 3 3 3 4" xfId="12692" xr:uid="{00000000-0005-0000-0000-000087070000}"/>
    <cellStyle name="20% - Accent1 3 3 3 5" xfId="16643" xr:uid="{00000000-0005-0000-0000-000088070000}"/>
    <cellStyle name="20% - Accent1 3 3 4" xfId="1287" xr:uid="{00000000-0005-0000-0000-000089070000}"/>
    <cellStyle name="20% - Accent1 3 3 4 2" xfId="12695" xr:uid="{00000000-0005-0000-0000-00008A070000}"/>
    <cellStyle name="20% - Accent1 3 3 4 3" xfId="16646" xr:uid="{00000000-0005-0000-0000-00008B070000}"/>
    <cellStyle name="20% - Accent1 3 3 5" xfId="1288" xr:uid="{00000000-0005-0000-0000-00008C070000}"/>
    <cellStyle name="20% - Accent1 3 3 5 2" xfId="12696" xr:uid="{00000000-0005-0000-0000-00008D070000}"/>
    <cellStyle name="20% - Accent1 3 3 5 3" xfId="16647" xr:uid="{00000000-0005-0000-0000-00008E070000}"/>
    <cellStyle name="20% - Accent1 3 3 6" xfId="12688" xr:uid="{00000000-0005-0000-0000-00008F070000}"/>
    <cellStyle name="20% - Accent1 3 3 7" xfId="16639" xr:uid="{00000000-0005-0000-0000-000090070000}"/>
    <cellStyle name="20% - Accent1 3 3_Volatility" xfId="1289" xr:uid="{00000000-0005-0000-0000-000091070000}"/>
    <cellStyle name="20% - Accent1 3 4" xfId="1290" xr:uid="{00000000-0005-0000-0000-000092070000}"/>
    <cellStyle name="20% - Accent1 3 4 2" xfId="1291" xr:uid="{00000000-0005-0000-0000-000093070000}"/>
    <cellStyle name="20% - Accent1 3 4 2 2" xfId="12698" xr:uid="{00000000-0005-0000-0000-000094070000}"/>
    <cellStyle name="20% - Accent1 3 4 2 3" xfId="16649" xr:uid="{00000000-0005-0000-0000-000095070000}"/>
    <cellStyle name="20% - Accent1 3 4 3" xfId="1292" xr:uid="{00000000-0005-0000-0000-000096070000}"/>
    <cellStyle name="20% - Accent1 3 4 3 2" xfId="12699" xr:uid="{00000000-0005-0000-0000-000097070000}"/>
    <cellStyle name="20% - Accent1 3 4 3 3" xfId="16650" xr:uid="{00000000-0005-0000-0000-000098070000}"/>
    <cellStyle name="20% - Accent1 3 4 4" xfId="12697" xr:uid="{00000000-0005-0000-0000-000099070000}"/>
    <cellStyle name="20% - Accent1 3 4 5" xfId="16648" xr:uid="{00000000-0005-0000-0000-00009A070000}"/>
    <cellStyle name="20% - Accent1 3 5" xfId="1293" xr:uid="{00000000-0005-0000-0000-00009B070000}"/>
    <cellStyle name="20% - Accent1 3 5 2" xfId="1294" xr:uid="{00000000-0005-0000-0000-00009C070000}"/>
    <cellStyle name="20% - Accent1 3 5 2 2" xfId="12701" xr:uid="{00000000-0005-0000-0000-00009D070000}"/>
    <cellStyle name="20% - Accent1 3 5 2 3" xfId="16652" xr:uid="{00000000-0005-0000-0000-00009E070000}"/>
    <cellStyle name="20% - Accent1 3 5 3" xfId="1295" xr:uid="{00000000-0005-0000-0000-00009F070000}"/>
    <cellStyle name="20% - Accent1 3 5 3 2" xfId="12702" xr:uid="{00000000-0005-0000-0000-0000A0070000}"/>
    <cellStyle name="20% - Accent1 3 5 3 3" xfId="16653" xr:uid="{00000000-0005-0000-0000-0000A1070000}"/>
    <cellStyle name="20% - Accent1 3 5 4" xfId="12700" xr:uid="{00000000-0005-0000-0000-0000A2070000}"/>
    <cellStyle name="20% - Accent1 3 5 5" xfId="16651" xr:uid="{00000000-0005-0000-0000-0000A3070000}"/>
    <cellStyle name="20% - Accent1 3 6" xfId="1296" xr:uid="{00000000-0005-0000-0000-0000A4070000}"/>
    <cellStyle name="20% - Accent1 3 6 2" xfId="1297" xr:uid="{00000000-0005-0000-0000-0000A5070000}"/>
    <cellStyle name="20% - Accent1 3 6 2 2" xfId="12704" xr:uid="{00000000-0005-0000-0000-0000A6070000}"/>
    <cellStyle name="20% - Accent1 3 6 2 3" xfId="16655" xr:uid="{00000000-0005-0000-0000-0000A7070000}"/>
    <cellStyle name="20% - Accent1 3 6 3" xfId="1298" xr:uid="{00000000-0005-0000-0000-0000A8070000}"/>
    <cellStyle name="20% - Accent1 3 6 3 2" xfId="12705" xr:uid="{00000000-0005-0000-0000-0000A9070000}"/>
    <cellStyle name="20% - Accent1 3 6 3 3" xfId="16656" xr:uid="{00000000-0005-0000-0000-0000AA070000}"/>
    <cellStyle name="20% - Accent1 3 6 4" xfId="12703" xr:uid="{00000000-0005-0000-0000-0000AB070000}"/>
    <cellStyle name="20% - Accent1 3 6 5" xfId="16654" xr:uid="{00000000-0005-0000-0000-0000AC070000}"/>
    <cellStyle name="20% - Accent1 3 7" xfId="1299" xr:uid="{00000000-0005-0000-0000-0000AD070000}"/>
    <cellStyle name="20% - Accent1 3 7 2" xfId="12706" xr:uid="{00000000-0005-0000-0000-0000AE070000}"/>
    <cellStyle name="20% - Accent1 3 7 3" xfId="16657" xr:uid="{00000000-0005-0000-0000-0000AF070000}"/>
    <cellStyle name="20% - Accent1 3 8" xfId="1300" xr:uid="{00000000-0005-0000-0000-0000B0070000}"/>
    <cellStyle name="20% - Accent1 3 8 2" xfId="12707" xr:uid="{00000000-0005-0000-0000-0000B1070000}"/>
    <cellStyle name="20% - Accent1 3 8 3" xfId="16658" xr:uid="{00000000-0005-0000-0000-0000B2070000}"/>
    <cellStyle name="20% - Accent1 3 9" xfId="12675" xr:uid="{00000000-0005-0000-0000-0000B3070000}"/>
    <cellStyle name="20% - Accent1 3_Volatility" xfId="1301" xr:uid="{00000000-0005-0000-0000-0000B4070000}"/>
    <cellStyle name="20% - Accent1 4" xfId="1302" xr:uid="{00000000-0005-0000-0000-0000B5070000}"/>
    <cellStyle name="20% - Accent1 4 10" xfId="16659" xr:uid="{00000000-0005-0000-0000-0000B6070000}"/>
    <cellStyle name="20% - Accent1 4 2" xfId="1303" xr:uid="{00000000-0005-0000-0000-0000B7070000}"/>
    <cellStyle name="20% - Accent1 4 2 2" xfId="1304" xr:uid="{00000000-0005-0000-0000-0000B8070000}"/>
    <cellStyle name="20% - Accent1 4 2 2 2" xfId="1305" xr:uid="{00000000-0005-0000-0000-0000B9070000}"/>
    <cellStyle name="20% - Accent1 4 2 2 2 2" xfId="12711" xr:uid="{00000000-0005-0000-0000-0000BA070000}"/>
    <cellStyle name="20% - Accent1 4 2 2 2 3" xfId="16662" xr:uid="{00000000-0005-0000-0000-0000BB070000}"/>
    <cellStyle name="20% - Accent1 4 2 2 3" xfId="1306" xr:uid="{00000000-0005-0000-0000-0000BC070000}"/>
    <cellStyle name="20% - Accent1 4 2 2 3 2" xfId="12712" xr:uid="{00000000-0005-0000-0000-0000BD070000}"/>
    <cellStyle name="20% - Accent1 4 2 2 3 3" xfId="16663" xr:uid="{00000000-0005-0000-0000-0000BE070000}"/>
    <cellStyle name="20% - Accent1 4 2 2 4" xfId="12710" xr:uid="{00000000-0005-0000-0000-0000BF070000}"/>
    <cellStyle name="20% - Accent1 4 2 2 5" xfId="16661" xr:uid="{00000000-0005-0000-0000-0000C0070000}"/>
    <cellStyle name="20% - Accent1 4 2 3" xfId="1307" xr:uid="{00000000-0005-0000-0000-0000C1070000}"/>
    <cellStyle name="20% - Accent1 4 2 3 2" xfId="1308" xr:uid="{00000000-0005-0000-0000-0000C2070000}"/>
    <cellStyle name="20% - Accent1 4 2 3 2 2" xfId="12714" xr:uid="{00000000-0005-0000-0000-0000C3070000}"/>
    <cellStyle name="20% - Accent1 4 2 3 2 3" xfId="16665" xr:uid="{00000000-0005-0000-0000-0000C4070000}"/>
    <cellStyle name="20% - Accent1 4 2 3 3" xfId="1309" xr:uid="{00000000-0005-0000-0000-0000C5070000}"/>
    <cellStyle name="20% - Accent1 4 2 3 3 2" xfId="12715" xr:uid="{00000000-0005-0000-0000-0000C6070000}"/>
    <cellStyle name="20% - Accent1 4 2 3 3 3" xfId="16666" xr:uid="{00000000-0005-0000-0000-0000C7070000}"/>
    <cellStyle name="20% - Accent1 4 2 3 4" xfId="12713" xr:uid="{00000000-0005-0000-0000-0000C8070000}"/>
    <cellStyle name="20% - Accent1 4 2 3 5" xfId="16664" xr:uid="{00000000-0005-0000-0000-0000C9070000}"/>
    <cellStyle name="20% - Accent1 4 2 4" xfId="1310" xr:uid="{00000000-0005-0000-0000-0000CA070000}"/>
    <cellStyle name="20% - Accent1 4 2 4 2" xfId="1311" xr:uid="{00000000-0005-0000-0000-0000CB070000}"/>
    <cellStyle name="20% - Accent1 4 2 4 2 2" xfId="12717" xr:uid="{00000000-0005-0000-0000-0000CC070000}"/>
    <cellStyle name="20% - Accent1 4 2 4 2 3" xfId="16668" xr:uid="{00000000-0005-0000-0000-0000CD070000}"/>
    <cellStyle name="20% - Accent1 4 2 4 3" xfId="1312" xr:uid="{00000000-0005-0000-0000-0000CE070000}"/>
    <cellStyle name="20% - Accent1 4 2 4 3 2" xfId="12718" xr:uid="{00000000-0005-0000-0000-0000CF070000}"/>
    <cellStyle name="20% - Accent1 4 2 4 3 3" xfId="16669" xr:uid="{00000000-0005-0000-0000-0000D0070000}"/>
    <cellStyle name="20% - Accent1 4 2 4 4" xfId="12716" xr:uid="{00000000-0005-0000-0000-0000D1070000}"/>
    <cellStyle name="20% - Accent1 4 2 4 5" xfId="16667" xr:uid="{00000000-0005-0000-0000-0000D2070000}"/>
    <cellStyle name="20% - Accent1 4 2 5" xfId="1313" xr:uid="{00000000-0005-0000-0000-0000D3070000}"/>
    <cellStyle name="20% - Accent1 4 2 5 2" xfId="12719" xr:uid="{00000000-0005-0000-0000-0000D4070000}"/>
    <cellStyle name="20% - Accent1 4 2 5 3" xfId="16670" xr:uid="{00000000-0005-0000-0000-0000D5070000}"/>
    <cellStyle name="20% - Accent1 4 2 6" xfId="1314" xr:uid="{00000000-0005-0000-0000-0000D6070000}"/>
    <cellStyle name="20% - Accent1 4 2 6 2" xfId="12720" xr:uid="{00000000-0005-0000-0000-0000D7070000}"/>
    <cellStyle name="20% - Accent1 4 2 6 3" xfId="16671" xr:uid="{00000000-0005-0000-0000-0000D8070000}"/>
    <cellStyle name="20% - Accent1 4 2 7" xfId="12709" xr:uid="{00000000-0005-0000-0000-0000D9070000}"/>
    <cellStyle name="20% - Accent1 4 2 8" xfId="16660" xr:uid="{00000000-0005-0000-0000-0000DA070000}"/>
    <cellStyle name="20% - Accent1 4 2_Volatility" xfId="1315" xr:uid="{00000000-0005-0000-0000-0000DB070000}"/>
    <cellStyle name="20% - Accent1 4 3" xfId="1316" xr:uid="{00000000-0005-0000-0000-0000DC070000}"/>
    <cellStyle name="20% - Accent1 4 3 2" xfId="1317" xr:uid="{00000000-0005-0000-0000-0000DD070000}"/>
    <cellStyle name="20% - Accent1 4 3 2 2" xfId="1318" xr:uid="{00000000-0005-0000-0000-0000DE070000}"/>
    <cellStyle name="20% - Accent1 4 3 2 2 2" xfId="12723" xr:uid="{00000000-0005-0000-0000-0000DF070000}"/>
    <cellStyle name="20% - Accent1 4 3 2 2 3" xfId="16674" xr:uid="{00000000-0005-0000-0000-0000E0070000}"/>
    <cellStyle name="20% - Accent1 4 3 2 3" xfId="1319" xr:uid="{00000000-0005-0000-0000-0000E1070000}"/>
    <cellStyle name="20% - Accent1 4 3 2 3 2" xfId="12724" xr:uid="{00000000-0005-0000-0000-0000E2070000}"/>
    <cellStyle name="20% - Accent1 4 3 2 3 3" xfId="16675" xr:uid="{00000000-0005-0000-0000-0000E3070000}"/>
    <cellStyle name="20% - Accent1 4 3 2 4" xfId="12722" xr:uid="{00000000-0005-0000-0000-0000E4070000}"/>
    <cellStyle name="20% - Accent1 4 3 2 5" xfId="16673" xr:uid="{00000000-0005-0000-0000-0000E5070000}"/>
    <cellStyle name="20% - Accent1 4 3 3" xfId="1320" xr:uid="{00000000-0005-0000-0000-0000E6070000}"/>
    <cellStyle name="20% - Accent1 4 3 3 2" xfId="1321" xr:uid="{00000000-0005-0000-0000-0000E7070000}"/>
    <cellStyle name="20% - Accent1 4 3 3 2 2" xfId="12726" xr:uid="{00000000-0005-0000-0000-0000E8070000}"/>
    <cellStyle name="20% - Accent1 4 3 3 2 3" xfId="16677" xr:uid="{00000000-0005-0000-0000-0000E9070000}"/>
    <cellStyle name="20% - Accent1 4 3 3 3" xfId="1322" xr:uid="{00000000-0005-0000-0000-0000EA070000}"/>
    <cellStyle name="20% - Accent1 4 3 3 3 2" xfId="12727" xr:uid="{00000000-0005-0000-0000-0000EB070000}"/>
    <cellStyle name="20% - Accent1 4 3 3 3 3" xfId="16678" xr:uid="{00000000-0005-0000-0000-0000EC070000}"/>
    <cellStyle name="20% - Accent1 4 3 3 4" xfId="12725" xr:uid="{00000000-0005-0000-0000-0000ED070000}"/>
    <cellStyle name="20% - Accent1 4 3 3 5" xfId="16676" xr:uid="{00000000-0005-0000-0000-0000EE070000}"/>
    <cellStyle name="20% - Accent1 4 3 4" xfId="1323" xr:uid="{00000000-0005-0000-0000-0000EF070000}"/>
    <cellStyle name="20% - Accent1 4 3 4 2" xfId="12728" xr:uid="{00000000-0005-0000-0000-0000F0070000}"/>
    <cellStyle name="20% - Accent1 4 3 4 3" xfId="16679" xr:uid="{00000000-0005-0000-0000-0000F1070000}"/>
    <cellStyle name="20% - Accent1 4 3 5" xfId="1324" xr:uid="{00000000-0005-0000-0000-0000F2070000}"/>
    <cellStyle name="20% - Accent1 4 3 5 2" xfId="12729" xr:uid="{00000000-0005-0000-0000-0000F3070000}"/>
    <cellStyle name="20% - Accent1 4 3 5 3" xfId="16680" xr:uid="{00000000-0005-0000-0000-0000F4070000}"/>
    <cellStyle name="20% - Accent1 4 3 6" xfId="12721" xr:uid="{00000000-0005-0000-0000-0000F5070000}"/>
    <cellStyle name="20% - Accent1 4 3 7" xfId="16672" xr:uid="{00000000-0005-0000-0000-0000F6070000}"/>
    <cellStyle name="20% - Accent1 4 3_Volatility" xfId="1325" xr:uid="{00000000-0005-0000-0000-0000F7070000}"/>
    <cellStyle name="20% - Accent1 4 4" xfId="1326" xr:uid="{00000000-0005-0000-0000-0000F8070000}"/>
    <cellStyle name="20% - Accent1 4 4 2" xfId="1327" xr:uid="{00000000-0005-0000-0000-0000F9070000}"/>
    <cellStyle name="20% - Accent1 4 4 2 2" xfId="12731" xr:uid="{00000000-0005-0000-0000-0000FA070000}"/>
    <cellStyle name="20% - Accent1 4 4 2 3" xfId="16682" xr:uid="{00000000-0005-0000-0000-0000FB070000}"/>
    <cellStyle name="20% - Accent1 4 4 3" xfId="1328" xr:uid="{00000000-0005-0000-0000-0000FC070000}"/>
    <cellStyle name="20% - Accent1 4 4 3 2" xfId="12732" xr:uid="{00000000-0005-0000-0000-0000FD070000}"/>
    <cellStyle name="20% - Accent1 4 4 3 3" xfId="16683" xr:uid="{00000000-0005-0000-0000-0000FE070000}"/>
    <cellStyle name="20% - Accent1 4 4 4" xfId="12730" xr:uid="{00000000-0005-0000-0000-0000FF070000}"/>
    <cellStyle name="20% - Accent1 4 4 5" xfId="16681" xr:uid="{00000000-0005-0000-0000-000000080000}"/>
    <cellStyle name="20% - Accent1 4 5" xfId="1329" xr:uid="{00000000-0005-0000-0000-000001080000}"/>
    <cellStyle name="20% - Accent1 4 5 2" xfId="1330" xr:uid="{00000000-0005-0000-0000-000002080000}"/>
    <cellStyle name="20% - Accent1 4 5 2 2" xfId="12734" xr:uid="{00000000-0005-0000-0000-000003080000}"/>
    <cellStyle name="20% - Accent1 4 5 2 3" xfId="16685" xr:uid="{00000000-0005-0000-0000-000004080000}"/>
    <cellStyle name="20% - Accent1 4 5 3" xfId="1331" xr:uid="{00000000-0005-0000-0000-000005080000}"/>
    <cellStyle name="20% - Accent1 4 5 3 2" xfId="12735" xr:uid="{00000000-0005-0000-0000-000006080000}"/>
    <cellStyle name="20% - Accent1 4 5 3 3" xfId="16686" xr:uid="{00000000-0005-0000-0000-000007080000}"/>
    <cellStyle name="20% - Accent1 4 5 4" xfId="12733" xr:uid="{00000000-0005-0000-0000-000008080000}"/>
    <cellStyle name="20% - Accent1 4 5 5" xfId="16684" xr:uid="{00000000-0005-0000-0000-000009080000}"/>
    <cellStyle name="20% - Accent1 4 6" xfId="1332" xr:uid="{00000000-0005-0000-0000-00000A080000}"/>
    <cellStyle name="20% - Accent1 4 6 2" xfId="1333" xr:uid="{00000000-0005-0000-0000-00000B080000}"/>
    <cellStyle name="20% - Accent1 4 6 2 2" xfId="12737" xr:uid="{00000000-0005-0000-0000-00000C080000}"/>
    <cellStyle name="20% - Accent1 4 6 2 3" xfId="16688" xr:uid="{00000000-0005-0000-0000-00000D080000}"/>
    <cellStyle name="20% - Accent1 4 6 3" xfId="1334" xr:uid="{00000000-0005-0000-0000-00000E080000}"/>
    <cellStyle name="20% - Accent1 4 6 3 2" xfId="12738" xr:uid="{00000000-0005-0000-0000-00000F080000}"/>
    <cellStyle name="20% - Accent1 4 6 3 3" xfId="16689" xr:uid="{00000000-0005-0000-0000-000010080000}"/>
    <cellStyle name="20% - Accent1 4 6 4" xfId="12736" xr:uid="{00000000-0005-0000-0000-000011080000}"/>
    <cellStyle name="20% - Accent1 4 6 5" xfId="16687" xr:uid="{00000000-0005-0000-0000-000012080000}"/>
    <cellStyle name="20% - Accent1 4 7" xfId="1335" xr:uid="{00000000-0005-0000-0000-000013080000}"/>
    <cellStyle name="20% - Accent1 4 7 2" xfId="12739" xr:uid="{00000000-0005-0000-0000-000014080000}"/>
    <cellStyle name="20% - Accent1 4 7 3" xfId="16690" xr:uid="{00000000-0005-0000-0000-000015080000}"/>
    <cellStyle name="20% - Accent1 4 8" xfId="1336" xr:uid="{00000000-0005-0000-0000-000016080000}"/>
    <cellStyle name="20% - Accent1 4 8 2" xfId="12740" xr:uid="{00000000-0005-0000-0000-000017080000}"/>
    <cellStyle name="20% - Accent1 4 8 3" xfId="16691" xr:uid="{00000000-0005-0000-0000-000018080000}"/>
    <cellStyle name="20% - Accent1 4 9" xfId="12708" xr:uid="{00000000-0005-0000-0000-000019080000}"/>
    <cellStyle name="20% - Accent1 4_Volatility" xfId="1337" xr:uid="{00000000-0005-0000-0000-00001A080000}"/>
    <cellStyle name="20% - Accent1 5" xfId="1338" xr:uid="{00000000-0005-0000-0000-00001B080000}"/>
    <cellStyle name="20% - Accent1 5 10" xfId="16692" xr:uid="{00000000-0005-0000-0000-00001C080000}"/>
    <cellStyle name="20% - Accent1 5 2" xfId="1339" xr:uid="{00000000-0005-0000-0000-00001D080000}"/>
    <cellStyle name="20% - Accent1 5 2 2" xfId="1340" xr:uid="{00000000-0005-0000-0000-00001E080000}"/>
    <cellStyle name="20% - Accent1 5 2 2 2" xfId="1341" xr:uid="{00000000-0005-0000-0000-00001F080000}"/>
    <cellStyle name="20% - Accent1 5 2 2 2 2" xfId="12744" xr:uid="{00000000-0005-0000-0000-000020080000}"/>
    <cellStyle name="20% - Accent1 5 2 2 2 3" xfId="16695" xr:uid="{00000000-0005-0000-0000-000021080000}"/>
    <cellStyle name="20% - Accent1 5 2 2 3" xfId="1342" xr:uid="{00000000-0005-0000-0000-000022080000}"/>
    <cellStyle name="20% - Accent1 5 2 2 3 2" xfId="12745" xr:uid="{00000000-0005-0000-0000-000023080000}"/>
    <cellStyle name="20% - Accent1 5 2 2 3 3" xfId="16696" xr:uid="{00000000-0005-0000-0000-000024080000}"/>
    <cellStyle name="20% - Accent1 5 2 2 4" xfId="12743" xr:uid="{00000000-0005-0000-0000-000025080000}"/>
    <cellStyle name="20% - Accent1 5 2 2 5" xfId="16694" xr:uid="{00000000-0005-0000-0000-000026080000}"/>
    <cellStyle name="20% - Accent1 5 2 3" xfId="1343" xr:uid="{00000000-0005-0000-0000-000027080000}"/>
    <cellStyle name="20% - Accent1 5 2 3 2" xfId="1344" xr:uid="{00000000-0005-0000-0000-000028080000}"/>
    <cellStyle name="20% - Accent1 5 2 3 2 2" xfId="12747" xr:uid="{00000000-0005-0000-0000-000029080000}"/>
    <cellStyle name="20% - Accent1 5 2 3 2 3" xfId="16698" xr:uid="{00000000-0005-0000-0000-00002A080000}"/>
    <cellStyle name="20% - Accent1 5 2 3 3" xfId="1345" xr:uid="{00000000-0005-0000-0000-00002B080000}"/>
    <cellStyle name="20% - Accent1 5 2 3 3 2" xfId="12748" xr:uid="{00000000-0005-0000-0000-00002C080000}"/>
    <cellStyle name="20% - Accent1 5 2 3 3 3" xfId="16699" xr:uid="{00000000-0005-0000-0000-00002D080000}"/>
    <cellStyle name="20% - Accent1 5 2 3 4" xfId="12746" xr:uid="{00000000-0005-0000-0000-00002E080000}"/>
    <cellStyle name="20% - Accent1 5 2 3 5" xfId="16697" xr:uid="{00000000-0005-0000-0000-00002F080000}"/>
    <cellStyle name="20% - Accent1 5 2 4" xfId="1346" xr:uid="{00000000-0005-0000-0000-000030080000}"/>
    <cellStyle name="20% - Accent1 5 2 4 2" xfId="1347" xr:uid="{00000000-0005-0000-0000-000031080000}"/>
    <cellStyle name="20% - Accent1 5 2 4 2 2" xfId="12750" xr:uid="{00000000-0005-0000-0000-000032080000}"/>
    <cellStyle name="20% - Accent1 5 2 4 2 3" xfId="16701" xr:uid="{00000000-0005-0000-0000-000033080000}"/>
    <cellStyle name="20% - Accent1 5 2 4 3" xfId="1348" xr:uid="{00000000-0005-0000-0000-000034080000}"/>
    <cellStyle name="20% - Accent1 5 2 4 3 2" xfId="12751" xr:uid="{00000000-0005-0000-0000-000035080000}"/>
    <cellStyle name="20% - Accent1 5 2 4 3 3" xfId="16702" xr:uid="{00000000-0005-0000-0000-000036080000}"/>
    <cellStyle name="20% - Accent1 5 2 4 4" xfId="12749" xr:uid="{00000000-0005-0000-0000-000037080000}"/>
    <cellStyle name="20% - Accent1 5 2 4 5" xfId="16700" xr:uid="{00000000-0005-0000-0000-000038080000}"/>
    <cellStyle name="20% - Accent1 5 2 5" xfId="1349" xr:uid="{00000000-0005-0000-0000-000039080000}"/>
    <cellStyle name="20% - Accent1 5 2 5 2" xfId="12752" xr:uid="{00000000-0005-0000-0000-00003A080000}"/>
    <cellStyle name="20% - Accent1 5 2 5 3" xfId="16703" xr:uid="{00000000-0005-0000-0000-00003B080000}"/>
    <cellStyle name="20% - Accent1 5 2 6" xfId="1350" xr:uid="{00000000-0005-0000-0000-00003C080000}"/>
    <cellStyle name="20% - Accent1 5 2 6 2" xfId="12753" xr:uid="{00000000-0005-0000-0000-00003D080000}"/>
    <cellStyle name="20% - Accent1 5 2 6 3" xfId="16704" xr:uid="{00000000-0005-0000-0000-00003E080000}"/>
    <cellStyle name="20% - Accent1 5 2 7" xfId="12742" xr:uid="{00000000-0005-0000-0000-00003F080000}"/>
    <cellStyle name="20% - Accent1 5 2 8" xfId="16693" xr:uid="{00000000-0005-0000-0000-000040080000}"/>
    <cellStyle name="20% - Accent1 5 2_Volatility" xfId="1351" xr:uid="{00000000-0005-0000-0000-000041080000}"/>
    <cellStyle name="20% - Accent1 5 3" xfId="1352" xr:uid="{00000000-0005-0000-0000-000042080000}"/>
    <cellStyle name="20% - Accent1 5 3 2" xfId="1353" xr:uid="{00000000-0005-0000-0000-000043080000}"/>
    <cellStyle name="20% - Accent1 5 3 2 2" xfId="1354" xr:uid="{00000000-0005-0000-0000-000044080000}"/>
    <cellStyle name="20% - Accent1 5 3 2 2 2" xfId="12756" xr:uid="{00000000-0005-0000-0000-000045080000}"/>
    <cellStyle name="20% - Accent1 5 3 2 2 3" xfId="16707" xr:uid="{00000000-0005-0000-0000-000046080000}"/>
    <cellStyle name="20% - Accent1 5 3 2 3" xfId="1355" xr:uid="{00000000-0005-0000-0000-000047080000}"/>
    <cellStyle name="20% - Accent1 5 3 2 3 2" xfId="12757" xr:uid="{00000000-0005-0000-0000-000048080000}"/>
    <cellStyle name="20% - Accent1 5 3 2 3 3" xfId="16708" xr:uid="{00000000-0005-0000-0000-000049080000}"/>
    <cellStyle name="20% - Accent1 5 3 2 4" xfId="12755" xr:uid="{00000000-0005-0000-0000-00004A080000}"/>
    <cellStyle name="20% - Accent1 5 3 2 5" xfId="16706" xr:uid="{00000000-0005-0000-0000-00004B080000}"/>
    <cellStyle name="20% - Accent1 5 3 3" xfId="1356" xr:uid="{00000000-0005-0000-0000-00004C080000}"/>
    <cellStyle name="20% - Accent1 5 3 3 2" xfId="1357" xr:uid="{00000000-0005-0000-0000-00004D080000}"/>
    <cellStyle name="20% - Accent1 5 3 3 2 2" xfId="12759" xr:uid="{00000000-0005-0000-0000-00004E080000}"/>
    <cellStyle name="20% - Accent1 5 3 3 2 3" xfId="16710" xr:uid="{00000000-0005-0000-0000-00004F080000}"/>
    <cellStyle name="20% - Accent1 5 3 3 3" xfId="1358" xr:uid="{00000000-0005-0000-0000-000050080000}"/>
    <cellStyle name="20% - Accent1 5 3 3 3 2" xfId="12760" xr:uid="{00000000-0005-0000-0000-000051080000}"/>
    <cellStyle name="20% - Accent1 5 3 3 3 3" xfId="16711" xr:uid="{00000000-0005-0000-0000-000052080000}"/>
    <cellStyle name="20% - Accent1 5 3 3 4" xfId="12758" xr:uid="{00000000-0005-0000-0000-000053080000}"/>
    <cellStyle name="20% - Accent1 5 3 3 5" xfId="16709" xr:uid="{00000000-0005-0000-0000-000054080000}"/>
    <cellStyle name="20% - Accent1 5 3 4" xfId="1359" xr:uid="{00000000-0005-0000-0000-000055080000}"/>
    <cellStyle name="20% - Accent1 5 3 4 2" xfId="12761" xr:uid="{00000000-0005-0000-0000-000056080000}"/>
    <cellStyle name="20% - Accent1 5 3 4 3" xfId="16712" xr:uid="{00000000-0005-0000-0000-000057080000}"/>
    <cellStyle name="20% - Accent1 5 3 5" xfId="1360" xr:uid="{00000000-0005-0000-0000-000058080000}"/>
    <cellStyle name="20% - Accent1 5 3 5 2" xfId="12762" xr:uid="{00000000-0005-0000-0000-000059080000}"/>
    <cellStyle name="20% - Accent1 5 3 5 3" xfId="16713" xr:uid="{00000000-0005-0000-0000-00005A080000}"/>
    <cellStyle name="20% - Accent1 5 3 6" xfId="12754" xr:uid="{00000000-0005-0000-0000-00005B080000}"/>
    <cellStyle name="20% - Accent1 5 3 7" xfId="16705" xr:uid="{00000000-0005-0000-0000-00005C080000}"/>
    <cellStyle name="20% - Accent1 5 3_Volatility" xfId="1361" xr:uid="{00000000-0005-0000-0000-00005D080000}"/>
    <cellStyle name="20% - Accent1 5 4" xfId="1362" xr:uid="{00000000-0005-0000-0000-00005E080000}"/>
    <cellStyle name="20% - Accent1 5 4 2" xfId="1363" xr:uid="{00000000-0005-0000-0000-00005F080000}"/>
    <cellStyle name="20% - Accent1 5 4 2 2" xfId="12764" xr:uid="{00000000-0005-0000-0000-000060080000}"/>
    <cellStyle name="20% - Accent1 5 4 2 3" xfId="16715" xr:uid="{00000000-0005-0000-0000-000061080000}"/>
    <cellStyle name="20% - Accent1 5 4 3" xfId="1364" xr:uid="{00000000-0005-0000-0000-000062080000}"/>
    <cellStyle name="20% - Accent1 5 4 3 2" xfId="12765" xr:uid="{00000000-0005-0000-0000-000063080000}"/>
    <cellStyle name="20% - Accent1 5 4 3 3" xfId="16716" xr:uid="{00000000-0005-0000-0000-000064080000}"/>
    <cellStyle name="20% - Accent1 5 4 4" xfId="12763" xr:uid="{00000000-0005-0000-0000-000065080000}"/>
    <cellStyle name="20% - Accent1 5 4 5" xfId="16714" xr:uid="{00000000-0005-0000-0000-000066080000}"/>
    <cellStyle name="20% - Accent1 5 5" xfId="1365" xr:uid="{00000000-0005-0000-0000-000067080000}"/>
    <cellStyle name="20% - Accent1 5 5 2" xfId="1366" xr:uid="{00000000-0005-0000-0000-000068080000}"/>
    <cellStyle name="20% - Accent1 5 5 2 2" xfId="12767" xr:uid="{00000000-0005-0000-0000-000069080000}"/>
    <cellStyle name="20% - Accent1 5 5 2 3" xfId="16718" xr:uid="{00000000-0005-0000-0000-00006A080000}"/>
    <cellStyle name="20% - Accent1 5 5 3" xfId="1367" xr:uid="{00000000-0005-0000-0000-00006B080000}"/>
    <cellStyle name="20% - Accent1 5 5 3 2" xfId="12768" xr:uid="{00000000-0005-0000-0000-00006C080000}"/>
    <cellStyle name="20% - Accent1 5 5 3 3" xfId="16719" xr:uid="{00000000-0005-0000-0000-00006D080000}"/>
    <cellStyle name="20% - Accent1 5 5 4" xfId="12766" xr:uid="{00000000-0005-0000-0000-00006E080000}"/>
    <cellStyle name="20% - Accent1 5 5 5" xfId="16717" xr:uid="{00000000-0005-0000-0000-00006F080000}"/>
    <cellStyle name="20% - Accent1 5 6" xfId="1368" xr:uid="{00000000-0005-0000-0000-000070080000}"/>
    <cellStyle name="20% - Accent1 5 6 2" xfId="1369" xr:uid="{00000000-0005-0000-0000-000071080000}"/>
    <cellStyle name="20% - Accent1 5 6 2 2" xfId="12770" xr:uid="{00000000-0005-0000-0000-000072080000}"/>
    <cellStyle name="20% - Accent1 5 6 2 3" xfId="16721" xr:uid="{00000000-0005-0000-0000-000073080000}"/>
    <cellStyle name="20% - Accent1 5 6 3" xfId="1370" xr:uid="{00000000-0005-0000-0000-000074080000}"/>
    <cellStyle name="20% - Accent1 5 6 3 2" xfId="12771" xr:uid="{00000000-0005-0000-0000-000075080000}"/>
    <cellStyle name="20% - Accent1 5 6 3 3" xfId="16722" xr:uid="{00000000-0005-0000-0000-000076080000}"/>
    <cellStyle name="20% - Accent1 5 6 4" xfId="12769" xr:uid="{00000000-0005-0000-0000-000077080000}"/>
    <cellStyle name="20% - Accent1 5 6 5" xfId="16720" xr:uid="{00000000-0005-0000-0000-000078080000}"/>
    <cellStyle name="20% - Accent1 5 7" xfId="1371" xr:uid="{00000000-0005-0000-0000-000079080000}"/>
    <cellStyle name="20% - Accent1 5 7 2" xfId="12772" xr:uid="{00000000-0005-0000-0000-00007A080000}"/>
    <cellStyle name="20% - Accent1 5 7 3" xfId="16723" xr:uid="{00000000-0005-0000-0000-00007B080000}"/>
    <cellStyle name="20% - Accent1 5 8" xfId="1372" xr:uid="{00000000-0005-0000-0000-00007C080000}"/>
    <cellStyle name="20% - Accent1 5 8 2" xfId="12773" xr:uid="{00000000-0005-0000-0000-00007D080000}"/>
    <cellStyle name="20% - Accent1 5 8 3" xfId="16724" xr:uid="{00000000-0005-0000-0000-00007E080000}"/>
    <cellStyle name="20% - Accent1 5 9" xfId="12741" xr:uid="{00000000-0005-0000-0000-00007F080000}"/>
    <cellStyle name="20% - Accent1 5_Volatility" xfId="1373" xr:uid="{00000000-0005-0000-0000-000080080000}"/>
    <cellStyle name="20% - Accent1 6" xfId="1374" xr:uid="{00000000-0005-0000-0000-000081080000}"/>
    <cellStyle name="20% - Accent1 6 10" xfId="16725" xr:uid="{00000000-0005-0000-0000-000082080000}"/>
    <cellStyle name="20% - Accent1 6 2" xfId="1375" xr:uid="{00000000-0005-0000-0000-000083080000}"/>
    <cellStyle name="20% - Accent1 6 2 2" xfId="1376" xr:uid="{00000000-0005-0000-0000-000084080000}"/>
    <cellStyle name="20% - Accent1 6 2 2 2" xfId="1377" xr:uid="{00000000-0005-0000-0000-000085080000}"/>
    <cellStyle name="20% - Accent1 6 2 2 2 2" xfId="12777" xr:uid="{00000000-0005-0000-0000-000086080000}"/>
    <cellStyle name="20% - Accent1 6 2 2 2 3" xfId="16728" xr:uid="{00000000-0005-0000-0000-000087080000}"/>
    <cellStyle name="20% - Accent1 6 2 2 3" xfId="1378" xr:uid="{00000000-0005-0000-0000-000088080000}"/>
    <cellStyle name="20% - Accent1 6 2 2 3 2" xfId="12778" xr:uid="{00000000-0005-0000-0000-000089080000}"/>
    <cellStyle name="20% - Accent1 6 2 2 3 3" xfId="16729" xr:uid="{00000000-0005-0000-0000-00008A080000}"/>
    <cellStyle name="20% - Accent1 6 2 2 4" xfId="12776" xr:uid="{00000000-0005-0000-0000-00008B080000}"/>
    <cellStyle name="20% - Accent1 6 2 2 5" xfId="16727" xr:uid="{00000000-0005-0000-0000-00008C080000}"/>
    <cellStyle name="20% - Accent1 6 2 3" xfId="1379" xr:uid="{00000000-0005-0000-0000-00008D080000}"/>
    <cellStyle name="20% - Accent1 6 2 3 2" xfId="1380" xr:uid="{00000000-0005-0000-0000-00008E080000}"/>
    <cellStyle name="20% - Accent1 6 2 3 2 2" xfId="12780" xr:uid="{00000000-0005-0000-0000-00008F080000}"/>
    <cellStyle name="20% - Accent1 6 2 3 2 3" xfId="16731" xr:uid="{00000000-0005-0000-0000-000090080000}"/>
    <cellStyle name="20% - Accent1 6 2 3 3" xfId="1381" xr:uid="{00000000-0005-0000-0000-000091080000}"/>
    <cellStyle name="20% - Accent1 6 2 3 3 2" xfId="12781" xr:uid="{00000000-0005-0000-0000-000092080000}"/>
    <cellStyle name="20% - Accent1 6 2 3 3 3" xfId="16732" xr:uid="{00000000-0005-0000-0000-000093080000}"/>
    <cellStyle name="20% - Accent1 6 2 3 4" xfId="12779" xr:uid="{00000000-0005-0000-0000-000094080000}"/>
    <cellStyle name="20% - Accent1 6 2 3 5" xfId="16730" xr:uid="{00000000-0005-0000-0000-000095080000}"/>
    <cellStyle name="20% - Accent1 6 2 4" xfId="1382" xr:uid="{00000000-0005-0000-0000-000096080000}"/>
    <cellStyle name="20% - Accent1 6 2 4 2" xfId="1383" xr:uid="{00000000-0005-0000-0000-000097080000}"/>
    <cellStyle name="20% - Accent1 6 2 4 2 2" xfId="12783" xr:uid="{00000000-0005-0000-0000-000098080000}"/>
    <cellStyle name="20% - Accent1 6 2 4 2 3" xfId="16734" xr:uid="{00000000-0005-0000-0000-000099080000}"/>
    <cellStyle name="20% - Accent1 6 2 4 3" xfId="1384" xr:uid="{00000000-0005-0000-0000-00009A080000}"/>
    <cellStyle name="20% - Accent1 6 2 4 3 2" xfId="12784" xr:uid="{00000000-0005-0000-0000-00009B080000}"/>
    <cellStyle name="20% - Accent1 6 2 4 3 3" xfId="16735" xr:uid="{00000000-0005-0000-0000-00009C080000}"/>
    <cellStyle name="20% - Accent1 6 2 4 4" xfId="12782" xr:uid="{00000000-0005-0000-0000-00009D080000}"/>
    <cellStyle name="20% - Accent1 6 2 4 5" xfId="16733" xr:uid="{00000000-0005-0000-0000-00009E080000}"/>
    <cellStyle name="20% - Accent1 6 2 5" xfId="1385" xr:uid="{00000000-0005-0000-0000-00009F080000}"/>
    <cellStyle name="20% - Accent1 6 2 5 2" xfId="12785" xr:uid="{00000000-0005-0000-0000-0000A0080000}"/>
    <cellStyle name="20% - Accent1 6 2 5 3" xfId="16736" xr:uid="{00000000-0005-0000-0000-0000A1080000}"/>
    <cellStyle name="20% - Accent1 6 2 6" xfId="1386" xr:uid="{00000000-0005-0000-0000-0000A2080000}"/>
    <cellStyle name="20% - Accent1 6 2 6 2" xfId="12786" xr:uid="{00000000-0005-0000-0000-0000A3080000}"/>
    <cellStyle name="20% - Accent1 6 2 6 3" xfId="16737" xr:uid="{00000000-0005-0000-0000-0000A4080000}"/>
    <cellStyle name="20% - Accent1 6 2 7" xfId="12775" xr:uid="{00000000-0005-0000-0000-0000A5080000}"/>
    <cellStyle name="20% - Accent1 6 2 8" xfId="16726" xr:uid="{00000000-0005-0000-0000-0000A6080000}"/>
    <cellStyle name="20% - Accent1 6 2_Volatility" xfId="1387" xr:uid="{00000000-0005-0000-0000-0000A7080000}"/>
    <cellStyle name="20% - Accent1 6 3" xfId="1388" xr:uid="{00000000-0005-0000-0000-0000A8080000}"/>
    <cellStyle name="20% - Accent1 6 3 2" xfId="1389" xr:uid="{00000000-0005-0000-0000-0000A9080000}"/>
    <cellStyle name="20% - Accent1 6 3 2 2" xfId="1390" xr:uid="{00000000-0005-0000-0000-0000AA080000}"/>
    <cellStyle name="20% - Accent1 6 3 2 2 2" xfId="12789" xr:uid="{00000000-0005-0000-0000-0000AB080000}"/>
    <cellStyle name="20% - Accent1 6 3 2 2 3" xfId="16740" xr:uid="{00000000-0005-0000-0000-0000AC080000}"/>
    <cellStyle name="20% - Accent1 6 3 2 3" xfId="1391" xr:uid="{00000000-0005-0000-0000-0000AD080000}"/>
    <cellStyle name="20% - Accent1 6 3 2 3 2" xfId="12790" xr:uid="{00000000-0005-0000-0000-0000AE080000}"/>
    <cellStyle name="20% - Accent1 6 3 2 3 3" xfId="16741" xr:uid="{00000000-0005-0000-0000-0000AF080000}"/>
    <cellStyle name="20% - Accent1 6 3 2 4" xfId="12788" xr:uid="{00000000-0005-0000-0000-0000B0080000}"/>
    <cellStyle name="20% - Accent1 6 3 2 5" xfId="16739" xr:uid="{00000000-0005-0000-0000-0000B1080000}"/>
    <cellStyle name="20% - Accent1 6 3 3" xfId="1392" xr:uid="{00000000-0005-0000-0000-0000B2080000}"/>
    <cellStyle name="20% - Accent1 6 3 3 2" xfId="1393" xr:uid="{00000000-0005-0000-0000-0000B3080000}"/>
    <cellStyle name="20% - Accent1 6 3 3 2 2" xfId="12792" xr:uid="{00000000-0005-0000-0000-0000B4080000}"/>
    <cellStyle name="20% - Accent1 6 3 3 2 3" xfId="16743" xr:uid="{00000000-0005-0000-0000-0000B5080000}"/>
    <cellStyle name="20% - Accent1 6 3 3 3" xfId="1394" xr:uid="{00000000-0005-0000-0000-0000B6080000}"/>
    <cellStyle name="20% - Accent1 6 3 3 3 2" xfId="12793" xr:uid="{00000000-0005-0000-0000-0000B7080000}"/>
    <cellStyle name="20% - Accent1 6 3 3 3 3" xfId="16744" xr:uid="{00000000-0005-0000-0000-0000B8080000}"/>
    <cellStyle name="20% - Accent1 6 3 3 4" xfId="12791" xr:uid="{00000000-0005-0000-0000-0000B9080000}"/>
    <cellStyle name="20% - Accent1 6 3 3 5" xfId="16742" xr:uid="{00000000-0005-0000-0000-0000BA080000}"/>
    <cellStyle name="20% - Accent1 6 3 4" xfId="1395" xr:uid="{00000000-0005-0000-0000-0000BB080000}"/>
    <cellStyle name="20% - Accent1 6 3 4 2" xfId="12794" xr:uid="{00000000-0005-0000-0000-0000BC080000}"/>
    <cellStyle name="20% - Accent1 6 3 4 3" xfId="16745" xr:uid="{00000000-0005-0000-0000-0000BD080000}"/>
    <cellStyle name="20% - Accent1 6 3 5" xfId="1396" xr:uid="{00000000-0005-0000-0000-0000BE080000}"/>
    <cellStyle name="20% - Accent1 6 3 5 2" xfId="12795" xr:uid="{00000000-0005-0000-0000-0000BF080000}"/>
    <cellStyle name="20% - Accent1 6 3 5 3" xfId="16746" xr:uid="{00000000-0005-0000-0000-0000C0080000}"/>
    <cellStyle name="20% - Accent1 6 3 6" xfId="12787" xr:uid="{00000000-0005-0000-0000-0000C1080000}"/>
    <cellStyle name="20% - Accent1 6 3 7" xfId="16738" xr:uid="{00000000-0005-0000-0000-0000C2080000}"/>
    <cellStyle name="20% - Accent1 6 3_Volatility" xfId="1397" xr:uid="{00000000-0005-0000-0000-0000C3080000}"/>
    <cellStyle name="20% - Accent1 6 4" xfId="1398" xr:uid="{00000000-0005-0000-0000-0000C4080000}"/>
    <cellStyle name="20% - Accent1 6 4 2" xfId="1399" xr:uid="{00000000-0005-0000-0000-0000C5080000}"/>
    <cellStyle name="20% - Accent1 6 4 2 2" xfId="12797" xr:uid="{00000000-0005-0000-0000-0000C6080000}"/>
    <cellStyle name="20% - Accent1 6 4 2 3" xfId="16748" xr:uid="{00000000-0005-0000-0000-0000C7080000}"/>
    <cellStyle name="20% - Accent1 6 4 3" xfId="1400" xr:uid="{00000000-0005-0000-0000-0000C8080000}"/>
    <cellStyle name="20% - Accent1 6 4 3 2" xfId="12798" xr:uid="{00000000-0005-0000-0000-0000C9080000}"/>
    <cellStyle name="20% - Accent1 6 4 3 3" xfId="16749" xr:uid="{00000000-0005-0000-0000-0000CA080000}"/>
    <cellStyle name="20% - Accent1 6 4 4" xfId="12796" xr:uid="{00000000-0005-0000-0000-0000CB080000}"/>
    <cellStyle name="20% - Accent1 6 4 5" xfId="16747" xr:uid="{00000000-0005-0000-0000-0000CC080000}"/>
    <cellStyle name="20% - Accent1 6 5" xfId="1401" xr:uid="{00000000-0005-0000-0000-0000CD080000}"/>
    <cellStyle name="20% - Accent1 6 5 2" xfId="1402" xr:uid="{00000000-0005-0000-0000-0000CE080000}"/>
    <cellStyle name="20% - Accent1 6 5 2 2" xfId="12800" xr:uid="{00000000-0005-0000-0000-0000CF080000}"/>
    <cellStyle name="20% - Accent1 6 5 2 3" xfId="16751" xr:uid="{00000000-0005-0000-0000-0000D0080000}"/>
    <cellStyle name="20% - Accent1 6 5 3" xfId="1403" xr:uid="{00000000-0005-0000-0000-0000D1080000}"/>
    <cellStyle name="20% - Accent1 6 5 3 2" xfId="12801" xr:uid="{00000000-0005-0000-0000-0000D2080000}"/>
    <cellStyle name="20% - Accent1 6 5 3 3" xfId="16752" xr:uid="{00000000-0005-0000-0000-0000D3080000}"/>
    <cellStyle name="20% - Accent1 6 5 4" xfId="12799" xr:uid="{00000000-0005-0000-0000-0000D4080000}"/>
    <cellStyle name="20% - Accent1 6 5 5" xfId="16750" xr:uid="{00000000-0005-0000-0000-0000D5080000}"/>
    <cellStyle name="20% - Accent1 6 6" xfId="1404" xr:uid="{00000000-0005-0000-0000-0000D6080000}"/>
    <cellStyle name="20% - Accent1 6 6 2" xfId="1405" xr:uid="{00000000-0005-0000-0000-0000D7080000}"/>
    <cellStyle name="20% - Accent1 6 6 2 2" xfId="12803" xr:uid="{00000000-0005-0000-0000-0000D8080000}"/>
    <cellStyle name="20% - Accent1 6 6 2 3" xfId="16754" xr:uid="{00000000-0005-0000-0000-0000D9080000}"/>
    <cellStyle name="20% - Accent1 6 6 3" xfId="1406" xr:uid="{00000000-0005-0000-0000-0000DA080000}"/>
    <cellStyle name="20% - Accent1 6 6 3 2" xfId="12804" xr:uid="{00000000-0005-0000-0000-0000DB080000}"/>
    <cellStyle name="20% - Accent1 6 6 3 3" xfId="16755" xr:uid="{00000000-0005-0000-0000-0000DC080000}"/>
    <cellStyle name="20% - Accent1 6 6 4" xfId="12802" xr:uid="{00000000-0005-0000-0000-0000DD080000}"/>
    <cellStyle name="20% - Accent1 6 6 5" xfId="16753" xr:uid="{00000000-0005-0000-0000-0000DE080000}"/>
    <cellStyle name="20% - Accent1 6 7" xfId="1407" xr:uid="{00000000-0005-0000-0000-0000DF080000}"/>
    <cellStyle name="20% - Accent1 6 7 2" xfId="12805" xr:uid="{00000000-0005-0000-0000-0000E0080000}"/>
    <cellStyle name="20% - Accent1 6 7 3" xfId="16756" xr:uid="{00000000-0005-0000-0000-0000E1080000}"/>
    <cellStyle name="20% - Accent1 6 8" xfId="1408" xr:uid="{00000000-0005-0000-0000-0000E2080000}"/>
    <cellStyle name="20% - Accent1 6 8 2" xfId="12806" xr:uid="{00000000-0005-0000-0000-0000E3080000}"/>
    <cellStyle name="20% - Accent1 6 8 3" xfId="16757" xr:uid="{00000000-0005-0000-0000-0000E4080000}"/>
    <cellStyle name="20% - Accent1 6 9" xfId="12774" xr:uid="{00000000-0005-0000-0000-0000E5080000}"/>
    <cellStyle name="20% - Accent1 6_Volatility" xfId="1409" xr:uid="{00000000-0005-0000-0000-0000E6080000}"/>
    <cellStyle name="20% - Accent1 7" xfId="1410" xr:uid="{00000000-0005-0000-0000-0000E7080000}"/>
    <cellStyle name="20% - Accent1 7 10" xfId="16758" xr:uid="{00000000-0005-0000-0000-0000E8080000}"/>
    <cellStyle name="20% - Accent1 7 2" xfId="1411" xr:uid="{00000000-0005-0000-0000-0000E9080000}"/>
    <cellStyle name="20% - Accent1 7 2 2" xfId="1412" xr:uid="{00000000-0005-0000-0000-0000EA080000}"/>
    <cellStyle name="20% - Accent1 7 2 2 2" xfId="1413" xr:uid="{00000000-0005-0000-0000-0000EB080000}"/>
    <cellStyle name="20% - Accent1 7 2 2 2 2" xfId="12810" xr:uid="{00000000-0005-0000-0000-0000EC080000}"/>
    <cellStyle name="20% - Accent1 7 2 2 2 3" xfId="16761" xr:uid="{00000000-0005-0000-0000-0000ED080000}"/>
    <cellStyle name="20% - Accent1 7 2 2 3" xfId="1414" xr:uid="{00000000-0005-0000-0000-0000EE080000}"/>
    <cellStyle name="20% - Accent1 7 2 2 3 2" xfId="12811" xr:uid="{00000000-0005-0000-0000-0000EF080000}"/>
    <cellStyle name="20% - Accent1 7 2 2 3 3" xfId="16762" xr:uid="{00000000-0005-0000-0000-0000F0080000}"/>
    <cellStyle name="20% - Accent1 7 2 2 4" xfId="12809" xr:uid="{00000000-0005-0000-0000-0000F1080000}"/>
    <cellStyle name="20% - Accent1 7 2 2 5" xfId="16760" xr:uid="{00000000-0005-0000-0000-0000F2080000}"/>
    <cellStyle name="20% - Accent1 7 2 3" xfId="1415" xr:uid="{00000000-0005-0000-0000-0000F3080000}"/>
    <cellStyle name="20% - Accent1 7 2 3 2" xfId="1416" xr:uid="{00000000-0005-0000-0000-0000F4080000}"/>
    <cellStyle name="20% - Accent1 7 2 3 2 2" xfId="12813" xr:uid="{00000000-0005-0000-0000-0000F5080000}"/>
    <cellStyle name="20% - Accent1 7 2 3 2 3" xfId="16764" xr:uid="{00000000-0005-0000-0000-0000F6080000}"/>
    <cellStyle name="20% - Accent1 7 2 3 3" xfId="1417" xr:uid="{00000000-0005-0000-0000-0000F7080000}"/>
    <cellStyle name="20% - Accent1 7 2 3 3 2" xfId="12814" xr:uid="{00000000-0005-0000-0000-0000F8080000}"/>
    <cellStyle name="20% - Accent1 7 2 3 3 3" xfId="16765" xr:uid="{00000000-0005-0000-0000-0000F9080000}"/>
    <cellStyle name="20% - Accent1 7 2 3 4" xfId="12812" xr:uid="{00000000-0005-0000-0000-0000FA080000}"/>
    <cellStyle name="20% - Accent1 7 2 3 5" xfId="16763" xr:uid="{00000000-0005-0000-0000-0000FB080000}"/>
    <cellStyle name="20% - Accent1 7 2 4" xfId="1418" xr:uid="{00000000-0005-0000-0000-0000FC080000}"/>
    <cellStyle name="20% - Accent1 7 2 4 2" xfId="1419" xr:uid="{00000000-0005-0000-0000-0000FD080000}"/>
    <cellStyle name="20% - Accent1 7 2 4 2 2" xfId="12816" xr:uid="{00000000-0005-0000-0000-0000FE080000}"/>
    <cellStyle name="20% - Accent1 7 2 4 2 3" xfId="16767" xr:uid="{00000000-0005-0000-0000-0000FF080000}"/>
    <cellStyle name="20% - Accent1 7 2 4 3" xfId="1420" xr:uid="{00000000-0005-0000-0000-000000090000}"/>
    <cellStyle name="20% - Accent1 7 2 4 3 2" xfId="12817" xr:uid="{00000000-0005-0000-0000-000001090000}"/>
    <cellStyle name="20% - Accent1 7 2 4 3 3" xfId="16768" xr:uid="{00000000-0005-0000-0000-000002090000}"/>
    <cellStyle name="20% - Accent1 7 2 4 4" xfId="12815" xr:uid="{00000000-0005-0000-0000-000003090000}"/>
    <cellStyle name="20% - Accent1 7 2 4 5" xfId="16766" xr:uid="{00000000-0005-0000-0000-000004090000}"/>
    <cellStyle name="20% - Accent1 7 2 5" xfId="1421" xr:uid="{00000000-0005-0000-0000-000005090000}"/>
    <cellStyle name="20% - Accent1 7 2 5 2" xfId="12818" xr:uid="{00000000-0005-0000-0000-000006090000}"/>
    <cellStyle name="20% - Accent1 7 2 5 3" xfId="16769" xr:uid="{00000000-0005-0000-0000-000007090000}"/>
    <cellStyle name="20% - Accent1 7 2 6" xfId="1422" xr:uid="{00000000-0005-0000-0000-000008090000}"/>
    <cellStyle name="20% - Accent1 7 2 6 2" xfId="12819" xr:uid="{00000000-0005-0000-0000-000009090000}"/>
    <cellStyle name="20% - Accent1 7 2 6 3" xfId="16770" xr:uid="{00000000-0005-0000-0000-00000A090000}"/>
    <cellStyle name="20% - Accent1 7 2 7" xfId="12808" xr:uid="{00000000-0005-0000-0000-00000B090000}"/>
    <cellStyle name="20% - Accent1 7 2 8" xfId="16759" xr:uid="{00000000-0005-0000-0000-00000C090000}"/>
    <cellStyle name="20% - Accent1 7 2_Volatility" xfId="1423" xr:uid="{00000000-0005-0000-0000-00000D090000}"/>
    <cellStyle name="20% - Accent1 7 3" xfId="1424" xr:uid="{00000000-0005-0000-0000-00000E090000}"/>
    <cellStyle name="20% - Accent1 7 3 2" xfId="1425" xr:uid="{00000000-0005-0000-0000-00000F090000}"/>
    <cellStyle name="20% - Accent1 7 3 2 2" xfId="1426" xr:uid="{00000000-0005-0000-0000-000010090000}"/>
    <cellStyle name="20% - Accent1 7 3 2 2 2" xfId="12822" xr:uid="{00000000-0005-0000-0000-000011090000}"/>
    <cellStyle name="20% - Accent1 7 3 2 2 3" xfId="16773" xr:uid="{00000000-0005-0000-0000-000012090000}"/>
    <cellStyle name="20% - Accent1 7 3 2 3" xfId="1427" xr:uid="{00000000-0005-0000-0000-000013090000}"/>
    <cellStyle name="20% - Accent1 7 3 2 3 2" xfId="12823" xr:uid="{00000000-0005-0000-0000-000014090000}"/>
    <cellStyle name="20% - Accent1 7 3 2 3 3" xfId="16774" xr:uid="{00000000-0005-0000-0000-000015090000}"/>
    <cellStyle name="20% - Accent1 7 3 2 4" xfId="12821" xr:uid="{00000000-0005-0000-0000-000016090000}"/>
    <cellStyle name="20% - Accent1 7 3 2 5" xfId="16772" xr:uid="{00000000-0005-0000-0000-000017090000}"/>
    <cellStyle name="20% - Accent1 7 3 3" xfId="1428" xr:uid="{00000000-0005-0000-0000-000018090000}"/>
    <cellStyle name="20% - Accent1 7 3 3 2" xfId="1429" xr:uid="{00000000-0005-0000-0000-000019090000}"/>
    <cellStyle name="20% - Accent1 7 3 3 2 2" xfId="12825" xr:uid="{00000000-0005-0000-0000-00001A090000}"/>
    <cellStyle name="20% - Accent1 7 3 3 2 3" xfId="16776" xr:uid="{00000000-0005-0000-0000-00001B090000}"/>
    <cellStyle name="20% - Accent1 7 3 3 3" xfId="1430" xr:uid="{00000000-0005-0000-0000-00001C090000}"/>
    <cellStyle name="20% - Accent1 7 3 3 3 2" xfId="12826" xr:uid="{00000000-0005-0000-0000-00001D090000}"/>
    <cellStyle name="20% - Accent1 7 3 3 3 3" xfId="16777" xr:uid="{00000000-0005-0000-0000-00001E090000}"/>
    <cellStyle name="20% - Accent1 7 3 3 4" xfId="12824" xr:uid="{00000000-0005-0000-0000-00001F090000}"/>
    <cellStyle name="20% - Accent1 7 3 3 5" xfId="16775" xr:uid="{00000000-0005-0000-0000-000020090000}"/>
    <cellStyle name="20% - Accent1 7 3 4" xfId="1431" xr:uid="{00000000-0005-0000-0000-000021090000}"/>
    <cellStyle name="20% - Accent1 7 3 4 2" xfId="12827" xr:uid="{00000000-0005-0000-0000-000022090000}"/>
    <cellStyle name="20% - Accent1 7 3 4 3" xfId="16778" xr:uid="{00000000-0005-0000-0000-000023090000}"/>
    <cellStyle name="20% - Accent1 7 3 5" xfId="1432" xr:uid="{00000000-0005-0000-0000-000024090000}"/>
    <cellStyle name="20% - Accent1 7 3 5 2" xfId="12828" xr:uid="{00000000-0005-0000-0000-000025090000}"/>
    <cellStyle name="20% - Accent1 7 3 5 3" xfId="16779" xr:uid="{00000000-0005-0000-0000-000026090000}"/>
    <cellStyle name="20% - Accent1 7 3 6" xfId="12820" xr:uid="{00000000-0005-0000-0000-000027090000}"/>
    <cellStyle name="20% - Accent1 7 3 7" xfId="16771" xr:uid="{00000000-0005-0000-0000-000028090000}"/>
    <cellStyle name="20% - Accent1 7 3_Volatility" xfId="1433" xr:uid="{00000000-0005-0000-0000-000029090000}"/>
    <cellStyle name="20% - Accent1 7 4" xfId="1434" xr:uid="{00000000-0005-0000-0000-00002A090000}"/>
    <cellStyle name="20% - Accent1 7 4 2" xfId="1435" xr:uid="{00000000-0005-0000-0000-00002B090000}"/>
    <cellStyle name="20% - Accent1 7 4 2 2" xfId="12830" xr:uid="{00000000-0005-0000-0000-00002C090000}"/>
    <cellStyle name="20% - Accent1 7 4 2 3" xfId="16781" xr:uid="{00000000-0005-0000-0000-00002D090000}"/>
    <cellStyle name="20% - Accent1 7 4 3" xfId="1436" xr:uid="{00000000-0005-0000-0000-00002E090000}"/>
    <cellStyle name="20% - Accent1 7 4 3 2" xfId="12831" xr:uid="{00000000-0005-0000-0000-00002F090000}"/>
    <cellStyle name="20% - Accent1 7 4 3 3" xfId="16782" xr:uid="{00000000-0005-0000-0000-000030090000}"/>
    <cellStyle name="20% - Accent1 7 4 4" xfId="12829" xr:uid="{00000000-0005-0000-0000-000031090000}"/>
    <cellStyle name="20% - Accent1 7 4 5" xfId="16780" xr:uid="{00000000-0005-0000-0000-000032090000}"/>
    <cellStyle name="20% - Accent1 7 5" xfId="1437" xr:uid="{00000000-0005-0000-0000-000033090000}"/>
    <cellStyle name="20% - Accent1 7 5 2" xfId="1438" xr:uid="{00000000-0005-0000-0000-000034090000}"/>
    <cellStyle name="20% - Accent1 7 5 2 2" xfId="12833" xr:uid="{00000000-0005-0000-0000-000035090000}"/>
    <cellStyle name="20% - Accent1 7 5 2 3" xfId="16784" xr:uid="{00000000-0005-0000-0000-000036090000}"/>
    <cellStyle name="20% - Accent1 7 5 3" xfId="1439" xr:uid="{00000000-0005-0000-0000-000037090000}"/>
    <cellStyle name="20% - Accent1 7 5 3 2" xfId="12834" xr:uid="{00000000-0005-0000-0000-000038090000}"/>
    <cellStyle name="20% - Accent1 7 5 3 3" xfId="16785" xr:uid="{00000000-0005-0000-0000-000039090000}"/>
    <cellStyle name="20% - Accent1 7 5 4" xfId="12832" xr:uid="{00000000-0005-0000-0000-00003A090000}"/>
    <cellStyle name="20% - Accent1 7 5 5" xfId="16783" xr:uid="{00000000-0005-0000-0000-00003B090000}"/>
    <cellStyle name="20% - Accent1 7 6" xfId="1440" xr:uid="{00000000-0005-0000-0000-00003C090000}"/>
    <cellStyle name="20% - Accent1 7 6 2" xfId="1441" xr:uid="{00000000-0005-0000-0000-00003D090000}"/>
    <cellStyle name="20% - Accent1 7 6 2 2" xfId="12836" xr:uid="{00000000-0005-0000-0000-00003E090000}"/>
    <cellStyle name="20% - Accent1 7 6 2 3" xfId="16787" xr:uid="{00000000-0005-0000-0000-00003F090000}"/>
    <cellStyle name="20% - Accent1 7 6 3" xfId="1442" xr:uid="{00000000-0005-0000-0000-000040090000}"/>
    <cellStyle name="20% - Accent1 7 6 3 2" xfId="12837" xr:uid="{00000000-0005-0000-0000-000041090000}"/>
    <cellStyle name="20% - Accent1 7 6 3 3" xfId="16788" xr:uid="{00000000-0005-0000-0000-000042090000}"/>
    <cellStyle name="20% - Accent1 7 6 4" xfId="12835" xr:uid="{00000000-0005-0000-0000-000043090000}"/>
    <cellStyle name="20% - Accent1 7 6 5" xfId="16786" xr:uid="{00000000-0005-0000-0000-000044090000}"/>
    <cellStyle name="20% - Accent1 7 7" xfId="1443" xr:uid="{00000000-0005-0000-0000-000045090000}"/>
    <cellStyle name="20% - Accent1 7 7 2" xfId="12838" xr:uid="{00000000-0005-0000-0000-000046090000}"/>
    <cellStyle name="20% - Accent1 7 7 3" xfId="16789" xr:uid="{00000000-0005-0000-0000-000047090000}"/>
    <cellStyle name="20% - Accent1 7 8" xfId="1444" xr:uid="{00000000-0005-0000-0000-000048090000}"/>
    <cellStyle name="20% - Accent1 7 8 2" xfId="12839" xr:uid="{00000000-0005-0000-0000-000049090000}"/>
    <cellStyle name="20% - Accent1 7 8 3" xfId="16790" xr:uid="{00000000-0005-0000-0000-00004A090000}"/>
    <cellStyle name="20% - Accent1 7 9" xfId="12807" xr:uid="{00000000-0005-0000-0000-00004B090000}"/>
    <cellStyle name="20% - Accent1 7_Volatility" xfId="1445" xr:uid="{00000000-0005-0000-0000-00004C090000}"/>
    <cellStyle name="20% - Accent1 8" xfId="1446" xr:uid="{00000000-0005-0000-0000-00004D090000}"/>
    <cellStyle name="20% - Accent1 8 10" xfId="16791" xr:uid="{00000000-0005-0000-0000-00004E090000}"/>
    <cellStyle name="20% - Accent1 8 2" xfId="1447" xr:uid="{00000000-0005-0000-0000-00004F090000}"/>
    <cellStyle name="20% - Accent1 8 2 2" xfId="1448" xr:uid="{00000000-0005-0000-0000-000050090000}"/>
    <cellStyle name="20% - Accent1 8 2 2 2" xfId="1449" xr:uid="{00000000-0005-0000-0000-000051090000}"/>
    <cellStyle name="20% - Accent1 8 2 2 2 2" xfId="12843" xr:uid="{00000000-0005-0000-0000-000052090000}"/>
    <cellStyle name="20% - Accent1 8 2 2 2 3" xfId="16794" xr:uid="{00000000-0005-0000-0000-000053090000}"/>
    <cellStyle name="20% - Accent1 8 2 2 3" xfId="1450" xr:uid="{00000000-0005-0000-0000-000054090000}"/>
    <cellStyle name="20% - Accent1 8 2 2 3 2" xfId="12844" xr:uid="{00000000-0005-0000-0000-000055090000}"/>
    <cellStyle name="20% - Accent1 8 2 2 3 3" xfId="16795" xr:uid="{00000000-0005-0000-0000-000056090000}"/>
    <cellStyle name="20% - Accent1 8 2 2 4" xfId="12842" xr:uid="{00000000-0005-0000-0000-000057090000}"/>
    <cellStyle name="20% - Accent1 8 2 2 5" xfId="16793" xr:uid="{00000000-0005-0000-0000-000058090000}"/>
    <cellStyle name="20% - Accent1 8 2 3" xfId="1451" xr:uid="{00000000-0005-0000-0000-000059090000}"/>
    <cellStyle name="20% - Accent1 8 2 3 2" xfId="1452" xr:uid="{00000000-0005-0000-0000-00005A090000}"/>
    <cellStyle name="20% - Accent1 8 2 3 2 2" xfId="12846" xr:uid="{00000000-0005-0000-0000-00005B090000}"/>
    <cellStyle name="20% - Accent1 8 2 3 2 3" xfId="16797" xr:uid="{00000000-0005-0000-0000-00005C090000}"/>
    <cellStyle name="20% - Accent1 8 2 3 3" xfId="1453" xr:uid="{00000000-0005-0000-0000-00005D090000}"/>
    <cellStyle name="20% - Accent1 8 2 3 3 2" xfId="12847" xr:uid="{00000000-0005-0000-0000-00005E090000}"/>
    <cellStyle name="20% - Accent1 8 2 3 3 3" xfId="16798" xr:uid="{00000000-0005-0000-0000-00005F090000}"/>
    <cellStyle name="20% - Accent1 8 2 3 4" xfId="12845" xr:uid="{00000000-0005-0000-0000-000060090000}"/>
    <cellStyle name="20% - Accent1 8 2 3 5" xfId="16796" xr:uid="{00000000-0005-0000-0000-000061090000}"/>
    <cellStyle name="20% - Accent1 8 2 4" xfId="1454" xr:uid="{00000000-0005-0000-0000-000062090000}"/>
    <cellStyle name="20% - Accent1 8 2 4 2" xfId="1455" xr:uid="{00000000-0005-0000-0000-000063090000}"/>
    <cellStyle name="20% - Accent1 8 2 4 2 2" xfId="12849" xr:uid="{00000000-0005-0000-0000-000064090000}"/>
    <cellStyle name="20% - Accent1 8 2 4 2 3" xfId="16800" xr:uid="{00000000-0005-0000-0000-000065090000}"/>
    <cellStyle name="20% - Accent1 8 2 4 3" xfId="1456" xr:uid="{00000000-0005-0000-0000-000066090000}"/>
    <cellStyle name="20% - Accent1 8 2 4 3 2" xfId="12850" xr:uid="{00000000-0005-0000-0000-000067090000}"/>
    <cellStyle name="20% - Accent1 8 2 4 3 3" xfId="16801" xr:uid="{00000000-0005-0000-0000-000068090000}"/>
    <cellStyle name="20% - Accent1 8 2 4 4" xfId="12848" xr:uid="{00000000-0005-0000-0000-000069090000}"/>
    <cellStyle name="20% - Accent1 8 2 4 5" xfId="16799" xr:uid="{00000000-0005-0000-0000-00006A090000}"/>
    <cellStyle name="20% - Accent1 8 2 5" xfId="1457" xr:uid="{00000000-0005-0000-0000-00006B090000}"/>
    <cellStyle name="20% - Accent1 8 2 5 2" xfId="12851" xr:uid="{00000000-0005-0000-0000-00006C090000}"/>
    <cellStyle name="20% - Accent1 8 2 5 3" xfId="16802" xr:uid="{00000000-0005-0000-0000-00006D090000}"/>
    <cellStyle name="20% - Accent1 8 2 6" xfId="1458" xr:uid="{00000000-0005-0000-0000-00006E090000}"/>
    <cellStyle name="20% - Accent1 8 2 6 2" xfId="12852" xr:uid="{00000000-0005-0000-0000-00006F090000}"/>
    <cellStyle name="20% - Accent1 8 2 6 3" xfId="16803" xr:uid="{00000000-0005-0000-0000-000070090000}"/>
    <cellStyle name="20% - Accent1 8 2 7" xfId="12841" xr:uid="{00000000-0005-0000-0000-000071090000}"/>
    <cellStyle name="20% - Accent1 8 2 8" xfId="16792" xr:uid="{00000000-0005-0000-0000-000072090000}"/>
    <cellStyle name="20% - Accent1 8 2_Volatility" xfId="1459" xr:uid="{00000000-0005-0000-0000-000073090000}"/>
    <cellStyle name="20% - Accent1 8 3" xfId="1460" xr:uid="{00000000-0005-0000-0000-000074090000}"/>
    <cellStyle name="20% - Accent1 8 3 2" xfId="1461" xr:uid="{00000000-0005-0000-0000-000075090000}"/>
    <cellStyle name="20% - Accent1 8 3 2 2" xfId="1462" xr:uid="{00000000-0005-0000-0000-000076090000}"/>
    <cellStyle name="20% - Accent1 8 3 2 2 2" xfId="12855" xr:uid="{00000000-0005-0000-0000-000077090000}"/>
    <cellStyle name="20% - Accent1 8 3 2 2 3" xfId="16806" xr:uid="{00000000-0005-0000-0000-000078090000}"/>
    <cellStyle name="20% - Accent1 8 3 2 3" xfId="1463" xr:uid="{00000000-0005-0000-0000-000079090000}"/>
    <cellStyle name="20% - Accent1 8 3 2 3 2" xfId="12856" xr:uid="{00000000-0005-0000-0000-00007A090000}"/>
    <cellStyle name="20% - Accent1 8 3 2 3 3" xfId="16807" xr:uid="{00000000-0005-0000-0000-00007B090000}"/>
    <cellStyle name="20% - Accent1 8 3 2 4" xfId="12854" xr:uid="{00000000-0005-0000-0000-00007C090000}"/>
    <cellStyle name="20% - Accent1 8 3 2 5" xfId="16805" xr:uid="{00000000-0005-0000-0000-00007D090000}"/>
    <cellStyle name="20% - Accent1 8 3 3" xfId="1464" xr:uid="{00000000-0005-0000-0000-00007E090000}"/>
    <cellStyle name="20% - Accent1 8 3 3 2" xfId="1465" xr:uid="{00000000-0005-0000-0000-00007F090000}"/>
    <cellStyle name="20% - Accent1 8 3 3 2 2" xfId="12858" xr:uid="{00000000-0005-0000-0000-000080090000}"/>
    <cellStyle name="20% - Accent1 8 3 3 2 3" xfId="16809" xr:uid="{00000000-0005-0000-0000-000081090000}"/>
    <cellStyle name="20% - Accent1 8 3 3 3" xfId="1466" xr:uid="{00000000-0005-0000-0000-000082090000}"/>
    <cellStyle name="20% - Accent1 8 3 3 3 2" xfId="12859" xr:uid="{00000000-0005-0000-0000-000083090000}"/>
    <cellStyle name="20% - Accent1 8 3 3 3 3" xfId="16810" xr:uid="{00000000-0005-0000-0000-000084090000}"/>
    <cellStyle name="20% - Accent1 8 3 3 4" xfId="12857" xr:uid="{00000000-0005-0000-0000-000085090000}"/>
    <cellStyle name="20% - Accent1 8 3 3 5" xfId="16808" xr:uid="{00000000-0005-0000-0000-000086090000}"/>
    <cellStyle name="20% - Accent1 8 3 4" xfId="1467" xr:uid="{00000000-0005-0000-0000-000087090000}"/>
    <cellStyle name="20% - Accent1 8 3 4 2" xfId="12860" xr:uid="{00000000-0005-0000-0000-000088090000}"/>
    <cellStyle name="20% - Accent1 8 3 4 3" xfId="16811" xr:uid="{00000000-0005-0000-0000-000089090000}"/>
    <cellStyle name="20% - Accent1 8 3 5" xfId="1468" xr:uid="{00000000-0005-0000-0000-00008A090000}"/>
    <cellStyle name="20% - Accent1 8 3 5 2" xfId="12861" xr:uid="{00000000-0005-0000-0000-00008B090000}"/>
    <cellStyle name="20% - Accent1 8 3 5 3" xfId="16812" xr:uid="{00000000-0005-0000-0000-00008C090000}"/>
    <cellStyle name="20% - Accent1 8 3 6" xfId="12853" xr:uid="{00000000-0005-0000-0000-00008D090000}"/>
    <cellStyle name="20% - Accent1 8 3 7" xfId="16804" xr:uid="{00000000-0005-0000-0000-00008E090000}"/>
    <cellStyle name="20% - Accent1 8 3_Volatility" xfId="1469" xr:uid="{00000000-0005-0000-0000-00008F090000}"/>
    <cellStyle name="20% - Accent1 8 4" xfId="1470" xr:uid="{00000000-0005-0000-0000-000090090000}"/>
    <cellStyle name="20% - Accent1 8 4 2" xfId="1471" xr:uid="{00000000-0005-0000-0000-000091090000}"/>
    <cellStyle name="20% - Accent1 8 4 2 2" xfId="12863" xr:uid="{00000000-0005-0000-0000-000092090000}"/>
    <cellStyle name="20% - Accent1 8 4 2 3" xfId="16814" xr:uid="{00000000-0005-0000-0000-000093090000}"/>
    <cellStyle name="20% - Accent1 8 4 3" xfId="1472" xr:uid="{00000000-0005-0000-0000-000094090000}"/>
    <cellStyle name="20% - Accent1 8 4 3 2" xfId="12864" xr:uid="{00000000-0005-0000-0000-000095090000}"/>
    <cellStyle name="20% - Accent1 8 4 3 3" xfId="16815" xr:uid="{00000000-0005-0000-0000-000096090000}"/>
    <cellStyle name="20% - Accent1 8 4 4" xfId="12862" xr:uid="{00000000-0005-0000-0000-000097090000}"/>
    <cellStyle name="20% - Accent1 8 4 5" xfId="16813" xr:uid="{00000000-0005-0000-0000-000098090000}"/>
    <cellStyle name="20% - Accent1 8 5" xfId="1473" xr:uid="{00000000-0005-0000-0000-000099090000}"/>
    <cellStyle name="20% - Accent1 8 5 2" xfId="1474" xr:uid="{00000000-0005-0000-0000-00009A090000}"/>
    <cellStyle name="20% - Accent1 8 5 2 2" xfId="12866" xr:uid="{00000000-0005-0000-0000-00009B090000}"/>
    <cellStyle name="20% - Accent1 8 5 2 3" xfId="16817" xr:uid="{00000000-0005-0000-0000-00009C090000}"/>
    <cellStyle name="20% - Accent1 8 5 3" xfId="1475" xr:uid="{00000000-0005-0000-0000-00009D090000}"/>
    <cellStyle name="20% - Accent1 8 5 3 2" xfId="12867" xr:uid="{00000000-0005-0000-0000-00009E090000}"/>
    <cellStyle name="20% - Accent1 8 5 3 3" xfId="16818" xr:uid="{00000000-0005-0000-0000-00009F090000}"/>
    <cellStyle name="20% - Accent1 8 5 4" xfId="12865" xr:uid="{00000000-0005-0000-0000-0000A0090000}"/>
    <cellStyle name="20% - Accent1 8 5 5" xfId="16816" xr:uid="{00000000-0005-0000-0000-0000A1090000}"/>
    <cellStyle name="20% - Accent1 8 6" xfId="1476" xr:uid="{00000000-0005-0000-0000-0000A2090000}"/>
    <cellStyle name="20% - Accent1 8 6 2" xfId="1477" xr:uid="{00000000-0005-0000-0000-0000A3090000}"/>
    <cellStyle name="20% - Accent1 8 6 2 2" xfId="12869" xr:uid="{00000000-0005-0000-0000-0000A4090000}"/>
    <cellStyle name="20% - Accent1 8 6 2 3" xfId="16820" xr:uid="{00000000-0005-0000-0000-0000A5090000}"/>
    <cellStyle name="20% - Accent1 8 6 3" xfId="1478" xr:uid="{00000000-0005-0000-0000-0000A6090000}"/>
    <cellStyle name="20% - Accent1 8 6 3 2" xfId="12870" xr:uid="{00000000-0005-0000-0000-0000A7090000}"/>
    <cellStyle name="20% - Accent1 8 6 3 3" xfId="16821" xr:uid="{00000000-0005-0000-0000-0000A8090000}"/>
    <cellStyle name="20% - Accent1 8 6 4" xfId="12868" xr:uid="{00000000-0005-0000-0000-0000A9090000}"/>
    <cellStyle name="20% - Accent1 8 6 5" xfId="16819" xr:uid="{00000000-0005-0000-0000-0000AA090000}"/>
    <cellStyle name="20% - Accent1 8 7" xfId="1479" xr:uid="{00000000-0005-0000-0000-0000AB090000}"/>
    <cellStyle name="20% - Accent1 8 7 2" xfId="12871" xr:uid="{00000000-0005-0000-0000-0000AC090000}"/>
    <cellStyle name="20% - Accent1 8 7 3" xfId="16822" xr:uid="{00000000-0005-0000-0000-0000AD090000}"/>
    <cellStyle name="20% - Accent1 8 8" xfId="1480" xr:uid="{00000000-0005-0000-0000-0000AE090000}"/>
    <cellStyle name="20% - Accent1 8 8 2" xfId="12872" xr:uid="{00000000-0005-0000-0000-0000AF090000}"/>
    <cellStyle name="20% - Accent1 8 8 3" xfId="16823" xr:uid="{00000000-0005-0000-0000-0000B0090000}"/>
    <cellStyle name="20% - Accent1 8 9" xfId="12840" xr:uid="{00000000-0005-0000-0000-0000B1090000}"/>
    <cellStyle name="20% - Accent1 8_Volatility" xfId="1481" xr:uid="{00000000-0005-0000-0000-0000B2090000}"/>
    <cellStyle name="20% - Accent1 9" xfId="1482" xr:uid="{00000000-0005-0000-0000-0000B3090000}"/>
    <cellStyle name="20% - Accent1 9 10" xfId="16824" xr:uid="{00000000-0005-0000-0000-0000B4090000}"/>
    <cellStyle name="20% - Accent1 9 2" xfId="1483" xr:uid="{00000000-0005-0000-0000-0000B5090000}"/>
    <cellStyle name="20% - Accent1 9 2 2" xfId="1484" xr:uid="{00000000-0005-0000-0000-0000B6090000}"/>
    <cellStyle name="20% - Accent1 9 2 2 2" xfId="1485" xr:uid="{00000000-0005-0000-0000-0000B7090000}"/>
    <cellStyle name="20% - Accent1 9 2 2 2 2" xfId="12876" xr:uid="{00000000-0005-0000-0000-0000B8090000}"/>
    <cellStyle name="20% - Accent1 9 2 2 2 3" xfId="16827" xr:uid="{00000000-0005-0000-0000-0000B9090000}"/>
    <cellStyle name="20% - Accent1 9 2 2 3" xfId="1486" xr:uid="{00000000-0005-0000-0000-0000BA090000}"/>
    <cellStyle name="20% - Accent1 9 2 2 3 2" xfId="12877" xr:uid="{00000000-0005-0000-0000-0000BB090000}"/>
    <cellStyle name="20% - Accent1 9 2 2 3 3" xfId="16828" xr:uid="{00000000-0005-0000-0000-0000BC090000}"/>
    <cellStyle name="20% - Accent1 9 2 2 4" xfId="12875" xr:uid="{00000000-0005-0000-0000-0000BD090000}"/>
    <cellStyle name="20% - Accent1 9 2 2 5" xfId="16826" xr:uid="{00000000-0005-0000-0000-0000BE090000}"/>
    <cellStyle name="20% - Accent1 9 2 3" xfId="1487" xr:uid="{00000000-0005-0000-0000-0000BF090000}"/>
    <cellStyle name="20% - Accent1 9 2 3 2" xfId="1488" xr:uid="{00000000-0005-0000-0000-0000C0090000}"/>
    <cellStyle name="20% - Accent1 9 2 3 2 2" xfId="12879" xr:uid="{00000000-0005-0000-0000-0000C1090000}"/>
    <cellStyle name="20% - Accent1 9 2 3 2 3" xfId="16830" xr:uid="{00000000-0005-0000-0000-0000C2090000}"/>
    <cellStyle name="20% - Accent1 9 2 3 3" xfId="1489" xr:uid="{00000000-0005-0000-0000-0000C3090000}"/>
    <cellStyle name="20% - Accent1 9 2 3 3 2" xfId="12880" xr:uid="{00000000-0005-0000-0000-0000C4090000}"/>
    <cellStyle name="20% - Accent1 9 2 3 3 3" xfId="16831" xr:uid="{00000000-0005-0000-0000-0000C5090000}"/>
    <cellStyle name="20% - Accent1 9 2 3 4" xfId="12878" xr:uid="{00000000-0005-0000-0000-0000C6090000}"/>
    <cellStyle name="20% - Accent1 9 2 3 5" xfId="16829" xr:uid="{00000000-0005-0000-0000-0000C7090000}"/>
    <cellStyle name="20% - Accent1 9 2 4" xfId="1490" xr:uid="{00000000-0005-0000-0000-0000C8090000}"/>
    <cellStyle name="20% - Accent1 9 2 4 2" xfId="1491" xr:uid="{00000000-0005-0000-0000-0000C9090000}"/>
    <cellStyle name="20% - Accent1 9 2 4 2 2" xfId="12882" xr:uid="{00000000-0005-0000-0000-0000CA090000}"/>
    <cellStyle name="20% - Accent1 9 2 4 2 3" xfId="16833" xr:uid="{00000000-0005-0000-0000-0000CB090000}"/>
    <cellStyle name="20% - Accent1 9 2 4 3" xfId="1492" xr:uid="{00000000-0005-0000-0000-0000CC090000}"/>
    <cellStyle name="20% - Accent1 9 2 4 3 2" xfId="12883" xr:uid="{00000000-0005-0000-0000-0000CD090000}"/>
    <cellStyle name="20% - Accent1 9 2 4 3 3" xfId="16834" xr:uid="{00000000-0005-0000-0000-0000CE090000}"/>
    <cellStyle name="20% - Accent1 9 2 4 4" xfId="12881" xr:uid="{00000000-0005-0000-0000-0000CF090000}"/>
    <cellStyle name="20% - Accent1 9 2 4 5" xfId="16832" xr:uid="{00000000-0005-0000-0000-0000D0090000}"/>
    <cellStyle name="20% - Accent1 9 2 5" xfId="1493" xr:uid="{00000000-0005-0000-0000-0000D1090000}"/>
    <cellStyle name="20% - Accent1 9 2 5 2" xfId="12884" xr:uid="{00000000-0005-0000-0000-0000D2090000}"/>
    <cellStyle name="20% - Accent1 9 2 5 3" xfId="16835" xr:uid="{00000000-0005-0000-0000-0000D3090000}"/>
    <cellStyle name="20% - Accent1 9 2 6" xfId="1494" xr:uid="{00000000-0005-0000-0000-0000D4090000}"/>
    <cellStyle name="20% - Accent1 9 2 6 2" xfId="12885" xr:uid="{00000000-0005-0000-0000-0000D5090000}"/>
    <cellStyle name="20% - Accent1 9 2 6 3" xfId="16836" xr:uid="{00000000-0005-0000-0000-0000D6090000}"/>
    <cellStyle name="20% - Accent1 9 2 7" xfId="12874" xr:uid="{00000000-0005-0000-0000-0000D7090000}"/>
    <cellStyle name="20% - Accent1 9 2 8" xfId="16825" xr:uid="{00000000-0005-0000-0000-0000D8090000}"/>
    <cellStyle name="20% - Accent1 9 2_Volatility" xfId="1495" xr:uid="{00000000-0005-0000-0000-0000D9090000}"/>
    <cellStyle name="20% - Accent1 9 3" xfId="1496" xr:uid="{00000000-0005-0000-0000-0000DA090000}"/>
    <cellStyle name="20% - Accent1 9 3 2" xfId="1497" xr:uid="{00000000-0005-0000-0000-0000DB090000}"/>
    <cellStyle name="20% - Accent1 9 3 2 2" xfId="1498" xr:uid="{00000000-0005-0000-0000-0000DC090000}"/>
    <cellStyle name="20% - Accent1 9 3 2 2 2" xfId="12888" xr:uid="{00000000-0005-0000-0000-0000DD090000}"/>
    <cellStyle name="20% - Accent1 9 3 2 2 3" xfId="16839" xr:uid="{00000000-0005-0000-0000-0000DE090000}"/>
    <cellStyle name="20% - Accent1 9 3 2 3" xfId="1499" xr:uid="{00000000-0005-0000-0000-0000DF090000}"/>
    <cellStyle name="20% - Accent1 9 3 2 3 2" xfId="12889" xr:uid="{00000000-0005-0000-0000-0000E0090000}"/>
    <cellStyle name="20% - Accent1 9 3 2 3 3" xfId="16840" xr:uid="{00000000-0005-0000-0000-0000E1090000}"/>
    <cellStyle name="20% - Accent1 9 3 2 4" xfId="12887" xr:uid="{00000000-0005-0000-0000-0000E2090000}"/>
    <cellStyle name="20% - Accent1 9 3 2 5" xfId="16838" xr:uid="{00000000-0005-0000-0000-0000E3090000}"/>
    <cellStyle name="20% - Accent1 9 3 3" xfId="1500" xr:uid="{00000000-0005-0000-0000-0000E4090000}"/>
    <cellStyle name="20% - Accent1 9 3 3 2" xfId="1501" xr:uid="{00000000-0005-0000-0000-0000E5090000}"/>
    <cellStyle name="20% - Accent1 9 3 3 2 2" xfId="12891" xr:uid="{00000000-0005-0000-0000-0000E6090000}"/>
    <cellStyle name="20% - Accent1 9 3 3 2 3" xfId="16842" xr:uid="{00000000-0005-0000-0000-0000E7090000}"/>
    <cellStyle name="20% - Accent1 9 3 3 3" xfId="1502" xr:uid="{00000000-0005-0000-0000-0000E8090000}"/>
    <cellStyle name="20% - Accent1 9 3 3 3 2" xfId="12892" xr:uid="{00000000-0005-0000-0000-0000E9090000}"/>
    <cellStyle name="20% - Accent1 9 3 3 3 3" xfId="16843" xr:uid="{00000000-0005-0000-0000-0000EA090000}"/>
    <cellStyle name="20% - Accent1 9 3 3 4" xfId="12890" xr:uid="{00000000-0005-0000-0000-0000EB090000}"/>
    <cellStyle name="20% - Accent1 9 3 3 5" xfId="16841" xr:uid="{00000000-0005-0000-0000-0000EC090000}"/>
    <cellStyle name="20% - Accent1 9 3 4" xfId="1503" xr:uid="{00000000-0005-0000-0000-0000ED090000}"/>
    <cellStyle name="20% - Accent1 9 3 4 2" xfId="12893" xr:uid="{00000000-0005-0000-0000-0000EE090000}"/>
    <cellStyle name="20% - Accent1 9 3 4 3" xfId="16844" xr:uid="{00000000-0005-0000-0000-0000EF090000}"/>
    <cellStyle name="20% - Accent1 9 3 5" xfId="1504" xr:uid="{00000000-0005-0000-0000-0000F0090000}"/>
    <cellStyle name="20% - Accent1 9 3 5 2" xfId="12894" xr:uid="{00000000-0005-0000-0000-0000F1090000}"/>
    <cellStyle name="20% - Accent1 9 3 5 3" xfId="16845" xr:uid="{00000000-0005-0000-0000-0000F2090000}"/>
    <cellStyle name="20% - Accent1 9 3 6" xfId="12886" xr:uid="{00000000-0005-0000-0000-0000F3090000}"/>
    <cellStyle name="20% - Accent1 9 3 7" xfId="16837" xr:uid="{00000000-0005-0000-0000-0000F4090000}"/>
    <cellStyle name="20% - Accent1 9 3_Volatility" xfId="1505" xr:uid="{00000000-0005-0000-0000-0000F5090000}"/>
    <cellStyle name="20% - Accent1 9 4" xfId="1506" xr:uid="{00000000-0005-0000-0000-0000F6090000}"/>
    <cellStyle name="20% - Accent1 9 4 2" xfId="1507" xr:uid="{00000000-0005-0000-0000-0000F7090000}"/>
    <cellStyle name="20% - Accent1 9 4 2 2" xfId="12896" xr:uid="{00000000-0005-0000-0000-0000F8090000}"/>
    <cellStyle name="20% - Accent1 9 4 2 3" xfId="16847" xr:uid="{00000000-0005-0000-0000-0000F9090000}"/>
    <cellStyle name="20% - Accent1 9 4 3" xfId="1508" xr:uid="{00000000-0005-0000-0000-0000FA090000}"/>
    <cellStyle name="20% - Accent1 9 4 3 2" xfId="12897" xr:uid="{00000000-0005-0000-0000-0000FB090000}"/>
    <cellStyle name="20% - Accent1 9 4 3 3" xfId="16848" xr:uid="{00000000-0005-0000-0000-0000FC090000}"/>
    <cellStyle name="20% - Accent1 9 4 4" xfId="12895" xr:uid="{00000000-0005-0000-0000-0000FD090000}"/>
    <cellStyle name="20% - Accent1 9 4 5" xfId="16846" xr:uid="{00000000-0005-0000-0000-0000FE090000}"/>
    <cellStyle name="20% - Accent1 9 5" xfId="1509" xr:uid="{00000000-0005-0000-0000-0000FF090000}"/>
    <cellStyle name="20% - Accent1 9 5 2" xfId="1510" xr:uid="{00000000-0005-0000-0000-0000000A0000}"/>
    <cellStyle name="20% - Accent1 9 5 2 2" xfId="12899" xr:uid="{00000000-0005-0000-0000-0000010A0000}"/>
    <cellStyle name="20% - Accent1 9 5 2 3" xfId="16850" xr:uid="{00000000-0005-0000-0000-0000020A0000}"/>
    <cellStyle name="20% - Accent1 9 5 3" xfId="1511" xr:uid="{00000000-0005-0000-0000-0000030A0000}"/>
    <cellStyle name="20% - Accent1 9 5 3 2" xfId="12900" xr:uid="{00000000-0005-0000-0000-0000040A0000}"/>
    <cellStyle name="20% - Accent1 9 5 3 3" xfId="16851" xr:uid="{00000000-0005-0000-0000-0000050A0000}"/>
    <cellStyle name="20% - Accent1 9 5 4" xfId="12898" xr:uid="{00000000-0005-0000-0000-0000060A0000}"/>
    <cellStyle name="20% - Accent1 9 5 5" xfId="16849" xr:uid="{00000000-0005-0000-0000-0000070A0000}"/>
    <cellStyle name="20% - Accent1 9 6" xfId="1512" xr:uid="{00000000-0005-0000-0000-0000080A0000}"/>
    <cellStyle name="20% - Accent1 9 6 2" xfId="1513" xr:uid="{00000000-0005-0000-0000-0000090A0000}"/>
    <cellStyle name="20% - Accent1 9 6 2 2" xfId="12902" xr:uid="{00000000-0005-0000-0000-00000A0A0000}"/>
    <cellStyle name="20% - Accent1 9 6 2 3" xfId="16853" xr:uid="{00000000-0005-0000-0000-00000B0A0000}"/>
    <cellStyle name="20% - Accent1 9 6 3" xfId="1514" xr:uid="{00000000-0005-0000-0000-00000C0A0000}"/>
    <cellStyle name="20% - Accent1 9 6 3 2" xfId="12903" xr:uid="{00000000-0005-0000-0000-00000D0A0000}"/>
    <cellStyle name="20% - Accent1 9 6 3 3" xfId="16854" xr:uid="{00000000-0005-0000-0000-00000E0A0000}"/>
    <cellStyle name="20% - Accent1 9 6 4" xfId="12901" xr:uid="{00000000-0005-0000-0000-00000F0A0000}"/>
    <cellStyle name="20% - Accent1 9 6 5" xfId="16852" xr:uid="{00000000-0005-0000-0000-0000100A0000}"/>
    <cellStyle name="20% - Accent1 9 7" xfId="1515" xr:uid="{00000000-0005-0000-0000-0000110A0000}"/>
    <cellStyle name="20% - Accent1 9 7 2" xfId="12904" xr:uid="{00000000-0005-0000-0000-0000120A0000}"/>
    <cellStyle name="20% - Accent1 9 7 3" xfId="16855" xr:uid="{00000000-0005-0000-0000-0000130A0000}"/>
    <cellStyle name="20% - Accent1 9 8" xfId="1516" xr:uid="{00000000-0005-0000-0000-0000140A0000}"/>
    <cellStyle name="20% - Accent1 9 8 2" xfId="12905" xr:uid="{00000000-0005-0000-0000-0000150A0000}"/>
    <cellStyle name="20% - Accent1 9 8 3" xfId="16856" xr:uid="{00000000-0005-0000-0000-0000160A0000}"/>
    <cellStyle name="20% - Accent1 9 9" xfId="12873" xr:uid="{00000000-0005-0000-0000-0000170A0000}"/>
    <cellStyle name="20% - Accent1 9_Volatility" xfId="1517" xr:uid="{00000000-0005-0000-0000-0000180A0000}"/>
    <cellStyle name="20% - Accent2 10" xfId="1518" xr:uid="{00000000-0005-0000-0000-0000190A0000}"/>
    <cellStyle name="20% - Accent2 10 10" xfId="16857" xr:uid="{00000000-0005-0000-0000-00001A0A0000}"/>
    <cellStyle name="20% - Accent2 10 2" xfId="1519" xr:uid="{00000000-0005-0000-0000-00001B0A0000}"/>
    <cellStyle name="20% - Accent2 10 2 2" xfId="1520" xr:uid="{00000000-0005-0000-0000-00001C0A0000}"/>
    <cellStyle name="20% - Accent2 10 2 2 2" xfId="1521" xr:uid="{00000000-0005-0000-0000-00001D0A0000}"/>
    <cellStyle name="20% - Accent2 10 2 2 2 2" xfId="12909" xr:uid="{00000000-0005-0000-0000-00001E0A0000}"/>
    <cellStyle name="20% - Accent2 10 2 2 2 3" xfId="16860" xr:uid="{00000000-0005-0000-0000-00001F0A0000}"/>
    <cellStyle name="20% - Accent2 10 2 2 3" xfId="1522" xr:uid="{00000000-0005-0000-0000-0000200A0000}"/>
    <cellStyle name="20% - Accent2 10 2 2 3 2" xfId="12910" xr:uid="{00000000-0005-0000-0000-0000210A0000}"/>
    <cellStyle name="20% - Accent2 10 2 2 3 3" xfId="16861" xr:uid="{00000000-0005-0000-0000-0000220A0000}"/>
    <cellStyle name="20% - Accent2 10 2 2 4" xfId="12908" xr:uid="{00000000-0005-0000-0000-0000230A0000}"/>
    <cellStyle name="20% - Accent2 10 2 2 5" xfId="16859" xr:uid="{00000000-0005-0000-0000-0000240A0000}"/>
    <cellStyle name="20% - Accent2 10 2 3" xfId="1523" xr:uid="{00000000-0005-0000-0000-0000250A0000}"/>
    <cellStyle name="20% - Accent2 10 2 3 2" xfId="1524" xr:uid="{00000000-0005-0000-0000-0000260A0000}"/>
    <cellStyle name="20% - Accent2 10 2 3 2 2" xfId="12912" xr:uid="{00000000-0005-0000-0000-0000270A0000}"/>
    <cellStyle name="20% - Accent2 10 2 3 2 3" xfId="16863" xr:uid="{00000000-0005-0000-0000-0000280A0000}"/>
    <cellStyle name="20% - Accent2 10 2 3 3" xfId="1525" xr:uid="{00000000-0005-0000-0000-0000290A0000}"/>
    <cellStyle name="20% - Accent2 10 2 3 3 2" xfId="12913" xr:uid="{00000000-0005-0000-0000-00002A0A0000}"/>
    <cellStyle name="20% - Accent2 10 2 3 3 3" xfId="16864" xr:uid="{00000000-0005-0000-0000-00002B0A0000}"/>
    <cellStyle name="20% - Accent2 10 2 3 4" xfId="12911" xr:uid="{00000000-0005-0000-0000-00002C0A0000}"/>
    <cellStyle name="20% - Accent2 10 2 3 5" xfId="16862" xr:uid="{00000000-0005-0000-0000-00002D0A0000}"/>
    <cellStyle name="20% - Accent2 10 2 4" xfId="1526" xr:uid="{00000000-0005-0000-0000-00002E0A0000}"/>
    <cellStyle name="20% - Accent2 10 2 4 2" xfId="1527" xr:uid="{00000000-0005-0000-0000-00002F0A0000}"/>
    <cellStyle name="20% - Accent2 10 2 4 2 2" xfId="12915" xr:uid="{00000000-0005-0000-0000-0000300A0000}"/>
    <cellStyle name="20% - Accent2 10 2 4 2 3" xfId="16866" xr:uid="{00000000-0005-0000-0000-0000310A0000}"/>
    <cellStyle name="20% - Accent2 10 2 4 3" xfId="1528" xr:uid="{00000000-0005-0000-0000-0000320A0000}"/>
    <cellStyle name="20% - Accent2 10 2 4 3 2" xfId="12916" xr:uid="{00000000-0005-0000-0000-0000330A0000}"/>
    <cellStyle name="20% - Accent2 10 2 4 3 3" xfId="16867" xr:uid="{00000000-0005-0000-0000-0000340A0000}"/>
    <cellStyle name="20% - Accent2 10 2 4 4" xfId="12914" xr:uid="{00000000-0005-0000-0000-0000350A0000}"/>
    <cellStyle name="20% - Accent2 10 2 4 5" xfId="16865" xr:uid="{00000000-0005-0000-0000-0000360A0000}"/>
    <cellStyle name="20% - Accent2 10 2 5" xfId="1529" xr:uid="{00000000-0005-0000-0000-0000370A0000}"/>
    <cellStyle name="20% - Accent2 10 2 5 2" xfId="12917" xr:uid="{00000000-0005-0000-0000-0000380A0000}"/>
    <cellStyle name="20% - Accent2 10 2 5 3" xfId="16868" xr:uid="{00000000-0005-0000-0000-0000390A0000}"/>
    <cellStyle name="20% - Accent2 10 2 6" xfId="1530" xr:uid="{00000000-0005-0000-0000-00003A0A0000}"/>
    <cellStyle name="20% - Accent2 10 2 6 2" xfId="12918" xr:uid="{00000000-0005-0000-0000-00003B0A0000}"/>
    <cellStyle name="20% - Accent2 10 2 6 3" xfId="16869" xr:uid="{00000000-0005-0000-0000-00003C0A0000}"/>
    <cellStyle name="20% - Accent2 10 2 7" xfId="12907" xr:uid="{00000000-0005-0000-0000-00003D0A0000}"/>
    <cellStyle name="20% - Accent2 10 2 8" xfId="16858" xr:uid="{00000000-0005-0000-0000-00003E0A0000}"/>
    <cellStyle name="20% - Accent2 10 2_Volatility" xfId="1531" xr:uid="{00000000-0005-0000-0000-00003F0A0000}"/>
    <cellStyle name="20% - Accent2 10 3" xfId="1532" xr:uid="{00000000-0005-0000-0000-0000400A0000}"/>
    <cellStyle name="20% - Accent2 10 3 2" xfId="1533" xr:uid="{00000000-0005-0000-0000-0000410A0000}"/>
    <cellStyle name="20% - Accent2 10 3 2 2" xfId="1534" xr:uid="{00000000-0005-0000-0000-0000420A0000}"/>
    <cellStyle name="20% - Accent2 10 3 2 2 2" xfId="12921" xr:uid="{00000000-0005-0000-0000-0000430A0000}"/>
    <cellStyle name="20% - Accent2 10 3 2 2 3" xfId="16872" xr:uid="{00000000-0005-0000-0000-0000440A0000}"/>
    <cellStyle name="20% - Accent2 10 3 2 3" xfId="1535" xr:uid="{00000000-0005-0000-0000-0000450A0000}"/>
    <cellStyle name="20% - Accent2 10 3 2 3 2" xfId="12922" xr:uid="{00000000-0005-0000-0000-0000460A0000}"/>
    <cellStyle name="20% - Accent2 10 3 2 3 3" xfId="16873" xr:uid="{00000000-0005-0000-0000-0000470A0000}"/>
    <cellStyle name="20% - Accent2 10 3 2 4" xfId="12920" xr:uid="{00000000-0005-0000-0000-0000480A0000}"/>
    <cellStyle name="20% - Accent2 10 3 2 5" xfId="16871" xr:uid="{00000000-0005-0000-0000-0000490A0000}"/>
    <cellStyle name="20% - Accent2 10 3 3" xfId="1536" xr:uid="{00000000-0005-0000-0000-00004A0A0000}"/>
    <cellStyle name="20% - Accent2 10 3 3 2" xfId="1537" xr:uid="{00000000-0005-0000-0000-00004B0A0000}"/>
    <cellStyle name="20% - Accent2 10 3 3 2 2" xfId="12924" xr:uid="{00000000-0005-0000-0000-00004C0A0000}"/>
    <cellStyle name="20% - Accent2 10 3 3 2 3" xfId="16875" xr:uid="{00000000-0005-0000-0000-00004D0A0000}"/>
    <cellStyle name="20% - Accent2 10 3 3 3" xfId="1538" xr:uid="{00000000-0005-0000-0000-00004E0A0000}"/>
    <cellStyle name="20% - Accent2 10 3 3 3 2" xfId="12925" xr:uid="{00000000-0005-0000-0000-00004F0A0000}"/>
    <cellStyle name="20% - Accent2 10 3 3 3 3" xfId="16876" xr:uid="{00000000-0005-0000-0000-0000500A0000}"/>
    <cellStyle name="20% - Accent2 10 3 3 4" xfId="12923" xr:uid="{00000000-0005-0000-0000-0000510A0000}"/>
    <cellStyle name="20% - Accent2 10 3 3 5" xfId="16874" xr:uid="{00000000-0005-0000-0000-0000520A0000}"/>
    <cellStyle name="20% - Accent2 10 3 4" xfId="1539" xr:uid="{00000000-0005-0000-0000-0000530A0000}"/>
    <cellStyle name="20% - Accent2 10 3 4 2" xfId="12926" xr:uid="{00000000-0005-0000-0000-0000540A0000}"/>
    <cellStyle name="20% - Accent2 10 3 4 3" xfId="16877" xr:uid="{00000000-0005-0000-0000-0000550A0000}"/>
    <cellStyle name="20% - Accent2 10 3 5" xfId="1540" xr:uid="{00000000-0005-0000-0000-0000560A0000}"/>
    <cellStyle name="20% - Accent2 10 3 5 2" xfId="12927" xr:uid="{00000000-0005-0000-0000-0000570A0000}"/>
    <cellStyle name="20% - Accent2 10 3 5 3" xfId="16878" xr:uid="{00000000-0005-0000-0000-0000580A0000}"/>
    <cellStyle name="20% - Accent2 10 3 6" xfId="12919" xr:uid="{00000000-0005-0000-0000-0000590A0000}"/>
    <cellStyle name="20% - Accent2 10 3 7" xfId="16870" xr:uid="{00000000-0005-0000-0000-00005A0A0000}"/>
    <cellStyle name="20% - Accent2 10 3_Volatility" xfId="1541" xr:uid="{00000000-0005-0000-0000-00005B0A0000}"/>
    <cellStyle name="20% - Accent2 10 4" xfId="1542" xr:uid="{00000000-0005-0000-0000-00005C0A0000}"/>
    <cellStyle name="20% - Accent2 10 4 2" xfId="1543" xr:uid="{00000000-0005-0000-0000-00005D0A0000}"/>
    <cellStyle name="20% - Accent2 10 4 2 2" xfId="12929" xr:uid="{00000000-0005-0000-0000-00005E0A0000}"/>
    <cellStyle name="20% - Accent2 10 4 2 3" xfId="16880" xr:uid="{00000000-0005-0000-0000-00005F0A0000}"/>
    <cellStyle name="20% - Accent2 10 4 3" xfId="1544" xr:uid="{00000000-0005-0000-0000-0000600A0000}"/>
    <cellStyle name="20% - Accent2 10 4 3 2" xfId="12930" xr:uid="{00000000-0005-0000-0000-0000610A0000}"/>
    <cellStyle name="20% - Accent2 10 4 3 3" xfId="16881" xr:uid="{00000000-0005-0000-0000-0000620A0000}"/>
    <cellStyle name="20% - Accent2 10 4 4" xfId="12928" xr:uid="{00000000-0005-0000-0000-0000630A0000}"/>
    <cellStyle name="20% - Accent2 10 4 5" xfId="16879" xr:uid="{00000000-0005-0000-0000-0000640A0000}"/>
    <cellStyle name="20% - Accent2 10 5" xfId="1545" xr:uid="{00000000-0005-0000-0000-0000650A0000}"/>
    <cellStyle name="20% - Accent2 10 5 2" xfId="1546" xr:uid="{00000000-0005-0000-0000-0000660A0000}"/>
    <cellStyle name="20% - Accent2 10 5 2 2" xfId="12932" xr:uid="{00000000-0005-0000-0000-0000670A0000}"/>
    <cellStyle name="20% - Accent2 10 5 2 3" xfId="16883" xr:uid="{00000000-0005-0000-0000-0000680A0000}"/>
    <cellStyle name="20% - Accent2 10 5 3" xfId="1547" xr:uid="{00000000-0005-0000-0000-0000690A0000}"/>
    <cellStyle name="20% - Accent2 10 5 3 2" xfId="12933" xr:uid="{00000000-0005-0000-0000-00006A0A0000}"/>
    <cellStyle name="20% - Accent2 10 5 3 3" xfId="16884" xr:uid="{00000000-0005-0000-0000-00006B0A0000}"/>
    <cellStyle name="20% - Accent2 10 5 4" xfId="12931" xr:uid="{00000000-0005-0000-0000-00006C0A0000}"/>
    <cellStyle name="20% - Accent2 10 5 5" xfId="16882" xr:uid="{00000000-0005-0000-0000-00006D0A0000}"/>
    <cellStyle name="20% - Accent2 10 6" xfId="1548" xr:uid="{00000000-0005-0000-0000-00006E0A0000}"/>
    <cellStyle name="20% - Accent2 10 6 2" xfId="1549" xr:uid="{00000000-0005-0000-0000-00006F0A0000}"/>
    <cellStyle name="20% - Accent2 10 6 2 2" xfId="12935" xr:uid="{00000000-0005-0000-0000-0000700A0000}"/>
    <cellStyle name="20% - Accent2 10 6 2 3" xfId="16886" xr:uid="{00000000-0005-0000-0000-0000710A0000}"/>
    <cellStyle name="20% - Accent2 10 6 3" xfId="1550" xr:uid="{00000000-0005-0000-0000-0000720A0000}"/>
    <cellStyle name="20% - Accent2 10 6 3 2" xfId="12936" xr:uid="{00000000-0005-0000-0000-0000730A0000}"/>
    <cellStyle name="20% - Accent2 10 6 3 3" xfId="16887" xr:uid="{00000000-0005-0000-0000-0000740A0000}"/>
    <cellStyle name="20% - Accent2 10 6 4" xfId="12934" xr:uid="{00000000-0005-0000-0000-0000750A0000}"/>
    <cellStyle name="20% - Accent2 10 6 5" xfId="16885" xr:uid="{00000000-0005-0000-0000-0000760A0000}"/>
    <cellStyle name="20% - Accent2 10 7" xfId="1551" xr:uid="{00000000-0005-0000-0000-0000770A0000}"/>
    <cellStyle name="20% - Accent2 10 7 2" xfId="12937" xr:uid="{00000000-0005-0000-0000-0000780A0000}"/>
    <cellStyle name="20% - Accent2 10 7 3" xfId="16888" xr:uid="{00000000-0005-0000-0000-0000790A0000}"/>
    <cellStyle name="20% - Accent2 10 8" xfId="1552" xr:uid="{00000000-0005-0000-0000-00007A0A0000}"/>
    <cellStyle name="20% - Accent2 10 8 2" xfId="12938" xr:uid="{00000000-0005-0000-0000-00007B0A0000}"/>
    <cellStyle name="20% - Accent2 10 8 3" xfId="16889" xr:uid="{00000000-0005-0000-0000-00007C0A0000}"/>
    <cellStyle name="20% - Accent2 10 9" xfId="12906" xr:uid="{00000000-0005-0000-0000-00007D0A0000}"/>
    <cellStyle name="20% - Accent2 10_Volatility" xfId="1553" xr:uid="{00000000-0005-0000-0000-00007E0A0000}"/>
    <cellStyle name="20% - Accent2 11" xfId="1554" xr:uid="{00000000-0005-0000-0000-00007F0A0000}"/>
    <cellStyle name="20% - Accent2 11 10" xfId="16890" xr:uid="{00000000-0005-0000-0000-0000800A0000}"/>
    <cellStyle name="20% - Accent2 11 2" xfId="1555" xr:uid="{00000000-0005-0000-0000-0000810A0000}"/>
    <cellStyle name="20% - Accent2 11 2 2" xfId="1556" xr:uid="{00000000-0005-0000-0000-0000820A0000}"/>
    <cellStyle name="20% - Accent2 11 2 2 2" xfId="1557" xr:uid="{00000000-0005-0000-0000-0000830A0000}"/>
    <cellStyle name="20% - Accent2 11 2 2 2 2" xfId="12942" xr:uid="{00000000-0005-0000-0000-0000840A0000}"/>
    <cellStyle name="20% - Accent2 11 2 2 2 3" xfId="16893" xr:uid="{00000000-0005-0000-0000-0000850A0000}"/>
    <cellStyle name="20% - Accent2 11 2 2 3" xfId="1558" xr:uid="{00000000-0005-0000-0000-0000860A0000}"/>
    <cellStyle name="20% - Accent2 11 2 2 3 2" xfId="12943" xr:uid="{00000000-0005-0000-0000-0000870A0000}"/>
    <cellStyle name="20% - Accent2 11 2 2 3 3" xfId="16894" xr:uid="{00000000-0005-0000-0000-0000880A0000}"/>
    <cellStyle name="20% - Accent2 11 2 2 4" xfId="12941" xr:uid="{00000000-0005-0000-0000-0000890A0000}"/>
    <cellStyle name="20% - Accent2 11 2 2 5" xfId="16892" xr:uid="{00000000-0005-0000-0000-00008A0A0000}"/>
    <cellStyle name="20% - Accent2 11 2 3" xfId="1559" xr:uid="{00000000-0005-0000-0000-00008B0A0000}"/>
    <cellStyle name="20% - Accent2 11 2 3 2" xfId="1560" xr:uid="{00000000-0005-0000-0000-00008C0A0000}"/>
    <cellStyle name="20% - Accent2 11 2 3 2 2" xfId="12945" xr:uid="{00000000-0005-0000-0000-00008D0A0000}"/>
    <cellStyle name="20% - Accent2 11 2 3 2 3" xfId="16896" xr:uid="{00000000-0005-0000-0000-00008E0A0000}"/>
    <cellStyle name="20% - Accent2 11 2 3 3" xfId="1561" xr:uid="{00000000-0005-0000-0000-00008F0A0000}"/>
    <cellStyle name="20% - Accent2 11 2 3 3 2" xfId="12946" xr:uid="{00000000-0005-0000-0000-0000900A0000}"/>
    <cellStyle name="20% - Accent2 11 2 3 3 3" xfId="16897" xr:uid="{00000000-0005-0000-0000-0000910A0000}"/>
    <cellStyle name="20% - Accent2 11 2 3 4" xfId="12944" xr:uid="{00000000-0005-0000-0000-0000920A0000}"/>
    <cellStyle name="20% - Accent2 11 2 3 5" xfId="16895" xr:uid="{00000000-0005-0000-0000-0000930A0000}"/>
    <cellStyle name="20% - Accent2 11 2 4" xfId="1562" xr:uid="{00000000-0005-0000-0000-0000940A0000}"/>
    <cellStyle name="20% - Accent2 11 2 4 2" xfId="1563" xr:uid="{00000000-0005-0000-0000-0000950A0000}"/>
    <cellStyle name="20% - Accent2 11 2 4 2 2" xfId="12948" xr:uid="{00000000-0005-0000-0000-0000960A0000}"/>
    <cellStyle name="20% - Accent2 11 2 4 2 3" xfId="16899" xr:uid="{00000000-0005-0000-0000-0000970A0000}"/>
    <cellStyle name="20% - Accent2 11 2 4 3" xfId="1564" xr:uid="{00000000-0005-0000-0000-0000980A0000}"/>
    <cellStyle name="20% - Accent2 11 2 4 3 2" xfId="12949" xr:uid="{00000000-0005-0000-0000-0000990A0000}"/>
    <cellStyle name="20% - Accent2 11 2 4 3 3" xfId="16900" xr:uid="{00000000-0005-0000-0000-00009A0A0000}"/>
    <cellStyle name="20% - Accent2 11 2 4 4" xfId="12947" xr:uid="{00000000-0005-0000-0000-00009B0A0000}"/>
    <cellStyle name="20% - Accent2 11 2 4 5" xfId="16898" xr:uid="{00000000-0005-0000-0000-00009C0A0000}"/>
    <cellStyle name="20% - Accent2 11 2 5" xfId="1565" xr:uid="{00000000-0005-0000-0000-00009D0A0000}"/>
    <cellStyle name="20% - Accent2 11 2 5 2" xfId="12950" xr:uid="{00000000-0005-0000-0000-00009E0A0000}"/>
    <cellStyle name="20% - Accent2 11 2 5 3" xfId="16901" xr:uid="{00000000-0005-0000-0000-00009F0A0000}"/>
    <cellStyle name="20% - Accent2 11 2 6" xfId="1566" xr:uid="{00000000-0005-0000-0000-0000A00A0000}"/>
    <cellStyle name="20% - Accent2 11 2 6 2" xfId="12951" xr:uid="{00000000-0005-0000-0000-0000A10A0000}"/>
    <cellStyle name="20% - Accent2 11 2 6 3" xfId="16902" xr:uid="{00000000-0005-0000-0000-0000A20A0000}"/>
    <cellStyle name="20% - Accent2 11 2 7" xfId="12940" xr:uid="{00000000-0005-0000-0000-0000A30A0000}"/>
    <cellStyle name="20% - Accent2 11 2 8" xfId="16891" xr:uid="{00000000-0005-0000-0000-0000A40A0000}"/>
    <cellStyle name="20% - Accent2 11 2_Volatility" xfId="1567" xr:uid="{00000000-0005-0000-0000-0000A50A0000}"/>
    <cellStyle name="20% - Accent2 11 3" xfId="1568" xr:uid="{00000000-0005-0000-0000-0000A60A0000}"/>
    <cellStyle name="20% - Accent2 11 3 2" xfId="1569" xr:uid="{00000000-0005-0000-0000-0000A70A0000}"/>
    <cellStyle name="20% - Accent2 11 3 2 2" xfId="1570" xr:uid="{00000000-0005-0000-0000-0000A80A0000}"/>
    <cellStyle name="20% - Accent2 11 3 2 2 2" xfId="12954" xr:uid="{00000000-0005-0000-0000-0000A90A0000}"/>
    <cellStyle name="20% - Accent2 11 3 2 2 3" xfId="16905" xr:uid="{00000000-0005-0000-0000-0000AA0A0000}"/>
    <cellStyle name="20% - Accent2 11 3 2 3" xfId="1571" xr:uid="{00000000-0005-0000-0000-0000AB0A0000}"/>
    <cellStyle name="20% - Accent2 11 3 2 3 2" xfId="12955" xr:uid="{00000000-0005-0000-0000-0000AC0A0000}"/>
    <cellStyle name="20% - Accent2 11 3 2 3 3" xfId="16906" xr:uid="{00000000-0005-0000-0000-0000AD0A0000}"/>
    <cellStyle name="20% - Accent2 11 3 2 4" xfId="12953" xr:uid="{00000000-0005-0000-0000-0000AE0A0000}"/>
    <cellStyle name="20% - Accent2 11 3 2 5" xfId="16904" xr:uid="{00000000-0005-0000-0000-0000AF0A0000}"/>
    <cellStyle name="20% - Accent2 11 3 3" xfId="1572" xr:uid="{00000000-0005-0000-0000-0000B00A0000}"/>
    <cellStyle name="20% - Accent2 11 3 3 2" xfId="1573" xr:uid="{00000000-0005-0000-0000-0000B10A0000}"/>
    <cellStyle name="20% - Accent2 11 3 3 2 2" xfId="12957" xr:uid="{00000000-0005-0000-0000-0000B20A0000}"/>
    <cellStyle name="20% - Accent2 11 3 3 2 3" xfId="16908" xr:uid="{00000000-0005-0000-0000-0000B30A0000}"/>
    <cellStyle name="20% - Accent2 11 3 3 3" xfId="1574" xr:uid="{00000000-0005-0000-0000-0000B40A0000}"/>
    <cellStyle name="20% - Accent2 11 3 3 3 2" xfId="12958" xr:uid="{00000000-0005-0000-0000-0000B50A0000}"/>
    <cellStyle name="20% - Accent2 11 3 3 3 3" xfId="16909" xr:uid="{00000000-0005-0000-0000-0000B60A0000}"/>
    <cellStyle name="20% - Accent2 11 3 3 4" xfId="12956" xr:uid="{00000000-0005-0000-0000-0000B70A0000}"/>
    <cellStyle name="20% - Accent2 11 3 3 5" xfId="16907" xr:uid="{00000000-0005-0000-0000-0000B80A0000}"/>
    <cellStyle name="20% - Accent2 11 3 4" xfId="1575" xr:uid="{00000000-0005-0000-0000-0000B90A0000}"/>
    <cellStyle name="20% - Accent2 11 3 4 2" xfId="12959" xr:uid="{00000000-0005-0000-0000-0000BA0A0000}"/>
    <cellStyle name="20% - Accent2 11 3 4 3" xfId="16910" xr:uid="{00000000-0005-0000-0000-0000BB0A0000}"/>
    <cellStyle name="20% - Accent2 11 3 5" xfId="1576" xr:uid="{00000000-0005-0000-0000-0000BC0A0000}"/>
    <cellStyle name="20% - Accent2 11 3 5 2" xfId="12960" xr:uid="{00000000-0005-0000-0000-0000BD0A0000}"/>
    <cellStyle name="20% - Accent2 11 3 5 3" xfId="16911" xr:uid="{00000000-0005-0000-0000-0000BE0A0000}"/>
    <cellStyle name="20% - Accent2 11 3 6" xfId="12952" xr:uid="{00000000-0005-0000-0000-0000BF0A0000}"/>
    <cellStyle name="20% - Accent2 11 3 7" xfId="16903" xr:uid="{00000000-0005-0000-0000-0000C00A0000}"/>
    <cellStyle name="20% - Accent2 11 3_Volatility" xfId="1577" xr:uid="{00000000-0005-0000-0000-0000C10A0000}"/>
    <cellStyle name="20% - Accent2 11 4" xfId="1578" xr:uid="{00000000-0005-0000-0000-0000C20A0000}"/>
    <cellStyle name="20% - Accent2 11 4 2" xfId="1579" xr:uid="{00000000-0005-0000-0000-0000C30A0000}"/>
    <cellStyle name="20% - Accent2 11 4 2 2" xfId="12962" xr:uid="{00000000-0005-0000-0000-0000C40A0000}"/>
    <cellStyle name="20% - Accent2 11 4 2 3" xfId="16913" xr:uid="{00000000-0005-0000-0000-0000C50A0000}"/>
    <cellStyle name="20% - Accent2 11 4 3" xfId="1580" xr:uid="{00000000-0005-0000-0000-0000C60A0000}"/>
    <cellStyle name="20% - Accent2 11 4 3 2" xfId="12963" xr:uid="{00000000-0005-0000-0000-0000C70A0000}"/>
    <cellStyle name="20% - Accent2 11 4 3 3" xfId="16914" xr:uid="{00000000-0005-0000-0000-0000C80A0000}"/>
    <cellStyle name="20% - Accent2 11 4 4" xfId="12961" xr:uid="{00000000-0005-0000-0000-0000C90A0000}"/>
    <cellStyle name="20% - Accent2 11 4 5" xfId="16912" xr:uid="{00000000-0005-0000-0000-0000CA0A0000}"/>
    <cellStyle name="20% - Accent2 11 5" xfId="1581" xr:uid="{00000000-0005-0000-0000-0000CB0A0000}"/>
    <cellStyle name="20% - Accent2 11 5 2" xfId="1582" xr:uid="{00000000-0005-0000-0000-0000CC0A0000}"/>
    <cellStyle name="20% - Accent2 11 5 2 2" xfId="12965" xr:uid="{00000000-0005-0000-0000-0000CD0A0000}"/>
    <cellStyle name="20% - Accent2 11 5 2 3" xfId="16916" xr:uid="{00000000-0005-0000-0000-0000CE0A0000}"/>
    <cellStyle name="20% - Accent2 11 5 3" xfId="1583" xr:uid="{00000000-0005-0000-0000-0000CF0A0000}"/>
    <cellStyle name="20% - Accent2 11 5 3 2" xfId="12966" xr:uid="{00000000-0005-0000-0000-0000D00A0000}"/>
    <cellStyle name="20% - Accent2 11 5 3 3" xfId="16917" xr:uid="{00000000-0005-0000-0000-0000D10A0000}"/>
    <cellStyle name="20% - Accent2 11 5 4" xfId="12964" xr:uid="{00000000-0005-0000-0000-0000D20A0000}"/>
    <cellStyle name="20% - Accent2 11 5 5" xfId="16915" xr:uid="{00000000-0005-0000-0000-0000D30A0000}"/>
    <cellStyle name="20% - Accent2 11 6" xfId="1584" xr:uid="{00000000-0005-0000-0000-0000D40A0000}"/>
    <cellStyle name="20% - Accent2 11 6 2" xfId="1585" xr:uid="{00000000-0005-0000-0000-0000D50A0000}"/>
    <cellStyle name="20% - Accent2 11 6 2 2" xfId="12968" xr:uid="{00000000-0005-0000-0000-0000D60A0000}"/>
    <cellStyle name="20% - Accent2 11 6 2 3" xfId="16919" xr:uid="{00000000-0005-0000-0000-0000D70A0000}"/>
    <cellStyle name="20% - Accent2 11 6 3" xfId="1586" xr:uid="{00000000-0005-0000-0000-0000D80A0000}"/>
    <cellStyle name="20% - Accent2 11 6 3 2" xfId="12969" xr:uid="{00000000-0005-0000-0000-0000D90A0000}"/>
    <cellStyle name="20% - Accent2 11 6 3 3" xfId="16920" xr:uid="{00000000-0005-0000-0000-0000DA0A0000}"/>
    <cellStyle name="20% - Accent2 11 6 4" xfId="12967" xr:uid="{00000000-0005-0000-0000-0000DB0A0000}"/>
    <cellStyle name="20% - Accent2 11 6 5" xfId="16918" xr:uid="{00000000-0005-0000-0000-0000DC0A0000}"/>
    <cellStyle name="20% - Accent2 11 7" xfId="1587" xr:uid="{00000000-0005-0000-0000-0000DD0A0000}"/>
    <cellStyle name="20% - Accent2 11 7 2" xfId="12970" xr:uid="{00000000-0005-0000-0000-0000DE0A0000}"/>
    <cellStyle name="20% - Accent2 11 7 3" xfId="16921" xr:uid="{00000000-0005-0000-0000-0000DF0A0000}"/>
    <cellStyle name="20% - Accent2 11 8" xfId="1588" xr:uid="{00000000-0005-0000-0000-0000E00A0000}"/>
    <cellStyle name="20% - Accent2 11 8 2" xfId="12971" xr:uid="{00000000-0005-0000-0000-0000E10A0000}"/>
    <cellStyle name="20% - Accent2 11 8 3" xfId="16922" xr:uid="{00000000-0005-0000-0000-0000E20A0000}"/>
    <cellStyle name="20% - Accent2 11 9" xfId="12939" xr:uid="{00000000-0005-0000-0000-0000E30A0000}"/>
    <cellStyle name="20% - Accent2 11_Volatility" xfId="1589" xr:uid="{00000000-0005-0000-0000-0000E40A0000}"/>
    <cellStyle name="20% - Accent2 12" xfId="1590" xr:uid="{00000000-0005-0000-0000-0000E50A0000}"/>
    <cellStyle name="20% - Accent2 12 10" xfId="16923" xr:uid="{00000000-0005-0000-0000-0000E60A0000}"/>
    <cellStyle name="20% - Accent2 12 2" xfId="1591" xr:uid="{00000000-0005-0000-0000-0000E70A0000}"/>
    <cellStyle name="20% - Accent2 12 2 2" xfId="1592" xr:uid="{00000000-0005-0000-0000-0000E80A0000}"/>
    <cellStyle name="20% - Accent2 12 2 2 2" xfId="1593" xr:uid="{00000000-0005-0000-0000-0000E90A0000}"/>
    <cellStyle name="20% - Accent2 12 2 2 2 2" xfId="12975" xr:uid="{00000000-0005-0000-0000-0000EA0A0000}"/>
    <cellStyle name="20% - Accent2 12 2 2 2 3" xfId="16926" xr:uid="{00000000-0005-0000-0000-0000EB0A0000}"/>
    <cellStyle name="20% - Accent2 12 2 2 3" xfId="1594" xr:uid="{00000000-0005-0000-0000-0000EC0A0000}"/>
    <cellStyle name="20% - Accent2 12 2 2 3 2" xfId="12976" xr:uid="{00000000-0005-0000-0000-0000ED0A0000}"/>
    <cellStyle name="20% - Accent2 12 2 2 3 3" xfId="16927" xr:uid="{00000000-0005-0000-0000-0000EE0A0000}"/>
    <cellStyle name="20% - Accent2 12 2 2 4" xfId="12974" xr:uid="{00000000-0005-0000-0000-0000EF0A0000}"/>
    <cellStyle name="20% - Accent2 12 2 2 5" xfId="16925" xr:uid="{00000000-0005-0000-0000-0000F00A0000}"/>
    <cellStyle name="20% - Accent2 12 2 3" xfId="1595" xr:uid="{00000000-0005-0000-0000-0000F10A0000}"/>
    <cellStyle name="20% - Accent2 12 2 3 2" xfId="1596" xr:uid="{00000000-0005-0000-0000-0000F20A0000}"/>
    <cellStyle name="20% - Accent2 12 2 3 2 2" xfId="12978" xr:uid="{00000000-0005-0000-0000-0000F30A0000}"/>
    <cellStyle name="20% - Accent2 12 2 3 2 3" xfId="16929" xr:uid="{00000000-0005-0000-0000-0000F40A0000}"/>
    <cellStyle name="20% - Accent2 12 2 3 3" xfId="1597" xr:uid="{00000000-0005-0000-0000-0000F50A0000}"/>
    <cellStyle name="20% - Accent2 12 2 3 3 2" xfId="12979" xr:uid="{00000000-0005-0000-0000-0000F60A0000}"/>
    <cellStyle name="20% - Accent2 12 2 3 3 3" xfId="16930" xr:uid="{00000000-0005-0000-0000-0000F70A0000}"/>
    <cellStyle name="20% - Accent2 12 2 3 4" xfId="12977" xr:uid="{00000000-0005-0000-0000-0000F80A0000}"/>
    <cellStyle name="20% - Accent2 12 2 3 5" xfId="16928" xr:uid="{00000000-0005-0000-0000-0000F90A0000}"/>
    <cellStyle name="20% - Accent2 12 2 4" xfId="1598" xr:uid="{00000000-0005-0000-0000-0000FA0A0000}"/>
    <cellStyle name="20% - Accent2 12 2 4 2" xfId="1599" xr:uid="{00000000-0005-0000-0000-0000FB0A0000}"/>
    <cellStyle name="20% - Accent2 12 2 4 2 2" xfId="12981" xr:uid="{00000000-0005-0000-0000-0000FC0A0000}"/>
    <cellStyle name="20% - Accent2 12 2 4 2 3" xfId="16932" xr:uid="{00000000-0005-0000-0000-0000FD0A0000}"/>
    <cellStyle name="20% - Accent2 12 2 4 3" xfId="1600" xr:uid="{00000000-0005-0000-0000-0000FE0A0000}"/>
    <cellStyle name="20% - Accent2 12 2 4 3 2" xfId="12982" xr:uid="{00000000-0005-0000-0000-0000FF0A0000}"/>
    <cellStyle name="20% - Accent2 12 2 4 3 3" xfId="16933" xr:uid="{00000000-0005-0000-0000-0000000B0000}"/>
    <cellStyle name="20% - Accent2 12 2 4 4" xfId="12980" xr:uid="{00000000-0005-0000-0000-0000010B0000}"/>
    <cellStyle name="20% - Accent2 12 2 4 5" xfId="16931" xr:uid="{00000000-0005-0000-0000-0000020B0000}"/>
    <cellStyle name="20% - Accent2 12 2 5" xfId="1601" xr:uid="{00000000-0005-0000-0000-0000030B0000}"/>
    <cellStyle name="20% - Accent2 12 2 5 2" xfId="12983" xr:uid="{00000000-0005-0000-0000-0000040B0000}"/>
    <cellStyle name="20% - Accent2 12 2 5 3" xfId="16934" xr:uid="{00000000-0005-0000-0000-0000050B0000}"/>
    <cellStyle name="20% - Accent2 12 2 6" xfId="1602" xr:uid="{00000000-0005-0000-0000-0000060B0000}"/>
    <cellStyle name="20% - Accent2 12 2 6 2" xfId="12984" xr:uid="{00000000-0005-0000-0000-0000070B0000}"/>
    <cellStyle name="20% - Accent2 12 2 6 3" xfId="16935" xr:uid="{00000000-0005-0000-0000-0000080B0000}"/>
    <cellStyle name="20% - Accent2 12 2 7" xfId="12973" xr:uid="{00000000-0005-0000-0000-0000090B0000}"/>
    <cellStyle name="20% - Accent2 12 2 8" xfId="16924" xr:uid="{00000000-0005-0000-0000-00000A0B0000}"/>
    <cellStyle name="20% - Accent2 12 2_Volatility" xfId="1603" xr:uid="{00000000-0005-0000-0000-00000B0B0000}"/>
    <cellStyle name="20% - Accent2 12 3" xfId="1604" xr:uid="{00000000-0005-0000-0000-00000C0B0000}"/>
    <cellStyle name="20% - Accent2 12 3 2" xfId="1605" xr:uid="{00000000-0005-0000-0000-00000D0B0000}"/>
    <cellStyle name="20% - Accent2 12 3 2 2" xfId="1606" xr:uid="{00000000-0005-0000-0000-00000E0B0000}"/>
    <cellStyle name="20% - Accent2 12 3 2 2 2" xfId="12987" xr:uid="{00000000-0005-0000-0000-00000F0B0000}"/>
    <cellStyle name="20% - Accent2 12 3 2 2 3" xfId="16938" xr:uid="{00000000-0005-0000-0000-0000100B0000}"/>
    <cellStyle name="20% - Accent2 12 3 2 3" xfId="1607" xr:uid="{00000000-0005-0000-0000-0000110B0000}"/>
    <cellStyle name="20% - Accent2 12 3 2 3 2" xfId="12988" xr:uid="{00000000-0005-0000-0000-0000120B0000}"/>
    <cellStyle name="20% - Accent2 12 3 2 3 3" xfId="16939" xr:uid="{00000000-0005-0000-0000-0000130B0000}"/>
    <cellStyle name="20% - Accent2 12 3 2 4" xfId="12986" xr:uid="{00000000-0005-0000-0000-0000140B0000}"/>
    <cellStyle name="20% - Accent2 12 3 2 5" xfId="16937" xr:uid="{00000000-0005-0000-0000-0000150B0000}"/>
    <cellStyle name="20% - Accent2 12 3 3" xfId="1608" xr:uid="{00000000-0005-0000-0000-0000160B0000}"/>
    <cellStyle name="20% - Accent2 12 3 3 2" xfId="1609" xr:uid="{00000000-0005-0000-0000-0000170B0000}"/>
    <cellStyle name="20% - Accent2 12 3 3 2 2" xfId="12990" xr:uid="{00000000-0005-0000-0000-0000180B0000}"/>
    <cellStyle name="20% - Accent2 12 3 3 2 3" xfId="16941" xr:uid="{00000000-0005-0000-0000-0000190B0000}"/>
    <cellStyle name="20% - Accent2 12 3 3 3" xfId="1610" xr:uid="{00000000-0005-0000-0000-00001A0B0000}"/>
    <cellStyle name="20% - Accent2 12 3 3 3 2" xfId="12991" xr:uid="{00000000-0005-0000-0000-00001B0B0000}"/>
    <cellStyle name="20% - Accent2 12 3 3 3 3" xfId="16942" xr:uid="{00000000-0005-0000-0000-00001C0B0000}"/>
    <cellStyle name="20% - Accent2 12 3 3 4" xfId="12989" xr:uid="{00000000-0005-0000-0000-00001D0B0000}"/>
    <cellStyle name="20% - Accent2 12 3 3 5" xfId="16940" xr:uid="{00000000-0005-0000-0000-00001E0B0000}"/>
    <cellStyle name="20% - Accent2 12 3 4" xfId="1611" xr:uid="{00000000-0005-0000-0000-00001F0B0000}"/>
    <cellStyle name="20% - Accent2 12 3 4 2" xfId="12992" xr:uid="{00000000-0005-0000-0000-0000200B0000}"/>
    <cellStyle name="20% - Accent2 12 3 4 3" xfId="16943" xr:uid="{00000000-0005-0000-0000-0000210B0000}"/>
    <cellStyle name="20% - Accent2 12 3 5" xfId="1612" xr:uid="{00000000-0005-0000-0000-0000220B0000}"/>
    <cellStyle name="20% - Accent2 12 3 5 2" xfId="12993" xr:uid="{00000000-0005-0000-0000-0000230B0000}"/>
    <cellStyle name="20% - Accent2 12 3 5 3" xfId="16944" xr:uid="{00000000-0005-0000-0000-0000240B0000}"/>
    <cellStyle name="20% - Accent2 12 3 6" xfId="12985" xr:uid="{00000000-0005-0000-0000-0000250B0000}"/>
    <cellStyle name="20% - Accent2 12 3 7" xfId="16936" xr:uid="{00000000-0005-0000-0000-0000260B0000}"/>
    <cellStyle name="20% - Accent2 12 3_Volatility" xfId="1613" xr:uid="{00000000-0005-0000-0000-0000270B0000}"/>
    <cellStyle name="20% - Accent2 12 4" xfId="1614" xr:uid="{00000000-0005-0000-0000-0000280B0000}"/>
    <cellStyle name="20% - Accent2 12 4 2" xfId="1615" xr:uid="{00000000-0005-0000-0000-0000290B0000}"/>
    <cellStyle name="20% - Accent2 12 4 2 2" xfId="12995" xr:uid="{00000000-0005-0000-0000-00002A0B0000}"/>
    <cellStyle name="20% - Accent2 12 4 2 3" xfId="16946" xr:uid="{00000000-0005-0000-0000-00002B0B0000}"/>
    <cellStyle name="20% - Accent2 12 4 3" xfId="1616" xr:uid="{00000000-0005-0000-0000-00002C0B0000}"/>
    <cellStyle name="20% - Accent2 12 4 3 2" xfId="12996" xr:uid="{00000000-0005-0000-0000-00002D0B0000}"/>
    <cellStyle name="20% - Accent2 12 4 3 3" xfId="16947" xr:uid="{00000000-0005-0000-0000-00002E0B0000}"/>
    <cellStyle name="20% - Accent2 12 4 4" xfId="12994" xr:uid="{00000000-0005-0000-0000-00002F0B0000}"/>
    <cellStyle name="20% - Accent2 12 4 5" xfId="16945" xr:uid="{00000000-0005-0000-0000-0000300B0000}"/>
    <cellStyle name="20% - Accent2 12 5" xfId="1617" xr:uid="{00000000-0005-0000-0000-0000310B0000}"/>
    <cellStyle name="20% - Accent2 12 5 2" xfId="1618" xr:uid="{00000000-0005-0000-0000-0000320B0000}"/>
    <cellStyle name="20% - Accent2 12 5 2 2" xfId="12998" xr:uid="{00000000-0005-0000-0000-0000330B0000}"/>
    <cellStyle name="20% - Accent2 12 5 2 3" xfId="16949" xr:uid="{00000000-0005-0000-0000-0000340B0000}"/>
    <cellStyle name="20% - Accent2 12 5 3" xfId="1619" xr:uid="{00000000-0005-0000-0000-0000350B0000}"/>
    <cellStyle name="20% - Accent2 12 5 3 2" xfId="12999" xr:uid="{00000000-0005-0000-0000-0000360B0000}"/>
    <cellStyle name="20% - Accent2 12 5 3 3" xfId="16950" xr:uid="{00000000-0005-0000-0000-0000370B0000}"/>
    <cellStyle name="20% - Accent2 12 5 4" xfId="12997" xr:uid="{00000000-0005-0000-0000-0000380B0000}"/>
    <cellStyle name="20% - Accent2 12 5 5" xfId="16948" xr:uid="{00000000-0005-0000-0000-0000390B0000}"/>
    <cellStyle name="20% - Accent2 12 6" xfId="1620" xr:uid="{00000000-0005-0000-0000-00003A0B0000}"/>
    <cellStyle name="20% - Accent2 12 6 2" xfId="1621" xr:uid="{00000000-0005-0000-0000-00003B0B0000}"/>
    <cellStyle name="20% - Accent2 12 6 2 2" xfId="13001" xr:uid="{00000000-0005-0000-0000-00003C0B0000}"/>
    <cellStyle name="20% - Accent2 12 6 2 3" xfId="16952" xr:uid="{00000000-0005-0000-0000-00003D0B0000}"/>
    <cellStyle name="20% - Accent2 12 6 3" xfId="1622" xr:uid="{00000000-0005-0000-0000-00003E0B0000}"/>
    <cellStyle name="20% - Accent2 12 6 3 2" xfId="13002" xr:uid="{00000000-0005-0000-0000-00003F0B0000}"/>
    <cellStyle name="20% - Accent2 12 6 3 3" xfId="16953" xr:uid="{00000000-0005-0000-0000-0000400B0000}"/>
    <cellStyle name="20% - Accent2 12 6 4" xfId="13000" xr:uid="{00000000-0005-0000-0000-0000410B0000}"/>
    <cellStyle name="20% - Accent2 12 6 5" xfId="16951" xr:uid="{00000000-0005-0000-0000-0000420B0000}"/>
    <cellStyle name="20% - Accent2 12 7" xfId="1623" xr:uid="{00000000-0005-0000-0000-0000430B0000}"/>
    <cellStyle name="20% - Accent2 12 7 2" xfId="13003" xr:uid="{00000000-0005-0000-0000-0000440B0000}"/>
    <cellStyle name="20% - Accent2 12 7 3" xfId="16954" xr:uid="{00000000-0005-0000-0000-0000450B0000}"/>
    <cellStyle name="20% - Accent2 12 8" xfId="1624" xr:uid="{00000000-0005-0000-0000-0000460B0000}"/>
    <cellStyle name="20% - Accent2 12 8 2" xfId="13004" xr:uid="{00000000-0005-0000-0000-0000470B0000}"/>
    <cellStyle name="20% - Accent2 12 8 3" xfId="16955" xr:uid="{00000000-0005-0000-0000-0000480B0000}"/>
    <cellStyle name="20% - Accent2 12 9" xfId="12972" xr:uid="{00000000-0005-0000-0000-0000490B0000}"/>
    <cellStyle name="20% - Accent2 12_Volatility" xfId="1625" xr:uid="{00000000-0005-0000-0000-00004A0B0000}"/>
    <cellStyle name="20% - Accent2 13" xfId="1626" xr:uid="{00000000-0005-0000-0000-00004B0B0000}"/>
    <cellStyle name="20% - Accent2 13 10" xfId="16956" xr:uid="{00000000-0005-0000-0000-00004C0B0000}"/>
    <cellStyle name="20% - Accent2 13 2" xfId="1627" xr:uid="{00000000-0005-0000-0000-00004D0B0000}"/>
    <cellStyle name="20% - Accent2 13 2 2" xfId="1628" xr:uid="{00000000-0005-0000-0000-00004E0B0000}"/>
    <cellStyle name="20% - Accent2 13 2 2 2" xfId="1629" xr:uid="{00000000-0005-0000-0000-00004F0B0000}"/>
    <cellStyle name="20% - Accent2 13 2 2 2 2" xfId="13008" xr:uid="{00000000-0005-0000-0000-0000500B0000}"/>
    <cellStyle name="20% - Accent2 13 2 2 2 3" xfId="16959" xr:uid="{00000000-0005-0000-0000-0000510B0000}"/>
    <cellStyle name="20% - Accent2 13 2 2 3" xfId="1630" xr:uid="{00000000-0005-0000-0000-0000520B0000}"/>
    <cellStyle name="20% - Accent2 13 2 2 3 2" xfId="13009" xr:uid="{00000000-0005-0000-0000-0000530B0000}"/>
    <cellStyle name="20% - Accent2 13 2 2 3 3" xfId="16960" xr:uid="{00000000-0005-0000-0000-0000540B0000}"/>
    <cellStyle name="20% - Accent2 13 2 2 4" xfId="13007" xr:uid="{00000000-0005-0000-0000-0000550B0000}"/>
    <cellStyle name="20% - Accent2 13 2 2 5" xfId="16958" xr:uid="{00000000-0005-0000-0000-0000560B0000}"/>
    <cellStyle name="20% - Accent2 13 2 3" xfId="1631" xr:uid="{00000000-0005-0000-0000-0000570B0000}"/>
    <cellStyle name="20% - Accent2 13 2 3 2" xfId="1632" xr:uid="{00000000-0005-0000-0000-0000580B0000}"/>
    <cellStyle name="20% - Accent2 13 2 3 2 2" xfId="13011" xr:uid="{00000000-0005-0000-0000-0000590B0000}"/>
    <cellStyle name="20% - Accent2 13 2 3 2 3" xfId="16962" xr:uid="{00000000-0005-0000-0000-00005A0B0000}"/>
    <cellStyle name="20% - Accent2 13 2 3 3" xfId="1633" xr:uid="{00000000-0005-0000-0000-00005B0B0000}"/>
    <cellStyle name="20% - Accent2 13 2 3 3 2" xfId="13012" xr:uid="{00000000-0005-0000-0000-00005C0B0000}"/>
    <cellStyle name="20% - Accent2 13 2 3 3 3" xfId="16963" xr:uid="{00000000-0005-0000-0000-00005D0B0000}"/>
    <cellStyle name="20% - Accent2 13 2 3 4" xfId="13010" xr:uid="{00000000-0005-0000-0000-00005E0B0000}"/>
    <cellStyle name="20% - Accent2 13 2 3 5" xfId="16961" xr:uid="{00000000-0005-0000-0000-00005F0B0000}"/>
    <cellStyle name="20% - Accent2 13 2 4" xfId="1634" xr:uid="{00000000-0005-0000-0000-0000600B0000}"/>
    <cellStyle name="20% - Accent2 13 2 4 2" xfId="1635" xr:uid="{00000000-0005-0000-0000-0000610B0000}"/>
    <cellStyle name="20% - Accent2 13 2 4 2 2" xfId="13014" xr:uid="{00000000-0005-0000-0000-0000620B0000}"/>
    <cellStyle name="20% - Accent2 13 2 4 2 3" xfId="16965" xr:uid="{00000000-0005-0000-0000-0000630B0000}"/>
    <cellStyle name="20% - Accent2 13 2 4 3" xfId="1636" xr:uid="{00000000-0005-0000-0000-0000640B0000}"/>
    <cellStyle name="20% - Accent2 13 2 4 3 2" xfId="13015" xr:uid="{00000000-0005-0000-0000-0000650B0000}"/>
    <cellStyle name="20% - Accent2 13 2 4 3 3" xfId="16966" xr:uid="{00000000-0005-0000-0000-0000660B0000}"/>
    <cellStyle name="20% - Accent2 13 2 4 4" xfId="13013" xr:uid="{00000000-0005-0000-0000-0000670B0000}"/>
    <cellStyle name="20% - Accent2 13 2 4 5" xfId="16964" xr:uid="{00000000-0005-0000-0000-0000680B0000}"/>
    <cellStyle name="20% - Accent2 13 2 5" xfId="1637" xr:uid="{00000000-0005-0000-0000-0000690B0000}"/>
    <cellStyle name="20% - Accent2 13 2 5 2" xfId="13016" xr:uid="{00000000-0005-0000-0000-00006A0B0000}"/>
    <cellStyle name="20% - Accent2 13 2 5 3" xfId="16967" xr:uid="{00000000-0005-0000-0000-00006B0B0000}"/>
    <cellStyle name="20% - Accent2 13 2 6" xfId="1638" xr:uid="{00000000-0005-0000-0000-00006C0B0000}"/>
    <cellStyle name="20% - Accent2 13 2 6 2" xfId="13017" xr:uid="{00000000-0005-0000-0000-00006D0B0000}"/>
    <cellStyle name="20% - Accent2 13 2 6 3" xfId="16968" xr:uid="{00000000-0005-0000-0000-00006E0B0000}"/>
    <cellStyle name="20% - Accent2 13 2 7" xfId="13006" xr:uid="{00000000-0005-0000-0000-00006F0B0000}"/>
    <cellStyle name="20% - Accent2 13 2 8" xfId="16957" xr:uid="{00000000-0005-0000-0000-0000700B0000}"/>
    <cellStyle name="20% - Accent2 13 2_Volatility" xfId="1639" xr:uid="{00000000-0005-0000-0000-0000710B0000}"/>
    <cellStyle name="20% - Accent2 13 3" xfId="1640" xr:uid="{00000000-0005-0000-0000-0000720B0000}"/>
    <cellStyle name="20% - Accent2 13 3 2" xfId="1641" xr:uid="{00000000-0005-0000-0000-0000730B0000}"/>
    <cellStyle name="20% - Accent2 13 3 2 2" xfId="1642" xr:uid="{00000000-0005-0000-0000-0000740B0000}"/>
    <cellStyle name="20% - Accent2 13 3 2 2 2" xfId="13020" xr:uid="{00000000-0005-0000-0000-0000750B0000}"/>
    <cellStyle name="20% - Accent2 13 3 2 2 3" xfId="16971" xr:uid="{00000000-0005-0000-0000-0000760B0000}"/>
    <cellStyle name="20% - Accent2 13 3 2 3" xfId="1643" xr:uid="{00000000-0005-0000-0000-0000770B0000}"/>
    <cellStyle name="20% - Accent2 13 3 2 3 2" xfId="13021" xr:uid="{00000000-0005-0000-0000-0000780B0000}"/>
    <cellStyle name="20% - Accent2 13 3 2 3 3" xfId="16972" xr:uid="{00000000-0005-0000-0000-0000790B0000}"/>
    <cellStyle name="20% - Accent2 13 3 2 4" xfId="13019" xr:uid="{00000000-0005-0000-0000-00007A0B0000}"/>
    <cellStyle name="20% - Accent2 13 3 2 5" xfId="16970" xr:uid="{00000000-0005-0000-0000-00007B0B0000}"/>
    <cellStyle name="20% - Accent2 13 3 3" xfId="1644" xr:uid="{00000000-0005-0000-0000-00007C0B0000}"/>
    <cellStyle name="20% - Accent2 13 3 3 2" xfId="1645" xr:uid="{00000000-0005-0000-0000-00007D0B0000}"/>
    <cellStyle name="20% - Accent2 13 3 3 2 2" xfId="13023" xr:uid="{00000000-0005-0000-0000-00007E0B0000}"/>
    <cellStyle name="20% - Accent2 13 3 3 2 3" xfId="16974" xr:uid="{00000000-0005-0000-0000-00007F0B0000}"/>
    <cellStyle name="20% - Accent2 13 3 3 3" xfId="1646" xr:uid="{00000000-0005-0000-0000-0000800B0000}"/>
    <cellStyle name="20% - Accent2 13 3 3 3 2" xfId="13024" xr:uid="{00000000-0005-0000-0000-0000810B0000}"/>
    <cellStyle name="20% - Accent2 13 3 3 3 3" xfId="16975" xr:uid="{00000000-0005-0000-0000-0000820B0000}"/>
    <cellStyle name="20% - Accent2 13 3 3 4" xfId="13022" xr:uid="{00000000-0005-0000-0000-0000830B0000}"/>
    <cellStyle name="20% - Accent2 13 3 3 5" xfId="16973" xr:uid="{00000000-0005-0000-0000-0000840B0000}"/>
    <cellStyle name="20% - Accent2 13 3 4" xfId="1647" xr:uid="{00000000-0005-0000-0000-0000850B0000}"/>
    <cellStyle name="20% - Accent2 13 3 4 2" xfId="13025" xr:uid="{00000000-0005-0000-0000-0000860B0000}"/>
    <cellStyle name="20% - Accent2 13 3 4 3" xfId="16976" xr:uid="{00000000-0005-0000-0000-0000870B0000}"/>
    <cellStyle name="20% - Accent2 13 3 5" xfId="1648" xr:uid="{00000000-0005-0000-0000-0000880B0000}"/>
    <cellStyle name="20% - Accent2 13 3 5 2" xfId="13026" xr:uid="{00000000-0005-0000-0000-0000890B0000}"/>
    <cellStyle name="20% - Accent2 13 3 5 3" xfId="16977" xr:uid="{00000000-0005-0000-0000-00008A0B0000}"/>
    <cellStyle name="20% - Accent2 13 3 6" xfId="13018" xr:uid="{00000000-0005-0000-0000-00008B0B0000}"/>
    <cellStyle name="20% - Accent2 13 3 7" xfId="16969" xr:uid="{00000000-0005-0000-0000-00008C0B0000}"/>
    <cellStyle name="20% - Accent2 13 3_Volatility" xfId="1649" xr:uid="{00000000-0005-0000-0000-00008D0B0000}"/>
    <cellStyle name="20% - Accent2 13 4" xfId="1650" xr:uid="{00000000-0005-0000-0000-00008E0B0000}"/>
    <cellStyle name="20% - Accent2 13 4 2" xfId="1651" xr:uid="{00000000-0005-0000-0000-00008F0B0000}"/>
    <cellStyle name="20% - Accent2 13 4 2 2" xfId="13028" xr:uid="{00000000-0005-0000-0000-0000900B0000}"/>
    <cellStyle name="20% - Accent2 13 4 2 3" xfId="16979" xr:uid="{00000000-0005-0000-0000-0000910B0000}"/>
    <cellStyle name="20% - Accent2 13 4 3" xfId="1652" xr:uid="{00000000-0005-0000-0000-0000920B0000}"/>
    <cellStyle name="20% - Accent2 13 4 3 2" xfId="13029" xr:uid="{00000000-0005-0000-0000-0000930B0000}"/>
    <cellStyle name="20% - Accent2 13 4 3 3" xfId="16980" xr:uid="{00000000-0005-0000-0000-0000940B0000}"/>
    <cellStyle name="20% - Accent2 13 4 4" xfId="13027" xr:uid="{00000000-0005-0000-0000-0000950B0000}"/>
    <cellStyle name="20% - Accent2 13 4 5" xfId="16978" xr:uid="{00000000-0005-0000-0000-0000960B0000}"/>
    <cellStyle name="20% - Accent2 13 5" xfId="1653" xr:uid="{00000000-0005-0000-0000-0000970B0000}"/>
    <cellStyle name="20% - Accent2 13 5 2" xfId="1654" xr:uid="{00000000-0005-0000-0000-0000980B0000}"/>
    <cellStyle name="20% - Accent2 13 5 2 2" xfId="13031" xr:uid="{00000000-0005-0000-0000-0000990B0000}"/>
    <cellStyle name="20% - Accent2 13 5 2 3" xfId="16982" xr:uid="{00000000-0005-0000-0000-00009A0B0000}"/>
    <cellStyle name="20% - Accent2 13 5 3" xfId="1655" xr:uid="{00000000-0005-0000-0000-00009B0B0000}"/>
    <cellStyle name="20% - Accent2 13 5 3 2" xfId="13032" xr:uid="{00000000-0005-0000-0000-00009C0B0000}"/>
    <cellStyle name="20% - Accent2 13 5 3 3" xfId="16983" xr:uid="{00000000-0005-0000-0000-00009D0B0000}"/>
    <cellStyle name="20% - Accent2 13 5 4" xfId="13030" xr:uid="{00000000-0005-0000-0000-00009E0B0000}"/>
    <cellStyle name="20% - Accent2 13 5 5" xfId="16981" xr:uid="{00000000-0005-0000-0000-00009F0B0000}"/>
    <cellStyle name="20% - Accent2 13 6" xfId="1656" xr:uid="{00000000-0005-0000-0000-0000A00B0000}"/>
    <cellStyle name="20% - Accent2 13 6 2" xfId="1657" xr:uid="{00000000-0005-0000-0000-0000A10B0000}"/>
    <cellStyle name="20% - Accent2 13 6 2 2" xfId="13034" xr:uid="{00000000-0005-0000-0000-0000A20B0000}"/>
    <cellStyle name="20% - Accent2 13 6 2 3" xfId="16985" xr:uid="{00000000-0005-0000-0000-0000A30B0000}"/>
    <cellStyle name="20% - Accent2 13 6 3" xfId="1658" xr:uid="{00000000-0005-0000-0000-0000A40B0000}"/>
    <cellStyle name="20% - Accent2 13 6 3 2" xfId="13035" xr:uid="{00000000-0005-0000-0000-0000A50B0000}"/>
    <cellStyle name="20% - Accent2 13 6 3 3" xfId="16986" xr:uid="{00000000-0005-0000-0000-0000A60B0000}"/>
    <cellStyle name="20% - Accent2 13 6 4" xfId="13033" xr:uid="{00000000-0005-0000-0000-0000A70B0000}"/>
    <cellStyle name="20% - Accent2 13 6 5" xfId="16984" xr:uid="{00000000-0005-0000-0000-0000A80B0000}"/>
    <cellStyle name="20% - Accent2 13 7" xfId="1659" xr:uid="{00000000-0005-0000-0000-0000A90B0000}"/>
    <cellStyle name="20% - Accent2 13 7 2" xfId="13036" xr:uid="{00000000-0005-0000-0000-0000AA0B0000}"/>
    <cellStyle name="20% - Accent2 13 7 3" xfId="16987" xr:uid="{00000000-0005-0000-0000-0000AB0B0000}"/>
    <cellStyle name="20% - Accent2 13 8" xfId="1660" xr:uid="{00000000-0005-0000-0000-0000AC0B0000}"/>
    <cellStyle name="20% - Accent2 13 8 2" xfId="13037" xr:uid="{00000000-0005-0000-0000-0000AD0B0000}"/>
    <cellStyle name="20% - Accent2 13 8 3" xfId="16988" xr:uid="{00000000-0005-0000-0000-0000AE0B0000}"/>
    <cellStyle name="20% - Accent2 13 9" xfId="13005" xr:uid="{00000000-0005-0000-0000-0000AF0B0000}"/>
    <cellStyle name="20% - Accent2 13_Volatility" xfId="1661" xr:uid="{00000000-0005-0000-0000-0000B00B0000}"/>
    <cellStyle name="20% - Accent2 14" xfId="1662" xr:uid="{00000000-0005-0000-0000-0000B10B0000}"/>
    <cellStyle name="20% - Accent2 14 10" xfId="16989" xr:uid="{00000000-0005-0000-0000-0000B20B0000}"/>
    <cellStyle name="20% - Accent2 14 2" xfId="1663" xr:uid="{00000000-0005-0000-0000-0000B30B0000}"/>
    <cellStyle name="20% - Accent2 14 2 2" xfId="1664" xr:uid="{00000000-0005-0000-0000-0000B40B0000}"/>
    <cellStyle name="20% - Accent2 14 2 2 2" xfId="1665" xr:uid="{00000000-0005-0000-0000-0000B50B0000}"/>
    <cellStyle name="20% - Accent2 14 2 2 2 2" xfId="13041" xr:uid="{00000000-0005-0000-0000-0000B60B0000}"/>
    <cellStyle name="20% - Accent2 14 2 2 2 3" xfId="16992" xr:uid="{00000000-0005-0000-0000-0000B70B0000}"/>
    <cellStyle name="20% - Accent2 14 2 2 3" xfId="1666" xr:uid="{00000000-0005-0000-0000-0000B80B0000}"/>
    <cellStyle name="20% - Accent2 14 2 2 3 2" xfId="13042" xr:uid="{00000000-0005-0000-0000-0000B90B0000}"/>
    <cellStyle name="20% - Accent2 14 2 2 3 3" xfId="16993" xr:uid="{00000000-0005-0000-0000-0000BA0B0000}"/>
    <cellStyle name="20% - Accent2 14 2 2 4" xfId="13040" xr:uid="{00000000-0005-0000-0000-0000BB0B0000}"/>
    <cellStyle name="20% - Accent2 14 2 2 5" xfId="16991" xr:uid="{00000000-0005-0000-0000-0000BC0B0000}"/>
    <cellStyle name="20% - Accent2 14 2 3" xfId="1667" xr:uid="{00000000-0005-0000-0000-0000BD0B0000}"/>
    <cellStyle name="20% - Accent2 14 2 3 2" xfId="1668" xr:uid="{00000000-0005-0000-0000-0000BE0B0000}"/>
    <cellStyle name="20% - Accent2 14 2 3 2 2" xfId="13044" xr:uid="{00000000-0005-0000-0000-0000BF0B0000}"/>
    <cellStyle name="20% - Accent2 14 2 3 2 3" xfId="16995" xr:uid="{00000000-0005-0000-0000-0000C00B0000}"/>
    <cellStyle name="20% - Accent2 14 2 3 3" xfId="1669" xr:uid="{00000000-0005-0000-0000-0000C10B0000}"/>
    <cellStyle name="20% - Accent2 14 2 3 3 2" xfId="13045" xr:uid="{00000000-0005-0000-0000-0000C20B0000}"/>
    <cellStyle name="20% - Accent2 14 2 3 3 3" xfId="16996" xr:uid="{00000000-0005-0000-0000-0000C30B0000}"/>
    <cellStyle name="20% - Accent2 14 2 3 4" xfId="13043" xr:uid="{00000000-0005-0000-0000-0000C40B0000}"/>
    <cellStyle name="20% - Accent2 14 2 3 5" xfId="16994" xr:uid="{00000000-0005-0000-0000-0000C50B0000}"/>
    <cellStyle name="20% - Accent2 14 2 4" xfId="1670" xr:uid="{00000000-0005-0000-0000-0000C60B0000}"/>
    <cellStyle name="20% - Accent2 14 2 4 2" xfId="1671" xr:uid="{00000000-0005-0000-0000-0000C70B0000}"/>
    <cellStyle name="20% - Accent2 14 2 4 2 2" xfId="13047" xr:uid="{00000000-0005-0000-0000-0000C80B0000}"/>
    <cellStyle name="20% - Accent2 14 2 4 2 3" xfId="16998" xr:uid="{00000000-0005-0000-0000-0000C90B0000}"/>
    <cellStyle name="20% - Accent2 14 2 4 3" xfId="1672" xr:uid="{00000000-0005-0000-0000-0000CA0B0000}"/>
    <cellStyle name="20% - Accent2 14 2 4 3 2" xfId="13048" xr:uid="{00000000-0005-0000-0000-0000CB0B0000}"/>
    <cellStyle name="20% - Accent2 14 2 4 3 3" xfId="16999" xr:uid="{00000000-0005-0000-0000-0000CC0B0000}"/>
    <cellStyle name="20% - Accent2 14 2 4 4" xfId="13046" xr:uid="{00000000-0005-0000-0000-0000CD0B0000}"/>
    <cellStyle name="20% - Accent2 14 2 4 5" xfId="16997" xr:uid="{00000000-0005-0000-0000-0000CE0B0000}"/>
    <cellStyle name="20% - Accent2 14 2 5" xfId="1673" xr:uid="{00000000-0005-0000-0000-0000CF0B0000}"/>
    <cellStyle name="20% - Accent2 14 2 5 2" xfId="13049" xr:uid="{00000000-0005-0000-0000-0000D00B0000}"/>
    <cellStyle name="20% - Accent2 14 2 5 3" xfId="17000" xr:uid="{00000000-0005-0000-0000-0000D10B0000}"/>
    <cellStyle name="20% - Accent2 14 2 6" xfId="1674" xr:uid="{00000000-0005-0000-0000-0000D20B0000}"/>
    <cellStyle name="20% - Accent2 14 2 6 2" xfId="13050" xr:uid="{00000000-0005-0000-0000-0000D30B0000}"/>
    <cellStyle name="20% - Accent2 14 2 6 3" xfId="17001" xr:uid="{00000000-0005-0000-0000-0000D40B0000}"/>
    <cellStyle name="20% - Accent2 14 2 7" xfId="13039" xr:uid="{00000000-0005-0000-0000-0000D50B0000}"/>
    <cellStyle name="20% - Accent2 14 2 8" xfId="16990" xr:uid="{00000000-0005-0000-0000-0000D60B0000}"/>
    <cellStyle name="20% - Accent2 14 2_Volatility" xfId="1675" xr:uid="{00000000-0005-0000-0000-0000D70B0000}"/>
    <cellStyle name="20% - Accent2 14 3" xfId="1676" xr:uid="{00000000-0005-0000-0000-0000D80B0000}"/>
    <cellStyle name="20% - Accent2 14 3 2" xfId="1677" xr:uid="{00000000-0005-0000-0000-0000D90B0000}"/>
    <cellStyle name="20% - Accent2 14 3 2 2" xfId="1678" xr:uid="{00000000-0005-0000-0000-0000DA0B0000}"/>
    <cellStyle name="20% - Accent2 14 3 2 2 2" xfId="13053" xr:uid="{00000000-0005-0000-0000-0000DB0B0000}"/>
    <cellStyle name="20% - Accent2 14 3 2 2 3" xfId="17004" xr:uid="{00000000-0005-0000-0000-0000DC0B0000}"/>
    <cellStyle name="20% - Accent2 14 3 2 3" xfId="1679" xr:uid="{00000000-0005-0000-0000-0000DD0B0000}"/>
    <cellStyle name="20% - Accent2 14 3 2 3 2" xfId="13054" xr:uid="{00000000-0005-0000-0000-0000DE0B0000}"/>
    <cellStyle name="20% - Accent2 14 3 2 3 3" xfId="17005" xr:uid="{00000000-0005-0000-0000-0000DF0B0000}"/>
    <cellStyle name="20% - Accent2 14 3 2 4" xfId="13052" xr:uid="{00000000-0005-0000-0000-0000E00B0000}"/>
    <cellStyle name="20% - Accent2 14 3 2 5" xfId="17003" xr:uid="{00000000-0005-0000-0000-0000E10B0000}"/>
    <cellStyle name="20% - Accent2 14 3 3" xfId="1680" xr:uid="{00000000-0005-0000-0000-0000E20B0000}"/>
    <cellStyle name="20% - Accent2 14 3 3 2" xfId="1681" xr:uid="{00000000-0005-0000-0000-0000E30B0000}"/>
    <cellStyle name="20% - Accent2 14 3 3 2 2" xfId="13056" xr:uid="{00000000-0005-0000-0000-0000E40B0000}"/>
    <cellStyle name="20% - Accent2 14 3 3 2 3" xfId="17007" xr:uid="{00000000-0005-0000-0000-0000E50B0000}"/>
    <cellStyle name="20% - Accent2 14 3 3 3" xfId="1682" xr:uid="{00000000-0005-0000-0000-0000E60B0000}"/>
    <cellStyle name="20% - Accent2 14 3 3 3 2" xfId="13057" xr:uid="{00000000-0005-0000-0000-0000E70B0000}"/>
    <cellStyle name="20% - Accent2 14 3 3 3 3" xfId="17008" xr:uid="{00000000-0005-0000-0000-0000E80B0000}"/>
    <cellStyle name="20% - Accent2 14 3 3 4" xfId="13055" xr:uid="{00000000-0005-0000-0000-0000E90B0000}"/>
    <cellStyle name="20% - Accent2 14 3 3 5" xfId="17006" xr:uid="{00000000-0005-0000-0000-0000EA0B0000}"/>
    <cellStyle name="20% - Accent2 14 3 4" xfId="1683" xr:uid="{00000000-0005-0000-0000-0000EB0B0000}"/>
    <cellStyle name="20% - Accent2 14 3 4 2" xfId="13058" xr:uid="{00000000-0005-0000-0000-0000EC0B0000}"/>
    <cellStyle name="20% - Accent2 14 3 4 3" xfId="17009" xr:uid="{00000000-0005-0000-0000-0000ED0B0000}"/>
    <cellStyle name="20% - Accent2 14 3 5" xfId="1684" xr:uid="{00000000-0005-0000-0000-0000EE0B0000}"/>
    <cellStyle name="20% - Accent2 14 3 5 2" xfId="13059" xr:uid="{00000000-0005-0000-0000-0000EF0B0000}"/>
    <cellStyle name="20% - Accent2 14 3 5 3" xfId="17010" xr:uid="{00000000-0005-0000-0000-0000F00B0000}"/>
    <cellStyle name="20% - Accent2 14 3 6" xfId="13051" xr:uid="{00000000-0005-0000-0000-0000F10B0000}"/>
    <cellStyle name="20% - Accent2 14 3 7" xfId="17002" xr:uid="{00000000-0005-0000-0000-0000F20B0000}"/>
    <cellStyle name="20% - Accent2 14 3_Volatility" xfId="1685" xr:uid="{00000000-0005-0000-0000-0000F30B0000}"/>
    <cellStyle name="20% - Accent2 14 4" xfId="1686" xr:uid="{00000000-0005-0000-0000-0000F40B0000}"/>
    <cellStyle name="20% - Accent2 14 4 2" xfId="1687" xr:uid="{00000000-0005-0000-0000-0000F50B0000}"/>
    <cellStyle name="20% - Accent2 14 4 2 2" xfId="13061" xr:uid="{00000000-0005-0000-0000-0000F60B0000}"/>
    <cellStyle name="20% - Accent2 14 4 2 3" xfId="17012" xr:uid="{00000000-0005-0000-0000-0000F70B0000}"/>
    <cellStyle name="20% - Accent2 14 4 3" xfId="1688" xr:uid="{00000000-0005-0000-0000-0000F80B0000}"/>
    <cellStyle name="20% - Accent2 14 4 3 2" xfId="13062" xr:uid="{00000000-0005-0000-0000-0000F90B0000}"/>
    <cellStyle name="20% - Accent2 14 4 3 3" xfId="17013" xr:uid="{00000000-0005-0000-0000-0000FA0B0000}"/>
    <cellStyle name="20% - Accent2 14 4 4" xfId="13060" xr:uid="{00000000-0005-0000-0000-0000FB0B0000}"/>
    <cellStyle name="20% - Accent2 14 4 5" xfId="17011" xr:uid="{00000000-0005-0000-0000-0000FC0B0000}"/>
    <cellStyle name="20% - Accent2 14 5" xfId="1689" xr:uid="{00000000-0005-0000-0000-0000FD0B0000}"/>
    <cellStyle name="20% - Accent2 14 5 2" xfId="1690" xr:uid="{00000000-0005-0000-0000-0000FE0B0000}"/>
    <cellStyle name="20% - Accent2 14 5 2 2" xfId="13064" xr:uid="{00000000-0005-0000-0000-0000FF0B0000}"/>
    <cellStyle name="20% - Accent2 14 5 2 3" xfId="17015" xr:uid="{00000000-0005-0000-0000-0000000C0000}"/>
    <cellStyle name="20% - Accent2 14 5 3" xfId="1691" xr:uid="{00000000-0005-0000-0000-0000010C0000}"/>
    <cellStyle name="20% - Accent2 14 5 3 2" xfId="13065" xr:uid="{00000000-0005-0000-0000-0000020C0000}"/>
    <cellStyle name="20% - Accent2 14 5 3 3" xfId="17016" xr:uid="{00000000-0005-0000-0000-0000030C0000}"/>
    <cellStyle name="20% - Accent2 14 5 4" xfId="13063" xr:uid="{00000000-0005-0000-0000-0000040C0000}"/>
    <cellStyle name="20% - Accent2 14 5 5" xfId="17014" xr:uid="{00000000-0005-0000-0000-0000050C0000}"/>
    <cellStyle name="20% - Accent2 14 6" xfId="1692" xr:uid="{00000000-0005-0000-0000-0000060C0000}"/>
    <cellStyle name="20% - Accent2 14 6 2" xfId="1693" xr:uid="{00000000-0005-0000-0000-0000070C0000}"/>
    <cellStyle name="20% - Accent2 14 6 2 2" xfId="13067" xr:uid="{00000000-0005-0000-0000-0000080C0000}"/>
    <cellStyle name="20% - Accent2 14 6 2 3" xfId="17018" xr:uid="{00000000-0005-0000-0000-0000090C0000}"/>
    <cellStyle name="20% - Accent2 14 6 3" xfId="1694" xr:uid="{00000000-0005-0000-0000-00000A0C0000}"/>
    <cellStyle name="20% - Accent2 14 6 3 2" xfId="13068" xr:uid="{00000000-0005-0000-0000-00000B0C0000}"/>
    <cellStyle name="20% - Accent2 14 6 3 3" xfId="17019" xr:uid="{00000000-0005-0000-0000-00000C0C0000}"/>
    <cellStyle name="20% - Accent2 14 6 4" xfId="13066" xr:uid="{00000000-0005-0000-0000-00000D0C0000}"/>
    <cellStyle name="20% - Accent2 14 6 5" xfId="17017" xr:uid="{00000000-0005-0000-0000-00000E0C0000}"/>
    <cellStyle name="20% - Accent2 14 7" xfId="1695" xr:uid="{00000000-0005-0000-0000-00000F0C0000}"/>
    <cellStyle name="20% - Accent2 14 7 2" xfId="13069" xr:uid="{00000000-0005-0000-0000-0000100C0000}"/>
    <cellStyle name="20% - Accent2 14 7 3" xfId="17020" xr:uid="{00000000-0005-0000-0000-0000110C0000}"/>
    <cellStyle name="20% - Accent2 14 8" xfId="1696" xr:uid="{00000000-0005-0000-0000-0000120C0000}"/>
    <cellStyle name="20% - Accent2 14 8 2" xfId="13070" xr:uid="{00000000-0005-0000-0000-0000130C0000}"/>
    <cellStyle name="20% - Accent2 14 8 3" xfId="17021" xr:uid="{00000000-0005-0000-0000-0000140C0000}"/>
    <cellStyle name="20% - Accent2 14 9" xfId="13038" xr:uid="{00000000-0005-0000-0000-0000150C0000}"/>
    <cellStyle name="20% - Accent2 14_Volatility" xfId="1697" xr:uid="{00000000-0005-0000-0000-0000160C0000}"/>
    <cellStyle name="20% - Accent2 15" xfId="1698" xr:uid="{00000000-0005-0000-0000-0000170C0000}"/>
    <cellStyle name="20% - Accent2 15 10" xfId="17022" xr:uid="{00000000-0005-0000-0000-0000180C0000}"/>
    <cellStyle name="20% - Accent2 15 2" xfId="1699" xr:uid="{00000000-0005-0000-0000-0000190C0000}"/>
    <cellStyle name="20% - Accent2 15 2 2" xfId="1700" xr:uid="{00000000-0005-0000-0000-00001A0C0000}"/>
    <cellStyle name="20% - Accent2 15 2 2 2" xfId="1701" xr:uid="{00000000-0005-0000-0000-00001B0C0000}"/>
    <cellStyle name="20% - Accent2 15 2 2 2 2" xfId="13074" xr:uid="{00000000-0005-0000-0000-00001C0C0000}"/>
    <cellStyle name="20% - Accent2 15 2 2 2 3" xfId="17025" xr:uid="{00000000-0005-0000-0000-00001D0C0000}"/>
    <cellStyle name="20% - Accent2 15 2 2 3" xfId="1702" xr:uid="{00000000-0005-0000-0000-00001E0C0000}"/>
    <cellStyle name="20% - Accent2 15 2 2 3 2" xfId="13075" xr:uid="{00000000-0005-0000-0000-00001F0C0000}"/>
    <cellStyle name="20% - Accent2 15 2 2 3 3" xfId="17026" xr:uid="{00000000-0005-0000-0000-0000200C0000}"/>
    <cellStyle name="20% - Accent2 15 2 2 4" xfId="13073" xr:uid="{00000000-0005-0000-0000-0000210C0000}"/>
    <cellStyle name="20% - Accent2 15 2 2 5" xfId="17024" xr:uid="{00000000-0005-0000-0000-0000220C0000}"/>
    <cellStyle name="20% - Accent2 15 2 3" xfId="1703" xr:uid="{00000000-0005-0000-0000-0000230C0000}"/>
    <cellStyle name="20% - Accent2 15 2 3 2" xfId="1704" xr:uid="{00000000-0005-0000-0000-0000240C0000}"/>
    <cellStyle name="20% - Accent2 15 2 3 2 2" xfId="13077" xr:uid="{00000000-0005-0000-0000-0000250C0000}"/>
    <cellStyle name="20% - Accent2 15 2 3 2 3" xfId="17028" xr:uid="{00000000-0005-0000-0000-0000260C0000}"/>
    <cellStyle name="20% - Accent2 15 2 3 3" xfId="1705" xr:uid="{00000000-0005-0000-0000-0000270C0000}"/>
    <cellStyle name="20% - Accent2 15 2 3 3 2" xfId="13078" xr:uid="{00000000-0005-0000-0000-0000280C0000}"/>
    <cellStyle name="20% - Accent2 15 2 3 3 3" xfId="17029" xr:uid="{00000000-0005-0000-0000-0000290C0000}"/>
    <cellStyle name="20% - Accent2 15 2 3 4" xfId="13076" xr:uid="{00000000-0005-0000-0000-00002A0C0000}"/>
    <cellStyle name="20% - Accent2 15 2 3 5" xfId="17027" xr:uid="{00000000-0005-0000-0000-00002B0C0000}"/>
    <cellStyle name="20% - Accent2 15 2 4" xfId="1706" xr:uid="{00000000-0005-0000-0000-00002C0C0000}"/>
    <cellStyle name="20% - Accent2 15 2 4 2" xfId="1707" xr:uid="{00000000-0005-0000-0000-00002D0C0000}"/>
    <cellStyle name="20% - Accent2 15 2 4 2 2" xfId="13080" xr:uid="{00000000-0005-0000-0000-00002E0C0000}"/>
    <cellStyle name="20% - Accent2 15 2 4 2 3" xfId="17031" xr:uid="{00000000-0005-0000-0000-00002F0C0000}"/>
    <cellStyle name="20% - Accent2 15 2 4 3" xfId="1708" xr:uid="{00000000-0005-0000-0000-0000300C0000}"/>
    <cellStyle name="20% - Accent2 15 2 4 3 2" xfId="13081" xr:uid="{00000000-0005-0000-0000-0000310C0000}"/>
    <cellStyle name="20% - Accent2 15 2 4 3 3" xfId="17032" xr:uid="{00000000-0005-0000-0000-0000320C0000}"/>
    <cellStyle name="20% - Accent2 15 2 4 4" xfId="13079" xr:uid="{00000000-0005-0000-0000-0000330C0000}"/>
    <cellStyle name="20% - Accent2 15 2 4 5" xfId="17030" xr:uid="{00000000-0005-0000-0000-0000340C0000}"/>
    <cellStyle name="20% - Accent2 15 2 5" xfId="1709" xr:uid="{00000000-0005-0000-0000-0000350C0000}"/>
    <cellStyle name="20% - Accent2 15 2 5 2" xfId="13082" xr:uid="{00000000-0005-0000-0000-0000360C0000}"/>
    <cellStyle name="20% - Accent2 15 2 5 3" xfId="17033" xr:uid="{00000000-0005-0000-0000-0000370C0000}"/>
    <cellStyle name="20% - Accent2 15 2 6" xfId="1710" xr:uid="{00000000-0005-0000-0000-0000380C0000}"/>
    <cellStyle name="20% - Accent2 15 2 6 2" xfId="13083" xr:uid="{00000000-0005-0000-0000-0000390C0000}"/>
    <cellStyle name="20% - Accent2 15 2 6 3" xfId="17034" xr:uid="{00000000-0005-0000-0000-00003A0C0000}"/>
    <cellStyle name="20% - Accent2 15 2 7" xfId="13072" xr:uid="{00000000-0005-0000-0000-00003B0C0000}"/>
    <cellStyle name="20% - Accent2 15 2 8" xfId="17023" xr:uid="{00000000-0005-0000-0000-00003C0C0000}"/>
    <cellStyle name="20% - Accent2 15 2_Volatility" xfId="1711" xr:uid="{00000000-0005-0000-0000-00003D0C0000}"/>
    <cellStyle name="20% - Accent2 15 3" xfId="1712" xr:uid="{00000000-0005-0000-0000-00003E0C0000}"/>
    <cellStyle name="20% - Accent2 15 3 2" xfId="1713" xr:uid="{00000000-0005-0000-0000-00003F0C0000}"/>
    <cellStyle name="20% - Accent2 15 3 2 2" xfId="1714" xr:uid="{00000000-0005-0000-0000-0000400C0000}"/>
    <cellStyle name="20% - Accent2 15 3 2 2 2" xfId="13086" xr:uid="{00000000-0005-0000-0000-0000410C0000}"/>
    <cellStyle name="20% - Accent2 15 3 2 2 3" xfId="17037" xr:uid="{00000000-0005-0000-0000-0000420C0000}"/>
    <cellStyle name="20% - Accent2 15 3 2 3" xfId="1715" xr:uid="{00000000-0005-0000-0000-0000430C0000}"/>
    <cellStyle name="20% - Accent2 15 3 2 3 2" xfId="13087" xr:uid="{00000000-0005-0000-0000-0000440C0000}"/>
    <cellStyle name="20% - Accent2 15 3 2 3 3" xfId="17038" xr:uid="{00000000-0005-0000-0000-0000450C0000}"/>
    <cellStyle name="20% - Accent2 15 3 2 4" xfId="13085" xr:uid="{00000000-0005-0000-0000-0000460C0000}"/>
    <cellStyle name="20% - Accent2 15 3 2 5" xfId="17036" xr:uid="{00000000-0005-0000-0000-0000470C0000}"/>
    <cellStyle name="20% - Accent2 15 3 3" xfId="1716" xr:uid="{00000000-0005-0000-0000-0000480C0000}"/>
    <cellStyle name="20% - Accent2 15 3 3 2" xfId="1717" xr:uid="{00000000-0005-0000-0000-0000490C0000}"/>
    <cellStyle name="20% - Accent2 15 3 3 2 2" xfId="13089" xr:uid="{00000000-0005-0000-0000-00004A0C0000}"/>
    <cellStyle name="20% - Accent2 15 3 3 2 3" xfId="17040" xr:uid="{00000000-0005-0000-0000-00004B0C0000}"/>
    <cellStyle name="20% - Accent2 15 3 3 3" xfId="1718" xr:uid="{00000000-0005-0000-0000-00004C0C0000}"/>
    <cellStyle name="20% - Accent2 15 3 3 3 2" xfId="13090" xr:uid="{00000000-0005-0000-0000-00004D0C0000}"/>
    <cellStyle name="20% - Accent2 15 3 3 3 3" xfId="17041" xr:uid="{00000000-0005-0000-0000-00004E0C0000}"/>
    <cellStyle name="20% - Accent2 15 3 3 4" xfId="13088" xr:uid="{00000000-0005-0000-0000-00004F0C0000}"/>
    <cellStyle name="20% - Accent2 15 3 3 5" xfId="17039" xr:uid="{00000000-0005-0000-0000-0000500C0000}"/>
    <cellStyle name="20% - Accent2 15 3 4" xfId="1719" xr:uid="{00000000-0005-0000-0000-0000510C0000}"/>
    <cellStyle name="20% - Accent2 15 3 4 2" xfId="13091" xr:uid="{00000000-0005-0000-0000-0000520C0000}"/>
    <cellStyle name="20% - Accent2 15 3 4 3" xfId="17042" xr:uid="{00000000-0005-0000-0000-0000530C0000}"/>
    <cellStyle name="20% - Accent2 15 3 5" xfId="1720" xr:uid="{00000000-0005-0000-0000-0000540C0000}"/>
    <cellStyle name="20% - Accent2 15 3 5 2" xfId="13092" xr:uid="{00000000-0005-0000-0000-0000550C0000}"/>
    <cellStyle name="20% - Accent2 15 3 5 3" xfId="17043" xr:uid="{00000000-0005-0000-0000-0000560C0000}"/>
    <cellStyle name="20% - Accent2 15 3 6" xfId="13084" xr:uid="{00000000-0005-0000-0000-0000570C0000}"/>
    <cellStyle name="20% - Accent2 15 3 7" xfId="17035" xr:uid="{00000000-0005-0000-0000-0000580C0000}"/>
    <cellStyle name="20% - Accent2 15 3_Volatility" xfId="1721" xr:uid="{00000000-0005-0000-0000-0000590C0000}"/>
    <cellStyle name="20% - Accent2 15 4" xfId="1722" xr:uid="{00000000-0005-0000-0000-00005A0C0000}"/>
    <cellStyle name="20% - Accent2 15 4 2" xfId="1723" xr:uid="{00000000-0005-0000-0000-00005B0C0000}"/>
    <cellStyle name="20% - Accent2 15 4 2 2" xfId="13094" xr:uid="{00000000-0005-0000-0000-00005C0C0000}"/>
    <cellStyle name="20% - Accent2 15 4 2 3" xfId="17045" xr:uid="{00000000-0005-0000-0000-00005D0C0000}"/>
    <cellStyle name="20% - Accent2 15 4 3" xfId="1724" xr:uid="{00000000-0005-0000-0000-00005E0C0000}"/>
    <cellStyle name="20% - Accent2 15 4 3 2" xfId="13095" xr:uid="{00000000-0005-0000-0000-00005F0C0000}"/>
    <cellStyle name="20% - Accent2 15 4 3 3" xfId="17046" xr:uid="{00000000-0005-0000-0000-0000600C0000}"/>
    <cellStyle name="20% - Accent2 15 4 4" xfId="13093" xr:uid="{00000000-0005-0000-0000-0000610C0000}"/>
    <cellStyle name="20% - Accent2 15 4 5" xfId="17044" xr:uid="{00000000-0005-0000-0000-0000620C0000}"/>
    <cellStyle name="20% - Accent2 15 5" xfId="1725" xr:uid="{00000000-0005-0000-0000-0000630C0000}"/>
    <cellStyle name="20% - Accent2 15 5 2" xfId="1726" xr:uid="{00000000-0005-0000-0000-0000640C0000}"/>
    <cellStyle name="20% - Accent2 15 5 2 2" xfId="13097" xr:uid="{00000000-0005-0000-0000-0000650C0000}"/>
    <cellStyle name="20% - Accent2 15 5 2 3" xfId="17048" xr:uid="{00000000-0005-0000-0000-0000660C0000}"/>
    <cellStyle name="20% - Accent2 15 5 3" xfId="1727" xr:uid="{00000000-0005-0000-0000-0000670C0000}"/>
    <cellStyle name="20% - Accent2 15 5 3 2" xfId="13098" xr:uid="{00000000-0005-0000-0000-0000680C0000}"/>
    <cellStyle name="20% - Accent2 15 5 3 3" xfId="17049" xr:uid="{00000000-0005-0000-0000-0000690C0000}"/>
    <cellStyle name="20% - Accent2 15 5 4" xfId="13096" xr:uid="{00000000-0005-0000-0000-00006A0C0000}"/>
    <cellStyle name="20% - Accent2 15 5 5" xfId="17047" xr:uid="{00000000-0005-0000-0000-00006B0C0000}"/>
    <cellStyle name="20% - Accent2 15 6" xfId="1728" xr:uid="{00000000-0005-0000-0000-00006C0C0000}"/>
    <cellStyle name="20% - Accent2 15 6 2" xfId="1729" xr:uid="{00000000-0005-0000-0000-00006D0C0000}"/>
    <cellStyle name="20% - Accent2 15 6 2 2" xfId="13100" xr:uid="{00000000-0005-0000-0000-00006E0C0000}"/>
    <cellStyle name="20% - Accent2 15 6 2 3" xfId="17051" xr:uid="{00000000-0005-0000-0000-00006F0C0000}"/>
    <cellStyle name="20% - Accent2 15 6 3" xfId="1730" xr:uid="{00000000-0005-0000-0000-0000700C0000}"/>
    <cellStyle name="20% - Accent2 15 6 3 2" xfId="13101" xr:uid="{00000000-0005-0000-0000-0000710C0000}"/>
    <cellStyle name="20% - Accent2 15 6 3 3" xfId="17052" xr:uid="{00000000-0005-0000-0000-0000720C0000}"/>
    <cellStyle name="20% - Accent2 15 6 4" xfId="13099" xr:uid="{00000000-0005-0000-0000-0000730C0000}"/>
    <cellStyle name="20% - Accent2 15 6 5" xfId="17050" xr:uid="{00000000-0005-0000-0000-0000740C0000}"/>
    <cellStyle name="20% - Accent2 15 7" xfId="1731" xr:uid="{00000000-0005-0000-0000-0000750C0000}"/>
    <cellStyle name="20% - Accent2 15 7 2" xfId="13102" xr:uid="{00000000-0005-0000-0000-0000760C0000}"/>
    <cellStyle name="20% - Accent2 15 7 3" xfId="17053" xr:uid="{00000000-0005-0000-0000-0000770C0000}"/>
    <cellStyle name="20% - Accent2 15 8" xfId="1732" xr:uid="{00000000-0005-0000-0000-0000780C0000}"/>
    <cellStyle name="20% - Accent2 15 8 2" xfId="13103" xr:uid="{00000000-0005-0000-0000-0000790C0000}"/>
    <cellStyle name="20% - Accent2 15 8 3" xfId="17054" xr:uid="{00000000-0005-0000-0000-00007A0C0000}"/>
    <cellStyle name="20% - Accent2 15 9" xfId="13071" xr:uid="{00000000-0005-0000-0000-00007B0C0000}"/>
    <cellStyle name="20% - Accent2 15_Volatility" xfId="1733" xr:uid="{00000000-0005-0000-0000-00007C0C0000}"/>
    <cellStyle name="20% - Accent2 16" xfId="1734" xr:uid="{00000000-0005-0000-0000-00007D0C0000}"/>
    <cellStyle name="20% - Accent2 16 2" xfId="13104" xr:uid="{00000000-0005-0000-0000-00007E0C0000}"/>
    <cellStyle name="20% - Accent2 16 3" xfId="17055" xr:uid="{00000000-0005-0000-0000-00007F0C0000}"/>
    <cellStyle name="20% - Accent2 17" xfId="1735" xr:uid="{00000000-0005-0000-0000-0000800C0000}"/>
    <cellStyle name="20% - Accent2 17 2" xfId="13105" xr:uid="{00000000-0005-0000-0000-0000810C0000}"/>
    <cellStyle name="20% - Accent2 17 3" xfId="17056" xr:uid="{00000000-0005-0000-0000-0000820C0000}"/>
    <cellStyle name="20% - Accent2 18" xfId="1736" xr:uid="{00000000-0005-0000-0000-0000830C0000}"/>
    <cellStyle name="20% - Accent2 18 2" xfId="13106" xr:uid="{00000000-0005-0000-0000-0000840C0000}"/>
    <cellStyle name="20% - Accent2 18 3" xfId="17057" xr:uid="{00000000-0005-0000-0000-0000850C0000}"/>
    <cellStyle name="20% - Accent2 19" xfId="1737" xr:uid="{00000000-0005-0000-0000-0000860C0000}"/>
    <cellStyle name="20% - Accent2 19 2" xfId="13107" xr:uid="{00000000-0005-0000-0000-0000870C0000}"/>
    <cellStyle name="20% - Accent2 19 3" xfId="17058" xr:uid="{00000000-0005-0000-0000-0000880C0000}"/>
    <cellStyle name="20% - Accent2 2" xfId="1738" xr:uid="{00000000-0005-0000-0000-0000890C0000}"/>
    <cellStyle name="20% - Accent2 2 10" xfId="17059" xr:uid="{00000000-0005-0000-0000-00008A0C0000}"/>
    <cellStyle name="20% - Accent2 2 2" xfId="1739" xr:uid="{00000000-0005-0000-0000-00008B0C0000}"/>
    <cellStyle name="20% - Accent2 2 2 2" xfId="1740" xr:uid="{00000000-0005-0000-0000-00008C0C0000}"/>
    <cellStyle name="20% - Accent2 2 2 2 2" xfId="1741" xr:uid="{00000000-0005-0000-0000-00008D0C0000}"/>
    <cellStyle name="20% - Accent2 2 2 2 2 2" xfId="13111" xr:uid="{00000000-0005-0000-0000-00008E0C0000}"/>
    <cellStyle name="20% - Accent2 2 2 2 2 3" xfId="17062" xr:uid="{00000000-0005-0000-0000-00008F0C0000}"/>
    <cellStyle name="20% - Accent2 2 2 2 3" xfId="1742" xr:uid="{00000000-0005-0000-0000-0000900C0000}"/>
    <cellStyle name="20% - Accent2 2 2 2 3 2" xfId="13112" xr:uid="{00000000-0005-0000-0000-0000910C0000}"/>
    <cellStyle name="20% - Accent2 2 2 2 3 3" xfId="17063" xr:uid="{00000000-0005-0000-0000-0000920C0000}"/>
    <cellStyle name="20% - Accent2 2 2 2 4" xfId="13110" xr:uid="{00000000-0005-0000-0000-0000930C0000}"/>
    <cellStyle name="20% - Accent2 2 2 2 5" xfId="17061" xr:uid="{00000000-0005-0000-0000-0000940C0000}"/>
    <cellStyle name="20% - Accent2 2 2 3" xfId="1743" xr:uid="{00000000-0005-0000-0000-0000950C0000}"/>
    <cellStyle name="20% - Accent2 2 2 3 2" xfId="1744" xr:uid="{00000000-0005-0000-0000-0000960C0000}"/>
    <cellStyle name="20% - Accent2 2 2 3 2 2" xfId="13114" xr:uid="{00000000-0005-0000-0000-0000970C0000}"/>
    <cellStyle name="20% - Accent2 2 2 3 2 3" xfId="17065" xr:uid="{00000000-0005-0000-0000-0000980C0000}"/>
    <cellStyle name="20% - Accent2 2 2 3 3" xfId="1745" xr:uid="{00000000-0005-0000-0000-0000990C0000}"/>
    <cellStyle name="20% - Accent2 2 2 3 3 2" xfId="13115" xr:uid="{00000000-0005-0000-0000-00009A0C0000}"/>
    <cellStyle name="20% - Accent2 2 2 3 3 3" xfId="17066" xr:uid="{00000000-0005-0000-0000-00009B0C0000}"/>
    <cellStyle name="20% - Accent2 2 2 3 4" xfId="13113" xr:uid="{00000000-0005-0000-0000-00009C0C0000}"/>
    <cellStyle name="20% - Accent2 2 2 3 5" xfId="17064" xr:uid="{00000000-0005-0000-0000-00009D0C0000}"/>
    <cellStyle name="20% - Accent2 2 2 4" xfId="1746" xr:uid="{00000000-0005-0000-0000-00009E0C0000}"/>
    <cellStyle name="20% - Accent2 2 2 4 2" xfId="1747" xr:uid="{00000000-0005-0000-0000-00009F0C0000}"/>
    <cellStyle name="20% - Accent2 2 2 4 2 2" xfId="13117" xr:uid="{00000000-0005-0000-0000-0000A00C0000}"/>
    <cellStyle name="20% - Accent2 2 2 4 2 3" xfId="17068" xr:uid="{00000000-0005-0000-0000-0000A10C0000}"/>
    <cellStyle name="20% - Accent2 2 2 4 3" xfId="1748" xr:uid="{00000000-0005-0000-0000-0000A20C0000}"/>
    <cellStyle name="20% - Accent2 2 2 4 3 2" xfId="13118" xr:uid="{00000000-0005-0000-0000-0000A30C0000}"/>
    <cellStyle name="20% - Accent2 2 2 4 3 3" xfId="17069" xr:uid="{00000000-0005-0000-0000-0000A40C0000}"/>
    <cellStyle name="20% - Accent2 2 2 4 4" xfId="13116" xr:uid="{00000000-0005-0000-0000-0000A50C0000}"/>
    <cellStyle name="20% - Accent2 2 2 4 5" xfId="17067" xr:uid="{00000000-0005-0000-0000-0000A60C0000}"/>
    <cellStyle name="20% - Accent2 2 2 5" xfId="1749" xr:uid="{00000000-0005-0000-0000-0000A70C0000}"/>
    <cellStyle name="20% - Accent2 2 2 5 2" xfId="13119" xr:uid="{00000000-0005-0000-0000-0000A80C0000}"/>
    <cellStyle name="20% - Accent2 2 2 5 3" xfId="17070" xr:uid="{00000000-0005-0000-0000-0000A90C0000}"/>
    <cellStyle name="20% - Accent2 2 2 6" xfId="1750" xr:uid="{00000000-0005-0000-0000-0000AA0C0000}"/>
    <cellStyle name="20% - Accent2 2 2 6 2" xfId="13120" xr:uid="{00000000-0005-0000-0000-0000AB0C0000}"/>
    <cellStyle name="20% - Accent2 2 2 6 3" xfId="17071" xr:uid="{00000000-0005-0000-0000-0000AC0C0000}"/>
    <cellStyle name="20% - Accent2 2 2 7" xfId="13109" xr:uid="{00000000-0005-0000-0000-0000AD0C0000}"/>
    <cellStyle name="20% - Accent2 2 2 8" xfId="17060" xr:uid="{00000000-0005-0000-0000-0000AE0C0000}"/>
    <cellStyle name="20% - Accent2 2 2_Volatility" xfId="1751" xr:uid="{00000000-0005-0000-0000-0000AF0C0000}"/>
    <cellStyle name="20% - Accent2 2 3" xfId="1752" xr:uid="{00000000-0005-0000-0000-0000B00C0000}"/>
    <cellStyle name="20% - Accent2 2 3 2" xfId="1753" xr:uid="{00000000-0005-0000-0000-0000B10C0000}"/>
    <cellStyle name="20% - Accent2 2 3 2 2" xfId="1754" xr:uid="{00000000-0005-0000-0000-0000B20C0000}"/>
    <cellStyle name="20% - Accent2 2 3 2 2 2" xfId="13123" xr:uid="{00000000-0005-0000-0000-0000B30C0000}"/>
    <cellStyle name="20% - Accent2 2 3 2 2 3" xfId="17074" xr:uid="{00000000-0005-0000-0000-0000B40C0000}"/>
    <cellStyle name="20% - Accent2 2 3 2 3" xfId="1755" xr:uid="{00000000-0005-0000-0000-0000B50C0000}"/>
    <cellStyle name="20% - Accent2 2 3 2 3 2" xfId="13124" xr:uid="{00000000-0005-0000-0000-0000B60C0000}"/>
    <cellStyle name="20% - Accent2 2 3 2 3 3" xfId="17075" xr:uid="{00000000-0005-0000-0000-0000B70C0000}"/>
    <cellStyle name="20% - Accent2 2 3 2 4" xfId="13122" xr:uid="{00000000-0005-0000-0000-0000B80C0000}"/>
    <cellStyle name="20% - Accent2 2 3 2 5" xfId="17073" xr:uid="{00000000-0005-0000-0000-0000B90C0000}"/>
    <cellStyle name="20% - Accent2 2 3 3" xfId="1756" xr:uid="{00000000-0005-0000-0000-0000BA0C0000}"/>
    <cellStyle name="20% - Accent2 2 3 3 2" xfId="1757" xr:uid="{00000000-0005-0000-0000-0000BB0C0000}"/>
    <cellStyle name="20% - Accent2 2 3 3 2 2" xfId="13126" xr:uid="{00000000-0005-0000-0000-0000BC0C0000}"/>
    <cellStyle name="20% - Accent2 2 3 3 2 3" xfId="17077" xr:uid="{00000000-0005-0000-0000-0000BD0C0000}"/>
    <cellStyle name="20% - Accent2 2 3 3 3" xfId="1758" xr:uid="{00000000-0005-0000-0000-0000BE0C0000}"/>
    <cellStyle name="20% - Accent2 2 3 3 3 2" xfId="13127" xr:uid="{00000000-0005-0000-0000-0000BF0C0000}"/>
    <cellStyle name="20% - Accent2 2 3 3 3 3" xfId="17078" xr:uid="{00000000-0005-0000-0000-0000C00C0000}"/>
    <cellStyle name="20% - Accent2 2 3 3 4" xfId="13125" xr:uid="{00000000-0005-0000-0000-0000C10C0000}"/>
    <cellStyle name="20% - Accent2 2 3 3 5" xfId="17076" xr:uid="{00000000-0005-0000-0000-0000C20C0000}"/>
    <cellStyle name="20% - Accent2 2 3 4" xfId="1759" xr:uid="{00000000-0005-0000-0000-0000C30C0000}"/>
    <cellStyle name="20% - Accent2 2 3 4 2" xfId="13128" xr:uid="{00000000-0005-0000-0000-0000C40C0000}"/>
    <cellStyle name="20% - Accent2 2 3 4 3" xfId="17079" xr:uid="{00000000-0005-0000-0000-0000C50C0000}"/>
    <cellStyle name="20% - Accent2 2 3 5" xfId="1760" xr:uid="{00000000-0005-0000-0000-0000C60C0000}"/>
    <cellStyle name="20% - Accent2 2 3 5 2" xfId="13129" xr:uid="{00000000-0005-0000-0000-0000C70C0000}"/>
    <cellStyle name="20% - Accent2 2 3 5 3" xfId="17080" xr:uid="{00000000-0005-0000-0000-0000C80C0000}"/>
    <cellStyle name="20% - Accent2 2 3 6" xfId="13121" xr:uid="{00000000-0005-0000-0000-0000C90C0000}"/>
    <cellStyle name="20% - Accent2 2 3 7" xfId="17072" xr:uid="{00000000-0005-0000-0000-0000CA0C0000}"/>
    <cellStyle name="20% - Accent2 2 3_Volatility" xfId="1761" xr:uid="{00000000-0005-0000-0000-0000CB0C0000}"/>
    <cellStyle name="20% - Accent2 2 4" xfId="1762" xr:uid="{00000000-0005-0000-0000-0000CC0C0000}"/>
    <cellStyle name="20% - Accent2 2 4 2" xfId="1763" xr:uid="{00000000-0005-0000-0000-0000CD0C0000}"/>
    <cellStyle name="20% - Accent2 2 4 2 2" xfId="13131" xr:uid="{00000000-0005-0000-0000-0000CE0C0000}"/>
    <cellStyle name="20% - Accent2 2 4 2 3" xfId="17082" xr:uid="{00000000-0005-0000-0000-0000CF0C0000}"/>
    <cellStyle name="20% - Accent2 2 4 3" xfId="1764" xr:uid="{00000000-0005-0000-0000-0000D00C0000}"/>
    <cellStyle name="20% - Accent2 2 4 3 2" xfId="13132" xr:uid="{00000000-0005-0000-0000-0000D10C0000}"/>
    <cellStyle name="20% - Accent2 2 4 3 3" xfId="17083" xr:uid="{00000000-0005-0000-0000-0000D20C0000}"/>
    <cellStyle name="20% - Accent2 2 4 4" xfId="13130" xr:uid="{00000000-0005-0000-0000-0000D30C0000}"/>
    <cellStyle name="20% - Accent2 2 4 5" xfId="17081" xr:uid="{00000000-0005-0000-0000-0000D40C0000}"/>
    <cellStyle name="20% - Accent2 2 5" xfId="1765" xr:uid="{00000000-0005-0000-0000-0000D50C0000}"/>
    <cellStyle name="20% - Accent2 2 5 2" xfId="1766" xr:uid="{00000000-0005-0000-0000-0000D60C0000}"/>
    <cellStyle name="20% - Accent2 2 5 2 2" xfId="13134" xr:uid="{00000000-0005-0000-0000-0000D70C0000}"/>
    <cellStyle name="20% - Accent2 2 5 2 3" xfId="17085" xr:uid="{00000000-0005-0000-0000-0000D80C0000}"/>
    <cellStyle name="20% - Accent2 2 5 3" xfId="1767" xr:uid="{00000000-0005-0000-0000-0000D90C0000}"/>
    <cellStyle name="20% - Accent2 2 5 3 2" xfId="13135" xr:uid="{00000000-0005-0000-0000-0000DA0C0000}"/>
    <cellStyle name="20% - Accent2 2 5 3 3" xfId="17086" xr:uid="{00000000-0005-0000-0000-0000DB0C0000}"/>
    <cellStyle name="20% - Accent2 2 5 4" xfId="13133" xr:uid="{00000000-0005-0000-0000-0000DC0C0000}"/>
    <cellStyle name="20% - Accent2 2 5 5" xfId="17084" xr:uid="{00000000-0005-0000-0000-0000DD0C0000}"/>
    <cellStyle name="20% - Accent2 2 6" xfId="1768" xr:uid="{00000000-0005-0000-0000-0000DE0C0000}"/>
    <cellStyle name="20% - Accent2 2 6 2" xfId="1769" xr:uid="{00000000-0005-0000-0000-0000DF0C0000}"/>
    <cellStyle name="20% - Accent2 2 6 2 2" xfId="13137" xr:uid="{00000000-0005-0000-0000-0000E00C0000}"/>
    <cellStyle name="20% - Accent2 2 6 2 3" xfId="17088" xr:uid="{00000000-0005-0000-0000-0000E10C0000}"/>
    <cellStyle name="20% - Accent2 2 6 3" xfId="1770" xr:uid="{00000000-0005-0000-0000-0000E20C0000}"/>
    <cellStyle name="20% - Accent2 2 6 3 2" xfId="13138" xr:uid="{00000000-0005-0000-0000-0000E30C0000}"/>
    <cellStyle name="20% - Accent2 2 6 3 3" xfId="17089" xr:uid="{00000000-0005-0000-0000-0000E40C0000}"/>
    <cellStyle name="20% - Accent2 2 6 4" xfId="13136" xr:uid="{00000000-0005-0000-0000-0000E50C0000}"/>
    <cellStyle name="20% - Accent2 2 6 5" xfId="17087" xr:uid="{00000000-0005-0000-0000-0000E60C0000}"/>
    <cellStyle name="20% - Accent2 2 7" xfId="1771" xr:uid="{00000000-0005-0000-0000-0000E70C0000}"/>
    <cellStyle name="20% - Accent2 2 7 2" xfId="13139" xr:uid="{00000000-0005-0000-0000-0000E80C0000}"/>
    <cellStyle name="20% - Accent2 2 7 3" xfId="17090" xr:uid="{00000000-0005-0000-0000-0000E90C0000}"/>
    <cellStyle name="20% - Accent2 2 8" xfId="1772" xr:uid="{00000000-0005-0000-0000-0000EA0C0000}"/>
    <cellStyle name="20% - Accent2 2 8 2" xfId="13140" xr:uid="{00000000-0005-0000-0000-0000EB0C0000}"/>
    <cellStyle name="20% - Accent2 2 8 3" xfId="17091" xr:uid="{00000000-0005-0000-0000-0000EC0C0000}"/>
    <cellStyle name="20% - Accent2 2 9" xfId="13108" xr:uid="{00000000-0005-0000-0000-0000ED0C0000}"/>
    <cellStyle name="20% - Accent2 2_Volatility" xfId="1773" xr:uid="{00000000-0005-0000-0000-0000EE0C0000}"/>
    <cellStyle name="20% - Accent2 3" xfId="1774" xr:uid="{00000000-0005-0000-0000-0000EF0C0000}"/>
    <cellStyle name="20% - Accent2 3 10" xfId="17092" xr:uid="{00000000-0005-0000-0000-0000F00C0000}"/>
    <cellStyle name="20% - Accent2 3 2" xfId="1775" xr:uid="{00000000-0005-0000-0000-0000F10C0000}"/>
    <cellStyle name="20% - Accent2 3 2 2" xfId="1776" xr:uid="{00000000-0005-0000-0000-0000F20C0000}"/>
    <cellStyle name="20% - Accent2 3 2 2 2" xfId="1777" xr:uid="{00000000-0005-0000-0000-0000F30C0000}"/>
    <cellStyle name="20% - Accent2 3 2 2 2 2" xfId="13144" xr:uid="{00000000-0005-0000-0000-0000F40C0000}"/>
    <cellStyle name="20% - Accent2 3 2 2 2 3" xfId="17095" xr:uid="{00000000-0005-0000-0000-0000F50C0000}"/>
    <cellStyle name="20% - Accent2 3 2 2 3" xfId="1778" xr:uid="{00000000-0005-0000-0000-0000F60C0000}"/>
    <cellStyle name="20% - Accent2 3 2 2 3 2" xfId="13145" xr:uid="{00000000-0005-0000-0000-0000F70C0000}"/>
    <cellStyle name="20% - Accent2 3 2 2 3 3" xfId="17096" xr:uid="{00000000-0005-0000-0000-0000F80C0000}"/>
    <cellStyle name="20% - Accent2 3 2 2 4" xfId="13143" xr:uid="{00000000-0005-0000-0000-0000F90C0000}"/>
    <cellStyle name="20% - Accent2 3 2 2 5" xfId="17094" xr:uid="{00000000-0005-0000-0000-0000FA0C0000}"/>
    <cellStyle name="20% - Accent2 3 2 3" xfId="1779" xr:uid="{00000000-0005-0000-0000-0000FB0C0000}"/>
    <cellStyle name="20% - Accent2 3 2 3 2" xfId="1780" xr:uid="{00000000-0005-0000-0000-0000FC0C0000}"/>
    <cellStyle name="20% - Accent2 3 2 3 2 2" xfId="13147" xr:uid="{00000000-0005-0000-0000-0000FD0C0000}"/>
    <cellStyle name="20% - Accent2 3 2 3 2 3" xfId="17098" xr:uid="{00000000-0005-0000-0000-0000FE0C0000}"/>
    <cellStyle name="20% - Accent2 3 2 3 3" xfId="1781" xr:uid="{00000000-0005-0000-0000-0000FF0C0000}"/>
    <cellStyle name="20% - Accent2 3 2 3 3 2" xfId="13148" xr:uid="{00000000-0005-0000-0000-0000000D0000}"/>
    <cellStyle name="20% - Accent2 3 2 3 3 3" xfId="17099" xr:uid="{00000000-0005-0000-0000-0000010D0000}"/>
    <cellStyle name="20% - Accent2 3 2 3 4" xfId="13146" xr:uid="{00000000-0005-0000-0000-0000020D0000}"/>
    <cellStyle name="20% - Accent2 3 2 3 5" xfId="17097" xr:uid="{00000000-0005-0000-0000-0000030D0000}"/>
    <cellStyle name="20% - Accent2 3 2 4" xfId="1782" xr:uid="{00000000-0005-0000-0000-0000040D0000}"/>
    <cellStyle name="20% - Accent2 3 2 4 2" xfId="1783" xr:uid="{00000000-0005-0000-0000-0000050D0000}"/>
    <cellStyle name="20% - Accent2 3 2 4 2 2" xfId="13150" xr:uid="{00000000-0005-0000-0000-0000060D0000}"/>
    <cellStyle name="20% - Accent2 3 2 4 2 3" xfId="17101" xr:uid="{00000000-0005-0000-0000-0000070D0000}"/>
    <cellStyle name="20% - Accent2 3 2 4 3" xfId="1784" xr:uid="{00000000-0005-0000-0000-0000080D0000}"/>
    <cellStyle name="20% - Accent2 3 2 4 3 2" xfId="13151" xr:uid="{00000000-0005-0000-0000-0000090D0000}"/>
    <cellStyle name="20% - Accent2 3 2 4 3 3" xfId="17102" xr:uid="{00000000-0005-0000-0000-00000A0D0000}"/>
    <cellStyle name="20% - Accent2 3 2 4 4" xfId="13149" xr:uid="{00000000-0005-0000-0000-00000B0D0000}"/>
    <cellStyle name="20% - Accent2 3 2 4 5" xfId="17100" xr:uid="{00000000-0005-0000-0000-00000C0D0000}"/>
    <cellStyle name="20% - Accent2 3 2 5" xfId="1785" xr:uid="{00000000-0005-0000-0000-00000D0D0000}"/>
    <cellStyle name="20% - Accent2 3 2 5 2" xfId="13152" xr:uid="{00000000-0005-0000-0000-00000E0D0000}"/>
    <cellStyle name="20% - Accent2 3 2 5 3" xfId="17103" xr:uid="{00000000-0005-0000-0000-00000F0D0000}"/>
    <cellStyle name="20% - Accent2 3 2 6" xfId="1786" xr:uid="{00000000-0005-0000-0000-0000100D0000}"/>
    <cellStyle name="20% - Accent2 3 2 6 2" xfId="13153" xr:uid="{00000000-0005-0000-0000-0000110D0000}"/>
    <cellStyle name="20% - Accent2 3 2 6 3" xfId="17104" xr:uid="{00000000-0005-0000-0000-0000120D0000}"/>
    <cellStyle name="20% - Accent2 3 2 7" xfId="13142" xr:uid="{00000000-0005-0000-0000-0000130D0000}"/>
    <cellStyle name="20% - Accent2 3 2 8" xfId="17093" xr:uid="{00000000-0005-0000-0000-0000140D0000}"/>
    <cellStyle name="20% - Accent2 3 2_Volatility" xfId="1787" xr:uid="{00000000-0005-0000-0000-0000150D0000}"/>
    <cellStyle name="20% - Accent2 3 3" xfId="1788" xr:uid="{00000000-0005-0000-0000-0000160D0000}"/>
    <cellStyle name="20% - Accent2 3 3 2" xfId="1789" xr:uid="{00000000-0005-0000-0000-0000170D0000}"/>
    <cellStyle name="20% - Accent2 3 3 2 2" xfId="1790" xr:uid="{00000000-0005-0000-0000-0000180D0000}"/>
    <cellStyle name="20% - Accent2 3 3 2 2 2" xfId="13156" xr:uid="{00000000-0005-0000-0000-0000190D0000}"/>
    <cellStyle name="20% - Accent2 3 3 2 2 3" xfId="17107" xr:uid="{00000000-0005-0000-0000-00001A0D0000}"/>
    <cellStyle name="20% - Accent2 3 3 2 3" xfId="1791" xr:uid="{00000000-0005-0000-0000-00001B0D0000}"/>
    <cellStyle name="20% - Accent2 3 3 2 3 2" xfId="13157" xr:uid="{00000000-0005-0000-0000-00001C0D0000}"/>
    <cellStyle name="20% - Accent2 3 3 2 3 3" xfId="17108" xr:uid="{00000000-0005-0000-0000-00001D0D0000}"/>
    <cellStyle name="20% - Accent2 3 3 2 4" xfId="13155" xr:uid="{00000000-0005-0000-0000-00001E0D0000}"/>
    <cellStyle name="20% - Accent2 3 3 2 5" xfId="17106" xr:uid="{00000000-0005-0000-0000-00001F0D0000}"/>
    <cellStyle name="20% - Accent2 3 3 3" xfId="1792" xr:uid="{00000000-0005-0000-0000-0000200D0000}"/>
    <cellStyle name="20% - Accent2 3 3 3 2" xfId="1793" xr:uid="{00000000-0005-0000-0000-0000210D0000}"/>
    <cellStyle name="20% - Accent2 3 3 3 2 2" xfId="13159" xr:uid="{00000000-0005-0000-0000-0000220D0000}"/>
    <cellStyle name="20% - Accent2 3 3 3 2 3" xfId="17110" xr:uid="{00000000-0005-0000-0000-0000230D0000}"/>
    <cellStyle name="20% - Accent2 3 3 3 3" xfId="1794" xr:uid="{00000000-0005-0000-0000-0000240D0000}"/>
    <cellStyle name="20% - Accent2 3 3 3 3 2" xfId="13160" xr:uid="{00000000-0005-0000-0000-0000250D0000}"/>
    <cellStyle name="20% - Accent2 3 3 3 3 3" xfId="17111" xr:uid="{00000000-0005-0000-0000-0000260D0000}"/>
    <cellStyle name="20% - Accent2 3 3 3 4" xfId="13158" xr:uid="{00000000-0005-0000-0000-0000270D0000}"/>
    <cellStyle name="20% - Accent2 3 3 3 5" xfId="17109" xr:uid="{00000000-0005-0000-0000-0000280D0000}"/>
    <cellStyle name="20% - Accent2 3 3 4" xfId="1795" xr:uid="{00000000-0005-0000-0000-0000290D0000}"/>
    <cellStyle name="20% - Accent2 3 3 4 2" xfId="13161" xr:uid="{00000000-0005-0000-0000-00002A0D0000}"/>
    <cellStyle name="20% - Accent2 3 3 4 3" xfId="17112" xr:uid="{00000000-0005-0000-0000-00002B0D0000}"/>
    <cellStyle name="20% - Accent2 3 3 5" xfId="1796" xr:uid="{00000000-0005-0000-0000-00002C0D0000}"/>
    <cellStyle name="20% - Accent2 3 3 5 2" xfId="13162" xr:uid="{00000000-0005-0000-0000-00002D0D0000}"/>
    <cellStyle name="20% - Accent2 3 3 5 3" xfId="17113" xr:uid="{00000000-0005-0000-0000-00002E0D0000}"/>
    <cellStyle name="20% - Accent2 3 3 6" xfId="13154" xr:uid="{00000000-0005-0000-0000-00002F0D0000}"/>
    <cellStyle name="20% - Accent2 3 3 7" xfId="17105" xr:uid="{00000000-0005-0000-0000-0000300D0000}"/>
    <cellStyle name="20% - Accent2 3 3_Volatility" xfId="1797" xr:uid="{00000000-0005-0000-0000-0000310D0000}"/>
    <cellStyle name="20% - Accent2 3 4" xfId="1798" xr:uid="{00000000-0005-0000-0000-0000320D0000}"/>
    <cellStyle name="20% - Accent2 3 4 2" xfId="1799" xr:uid="{00000000-0005-0000-0000-0000330D0000}"/>
    <cellStyle name="20% - Accent2 3 4 2 2" xfId="13164" xr:uid="{00000000-0005-0000-0000-0000340D0000}"/>
    <cellStyle name="20% - Accent2 3 4 2 3" xfId="17115" xr:uid="{00000000-0005-0000-0000-0000350D0000}"/>
    <cellStyle name="20% - Accent2 3 4 3" xfId="1800" xr:uid="{00000000-0005-0000-0000-0000360D0000}"/>
    <cellStyle name="20% - Accent2 3 4 3 2" xfId="13165" xr:uid="{00000000-0005-0000-0000-0000370D0000}"/>
    <cellStyle name="20% - Accent2 3 4 3 3" xfId="17116" xr:uid="{00000000-0005-0000-0000-0000380D0000}"/>
    <cellStyle name="20% - Accent2 3 4 4" xfId="13163" xr:uid="{00000000-0005-0000-0000-0000390D0000}"/>
    <cellStyle name="20% - Accent2 3 4 5" xfId="17114" xr:uid="{00000000-0005-0000-0000-00003A0D0000}"/>
    <cellStyle name="20% - Accent2 3 5" xfId="1801" xr:uid="{00000000-0005-0000-0000-00003B0D0000}"/>
    <cellStyle name="20% - Accent2 3 5 2" xfId="1802" xr:uid="{00000000-0005-0000-0000-00003C0D0000}"/>
    <cellStyle name="20% - Accent2 3 5 2 2" xfId="13167" xr:uid="{00000000-0005-0000-0000-00003D0D0000}"/>
    <cellStyle name="20% - Accent2 3 5 2 3" xfId="17118" xr:uid="{00000000-0005-0000-0000-00003E0D0000}"/>
    <cellStyle name="20% - Accent2 3 5 3" xfId="1803" xr:uid="{00000000-0005-0000-0000-00003F0D0000}"/>
    <cellStyle name="20% - Accent2 3 5 3 2" xfId="13168" xr:uid="{00000000-0005-0000-0000-0000400D0000}"/>
    <cellStyle name="20% - Accent2 3 5 3 3" xfId="17119" xr:uid="{00000000-0005-0000-0000-0000410D0000}"/>
    <cellStyle name="20% - Accent2 3 5 4" xfId="13166" xr:uid="{00000000-0005-0000-0000-0000420D0000}"/>
    <cellStyle name="20% - Accent2 3 5 5" xfId="17117" xr:uid="{00000000-0005-0000-0000-0000430D0000}"/>
    <cellStyle name="20% - Accent2 3 6" xfId="1804" xr:uid="{00000000-0005-0000-0000-0000440D0000}"/>
    <cellStyle name="20% - Accent2 3 6 2" xfId="1805" xr:uid="{00000000-0005-0000-0000-0000450D0000}"/>
    <cellStyle name="20% - Accent2 3 6 2 2" xfId="13170" xr:uid="{00000000-0005-0000-0000-0000460D0000}"/>
    <cellStyle name="20% - Accent2 3 6 2 3" xfId="17121" xr:uid="{00000000-0005-0000-0000-0000470D0000}"/>
    <cellStyle name="20% - Accent2 3 6 3" xfId="1806" xr:uid="{00000000-0005-0000-0000-0000480D0000}"/>
    <cellStyle name="20% - Accent2 3 6 3 2" xfId="13171" xr:uid="{00000000-0005-0000-0000-0000490D0000}"/>
    <cellStyle name="20% - Accent2 3 6 3 3" xfId="17122" xr:uid="{00000000-0005-0000-0000-00004A0D0000}"/>
    <cellStyle name="20% - Accent2 3 6 4" xfId="13169" xr:uid="{00000000-0005-0000-0000-00004B0D0000}"/>
    <cellStyle name="20% - Accent2 3 6 5" xfId="17120" xr:uid="{00000000-0005-0000-0000-00004C0D0000}"/>
    <cellStyle name="20% - Accent2 3 7" xfId="1807" xr:uid="{00000000-0005-0000-0000-00004D0D0000}"/>
    <cellStyle name="20% - Accent2 3 7 2" xfId="13172" xr:uid="{00000000-0005-0000-0000-00004E0D0000}"/>
    <cellStyle name="20% - Accent2 3 7 3" xfId="17123" xr:uid="{00000000-0005-0000-0000-00004F0D0000}"/>
    <cellStyle name="20% - Accent2 3 8" xfId="1808" xr:uid="{00000000-0005-0000-0000-0000500D0000}"/>
    <cellStyle name="20% - Accent2 3 8 2" xfId="13173" xr:uid="{00000000-0005-0000-0000-0000510D0000}"/>
    <cellStyle name="20% - Accent2 3 8 3" xfId="17124" xr:uid="{00000000-0005-0000-0000-0000520D0000}"/>
    <cellStyle name="20% - Accent2 3 9" xfId="13141" xr:uid="{00000000-0005-0000-0000-0000530D0000}"/>
    <cellStyle name="20% - Accent2 3_Volatility" xfId="1809" xr:uid="{00000000-0005-0000-0000-0000540D0000}"/>
    <cellStyle name="20% - Accent2 4" xfId="1810" xr:uid="{00000000-0005-0000-0000-0000550D0000}"/>
    <cellStyle name="20% - Accent2 4 10" xfId="17125" xr:uid="{00000000-0005-0000-0000-0000560D0000}"/>
    <cellStyle name="20% - Accent2 4 2" xfId="1811" xr:uid="{00000000-0005-0000-0000-0000570D0000}"/>
    <cellStyle name="20% - Accent2 4 2 2" xfId="1812" xr:uid="{00000000-0005-0000-0000-0000580D0000}"/>
    <cellStyle name="20% - Accent2 4 2 2 2" xfId="1813" xr:uid="{00000000-0005-0000-0000-0000590D0000}"/>
    <cellStyle name="20% - Accent2 4 2 2 2 2" xfId="13177" xr:uid="{00000000-0005-0000-0000-00005A0D0000}"/>
    <cellStyle name="20% - Accent2 4 2 2 2 3" xfId="17128" xr:uid="{00000000-0005-0000-0000-00005B0D0000}"/>
    <cellStyle name="20% - Accent2 4 2 2 3" xfId="1814" xr:uid="{00000000-0005-0000-0000-00005C0D0000}"/>
    <cellStyle name="20% - Accent2 4 2 2 3 2" xfId="13178" xr:uid="{00000000-0005-0000-0000-00005D0D0000}"/>
    <cellStyle name="20% - Accent2 4 2 2 3 3" xfId="17129" xr:uid="{00000000-0005-0000-0000-00005E0D0000}"/>
    <cellStyle name="20% - Accent2 4 2 2 4" xfId="13176" xr:uid="{00000000-0005-0000-0000-00005F0D0000}"/>
    <cellStyle name="20% - Accent2 4 2 2 5" xfId="17127" xr:uid="{00000000-0005-0000-0000-0000600D0000}"/>
    <cellStyle name="20% - Accent2 4 2 3" xfId="1815" xr:uid="{00000000-0005-0000-0000-0000610D0000}"/>
    <cellStyle name="20% - Accent2 4 2 3 2" xfId="1816" xr:uid="{00000000-0005-0000-0000-0000620D0000}"/>
    <cellStyle name="20% - Accent2 4 2 3 2 2" xfId="13180" xr:uid="{00000000-0005-0000-0000-0000630D0000}"/>
    <cellStyle name="20% - Accent2 4 2 3 2 3" xfId="17131" xr:uid="{00000000-0005-0000-0000-0000640D0000}"/>
    <cellStyle name="20% - Accent2 4 2 3 3" xfId="1817" xr:uid="{00000000-0005-0000-0000-0000650D0000}"/>
    <cellStyle name="20% - Accent2 4 2 3 3 2" xfId="13181" xr:uid="{00000000-0005-0000-0000-0000660D0000}"/>
    <cellStyle name="20% - Accent2 4 2 3 3 3" xfId="17132" xr:uid="{00000000-0005-0000-0000-0000670D0000}"/>
    <cellStyle name="20% - Accent2 4 2 3 4" xfId="13179" xr:uid="{00000000-0005-0000-0000-0000680D0000}"/>
    <cellStyle name="20% - Accent2 4 2 3 5" xfId="17130" xr:uid="{00000000-0005-0000-0000-0000690D0000}"/>
    <cellStyle name="20% - Accent2 4 2 4" xfId="1818" xr:uid="{00000000-0005-0000-0000-00006A0D0000}"/>
    <cellStyle name="20% - Accent2 4 2 4 2" xfId="1819" xr:uid="{00000000-0005-0000-0000-00006B0D0000}"/>
    <cellStyle name="20% - Accent2 4 2 4 2 2" xfId="13183" xr:uid="{00000000-0005-0000-0000-00006C0D0000}"/>
    <cellStyle name="20% - Accent2 4 2 4 2 3" xfId="17134" xr:uid="{00000000-0005-0000-0000-00006D0D0000}"/>
    <cellStyle name="20% - Accent2 4 2 4 3" xfId="1820" xr:uid="{00000000-0005-0000-0000-00006E0D0000}"/>
    <cellStyle name="20% - Accent2 4 2 4 3 2" xfId="13184" xr:uid="{00000000-0005-0000-0000-00006F0D0000}"/>
    <cellStyle name="20% - Accent2 4 2 4 3 3" xfId="17135" xr:uid="{00000000-0005-0000-0000-0000700D0000}"/>
    <cellStyle name="20% - Accent2 4 2 4 4" xfId="13182" xr:uid="{00000000-0005-0000-0000-0000710D0000}"/>
    <cellStyle name="20% - Accent2 4 2 4 5" xfId="17133" xr:uid="{00000000-0005-0000-0000-0000720D0000}"/>
    <cellStyle name="20% - Accent2 4 2 5" xfId="1821" xr:uid="{00000000-0005-0000-0000-0000730D0000}"/>
    <cellStyle name="20% - Accent2 4 2 5 2" xfId="13185" xr:uid="{00000000-0005-0000-0000-0000740D0000}"/>
    <cellStyle name="20% - Accent2 4 2 5 3" xfId="17136" xr:uid="{00000000-0005-0000-0000-0000750D0000}"/>
    <cellStyle name="20% - Accent2 4 2 6" xfId="1822" xr:uid="{00000000-0005-0000-0000-0000760D0000}"/>
    <cellStyle name="20% - Accent2 4 2 6 2" xfId="13186" xr:uid="{00000000-0005-0000-0000-0000770D0000}"/>
    <cellStyle name="20% - Accent2 4 2 6 3" xfId="17137" xr:uid="{00000000-0005-0000-0000-0000780D0000}"/>
    <cellStyle name="20% - Accent2 4 2 7" xfId="13175" xr:uid="{00000000-0005-0000-0000-0000790D0000}"/>
    <cellStyle name="20% - Accent2 4 2 8" xfId="17126" xr:uid="{00000000-0005-0000-0000-00007A0D0000}"/>
    <cellStyle name="20% - Accent2 4 2_Volatility" xfId="1823" xr:uid="{00000000-0005-0000-0000-00007B0D0000}"/>
    <cellStyle name="20% - Accent2 4 3" xfId="1824" xr:uid="{00000000-0005-0000-0000-00007C0D0000}"/>
    <cellStyle name="20% - Accent2 4 3 2" xfId="1825" xr:uid="{00000000-0005-0000-0000-00007D0D0000}"/>
    <cellStyle name="20% - Accent2 4 3 2 2" xfId="1826" xr:uid="{00000000-0005-0000-0000-00007E0D0000}"/>
    <cellStyle name="20% - Accent2 4 3 2 2 2" xfId="13189" xr:uid="{00000000-0005-0000-0000-00007F0D0000}"/>
    <cellStyle name="20% - Accent2 4 3 2 2 3" xfId="17140" xr:uid="{00000000-0005-0000-0000-0000800D0000}"/>
    <cellStyle name="20% - Accent2 4 3 2 3" xfId="1827" xr:uid="{00000000-0005-0000-0000-0000810D0000}"/>
    <cellStyle name="20% - Accent2 4 3 2 3 2" xfId="13190" xr:uid="{00000000-0005-0000-0000-0000820D0000}"/>
    <cellStyle name="20% - Accent2 4 3 2 3 3" xfId="17141" xr:uid="{00000000-0005-0000-0000-0000830D0000}"/>
    <cellStyle name="20% - Accent2 4 3 2 4" xfId="13188" xr:uid="{00000000-0005-0000-0000-0000840D0000}"/>
    <cellStyle name="20% - Accent2 4 3 2 5" xfId="17139" xr:uid="{00000000-0005-0000-0000-0000850D0000}"/>
    <cellStyle name="20% - Accent2 4 3 3" xfId="1828" xr:uid="{00000000-0005-0000-0000-0000860D0000}"/>
    <cellStyle name="20% - Accent2 4 3 3 2" xfId="1829" xr:uid="{00000000-0005-0000-0000-0000870D0000}"/>
    <cellStyle name="20% - Accent2 4 3 3 2 2" xfId="13192" xr:uid="{00000000-0005-0000-0000-0000880D0000}"/>
    <cellStyle name="20% - Accent2 4 3 3 2 3" xfId="17143" xr:uid="{00000000-0005-0000-0000-0000890D0000}"/>
    <cellStyle name="20% - Accent2 4 3 3 3" xfId="1830" xr:uid="{00000000-0005-0000-0000-00008A0D0000}"/>
    <cellStyle name="20% - Accent2 4 3 3 3 2" xfId="13193" xr:uid="{00000000-0005-0000-0000-00008B0D0000}"/>
    <cellStyle name="20% - Accent2 4 3 3 3 3" xfId="17144" xr:uid="{00000000-0005-0000-0000-00008C0D0000}"/>
    <cellStyle name="20% - Accent2 4 3 3 4" xfId="13191" xr:uid="{00000000-0005-0000-0000-00008D0D0000}"/>
    <cellStyle name="20% - Accent2 4 3 3 5" xfId="17142" xr:uid="{00000000-0005-0000-0000-00008E0D0000}"/>
    <cellStyle name="20% - Accent2 4 3 4" xfId="1831" xr:uid="{00000000-0005-0000-0000-00008F0D0000}"/>
    <cellStyle name="20% - Accent2 4 3 4 2" xfId="13194" xr:uid="{00000000-0005-0000-0000-0000900D0000}"/>
    <cellStyle name="20% - Accent2 4 3 4 3" xfId="17145" xr:uid="{00000000-0005-0000-0000-0000910D0000}"/>
    <cellStyle name="20% - Accent2 4 3 5" xfId="1832" xr:uid="{00000000-0005-0000-0000-0000920D0000}"/>
    <cellStyle name="20% - Accent2 4 3 5 2" xfId="13195" xr:uid="{00000000-0005-0000-0000-0000930D0000}"/>
    <cellStyle name="20% - Accent2 4 3 5 3" xfId="17146" xr:uid="{00000000-0005-0000-0000-0000940D0000}"/>
    <cellStyle name="20% - Accent2 4 3 6" xfId="13187" xr:uid="{00000000-0005-0000-0000-0000950D0000}"/>
    <cellStyle name="20% - Accent2 4 3 7" xfId="17138" xr:uid="{00000000-0005-0000-0000-0000960D0000}"/>
    <cellStyle name="20% - Accent2 4 3_Volatility" xfId="1833" xr:uid="{00000000-0005-0000-0000-0000970D0000}"/>
    <cellStyle name="20% - Accent2 4 4" xfId="1834" xr:uid="{00000000-0005-0000-0000-0000980D0000}"/>
    <cellStyle name="20% - Accent2 4 4 2" xfId="1835" xr:uid="{00000000-0005-0000-0000-0000990D0000}"/>
    <cellStyle name="20% - Accent2 4 4 2 2" xfId="13197" xr:uid="{00000000-0005-0000-0000-00009A0D0000}"/>
    <cellStyle name="20% - Accent2 4 4 2 3" xfId="17148" xr:uid="{00000000-0005-0000-0000-00009B0D0000}"/>
    <cellStyle name="20% - Accent2 4 4 3" xfId="1836" xr:uid="{00000000-0005-0000-0000-00009C0D0000}"/>
    <cellStyle name="20% - Accent2 4 4 3 2" xfId="13198" xr:uid="{00000000-0005-0000-0000-00009D0D0000}"/>
    <cellStyle name="20% - Accent2 4 4 3 3" xfId="17149" xr:uid="{00000000-0005-0000-0000-00009E0D0000}"/>
    <cellStyle name="20% - Accent2 4 4 4" xfId="13196" xr:uid="{00000000-0005-0000-0000-00009F0D0000}"/>
    <cellStyle name="20% - Accent2 4 4 5" xfId="17147" xr:uid="{00000000-0005-0000-0000-0000A00D0000}"/>
    <cellStyle name="20% - Accent2 4 5" xfId="1837" xr:uid="{00000000-0005-0000-0000-0000A10D0000}"/>
    <cellStyle name="20% - Accent2 4 5 2" xfId="1838" xr:uid="{00000000-0005-0000-0000-0000A20D0000}"/>
    <cellStyle name="20% - Accent2 4 5 2 2" xfId="13200" xr:uid="{00000000-0005-0000-0000-0000A30D0000}"/>
    <cellStyle name="20% - Accent2 4 5 2 3" xfId="17151" xr:uid="{00000000-0005-0000-0000-0000A40D0000}"/>
    <cellStyle name="20% - Accent2 4 5 3" xfId="1839" xr:uid="{00000000-0005-0000-0000-0000A50D0000}"/>
    <cellStyle name="20% - Accent2 4 5 3 2" xfId="13201" xr:uid="{00000000-0005-0000-0000-0000A60D0000}"/>
    <cellStyle name="20% - Accent2 4 5 3 3" xfId="17152" xr:uid="{00000000-0005-0000-0000-0000A70D0000}"/>
    <cellStyle name="20% - Accent2 4 5 4" xfId="13199" xr:uid="{00000000-0005-0000-0000-0000A80D0000}"/>
    <cellStyle name="20% - Accent2 4 5 5" xfId="17150" xr:uid="{00000000-0005-0000-0000-0000A90D0000}"/>
    <cellStyle name="20% - Accent2 4 6" xfId="1840" xr:uid="{00000000-0005-0000-0000-0000AA0D0000}"/>
    <cellStyle name="20% - Accent2 4 6 2" xfId="1841" xr:uid="{00000000-0005-0000-0000-0000AB0D0000}"/>
    <cellStyle name="20% - Accent2 4 6 2 2" xfId="13203" xr:uid="{00000000-0005-0000-0000-0000AC0D0000}"/>
    <cellStyle name="20% - Accent2 4 6 2 3" xfId="17154" xr:uid="{00000000-0005-0000-0000-0000AD0D0000}"/>
    <cellStyle name="20% - Accent2 4 6 3" xfId="1842" xr:uid="{00000000-0005-0000-0000-0000AE0D0000}"/>
    <cellStyle name="20% - Accent2 4 6 3 2" xfId="13204" xr:uid="{00000000-0005-0000-0000-0000AF0D0000}"/>
    <cellStyle name="20% - Accent2 4 6 3 3" xfId="17155" xr:uid="{00000000-0005-0000-0000-0000B00D0000}"/>
    <cellStyle name="20% - Accent2 4 6 4" xfId="13202" xr:uid="{00000000-0005-0000-0000-0000B10D0000}"/>
    <cellStyle name="20% - Accent2 4 6 5" xfId="17153" xr:uid="{00000000-0005-0000-0000-0000B20D0000}"/>
    <cellStyle name="20% - Accent2 4 7" xfId="1843" xr:uid="{00000000-0005-0000-0000-0000B30D0000}"/>
    <cellStyle name="20% - Accent2 4 7 2" xfId="13205" xr:uid="{00000000-0005-0000-0000-0000B40D0000}"/>
    <cellStyle name="20% - Accent2 4 7 3" xfId="17156" xr:uid="{00000000-0005-0000-0000-0000B50D0000}"/>
    <cellStyle name="20% - Accent2 4 8" xfId="1844" xr:uid="{00000000-0005-0000-0000-0000B60D0000}"/>
    <cellStyle name="20% - Accent2 4 8 2" xfId="13206" xr:uid="{00000000-0005-0000-0000-0000B70D0000}"/>
    <cellStyle name="20% - Accent2 4 8 3" xfId="17157" xr:uid="{00000000-0005-0000-0000-0000B80D0000}"/>
    <cellStyle name="20% - Accent2 4 9" xfId="13174" xr:uid="{00000000-0005-0000-0000-0000B90D0000}"/>
    <cellStyle name="20% - Accent2 4_Volatility" xfId="1845" xr:uid="{00000000-0005-0000-0000-0000BA0D0000}"/>
    <cellStyle name="20% - Accent2 5" xfId="1846" xr:uid="{00000000-0005-0000-0000-0000BB0D0000}"/>
    <cellStyle name="20% - Accent2 5 10" xfId="17158" xr:uid="{00000000-0005-0000-0000-0000BC0D0000}"/>
    <cellStyle name="20% - Accent2 5 2" xfId="1847" xr:uid="{00000000-0005-0000-0000-0000BD0D0000}"/>
    <cellStyle name="20% - Accent2 5 2 2" xfId="1848" xr:uid="{00000000-0005-0000-0000-0000BE0D0000}"/>
    <cellStyle name="20% - Accent2 5 2 2 2" xfId="1849" xr:uid="{00000000-0005-0000-0000-0000BF0D0000}"/>
    <cellStyle name="20% - Accent2 5 2 2 2 2" xfId="13210" xr:uid="{00000000-0005-0000-0000-0000C00D0000}"/>
    <cellStyle name="20% - Accent2 5 2 2 2 3" xfId="17161" xr:uid="{00000000-0005-0000-0000-0000C10D0000}"/>
    <cellStyle name="20% - Accent2 5 2 2 3" xfId="1850" xr:uid="{00000000-0005-0000-0000-0000C20D0000}"/>
    <cellStyle name="20% - Accent2 5 2 2 3 2" xfId="13211" xr:uid="{00000000-0005-0000-0000-0000C30D0000}"/>
    <cellStyle name="20% - Accent2 5 2 2 3 3" xfId="17162" xr:uid="{00000000-0005-0000-0000-0000C40D0000}"/>
    <cellStyle name="20% - Accent2 5 2 2 4" xfId="13209" xr:uid="{00000000-0005-0000-0000-0000C50D0000}"/>
    <cellStyle name="20% - Accent2 5 2 2 5" xfId="17160" xr:uid="{00000000-0005-0000-0000-0000C60D0000}"/>
    <cellStyle name="20% - Accent2 5 2 3" xfId="1851" xr:uid="{00000000-0005-0000-0000-0000C70D0000}"/>
    <cellStyle name="20% - Accent2 5 2 3 2" xfId="1852" xr:uid="{00000000-0005-0000-0000-0000C80D0000}"/>
    <cellStyle name="20% - Accent2 5 2 3 2 2" xfId="13213" xr:uid="{00000000-0005-0000-0000-0000C90D0000}"/>
    <cellStyle name="20% - Accent2 5 2 3 2 3" xfId="17164" xr:uid="{00000000-0005-0000-0000-0000CA0D0000}"/>
    <cellStyle name="20% - Accent2 5 2 3 3" xfId="1853" xr:uid="{00000000-0005-0000-0000-0000CB0D0000}"/>
    <cellStyle name="20% - Accent2 5 2 3 3 2" xfId="13214" xr:uid="{00000000-0005-0000-0000-0000CC0D0000}"/>
    <cellStyle name="20% - Accent2 5 2 3 3 3" xfId="17165" xr:uid="{00000000-0005-0000-0000-0000CD0D0000}"/>
    <cellStyle name="20% - Accent2 5 2 3 4" xfId="13212" xr:uid="{00000000-0005-0000-0000-0000CE0D0000}"/>
    <cellStyle name="20% - Accent2 5 2 3 5" xfId="17163" xr:uid="{00000000-0005-0000-0000-0000CF0D0000}"/>
    <cellStyle name="20% - Accent2 5 2 4" xfId="1854" xr:uid="{00000000-0005-0000-0000-0000D00D0000}"/>
    <cellStyle name="20% - Accent2 5 2 4 2" xfId="1855" xr:uid="{00000000-0005-0000-0000-0000D10D0000}"/>
    <cellStyle name="20% - Accent2 5 2 4 2 2" xfId="13216" xr:uid="{00000000-0005-0000-0000-0000D20D0000}"/>
    <cellStyle name="20% - Accent2 5 2 4 2 3" xfId="17167" xr:uid="{00000000-0005-0000-0000-0000D30D0000}"/>
    <cellStyle name="20% - Accent2 5 2 4 3" xfId="1856" xr:uid="{00000000-0005-0000-0000-0000D40D0000}"/>
    <cellStyle name="20% - Accent2 5 2 4 3 2" xfId="13217" xr:uid="{00000000-0005-0000-0000-0000D50D0000}"/>
    <cellStyle name="20% - Accent2 5 2 4 3 3" xfId="17168" xr:uid="{00000000-0005-0000-0000-0000D60D0000}"/>
    <cellStyle name="20% - Accent2 5 2 4 4" xfId="13215" xr:uid="{00000000-0005-0000-0000-0000D70D0000}"/>
    <cellStyle name="20% - Accent2 5 2 4 5" xfId="17166" xr:uid="{00000000-0005-0000-0000-0000D80D0000}"/>
    <cellStyle name="20% - Accent2 5 2 5" xfId="1857" xr:uid="{00000000-0005-0000-0000-0000D90D0000}"/>
    <cellStyle name="20% - Accent2 5 2 5 2" xfId="13218" xr:uid="{00000000-0005-0000-0000-0000DA0D0000}"/>
    <cellStyle name="20% - Accent2 5 2 5 3" xfId="17169" xr:uid="{00000000-0005-0000-0000-0000DB0D0000}"/>
    <cellStyle name="20% - Accent2 5 2 6" xfId="1858" xr:uid="{00000000-0005-0000-0000-0000DC0D0000}"/>
    <cellStyle name="20% - Accent2 5 2 6 2" xfId="13219" xr:uid="{00000000-0005-0000-0000-0000DD0D0000}"/>
    <cellStyle name="20% - Accent2 5 2 6 3" xfId="17170" xr:uid="{00000000-0005-0000-0000-0000DE0D0000}"/>
    <cellStyle name="20% - Accent2 5 2 7" xfId="13208" xr:uid="{00000000-0005-0000-0000-0000DF0D0000}"/>
    <cellStyle name="20% - Accent2 5 2 8" xfId="17159" xr:uid="{00000000-0005-0000-0000-0000E00D0000}"/>
    <cellStyle name="20% - Accent2 5 2_Volatility" xfId="1859" xr:uid="{00000000-0005-0000-0000-0000E10D0000}"/>
    <cellStyle name="20% - Accent2 5 3" xfId="1860" xr:uid="{00000000-0005-0000-0000-0000E20D0000}"/>
    <cellStyle name="20% - Accent2 5 3 2" xfId="1861" xr:uid="{00000000-0005-0000-0000-0000E30D0000}"/>
    <cellStyle name="20% - Accent2 5 3 2 2" xfId="1862" xr:uid="{00000000-0005-0000-0000-0000E40D0000}"/>
    <cellStyle name="20% - Accent2 5 3 2 2 2" xfId="13222" xr:uid="{00000000-0005-0000-0000-0000E50D0000}"/>
    <cellStyle name="20% - Accent2 5 3 2 2 3" xfId="17173" xr:uid="{00000000-0005-0000-0000-0000E60D0000}"/>
    <cellStyle name="20% - Accent2 5 3 2 3" xfId="1863" xr:uid="{00000000-0005-0000-0000-0000E70D0000}"/>
    <cellStyle name="20% - Accent2 5 3 2 3 2" xfId="13223" xr:uid="{00000000-0005-0000-0000-0000E80D0000}"/>
    <cellStyle name="20% - Accent2 5 3 2 3 3" xfId="17174" xr:uid="{00000000-0005-0000-0000-0000E90D0000}"/>
    <cellStyle name="20% - Accent2 5 3 2 4" xfId="13221" xr:uid="{00000000-0005-0000-0000-0000EA0D0000}"/>
    <cellStyle name="20% - Accent2 5 3 2 5" xfId="17172" xr:uid="{00000000-0005-0000-0000-0000EB0D0000}"/>
    <cellStyle name="20% - Accent2 5 3 3" xfId="1864" xr:uid="{00000000-0005-0000-0000-0000EC0D0000}"/>
    <cellStyle name="20% - Accent2 5 3 3 2" xfId="1865" xr:uid="{00000000-0005-0000-0000-0000ED0D0000}"/>
    <cellStyle name="20% - Accent2 5 3 3 2 2" xfId="13225" xr:uid="{00000000-0005-0000-0000-0000EE0D0000}"/>
    <cellStyle name="20% - Accent2 5 3 3 2 3" xfId="17176" xr:uid="{00000000-0005-0000-0000-0000EF0D0000}"/>
    <cellStyle name="20% - Accent2 5 3 3 3" xfId="1866" xr:uid="{00000000-0005-0000-0000-0000F00D0000}"/>
    <cellStyle name="20% - Accent2 5 3 3 3 2" xfId="13226" xr:uid="{00000000-0005-0000-0000-0000F10D0000}"/>
    <cellStyle name="20% - Accent2 5 3 3 3 3" xfId="17177" xr:uid="{00000000-0005-0000-0000-0000F20D0000}"/>
    <cellStyle name="20% - Accent2 5 3 3 4" xfId="13224" xr:uid="{00000000-0005-0000-0000-0000F30D0000}"/>
    <cellStyle name="20% - Accent2 5 3 3 5" xfId="17175" xr:uid="{00000000-0005-0000-0000-0000F40D0000}"/>
    <cellStyle name="20% - Accent2 5 3 4" xfId="1867" xr:uid="{00000000-0005-0000-0000-0000F50D0000}"/>
    <cellStyle name="20% - Accent2 5 3 4 2" xfId="13227" xr:uid="{00000000-0005-0000-0000-0000F60D0000}"/>
    <cellStyle name="20% - Accent2 5 3 4 3" xfId="17178" xr:uid="{00000000-0005-0000-0000-0000F70D0000}"/>
    <cellStyle name="20% - Accent2 5 3 5" xfId="1868" xr:uid="{00000000-0005-0000-0000-0000F80D0000}"/>
    <cellStyle name="20% - Accent2 5 3 5 2" xfId="13228" xr:uid="{00000000-0005-0000-0000-0000F90D0000}"/>
    <cellStyle name="20% - Accent2 5 3 5 3" xfId="17179" xr:uid="{00000000-0005-0000-0000-0000FA0D0000}"/>
    <cellStyle name="20% - Accent2 5 3 6" xfId="13220" xr:uid="{00000000-0005-0000-0000-0000FB0D0000}"/>
    <cellStyle name="20% - Accent2 5 3 7" xfId="17171" xr:uid="{00000000-0005-0000-0000-0000FC0D0000}"/>
    <cellStyle name="20% - Accent2 5 3_Volatility" xfId="1869" xr:uid="{00000000-0005-0000-0000-0000FD0D0000}"/>
    <cellStyle name="20% - Accent2 5 4" xfId="1870" xr:uid="{00000000-0005-0000-0000-0000FE0D0000}"/>
    <cellStyle name="20% - Accent2 5 4 2" xfId="1871" xr:uid="{00000000-0005-0000-0000-0000FF0D0000}"/>
    <cellStyle name="20% - Accent2 5 4 2 2" xfId="13230" xr:uid="{00000000-0005-0000-0000-0000000E0000}"/>
    <cellStyle name="20% - Accent2 5 4 2 3" xfId="17181" xr:uid="{00000000-0005-0000-0000-0000010E0000}"/>
    <cellStyle name="20% - Accent2 5 4 3" xfId="1872" xr:uid="{00000000-0005-0000-0000-0000020E0000}"/>
    <cellStyle name="20% - Accent2 5 4 3 2" xfId="13231" xr:uid="{00000000-0005-0000-0000-0000030E0000}"/>
    <cellStyle name="20% - Accent2 5 4 3 3" xfId="17182" xr:uid="{00000000-0005-0000-0000-0000040E0000}"/>
    <cellStyle name="20% - Accent2 5 4 4" xfId="13229" xr:uid="{00000000-0005-0000-0000-0000050E0000}"/>
    <cellStyle name="20% - Accent2 5 4 5" xfId="17180" xr:uid="{00000000-0005-0000-0000-0000060E0000}"/>
    <cellStyle name="20% - Accent2 5 5" xfId="1873" xr:uid="{00000000-0005-0000-0000-0000070E0000}"/>
    <cellStyle name="20% - Accent2 5 5 2" xfId="1874" xr:uid="{00000000-0005-0000-0000-0000080E0000}"/>
    <cellStyle name="20% - Accent2 5 5 2 2" xfId="13233" xr:uid="{00000000-0005-0000-0000-0000090E0000}"/>
    <cellStyle name="20% - Accent2 5 5 2 3" xfId="17184" xr:uid="{00000000-0005-0000-0000-00000A0E0000}"/>
    <cellStyle name="20% - Accent2 5 5 3" xfId="1875" xr:uid="{00000000-0005-0000-0000-00000B0E0000}"/>
    <cellStyle name="20% - Accent2 5 5 3 2" xfId="13234" xr:uid="{00000000-0005-0000-0000-00000C0E0000}"/>
    <cellStyle name="20% - Accent2 5 5 3 3" xfId="17185" xr:uid="{00000000-0005-0000-0000-00000D0E0000}"/>
    <cellStyle name="20% - Accent2 5 5 4" xfId="13232" xr:uid="{00000000-0005-0000-0000-00000E0E0000}"/>
    <cellStyle name="20% - Accent2 5 5 5" xfId="17183" xr:uid="{00000000-0005-0000-0000-00000F0E0000}"/>
    <cellStyle name="20% - Accent2 5 6" xfId="1876" xr:uid="{00000000-0005-0000-0000-0000100E0000}"/>
    <cellStyle name="20% - Accent2 5 6 2" xfId="1877" xr:uid="{00000000-0005-0000-0000-0000110E0000}"/>
    <cellStyle name="20% - Accent2 5 6 2 2" xfId="13236" xr:uid="{00000000-0005-0000-0000-0000120E0000}"/>
    <cellStyle name="20% - Accent2 5 6 2 3" xfId="17187" xr:uid="{00000000-0005-0000-0000-0000130E0000}"/>
    <cellStyle name="20% - Accent2 5 6 3" xfId="1878" xr:uid="{00000000-0005-0000-0000-0000140E0000}"/>
    <cellStyle name="20% - Accent2 5 6 3 2" xfId="13237" xr:uid="{00000000-0005-0000-0000-0000150E0000}"/>
    <cellStyle name="20% - Accent2 5 6 3 3" xfId="17188" xr:uid="{00000000-0005-0000-0000-0000160E0000}"/>
    <cellStyle name="20% - Accent2 5 6 4" xfId="13235" xr:uid="{00000000-0005-0000-0000-0000170E0000}"/>
    <cellStyle name="20% - Accent2 5 6 5" xfId="17186" xr:uid="{00000000-0005-0000-0000-0000180E0000}"/>
    <cellStyle name="20% - Accent2 5 7" xfId="1879" xr:uid="{00000000-0005-0000-0000-0000190E0000}"/>
    <cellStyle name="20% - Accent2 5 7 2" xfId="13238" xr:uid="{00000000-0005-0000-0000-00001A0E0000}"/>
    <cellStyle name="20% - Accent2 5 7 3" xfId="17189" xr:uid="{00000000-0005-0000-0000-00001B0E0000}"/>
    <cellStyle name="20% - Accent2 5 8" xfId="1880" xr:uid="{00000000-0005-0000-0000-00001C0E0000}"/>
    <cellStyle name="20% - Accent2 5 8 2" xfId="13239" xr:uid="{00000000-0005-0000-0000-00001D0E0000}"/>
    <cellStyle name="20% - Accent2 5 8 3" xfId="17190" xr:uid="{00000000-0005-0000-0000-00001E0E0000}"/>
    <cellStyle name="20% - Accent2 5 9" xfId="13207" xr:uid="{00000000-0005-0000-0000-00001F0E0000}"/>
    <cellStyle name="20% - Accent2 5_Volatility" xfId="1881" xr:uid="{00000000-0005-0000-0000-0000200E0000}"/>
    <cellStyle name="20% - Accent2 6" xfId="1882" xr:uid="{00000000-0005-0000-0000-0000210E0000}"/>
    <cellStyle name="20% - Accent2 6 10" xfId="17191" xr:uid="{00000000-0005-0000-0000-0000220E0000}"/>
    <cellStyle name="20% - Accent2 6 2" xfId="1883" xr:uid="{00000000-0005-0000-0000-0000230E0000}"/>
    <cellStyle name="20% - Accent2 6 2 2" xfId="1884" xr:uid="{00000000-0005-0000-0000-0000240E0000}"/>
    <cellStyle name="20% - Accent2 6 2 2 2" xfId="1885" xr:uid="{00000000-0005-0000-0000-0000250E0000}"/>
    <cellStyle name="20% - Accent2 6 2 2 2 2" xfId="13243" xr:uid="{00000000-0005-0000-0000-0000260E0000}"/>
    <cellStyle name="20% - Accent2 6 2 2 2 3" xfId="17194" xr:uid="{00000000-0005-0000-0000-0000270E0000}"/>
    <cellStyle name="20% - Accent2 6 2 2 3" xfId="1886" xr:uid="{00000000-0005-0000-0000-0000280E0000}"/>
    <cellStyle name="20% - Accent2 6 2 2 3 2" xfId="13244" xr:uid="{00000000-0005-0000-0000-0000290E0000}"/>
    <cellStyle name="20% - Accent2 6 2 2 3 3" xfId="17195" xr:uid="{00000000-0005-0000-0000-00002A0E0000}"/>
    <cellStyle name="20% - Accent2 6 2 2 4" xfId="13242" xr:uid="{00000000-0005-0000-0000-00002B0E0000}"/>
    <cellStyle name="20% - Accent2 6 2 2 5" xfId="17193" xr:uid="{00000000-0005-0000-0000-00002C0E0000}"/>
    <cellStyle name="20% - Accent2 6 2 3" xfId="1887" xr:uid="{00000000-0005-0000-0000-00002D0E0000}"/>
    <cellStyle name="20% - Accent2 6 2 3 2" xfId="1888" xr:uid="{00000000-0005-0000-0000-00002E0E0000}"/>
    <cellStyle name="20% - Accent2 6 2 3 2 2" xfId="13246" xr:uid="{00000000-0005-0000-0000-00002F0E0000}"/>
    <cellStyle name="20% - Accent2 6 2 3 2 3" xfId="17197" xr:uid="{00000000-0005-0000-0000-0000300E0000}"/>
    <cellStyle name="20% - Accent2 6 2 3 3" xfId="1889" xr:uid="{00000000-0005-0000-0000-0000310E0000}"/>
    <cellStyle name="20% - Accent2 6 2 3 3 2" xfId="13247" xr:uid="{00000000-0005-0000-0000-0000320E0000}"/>
    <cellStyle name="20% - Accent2 6 2 3 3 3" xfId="17198" xr:uid="{00000000-0005-0000-0000-0000330E0000}"/>
    <cellStyle name="20% - Accent2 6 2 3 4" xfId="13245" xr:uid="{00000000-0005-0000-0000-0000340E0000}"/>
    <cellStyle name="20% - Accent2 6 2 3 5" xfId="17196" xr:uid="{00000000-0005-0000-0000-0000350E0000}"/>
    <cellStyle name="20% - Accent2 6 2 4" xfId="1890" xr:uid="{00000000-0005-0000-0000-0000360E0000}"/>
    <cellStyle name="20% - Accent2 6 2 4 2" xfId="1891" xr:uid="{00000000-0005-0000-0000-0000370E0000}"/>
    <cellStyle name="20% - Accent2 6 2 4 2 2" xfId="13249" xr:uid="{00000000-0005-0000-0000-0000380E0000}"/>
    <cellStyle name="20% - Accent2 6 2 4 2 3" xfId="17200" xr:uid="{00000000-0005-0000-0000-0000390E0000}"/>
    <cellStyle name="20% - Accent2 6 2 4 3" xfId="1892" xr:uid="{00000000-0005-0000-0000-00003A0E0000}"/>
    <cellStyle name="20% - Accent2 6 2 4 3 2" xfId="13250" xr:uid="{00000000-0005-0000-0000-00003B0E0000}"/>
    <cellStyle name="20% - Accent2 6 2 4 3 3" xfId="17201" xr:uid="{00000000-0005-0000-0000-00003C0E0000}"/>
    <cellStyle name="20% - Accent2 6 2 4 4" xfId="13248" xr:uid="{00000000-0005-0000-0000-00003D0E0000}"/>
    <cellStyle name="20% - Accent2 6 2 4 5" xfId="17199" xr:uid="{00000000-0005-0000-0000-00003E0E0000}"/>
    <cellStyle name="20% - Accent2 6 2 5" xfId="1893" xr:uid="{00000000-0005-0000-0000-00003F0E0000}"/>
    <cellStyle name="20% - Accent2 6 2 5 2" xfId="13251" xr:uid="{00000000-0005-0000-0000-0000400E0000}"/>
    <cellStyle name="20% - Accent2 6 2 5 3" xfId="17202" xr:uid="{00000000-0005-0000-0000-0000410E0000}"/>
    <cellStyle name="20% - Accent2 6 2 6" xfId="1894" xr:uid="{00000000-0005-0000-0000-0000420E0000}"/>
    <cellStyle name="20% - Accent2 6 2 6 2" xfId="13252" xr:uid="{00000000-0005-0000-0000-0000430E0000}"/>
    <cellStyle name="20% - Accent2 6 2 6 3" xfId="17203" xr:uid="{00000000-0005-0000-0000-0000440E0000}"/>
    <cellStyle name="20% - Accent2 6 2 7" xfId="13241" xr:uid="{00000000-0005-0000-0000-0000450E0000}"/>
    <cellStyle name="20% - Accent2 6 2 8" xfId="17192" xr:uid="{00000000-0005-0000-0000-0000460E0000}"/>
    <cellStyle name="20% - Accent2 6 2_Volatility" xfId="1895" xr:uid="{00000000-0005-0000-0000-0000470E0000}"/>
    <cellStyle name="20% - Accent2 6 3" xfId="1896" xr:uid="{00000000-0005-0000-0000-0000480E0000}"/>
    <cellStyle name="20% - Accent2 6 3 2" xfId="1897" xr:uid="{00000000-0005-0000-0000-0000490E0000}"/>
    <cellStyle name="20% - Accent2 6 3 2 2" xfId="1898" xr:uid="{00000000-0005-0000-0000-00004A0E0000}"/>
    <cellStyle name="20% - Accent2 6 3 2 2 2" xfId="13255" xr:uid="{00000000-0005-0000-0000-00004B0E0000}"/>
    <cellStyle name="20% - Accent2 6 3 2 2 3" xfId="17206" xr:uid="{00000000-0005-0000-0000-00004C0E0000}"/>
    <cellStyle name="20% - Accent2 6 3 2 3" xfId="1899" xr:uid="{00000000-0005-0000-0000-00004D0E0000}"/>
    <cellStyle name="20% - Accent2 6 3 2 3 2" xfId="13256" xr:uid="{00000000-0005-0000-0000-00004E0E0000}"/>
    <cellStyle name="20% - Accent2 6 3 2 3 3" xfId="17207" xr:uid="{00000000-0005-0000-0000-00004F0E0000}"/>
    <cellStyle name="20% - Accent2 6 3 2 4" xfId="13254" xr:uid="{00000000-0005-0000-0000-0000500E0000}"/>
    <cellStyle name="20% - Accent2 6 3 2 5" xfId="17205" xr:uid="{00000000-0005-0000-0000-0000510E0000}"/>
    <cellStyle name="20% - Accent2 6 3 3" xfId="1900" xr:uid="{00000000-0005-0000-0000-0000520E0000}"/>
    <cellStyle name="20% - Accent2 6 3 3 2" xfId="1901" xr:uid="{00000000-0005-0000-0000-0000530E0000}"/>
    <cellStyle name="20% - Accent2 6 3 3 2 2" xfId="13258" xr:uid="{00000000-0005-0000-0000-0000540E0000}"/>
    <cellStyle name="20% - Accent2 6 3 3 2 3" xfId="17209" xr:uid="{00000000-0005-0000-0000-0000550E0000}"/>
    <cellStyle name="20% - Accent2 6 3 3 3" xfId="1902" xr:uid="{00000000-0005-0000-0000-0000560E0000}"/>
    <cellStyle name="20% - Accent2 6 3 3 3 2" xfId="13259" xr:uid="{00000000-0005-0000-0000-0000570E0000}"/>
    <cellStyle name="20% - Accent2 6 3 3 3 3" xfId="17210" xr:uid="{00000000-0005-0000-0000-0000580E0000}"/>
    <cellStyle name="20% - Accent2 6 3 3 4" xfId="13257" xr:uid="{00000000-0005-0000-0000-0000590E0000}"/>
    <cellStyle name="20% - Accent2 6 3 3 5" xfId="17208" xr:uid="{00000000-0005-0000-0000-00005A0E0000}"/>
    <cellStyle name="20% - Accent2 6 3 4" xfId="1903" xr:uid="{00000000-0005-0000-0000-00005B0E0000}"/>
    <cellStyle name="20% - Accent2 6 3 4 2" xfId="13260" xr:uid="{00000000-0005-0000-0000-00005C0E0000}"/>
    <cellStyle name="20% - Accent2 6 3 4 3" xfId="17211" xr:uid="{00000000-0005-0000-0000-00005D0E0000}"/>
    <cellStyle name="20% - Accent2 6 3 5" xfId="1904" xr:uid="{00000000-0005-0000-0000-00005E0E0000}"/>
    <cellStyle name="20% - Accent2 6 3 5 2" xfId="13261" xr:uid="{00000000-0005-0000-0000-00005F0E0000}"/>
    <cellStyle name="20% - Accent2 6 3 5 3" xfId="17212" xr:uid="{00000000-0005-0000-0000-0000600E0000}"/>
    <cellStyle name="20% - Accent2 6 3 6" xfId="13253" xr:uid="{00000000-0005-0000-0000-0000610E0000}"/>
    <cellStyle name="20% - Accent2 6 3 7" xfId="17204" xr:uid="{00000000-0005-0000-0000-0000620E0000}"/>
    <cellStyle name="20% - Accent2 6 3_Volatility" xfId="1905" xr:uid="{00000000-0005-0000-0000-0000630E0000}"/>
    <cellStyle name="20% - Accent2 6 4" xfId="1906" xr:uid="{00000000-0005-0000-0000-0000640E0000}"/>
    <cellStyle name="20% - Accent2 6 4 2" xfId="1907" xr:uid="{00000000-0005-0000-0000-0000650E0000}"/>
    <cellStyle name="20% - Accent2 6 4 2 2" xfId="13263" xr:uid="{00000000-0005-0000-0000-0000660E0000}"/>
    <cellStyle name="20% - Accent2 6 4 2 3" xfId="17214" xr:uid="{00000000-0005-0000-0000-0000670E0000}"/>
    <cellStyle name="20% - Accent2 6 4 3" xfId="1908" xr:uid="{00000000-0005-0000-0000-0000680E0000}"/>
    <cellStyle name="20% - Accent2 6 4 3 2" xfId="13264" xr:uid="{00000000-0005-0000-0000-0000690E0000}"/>
    <cellStyle name="20% - Accent2 6 4 3 3" xfId="17215" xr:uid="{00000000-0005-0000-0000-00006A0E0000}"/>
    <cellStyle name="20% - Accent2 6 4 4" xfId="13262" xr:uid="{00000000-0005-0000-0000-00006B0E0000}"/>
    <cellStyle name="20% - Accent2 6 4 5" xfId="17213" xr:uid="{00000000-0005-0000-0000-00006C0E0000}"/>
    <cellStyle name="20% - Accent2 6 5" xfId="1909" xr:uid="{00000000-0005-0000-0000-00006D0E0000}"/>
    <cellStyle name="20% - Accent2 6 5 2" xfId="1910" xr:uid="{00000000-0005-0000-0000-00006E0E0000}"/>
    <cellStyle name="20% - Accent2 6 5 2 2" xfId="13266" xr:uid="{00000000-0005-0000-0000-00006F0E0000}"/>
    <cellStyle name="20% - Accent2 6 5 2 3" xfId="17217" xr:uid="{00000000-0005-0000-0000-0000700E0000}"/>
    <cellStyle name="20% - Accent2 6 5 3" xfId="1911" xr:uid="{00000000-0005-0000-0000-0000710E0000}"/>
    <cellStyle name="20% - Accent2 6 5 3 2" xfId="13267" xr:uid="{00000000-0005-0000-0000-0000720E0000}"/>
    <cellStyle name="20% - Accent2 6 5 3 3" xfId="17218" xr:uid="{00000000-0005-0000-0000-0000730E0000}"/>
    <cellStyle name="20% - Accent2 6 5 4" xfId="13265" xr:uid="{00000000-0005-0000-0000-0000740E0000}"/>
    <cellStyle name="20% - Accent2 6 5 5" xfId="17216" xr:uid="{00000000-0005-0000-0000-0000750E0000}"/>
    <cellStyle name="20% - Accent2 6 6" xfId="1912" xr:uid="{00000000-0005-0000-0000-0000760E0000}"/>
    <cellStyle name="20% - Accent2 6 6 2" xfId="1913" xr:uid="{00000000-0005-0000-0000-0000770E0000}"/>
    <cellStyle name="20% - Accent2 6 6 2 2" xfId="13269" xr:uid="{00000000-0005-0000-0000-0000780E0000}"/>
    <cellStyle name="20% - Accent2 6 6 2 3" xfId="17220" xr:uid="{00000000-0005-0000-0000-0000790E0000}"/>
    <cellStyle name="20% - Accent2 6 6 3" xfId="1914" xr:uid="{00000000-0005-0000-0000-00007A0E0000}"/>
    <cellStyle name="20% - Accent2 6 6 3 2" xfId="13270" xr:uid="{00000000-0005-0000-0000-00007B0E0000}"/>
    <cellStyle name="20% - Accent2 6 6 3 3" xfId="17221" xr:uid="{00000000-0005-0000-0000-00007C0E0000}"/>
    <cellStyle name="20% - Accent2 6 6 4" xfId="13268" xr:uid="{00000000-0005-0000-0000-00007D0E0000}"/>
    <cellStyle name="20% - Accent2 6 6 5" xfId="17219" xr:uid="{00000000-0005-0000-0000-00007E0E0000}"/>
    <cellStyle name="20% - Accent2 6 7" xfId="1915" xr:uid="{00000000-0005-0000-0000-00007F0E0000}"/>
    <cellStyle name="20% - Accent2 6 7 2" xfId="13271" xr:uid="{00000000-0005-0000-0000-0000800E0000}"/>
    <cellStyle name="20% - Accent2 6 7 3" xfId="17222" xr:uid="{00000000-0005-0000-0000-0000810E0000}"/>
    <cellStyle name="20% - Accent2 6 8" xfId="1916" xr:uid="{00000000-0005-0000-0000-0000820E0000}"/>
    <cellStyle name="20% - Accent2 6 8 2" xfId="13272" xr:uid="{00000000-0005-0000-0000-0000830E0000}"/>
    <cellStyle name="20% - Accent2 6 8 3" xfId="17223" xr:uid="{00000000-0005-0000-0000-0000840E0000}"/>
    <cellStyle name="20% - Accent2 6 9" xfId="13240" xr:uid="{00000000-0005-0000-0000-0000850E0000}"/>
    <cellStyle name="20% - Accent2 6_Volatility" xfId="1917" xr:uid="{00000000-0005-0000-0000-0000860E0000}"/>
    <cellStyle name="20% - Accent2 7" xfId="1918" xr:uid="{00000000-0005-0000-0000-0000870E0000}"/>
    <cellStyle name="20% - Accent2 7 10" xfId="17224" xr:uid="{00000000-0005-0000-0000-0000880E0000}"/>
    <cellStyle name="20% - Accent2 7 2" xfId="1919" xr:uid="{00000000-0005-0000-0000-0000890E0000}"/>
    <cellStyle name="20% - Accent2 7 2 2" xfId="1920" xr:uid="{00000000-0005-0000-0000-00008A0E0000}"/>
    <cellStyle name="20% - Accent2 7 2 2 2" xfId="1921" xr:uid="{00000000-0005-0000-0000-00008B0E0000}"/>
    <cellStyle name="20% - Accent2 7 2 2 2 2" xfId="13276" xr:uid="{00000000-0005-0000-0000-00008C0E0000}"/>
    <cellStyle name="20% - Accent2 7 2 2 2 3" xfId="17227" xr:uid="{00000000-0005-0000-0000-00008D0E0000}"/>
    <cellStyle name="20% - Accent2 7 2 2 3" xfId="1922" xr:uid="{00000000-0005-0000-0000-00008E0E0000}"/>
    <cellStyle name="20% - Accent2 7 2 2 3 2" xfId="13277" xr:uid="{00000000-0005-0000-0000-00008F0E0000}"/>
    <cellStyle name="20% - Accent2 7 2 2 3 3" xfId="17228" xr:uid="{00000000-0005-0000-0000-0000900E0000}"/>
    <cellStyle name="20% - Accent2 7 2 2 4" xfId="13275" xr:uid="{00000000-0005-0000-0000-0000910E0000}"/>
    <cellStyle name="20% - Accent2 7 2 2 5" xfId="17226" xr:uid="{00000000-0005-0000-0000-0000920E0000}"/>
    <cellStyle name="20% - Accent2 7 2 3" xfId="1923" xr:uid="{00000000-0005-0000-0000-0000930E0000}"/>
    <cellStyle name="20% - Accent2 7 2 3 2" xfId="1924" xr:uid="{00000000-0005-0000-0000-0000940E0000}"/>
    <cellStyle name="20% - Accent2 7 2 3 2 2" xfId="13279" xr:uid="{00000000-0005-0000-0000-0000950E0000}"/>
    <cellStyle name="20% - Accent2 7 2 3 2 3" xfId="17230" xr:uid="{00000000-0005-0000-0000-0000960E0000}"/>
    <cellStyle name="20% - Accent2 7 2 3 3" xfId="1925" xr:uid="{00000000-0005-0000-0000-0000970E0000}"/>
    <cellStyle name="20% - Accent2 7 2 3 3 2" xfId="13280" xr:uid="{00000000-0005-0000-0000-0000980E0000}"/>
    <cellStyle name="20% - Accent2 7 2 3 3 3" xfId="17231" xr:uid="{00000000-0005-0000-0000-0000990E0000}"/>
    <cellStyle name="20% - Accent2 7 2 3 4" xfId="13278" xr:uid="{00000000-0005-0000-0000-00009A0E0000}"/>
    <cellStyle name="20% - Accent2 7 2 3 5" xfId="17229" xr:uid="{00000000-0005-0000-0000-00009B0E0000}"/>
    <cellStyle name="20% - Accent2 7 2 4" xfId="1926" xr:uid="{00000000-0005-0000-0000-00009C0E0000}"/>
    <cellStyle name="20% - Accent2 7 2 4 2" xfId="1927" xr:uid="{00000000-0005-0000-0000-00009D0E0000}"/>
    <cellStyle name="20% - Accent2 7 2 4 2 2" xfId="13282" xr:uid="{00000000-0005-0000-0000-00009E0E0000}"/>
    <cellStyle name="20% - Accent2 7 2 4 2 3" xfId="17233" xr:uid="{00000000-0005-0000-0000-00009F0E0000}"/>
    <cellStyle name="20% - Accent2 7 2 4 3" xfId="1928" xr:uid="{00000000-0005-0000-0000-0000A00E0000}"/>
    <cellStyle name="20% - Accent2 7 2 4 3 2" xfId="13283" xr:uid="{00000000-0005-0000-0000-0000A10E0000}"/>
    <cellStyle name="20% - Accent2 7 2 4 3 3" xfId="17234" xr:uid="{00000000-0005-0000-0000-0000A20E0000}"/>
    <cellStyle name="20% - Accent2 7 2 4 4" xfId="13281" xr:uid="{00000000-0005-0000-0000-0000A30E0000}"/>
    <cellStyle name="20% - Accent2 7 2 4 5" xfId="17232" xr:uid="{00000000-0005-0000-0000-0000A40E0000}"/>
    <cellStyle name="20% - Accent2 7 2 5" xfId="1929" xr:uid="{00000000-0005-0000-0000-0000A50E0000}"/>
    <cellStyle name="20% - Accent2 7 2 5 2" xfId="13284" xr:uid="{00000000-0005-0000-0000-0000A60E0000}"/>
    <cellStyle name="20% - Accent2 7 2 5 3" xfId="17235" xr:uid="{00000000-0005-0000-0000-0000A70E0000}"/>
    <cellStyle name="20% - Accent2 7 2 6" xfId="1930" xr:uid="{00000000-0005-0000-0000-0000A80E0000}"/>
    <cellStyle name="20% - Accent2 7 2 6 2" xfId="13285" xr:uid="{00000000-0005-0000-0000-0000A90E0000}"/>
    <cellStyle name="20% - Accent2 7 2 6 3" xfId="17236" xr:uid="{00000000-0005-0000-0000-0000AA0E0000}"/>
    <cellStyle name="20% - Accent2 7 2 7" xfId="13274" xr:uid="{00000000-0005-0000-0000-0000AB0E0000}"/>
    <cellStyle name="20% - Accent2 7 2 8" xfId="17225" xr:uid="{00000000-0005-0000-0000-0000AC0E0000}"/>
    <cellStyle name="20% - Accent2 7 2_Volatility" xfId="1931" xr:uid="{00000000-0005-0000-0000-0000AD0E0000}"/>
    <cellStyle name="20% - Accent2 7 3" xfId="1932" xr:uid="{00000000-0005-0000-0000-0000AE0E0000}"/>
    <cellStyle name="20% - Accent2 7 3 2" xfId="1933" xr:uid="{00000000-0005-0000-0000-0000AF0E0000}"/>
    <cellStyle name="20% - Accent2 7 3 2 2" xfId="1934" xr:uid="{00000000-0005-0000-0000-0000B00E0000}"/>
    <cellStyle name="20% - Accent2 7 3 2 2 2" xfId="13288" xr:uid="{00000000-0005-0000-0000-0000B10E0000}"/>
    <cellStyle name="20% - Accent2 7 3 2 2 3" xfId="17239" xr:uid="{00000000-0005-0000-0000-0000B20E0000}"/>
    <cellStyle name="20% - Accent2 7 3 2 3" xfId="1935" xr:uid="{00000000-0005-0000-0000-0000B30E0000}"/>
    <cellStyle name="20% - Accent2 7 3 2 3 2" xfId="13289" xr:uid="{00000000-0005-0000-0000-0000B40E0000}"/>
    <cellStyle name="20% - Accent2 7 3 2 3 3" xfId="17240" xr:uid="{00000000-0005-0000-0000-0000B50E0000}"/>
    <cellStyle name="20% - Accent2 7 3 2 4" xfId="13287" xr:uid="{00000000-0005-0000-0000-0000B60E0000}"/>
    <cellStyle name="20% - Accent2 7 3 2 5" xfId="17238" xr:uid="{00000000-0005-0000-0000-0000B70E0000}"/>
    <cellStyle name="20% - Accent2 7 3 3" xfId="1936" xr:uid="{00000000-0005-0000-0000-0000B80E0000}"/>
    <cellStyle name="20% - Accent2 7 3 3 2" xfId="1937" xr:uid="{00000000-0005-0000-0000-0000B90E0000}"/>
    <cellStyle name="20% - Accent2 7 3 3 2 2" xfId="13291" xr:uid="{00000000-0005-0000-0000-0000BA0E0000}"/>
    <cellStyle name="20% - Accent2 7 3 3 2 3" xfId="17242" xr:uid="{00000000-0005-0000-0000-0000BB0E0000}"/>
    <cellStyle name="20% - Accent2 7 3 3 3" xfId="1938" xr:uid="{00000000-0005-0000-0000-0000BC0E0000}"/>
    <cellStyle name="20% - Accent2 7 3 3 3 2" xfId="13292" xr:uid="{00000000-0005-0000-0000-0000BD0E0000}"/>
    <cellStyle name="20% - Accent2 7 3 3 3 3" xfId="17243" xr:uid="{00000000-0005-0000-0000-0000BE0E0000}"/>
    <cellStyle name="20% - Accent2 7 3 3 4" xfId="13290" xr:uid="{00000000-0005-0000-0000-0000BF0E0000}"/>
    <cellStyle name="20% - Accent2 7 3 3 5" xfId="17241" xr:uid="{00000000-0005-0000-0000-0000C00E0000}"/>
    <cellStyle name="20% - Accent2 7 3 4" xfId="1939" xr:uid="{00000000-0005-0000-0000-0000C10E0000}"/>
    <cellStyle name="20% - Accent2 7 3 4 2" xfId="13293" xr:uid="{00000000-0005-0000-0000-0000C20E0000}"/>
    <cellStyle name="20% - Accent2 7 3 4 3" xfId="17244" xr:uid="{00000000-0005-0000-0000-0000C30E0000}"/>
    <cellStyle name="20% - Accent2 7 3 5" xfId="1940" xr:uid="{00000000-0005-0000-0000-0000C40E0000}"/>
    <cellStyle name="20% - Accent2 7 3 5 2" xfId="13294" xr:uid="{00000000-0005-0000-0000-0000C50E0000}"/>
    <cellStyle name="20% - Accent2 7 3 5 3" xfId="17245" xr:uid="{00000000-0005-0000-0000-0000C60E0000}"/>
    <cellStyle name="20% - Accent2 7 3 6" xfId="13286" xr:uid="{00000000-0005-0000-0000-0000C70E0000}"/>
    <cellStyle name="20% - Accent2 7 3 7" xfId="17237" xr:uid="{00000000-0005-0000-0000-0000C80E0000}"/>
    <cellStyle name="20% - Accent2 7 3_Volatility" xfId="1941" xr:uid="{00000000-0005-0000-0000-0000C90E0000}"/>
    <cellStyle name="20% - Accent2 7 4" xfId="1942" xr:uid="{00000000-0005-0000-0000-0000CA0E0000}"/>
    <cellStyle name="20% - Accent2 7 4 2" xfId="1943" xr:uid="{00000000-0005-0000-0000-0000CB0E0000}"/>
    <cellStyle name="20% - Accent2 7 4 2 2" xfId="13296" xr:uid="{00000000-0005-0000-0000-0000CC0E0000}"/>
    <cellStyle name="20% - Accent2 7 4 2 3" xfId="17247" xr:uid="{00000000-0005-0000-0000-0000CD0E0000}"/>
    <cellStyle name="20% - Accent2 7 4 3" xfId="1944" xr:uid="{00000000-0005-0000-0000-0000CE0E0000}"/>
    <cellStyle name="20% - Accent2 7 4 3 2" xfId="13297" xr:uid="{00000000-0005-0000-0000-0000CF0E0000}"/>
    <cellStyle name="20% - Accent2 7 4 3 3" xfId="17248" xr:uid="{00000000-0005-0000-0000-0000D00E0000}"/>
    <cellStyle name="20% - Accent2 7 4 4" xfId="13295" xr:uid="{00000000-0005-0000-0000-0000D10E0000}"/>
    <cellStyle name="20% - Accent2 7 4 5" xfId="17246" xr:uid="{00000000-0005-0000-0000-0000D20E0000}"/>
    <cellStyle name="20% - Accent2 7 5" xfId="1945" xr:uid="{00000000-0005-0000-0000-0000D30E0000}"/>
    <cellStyle name="20% - Accent2 7 5 2" xfId="1946" xr:uid="{00000000-0005-0000-0000-0000D40E0000}"/>
    <cellStyle name="20% - Accent2 7 5 2 2" xfId="13299" xr:uid="{00000000-0005-0000-0000-0000D50E0000}"/>
    <cellStyle name="20% - Accent2 7 5 2 3" xfId="17250" xr:uid="{00000000-0005-0000-0000-0000D60E0000}"/>
    <cellStyle name="20% - Accent2 7 5 3" xfId="1947" xr:uid="{00000000-0005-0000-0000-0000D70E0000}"/>
    <cellStyle name="20% - Accent2 7 5 3 2" xfId="13300" xr:uid="{00000000-0005-0000-0000-0000D80E0000}"/>
    <cellStyle name="20% - Accent2 7 5 3 3" xfId="17251" xr:uid="{00000000-0005-0000-0000-0000D90E0000}"/>
    <cellStyle name="20% - Accent2 7 5 4" xfId="13298" xr:uid="{00000000-0005-0000-0000-0000DA0E0000}"/>
    <cellStyle name="20% - Accent2 7 5 5" xfId="17249" xr:uid="{00000000-0005-0000-0000-0000DB0E0000}"/>
    <cellStyle name="20% - Accent2 7 6" xfId="1948" xr:uid="{00000000-0005-0000-0000-0000DC0E0000}"/>
    <cellStyle name="20% - Accent2 7 6 2" xfId="1949" xr:uid="{00000000-0005-0000-0000-0000DD0E0000}"/>
    <cellStyle name="20% - Accent2 7 6 2 2" xfId="13302" xr:uid="{00000000-0005-0000-0000-0000DE0E0000}"/>
    <cellStyle name="20% - Accent2 7 6 2 3" xfId="17253" xr:uid="{00000000-0005-0000-0000-0000DF0E0000}"/>
    <cellStyle name="20% - Accent2 7 6 3" xfId="1950" xr:uid="{00000000-0005-0000-0000-0000E00E0000}"/>
    <cellStyle name="20% - Accent2 7 6 3 2" xfId="13303" xr:uid="{00000000-0005-0000-0000-0000E10E0000}"/>
    <cellStyle name="20% - Accent2 7 6 3 3" xfId="17254" xr:uid="{00000000-0005-0000-0000-0000E20E0000}"/>
    <cellStyle name="20% - Accent2 7 6 4" xfId="13301" xr:uid="{00000000-0005-0000-0000-0000E30E0000}"/>
    <cellStyle name="20% - Accent2 7 6 5" xfId="17252" xr:uid="{00000000-0005-0000-0000-0000E40E0000}"/>
    <cellStyle name="20% - Accent2 7 7" xfId="1951" xr:uid="{00000000-0005-0000-0000-0000E50E0000}"/>
    <cellStyle name="20% - Accent2 7 7 2" xfId="13304" xr:uid="{00000000-0005-0000-0000-0000E60E0000}"/>
    <cellStyle name="20% - Accent2 7 7 3" xfId="17255" xr:uid="{00000000-0005-0000-0000-0000E70E0000}"/>
    <cellStyle name="20% - Accent2 7 8" xfId="1952" xr:uid="{00000000-0005-0000-0000-0000E80E0000}"/>
    <cellStyle name="20% - Accent2 7 8 2" xfId="13305" xr:uid="{00000000-0005-0000-0000-0000E90E0000}"/>
    <cellStyle name="20% - Accent2 7 8 3" xfId="17256" xr:uid="{00000000-0005-0000-0000-0000EA0E0000}"/>
    <cellStyle name="20% - Accent2 7 9" xfId="13273" xr:uid="{00000000-0005-0000-0000-0000EB0E0000}"/>
    <cellStyle name="20% - Accent2 7_Volatility" xfId="1953" xr:uid="{00000000-0005-0000-0000-0000EC0E0000}"/>
    <cellStyle name="20% - Accent2 8" xfId="1954" xr:uid="{00000000-0005-0000-0000-0000ED0E0000}"/>
    <cellStyle name="20% - Accent2 8 10" xfId="17257" xr:uid="{00000000-0005-0000-0000-0000EE0E0000}"/>
    <cellStyle name="20% - Accent2 8 2" xfId="1955" xr:uid="{00000000-0005-0000-0000-0000EF0E0000}"/>
    <cellStyle name="20% - Accent2 8 2 2" xfId="1956" xr:uid="{00000000-0005-0000-0000-0000F00E0000}"/>
    <cellStyle name="20% - Accent2 8 2 2 2" xfId="1957" xr:uid="{00000000-0005-0000-0000-0000F10E0000}"/>
    <cellStyle name="20% - Accent2 8 2 2 2 2" xfId="13309" xr:uid="{00000000-0005-0000-0000-0000F20E0000}"/>
    <cellStyle name="20% - Accent2 8 2 2 2 3" xfId="17260" xr:uid="{00000000-0005-0000-0000-0000F30E0000}"/>
    <cellStyle name="20% - Accent2 8 2 2 3" xfId="1958" xr:uid="{00000000-0005-0000-0000-0000F40E0000}"/>
    <cellStyle name="20% - Accent2 8 2 2 3 2" xfId="13310" xr:uid="{00000000-0005-0000-0000-0000F50E0000}"/>
    <cellStyle name="20% - Accent2 8 2 2 3 3" xfId="17261" xr:uid="{00000000-0005-0000-0000-0000F60E0000}"/>
    <cellStyle name="20% - Accent2 8 2 2 4" xfId="13308" xr:uid="{00000000-0005-0000-0000-0000F70E0000}"/>
    <cellStyle name="20% - Accent2 8 2 2 5" xfId="17259" xr:uid="{00000000-0005-0000-0000-0000F80E0000}"/>
    <cellStyle name="20% - Accent2 8 2 3" xfId="1959" xr:uid="{00000000-0005-0000-0000-0000F90E0000}"/>
    <cellStyle name="20% - Accent2 8 2 3 2" xfId="1960" xr:uid="{00000000-0005-0000-0000-0000FA0E0000}"/>
    <cellStyle name="20% - Accent2 8 2 3 2 2" xfId="13312" xr:uid="{00000000-0005-0000-0000-0000FB0E0000}"/>
    <cellStyle name="20% - Accent2 8 2 3 2 3" xfId="17263" xr:uid="{00000000-0005-0000-0000-0000FC0E0000}"/>
    <cellStyle name="20% - Accent2 8 2 3 3" xfId="1961" xr:uid="{00000000-0005-0000-0000-0000FD0E0000}"/>
    <cellStyle name="20% - Accent2 8 2 3 3 2" xfId="13313" xr:uid="{00000000-0005-0000-0000-0000FE0E0000}"/>
    <cellStyle name="20% - Accent2 8 2 3 3 3" xfId="17264" xr:uid="{00000000-0005-0000-0000-0000FF0E0000}"/>
    <cellStyle name="20% - Accent2 8 2 3 4" xfId="13311" xr:uid="{00000000-0005-0000-0000-0000000F0000}"/>
    <cellStyle name="20% - Accent2 8 2 3 5" xfId="17262" xr:uid="{00000000-0005-0000-0000-0000010F0000}"/>
    <cellStyle name="20% - Accent2 8 2 4" xfId="1962" xr:uid="{00000000-0005-0000-0000-0000020F0000}"/>
    <cellStyle name="20% - Accent2 8 2 4 2" xfId="1963" xr:uid="{00000000-0005-0000-0000-0000030F0000}"/>
    <cellStyle name="20% - Accent2 8 2 4 2 2" xfId="13315" xr:uid="{00000000-0005-0000-0000-0000040F0000}"/>
    <cellStyle name="20% - Accent2 8 2 4 2 3" xfId="17266" xr:uid="{00000000-0005-0000-0000-0000050F0000}"/>
    <cellStyle name="20% - Accent2 8 2 4 3" xfId="1964" xr:uid="{00000000-0005-0000-0000-0000060F0000}"/>
    <cellStyle name="20% - Accent2 8 2 4 3 2" xfId="13316" xr:uid="{00000000-0005-0000-0000-0000070F0000}"/>
    <cellStyle name="20% - Accent2 8 2 4 3 3" xfId="17267" xr:uid="{00000000-0005-0000-0000-0000080F0000}"/>
    <cellStyle name="20% - Accent2 8 2 4 4" xfId="13314" xr:uid="{00000000-0005-0000-0000-0000090F0000}"/>
    <cellStyle name="20% - Accent2 8 2 4 5" xfId="17265" xr:uid="{00000000-0005-0000-0000-00000A0F0000}"/>
    <cellStyle name="20% - Accent2 8 2 5" xfId="1965" xr:uid="{00000000-0005-0000-0000-00000B0F0000}"/>
    <cellStyle name="20% - Accent2 8 2 5 2" xfId="13317" xr:uid="{00000000-0005-0000-0000-00000C0F0000}"/>
    <cellStyle name="20% - Accent2 8 2 5 3" xfId="17268" xr:uid="{00000000-0005-0000-0000-00000D0F0000}"/>
    <cellStyle name="20% - Accent2 8 2 6" xfId="1966" xr:uid="{00000000-0005-0000-0000-00000E0F0000}"/>
    <cellStyle name="20% - Accent2 8 2 6 2" xfId="13318" xr:uid="{00000000-0005-0000-0000-00000F0F0000}"/>
    <cellStyle name="20% - Accent2 8 2 6 3" xfId="17269" xr:uid="{00000000-0005-0000-0000-0000100F0000}"/>
    <cellStyle name="20% - Accent2 8 2 7" xfId="13307" xr:uid="{00000000-0005-0000-0000-0000110F0000}"/>
    <cellStyle name="20% - Accent2 8 2 8" xfId="17258" xr:uid="{00000000-0005-0000-0000-0000120F0000}"/>
    <cellStyle name="20% - Accent2 8 2_Volatility" xfId="1967" xr:uid="{00000000-0005-0000-0000-0000130F0000}"/>
    <cellStyle name="20% - Accent2 8 3" xfId="1968" xr:uid="{00000000-0005-0000-0000-0000140F0000}"/>
    <cellStyle name="20% - Accent2 8 3 2" xfId="1969" xr:uid="{00000000-0005-0000-0000-0000150F0000}"/>
    <cellStyle name="20% - Accent2 8 3 2 2" xfId="1970" xr:uid="{00000000-0005-0000-0000-0000160F0000}"/>
    <cellStyle name="20% - Accent2 8 3 2 2 2" xfId="13321" xr:uid="{00000000-0005-0000-0000-0000170F0000}"/>
    <cellStyle name="20% - Accent2 8 3 2 2 3" xfId="17272" xr:uid="{00000000-0005-0000-0000-0000180F0000}"/>
    <cellStyle name="20% - Accent2 8 3 2 3" xfId="1971" xr:uid="{00000000-0005-0000-0000-0000190F0000}"/>
    <cellStyle name="20% - Accent2 8 3 2 3 2" xfId="13322" xr:uid="{00000000-0005-0000-0000-00001A0F0000}"/>
    <cellStyle name="20% - Accent2 8 3 2 3 3" xfId="17273" xr:uid="{00000000-0005-0000-0000-00001B0F0000}"/>
    <cellStyle name="20% - Accent2 8 3 2 4" xfId="13320" xr:uid="{00000000-0005-0000-0000-00001C0F0000}"/>
    <cellStyle name="20% - Accent2 8 3 2 5" xfId="17271" xr:uid="{00000000-0005-0000-0000-00001D0F0000}"/>
    <cellStyle name="20% - Accent2 8 3 3" xfId="1972" xr:uid="{00000000-0005-0000-0000-00001E0F0000}"/>
    <cellStyle name="20% - Accent2 8 3 3 2" xfId="1973" xr:uid="{00000000-0005-0000-0000-00001F0F0000}"/>
    <cellStyle name="20% - Accent2 8 3 3 2 2" xfId="13324" xr:uid="{00000000-0005-0000-0000-0000200F0000}"/>
    <cellStyle name="20% - Accent2 8 3 3 2 3" xfId="17275" xr:uid="{00000000-0005-0000-0000-0000210F0000}"/>
    <cellStyle name="20% - Accent2 8 3 3 3" xfId="1974" xr:uid="{00000000-0005-0000-0000-0000220F0000}"/>
    <cellStyle name="20% - Accent2 8 3 3 3 2" xfId="13325" xr:uid="{00000000-0005-0000-0000-0000230F0000}"/>
    <cellStyle name="20% - Accent2 8 3 3 3 3" xfId="17276" xr:uid="{00000000-0005-0000-0000-0000240F0000}"/>
    <cellStyle name="20% - Accent2 8 3 3 4" xfId="13323" xr:uid="{00000000-0005-0000-0000-0000250F0000}"/>
    <cellStyle name="20% - Accent2 8 3 3 5" xfId="17274" xr:uid="{00000000-0005-0000-0000-0000260F0000}"/>
    <cellStyle name="20% - Accent2 8 3 4" xfId="1975" xr:uid="{00000000-0005-0000-0000-0000270F0000}"/>
    <cellStyle name="20% - Accent2 8 3 4 2" xfId="13326" xr:uid="{00000000-0005-0000-0000-0000280F0000}"/>
    <cellStyle name="20% - Accent2 8 3 4 3" xfId="17277" xr:uid="{00000000-0005-0000-0000-0000290F0000}"/>
    <cellStyle name="20% - Accent2 8 3 5" xfId="1976" xr:uid="{00000000-0005-0000-0000-00002A0F0000}"/>
    <cellStyle name="20% - Accent2 8 3 5 2" xfId="13327" xr:uid="{00000000-0005-0000-0000-00002B0F0000}"/>
    <cellStyle name="20% - Accent2 8 3 5 3" xfId="17278" xr:uid="{00000000-0005-0000-0000-00002C0F0000}"/>
    <cellStyle name="20% - Accent2 8 3 6" xfId="13319" xr:uid="{00000000-0005-0000-0000-00002D0F0000}"/>
    <cellStyle name="20% - Accent2 8 3 7" xfId="17270" xr:uid="{00000000-0005-0000-0000-00002E0F0000}"/>
    <cellStyle name="20% - Accent2 8 3_Volatility" xfId="1977" xr:uid="{00000000-0005-0000-0000-00002F0F0000}"/>
    <cellStyle name="20% - Accent2 8 4" xfId="1978" xr:uid="{00000000-0005-0000-0000-0000300F0000}"/>
    <cellStyle name="20% - Accent2 8 4 2" xfId="1979" xr:uid="{00000000-0005-0000-0000-0000310F0000}"/>
    <cellStyle name="20% - Accent2 8 4 2 2" xfId="13329" xr:uid="{00000000-0005-0000-0000-0000320F0000}"/>
    <cellStyle name="20% - Accent2 8 4 2 3" xfId="17280" xr:uid="{00000000-0005-0000-0000-0000330F0000}"/>
    <cellStyle name="20% - Accent2 8 4 3" xfId="1980" xr:uid="{00000000-0005-0000-0000-0000340F0000}"/>
    <cellStyle name="20% - Accent2 8 4 3 2" xfId="13330" xr:uid="{00000000-0005-0000-0000-0000350F0000}"/>
    <cellStyle name="20% - Accent2 8 4 3 3" xfId="17281" xr:uid="{00000000-0005-0000-0000-0000360F0000}"/>
    <cellStyle name="20% - Accent2 8 4 4" xfId="13328" xr:uid="{00000000-0005-0000-0000-0000370F0000}"/>
    <cellStyle name="20% - Accent2 8 4 5" xfId="17279" xr:uid="{00000000-0005-0000-0000-0000380F0000}"/>
    <cellStyle name="20% - Accent2 8 5" xfId="1981" xr:uid="{00000000-0005-0000-0000-0000390F0000}"/>
    <cellStyle name="20% - Accent2 8 5 2" xfId="1982" xr:uid="{00000000-0005-0000-0000-00003A0F0000}"/>
    <cellStyle name="20% - Accent2 8 5 2 2" xfId="13332" xr:uid="{00000000-0005-0000-0000-00003B0F0000}"/>
    <cellStyle name="20% - Accent2 8 5 2 3" xfId="17283" xr:uid="{00000000-0005-0000-0000-00003C0F0000}"/>
    <cellStyle name="20% - Accent2 8 5 3" xfId="1983" xr:uid="{00000000-0005-0000-0000-00003D0F0000}"/>
    <cellStyle name="20% - Accent2 8 5 3 2" xfId="13333" xr:uid="{00000000-0005-0000-0000-00003E0F0000}"/>
    <cellStyle name="20% - Accent2 8 5 3 3" xfId="17284" xr:uid="{00000000-0005-0000-0000-00003F0F0000}"/>
    <cellStyle name="20% - Accent2 8 5 4" xfId="13331" xr:uid="{00000000-0005-0000-0000-0000400F0000}"/>
    <cellStyle name="20% - Accent2 8 5 5" xfId="17282" xr:uid="{00000000-0005-0000-0000-0000410F0000}"/>
    <cellStyle name="20% - Accent2 8 6" xfId="1984" xr:uid="{00000000-0005-0000-0000-0000420F0000}"/>
    <cellStyle name="20% - Accent2 8 6 2" xfId="1985" xr:uid="{00000000-0005-0000-0000-0000430F0000}"/>
    <cellStyle name="20% - Accent2 8 6 2 2" xfId="13335" xr:uid="{00000000-0005-0000-0000-0000440F0000}"/>
    <cellStyle name="20% - Accent2 8 6 2 3" xfId="17286" xr:uid="{00000000-0005-0000-0000-0000450F0000}"/>
    <cellStyle name="20% - Accent2 8 6 3" xfId="1986" xr:uid="{00000000-0005-0000-0000-0000460F0000}"/>
    <cellStyle name="20% - Accent2 8 6 3 2" xfId="13336" xr:uid="{00000000-0005-0000-0000-0000470F0000}"/>
    <cellStyle name="20% - Accent2 8 6 3 3" xfId="17287" xr:uid="{00000000-0005-0000-0000-0000480F0000}"/>
    <cellStyle name="20% - Accent2 8 6 4" xfId="13334" xr:uid="{00000000-0005-0000-0000-0000490F0000}"/>
    <cellStyle name="20% - Accent2 8 6 5" xfId="17285" xr:uid="{00000000-0005-0000-0000-00004A0F0000}"/>
    <cellStyle name="20% - Accent2 8 7" xfId="1987" xr:uid="{00000000-0005-0000-0000-00004B0F0000}"/>
    <cellStyle name="20% - Accent2 8 7 2" xfId="13337" xr:uid="{00000000-0005-0000-0000-00004C0F0000}"/>
    <cellStyle name="20% - Accent2 8 7 3" xfId="17288" xr:uid="{00000000-0005-0000-0000-00004D0F0000}"/>
    <cellStyle name="20% - Accent2 8 8" xfId="1988" xr:uid="{00000000-0005-0000-0000-00004E0F0000}"/>
    <cellStyle name="20% - Accent2 8 8 2" xfId="13338" xr:uid="{00000000-0005-0000-0000-00004F0F0000}"/>
    <cellStyle name="20% - Accent2 8 8 3" xfId="17289" xr:uid="{00000000-0005-0000-0000-0000500F0000}"/>
    <cellStyle name="20% - Accent2 8 9" xfId="13306" xr:uid="{00000000-0005-0000-0000-0000510F0000}"/>
    <cellStyle name="20% - Accent2 8_Volatility" xfId="1989" xr:uid="{00000000-0005-0000-0000-0000520F0000}"/>
    <cellStyle name="20% - Accent2 9" xfId="1990" xr:uid="{00000000-0005-0000-0000-0000530F0000}"/>
    <cellStyle name="20% - Accent2 9 10" xfId="17290" xr:uid="{00000000-0005-0000-0000-0000540F0000}"/>
    <cellStyle name="20% - Accent2 9 2" xfId="1991" xr:uid="{00000000-0005-0000-0000-0000550F0000}"/>
    <cellStyle name="20% - Accent2 9 2 2" xfId="1992" xr:uid="{00000000-0005-0000-0000-0000560F0000}"/>
    <cellStyle name="20% - Accent2 9 2 2 2" xfId="1993" xr:uid="{00000000-0005-0000-0000-0000570F0000}"/>
    <cellStyle name="20% - Accent2 9 2 2 2 2" xfId="13342" xr:uid="{00000000-0005-0000-0000-0000580F0000}"/>
    <cellStyle name="20% - Accent2 9 2 2 2 3" xfId="17293" xr:uid="{00000000-0005-0000-0000-0000590F0000}"/>
    <cellStyle name="20% - Accent2 9 2 2 3" xfId="1994" xr:uid="{00000000-0005-0000-0000-00005A0F0000}"/>
    <cellStyle name="20% - Accent2 9 2 2 3 2" xfId="13343" xr:uid="{00000000-0005-0000-0000-00005B0F0000}"/>
    <cellStyle name="20% - Accent2 9 2 2 3 3" xfId="17294" xr:uid="{00000000-0005-0000-0000-00005C0F0000}"/>
    <cellStyle name="20% - Accent2 9 2 2 4" xfId="13341" xr:uid="{00000000-0005-0000-0000-00005D0F0000}"/>
    <cellStyle name="20% - Accent2 9 2 2 5" xfId="17292" xr:uid="{00000000-0005-0000-0000-00005E0F0000}"/>
    <cellStyle name="20% - Accent2 9 2 3" xfId="1995" xr:uid="{00000000-0005-0000-0000-00005F0F0000}"/>
    <cellStyle name="20% - Accent2 9 2 3 2" xfId="1996" xr:uid="{00000000-0005-0000-0000-0000600F0000}"/>
    <cellStyle name="20% - Accent2 9 2 3 2 2" xfId="13345" xr:uid="{00000000-0005-0000-0000-0000610F0000}"/>
    <cellStyle name="20% - Accent2 9 2 3 2 3" xfId="17296" xr:uid="{00000000-0005-0000-0000-0000620F0000}"/>
    <cellStyle name="20% - Accent2 9 2 3 3" xfId="1997" xr:uid="{00000000-0005-0000-0000-0000630F0000}"/>
    <cellStyle name="20% - Accent2 9 2 3 3 2" xfId="13346" xr:uid="{00000000-0005-0000-0000-0000640F0000}"/>
    <cellStyle name="20% - Accent2 9 2 3 3 3" xfId="17297" xr:uid="{00000000-0005-0000-0000-0000650F0000}"/>
    <cellStyle name="20% - Accent2 9 2 3 4" xfId="13344" xr:uid="{00000000-0005-0000-0000-0000660F0000}"/>
    <cellStyle name="20% - Accent2 9 2 3 5" xfId="17295" xr:uid="{00000000-0005-0000-0000-0000670F0000}"/>
    <cellStyle name="20% - Accent2 9 2 4" xfId="1998" xr:uid="{00000000-0005-0000-0000-0000680F0000}"/>
    <cellStyle name="20% - Accent2 9 2 4 2" xfId="1999" xr:uid="{00000000-0005-0000-0000-0000690F0000}"/>
    <cellStyle name="20% - Accent2 9 2 4 2 2" xfId="13348" xr:uid="{00000000-0005-0000-0000-00006A0F0000}"/>
    <cellStyle name="20% - Accent2 9 2 4 2 3" xfId="17299" xr:uid="{00000000-0005-0000-0000-00006B0F0000}"/>
    <cellStyle name="20% - Accent2 9 2 4 3" xfId="2000" xr:uid="{00000000-0005-0000-0000-00006C0F0000}"/>
    <cellStyle name="20% - Accent2 9 2 4 3 2" xfId="13349" xr:uid="{00000000-0005-0000-0000-00006D0F0000}"/>
    <cellStyle name="20% - Accent2 9 2 4 3 3" xfId="17300" xr:uid="{00000000-0005-0000-0000-00006E0F0000}"/>
    <cellStyle name="20% - Accent2 9 2 4 4" xfId="13347" xr:uid="{00000000-0005-0000-0000-00006F0F0000}"/>
    <cellStyle name="20% - Accent2 9 2 4 5" xfId="17298" xr:uid="{00000000-0005-0000-0000-0000700F0000}"/>
    <cellStyle name="20% - Accent2 9 2 5" xfId="2001" xr:uid="{00000000-0005-0000-0000-0000710F0000}"/>
    <cellStyle name="20% - Accent2 9 2 5 2" xfId="13350" xr:uid="{00000000-0005-0000-0000-0000720F0000}"/>
    <cellStyle name="20% - Accent2 9 2 5 3" xfId="17301" xr:uid="{00000000-0005-0000-0000-0000730F0000}"/>
    <cellStyle name="20% - Accent2 9 2 6" xfId="2002" xr:uid="{00000000-0005-0000-0000-0000740F0000}"/>
    <cellStyle name="20% - Accent2 9 2 6 2" xfId="13351" xr:uid="{00000000-0005-0000-0000-0000750F0000}"/>
    <cellStyle name="20% - Accent2 9 2 6 3" xfId="17302" xr:uid="{00000000-0005-0000-0000-0000760F0000}"/>
    <cellStyle name="20% - Accent2 9 2 7" xfId="13340" xr:uid="{00000000-0005-0000-0000-0000770F0000}"/>
    <cellStyle name="20% - Accent2 9 2 8" xfId="17291" xr:uid="{00000000-0005-0000-0000-0000780F0000}"/>
    <cellStyle name="20% - Accent2 9 2_Volatility" xfId="2003" xr:uid="{00000000-0005-0000-0000-0000790F0000}"/>
    <cellStyle name="20% - Accent2 9 3" xfId="2004" xr:uid="{00000000-0005-0000-0000-00007A0F0000}"/>
    <cellStyle name="20% - Accent2 9 3 2" xfId="2005" xr:uid="{00000000-0005-0000-0000-00007B0F0000}"/>
    <cellStyle name="20% - Accent2 9 3 2 2" xfId="2006" xr:uid="{00000000-0005-0000-0000-00007C0F0000}"/>
    <cellStyle name="20% - Accent2 9 3 2 2 2" xfId="13354" xr:uid="{00000000-0005-0000-0000-00007D0F0000}"/>
    <cellStyle name="20% - Accent2 9 3 2 2 3" xfId="17305" xr:uid="{00000000-0005-0000-0000-00007E0F0000}"/>
    <cellStyle name="20% - Accent2 9 3 2 3" xfId="2007" xr:uid="{00000000-0005-0000-0000-00007F0F0000}"/>
    <cellStyle name="20% - Accent2 9 3 2 3 2" xfId="13355" xr:uid="{00000000-0005-0000-0000-0000800F0000}"/>
    <cellStyle name="20% - Accent2 9 3 2 3 3" xfId="17306" xr:uid="{00000000-0005-0000-0000-0000810F0000}"/>
    <cellStyle name="20% - Accent2 9 3 2 4" xfId="13353" xr:uid="{00000000-0005-0000-0000-0000820F0000}"/>
    <cellStyle name="20% - Accent2 9 3 2 5" xfId="17304" xr:uid="{00000000-0005-0000-0000-0000830F0000}"/>
    <cellStyle name="20% - Accent2 9 3 3" xfId="2008" xr:uid="{00000000-0005-0000-0000-0000840F0000}"/>
    <cellStyle name="20% - Accent2 9 3 3 2" xfId="2009" xr:uid="{00000000-0005-0000-0000-0000850F0000}"/>
    <cellStyle name="20% - Accent2 9 3 3 2 2" xfId="13357" xr:uid="{00000000-0005-0000-0000-0000860F0000}"/>
    <cellStyle name="20% - Accent2 9 3 3 2 3" xfId="17308" xr:uid="{00000000-0005-0000-0000-0000870F0000}"/>
    <cellStyle name="20% - Accent2 9 3 3 3" xfId="2010" xr:uid="{00000000-0005-0000-0000-0000880F0000}"/>
    <cellStyle name="20% - Accent2 9 3 3 3 2" xfId="13358" xr:uid="{00000000-0005-0000-0000-0000890F0000}"/>
    <cellStyle name="20% - Accent2 9 3 3 3 3" xfId="17309" xr:uid="{00000000-0005-0000-0000-00008A0F0000}"/>
    <cellStyle name="20% - Accent2 9 3 3 4" xfId="13356" xr:uid="{00000000-0005-0000-0000-00008B0F0000}"/>
    <cellStyle name="20% - Accent2 9 3 3 5" xfId="17307" xr:uid="{00000000-0005-0000-0000-00008C0F0000}"/>
    <cellStyle name="20% - Accent2 9 3 4" xfId="2011" xr:uid="{00000000-0005-0000-0000-00008D0F0000}"/>
    <cellStyle name="20% - Accent2 9 3 4 2" xfId="13359" xr:uid="{00000000-0005-0000-0000-00008E0F0000}"/>
    <cellStyle name="20% - Accent2 9 3 4 3" xfId="17310" xr:uid="{00000000-0005-0000-0000-00008F0F0000}"/>
    <cellStyle name="20% - Accent2 9 3 5" xfId="2012" xr:uid="{00000000-0005-0000-0000-0000900F0000}"/>
    <cellStyle name="20% - Accent2 9 3 5 2" xfId="13360" xr:uid="{00000000-0005-0000-0000-0000910F0000}"/>
    <cellStyle name="20% - Accent2 9 3 5 3" xfId="17311" xr:uid="{00000000-0005-0000-0000-0000920F0000}"/>
    <cellStyle name="20% - Accent2 9 3 6" xfId="13352" xr:uid="{00000000-0005-0000-0000-0000930F0000}"/>
    <cellStyle name="20% - Accent2 9 3 7" xfId="17303" xr:uid="{00000000-0005-0000-0000-0000940F0000}"/>
    <cellStyle name="20% - Accent2 9 3_Volatility" xfId="2013" xr:uid="{00000000-0005-0000-0000-0000950F0000}"/>
    <cellStyle name="20% - Accent2 9 4" xfId="2014" xr:uid="{00000000-0005-0000-0000-0000960F0000}"/>
    <cellStyle name="20% - Accent2 9 4 2" xfId="2015" xr:uid="{00000000-0005-0000-0000-0000970F0000}"/>
    <cellStyle name="20% - Accent2 9 4 2 2" xfId="13362" xr:uid="{00000000-0005-0000-0000-0000980F0000}"/>
    <cellStyle name="20% - Accent2 9 4 2 3" xfId="17313" xr:uid="{00000000-0005-0000-0000-0000990F0000}"/>
    <cellStyle name="20% - Accent2 9 4 3" xfId="2016" xr:uid="{00000000-0005-0000-0000-00009A0F0000}"/>
    <cellStyle name="20% - Accent2 9 4 3 2" xfId="13363" xr:uid="{00000000-0005-0000-0000-00009B0F0000}"/>
    <cellStyle name="20% - Accent2 9 4 3 3" xfId="17314" xr:uid="{00000000-0005-0000-0000-00009C0F0000}"/>
    <cellStyle name="20% - Accent2 9 4 4" xfId="13361" xr:uid="{00000000-0005-0000-0000-00009D0F0000}"/>
    <cellStyle name="20% - Accent2 9 4 5" xfId="17312" xr:uid="{00000000-0005-0000-0000-00009E0F0000}"/>
    <cellStyle name="20% - Accent2 9 5" xfId="2017" xr:uid="{00000000-0005-0000-0000-00009F0F0000}"/>
    <cellStyle name="20% - Accent2 9 5 2" xfId="2018" xr:uid="{00000000-0005-0000-0000-0000A00F0000}"/>
    <cellStyle name="20% - Accent2 9 5 2 2" xfId="13365" xr:uid="{00000000-0005-0000-0000-0000A10F0000}"/>
    <cellStyle name="20% - Accent2 9 5 2 3" xfId="17316" xr:uid="{00000000-0005-0000-0000-0000A20F0000}"/>
    <cellStyle name="20% - Accent2 9 5 3" xfId="2019" xr:uid="{00000000-0005-0000-0000-0000A30F0000}"/>
    <cellStyle name="20% - Accent2 9 5 3 2" xfId="13366" xr:uid="{00000000-0005-0000-0000-0000A40F0000}"/>
    <cellStyle name="20% - Accent2 9 5 3 3" xfId="17317" xr:uid="{00000000-0005-0000-0000-0000A50F0000}"/>
    <cellStyle name="20% - Accent2 9 5 4" xfId="13364" xr:uid="{00000000-0005-0000-0000-0000A60F0000}"/>
    <cellStyle name="20% - Accent2 9 5 5" xfId="17315" xr:uid="{00000000-0005-0000-0000-0000A70F0000}"/>
    <cellStyle name="20% - Accent2 9 6" xfId="2020" xr:uid="{00000000-0005-0000-0000-0000A80F0000}"/>
    <cellStyle name="20% - Accent2 9 6 2" xfId="2021" xr:uid="{00000000-0005-0000-0000-0000A90F0000}"/>
    <cellStyle name="20% - Accent2 9 6 2 2" xfId="13368" xr:uid="{00000000-0005-0000-0000-0000AA0F0000}"/>
    <cellStyle name="20% - Accent2 9 6 2 3" xfId="17319" xr:uid="{00000000-0005-0000-0000-0000AB0F0000}"/>
    <cellStyle name="20% - Accent2 9 6 3" xfId="2022" xr:uid="{00000000-0005-0000-0000-0000AC0F0000}"/>
    <cellStyle name="20% - Accent2 9 6 3 2" xfId="13369" xr:uid="{00000000-0005-0000-0000-0000AD0F0000}"/>
    <cellStyle name="20% - Accent2 9 6 3 3" xfId="17320" xr:uid="{00000000-0005-0000-0000-0000AE0F0000}"/>
    <cellStyle name="20% - Accent2 9 6 4" xfId="13367" xr:uid="{00000000-0005-0000-0000-0000AF0F0000}"/>
    <cellStyle name="20% - Accent2 9 6 5" xfId="17318" xr:uid="{00000000-0005-0000-0000-0000B00F0000}"/>
    <cellStyle name="20% - Accent2 9 7" xfId="2023" xr:uid="{00000000-0005-0000-0000-0000B10F0000}"/>
    <cellStyle name="20% - Accent2 9 7 2" xfId="13370" xr:uid="{00000000-0005-0000-0000-0000B20F0000}"/>
    <cellStyle name="20% - Accent2 9 7 3" xfId="17321" xr:uid="{00000000-0005-0000-0000-0000B30F0000}"/>
    <cellStyle name="20% - Accent2 9 8" xfId="2024" xr:uid="{00000000-0005-0000-0000-0000B40F0000}"/>
    <cellStyle name="20% - Accent2 9 8 2" xfId="13371" xr:uid="{00000000-0005-0000-0000-0000B50F0000}"/>
    <cellStyle name="20% - Accent2 9 8 3" xfId="17322" xr:uid="{00000000-0005-0000-0000-0000B60F0000}"/>
    <cellStyle name="20% - Accent2 9 9" xfId="13339" xr:uid="{00000000-0005-0000-0000-0000B70F0000}"/>
    <cellStyle name="20% - Accent2 9_Volatility" xfId="2025" xr:uid="{00000000-0005-0000-0000-0000B80F0000}"/>
    <cellStyle name="20% - Accent3 10" xfId="2026" xr:uid="{00000000-0005-0000-0000-0000B90F0000}"/>
    <cellStyle name="20% - Accent3 10 10" xfId="17323" xr:uid="{00000000-0005-0000-0000-0000BA0F0000}"/>
    <cellStyle name="20% - Accent3 10 2" xfId="2027" xr:uid="{00000000-0005-0000-0000-0000BB0F0000}"/>
    <cellStyle name="20% - Accent3 10 2 2" xfId="2028" xr:uid="{00000000-0005-0000-0000-0000BC0F0000}"/>
    <cellStyle name="20% - Accent3 10 2 2 2" xfId="2029" xr:uid="{00000000-0005-0000-0000-0000BD0F0000}"/>
    <cellStyle name="20% - Accent3 10 2 2 2 2" xfId="13375" xr:uid="{00000000-0005-0000-0000-0000BE0F0000}"/>
    <cellStyle name="20% - Accent3 10 2 2 2 3" xfId="17326" xr:uid="{00000000-0005-0000-0000-0000BF0F0000}"/>
    <cellStyle name="20% - Accent3 10 2 2 3" xfId="2030" xr:uid="{00000000-0005-0000-0000-0000C00F0000}"/>
    <cellStyle name="20% - Accent3 10 2 2 3 2" xfId="13376" xr:uid="{00000000-0005-0000-0000-0000C10F0000}"/>
    <cellStyle name="20% - Accent3 10 2 2 3 3" xfId="17327" xr:uid="{00000000-0005-0000-0000-0000C20F0000}"/>
    <cellStyle name="20% - Accent3 10 2 2 4" xfId="13374" xr:uid="{00000000-0005-0000-0000-0000C30F0000}"/>
    <cellStyle name="20% - Accent3 10 2 2 5" xfId="17325" xr:uid="{00000000-0005-0000-0000-0000C40F0000}"/>
    <cellStyle name="20% - Accent3 10 2 3" xfId="2031" xr:uid="{00000000-0005-0000-0000-0000C50F0000}"/>
    <cellStyle name="20% - Accent3 10 2 3 2" xfId="2032" xr:uid="{00000000-0005-0000-0000-0000C60F0000}"/>
    <cellStyle name="20% - Accent3 10 2 3 2 2" xfId="13378" xr:uid="{00000000-0005-0000-0000-0000C70F0000}"/>
    <cellStyle name="20% - Accent3 10 2 3 2 3" xfId="17329" xr:uid="{00000000-0005-0000-0000-0000C80F0000}"/>
    <cellStyle name="20% - Accent3 10 2 3 3" xfId="2033" xr:uid="{00000000-0005-0000-0000-0000C90F0000}"/>
    <cellStyle name="20% - Accent3 10 2 3 3 2" xfId="13379" xr:uid="{00000000-0005-0000-0000-0000CA0F0000}"/>
    <cellStyle name="20% - Accent3 10 2 3 3 3" xfId="17330" xr:uid="{00000000-0005-0000-0000-0000CB0F0000}"/>
    <cellStyle name="20% - Accent3 10 2 3 4" xfId="13377" xr:uid="{00000000-0005-0000-0000-0000CC0F0000}"/>
    <cellStyle name="20% - Accent3 10 2 3 5" xfId="17328" xr:uid="{00000000-0005-0000-0000-0000CD0F0000}"/>
    <cellStyle name="20% - Accent3 10 2 4" xfId="2034" xr:uid="{00000000-0005-0000-0000-0000CE0F0000}"/>
    <cellStyle name="20% - Accent3 10 2 4 2" xfId="2035" xr:uid="{00000000-0005-0000-0000-0000CF0F0000}"/>
    <cellStyle name="20% - Accent3 10 2 4 2 2" xfId="13381" xr:uid="{00000000-0005-0000-0000-0000D00F0000}"/>
    <cellStyle name="20% - Accent3 10 2 4 2 3" xfId="17332" xr:uid="{00000000-0005-0000-0000-0000D10F0000}"/>
    <cellStyle name="20% - Accent3 10 2 4 3" xfId="2036" xr:uid="{00000000-0005-0000-0000-0000D20F0000}"/>
    <cellStyle name="20% - Accent3 10 2 4 3 2" xfId="13382" xr:uid="{00000000-0005-0000-0000-0000D30F0000}"/>
    <cellStyle name="20% - Accent3 10 2 4 3 3" xfId="17333" xr:uid="{00000000-0005-0000-0000-0000D40F0000}"/>
    <cellStyle name="20% - Accent3 10 2 4 4" xfId="13380" xr:uid="{00000000-0005-0000-0000-0000D50F0000}"/>
    <cellStyle name="20% - Accent3 10 2 4 5" xfId="17331" xr:uid="{00000000-0005-0000-0000-0000D60F0000}"/>
    <cellStyle name="20% - Accent3 10 2 5" xfId="2037" xr:uid="{00000000-0005-0000-0000-0000D70F0000}"/>
    <cellStyle name="20% - Accent3 10 2 5 2" xfId="13383" xr:uid="{00000000-0005-0000-0000-0000D80F0000}"/>
    <cellStyle name="20% - Accent3 10 2 5 3" xfId="17334" xr:uid="{00000000-0005-0000-0000-0000D90F0000}"/>
    <cellStyle name="20% - Accent3 10 2 6" xfId="2038" xr:uid="{00000000-0005-0000-0000-0000DA0F0000}"/>
    <cellStyle name="20% - Accent3 10 2 6 2" xfId="13384" xr:uid="{00000000-0005-0000-0000-0000DB0F0000}"/>
    <cellStyle name="20% - Accent3 10 2 6 3" xfId="17335" xr:uid="{00000000-0005-0000-0000-0000DC0F0000}"/>
    <cellStyle name="20% - Accent3 10 2 7" xfId="13373" xr:uid="{00000000-0005-0000-0000-0000DD0F0000}"/>
    <cellStyle name="20% - Accent3 10 2 8" xfId="17324" xr:uid="{00000000-0005-0000-0000-0000DE0F0000}"/>
    <cellStyle name="20% - Accent3 10 2_Volatility" xfId="2039" xr:uid="{00000000-0005-0000-0000-0000DF0F0000}"/>
    <cellStyle name="20% - Accent3 10 3" xfId="2040" xr:uid="{00000000-0005-0000-0000-0000E00F0000}"/>
    <cellStyle name="20% - Accent3 10 3 2" xfId="2041" xr:uid="{00000000-0005-0000-0000-0000E10F0000}"/>
    <cellStyle name="20% - Accent3 10 3 2 2" xfId="2042" xr:uid="{00000000-0005-0000-0000-0000E20F0000}"/>
    <cellStyle name="20% - Accent3 10 3 2 2 2" xfId="13387" xr:uid="{00000000-0005-0000-0000-0000E30F0000}"/>
    <cellStyle name="20% - Accent3 10 3 2 2 3" xfId="17338" xr:uid="{00000000-0005-0000-0000-0000E40F0000}"/>
    <cellStyle name="20% - Accent3 10 3 2 3" xfId="2043" xr:uid="{00000000-0005-0000-0000-0000E50F0000}"/>
    <cellStyle name="20% - Accent3 10 3 2 3 2" xfId="13388" xr:uid="{00000000-0005-0000-0000-0000E60F0000}"/>
    <cellStyle name="20% - Accent3 10 3 2 3 3" xfId="17339" xr:uid="{00000000-0005-0000-0000-0000E70F0000}"/>
    <cellStyle name="20% - Accent3 10 3 2 4" xfId="13386" xr:uid="{00000000-0005-0000-0000-0000E80F0000}"/>
    <cellStyle name="20% - Accent3 10 3 2 5" xfId="17337" xr:uid="{00000000-0005-0000-0000-0000E90F0000}"/>
    <cellStyle name="20% - Accent3 10 3 3" xfId="2044" xr:uid="{00000000-0005-0000-0000-0000EA0F0000}"/>
    <cellStyle name="20% - Accent3 10 3 3 2" xfId="2045" xr:uid="{00000000-0005-0000-0000-0000EB0F0000}"/>
    <cellStyle name="20% - Accent3 10 3 3 2 2" xfId="13390" xr:uid="{00000000-0005-0000-0000-0000EC0F0000}"/>
    <cellStyle name="20% - Accent3 10 3 3 2 3" xfId="17341" xr:uid="{00000000-0005-0000-0000-0000ED0F0000}"/>
    <cellStyle name="20% - Accent3 10 3 3 3" xfId="2046" xr:uid="{00000000-0005-0000-0000-0000EE0F0000}"/>
    <cellStyle name="20% - Accent3 10 3 3 3 2" xfId="13391" xr:uid="{00000000-0005-0000-0000-0000EF0F0000}"/>
    <cellStyle name="20% - Accent3 10 3 3 3 3" xfId="17342" xr:uid="{00000000-0005-0000-0000-0000F00F0000}"/>
    <cellStyle name="20% - Accent3 10 3 3 4" xfId="13389" xr:uid="{00000000-0005-0000-0000-0000F10F0000}"/>
    <cellStyle name="20% - Accent3 10 3 3 5" xfId="17340" xr:uid="{00000000-0005-0000-0000-0000F20F0000}"/>
    <cellStyle name="20% - Accent3 10 3 4" xfId="2047" xr:uid="{00000000-0005-0000-0000-0000F30F0000}"/>
    <cellStyle name="20% - Accent3 10 3 4 2" xfId="13392" xr:uid="{00000000-0005-0000-0000-0000F40F0000}"/>
    <cellStyle name="20% - Accent3 10 3 4 3" xfId="17343" xr:uid="{00000000-0005-0000-0000-0000F50F0000}"/>
    <cellStyle name="20% - Accent3 10 3 5" xfId="2048" xr:uid="{00000000-0005-0000-0000-0000F60F0000}"/>
    <cellStyle name="20% - Accent3 10 3 5 2" xfId="13393" xr:uid="{00000000-0005-0000-0000-0000F70F0000}"/>
    <cellStyle name="20% - Accent3 10 3 5 3" xfId="17344" xr:uid="{00000000-0005-0000-0000-0000F80F0000}"/>
    <cellStyle name="20% - Accent3 10 3 6" xfId="13385" xr:uid="{00000000-0005-0000-0000-0000F90F0000}"/>
    <cellStyle name="20% - Accent3 10 3 7" xfId="17336" xr:uid="{00000000-0005-0000-0000-0000FA0F0000}"/>
    <cellStyle name="20% - Accent3 10 3_Volatility" xfId="2049" xr:uid="{00000000-0005-0000-0000-0000FB0F0000}"/>
    <cellStyle name="20% - Accent3 10 4" xfId="2050" xr:uid="{00000000-0005-0000-0000-0000FC0F0000}"/>
    <cellStyle name="20% - Accent3 10 4 2" xfId="2051" xr:uid="{00000000-0005-0000-0000-0000FD0F0000}"/>
    <cellStyle name="20% - Accent3 10 4 2 2" xfId="13395" xr:uid="{00000000-0005-0000-0000-0000FE0F0000}"/>
    <cellStyle name="20% - Accent3 10 4 2 3" xfId="17346" xr:uid="{00000000-0005-0000-0000-0000FF0F0000}"/>
    <cellStyle name="20% - Accent3 10 4 3" xfId="2052" xr:uid="{00000000-0005-0000-0000-000000100000}"/>
    <cellStyle name="20% - Accent3 10 4 3 2" xfId="13396" xr:uid="{00000000-0005-0000-0000-000001100000}"/>
    <cellStyle name="20% - Accent3 10 4 3 3" xfId="17347" xr:uid="{00000000-0005-0000-0000-000002100000}"/>
    <cellStyle name="20% - Accent3 10 4 4" xfId="13394" xr:uid="{00000000-0005-0000-0000-000003100000}"/>
    <cellStyle name="20% - Accent3 10 4 5" xfId="17345" xr:uid="{00000000-0005-0000-0000-000004100000}"/>
    <cellStyle name="20% - Accent3 10 5" xfId="2053" xr:uid="{00000000-0005-0000-0000-000005100000}"/>
    <cellStyle name="20% - Accent3 10 5 2" xfId="2054" xr:uid="{00000000-0005-0000-0000-000006100000}"/>
    <cellStyle name="20% - Accent3 10 5 2 2" xfId="13398" xr:uid="{00000000-0005-0000-0000-000007100000}"/>
    <cellStyle name="20% - Accent3 10 5 2 3" xfId="17349" xr:uid="{00000000-0005-0000-0000-000008100000}"/>
    <cellStyle name="20% - Accent3 10 5 3" xfId="2055" xr:uid="{00000000-0005-0000-0000-000009100000}"/>
    <cellStyle name="20% - Accent3 10 5 3 2" xfId="13399" xr:uid="{00000000-0005-0000-0000-00000A100000}"/>
    <cellStyle name="20% - Accent3 10 5 3 3" xfId="17350" xr:uid="{00000000-0005-0000-0000-00000B100000}"/>
    <cellStyle name="20% - Accent3 10 5 4" xfId="13397" xr:uid="{00000000-0005-0000-0000-00000C100000}"/>
    <cellStyle name="20% - Accent3 10 5 5" xfId="17348" xr:uid="{00000000-0005-0000-0000-00000D100000}"/>
    <cellStyle name="20% - Accent3 10 6" xfId="2056" xr:uid="{00000000-0005-0000-0000-00000E100000}"/>
    <cellStyle name="20% - Accent3 10 6 2" xfId="2057" xr:uid="{00000000-0005-0000-0000-00000F100000}"/>
    <cellStyle name="20% - Accent3 10 6 2 2" xfId="13401" xr:uid="{00000000-0005-0000-0000-000010100000}"/>
    <cellStyle name="20% - Accent3 10 6 2 3" xfId="17352" xr:uid="{00000000-0005-0000-0000-000011100000}"/>
    <cellStyle name="20% - Accent3 10 6 3" xfId="2058" xr:uid="{00000000-0005-0000-0000-000012100000}"/>
    <cellStyle name="20% - Accent3 10 6 3 2" xfId="13402" xr:uid="{00000000-0005-0000-0000-000013100000}"/>
    <cellStyle name="20% - Accent3 10 6 3 3" xfId="17353" xr:uid="{00000000-0005-0000-0000-000014100000}"/>
    <cellStyle name="20% - Accent3 10 6 4" xfId="13400" xr:uid="{00000000-0005-0000-0000-000015100000}"/>
    <cellStyle name="20% - Accent3 10 6 5" xfId="17351" xr:uid="{00000000-0005-0000-0000-000016100000}"/>
    <cellStyle name="20% - Accent3 10 7" xfId="2059" xr:uid="{00000000-0005-0000-0000-000017100000}"/>
    <cellStyle name="20% - Accent3 10 7 2" xfId="13403" xr:uid="{00000000-0005-0000-0000-000018100000}"/>
    <cellStyle name="20% - Accent3 10 7 3" xfId="17354" xr:uid="{00000000-0005-0000-0000-000019100000}"/>
    <cellStyle name="20% - Accent3 10 8" xfId="2060" xr:uid="{00000000-0005-0000-0000-00001A100000}"/>
    <cellStyle name="20% - Accent3 10 8 2" xfId="13404" xr:uid="{00000000-0005-0000-0000-00001B100000}"/>
    <cellStyle name="20% - Accent3 10 8 3" xfId="17355" xr:uid="{00000000-0005-0000-0000-00001C100000}"/>
    <cellStyle name="20% - Accent3 10 9" xfId="13372" xr:uid="{00000000-0005-0000-0000-00001D100000}"/>
    <cellStyle name="20% - Accent3 10_Volatility" xfId="2061" xr:uid="{00000000-0005-0000-0000-00001E100000}"/>
    <cellStyle name="20% - Accent3 11" xfId="2062" xr:uid="{00000000-0005-0000-0000-00001F100000}"/>
    <cellStyle name="20% - Accent3 11 10" xfId="17356" xr:uid="{00000000-0005-0000-0000-000020100000}"/>
    <cellStyle name="20% - Accent3 11 2" xfId="2063" xr:uid="{00000000-0005-0000-0000-000021100000}"/>
    <cellStyle name="20% - Accent3 11 2 2" xfId="2064" xr:uid="{00000000-0005-0000-0000-000022100000}"/>
    <cellStyle name="20% - Accent3 11 2 2 2" xfId="2065" xr:uid="{00000000-0005-0000-0000-000023100000}"/>
    <cellStyle name="20% - Accent3 11 2 2 2 2" xfId="13408" xr:uid="{00000000-0005-0000-0000-000024100000}"/>
    <cellStyle name="20% - Accent3 11 2 2 2 3" xfId="17359" xr:uid="{00000000-0005-0000-0000-000025100000}"/>
    <cellStyle name="20% - Accent3 11 2 2 3" xfId="2066" xr:uid="{00000000-0005-0000-0000-000026100000}"/>
    <cellStyle name="20% - Accent3 11 2 2 3 2" xfId="13409" xr:uid="{00000000-0005-0000-0000-000027100000}"/>
    <cellStyle name="20% - Accent3 11 2 2 3 3" xfId="17360" xr:uid="{00000000-0005-0000-0000-000028100000}"/>
    <cellStyle name="20% - Accent3 11 2 2 4" xfId="13407" xr:uid="{00000000-0005-0000-0000-000029100000}"/>
    <cellStyle name="20% - Accent3 11 2 2 5" xfId="17358" xr:uid="{00000000-0005-0000-0000-00002A100000}"/>
    <cellStyle name="20% - Accent3 11 2 3" xfId="2067" xr:uid="{00000000-0005-0000-0000-00002B100000}"/>
    <cellStyle name="20% - Accent3 11 2 3 2" xfId="2068" xr:uid="{00000000-0005-0000-0000-00002C100000}"/>
    <cellStyle name="20% - Accent3 11 2 3 2 2" xfId="13411" xr:uid="{00000000-0005-0000-0000-00002D100000}"/>
    <cellStyle name="20% - Accent3 11 2 3 2 3" xfId="17362" xr:uid="{00000000-0005-0000-0000-00002E100000}"/>
    <cellStyle name="20% - Accent3 11 2 3 3" xfId="2069" xr:uid="{00000000-0005-0000-0000-00002F100000}"/>
    <cellStyle name="20% - Accent3 11 2 3 3 2" xfId="13412" xr:uid="{00000000-0005-0000-0000-000030100000}"/>
    <cellStyle name="20% - Accent3 11 2 3 3 3" xfId="17363" xr:uid="{00000000-0005-0000-0000-000031100000}"/>
    <cellStyle name="20% - Accent3 11 2 3 4" xfId="13410" xr:uid="{00000000-0005-0000-0000-000032100000}"/>
    <cellStyle name="20% - Accent3 11 2 3 5" xfId="17361" xr:uid="{00000000-0005-0000-0000-000033100000}"/>
    <cellStyle name="20% - Accent3 11 2 4" xfId="2070" xr:uid="{00000000-0005-0000-0000-000034100000}"/>
    <cellStyle name="20% - Accent3 11 2 4 2" xfId="2071" xr:uid="{00000000-0005-0000-0000-000035100000}"/>
    <cellStyle name="20% - Accent3 11 2 4 2 2" xfId="13414" xr:uid="{00000000-0005-0000-0000-000036100000}"/>
    <cellStyle name="20% - Accent3 11 2 4 2 3" xfId="17365" xr:uid="{00000000-0005-0000-0000-000037100000}"/>
    <cellStyle name="20% - Accent3 11 2 4 3" xfId="2072" xr:uid="{00000000-0005-0000-0000-000038100000}"/>
    <cellStyle name="20% - Accent3 11 2 4 3 2" xfId="13415" xr:uid="{00000000-0005-0000-0000-000039100000}"/>
    <cellStyle name="20% - Accent3 11 2 4 3 3" xfId="17366" xr:uid="{00000000-0005-0000-0000-00003A100000}"/>
    <cellStyle name="20% - Accent3 11 2 4 4" xfId="13413" xr:uid="{00000000-0005-0000-0000-00003B100000}"/>
    <cellStyle name="20% - Accent3 11 2 4 5" xfId="17364" xr:uid="{00000000-0005-0000-0000-00003C100000}"/>
    <cellStyle name="20% - Accent3 11 2 5" xfId="2073" xr:uid="{00000000-0005-0000-0000-00003D100000}"/>
    <cellStyle name="20% - Accent3 11 2 5 2" xfId="13416" xr:uid="{00000000-0005-0000-0000-00003E100000}"/>
    <cellStyle name="20% - Accent3 11 2 5 3" xfId="17367" xr:uid="{00000000-0005-0000-0000-00003F100000}"/>
    <cellStyle name="20% - Accent3 11 2 6" xfId="2074" xr:uid="{00000000-0005-0000-0000-000040100000}"/>
    <cellStyle name="20% - Accent3 11 2 6 2" xfId="13417" xr:uid="{00000000-0005-0000-0000-000041100000}"/>
    <cellStyle name="20% - Accent3 11 2 6 3" xfId="17368" xr:uid="{00000000-0005-0000-0000-000042100000}"/>
    <cellStyle name="20% - Accent3 11 2 7" xfId="13406" xr:uid="{00000000-0005-0000-0000-000043100000}"/>
    <cellStyle name="20% - Accent3 11 2 8" xfId="17357" xr:uid="{00000000-0005-0000-0000-000044100000}"/>
    <cellStyle name="20% - Accent3 11 2_Volatility" xfId="2075" xr:uid="{00000000-0005-0000-0000-000045100000}"/>
    <cellStyle name="20% - Accent3 11 3" xfId="2076" xr:uid="{00000000-0005-0000-0000-000046100000}"/>
    <cellStyle name="20% - Accent3 11 3 2" xfId="2077" xr:uid="{00000000-0005-0000-0000-000047100000}"/>
    <cellStyle name="20% - Accent3 11 3 2 2" xfId="2078" xr:uid="{00000000-0005-0000-0000-000048100000}"/>
    <cellStyle name="20% - Accent3 11 3 2 2 2" xfId="13420" xr:uid="{00000000-0005-0000-0000-000049100000}"/>
    <cellStyle name="20% - Accent3 11 3 2 2 3" xfId="17371" xr:uid="{00000000-0005-0000-0000-00004A100000}"/>
    <cellStyle name="20% - Accent3 11 3 2 3" xfId="2079" xr:uid="{00000000-0005-0000-0000-00004B100000}"/>
    <cellStyle name="20% - Accent3 11 3 2 3 2" xfId="13421" xr:uid="{00000000-0005-0000-0000-00004C100000}"/>
    <cellStyle name="20% - Accent3 11 3 2 3 3" xfId="17372" xr:uid="{00000000-0005-0000-0000-00004D100000}"/>
    <cellStyle name="20% - Accent3 11 3 2 4" xfId="13419" xr:uid="{00000000-0005-0000-0000-00004E100000}"/>
    <cellStyle name="20% - Accent3 11 3 2 5" xfId="17370" xr:uid="{00000000-0005-0000-0000-00004F100000}"/>
    <cellStyle name="20% - Accent3 11 3 3" xfId="2080" xr:uid="{00000000-0005-0000-0000-000050100000}"/>
    <cellStyle name="20% - Accent3 11 3 3 2" xfId="2081" xr:uid="{00000000-0005-0000-0000-000051100000}"/>
    <cellStyle name="20% - Accent3 11 3 3 2 2" xfId="13423" xr:uid="{00000000-0005-0000-0000-000052100000}"/>
    <cellStyle name="20% - Accent3 11 3 3 2 3" xfId="17374" xr:uid="{00000000-0005-0000-0000-000053100000}"/>
    <cellStyle name="20% - Accent3 11 3 3 3" xfId="2082" xr:uid="{00000000-0005-0000-0000-000054100000}"/>
    <cellStyle name="20% - Accent3 11 3 3 3 2" xfId="13424" xr:uid="{00000000-0005-0000-0000-000055100000}"/>
    <cellStyle name="20% - Accent3 11 3 3 3 3" xfId="17375" xr:uid="{00000000-0005-0000-0000-000056100000}"/>
    <cellStyle name="20% - Accent3 11 3 3 4" xfId="13422" xr:uid="{00000000-0005-0000-0000-000057100000}"/>
    <cellStyle name="20% - Accent3 11 3 3 5" xfId="17373" xr:uid="{00000000-0005-0000-0000-000058100000}"/>
    <cellStyle name="20% - Accent3 11 3 4" xfId="2083" xr:uid="{00000000-0005-0000-0000-000059100000}"/>
    <cellStyle name="20% - Accent3 11 3 4 2" xfId="13425" xr:uid="{00000000-0005-0000-0000-00005A100000}"/>
    <cellStyle name="20% - Accent3 11 3 4 3" xfId="17376" xr:uid="{00000000-0005-0000-0000-00005B100000}"/>
    <cellStyle name="20% - Accent3 11 3 5" xfId="2084" xr:uid="{00000000-0005-0000-0000-00005C100000}"/>
    <cellStyle name="20% - Accent3 11 3 5 2" xfId="13426" xr:uid="{00000000-0005-0000-0000-00005D100000}"/>
    <cellStyle name="20% - Accent3 11 3 5 3" xfId="17377" xr:uid="{00000000-0005-0000-0000-00005E100000}"/>
    <cellStyle name="20% - Accent3 11 3 6" xfId="13418" xr:uid="{00000000-0005-0000-0000-00005F100000}"/>
    <cellStyle name="20% - Accent3 11 3 7" xfId="17369" xr:uid="{00000000-0005-0000-0000-000060100000}"/>
    <cellStyle name="20% - Accent3 11 3_Volatility" xfId="2085" xr:uid="{00000000-0005-0000-0000-000061100000}"/>
    <cellStyle name="20% - Accent3 11 4" xfId="2086" xr:uid="{00000000-0005-0000-0000-000062100000}"/>
    <cellStyle name="20% - Accent3 11 4 2" xfId="2087" xr:uid="{00000000-0005-0000-0000-000063100000}"/>
    <cellStyle name="20% - Accent3 11 4 2 2" xfId="13428" xr:uid="{00000000-0005-0000-0000-000064100000}"/>
    <cellStyle name="20% - Accent3 11 4 2 3" xfId="17379" xr:uid="{00000000-0005-0000-0000-000065100000}"/>
    <cellStyle name="20% - Accent3 11 4 3" xfId="2088" xr:uid="{00000000-0005-0000-0000-000066100000}"/>
    <cellStyle name="20% - Accent3 11 4 3 2" xfId="13429" xr:uid="{00000000-0005-0000-0000-000067100000}"/>
    <cellStyle name="20% - Accent3 11 4 3 3" xfId="17380" xr:uid="{00000000-0005-0000-0000-000068100000}"/>
    <cellStyle name="20% - Accent3 11 4 4" xfId="13427" xr:uid="{00000000-0005-0000-0000-000069100000}"/>
    <cellStyle name="20% - Accent3 11 4 5" xfId="17378" xr:uid="{00000000-0005-0000-0000-00006A100000}"/>
    <cellStyle name="20% - Accent3 11 5" xfId="2089" xr:uid="{00000000-0005-0000-0000-00006B100000}"/>
    <cellStyle name="20% - Accent3 11 5 2" xfId="2090" xr:uid="{00000000-0005-0000-0000-00006C100000}"/>
    <cellStyle name="20% - Accent3 11 5 2 2" xfId="13431" xr:uid="{00000000-0005-0000-0000-00006D100000}"/>
    <cellStyle name="20% - Accent3 11 5 2 3" xfId="17382" xr:uid="{00000000-0005-0000-0000-00006E100000}"/>
    <cellStyle name="20% - Accent3 11 5 3" xfId="2091" xr:uid="{00000000-0005-0000-0000-00006F100000}"/>
    <cellStyle name="20% - Accent3 11 5 3 2" xfId="13432" xr:uid="{00000000-0005-0000-0000-000070100000}"/>
    <cellStyle name="20% - Accent3 11 5 3 3" xfId="17383" xr:uid="{00000000-0005-0000-0000-000071100000}"/>
    <cellStyle name="20% - Accent3 11 5 4" xfId="13430" xr:uid="{00000000-0005-0000-0000-000072100000}"/>
    <cellStyle name="20% - Accent3 11 5 5" xfId="17381" xr:uid="{00000000-0005-0000-0000-000073100000}"/>
    <cellStyle name="20% - Accent3 11 6" xfId="2092" xr:uid="{00000000-0005-0000-0000-000074100000}"/>
    <cellStyle name="20% - Accent3 11 6 2" xfId="2093" xr:uid="{00000000-0005-0000-0000-000075100000}"/>
    <cellStyle name="20% - Accent3 11 6 2 2" xfId="13434" xr:uid="{00000000-0005-0000-0000-000076100000}"/>
    <cellStyle name="20% - Accent3 11 6 2 3" xfId="17385" xr:uid="{00000000-0005-0000-0000-000077100000}"/>
    <cellStyle name="20% - Accent3 11 6 3" xfId="2094" xr:uid="{00000000-0005-0000-0000-000078100000}"/>
    <cellStyle name="20% - Accent3 11 6 3 2" xfId="13435" xr:uid="{00000000-0005-0000-0000-000079100000}"/>
    <cellStyle name="20% - Accent3 11 6 3 3" xfId="17386" xr:uid="{00000000-0005-0000-0000-00007A100000}"/>
    <cellStyle name="20% - Accent3 11 6 4" xfId="13433" xr:uid="{00000000-0005-0000-0000-00007B100000}"/>
    <cellStyle name="20% - Accent3 11 6 5" xfId="17384" xr:uid="{00000000-0005-0000-0000-00007C100000}"/>
    <cellStyle name="20% - Accent3 11 7" xfId="2095" xr:uid="{00000000-0005-0000-0000-00007D100000}"/>
    <cellStyle name="20% - Accent3 11 7 2" xfId="13436" xr:uid="{00000000-0005-0000-0000-00007E100000}"/>
    <cellStyle name="20% - Accent3 11 7 3" xfId="17387" xr:uid="{00000000-0005-0000-0000-00007F100000}"/>
    <cellStyle name="20% - Accent3 11 8" xfId="2096" xr:uid="{00000000-0005-0000-0000-000080100000}"/>
    <cellStyle name="20% - Accent3 11 8 2" xfId="13437" xr:uid="{00000000-0005-0000-0000-000081100000}"/>
    <cellStyle name="20% - Accent3 11 8 3" xfId="17388" xr:uid="{00000000-0005-0000-0000-000082100000}"/>
    <cellStyle name="20% - Accent3 11 9" xfId="13405" xr:uid="{00000000-0005-0000-0000-000083100000}"/>
    <cellStyle name="20% - Accent3 11_Volatility" xfId="2097" xr:uid="{00000000-0005-0000-0000-000084100000}"/>
    <cellStyle name="20% - Accent3 12" xfId="2098" xr:uid="{00000000-0005-0000-0000-000085100000}"/>
    <cellStyle name="20% - Accent3 12 10" xfId="17389" xr:uid="{00000000-0005-0000-0000-000086100000}"/>
    <cellStyle name="20% - Accent3 12 2" xfId="2099" xr:uid="{00000000-0005-0000-0000-000087100000}"/>
    <cellStyle name="20% - Accent3 12 2 2" xfId="2100" xr:uid="{00000000-0005-0000-0000-000088100000}"/>
    <cellStyle name="20% - Accent3 12 2 2 2" xfId="2101" xr:uid="{00000000-0005-0000-0000-000089100000}"/>
    <cellStyle name="20% - Accent3 12 2 2 2 2" xfId="13441" xr:uid="{00000000-0005-0000-0000-00008A100000}"/>
    <cellStyle name="20% - Accent3 12 2 2 2 3" xfId="17392" xr:uid="{00000000-0005-0000-0000-00008B100000}"/>
    <cellStyle name="20% - Accent3 12 2 2 3" xfId="2102" xr:uid="{00000000-0005-0000-0000-00008C100000}"/>
    <cellStyle name="20% - Accent3 12 2 2 3 2" xfId="13442" xr:uid="{00000000-0005-0000-0000-00008D100000}"/>
    <cellStyle name="20% - Accent3 12 2 2 3 3" xfId="17393" xr:uid="{00000000-0005-0000-0000-00008E100000}"/>
    <cellStyle name="20% - Accent3 12 2 2 4" xfId="13440" xr:uid="{00000000-0005-0000-0000-00008F100000}"/>
    <cellStyle name="20% - Accent3 12 2 2 5" xfId="17391" xr:uid="{00000000-0005-0000-0000-000090100000}"/>
    <cellStyle name="20% - Accent3 12 2 3" xfId="2103" xr:uid="{00000000-0005-0000-0000-000091100000}"/>
    <cellStyle name="20% - Accent3 12 2 3 2" xfId="2104" xr:uid="{00000000-0005-0000-0000-000092100000}"/>
    <cellStyle name="20% - Accent3 12 2 3 2 2" xfId="13444" xr:uid="{00000000-0005-0000-0000-000093100000}"/>
    <cellStyle name="20% - Accent3 12 2 3 2 3" xfId="17395" xr:uid="{00000000-0005-0000-0000-000094100000}"/>
    <cellStyle name="20% - Accent3 12 2 3 3" xfId="2105" xr:uid="{00000000-0005-0000-0000-000095100000}"/>
    <cellStyle name="20% - Accent3 12 2 3 3 2" xfId="13445" xr:uid="{00000000-0005-0000-0000-000096100000}"/>
    <cellStyle name="20% - Accent3 12 2 3 3 3" xfId="17396" xr:uid="{00000000-0005-0000-0000-000097100000}"/>
    <cellStyle name="20% - Accent3 12 2 3 4" xfId="13443" xr:uid="{00000000-0005-0000-0000-000098100000}"/>
    <cellStyle name="20% - Accent3 12 2 3 5" xfId="17394" xr:uid="{00000000-0005-0000-0000-000099100000}"/>
    <cellStyle name="20% - Accent3 12 2 4" xfId="2106" xr:uid="{00000000-0005-0000-0000-00009A100000}"/>
    <cellStyle name="20% - Accent3 12 2 4 2" xfId="2107" xr:uid="{00000000-0005-0000-0000-00009B100000}"/>
    <cellStyle name="20% - Accent3 12 2 4 2 2" xfId="13447" xr:uid="{00000000-0005-0000-0000-00009C100000}"/>
    <cellStyle name="20% - Accent3 12 2 4 2 3" xfId="17398" xr:uid="{00000000-0005-0000-0000-00009D100000}"/>
    <cellStyle name="20% - Accent3 12 2 4 3" xfId="2108" xr:uid="{00000000-0005-0000-0000-00009E100000}"/>
    <cellStyle name="20% - Accent3 12 2 4 3 2" xfId="13448" xr:uid="{00000000-0005-0000-0000-00009F100000}"/>
    <cellStyle name="20% - Accent3 12 2 4 3 3" xfId="17399" xr:uid="{00000000-0005-0000-0000-0000A0100000}"/>
    <cellStyle name="20% - Accent3 12 2 4 4" xfId="13446" xr:uid="{00000000-0005-0000-0000-0000A1100000}"/>
    <cellStyle name="20% - Accent3 12 2 4 5" xfId="17397" xr:uid="{00000000-0005-0000-0000-0000A2100000}"/>
    <cellStyle name="20% - Accent3 12 2 5" xfId="2109" xr:uid="{00000000-0005-0000-0000-0000A3100000}"/>
    <cellStyle name="20% - Accent3 12 2 5 2" xfId="13449" xr:uid="{00000000-0005-0000-0000-0000A4100000}"/>
    <cellStyle name="20% - Accent3 12 2 5 3" xfId="17400" xr:uid="{00000000-0005-0000-0000-0000A5100000}"/>
    <cellStyle name="20% - Accent3 12 2 6" xfId="2110" xr:uid="{00000000-0005-0000-0000-0000A6100000}"/>
    <cellStyle name="20% - Accent3 12 2 6 2" xfId="13450" xr:uid="{00000000-0005-0000-0000-0000A7100000}"/>
    <cellStyle name="20% - Accent3 12 2 6 3" xfId="17401" xr:uid="{00000000-0005-0000-0000-0000A8100000}"/>
    <cellStyle name="20% - Accent3 12 2 7" xfId="13439" xr:uid="{00000000-0005-0000-0000-0000A9100000}"/>
    <cellStyle name="20% - Accent3 12 2 8" xfId="17390" xr:uid="{00000000-0005-0000-0000-0000AA100000}"/>
    <cellStyle name="20% - Accent3 12 2_Volatility" xfId="2111" xr:uid="{00000000-0005-0000-0000-0000AB100000}"/>
    <cellStyle name="20% - Accent3 12 3" xfId="2112" xr:uid="{00000000-0005-0000-0000-0000AC100000}"/>
    <cellStyle name="20% - Accent3 12 3 2" xfId="2113" xr:uid="{00000000-0005-0000-0000-0000AD100000}"/>
    <cellStyle name="20% - Accent3 12 3 2 2" xfId="2114" xr:uid="{00000000-0005-0000-0000-0000AE100000}"/>
    <cellStyle name="20% - Accent3 12 3 2 2 2" xfId="13453" xr:uid="{00000000-0005-0000-0000-0000AF100000}"/>
    <cellStyle name="20% - Accent3 12 3 2 2 3" xfId="17404" xr:uid="{00000000-0005-0000-0000-0000B0100000}"/>
    <cellStyle name="20% - Accent3 12 3 2 3" xfId="2115" xr:uid="{00000000-0005-0000-0000-0000B1100000}"/>
    <cellStyle name="20% - Accent3 12 3 2 3 2" xfId="13454" xr:uid="{00000000-0005-0000-0000-0000B2100000}"/>
    <cellStyle name="20% - Accent3 12 3 2 3 3" xfId="17405" xr:uid="{00000000-0005-0000-0000-0000B3100000}"/>
    <cellStyle name="20% - Accent3 12 3 2 4" xfId="13452" xr:uid="{00000000-0005-0000-0000-0000B4100000}"/>
    <cellStyle name="20% - Accent3 12 3 2 5" xfId="17403" xr:uid="{00000000-0005-0000-0000-0000B5100000}"/>
    <cellStyle name="20% - Accent3 12 3 3" xfId="2116" xr:uid="{00000000-0005-0000-0000-0000B6100000}"/>
    <cellStyle name="20% - Accent3 12 3 3 2" xfId="2117" xr:uid="{00000000-0005-0000-0000-0000B7100000}"/>
    <cellStyle name="20% - Accent3 12 3 3 2 2" xfId="13456" xr:uid="{00000000-0005-0000-0000-0000B8100000}"/>
    <cellStyle name="20% - Accent3 12 3 3 2 3" xfId="17407" xr:uid="{00000000-0005-0000-0000-0000B9100000}"/>
    <cellStyle name="20% - Accent3 12 3 3 3" xfId="2118" xr:uid="{00000000-0005-0000-0000-0000BA100000}"/>
    <cellStyle name="20% - Accent3 12 3 3 3 2" xfId="13457" xr:uid="{00000000-0005-0000-0000-0000BB100000}"/>
    <cellStyle name="20% - Accent3 12 3 3 3 3" xfId="17408" xr:uid="{00000000-0005-0000-0000-0000BC100000}"/>
    <cellStyle name="20% - Accent3 12 3 3 4" xfId="13455" xr:uid="{00000000-0005-0000-0000-0000BD100000}"/>
    <cellStyle name="20% - Accent3 12 3 3 5" xfId="17406" xr:uid="{00000000-0005-0000-0000-0000BE100000}"/>
    <cellStyle name="20% - Accent3 12 3 4" xfId="2119" xr:uid="{00000000-0005-0000-0000-0000BF100000}"/>
    <cellStyle name="20% - Accent3 12 3 4 2" xfId="13458" xr:uid="{00000000-0005-0000-0000-0000C0100000}"/>
    <cellStyle name="20% - Accent3 12 3 4 3" xfId="17409" xr:uid="{00000000-0005-0000-0000-0000C1100000}"/>
    <cellStyle name="20% - Accent3 12 3 5" xfId="2120" xr:uid="{00000000-0005-0000-0000-0000C2100000}"/>
    <cellStyle name="20% - Accent3 12 3 5 2" xfId="13459" xr:uid="{00000000-0005-0000-0000-0000C3100000}"/>
    <cellStyle name="20% - Accent3 12 3 5 3" xfId="17410" xr:uid="{00000000-0005-0000-0000-0000C4100000}"/>
    <cellStyle name="20% - Accent3 12 3 6" xfId="13451" xr:uid="{00000000-0005-0000-0000-0000C5100000}"/>
    <cellStyle name="20% - Accent3 12 3 7" xfId="17402" xr:uid="{00000000-0005-0000-0000-0000C6100000}"/>
    <cellStyle name="20% - Accent3 12 3_Volatility" xfId="2121" xr:uid="{00000000-0005-0000-0000-0000C7100000}"/>
    <cellStyle name="20% - Accent3 12 4" xfId="2122" xr:uid="{00000000-0005-0000-0000-0000C8100000}"/>
    <cellStyle name="20% - Accent3 12 4 2" xfId="2123" xr:uid="{00000000-0005-0000-0000-0000C9100000}"/>
    <cellStyle name="20% - Accent3 12 4 2 2" xfId="13461" xr:uid="{00000000-0005-0000-0000-0000CA100000}"/>
    <cellStyle name="20% - Accent3 12 4 2 3" xfId="17412" xr:uid="{00000000-0005-0000-0000-0000CB100000}"/>
    <cellStyle name="20% - Accent3 12 4 3" xfId="2124" xr:uid="{00000000-0005-0000-0000-0000CC100000}"/>
    <cellStyle name="20% - Accent3 12 4 3 2" xfId="13462" xr:uid="{00000000-0005-0000-0000-0000CD100000}"/>
    <cellStyle name="20% - Accent3 12 4 3 3" xfId="17413" xr:uid="{00000000-0005-0000-0000-0000CE100000}"/>
    <cellStyle name="20% - Accent3 12 4 4" xfId="13460" xr:uid="{00000000-0005-0000-0000-0000CF100000}"/>
    <cellStyle name="20% - Accent3 12 4 5" xfId="17411" xr:uid="{00000000-0005-0000-0000-0000D0100000}"/>
    <cellStyle name="20% - Accent3 12 5" xfId="2125" xr:uid="{00000000-0005-0000-0000-0000D1100000}"/>
    <cellStyle name="20% - Accent3 12 5 2" xfId="2126" xr:uid="{00000000-0005-0000-0000-0000D2100000}"/>
    <cellStyle name="20% - Accent3 12 5 2 2" xfId="13464" xr:uid="{00000000-0005-0000-0000-0000D3100000}"/>
    <cellStyle name="20% - Accent3 12 5 2 3" xfId="17415" xr:uid="{00000000-0005-0000-0000-0000D4100000}"/>
    <cellStyle name="20% - Accent3 12 5 3" xfId="2127" xr:uid="{00000000-0005-0000-0000-0000D5100000}"/>
    <cellStyle name="20% - Accent3 12 5 3 2" xfId="13465" xr:uid="{00000000-0005-0000-0000-0000D6100000}"/>
    <cellStyle name="20% - Accent3 12 5 3 3" xfId="17416" xr:uid="{00000000-0005-0000-0000-0000D7100000}"/>
    <cellStyle name="20% - Accent3 12 5 4" xfId="13463" xr:uid="{00000000-0005-0000-0000-0000D8100000}"/>
    <cellStyle name="20% - Accent3 12 5 5" xfId="17414" xr:uid="{00000000-0005-0000-0000-0000D9100000}"/>
    <cellStyle name="20% - Accent3 12 6" xfId="2128" xr:uid="{00000000-0005-0000-0000-0000DA100000}"/>
    <cellStyle name="20% - Accent3 12 6 2" xfId="2129" xr:uid="{00000000-0005-0000-0000-0000DB100000}"/>
    <cellStyle name="20% - Accent3 12 6 2 2" xfId="13467" xr:uid="{00000000-0005-0000-0000-0000DC100000}"/>
    <cellStyle name="20% - Accent3 12 6 2 3" xfId="17418" xr:uid="{00000000-0005-0000-0000-0000DD100000}"/>
    <cellStyle name="20% - Accent3 12 6 3" xfId="2130" xr:uid="{00000000-0005-0000-0000-0000DE100000}"/>
    <cellStyle name="20% - Accent3 12 6 3 2" xfId="13468" xr:uid="{00000000-0005-0000-0000-0000DF100000}"/>
    <cellStyle name="20% - Accent3 12 6 3 3" xfId="17419" xr:uid="{00000000-0005-0000-0000-0000E0100000}"/>
    <cellStyle name="20% - Accent3 12 6 4" xfId="13466" xr:uid="{00000000-0005-0000-0000-0000E1100000}"/>
    <cellStyle name="20% - Accent3 12 6 5" xfId="17417" xr:uid="{00000000-0005-0000-0000-0000E2100000}"/>
    <cellStyle name="20% - Accent3 12 7" xfId="2131" xr:uid="{00000000-0005-0000-0000-0000E3100000}"/>
    <cellStyle name="20% - Accent3 12 7 2" xfId="13469" xr:uid="{00000000-0005-0000-0000-0000E4100000}"/>
    <cellStyle name="20% - Accent3 12 7 3" xfId="17420" xr:uid="{00000000-0005-0000-0000-0000E5100000}"/>
    <cellStyle name="20% - Accent3 12 8" xfId="2132" xr:uid="{00000000-0005-0000-0000-0000E6100000}"/>
    <cellStyle name="20% - Accent3 12 8 2" xfId="13470" xr:uid="{00000000-0005-0000-0000-0000E7100000}"/>
    <cellStyle name="20% - Accent3 12 8 3" xfId="17421" xr:uid="{00000000-0005-0000-0000-0000E8100000}"/>
    <cellStyle name="20% - Accent3 12 9" xfId="13438" xr:uid="{00000000-0005-0000-0000-0000E9100000}"/>
    <cellStyle name="20% - Accent3 12_Volatility" xfId="2133" xr:uid="{00000000-0005-0000-0000-0000EA100000}"/>
    <cellStyle name="20% - Accent3 13" xfId="2134" xr:uid="{00000000-0005-0000-0000-0000EB100000}"/>
    <cellStyle name="20% - Accent3 13 10" xfId="17422" xr:uid="{00000000-0005-0000-0000-0000EC100000}"/>
    <cellStyle name="20% - Accent3 13 2" xfId="2135" xr:uid="{00000000-0005-0000-0000-0000ED100000}"/>
    <cellStyle name="20% - Accent3 13 2 2" xfId="2136" xr:uid="{00000000-0005-0000-0000-0000EE100000}"/>
    <cellStyle name="20% - Accent3 13 2 2 2" xfId="2137" xr:uid="{00000000-0005-0000-0000-0000EF100000}"/>
    <cellStyle name="20% - Accent3 13 2 2 2 2" xfId="13474" xr:uid="{00000000-0005-0000-0000-0000F0100000}"/>
    <cellStyle name="20% - Accent3 13 2 2 2 3" xfId="17425" xr:uid="{00000000-0005-0000-0000-0000F1100000}"/>
    <cellStyle name="20% - Accent3 13 2 2 3" xfId="2138" xr:uid="{00000000-0005-0000-0000-0000F2100000}"/>
    <cellStyle name="20% - Accent3 13 2 2 3 2" xfId="13475" xr:uid="{00000000-0005-0000-0000-0000F3100000}"/>
    <cellStyle name="20% - Accent3 13 2 2 3 3" xfId="17426" xr:uid="{00000000-0005-0000-0000-0000F4100000}"/>
    <cellStyle name="20% - Accent3 13 2 2 4" xfId="13473" xr:uid="{00000000-0005-0000-0000-0000F5100000}"/>
    <cellStyle name="20% - Accent3 13 2 2 5" xfId="17424" xr:uid="{00000000-0005-0000-0000-0000F6100000}"/>
    <cellStyle name="20% - Accent3 13 2 3" xfId="2139" xr:uid="{00000000-0005-0000-0000-0000F7100000}"/>
    <cellStyle name="20% - Accent3 13 2 3 2" xfId="2140" xr:uid="{00000000-0005-0000-0000-0000F8100000}"/>
    <cellStyle name="20% - Accent3 13 2 3 2 2" xfId="13477" xr:uid="{00000000-0005-0000-0000-0000F9100000}"/>
    <cellStyle name="20% - Accent3 13 2 3 2 3" xfId="17428" xr:uid="{00000000-0005-0000-0000-0000FA100000}"/>
    <cellStyle name="20% - Accent3 13 2 3 3" xfId="2141" xr:uid="{00000000-0005-0000-0000-0000FB100000}"/>
    <cellStyle name="20% - Accent3 13 2 3 3 2" xfId="13478" xr:uid="{00000000-0005-0000-0000-0000FC100000}"/>
    <cellStyle name="20% - Accent3 13 2 3 3 3" xfId="17429" xr:uid="{00000000-0005-0000-0000-0000FD100000}"/>
    <cellStyle name="20% - Accent3 13 2 3 4" xfId="13476" xr:uid="{00000000-0005-0000-0000-0000FE100000}"/>
    <cellStyle name="20% - Accent3 13 2 3 5" xfId="17427" xr:uid="{00000000-0005-0000-0000-0000FF100000}"/>
    <cellStyle name="20% - Accent3 13 2 4" xfId="2142" xr:uid="{00000000-0005-0000-0000-000000110000}"/>
    <cellStyle name="20% - Accent3 13 2 4 2" xfId="2143" xr:uid="{00000000-0005-0000-0000-000001110000}"/>
    <cellStyle name="20% - Accent3 13 2 4 2 2" xfId="13480" xr:uid="{00000000-0005-0000-0000-000002110000}"/>
    <cellStyle name="20% - Accent3 13 2 4 2 3" xfId="17431" xr:uid="{00000000-0005-0000-0000-000003110000}"/>
    <cellStyle name="20% - Accent3 13 2 4 3" xfId="2144" xr:uid="{00000000-0005-0000-0000-000004110000}"/>
    <cellStyle name="20% - Accent3 13 2 4 3 2" xfId="13481" xr:uid="{00000000-0005-0000-0000-000005110000}"/>
    <cellStyle name="20% - Accent3 13 2 4 3 3" xfId="17432" xr:uid="{00000000-0005-0000-0000-000006110000}"/>
    <cellStyle name="20% - Accent3 13 2 4 4" xfId="13479" xr:uid="{00000000-0005-0000-0000-000007110000}"/>
    <cellStyle name="20% - Accent3 13 2 4 5" xfId="17430" xr:uid="{00000000-0005-0000-0000-000008110000}"/>
    <cellStyle name="20% - Accent3 13 2 5" xfId="2145" xr:uid="{00000000-0005-0000-0000-000009110000}"/>
    <cellStyle name="20% - Accent3 13 2 5 2" xfId="13482" xr:uid="{00000000-0005-0000-0000-00000A110000}"/>
    <cellStyle name="20% - Accent3 13 2 5 3" xfId="17433" xr:uid="{00000000-0005-0000-0000-00000B110000}"/>
    <cellStyle name="20% - Accent3 13 2 6" xfId="2146" xr:uid="{00000000-0005-0000-0000-00000C110000}"/>
    <cellStyle name="20% - Accent3 13 2 6 2" xfId="13483" xr:uid="{00000000-0005-0000-0000-00000D110000}"/>
    <cellStyle name="20% - Accent3 13 2 6 3" xfId="17434" xr:uid="{00000000-0005-0000-0000-00000E110000}"/>
    <cellStyle name="20% - Accent3 13 2 7" xfId="13472" xr:uid="{00000000-0005-0000-0000-00000F110000}"/>
    <cellStyle name="20% - Accent3 13 2 8" xfId="17423" xr:uid="{00000000-0005-0000-0000-000010110000}"/>
    <cellStyle name="20% - Accent3 13 2_Volatility" xfId="2147" xr:uid="{00000000-0005-0000-0000-000011110000}"/>
    <cellStyle name="20% - Accent3 13 3" xfId="2148" xr:uid="{00000000-0005-0000-0000-000012110000}"/>
    <cellStyle name="20% - Accent3 13 3 2" xfId="2149" xr:uid="{00000000-0005-0000-0000-000013110000}"/>
    <cellStyle name="20% - Accent3 13 3 2 2" xfId="2150" xr:uid="{00000000-0005-0000-0000-000014110000}"/>
    <cellStyle name="20% - Accent3 13 3 2 2 2" xfId="13486" xr:uid="{00000000-0005-0000-0000-000015110000}"/>
    <cellStyle name="20% - Accent3 13 3 2 2 3" xfId="17437" xr:uid="{00000000-0005-0000-0000-000016110000}"/>
    <cellStyle name="20% - Accent3 13 3 2 3" xfId="2151" xr:uid="{00000000-0005-0000-0000-000017110000}"/>
    <cellStyle name="20% - Accent3 13 3 2 3 2" xfId="13487" xr:uid="{00000000-0005-0000-0000-000018110000}"/>
    <cellStyle name="20% - Accent3 13 3 2 3 3" xfId="17438" xr:uid="{00000000-0005-0000-0000-000019110000}"/>
    <cellStyle name="20% - Accent3 13 3 2 4" xfId="13485" xr:uid="{00000000-0005-0000-0000-00001A110000}"/>
    <cellStyle name="20% - Accent3 13 3 2 5" xfId="17436" xr:uid="{00000000-0005-0000-0000-00001B110000}"/>
    <cellStyle name="20% - Accent3 13 3 3" xfId="2152" xr:uid="{00000000-0005-0000-0000-00001C110000}"/>
    <cellStyle name="20% - Accent3 13 3 3 2" xfId="2153" xr:uid="{00000000-0005-0000-0000-00001D110000}"/>
    <cellStyle name="20% - Accent3 13 3 3 2 2" xfId="13489" xr:uid="{00000000-0005-0000-0000-00001E110000}"/>
    <cellStyle name="20% - Accent3 13 3 3 2 3" xfId="17440" xr:uid="{00000000-0005-0000-0000-00001F110000}"/>
    <cellStyle name="20% - Accent3 13 3 3 3" xfId="2154" xr:uid="{00000000-0005-0000-0000-000020110000}"/>
    <cellStyle name="20% - Accent3 13 3 3 3 2" xfId="13490" xr:uid="{00000000-0005-0000-0000-000021110000}"/>
    <cellStyle name="20% - Accent3 13 3 3 3 3" xfId="17441" xr:uid="{00000000-0005-0000-0000-000022110000}"/>
    <cellStyle name="20% - Accent3 13 3 3 4" xfId="13488" xr:uid="{00000000-0005-0000-0000-000023110000}"/>
    <cellStyle name="20% - Accent3 13 3 3 5" xfId="17439" xr:uid="{00000000-0005-0000-0000-000024110000}"/>
    <cellStyle name="20% - Accent3 13 3 4" xfId="2155" xr:uid="{00000000-0005-0000-0000-000025110000}"/>
    <cellStyle name="20% - Accent3 13 3 4 2" xfId="13491" xr:uid="{00000000-0005-0000-0000-000026110000}"/>
    <cellStyle name="20% - Accent3 13 3 4 3" xfId="17442" xr:uid="{00000000-0005-0000-0000-000027110000}"/>
    <cellStyle name="20% - Accent3 13 3 5" xfId="2156" xr:uid="{00000000-0005-0000-0000-000028110000}"/>
    <cellStyle name="20% - Accent3 13 3 5 2" xfId="13492" xr:uid="{00000000-0005-0000-0000-000029110000}"/>
    <cellStyle name="20% - Accent3 13 3 5 3" xfId="17443" xr:uid="{00000000-0005-0000-0000-00002A110000}"/>
    <cellStyle name="20% - Accent3 13 3 6" xfId="13484" xr:uid="{00000000-0005-0000-0000-00002B110000}"/>
    <cellStyle name="20% - Accent3 13 3 7" xfId="17435" xr:uid="{00000000-0005-0000-0000-00002C110000}"/>
    <cellStyle name="20% - Accent3 13 3_Volatility" xfId="2157" xr:uid="{00000000-0005-0000-0000-00002D110000}"/>
    <cellStyle name="20% - Accent3 13 4" xfId="2158" xr:uid="{00000000-0005-0000-0000-00002E110000}"/>
    <cellStyle name="20% - Accent3 13 4 2" xfId="2159" xr:uid="{00000000-0005-0000-0000-00002F110000}"/>
    <cellStyle name="20% - Accent3 13 4 2 2" xfId="13494" xr:uid="{00000000-0005-0000-0000-000030110000}"/>
    <cellStyle name="20% - Accent3 13 4 2 3" xfId="17445" xr:uid="{00000000-0005-0000-0000-000031110000}"/>
    <cellStyle name="20% - Accent3 13 4 3" xfId="2160" xr:uid="{00000000-0005-0000-0000-000032110000}"/>
    <cellStyle name="20% - Accent3 13 4 3 2" xfId="13495" xr:uid="{00000000-0005-0000-0000-000033110000}"/>
    <cellStyle name="20% - Accent3 13 4 3 3" xfId="17446" xr:uid="{00000000-0005-0000-0000-000034110000}"/>
    <cellStyle name="20% - Accent3 13 4 4" xfId="13493" xr:uid="{00000000-0005-0000-0000-000035110000}"/>
    <cellStyle name="20% - Accent3 13 4 5" xfId="17444" xr:uid="{00000000-0005-0000-0000-000036110000}"/>
    <cellStyle name="20% - Accent3 13 5" xfId="2161" xr:uid="{00000000-0005-0000-0000-000037110000}"/>
    <cellStyle name="20% - Accent3 13 5 2" xfId="2162" xr:uid="{00000000-0005-0000-0000-000038110000}"/>
    <cellStyle name="20% - Accent3 13 5 2 2" xfId="13497" xr:uid="{00000000-0005-0000-0000-000039110000}"/>
    <cellStyle name="20% - Accent3 13 5 2 3" xfId="17448" xr:uid="{00000000-0005-0000-0000-00003A110000}"/>
    <cellStyle name="20% - Accent3 13 5 3" xfId="2163" xr:uid="{00000000-0005-0000-0000-00003B110000}"/>
    <cellStyle name="20% - Accent3 13 5 3 2" xfId="13498" xr:uid="{00000000-0005-0000-0000-00003C110000}"/>
    <cellStyle name="20% - Accent3 13 5 3 3" xfId="17449" xr:uid="{00000000-0005-0000-0000-00003D110000}"/>
    <cellStyle name="20% - Accent3 13 5 4" xfId="13496" xr:uid="{00000000-0005-0000-0000-00003E110000}"/>
    <cellStyle name="20% - Accent3 13 5 5" xfId="17447" xr:uid="{00000000-0005-0000-0000-00003F110000}"/>
    <cellStyle name="20% - Accent3 13 6" xfId="2164" xr:uid="{00000000-0005-0000-0000-000040110000}"/>
    <cellStyle name="20% - Accent3 13 6 2" xfId="2165" xr:uid="{00000000-0005-0000-0000-000041110000}"/>
    <cellStyle name="20% - Accent3 13 6 2 2" xfId="13500" xr:uid="{00000000-0005-0000-0000-000042110000}"/>
    <cellStyle name="20% - Accent3 13 6 2 3" xfId="17451" xr:uid="{00000000-0005-0000-0000-000043110000}"/>
    <cellStyle name="20% - Accent3 13 6 3" xfId="2166" xr:uid="{00000000-0005-0000-0000-000044110000}"/>
    <cellStyle name="20% - Accent3 13 6 3 2" xfId="13501" xr:uid="{00000000-0005-0000-0000-000045110000}"/>
    <cellStyle name="20% - Accent3 13 6 3 3" xfId="17452" xr:uid="{00000000-0005-0000-0000-000046110000}"/>
    <cellStyle name="20% - Accent3 13 6 4" xfId="13499" xr:uid="{00000000-0005-0000-0000-000047110000}"/>
    <cellStyle name="20% - Accent3 13 6 5" xfId="17450" xr:uid="{00000000-0005-0000-0000-000048110000}"/>
    <cellStyle name="20% - Accent3 13 7" xfId="2167" xr:uid="{00000000-0005-0000-0000-000049110000}"/>
    <cellStyle name="20% - Accent3 13 7 2" xfId="13502" xr:uid="{00000000-0005-0000-0000-00004A110000}"/>
    <cellStyle name="20% - Accent3 13 7 3" xfId="17453" xr:uid="{00000000-0005-0000-0000-00004B110000}"/>
    <cellStyle name="20% - Accent3 13 8" xfId="2168" xr:uid="{00000000-0005-0000-0000-00004C110000}"/>
    <cellStyle name="20% - Accent3 13 8 2" xfId="13503" xr:uid="{00000000-0005-0000-0000-00004D110000}"/>
    <cellStyle name="20% - Accent3 13 8 3" xfId="17454" xr:uid="{00000000-0005-0000-0000-00004E110000}"/>
    <cellStyle name="20% - Accent3 13 9" xfId="13471" xr:uid="{00000000-0005-0000-0000-00004F110000}"/>
    <cellStyle name="20% - Accent3 13_Volatility" xfId="2169" xr:uid="{00000000-0005-0000-0000-000050110000}"/>
    <cellStyle name="20% - Accent3 14" xfId="2170" xr:uid="{00000000-0005-0000-0000-000051110000}"/>
    <cellStyle name="20% - Accent3 14 10" xfId="17455" xr:uid="{00000000-0005-0000-0000-000052110000}"/>
    <cellStyle name="20% - Accent3 14 2" xfId="2171" xr:uid="{00000000-0005-0000-0000-000053110000}"/>
    <cellStyle name="20% - Accent3 14 2 2" xfId="2172" xr:uid="{00000000-0005-0000-0000-000054110000}"/>
    <cellStyle name="20% - Accent3 14 2 2 2" xfId="2173" xr:uid="{00000000-0005-0000-0000-000055110000}"/>
    <cellStyle name="20% - Accent3 14 2 2 2 2" xfId="13507" xr:uid="{00000000-0005-0000-0000-000056110000}"/>
    <cellStyle name="20% - Accent3 14 2 2 2 3" xfId="17458" xr:uid="{00000000-0005-0000-0000-000057110000}"/>
    <cellStyle name="20% - Accent3 14 2 2 3" xfId="2174" xr:uid="{00000000-0005-0000-0000-000058110000}"/>
    <cellStyle name="20% - Accent3 14 2 2 3 2" xfId="13508" xr:uid="{00000000-0005-0000-0000-000059110000}"/>
    <cellStyle name="20% - Accent3 14 2 2 3 3" xfId="17459" xr:uid="{00000000-0005-0000-0000-00005A110000}"/>
    <cellStyle name="20% - Accent3 14 2 2 4" xfId="13506" xr:uid="{00000000-0005-0000-0000-00005B110000}"/>
    <cellStyle name="20% - Accent3 14 2 2 5" xfId="17457" xr:uid="{00000000-0005-0000-0000-00005C110000}"/>
    <cellStyle name="20% - Accent3 14 2 3" xfId="2175" xr:uid="{00000000-0005-0000-0000-00005D110000}"/>
    <cellStyle name="20% - Accent3 14 2 3 2" xfId="2176" xr:uid="{00000000-0005-0000-0000-00005E110000}"/>
    <cellStyle name="20% - Accent3 14 2 3 2 2" xfId="13510" xr:uid="{00000000-0005-0000-0000-00005F110000}"/>
    <cellStyle name="20% - Accent3 14 2 3 2 3" xfId="17461" xr:uid="{00000000-0005-0000-0000-000060110000}"/>
    <cellStyle name="20% - Accent3 14 2 3 3" xfId="2177" xr:uid="{00000000-0005-0000-0000-000061110000}"/>
    <cellStyle name="20% - Accent3 14 2 3 3 2" xfId="13511" xr:uid="{00000000-0005-0000-0000-000062110000}"/>
    <cellStyle name="20% - Accent3 14 2 3 3 3" xfId="17462" xr:uid="{00000000-0005-0000-0000-000063110000}"/>
    <cellStyle name="20% - Accent3 14 2 3 4" xfId="13509" xr:uid="{00000000-0005-0000-0000-000064110000}"/>
    <cellStyle name="20% - Accent3 14 2 3 5" xfId="17460" xr:uid="{00000000-0005-0000-0000-000065110000}"/>
    <cellStyle name="20% - Accent3 14 2 4" xfId="2178" xr:uid="{00000000-0005-0000-0000-000066110000}"/>
    <cellStyle name="20% - Accent3 14 2 4 2" xfId="2179" xr:uid="{00000000-0005-0000-0000-000067110000}"/>
    <cellStyle name="20% - Accent3 14 2 4 2 2" xfId="13513" xr:uid="{00000000-0005-0000-0000-000068110000}"/>
    <cellStyle name="20% - Accent3 14 2 4 2 3" xfId="17464" xr:uid="{00000000-0005-0000-0000-000069110000}"/>
    <cellStyle name="20% - Accent3 14 2 4 3" xfId="2180" xr:uid="{00000000-0005-0000-0000-00006A110000}"/>
    <cellStyle name="20% - Accent3 14 2 4 3 2" xfId="13514" xr:uid="{00000000-0005-0000-0000-00006B110000}"/>
    <cellStyle name="20% - Accent3 14 2 4 3 3" xfId="17465" xr:uid="{00000000-0005-0000-0000-00006C110000}"/>
    <cellStyle name="20% - Accent3 14 2 4 4" xfId="13512" xr:uid="{00000000-0005-0000-0000-00006D110000}"/>
    <cellStyle name="20% - Accent3 14 2 4 5" xfId="17463" xr:uid="{00000000-0005-0000-0000-00006E110000}"/>
    <cellStyle name="20% - Accent3 14 2 5" xfId="2181" xr:uid="{00000000-0005-0000-0000-00006F110000}"/>
    <cellStyle name="20% - Accent3 14 2 5 2" xfId="13515" xr:uid="{00000000-0005-0000-0000-000070110000}"/>
    <cellStyle name="20% - Accent3 14 2 5 3" xfId="17466" xr:uid="{00000000-0005-0000-0000-000071110000}"/>
    <cellStyle name="20% - Accent3 14 2 6" xfId="2182" xr:uid="{00000000-0005-0000-0000-000072110000}"/>
    <cellStyle name="20% - Accent3 14 2 6 2" xfId="13516" xr:uid="{00000000-0005-0000-0000-000073110000}"/>
    <cellStyle name="20% - Accent3 14 2 6 3" xfId="17467" xr:uid="{00000000-0005-0000-0000-000074110000}"/>
    <cellStyle name="20% - Accent3 14 2 7" xfId="13505" xr:uid="{00000000-0005-0000-0000-000075110000}"/>
    <cellStyle name="20% - Accent3 14 2 8" xfId="17456" xr:uid="{00000000-0005-0000-0000-000076110000}"/>
    <cellStyle name="20% - Accent3 14 2_Volatility" xfId="2183" xr:uid="{00000000-0005-0000-0000-000077110000}"/>
    <cellStyle name="20% - Accent3 14 3" xfId="2184" xr:uid="{00000000-0005-0000-0000-000078110000}"/>
    <cellStyle name="20% - Accent3 14 3 2" xfId="2185" xr:uid="{00000000-0005-0000-0000-000079110000}"/>
    <cellStyle name="20% - Accent3 14 3 2 2" xfId="2186" xr:uid="{00000000-0005-0000-0000-00007A110000}"/>
    <cellStyle name="20% - Accent3 14 3 2 2 2" xfId="13519" xr:uid="{00000000-0005-0000-0000-00007B110000}"/>
    <cellStyle name="20% - Accent3 14 3 2 2 3" xfId="17470" xr:uid="{00000000-0005-0000-0000-00007C110000}"/>
    <cellStyle name="20% - Accent3 14 3 2 3" xfId="2187" xr:uid="{00000000-0005-0000-0000-00007D110000}"/>
    <cellStyle name="20% - Accent3 14 3 2 3 2" xfId="13520" xr:uid="{00000000-0005-0000-0000-00007E110000}"/>
    <cellStyle name="20% - Accent3 14 3 2 3 3" xfId="17471" xr:uid="{00000000-0005-0000-0000-00007F110000}"/>
    <cellStyle name="20% - Accent3 14 3 2 4" xfId="13518" xr:uid="{00000000-0005-0000-0000-000080110000}"/>
    <cellStyle name="20% - Accent3 14 3 2 5" xfId="17469" xr:uid="{00000000-0005-0000-0000-000081110000}"/>
    <cellStyle name="20% - Accent3 14 3 3" xfId="2188" xr:uid="{00000000-0005-0000-0000-000082110000}"/>
    <cellStyle name="20% - Accent3 14 3 3 2" xfId="2189" xr:uid="{00000000-0005-0000-0000-000083110000}"/>
    <cellStyle name="20% - Accent3 14 3 3 2 2" xfId="13522" xr:uid="{00000000-0005-0000-0000-000084110000}"/>
    <cellStyle name="20% - Accent3 14 3 3 2 3" xfId="17473" xr:uid="{00000000-0005-0000-0000-000085110000}"/>
    <cellStyle name="20% - Accent3 14 3 3 3" xfId="2190" xr:uid="{00000000-0005-0000-0000-000086110000}"/>
    <cellStyle name="20% - Accent3 14 3 3 3 2" xfId="13523" xr:uid="{00000000-0005-0000-0000-000087110000}"/>
    <cellStyle name="20% - Accent3 14 3 3 3 3" xfId="17474" xr:uid="{00000000-0005-0000-0000-000088110000}"/>
    <cellStyle name="20% - Accent3 14 3 3 4" xfId="13521" xr:uid="{00000000-0005-0000-0000-000089110000}"/>
    <cellStyle name="20% - Accent3 14 3 3 5" xfId="17472" xr:uid="{00000000-0005-0000-0000-00008A110000}"/>
    <cellStyle name="20% - Accent3 14 3 4" xfId="2191" xr:uid="{00000000-0005-0000-0000-00008B110000}"/>
    <cellStyle name="20% - Accent3 14 3 4 2" xfId="13524" xr:uid="{00000000-0005-0000-0000-00008C110000}"/>
    <cellStyle name="20% - Accent3 14 3 4 3" xfId="17475" xr:uid="{00000000-0005-0000-0000-00008D110000}"/>
    <cellStyle name="20% - Accent3 14 3 5" xfId="2192" xr:uid="{00000000-0005-0000-0000-00008E110000}"/>
    <cellStyle name="20% - Accent3 14 3 5 2" xfId="13525" xr:uid="{00000000-0005-0000-0000-00008F110000}"/>
    <cellStyle name="20% - Accent3 14 3 5 3" xfId="17476" xr:uid="{00000000-0005-0000-0000-000090110000}"/>
    <cellStyle name="20% - Accent3 14 3 6" xfId="13517" xr:uid="{00000000-0005-0000-0000-000091110000}"/>
    <cellStyle name="20% - Accent3 14 3 7" xfId="17468" xr:uid="{00000000-0005-0000-0000-000092110000}"/>
    <cellStyle name="20% - Accent3 14 3_Volatility" xfId="2193" xr:uid="{00000000-0005-0000-0000-000093110000}"/>
    <cellStyle name="20% - Accent3 14 4" xfId="2194" xr:uid="{00000000-0005-0000-0000-000094110000}"/>
    <cellStyle name="20% - Accent3 14 4 2" xfId="2195" xr:uid="{00000000-0005-0000-0000-000095110000}"/>
    <cellStyle name="20% - Accent3 14 4 2 2" xfId="13527" xr:uid="{00000000-0005-0000-0000-000096110000}"/>
    <cellStyle name="20% - Accent3 14 4 2 3" xfId="17478" xr:uid="{00000000-0005-0000-0000-000097110000}"/>
    <cellStyle name="20% - Accent3 14 4 3" xfId="2196" xr:uid="{00000000-0005-0000-0000-000098110000}"/>
    <cellStyle name="20% - Accent3 14 4 3 2" xfId="13528" xr:uid="{00000000-0005-0000-0000-000099110000}"/>
    <cellStyle name="20% - Accent3 14 4 3 3" xfId="17479" xr:uid="{00000000-0005-0000-0000-00009A110000}"/>
    <cellStyle name="20% - Accent3 14 4 4" xfId="13526" xr:uid="{00000000-0005-0000-0000-00009B110000}"/>
    <cellStyle name="20% - Accent3 14 4 5" xfId="17477" xr:uid="{00000000-0005-0000-0000-00009C110000}"/>
    <cellStyle name="20% - Accent3 14 5" xfId="2197" xr:uid="{00000000-0005-0000-0000-00009D110000}"/>
    <cellStyle name="20% - Accent3 14 5 2" xfId="2198" xr:uid="{00000000-0005-0000-0000-00009E110000}"/>
    <cellStyle name="20% - Accent3 14 5 2 2" xfId="13530" xr:uid="{00000000-0005-0000-0000-00009F110000}"/>
    <cellStyle name="20% - Accent3 14 5 2 3" xfId="17481" xr:uid="{00000000-0005-0000-0000-0000A0110000}"/>
    <cellStyle name="20% - Accent3 14 5 3" xfId="2199" xr:uid="{00000000-0005-0000-0000-0000A1110000}"/>
    <cellStyle name="20% - Accent3 14 5 3 2" xfId="13531" xr:uid="{00000000-0005-0000-0000-0000A2110000}"/>
    <cellStyle name="20% - Accent3 14 5 3 3" xfId="17482" xr:uid="{00000000-0005-0000-0000-0000A3110000}"/>
    <cellStyle name="20% - Accent3 14 5 4" xfId="13529" xr:uid="{00000000-0005-0000-0000-0000A4110000}"/>
    <cellStyle name="20% - Accent3 14 5 5" xfId="17480" xr:uid="{00000000-0005-0000-0000-0000A5110000}"/>
    <cellStyle name="20% - Accent3 14 6" xfId="2200" xr:uid="{00000000-0005-0000-0000-0000A6110000}"/>
    <cellStyle name="20% - Accent3 14 6 2" xfId="2201" xr:uid="{00000000-0005-0000-0000-0000A7110000}"/>
    <cellStyle name="20% - Accent3 14 6 2 2" xfId="13533" xr:uid="{00000000-0005-0000-0000-0000A8110000}"/>
    <cellStyle name="20% - Accent3 14 6 2 3" xfId="17484" xr:uid="{00000000-0005-0000-0000-0000A9110000}"/>
    <cellStyle name="20% - Accent3 14 6 3" xfId="2202" xr:uid="{00000000-0005-0000-0000-0000AA110000}"/>
    <cellStyle name="20% - Accent3 14 6 3 2" xfId="13534" xr:uid="{00000000-0005-0000-0000-0000AB110000}"/>
    <cellStyle name="20% - Accent3 14 6 3 3" xfId="17485" xr:uid="{00000000-0005-0000-0000-0000AC110000}"/>
    <cellStyle name="20% - Accent3 14 6 4" xfId="13532" xr:uid="{00000000-0005-0000-0000-0000AD110000}"/>
    <cellStyle name="20% - Accent3 14 6 5" xfId="17483" xr:uid="{00000000-0005-0000-0000-0000AE110000}"/>
    <cellStyle name="20% - Accent3 14 7" xfId="2203" xr:uid="{00000000-0005-0000-0000-0000AF110000}"/>
    <cellStyle name="20% - Accent3 14 7 2" xfId="13535" xr:uid="{00000000-0005-0000-0000-0000B0110000}"/>
    <cellStyle name="20% - Accent3 14 7 3" xfId="17486" xr:uid="{00000000-0005-0000-0000-0000B1110000}"/>
    <cellStyle name="20% - Accent3 14 8" xfId="2204" xr:uid="{00000000-0005-0000-0000-0000B2110000}"/>
    <cellStyle name="20% - Accent3 14 8 2" xfId="13536" xr:uid="{00000000-0005-0000-0000-0000B3110000}"/>
    <cellStyle name="20% - Accent3 14 8 3" xfId="17487" xr:uid="{00000000-0005-0000-0000-0000B4110000}"/>
    <cellStyle name="20% - Accent3 14 9" xfId="13504" xr:uid="{00000000-0005-0000-0000-0000B5110000}"/>
    <cellStyle name="20% - Accent3 14_Volatility" xfId="2205" xr:uid="{00000000-0005-0000-0000-0000B6110000}"/>
    <cellStyle name="20% - Accent3 15" xfId="2206" xr:uid="{00000000-0005-0000-0000-0000B7110000}"/>
    <cellStyle name="20% - Accent3 15 10" xfId="17488" xr:uid="{00000000-0005-0000-0000-0000B8110000}"/>
    <cellStyle name="20% - Accent3 15 2" xfId="2207" xr:uid="{00000000-0005-0000-0000-0000B9110000}"/>
    <cellStyle name="20% - Accent3 15 2 2" xfId="2208" xr:uid="{00000000-0005-0000-0000-0000BA110000}"/>
    <cellStyle name="20% - Accent3 15 2 2 2" xfId="2209" xr:uid="{00000000-0005-0000-0000-0000BB110000}"/>
    <cellStyle name="20% - Accent3 15 2 2 2 2" xfId="13540" xr:uid="{00000000-0005-0000-0000-0000BC110000}"/>
    <cellStyle name="20% - Accent3 15 2 2 2 3" xfId="17491" xr:uid="{00000000-0005-0000-0000-0000BD110000}"/>
    <cellStyle name="20% - Accent3 15 2 2 3" xfId="2210" xr:uid="{00000000-0005-0000-0000-0000BE110000}"/>
    <cellStyle name="20% - Accent3 15 2 2 3 2" xfId="13541" xr:uid="{00000000-0005-0000-0000-0000BF110000}"/>
    <cellStyle name="20% - Accent3 15 2 2 3 3" xfId="17492" xr:uid="{00000000-0005-0000-0000-0000C0110000}"/>
    <cellStyle name="20% - Accent3 15 2 2 4" xfId="13539" xr:uid="{00000000-0005-0000-0000-0000C1110000}"/>
    <cellStyle name="20% - Accent3 15 2 2 5" xfId="17490" xr:uid="{00000000-0005-0000-0000-0000C2110000}"/>
    <cellStyle name="20% - Accent3 15 2 3" xfId="2211" xr:uid="{00000000-0005-0000-0000-0000C3110000}"/>
    <cellStyle name="20% - Accent3 15 2 3 2" xfId="2212" xr:uid="{00000000-0005-0000-0000-0000C4110000}"/>
    <cellStyle name="20% - Accent3 15 2 3 2 2" xfId="13543" xr:uid="{00000000-0005-0000-0000-0000C5110000}"/>
    <cellStyle name="20% - Accent3 15 2 3 2 3" xfId="17494" xr:uid="{00000000-0005-0000-0000-0000C6110000}"/>
    <cellStyle name="20% - Accent3 15 2 3 3" xfId="2213" xr:uid="{00000000-0005-0000-0000-0000C7110000}"/>
    <cellStyle name="20% - Accent3 15 2 3 3 2" xfId="13544" xr:uid="{00000000-0005-0000-0000-0000C8110000}"/>
    <cellStyle name="20% - Accent3 15 2 3 3 3" xfId="17495" xr:uid="{00000000-0005-0000-0000-0000C9110000}"/>
    <cellStyle name="20% - Accent3 15 2 3 4" xfId="13542" xr:uid="{00000000-0005-0000-0000-0000CA110000}"/>
    <cellStyle name="20% - Accent3 15 2 3 5" xfId="17493" xr:uid="{00000000-0005-0000-0000-0000CB110000}"/>
    <cellStyle name="20% - Accent3 15 2 4" xfId="2214" xr:uid="{00000000-0005-0000-0000-0000CC110000}"/>
    <cellStyle name="20% - Accent3 15 2 4 2" xfId="2215" xr:uid="{00000000-0005-0000-0000-0000CD110000}"/>
    <cellStyle name="20% - Accent3 15 2 4 2 2" xfId="13546" xr:uid="{00000000-0005-0000-0000-0000CE110000}"/>
    <cellStyle name="20% - Accent3 15 2 4 2 3" xfId="17497" xr:uid="{00000000-0005-0000-0000-0000CF110000}"/>
    <cellStyle name="20% - Accent3 15 2 4 3" xfId="2216" xr:uid="{00000000-0005-0000-0000-0000D0110000}"/>
    <cellStyle name="20% - Accent3 15 2 4 3 2" xfId="13547" xr:uid="{00000000-0005-0000-0000-0000D1110000}"/>
    <cellStyle name="20% - Accent3 15 2 4 3 3" xfId="17498" xr:uid="{00000000-0005-0000-0000-0000D2110000}"/>
    <cellStyle name="20% - Accent3 15 2 4 4" xfId="13545" xr:uid="{00000000-0005-0000-0000-0000D3110000}"/>
    <cellStyle name="20% - Accent3 15 2 4 5" xfId="17496" xr:uid="{00000000-0005-0000-0000-0000D4110000}"/>
    <cellStyle name="20% - Accent3 15 2 5" xfId="2217" xr:uid="{00000000-0005-0000-0000-0000D5110000}"/>
    <cellStyle name="20% - Accent3 15 2 5 2" xfId="13548" xr:uid="{00000000-0005-0000-0000-0000D6110000}"/>
    <cellStyle name="20% - Accent3 15 2 5 3" xfId="17499" xr:uid="{00000000-0005-0000-0000-0000D7110000}"/>
    <cellStyle name="20% - Accent3 15 2 6" xfId="2218" xr:uid="{00000000-0005-0000-0000-0000D8110000}"/>
    <cellStyle name="20% - Accent3 15 2 6 2" xfId="13549" xr:uid="{00000000-0005-0000-0000-0000D9110000}"/>
    <cellStyle name="20% - Accent3 15 2 6 3" xfId="17500" xr:uid="{00000000-0005-0000-0000-0000DA110000}"/>
    <cellStyle name="20% - Accent3 15 2 7" xfId="13538" xr:uid="{00000000-0005-0000-0000-0000DB110000}"/>
    <cellStyle name="20% - Accent3 15 2 8" xfId="17489" xr:uid="{00000000-0005-0000-0000-0000DC110000}"/>
    <cellStyle name="20% - Accent3 15 2_Volatility" xfId="2219" xr:uid="{00000000-0005-0000-0000-0000DD110000}"/>
    <cellStyle name="20% - Accent3 15 3" xfId="2220" xr:uid="{00000000-0005-0000-0000-0000DE110000}"/>
    <cellStyle name="20% - Accent3 15 3 2" xfId="2221" xr:uid="{00000000-0005-0000-0000-0000DF110000}"/>
    <cellStyle name="20% - Accent3 15 3 2 2" xfId="2222" xr:uid="{00000000-0005-0000-0000-0000E0110000}"/>
    <cellStyle name="20% - Accent3 15 3 2 2 2" xfId="13552" xr:uid="{00000000-0005-0000-0000-0000E1110000}"/>
    <cellStyle name="20% - Accent3 15 3 2 2 3" xfId="17503" xr:uid="{00000000-0005-0000-0000-0000E2110000}"/>
    <cellStyle name="20% - Accent3 15 3 2 3" xfId="2223" xr:uid="{00000000-0005-0000-0000-0000E3110000}"/>
    <cellStyle name="20% - Accent3 15 3 2 3 2" xfId="13553" xr:uid="{00000000-0005-0000-0000-0000E4110000}"/>
    <cellStyle name="20% - Accent3 15 3 2 3 3" xfId="17504" xr:uid="{00000000-0005-0000-0000-0000E5110000}"/>
    <cellStyle name="20% - Accent3 15 3 2 4" xfId="13551" xr:uid="{00000000-0005-0000-0000-0000E6110000}"/>
    <cellStyle name="20% - Accent3 15 3 2 5" xfId="17502" xr:uid="{00000000-0005-0000-0000-0000E7110000}"/>
    <cellStyle name="20% - Accent3 15 3 3" xfId="2224" xr:uid="{00000000-0005-0000-0000-0000E8110000}"/>
    <cellStyle name="20% - Accent3 15 3 3 2" xfId="2225" xr:uid="{00000000-0005-0000-0000-0000E9110000}"/>
    <cellStyle name="20% - Accent3 15 3 3 2 2" xfId="13555" xr:uid="{00000000-0005-0000-0000-0000EA110000}"/>
    <cellStyle name="20% - Accent3 15 3 3 2 3" xfId="17506" xr:uid="{00000000-0005-0000-0000-0000EB110000}"/>
    <cellStyle name="20% - Accent3 15 3 3 3" xfId="2226" xr:uid="{00000000-0005-0000-0000-0000EC110000}"/>
    <cellStyle name="20% - Accent3 15 3 3 3 2" xfId="13556" xr:uid="{00000000-0005-0000-0000-0000ED110000}"/>
    <cellStyle name="20% - Accent3 15 3 3 3 3" xfId="17507" xr:uid="{00000000-0005-0000-0000-0000EE110000}"/>
    <cellStyle name="20% - Accent3 15 3 3 4" xfId="13554" xr:uid="{00000000-0005-0000-0000-0000EF110000}"/>
    <cellStyle name="20% - Accent3 15 3 3 5" xfId="17505" xr:uid="{00000000-0005-0000-0000-0000F0110000}"/>
    <cellStyle name="20% - Accent3 15 3 4" xfId="2227" xr:uid="{00000000-0005-0000-0000-0000F1110000}"/>
    <cellStyle name="20% - Accent3 15 3 4 2" xfId="13557" xr:uid="{00000000-0005-0000-0000-0000F2110000}"/>
    <cellStyle name="20% - Accent3 15 3 4 3" xfId="17508" xr:uid="{00000000-0005-0000-0000-0000F3110000}"/>
    <cellStyle name="20% - Accent3 15 3 5" xfId="2228" xr:uid="{00000000-0005-0000-0000-0000F4110000}"/>
    <cellStyle name="20% - Accent3 15 3 5 2" xfId="13558" xr:uid="{00000000-0005-0000-0000-0000F5110000}"/>
    <cellStyle name="20% - Accent3 15 3 5 3" xfId="17509" xr:uid="{00000000-0005-0000-0000-0000F6110000}"/>
    <cellStyle name="20% - Accent3 15 3 6" xfId="13550" xr:uid="{00000000-0005-0000-0000-0000F7110000}"/>
    <cellStyle name="20% - Accent3 15 3 7" xfId="17501" xr:uid="{00000000-0005-0000-0000-0000F8110000}"/>
    <cellStyle name="20% - Accent3 15 3_Volatility" xfId="2229" xr:uid="{00000000-0005-0000-0000-0000F9110000}"/>
    <cellStyle name="20% - Accent3 15 4" xfId="2230" xr:uid="{00000000-0005-0000-0000-0000FA110000}"/>
    <cellStyle name="20% - Accent3 15 4 2" xfId="2231" xr:uid="{00000000-0005-0000-0000-0000FB110000}"/>
    <cellStyle name="20% - Accent3 15 4 2 2" xfId="13560" xr:uid="{00000000-0005-0000-0000-0000FC110000}"/>
    <cellStyle name="20% - Accent3 15 4 2 3" xfId="17511" xr:uid="{00000000-0005-0000-0000-0000FD110000}"/>
    <cellStyle name="20% - Accent3 15 4 3" xfId="2232" xr:uid="{00000000-0005-0000-0000-0000FE110000}"/>
    <cellStyle name="20% - Accent3 15 4 3 2" xfId="13561" xr:uid="{00000000-0005-0000-0000-0000FF110000}"/>
    <cellStyle name="20% - Accent3 15 4 3 3" xfId="17512" xr:uid="{00000000-0005-0000-0000-000000120000}"/>
    <cellStyle name="20% - Accent3 15 4 4" xfId="13559" xr:uid="{00000000-0005-0000-0000-000001120000}"/>
    <cellStyle name="20% - Accent3 15 4 5" xfId="17510" xr:uid="{00000000-0005-0000-0000-000002120000}"/>
    <cellStyle name="20% - Accent3 15 5" xfId="2233" xr:uid="{00000000-0005-0000-0000-000003120000}"/>
    <cellStyle name="20% - Accent3 15 5 2" xfId="2234" xr:uid="{00000000-0005-0000-0000-000004120000}"/>
    <cellStyle name="20% - Accent3 15 5 2 2" xfId="13563" xr:uid="{00000000-0005-0000-0000-000005120000}"/>
    <cellStyle name="20% - Accent3 15 5 2 3" xfId="17514" xr:uid="{00000000-0005-0000-0000-000006120000}"/>
    <cellStyle name="20% - Accent3 15 5 3" xfId="2235" xr:uid="{00000000-0005-0000-0000-000007120000}"/>
    <cellStyle name="20% - Accent3 15 5 3 2" xfId="13564" xr:uid="{00000000-0005-0000-0000-000008120000}"/>
    <cellStyle name="20% - Accent3 15 5 3 3" xfId="17515" xr:uid="{00000000-0005-0000-0000-000009120000}"/>
    <cellStyle name="20% - Accent3 15 5 4" xfId="13562" xr:uid="{00000000-0005-0000-0000-00000A120000}"/>
    <cellStyle name="20% - Accent3 15 5 5" xfId="17513" xr:uid="{00000000-0005-0000-0000-00000B120000}"/>
    <cellStyle name="20% - Accent3 15 6" xfId="2236" xr:uid="{00000000-0005-0000-0000-00000C120000}"/>
    <cellStyle name="20% - Accent3 15 6 2" xfId="2237" xr:uid="{00000000-0005-0000-0000-00000D120000}"/>
    <cellStyle name="20% - Accent3 15 6 2 2" xfId="13566" xr:uid="{00000000-0005-0000-0000-00000E120000}"/>
    <cellStyle name="20% - Accent3 15 6 2 3" xfId="17517" xr:uid="{00000000-0005-0000-0000-00000F120000}"/>
    <cellStyle name="20% - Accent3 15 6 3" xfId="2238" xr:uid="{00000000-0005-0000-0000-000010120000}"/>
    <cellStyle name="20% - Accent3 15 6 3 2" xfId="13567" xr:uid="{00000000-0005-0000-0000-000011120000}"/>
    <cellStyle name="20% - Accent3 15 6 3 3" xfId="17518" xr:uid="{00000000-0005-0000-0000-000012120000}"/>
    <cellStyle name="20% - Accent3 15 6 4" xfId="13565" xr:uid="{00000000-0005-0000-0000-000013120000}"/>
    <cellStyle name="20% - Accent3 15 6 5" xfId="17516" xr:uid="{00000000-0005-0000-0000-000014120000}"/>
    <cellStyle name="20% - Accent3 15 7" xfId="2239" xr:uid="{00000000-0005-0000-0000-000015120000}"/>
    <cellStyle name="20% - Accent3 15 7 2" xfId="13568" xr:uid="{00000000-0005-0000-0000-000016120000}"/>
    <cellStyle name="20% - Accent3 15 7 3" xfId="17519" xr:uid="{00000000-0005-0000-0000-000017120000}"/>
    <cellStyle name="20% - Accent3 15 8" xfId="2240" xr:uid="{00000000-0005-0000-0000-000018120000}"/>
    <cellStyle name="20% - Accent3 15 8 2" xfId="13569" xr:uid="{00000000-0005-0000-0000-000019120000}"/>
    <cellStyle name="20% - Accent3 15 8 3" xfId="17520" xr:uid="{00000000-0005-0000-0000-00001A120000}"/>
    <cellStyle name="20% - Accent3 15 9" xfId="13537" xr:uid="{00000000-0005-0000-0000-00001B120000}"/>
    <cellStyle name="20% - Accent3 15_Volatility" xfId="2241" xr:uid="{00000000-0005-0000-0000-00001C120000}"/>
    <cellStyle name="20% - Accent3 16" xfId="2242" xr:uid="{00000000-0005-0000-0000-00001D120000}"/>
    <cellStyle name="20% - Accent3 16 2" xfId="13570" xr:uid="{00000000-0005-0000-0000-00001E120000}"/>
    <cellStyle name="20% - Accent3 16 3" xfId="17521" xr:uid="{00000000-0005-0000-0000-00001F120000}"/>
    <cellStyle name="20% - Accent3 17" xfId="2243" xr:uid="{00000000-0005-0000-0000-000020120000}"/>
    <cellStyle name="20% - Accent3 17 2" xfId="13571" xr:uid="{00000000-0005-0000-0000-000021120000}"/>
    <cellStyle name="20% - Accent3 17 3" xfId="17522" xr:uid="{00000000-0005-0000-0000-000022120000}"/>
    <cellStyle name="20% - Accent3 18" xfId="2244" xr:uid="{00000000-0005-0000-0000-000023120000}"/>
    <cellStyle name="20% - Accent3 18 2" xfId="13572" xr:uid="{00000000-0005-0000-0000-000024120000}"/>
    <cellStyle name="20% - Accent3 18 3" xfId="17523" xr:uid="{00000000-0005-0000-0000-000025120000}"/>
    <cellStyle name="20% - Accent3 19" xfId="2245" xr:uid="{00000000-0005-0000-0000-000026120000}"/>
    <cellStyle name="20% - Accent3 19 2" xfId="13573" xr:uid="{00000000-0005-0000-0000-000027120000}"/>
    <cellStyle name="20% - Accent3 19 3" xfId="17524" xr:uid="{00000000-0005-0000-0000-000028120000}"/>
    <cellStyle name="20% - Accent3 2" xfId="2246" xr:uid="{00000000-0005-0000-0000-000029120000}"/>
    <cellStyle name="20% - Accent3 2 10" xfId="17525" xr:uid="{00000000-0005-0000-0000-00002A120000}"/>
    <cellStyle name="20% - Accent3 2 2" xfId="2247" xr:uid="{00000000-0005-0000-0000-00002B120000}"/>
    <cellStyle name="20% - Accent3 2 2 2" xfId="2248" xr:uid="{00000000-0005-0000-0000-00002C120000}"/>
    <cellStyle name="20% - Accent3 2 2 2 2" xfId="2249" xr:uid="{00000000-0005-0000-0000-00002D120000}"/>
    <cellStyle name="20% - Accent3 2 2 2 2 2" xfId="13577" xr:uid="{00000000-0005-0000-0000-00002E120000}"/>
    <cellStyle name="20% - Accent3 2 2 2 2 3" xfId="17528" xr:uid="{00000000-0005-0000-0000-00002F120000}"/>
    <cellStyle name="20% - Accent3 2 2 2 3" xfId="2250" xr:uid="{00000000-0005-0000-0000-000030120000}"/>
    <cellStyle name="20% - Accent3 2 2 2 3 2" xfId="13578" xr:uid="{00000000-0005-0000-0000-000031120000}"/>
    <cellStyle name="20% - Accent3 2 2 2 3 3" xfId="17529" xr:uid="{00000000-0005-0000-0000-000032120000}"/>
    <cellStyle name="20% - Accent3 2 2 2 4" xfId="13576" xr:uid="{00000000-0005-0000-0000-000033120000}"/>
    <cellStyle name="20% - Accent3 2 2 2 5" xfId="17527" xr:uid="{00000000-0005-0000-0000-000034120000}"/>
    <cellStyle name="20% - Accent3 2 2 3" xfId="2251" xr:uid="{00000000-0005-0000-0000-000035120000}"/>
    <cellStyle name="20% - Accent3 2 2 3 2" xfId="2252" xr:uid="{00000000-0005-0000-0000-000036120000}"/>
    <cellStyle name="20% - Accent3 2 2 3 2 2" xfId="13580" xr:uid="{00000000-0005-0000-0000-000037120000}"/>
    <cellStyle name="20% - Accent3 2 2 3 2 3" xfId="17531" xr:uid="{00000000-0005-0000-0000-000038120000}"/>
    <cellStyle name="20% - Accent3 2 2 3 3" xfId="2253" xr:uid="{00000000-0005-0000-0000-000039120000}"/>
    <cellStyle name="20% - Accent3 2 2 3 3 2" xfId="13581" xr:uid="{00000000-0005-0000-0000-00003A120000}"/>
    <cellStyle name="20% - Accent3 2 2 3 3 3" xfId="17532" xr:uid="{00000000-0005-0000-0000-00003B120000}"/>
    <cellStyle name="20% - Accent3 2 2 3 4" xfId="13579" xr:uid="{00000000-0005-0000-0000-00003C120000}"/>
    <cellStyle name="20% - Accent3 2 2 3 5" xfId="17530" xr:uid="{00000000-0005-0000-0000-00003D120000}"/>
    <cellStyle name="20% - Accent3 2 2 4" xfId="2254" xr:uid="{00000000-0005-0000-0000-00003E120000}"/>
    <cellStyle name="20% - Accent3 2 2 4 2" xfId="2255" xr:uid="{00000000-0005-0000-0000-00003F120000}"/>
    <cellStyle name="20% - Accent3 2 2 4 2 2" xfId="13583" xr:uid="{00000000-0005-0000-0000-000040120000}"/>
    <cellStyle name="20% - Accent3 2 2 4 2 3" xfId="17534" xr:uid="{00000000-0005-0000-0000-000041120000}"/>
    <cellStyle name="20% - Accent3 2 2 4 3" xfId="2256" xr:uid="{00000000-0005-0000-0000-000042120000}"/>
    <cellStyle name="20% - Accent3 2 2 4 3 2" xfId="13584" xr:uid="{00000000-0005-0000-0000-000043120000}"/>
    <cellStyle name="20% - Accent3 2 2 4 3 3" xfId="17535" xr:uid="{00000000-0005-0000-0000-000044120000}"/>
    <cellStyle name="20% - Accent3 2 2 4 4" xfId="13582" xr:uid="{00000000-0005-0000-0000-000045120000}"/>
    <cellStyle name="20% - Accent3 2 2 4 5" xfId="17533" xr:uid="{00000000-0005-0000-0000-000046120000}"/>
    <cellStyle name="20% - Accent3 2 2 5" xfId="2257" xr:uid="{00000000-0005-0000-0000-000047120000}"/>
    <cellStyle name="20% - Accent3 2 2 5 2" xfId="13585" xr:uid="{00000000-0005-0000-0000-000048120000}"/>
    <cellStyle name="20% - Accent3 2 2 5 3" xfId="17536" xr:uid="{00000000-0005-0000-0000-000049120000}"/>
    <cellStyle name="20% - Accent3 2 2 6" xfId="2258" xr:uid="{00000000-0005-0000-0000-00004A120000}"/>
    <cellStyle name="20% - Accent3 2 2 6 2" xfId="13586" xr:uid="{00000000-0005-0000-0000-00004B120000}"/>
    <cellStyle name="20% - Accent3 2 2 6 3" xfId="17537" xr:uid="{00000000-0005-0000-0000-00004C120000}"/>
    <cellStyle name="20% - Accent3 2 2 7" xfId="13575" xr:uid="{00000000-0005-0000-0000-00004D120000}"/>
    <cellStyle name="20% - Accent3 2 2 8" xfId="17526" xr:uid="{00000000-0005-0000-0000-00004E120000}"/>
    <cellStyle name="20% - Accent3 2 2_Volatility" xfId="2259" xr:uid="{00000000-0005-0000-0000-00004F120000}"/>
    <cellStyle name="20% - Accent3 2 3" xfId="2260" xr:uid="{00000000-0005-0000-0000-000050120000}"/>
    <cellStyle name="20% - Accent3 2 3 2" xfId="2261" xr:uid="{00000000-0005-0000-0000-000051120000}"/>
    <cellStyle name="20% - Accent3 2 3 2 2" xfId="2262" xr:uid="{00000000-0005-0000-0000-000052120000}"/>
    <cellStyle name="20% - Accent3 2 3 2 2 2" xfId="13589" xr:uid="{00000000-0005-0000-0000-000053120000}"/>
    <cellStyle name="20% - Accent3 2 3 2 2 3" xfId="17540" xr:uid="{00000000-0005-0000-0000-000054120000}"/>
    <cellStyle name="20% - Accent3 2 3 2 3" xfId="2263" xr:uid="{00000000-0005-0000-0000-000055120000}"/>
    <cellStyle name="20% - Accent3 2 3 2 3 2" xfId="13590" xr:uid="{00000000-0005-0000-0000-000056120000}"/>
    <cellStyle name="20% - Accent3 2 3 2 3 3" xfId="17541" xr:uid="{00000000-0005-0000-0000-000057120000}"/>
    <cellStyle name="20% - Accent3 2 3 2 4" xfId="13588" xr:uid="{00000000-0005-0000-0000-000058120000}"/>
    <cellStyle name="20% - Accent3 2 3 2 5" xfId="17539" xr:uid="{00000000-0005-0000-0000-000059120000}"/>
    <cellStyle name="20% - Accent3 2 3 3" xfId="2264" xr:uid="{00000000-0005-0000-0000-00005A120000}"/>
    <cellStyle name="20% - Accent3 2 3 3 2" xfId="2265" xr:uid="{00000000-0005-0000-0000-00005B120000}"/>
    <cellStyle name="20% - Accent3 2 3 3 2 2" xfId="13592" xr:uid="{00000000-0005-0000-0000-00005C120000}"/>
    <cellStyle name="20% - Accent3 2 3 3 2 3" xfId="17543" xr:uid="{00000000-0005-0000-0000-00005D120000}"/>
    <cellStyle name="20% - Accent3 2 3 3 3" xfId="2266" xr:uid="{00000000-0005-0000-0000-00005E120000}"/>
    <cellStyle name="20% - Accent3 2 3 3 3 2" xfId="13593" xr:uid="{00000000-0005-0000-0000-00005F120000}"/>
    <cellStyle name="20% - Accent3 2 3 3 3 3" xfId="17544" xr:uid="{00000000-0005-0000-0000-000060120000}"/>
    <cellStyle name="20% - Accent3 2 3 3 4" xfId="13591" xr:uid="{00000000-0005-0000-0000-000061120000}"/>
    <cellStyle name="20% - Accent3 2 3 3 5" xfId="17542" xr:uid="{00000000-0005-0000-0000-000062120000}"/>
    <cellStyle name="20% - Accent3 2 3 4" xfId="2267" xr:uid="{00000000-0005-0000-0000-000063120000}"/>
    <cellStyle name="20% - Accent3 2 3 4 2" xfId="13594" xr:uid="{00000000-0005-0000-0000-000064120000}"/>
    <cellStyle name="20% - Accent3 2 3 4 3" xfId="17545" xr:uid="{00000000-0005-0000-0000-000065120000}"/>
    <cellStyle name="20% - Accent3 2 3 5" xfId="2268" xr:uid="{00000000-0005-0000-0000-000066120000}"/>
    <cellStyle name="20% - Accent3 2 3 5 2" xfId="13595" xr:uid="{00000000-0005-0000-0000-000067120000}"/>
    <cellStyle name="20% - Accent3 2 3 5 3" xfId="17546" xr:uid="{00000000-0005-0000-0000-000068120000}"/>
    <cellStyle name="20% - Accent3 2 3 6" xfId="13587" xr:uid="{00000000-0005-0000-0000-000069120000}"/>
    <cellStyle name="20% - Accent3 2 3 7" xfId="17538" xr:uid="{00000000-0005-0000-0000-00006A120000}"/>
    <cellStyle name="20% - Accent3 2 3_Volatility" xfId="2269" xr:uid="{00000000-0005-0000-0000-00006B120000}"/>
    <cellStyle name="20% - Accent3 2 4" xfId="2270" xr:uid="{00000000-0005-0000-0000-00006C120000}"/>
    <cellStyle name="20% - Accent3 2 4 2" xfId="2271" xr:uid="{00000000-0005-0000-0000-00006D120000}"/>
    <cellStyle name="20% - Accent3 2 4 2 2" xfId="13597" xr:uid="{00000000-0005-0000-0000-00006E120000}"/>
    <cellStyle name="20% - Accent3 2 4 2 3" xfId="17548" xr:uid="{00000000-0005-0000-0000-00006F120000}"/>
    <cellStyle name="20% - Accent3 2 4 3" xfId="2272" xr:uid="{00000000-0005-0000-0000-000070120000}"/>
    <cellStyle name="20% - Accent3 2 4 3 2" xfId="13598" xr:uid="{00000000-0005-0000-0000-000071120000}"/>
    <cellStyle name="20% - Accent3 2 4 3 3" xfId="17549" xr:uid="{00000000-0005-0000-0000-000072120000}"/>
    <cellStyle name="20% - Accent3 2 4 4" xfId="13596" xr:uid="{00000000-0005-0000-0000-000073120000}"/>
    <cellStyle name="20% - Accent3 2 4 5" xfId="17547" xr:uid="{00000000-0005-0000-0000-000074120000}"/>
    <cellStyle name="20% - Accent3 2 5" xfId="2273" xr:uid="{00000000-0005-0000-0000-000075120000}"/>
    <cellStyle name="20% - Accent3 2 5 2" xfId="2274" xr:uid="{00000000-0005-0000-0000-000076120000}"/>
    <cellStyle name="20% - Accent3 2 5 2 2" xfId="13600" xr:uid="{00000000-0005-0000-0000-000077120000}"/>
    <cellStyle name="20% - Accent3 2 5 2 3" xfId="17551" xr:uid="{00000000-0005-0000-0000-000078120000}"/>
    <cellStyle name="20% - Accent3 2 5 3" xfId="2275" xr:uid="{00000000-0005-0000-0000-000079120000}"/>
    <cellStyle name="20% - Accent3 2 5 3 2" xfId="13601" xr:uid="{00000000-0005-0000-0000-00007A120000}"/>
    <cellStyle name="20% - Accent3 2 5 3 3" xfId="17552" xr:uid="{00000000-0005-0000-0000-00007B120000}"/>
    <cellStyle name="20% - Accent3 2 5 4" xfId="13599" xr:uid="{00000000-0005-0000-0000-00007C120000}"/>
    <cellStyle name="20% - Accent3 2 5 5" xfId="17550" xr:uid="{00000000-0005-0000-0000-00007D120000}"/>
    <cellStyle name="20% - Accent3 2 6" xfId="2276" xr:uid="{00000000-0005-0000-0000-00007E120000}"/>
    <cellStyle name="20% - Accent3 2 6 2" xfId="2277" xr:uid="{00000000-0005-0000-0000-00007F120000}"/>
    <cellStyle name="20% - Accent3 2 6 2 2" xfId="13603" xr:uid="{00000000-0005-0000-0000-000080120000}"/>
    <cellStyle name="20% - Accent3 2 6 2 3" xfId="17554" xr:uid="{00000000-0005-0000-0000-000081120000}"/>
    <cellStyle name="20% - Accent3 2 6 3" xfId="2278" xr:uid="{00000000-0005-0000-0000-000082120000}"/>
    <cellStyle name="20% - Accent3 2 6 3 2" xfId="13604" xr:uid="{00000000-0005-0000-0000-000083120000}"/>
    <cellStyle name="20% - Accent3 2 6 3 3" xfId="17555" xr:uid="{00000000-0005-0000-0000-000084120000}"/>
    <cellStyle name="20% - Accent3 2 6 4" xfId="13602" xr:uid="{00000000-0005-0000-0000-000085120000}"/>
    <cellStyle name="20% - Accent3 2 6 5" xfId="17553" xr:uid="{00000000-0005-0000-0000-000086120000}"/>
    <cellStyle name="20% - Accent3 2 7" xfId="2279" xr:uid="{00000000-0005-0000-0000-000087120000}"/>
    <cellStyle name="20% - Accent3 2 7 2" xfId="13605" xr:uid="{00000000-0005-0000-0000-000088120000}"/>
    <cellStyle name="20% - Accent3 2 7 3" xfId="17556" xr:uid="{00000000-0005-0000-0000-000089120000}"/>
    <cellStyle name="20% - Accent3 2 8" xfId="2280" xr:uid="{00000000-0005-0000-0000-00008A120000}"/>
    <cellStyle name="20% - Accent3 2 8 2" xfId="13606" xr:uid="{00000000-0005-0000-0000-00008B120000}"/>
    <cellStyle name="20% - Accent3 2 8 3" xfId="17557" xr:uid="{00000000-0005-0000-0000-00008C120000}"/>
    <cellStyle name="20% - Accent3 2 9" xfId="13574" xr:uid="{00000000-0005-0000-0000-00008D120000}"/>
    <cellStyle name="20% - Accent3 2_Volatility" xfId="2281" xr:uid="{00000000-0005-0000-0000-00008E120000}"/>
    <cellStyle name="20% - Accent3 3" xfId="2282" xr:uid="{00000000-0005-0000-0000-00008F120000}"/>
    <cellStyle name="20% - Accent3 3 10" xfId="17558" xr:uid="{00000000-0005-0000-0000-000090120000}"/>
    <cellStyle name="20% - Accent3 3 2" xfId="2283" xr:uid="{00000000-0005-0000-0000-000091120000}"/>
    <cellStyle name="20% - Accent3 3 2 2" xfId="2284" xr:uid="{00000000-0005-0000-0000-000092120000}"/>
    <cellStyle name="20% - Accent3 3 2 2 2" xfId="2285" xr:uid="{00000000-0005-0000-0000-000093120000}"/>
    <cellStyle name="20% - Accent3 3 2 2 2 2" xfId="13610" xr:uid="{00000000-0005-0000-0000-000094120000}"/>
    <cellStyle name="20% - Accent3 3 2 2 2 3" xfId="17561" xr:uid="{00000000-0005-0000-0000-000095120000}"/>
    <cellStyle name="20% - Accent3 3 2 2 3" xfId="2286" xr:uid="{00000000-0005-0000-0000-000096120000}"/>
    <cellStyle name="20% - Accent3 3 2 2 3 2" xfId="13611" xr:uid="{00000000-0005-0000-0000-000097120000}"/>
    <cellStyle name="20% - Accent3 3 2 2 3 3" xfId="17562" xr:uid="{00000000-0005-0000-0000-000098120000}"/>
    <cellStyle name="20% - Accent3 3 2 2 4" xfId="13609" xr:uid="{00000000-0005-0000-0000-000099120000}"/>
    <cellStyle name="20% - Accent3 3 2 2 5" xfId="17560" xr:uid="{00000000-0005-0000-0000-00009A120000}"/>
    <cellStyle name="20% - Accent3 3 2 3" xfId="2287" xr:uid="{00000000-0005-0000-0000-00009B120000}"/>
    <cellStyle name="20% - Accent3 3 2 3 2" xfId="2288" xr:uid="{00000000-0005-0000-0000-00009C120000}"/>
    <cellStyle name="20% - Accent3 3 2 3 2 2" xfId="13613" xr:uid="{00000000-0005-0000-0000-00009D120000}"/>
    <cellStyle name="20% - Accent3 3 2 3 2 3" xfId="17564" xr:uid="{00000000-0005-0000-0000-00009E120000}"/>
    <cellStyle name="20% - Accent3 3 2 3 3" xfId="2289" xr:uid="{00000000-0005-0000-0000-00009F120000}"/>
    <cellStyle name="20% - Accent3 3 2 3 3 2" xfId="13614" xr:uid="{00000000-0005-0000-0000-0000A0120000}"/>
    <cellStyle name="20% - Accent3 3 2 3 3 3" xfId="17565" xr:uid="{00000000-0005-0000-0000-0000A1120000}"/>
    <cellStyle name="20% - Accent3 3 2 3 4" xfId="13612" xr:uid="{00000000-0005-0000-0000-0000A2120000}"/>
    <cellStyle name="20% - Accent3 3 2 3 5" xfId="17563" xr:uid="{00000000-0005-0000-0000-0000A3120000}"/>
    <cellStyle name="20% - Accent3 3 2 4" xfId="2290" xr:uid="{00000000-0005-0000-0000-0000A4120000}"/>
    <cellStyle name="20% - Accent3 3 2 4 2" xfId="2291" xr:uid="{00000000-0005-0000-0000-0000A5120000}"/>
    <cellStyle name="20% - Accent3 3 2 4 2 2" xfId="13616" xr:uid="{00000000-0005-0000-0000-0000A6120000}"/>
    <cellStyle name="20% - Accent3 3 2 4 2 3" xfId="17567" xr:uid="{00000000-0005-0000-0000-0000A7120000}"/>
    <cellStyle name="20% - Accent3 3 2 4 3" xfId="2292" xr:uid="{00000000-0005-0000-0000-0000A8120000}"/>
    <cellStyle name="20% - Accent3 3 2 4 3 2" xfId="13617" xr:uid="{00000000-0005-0000-0000-0000A9120000}"/>
    <cellStyle name="20% - Accent3 3 2 4 3 3" xfId="17568" xr:uid="{00000000-0005-0000-0000-0000AA120000}"/>
    <cellStyle name="20% - Accent3 3 2 4 4" xfId="13615" xr:uid="{00000000-0005-0000-0000-0000AB120000}"/>
    <cellStyle name="20% - Accent3 3 2 4 5" xfId="17566" xr:uid="{00000000-0005-0000-0000-0000AC120000}"/>
    <cellStyle name="20% - Accent3 3 2 5" xfId="2293" xr:uid="{00000000-0005-0000-0000-0000AD120000}"/>
    <cellStyle name="20% - Accent3 3 2 5 2" xfId="13618" xr:uid="{00000000-0005-0000-0000-0000AE120000}"/>
    <cellStyle name="20% - Accent3 3 2 5 3" xfId="17569" xr:uid="{00000000-0005-0000-0000-0000AF120000}"/>
    <cellStyle name="20% - Accent3 3 2 6" xfId="2294" xr:uid="{00000000-0005-0000-0000-0000B0120000}"/>
    <cellStyle name="20% - Accent3 3 2 6 2" xfId="13619" xr:uid="{00000000-0005-0000-0000-0000B1120000}"/>
    <cellStyle name="20% - Accent3 3 2 6 3" xfId="17570" xr:uid="{00000000-0005-0000-0000-0000B2120000}"/>
    <cellStyle name="20% - Accent3 3 2 7" xfId="13608" xr:uid="{00000000-0005-0000-0000-0000B3120000}"/>
    <cellStyle name="20% - Accent3 3 2 8" xfId="17559" xr:uid="{00000000-0005-0000-0000-0000B4120000}"/>
    <cellStyle name="20% - Accent3 3 2_Volatility" xfId="2295" xr:uid="{00000000-0005-0000-0000-0000B5120000}"/>
    <cellStyle name="20% - Accent3 3 3" xfId="2296" xr:uid="{00000000-0005-0000-0000-0000B6120000}"/>
    <cellStyle name="20% - Accent3 3 3 2" xfId="2297" xr:uid="{00000000-0005-0000-0000-0000B7120000}"/>
    <cellStyle name="20% - Accent3 3 3 2 2" xfId="2298" xr:uid="{00000000-0005-0000-0000-0000B8120000}"/>
    <cellStyle name="20% - Accent3 3 3 2 2 2" xfId="13622" xr:uid="{00000000-0005-0000-0000-0000B9120000}"/>
    <cellStyle name="20% - Accent3 3 3 2 2 3" xfId="17573" xr:uid="{00000000-0005-0000-0000-0000BA120000}"/>
    <cellStyle name="20% - Accent3 3 3 2 3" xfId="2299" xr:uid="{00000000-0005-0000-0000-0000BB120000}"/>
    <cellStyle name="20% - Accent3 3 3 2 3 2" xfId="13623" xr:uid="{00000000-0005-0000-0000-0000BC120000}"/>
    <cellStyle name="20% - Accent3 3 3 2 3 3" xfId="17574" xr:uid="{00000000-0005-0000-0000-0000BD120000}"/>
    <cellStyle name="20% - Accent3 3 3 2 4" xfId="13621" xr:uid="{00000000-0005-0000-0000-0000BE120000}"/>
    <cellStyle name="20% - Accent3 3 3 2 5" xfId="17572" xr:uid="{00000000-0005-0000-0000-0000BF120000}"/>
    <cellStyle name="20% - Accent3 3 3 3" xfId="2300" xr:uid="{00000000-0005-0000-0000-0000C0120000}"/>
    <cellStyle name="20% - Accent3 3 3 3 2" xfId="2301" xr:uid="{00000000-0005-0000-0000-0000C1120000}"/>
    <cellStyle name="20% - Accent3 3 3 3 2 2" xfId="13625" xr:uid="{00000000-0005-0000-0000-0000C2120000}"/>
    <cellStyle name="20% - Accent3 3 3 3 2 3" xfId="17576" xr:uid="{00000000-0005-0000-0000-0000C3120000}"/>
    <cellStyle name="20% - Accent3 3 3 3 3" xfId="2302" xr:uid="{00000000-0005-0000-0000-0000C4120000}"/>
    <cellStyle name="20% - Accent3 3 3 3 3 2" xfId="13626" xr:uid="{00000000-0005-0000-0000-0000C5120000}"/>
    <cellStyle name="20% - Accent3 3 3 3 3 3" xfId="17577" xr:uid="{00000000-0005-0000-0000-0000C6120000}"/>
    <cellStyle name="20% - Accent3 3 3 3 4" xfId="13624" xr:uid="{00000000-0005-0000-0000-0000C7120000}"/>
    <cellStyle name="20% - Accent3 3 3 3 5" xfId="17575" xr:uid="{00000000-0005-0000-0000-0000C8120000}"/>
    <cellStyle name="20% - Accent3 3 3 4" xfId="2303" xr:uid="{00000000-0005-0000-0000-0000C9120000}"/>
    <cellStyle name="20% - Accent3 3 3 4 2" xfId="13627" xr:uid="{00000000-0005-0000-0000-0000CA120000}"/>
    <cellStyle name="20% - Accent3 3 3 4 3" xfId="17578" xr:uid="{00000000-0005-0000-0000-0000CB120000}"/>
    <cellStyle name="20% - Accent3 3 3 5" xfId="2304" xr:uid="{00000000-0005-0000-0000-0000CC120000}"/>
    <cellStyle name="20% - Accent3 3 3 5 2" xfId="13628" xr:uid="{00000000-0005-0000-0000-0000CD120000}"/>
    <cellStyle name="20% - Accent3 3 3 5 3" xfId="17579" xr:uid="{00000000-0005-0000-0000-0000CE120000}"/>
    <cellStyle name="20% - Accent3 3 3 6" xfId="13620" xr:uid="{00000000-0005-0000-0000-0000CF120000}"/>
    <cellStyle name="20% - Accent3 3 3 7" xfId="17571" xr:uid="{00000000-0005-0000-0000-0000D0120000}"/>
    <cellStyle name="20% - Accent3 3 3_Volatility" xfId="2305" xr:uid="{00000000-0005-0000-0000-0000D1120000}"/>
    <cellStyle name="20% - Accent3 3 4" xfId="2306" xr:uid="{00000000-0005-0000-0000-0000D2120000}"/>
    <cellStyle name="20% - Accent3 3 4 2" xfId="2307" xr:uid="{00000000-0005-0000-0000-0000D3120000}"/>
    <cellStyle name="20% - Accent3 3 4 2 2" xfId="13630" xr:uid="{00000000-0005-0000-0000-0000D4120000}"/>
    <cellStyle name="20% - Accent3 3 4 2 3" xfId="17581" xr:uid="{00000000-0005-0000-0000-0000D5120000}"/>
    <cellStyle name="20% - Accent3 3 4 3" xfId="2308" xr:uid="{00000000-0005-0000-0000-0000D6120000}"/>
    <cellStyle name="20% - Accent3 3 4 3 2" xfId="13631" xr:uid="{00000000-0005-0000-0000-0000D7120000}"/>
    <cellStyle name="20% - Accent3 3 4 3 3" xfId="17582" xr:uid="{00000000-0005-0000-0000-0000D8120000}"/>
    <cellStyle name="20% - Accent3 3 4 4" xfId="13629" xr:uid="{00000000-0005-0000-0000-0000D9120000}"/>
    <cellStyle name="20% - Accent3 3 4 5" xfId="17580" xr:uid="{00000000-0005-0000-0000-0000DA120000}"/>
    <cellStyle name="20% - Accent3 3 5" xfId="2309" xr:uid="{00000000-0005-0000-0000-0000DB120000}"/>
    <cellStyle name="20% - Accent3 3 5 2" xfId="2310" xr:uid="{00000000-0005-0000-0000-0000DC120000}"/>
    <cellStyle name="20% - Accent3 3 5 2 2" xfId="13633" xr:uid="{00000000-0005-0000-0000-0000DD120000}"/>
    <cellStyle name="20% - Accent3 3 5 2 3" xfId="17584" xr:uid="{00000000-0005-0000-0000-0000DE120000}"/>
    <cellStyle name="20% - Accent3 3 5 3" xfId="2311" xr:uid="{00000000-0005-0000-0000-0000DF120000}"/>
    <cellStyle name="20% - Accent3 3 5 3 2" xfId="13634" xr:uid="{00000000-0005-0000-0000-0000E0120000}"/>
    <cellStyle name="20% - Accent3 3 5 3 3" xfId="17585" xr:uid="{00000000-0005-0000-0000-0000E1120000}"/>
    <cellStyle name="20% - Accent3 3 5 4" xfId="13632" xr:uid="{00000000-0005-0000-0000-0000E2120000}"/>
    <cellStyle name="20% - Accent3 3 5 5" xfId="17583" xr:uid="{00000000-0005-0000-0000-0000E3120000}"/>
    <cellStyle name="20% - Accent3 3 6" xfId="2312" xr:uid="{00000000-0005-0000-0000-0000E4120000}"/>
    <cellStyle name="20% - Accent3 3 6 2" xfId="2313" xr:uid="{00000000-0005-0000-0000-0000E5120000}"/>
    <cellStyle name="20% - Accent3 3 6 2 2" xfId="13636" xr:uid="{00000000-0005-0000-0000-0000E6120000}"/>
    <cellStyle name="20% - Accent3 3 6 2 3" xfId="17587" xr:uid="{00000000-0005-0000-0000-0000E7120000}"/>
    <cellStyle name="20% - Accent3 3 6 3" xfId="2314" xr:uid="{00000000-0005-0000-0000-0000E8120000}"/>
    <cellStyle name="20% - Accent3 3 6 3 2" xfId="13637" xr:uid="{00000000-0005-0000-0000-0000E9120000}"/>
    <cellStyle name="20% - Accent3 3 6 3 3" xfId="17588" xr:uid="{00000000-0005-0000-0000-0000EA120000}"/>
    <cellStyle name="20% - Accent3 3 6 4" xfId="13635" xr:uid="{00000000-0005-0000-0000-0000EB120000}"/>
    <cellStyle name="20% - Accent3 3 6 5" xfId="17586" xr:uid="{00000000-0005-0000-0000-0000EC120000}"/>
    <cellStyle name="20% - Accent3 3 7" xfId="2315" xr:uid="{00000000-0005-0000-0000-0000ED120000}"/>
    <cellStyle name="20% - Accent3 3 7 2" xfId="13638" xr:uid="{00000000-0005-0000-0000-0000EE120000}"/>
    <cellStyle name="20% - Accent3 3 7 3" xfId="17589" xr:uid="{00000000-0005-0000-0000-0000EF120000}"/>
    <cellStyle name="20% - Accent3 3 8" xfId="2316" xr:uid="{00000000-0005-0000-0000-0000F0120000}"/>
    <cellStyle name="20% - Accent3 3 8 2" xfId="13639" xr:uid="{00000000-0005-0000-0000-0000F1120000}"/>
    <cellStyle name="20% - Accent3 3 8 3" xfId="17590" xr:uid="{00000000-0005-0000-0000-0000F2120000}"/>
    <cellStyle name="20% - Accent3 3 9" xfId="13607" xr:uid="{00000000-0005-0000-0000-0000F3120000}"/>
    <cellStyle name="20% - Accent3 3_Volatility" xfId="2317" xr:uid="{00000000-0005-0000-0000-0000F4120000}"/>
    <cellStyle name="20% - Accent3 4" xfId="2318" xr:uid="{00000000-0005-0000-0000-0000F5120000}"/>
    <cellStyle name="20% - Accent3 4 10" xfId="17591" xr:uid="{00000000-0005-0000-0000-0000F6120000}"/>
    <cellStyle name="20% - Accent3 4 2" xfId="2319" xr:uid="{00000000-0005-0000-0000-0000F7120000}"/>
    <cellStyle name="20% - Accent3 4 2 2" xfId="2320" xr:uid="{00000000-0005-0000-0000-0000F8120000}"/>
    <cellStyle name="20% - Accent3 4 2 2 2" xfId="2321" xr:uid="{00000000-0005-0000-0000-0000F9120000}"/>
    <cellStyle name="20% - Accent3 4 2 2 2 2" xfId="13643" xr:uid="{00000000-0005-0000-0000-0000FA120000}"/>
    <cellStyle name="20% - Accent3 4 2 2 2 3" xfId="17594" xr:uid="{00000000-0005-0000-0000-0000FB120000}"/>
    <cellStyle name="20% - Accent3 4 2 2 3" xfId="2322" xr:uid="{00000000-0005-0000-0000-0000FC120000}"/>
    <cellStyle name="20% - Accent3 4 2 2 3 2" xfId="13644" xr:uid="{00000000-0005-0000-0000-0000FD120000}"/>
    <cellStyle name="20% - Accent3 4 2 2 3 3" xfId="17595" xr:uid="{00000000-0005-0000-0000-0000FE120000}"/>
    <cellStyle name="20% - Accent3 4 2 2 4" xfId="13642" xr:uid="{00000000-0005-0000-0000-0000FF120000}"/>
    <cellStyle name="20% - Accent3 4 2 2 5" xfId="17593" xr:uid="{00000000-0005-0000-0000-000000130000}"/>
    <cellStyle name="20% - Accent3 4 2 3" xfId="2323" xr:uid="{00000000-0005-0000-0000-000001130000}"/>
    <cellStyle name="20% - Accent3 4 2 3 2" xfId="2324" xr:uid="{00000000-0005-0000-0000-000002130000}"/>
    <cellStyle name="20% - Accent3 4 2 3 2 2" xfId="13646" xr:uid="{00000000-0005-0000-0000-000003130000}"/>
    <cellStyle name="20% - Accent3 4 2 3 2 3" xfId="17597" xr:uid="{00000000-0005-0000-0000-000004130000}"/>
    <cellStyle name="20% - Accent3 4 2 3 3" xfId="2325" xr:uid="{00000000-0005-0000-0000-000005130000}"/>
    <cellStyle name="20% - Accent3 4 2 3 3 2" xfId="13647" xr:uid="{00000000-0005-0000-0000-000006130000}"/>
    <cellStyle name="20% - Accent3 4 2 3 3 3" xfId="17598" xr:uid="{00000000-0005-0000-0000-000007130000}"/>
    <cellStyle name="20% - Accent3 4 2 3 4" xfId="13645" xr:uid="{00000000-0005-0000-0000-000008130000}"/>
    <cellStyle name="20% - Accent3 4 2 3 5" xfId="17596" xr:uid="{00000000-0005-0000-0000-000009130000}"/>
    <cellStyle name="20% - Accent3 4 2 4" xfId="2326" xr:uid="{00000000-0005-0000-0000-00000A130000}"/>
    <cellStyle name="20% - Accent3 4 2 4 2" xfId="2327" xr:uid="{00000000-0005-0000-0000-00000B130000}"/>
    <cellStyle name="20% - Accent3 4 2 4 2 2" xfId="13649" xr:uid="{00000000-0005-0000-0000-00000C130000}"/>
    <cellStyle name="20% - Accent3 4 2 4 2 3" xfId="17600" xr:uid="{00000000-0005-0000-0000-00000D130000}"/>
    <cellStyle name="20% - Accent3 4 2 4 3" xfId="2328" xr:uid="{00000000-0005-0000-0000-00000E130000}"/>
    <cellStyle name="20% - Accent3 4 2 4 3 2" xfId="13650" xr:uid="{00000000-0005-0000-0000-00000F130000}"/>
    <cellStyle name="20% - Accent3 4 2 4 3 3" xfId="17601" xr:uid="{00000000-0005-0000-0000-000010130000}"/>
    <cellStyle name="20% - Accent3 4 2 4 4" xfId="13648" xr:uid="{00000000-0005-0000-0000-000011130000}"/>
    <cellStyle name="20% - Accent3 4 2 4 5" xfId="17599" xr:uid="{00000000-0005-0000-0000-000012130000}"/>
    <cellStyle name="20% - Accent3 4 2 5" xfId="2329" xr:uid="{00000000-0005-0000-0000-000013130000}"/>
    <cellStyle name="20% - Accent3 4 2 5 2" xfId="13651" xr:uid="{00000000-0005-0000-0000-000014130000}"/>
    <cellStyle name="20% - Accent3 4 2 5 3" xfId="17602" xr:uid="{00000000-0005-0000-0000-000015130000}"/>
    <cellStyle name="20% - Accent3 4 2 6" xfId="2330" xr:uid="{00000000-0005-0000-0000-000016130000}"/>
    <cellStyle name="20% - Accent3 4 2 6 2" xfId="13652" xr:uid="{00000000-0005-0000-0000-000017130000}"/>
    <cellStyle name="20% - Accent3 4 2 6 3" xfId="17603" xr:uid="{00000000-0005-0000-0000-000018130000}"/>
    <cellStyle name="20% - Accent3 4 2 7" xfId="13641" xr:uid="{00000000-0005-0000-0000-000019130000}"/>
    <cellStyle name="20% - Accent3 4 2 8" xfId="17592" xr:uid="{00000000-0005-0000-0000-00001A130000}"/>
    <cellStyle name="20% - Accent3 4 2_Volatility" xfId="2331" xr:uid="{00000000-0005-0000-0000-00001B130000}"/>
    <cellStyle name="20% - Accent3 4 3" xfId="2332" xr:uid="{00000000-0005-0000-0000-00001C130000}"/>
    <cellStyle name="20% - Accent3 4 3 2" xfId="2333" xr:uid="{00000000-0005-0000-0000-00001D130000}"/>
    <cellStyle name="20% - Accent3 4 3 2 2" xfId="2334" xr:uid="{00000000-0005-0000-0000-00001E130000}"/>
    <cellStyle name="20% - Accent3 4 3 2 2 2" xfId="13655" xr:uid="{00000000-0005-0000-0000-00001F130000}"/>
    <cellStyle name="20% - Accent3 4 3 2 2 3" xfId="17606" xr:uid="{00000000-0005-0000-0000-000020130000}"/>
    <cellStyle name="20% - Accent3 4 3 2 3" xfId="2335" xr:uid="{00000000-0005-0000-0000-000021130000}"/>
    <cellStyle name="20% - Accent3 4 3 2 3 2" xfId="13656" xr:uid="{00000000-0005-0000-0000-000022130000}"/>
    <cellStyle name="20% - Accent3 4 3 2 3 3" xfId="17607" xr:uid="{00000000-0005-0000-0000-000023130000}"/>
    <cellStyle name="20% - Accent3 4 3 2 4" xfId="13654" xr:uid="{00000000-0005-0000-0000-000024130000}"/>
    <cellStyle name="20% - Accent3 4 3 2 5" xfId="17605" xr:uid="{00000000-0005-0000-0000-000025130000}"/>
    <cellStyle name="20% - Accent3 4 3 3" xfId="2336" xr:uid="{00000000-0005-0000-0000-000026130000}"/>
    <cellStyle name="20% - Accent3 4 3 3 2" xfId="2337" xr:uid="{00000000-0005-0000-0000-000027130000}"/>
    <cellStyle name="20% - Accent3 4 3 3 2 2" xfId="13658" xr:uid="{00000000-0005-0000-0000-000028130000}"/>
    <cellStyle name="20% - Accent3 4 3 3 2 3" xfId="17609" xr:uid="{00000000-0005-0000-0000-000029130000}"/>
    <cellStyle name="20% - Accent3 4 3 3 3" xfId="2338" xr:uid="{00000000-0005-0000-0000-00002A130000}"/>
    <cellStyle name="20% - Accent3 4 3 3 3 2" xfId="13659" xr:uid="{00000000-0005-0000-0000-00002B130000}"/>
    <cellStyle name="20% - Accent3 4 3 3 3 3" xfId="17610" xr:uid="{00000000-0005-0000-0000-00002C130000}"/>
    <cellStyle name="20% - Accent3 4 3 3 4" xfId="13657" xr:uid="{00000000-0005-0000-0000-00002D130000}"/>
    <cellStyle name="20% - Accent3 4 3 3 5" xfId="17608" xr:uid="{00000000-0005-0000-0000-00002E130000}"/>
    <cellStyle name="20% - Accent3 4 3 4" xfId="2339" xr:uid="{00000000-0005-0000-0000-00002F130000}"/>
    <cellStyle name="20% - Accent3 4 3 4 2" xfId="13660" xr:uid="{00000000-0005-0000-0000-000030130000}"/>
    <cellStyle name="20% - Accent3 4 3 4 3" xfId="17611" xr:uid="{00000000-0005-0000-0000-000031130000}"/>
    <cellStyle name="20% - Accent3 4 3 5" xfId="2340" xr:uid="{00000000-0005-0000-0000-000032130000}"/>
    <cellStyle name="20% - Accent3 4 3 5 2" xfId="13661" xr:uid="{00000000-0005-0000-0000-000033130000}"/>
    <cellStyle name="20% - Accent3 4 3 5 3" xfId="17612" xr:uid="{00000000-0005-0000-0000-000034130000}"/>
    <cellStyle name="20% - Accent3 4 3 6" xfId="13653" xr:uid="{00000000-0005-0000-0000-000035130000}"/>
    <cellStyle name="20% - Accent3 4 3 7" xfId="17604" xr:uid="{00000000-0005-0000-0000-000036130000}"/>
    <cellStyle name="20% - Accent3 4 3_Volatility" xfId="2341" xr:uid="{00000000-0005-0000-0000-000037130000}"/>
    <cellStyle name="20% - Accent3 4 4" xfId="2342" xr:uid="{00000000-0005-0000-0000-000038130000}"/>
    <cellStyle name="20% - Accent3 4 4 2" xfId="2343" xr:uid="{00000000-0005-0000-0000-000039130000}"/>
    <cellStyle name="20% - Accent3 4 4 2 2" xfId="13663" xr:uid="{00000000-0005-0000-0000-00003A130000}"/>
    <cellStyle name="20% - Accent3 4 4 2 3" xfId="17614" xr:uid="{00000000-0005-0000-0000-00003B130000}"/>
    <cellStyle name="20% - Accent3 4 4 3" xfId="2344" xr:uid="{00000000-0005-0000-0000-00003C130000}"/>
    <cellStyle name="20% - Accent3 4 4 3 2" xfId="13664" xr:uid="{00000000-0005-0000-0000-00003D130000}"/>
    <cellStyle name="20% - Accent3 4 4 3 3" xfId="17615" xr:uid="{00000000-0005-0000-0000-00003E130000}"/>
    <cellStyle name="20% - Accent3 4 4 4" xfId="13662" xr:uid="{00000000-0005-0000-0000-00003F130000}"/>
    <cellStyle name="20% - Accent3 4 4 5" xfId="17613" xr:uid="{00000000-0005-0000-0000-000040130000}"/>
    <cellStyle name="20% - Accent3 4 5" xfId="2345" xr:uid="{00000000-0005-0000-0000-000041130000}"/>
    <cellStyle name="20% - Accent3 4 5 2" xfId="2346" xr:uid="{00000000-0005-0000-0000-000042130000}"/>
    <cellStyle name="20% - Accent3 4 5 2 2" xfId="13666" xr:uid="{00000000-0005-0000-0000-000043130000}"/>
    <cellStyle name="20% - Accent3 4 5 2 3" xfId="17617" xr:uid="{00000000-0005-0000-0000-000044130000}"/>
    <cellStyle name="20% - Accent3 4 5 3" xfId="2347" xr:uid="{00000000-0005-0000-0000-000045130000}"/>
    <cellStyle name="20% - Accent3 4 5 3 2" xfId="13667" xr:uid="{00000000-0005-0000-0000-000046130000}"/>
    <cellStyle name="20% - Accent3 4 5 3 3" xfId="17618" xr:uid="{00000000-0005-0000-0000-000047130000}"/>
    <cellStyle name="20% - Accent3 4 5 4" xfId="13665" xr:uid="{00000000-0005-0000-0000-000048130000}"/>
    <cellStyle name="20% - Accent3 4 5 5" xfId="17616" xr:uid="{00000000-0005-0000-0000-000049130000}"/>
    <cellStyle name="20% - Accent3 4 6" xfId="2348" xr:uid="{00000000-0005-0000-0000-00004A130000}"/>
    <cellStyle name="20% - Accent3 4 6 2" xfId="2349" xr:uid="{00000000-0005-0000-0000-00004B130000}"/>
    <cellStyle name="20% - Accent3 4 6 2 2" xfId="13669" xr:uid="{00000000-0005-0000-0000-00004C130000}"/>
    <cellStyle name="20% - Accent3 4 6 2 3" xfId="17620" xr:uid="{00000000-0005-0000-0000-00004D130000}"/>
    <cellStyle name="20% - Accent3 4 6 3" xfId="2350" xr:uid="{00000000-0005-0000-0000-00004E130000}"/>
    <cellStyle name="20% - Accent3 4 6 3 2" xfId="13670" xr:uid="{00000000-0005-0000-0000-00004F130000}"/>
    <cellStyle name="20% - Accent3 4 6 3 3" xfId="17621" xr:uid="{00000000-0005-0000-0000-000050130000}"/>
    <cellStyle name="20% - Accent3 4 6 4" xfId="13668" xr:uid="{00000000-0005-0000-0000-000051130000}"/>
    <cellStyle name="20% - Accent3 4 6 5" xfId="17619" xr:uid="{00000000-0005-0000-0000-000052130000}"/>
    <cellStyle name="20% - Accent3 4 7" xfId="2351" xr:uid="{00000000-0005-0000-0000-000053130000}"/>
    <cellStyle name="20% - Accent3 4 7 2" xfId="13671" xr:uid="{00000000-0005-0000-0000-000054130000}"/>
    <cellStyle name="20% - Accent3 4 7 3" xfId="17622" xr:uid="{00000000-0005-0000-0000-000055130000}"/>
    <cellStyle name="20% - Accent3 4 8" xfId="2352" xr:uid="{00000000-0005-0000-0000-000056130000}"/>
    <cellStyle name="20% - Accent3 4 8 2" xfId="13672" xr:uid="{00000000-0005-0000-0000-000057130000}"/>
    <cellStyle name="20% - Accent3 4 8 3" xfId="17623" xr:uid="{00000000-0005-0000-0000-000058130000}"/>
    <cellStyle name="20% - Accent3 4 9" xfId="13640" xr:uid="{00000000-0005-0000-0000-000059130000}"/>
    <cellStyle name="20% - Accent3 4_Volatility" xfId="2353" xr:uid="{00000000-0005-0000-0000-00005A130000}"/>
    <cellStyle name="20% - Accent3 5" xfId="2354" xr:uid="{00000000-0005-0000-0000-00005B130000}"/>
    <cellStyle name="20% - Accent3 5 10" xfId="17624" xr:uid="{00000000-0005-0000-0000-00005C130000}"/>
    <cellStyle name="20% - Accent3 5 2" xfId="2355" xr:uid="{00000000-0005-0000-0000-00005D130000}"/>
    <cellStyle name="20% - Accent3 5 2 2" xfId="2356" xr:uid="{00000000-0005-0000-0000-00005E130000}"/>
    <cellStyle name="20% - Accent3 5 2 2 2" xfId="2357" xr:uid="{00000000-0005-0000-0000-00005F130000}"/>
    <cellStyle name="20% - Accent3 5 2 2 2 2" xfId="13676" xr:uid="{00000000-0005-0000-0000-000060130000}"/>
    <cellStyle name="20% - Accent3 5 2 2 2 3" xfId="17627" xr:uid="{00000000-0005-0000-0000-000061130000}"/>
    <cellStyle name="20% - Accent3 5 2 2 3" xfId="2358" xr:uid="{00000000-0005-0000-0000-000062130000}"/>
    <cellStyle name="20% - Accent3 5 2 2 3 2" xfId="13677" xr:uid="{00000000-0005-0000-0000-000063130000}"/>
    <cellStyle name="20% - Accent3 5 2 2 3 3" xfId="17628" xr:uid="{00000000-0005-0000-0000-000064130000}"/>
    <cellStyle name="20% - Accent3 5 2 2 4" xfId="13675" xr:uid="{00000000-0005-0000-0000-000065130000}"/>
    <cellStyle name="20% - Accent3 5 2 2 5" xfId="17626" xr:uid="{00000000-0005-0000-0000-000066130000}"/>
    <cellStyle name="20% - Accent3 5 2 3" xfId="2359" xr:uid="{00000000-0005-0000-0000-000067130000}"/>
    <cellStyle name="20% - Accent3 5 2 3 2" xfId="2360" xr:uid="{00000000-0005-0000-0000-000068130000}"/>
    <cellStyle name="20% - Accent3 5 2 3 2 2" xfId="13679" xr:uid="{00000000-0005-0000-0000-000069130000}"/>
    <cellStyle name="20% - Accent3 5 2 3 2 3" xfId="17630" xr:uid="{00000000-0005-0000-0000-00006A130000}"/>
    <cellStyle name="20% - Accent3 5 2 3 3" xfId="2361" xr:uid="{00000000-0005-0000-0000-00006B130000}"/>
    <cellStyle name="20% - Accent3 5 2 3 3 2" xfId="13680" xr:uid="{00000000-0005-0000-0000-00006C130000}"/>
    <cellStyle name="20% - Accent3 5 2 3 3 3" xfId="17631" xr:uid="{00000000-0005-0000-0000-00006D130000}"/>
    <cellStyle name="20% - Accent3 5 2 3 4" xfId="13678" xr:uid="{00000000-0005-0000-0000-00006E130000}"/>
    <cellStyle name="20% - Accent3 5 2 3 5" xfId="17629" xr:uid="{00000000-0005-0000-0000-00006F130000}"/>
    <cellStyle name="20% - Accent3 5 2 4" xfId="2362" xr:uid="{00000000-0005-0000-0000-000070130000}"/>
    <cellStyle name="20% - Accent3 5 2 4 2" xfId="2363" xr:uid="{00000000-0005-0000-0000-000071130000}"/>
    <cellStyle name="20% - Accent3 5 2 4 2 2" xfId="13682" xr:uid="{00000000-0005-0000-0000-000072130000}"/>
    <cellStyle name="20% - Accent3 5 2 4 2 3" xfId="17633" xr:uid="{00000000-0005-0000-0000-000073130000}"/>
    <cellStyle name="20% - Accent3 5 2 4 3" xfId="2364" xr:uid="{00000000-0005-0000-0000-000074130000}"/>
    <cellStyle name="20% - Accent3 5 2 4 3 2" xfId="13683" xr:uid="{00000000-0005-0000-0000-000075130000}"/>
    <cellStyle name="20% - Accent3 5 2 4 3 3" xfId="17634" xr:uid="{00000000-0005-0000-0000-000076130000}"/>
    <cellStyle name="20% - Accent3 5 2 4 4" xfId="13681" xr:uid="{00000000-0005-0000-0000-000077130000}"/>
    <cellStyle name="20% - Accent3 5 2 4 5" xfId="17632" xr:uid="{00000000-0005-0000-0000-000078130000}"/>
    <cellStyle name="20% - Accent3 5 2 5" xfId="2365" xr:uid="{00000000-0005-0000-0000-000079130000}"/>
    <cellStyle name="20% - Accent3 5 2 5 2" xfId="13684" xr:uid="{00000000-0005-0000-0000-00007A130000}"/>
    <cellStyle name="20% - Accent3 5 2 5 3" xfId="17635" xr:uid="{00000000-0005-0000-0000-00007B130000}"/>
    <cellStyle name="20% - Accent3 5 2 6" xfId="2366" xr:uid="{00000000-0005-0000-0000-00007C130000}"/>
    <cellStyle name="20% - Accent3 5 2 6 2" xfId="13685" xr:uid="{00000000-0005-0000-0000-00007D130000}"/>
    <cellStyle name="20% - Accent3 5 2 6 3" xfId="17636" xr:uid="{00000000-0005-0000-0000-00007E130000}"/>
    <cellStyle name="20% - Accent3 5 2 7" xfId="13674" xr:uid="{00000000-0005-0000-0000-00007F130000}"/>
    <cellStyle name="20% - Accent3 5 2 8" xfId="17625" xr:uid="{00000000-0005-0000-0000-000080130000}"/>
    <cellStyle name="20% - Accent3 5 2_Volatility" xfId="2367" xr:uid="{00000000-0005-0000-0000-000081130000}"/>
    <cellStyle name="20% - Accent3 5 3" xfId="2368" xr:uid="{00000000-0005-0000-0000-000082130000}"/>
    <cellStyle name="20% - Accent3 5 3 2" xfId="2369" xr:uid="{00000000-0005-0000-0000-000083130000}"/>
    <cellStyle name="20% - Accent3 5 3 2 2" xfId="2370" xr:uid="{00000000-0005-0000-0000-000084130000}"/>
    <cellStyle name="20% - Accent3 5 3 2 2 2" xfId="13688" xr:uid="{00000000-0005-0000-0000-000085130000}"/>
    <cellStyle name="20% - Accent3 5 3 2 2 3" xfId="17639" xr:uid="{00000000-0005-0000-0000-000086130000}"/>
    <cellStyle name="20% - Accent3 5 3 2 3" xfId="2371" xr:uid="{00000000-0005-0000-0000-000087130000}"/>
    <cellStyle name="20% - Accent3 5 3 2 3 2" xfId="13689" xr:uid="{00000000-0005-0000-0000-000088130000}"/>
    <cellStyle name="20% - Accent3 5 3 2 3 3" xfId="17640" xr:uid="{00000000-0005-0000-0000-000089130000}"/>
    <cellStyle name="20% - Accent3 5 3 2 4" xfId="13687" xr:uid="{00000000-0005-0000-0000-00008A130000}"/>
    <cellStyle name="20% - Accent3 5 3 2 5" xfId="17638" xr:uid="{00000000-0005-0000-0000-00008B130000}"/>
    <cellStyle name="20% - Accent3 5 3 3" xfId="2372" xr:uid="{00000000-0005-0000-0000-00008C130000}"/>
    <cellStyle name="20% - Accent3 5 3 3 2" xfId="2373" xr:uid="{00000000-0005-0000-0000-00008D130000}"/>
    <cellStyle name="20% - Accent3 5 3 3 2 2" xfId="13691" xr:uid="{00000000-0005-0000-0000-00008E130000}"/>
    <cellStyle name="20% - Accent3 5 3 3 2 3" xfId="17642" xr:uid="{00000000-0005-0000-0000-00008F130000}"/>
    <cellStyle name="20% - Accent3 5 3 3 3" xfId="2374" xr:uid="{00000000-0005-0000-0000-000090130000}"/>
    <cellStyle name="20% - Accent3 5 3 3 3 2" xfId="13692" xr:uid="{00000000-0005-0000-0000-000091130000}"/>
    <cellStyle name="20% - Accent3 5 3 3 3 3" xfId="17643" xr:uid="{00000000-0005-0000-0000-000092130000}"/>
    <cellStyle name="20% - Accent3 5 3 3 4" xfId="13690" xr:uid="{00000000-0005-0000-0000-000093130000}"/>
    <cellStyle name="20% - Accent3 5 3 3 5" xfId="17641" xr:uid="{00000000-0005-0000-0000-000094130000}"/>
    <cellStyle name="20% - Accent3 5 3 4" xfId="2375" xr:uid="{00000000-0005-0000-0000-000095130000}"/>
    <cellStyle name="20% - Accent3 5 3 4 2" xfId="13693" xr:uid="{00000000-0005-0000-0000-000096130000}"/>
    <cellStyle name="20% - Accent3 5 3 4 3" xfId="17644" xr:uid="{00000000-0005-0000-0000-000097130000}"/>
    <cellStyle name="20% - Accent3 5 3 5" xfId="2376" xr:uid="{00000000-0005-0000-0000-000098130000}"/>
    <cellStyle name="20% - Accent3 5 3 5 2" xfId="13694" xr:uid="{00000000-0005-0000-0000-000099130000}"/>
    <cellStyle name="20% - Accent3 5 3 5 3" xfId="17645" xr:uid="{00000000-0005-0000-0000-00009A130000}"/>
    <cellStyle name="20% - Accent3 5 3 6" xfId="13686" xr:uid="{00000000-0005-0000-0000-00009B130000}"/>
    <cellStyle name="20% - Accent3 5 3 7" xfId="17637" xr:uid="{00000000-0005-0000-0000-00009C130000}"/>
    <cellStyle name="20% - Accent3 5 3_Volatility" xfId="2377" xr:uid="{00000000-0005-0000-0000-00009D130000}"/>
    <cellStyle name="20% - Accent3 5 4" xfId="2378" xr:uid="{00000000-0005-0000-0000-00009E130000}"/>
    <cellStyle name="20% - Accent3 5 4 2" xfId="2379" xr:uid="{00000000-0005-0000-0000-00009F130000}"/>
    <cellStyle name="20% - Accent3 5 4 2 2" xfId="13696" xr:uid="{00000000-0005-0000-0000-0000A0130000}"/>
    <cellStyle name="20% - Accent3 5 4 2 3" xfId="17647" xr:uid="{00000000-0005-0000-0000-0000A1130000}"/>
    <cellStyle name="20% - Accent3 5 4 3" xfId="2380" xr:uid="{00000000-0005-0000-0000-0000A2130000}"/>
    <cellStyle name="20% - Accent3 5 4 3 2" xfId="13697" xr:uid="{00000000-0005-0000-0000-0000A3130000}"/>
    <cellStyle name="20% - Accent3 5 4 3 3" xfId="17648" xr:uid="{00000000-0005-0000-0000-0000A4130000}"/>
    <cellStyle name="20% - Accent3 5 4 4" xfId="13695" xr:uid="{00000000-0005-0000-0000-0000A5130000}"/>
    <cellStyle name="20% - Accent3 5 4 5" xfId="17646" xr:uid="{00000000-0005-0000-0000-0000A6130000}"/>
    <cellStyle name="20% - Accent3 5 5" xfId="2381" xr:uid="{00000000-0005-0000-0000-0000A7130000}"/>
    <cellStyle name="20% - Accent3 5 5 2" xfId="2382" xr:uid="{00000000-0005-0000-0000-0000A8130000}"/>
    <cellStyle name="20% - Accent3 5 5 2 2" xfId="13699" xr:uid="{00000000-0005-0000-0000-0000A9130000}"/>
    <cellStyle name="20% - Accent3 5 5 2 3" xfId="17650" xr:uid="{00000000-0005-0000-0000-0000AA130000}"/>
    <cellStyle name="20% - Accent3 5 5 3" xfId="2383" xr:uid="{00000000-0005-0000-0000-0000AB130000}"/>
    <cellStyle name="20% - Accent3 5 5 3 2" xfId="13700" xr:uid="{00000000-0005-0000-0000-0000AC130000}"/>
    <cellStyle name="20% - Accent3 5 5 3 3" xfId="17651" xr:uid="{00000000-0005-0000-0000-0000AD130000}"/>
    <cellStyle name="20% - Accent3 5 5 4" xfId="13698" xr:uid="{00000000-0005-0000-0000-0000AE130000}"/>
    <cellStyle name="20% - Accent3 5 5 5" xfId="17649" xr:uid="{00000000-0005-0000-0000-0000AF130000}"/>
    <cellStyle name="20% - Accent3 5 6" xfId="2384" xr:uid="{00000000-0005-0000-0000-0000B0130000}"/>
    <cellStyle name="20% - Accent3 5 6 2" xfId="2385" xr:uid="{00000000-0005-0000-0000-0000B1130000}"/>
    <cellStyle name="20% - Accent3 5 6 2 2" xfId="13702" xr:uid="{00000000-0005-0000-0000-0000B2130000}"/>
    <cellStyle name="20% - Accent3 5 6 2 3" xfId="17653" xr:uid="{00000000-0005-0000-0000-0000B3130000}"/>
    <cellStyle name="20% - Accent3 5 6 3" xfId="2386" xr:uid="{00000000-0005-0000-0000-0000B4130000}"/>
    <cellStyle name="20% - Accent3 5 6 3 2" xfId="13703" xr:uid="{00000000-0005-0000-0000-0000B5130000}"/>
    <cellStyle name="20% - Accent3 5 6 3 3" xfId="17654" xr:uid="{00000000-0005-0000-0000-0000B6130000}"/>
    <cellStyle name="20% - Accent3 5 6 4" xfId="13701" xr:uid="{00000000-0005-0000-0000-0000B7130000}"/>
    <cellStyle name="20% - Accent3 5 6 5" xfId="17652" xr:uid="{00000000-0005-0000-0000-0000B8130000}"/>
    <cellStyle name="20% - Accent3 5 7" xfId="2387" xr:uid="{00000000-0005-0000-0000-0000B9130000}"/>
    <cellStyle name="20% - Accent3 5 7 2" xfId="13704" xr:uid="{00000000-0005-0000-0000-0000BA130000}"/>
    <cellStyle name="20% - Accent3 5 7 3" xfId="17655" xr:uid="{00000000-0005-0000-0000-0000BB130000}"/>
    <cellStyle name="20% - Accent3 5 8" xfId="2388" xr:uid="{00000000-0005-0000-0000-0000BC130000}"/>
    <cellStyle name="20% - Accent3 5 8 2" xfId="13705" xr:uid="{00000000-0005-0000-0000-0000BD130000}"/>
    <cellStyle name="20% - Accent3 5 8 3" xfId="17656" xr:uid="{00000000-0005-0000-0000-0000BE130000}"/>
    <cellStyle name="20% - Accent3 5 9" xfId="13673" xr:uid="{00000000-0005-0000-0000-0000BF130000}"/>
    <cellStyle name="20% - Accent3 5_Volatility" xfId="2389" xr:uid="{00000000-0005-0000-0000-0000C0130000}"/>
    <cellStyle name="20% - Accent3 6" xfId="2390" xr:uid="{00000000-0005-0000-0000-0000C1130000}"/>
    <cellStyle name="20% - Accent3 6 10" xfId="17657" xr:uid="{00000000-0005-0000-0000-0000C2130000}"/>
    <cellStyle name="20% - Accent3 6 2" xfId="2391" xr:uid="{00000000-0005-0000-0000-0000C3130000}"/>
    <cellStyle name="20% - Accent3 6 2 2" xfId="2392" xr:uid="{00000000-0005-0000-0000-0000C4130000}"/>
    <cellStyle name="20% - Accent3 6 2 2 2" xfId="2393" xr:uid="{00000000-0005-0000-0000-0000C5130000}"/>
    <cellStyle name="20% - Accent3 6 2 2 2 2" xfId="13709" xr:uid="{00000000-0005-0000-0000-0000C6130000}"/>
    <cellStyle name="20% - Accent3 6 2 2 2 3" xfId="17660" xr:uid="{00000000-0005-0000-0000-0000C7130000}"/>
    <cellStyle name="20% - Accent3 6 2 2 3" xfId="2394" xr:uid="{00000000-0005-0000-0000-0000C8130000}"/>
    <cellStyle name="20% - Accent3 6 2 2 3 2" xfId="13710" xr:uid="{00000000-0005-0000-0000-0000C9130000}"/>
    <cellStyle name="20% - Accent3 6 2 2 3 3" xfId="17661" xr:uid="{00000000-0005-0000-0000-0000CA130000}"/>
    <cellStyle name="20% - Accent3 6 2 2 4" xfId="13708" xr:uid="{00000000-0005-0000-0000-0000CB130000}"/>
    <cellStyle name="20% - Accent3 6 2 2 5" xfId="17659" xr:uid="{00000000-0005-0000-0000-0000CC130000}"/>
    <cellStyle name="20% - Accent3 6 2 3" xfId="2395" xr:uid="{00000000-0005-0000-0000-0000CD130000}"/>
    <cellStyle name="20% - Accent3 6 2 3 2" xfId="2396" xr:uid="{00000000-0005-0000-0000-0000CE130000}"/>
    <cellStyle name="20% - Accent3 6 2 3 2 2" xfId="13712" xr:uid="{00000000-0005-0000-0000-0000CF130000}"/>
    <cellStyle name="20% - Accent3 6 2 3 2 3" xfId="17663" xr:uid="{00000000-0005-0000-0000-0000D0130000}"/>
    <cellStyle name="20% - Accent3 6 2 3 3" xfId="2397" xr:uid="{00000000-0005-0000-0000-0000D1130000}"/>
    <cellStyle name="20% - Accent3 6 2 3 3 2" xfId="13713" xr:uid="{00000000-0005-0000-0000-0000D2130000}"/>
    <cellStyle name="20% - Accent3 6 2 3 3 3" xfId="17664" xr:uid="{00000000-0005-0000-0000-0000D3130000}"/>
    <cellStyle name="20% - Accent3 6 2 3 4" xfId="13711" xr:uid="{00000000-0005-0000-0000-0000D4130000}"/>
    <cellStyle name="20% - Accent3 6 2 3 5" xfId="17662" xr:uid="{00000000-0005-0000-0000-0000D5130000}"/>
    <cellStyle name="20% - Accent3 6 2 4" xfId="2398" xr:uid="{00000000-0005-0000-0000-0000D6130000}"/>
    <cellStyle name="20% - Accent3 6 2 4 2" xfId="2399" xr:uid="{00000000-0005-0000-0000-0000D7130000}"/>
    <cellStyle name="20% - Accent3 6 2 4 2 2" xfId="13715" xr:uid="{00000000-0005-0000-0000-0000D8130000}"/>
    <cellStyle name="20% - Accent3 6 2 4 2 3" xfId="17666" xr:uid="{00000000-0005-0000-0000-0000D9130000}"/>
    <cellStyle name="20% - Accent3 6 2 4 3" xfId="2400" xr:uid="{00000000-0005-0000-0000-0000DA130000}"/>
    <cellStyle name="20% - Accent3 6 2 4 3 2" xfId="13716" xr:uid="{00000000-0005-0000-0000-0000DB130000}"/>
    <cellStyle name="20% - Accent3 6 2 4 3 3" xfId="17667" xr:uid="{00000000-0005-0000-0000-0000DC130000}"/>
    <cellStyle name="20% - Accent3 6 2 4 4" xfId="13714" xr:uid="{00000000-0005-0000-0000-0000DD130000}"/>
    <cellStyle name="20% - Accent3 6 2 4 5" xfId="17665" xr:uid="{00000000-0005-0000-0000-0000DE130000}"/>
    <cellStyle name="20% - Accent3 6 2 5" xfId="2401" xr:uid="{00000000-0005-0000-0000-0000DF130000}"/>
    <cellStyle name="20% - Accent3 6 2 5 2" xfId="13717" xr:uid="{00000000-0005-0000-0000-0000E0130000}"/>
    <cellStyle name="20% - Accent3 6 2 5 3" xfId="17668" xr:uid="{00000000-0005-0000-0000-0000E1130000}"/>
    <cellStyle name="20% - Accent3 6 2 6" xfId="2402" xr:uid="{00000000-0005-0000-0000-0000E2130000}"/>
    <cellStyle name="20% - Accent3 6 2 6 2" xfId="13718" xr:uid="{00000000-0005-0000-0000-0000E3130000}"/>
    <cellStyle name="20% - Accent3 6 2 6 3" xfId="17669" xr:uid="{00000000-0005-0000-0000-0000E4130000}"/>
    <cellStyle name="20% - Accent3 6 2 7" xfId="13707" xr:uid="{00000000-0005-0000-0000-0000E5130000}"/>
    <cellStyle name="20% - Accent3 6 2 8" xfId="17658" xr:uid="{00000000-0005-0000-0000-0000E6130000}"/>
    <cellStyle name="20% - Accent3 6 2_Volatility" xfId="2403" xr:uid="{00000000-0005-0000-0000-0000E7130000}"/>
    <cellStyle name="20% - Accent3 6 3" xfId="2404" xr:uid="{00000000-0005-0000-0000-0000E8130000}"/>
    <cellStyle name="20% - Accent3 6 3 2" xfId="2405" xr:uid="{00000000-0005-0000-0000-0000E9130000}"/>
    <cellStyle name="20% - Accent3 6 3 2 2" xfId="2406" xr:uid="{00000000-0005-0000-0000-0000EA130000}"/>
    <cellStyle name="20% - Accent3 6 3 2 2 2" xfId="13721" xr:uid="{00000000-0005-0000-0000-0000EB130000}"/>
    <cellStyle name="20% - Accent3 6 3 2 2 3" xfId="17672" xr:uid="{00000000-0005-0000-0000-0000EC130000}"/>
    <cellStyle name="20% - Accent3 6 3 2 3" xfId="2407" xr:uid="{00000000-0005-0000-0000-0000ED130000}"/>
    <cellStyle name="20% - Accent3 6 3 2 3 2" xfId="13722" xr:uid="{00000000-0005-0000-0000-0000EE130000}"/>
    <cellStyle name="20% - Accent3 6 3 2 3 3" xfId="17673" xr:uid="{00000000-0005-0000-0000-0000EF130000}"/>
    <cellStyle name="20% - Accent3 6 3 2 4" xfId="13720" xr:uid="{00000000-0005-0000-0000-0000F0130000}"/>
    <cellStyle name="20% - Accent3 6 3 2 5" xfId="17671" xr:uid="{00000000-0005-0000-0000-0000F1130000}"/>
    <cellStyle name="20% - Accent3 6 3 3" xfId="2408" xr:uid="{00000000-0005-0000-0000-0000F2130000}"/>
    <cellStyle name="20% - Accent3 6 3 3 2" xfId="2409" xr:uid="{00000000-0005-0000-0000-0000F3130000}"/>
    <cellStyle name="20% - Accent3 6 3 3 2 2" xfId="13724" xr:uid="{00000000-0005-0000-0000-0000F4130000}"/>
    <cellStyle name="20% - Accent3 6 3 3 2 3" xfId="17675" xr:uid="{00000000-0005-0000-0000-0000F5130000}"/>
    <cellStyle name="20% - Accent3 6 3 3 3" xfId="2410" xr:uid="{00000000-0005-0000-0000-0000F6130000}"/>
    <cellStyle name="20% - Accent3 6 3 3 3 2" xfId="13725" xr:uid="{00000000-0005-0000-0000-0000F7130000}"/>
    <cellStyle name="20% - Accent3 6 3 3 3 3" xfId="17676" xr:uid="{00000000-0005-0000-0000-0000F8130000}"/>
    <cellStyle name="20% - Accent3 6 3 3 4" xfId="13723" xr:uid="{00000000-0005-0000-0000-0000F9130000}"/>
    <cellStyle name="20% - Accent3 6 3 3 5" xfId="17674" xr:uid="{00000000-0005-0000-0000-0000FA130000}"/>
    <cellStyle name="20% - Accent3 6 3 4" xfId="2411" xr:uid="{00000000-0005-0000-0000-0000FB130000}"/>
    <cellStyle name="20% - Accent3 6 3 4 2" xfId="13726" xr:uid="{00000000-0005-0000-0000-0000FC130000}"/>
    <cellStyle name="20% - Accent3 6 3 4 3" xfId="17677" xr:uid="{00000000-0005-0000-0000-0000FD130000}"/>
    <cellStyle name="20% - Accent3 6 3 5" xfId="2412" xr:uid="{00000000-0005-0000-0000-0000FE130000}"/>
    <cellStyle name="20% - Accent3 6 3 5 2" xfId="13727" xr:uid="{00000000-0005-0000-0000-0000FF130000}"/>
    <cellStyle name="20% - Accent3 6 3 5 3" xfId="17678" xr:uid="{00000000-0005-0000-0000-000000140000}"/>
    <cellStyle name="20% - Accent3 6 3 6" xfId="13719" xr:uid="{00000000-0005-0000-0000-000001140000}"/>
    <cellStyle name="20% - Accent3 6 3 7" xfId="17670" xr:uid="{00000000-0005-0000-0000-000002140000}"/>
    <cellStyle name="20% - Accent3 6 3_Volatility" xfId="2413" xr:uid="{00000000-0005-0000-0000-000003140000}"/>
    <cellStyle name="20% - Accent3 6 4" xfId="2414" xr:uid="{00000000-0005-0000-0000-000004140000}"/>
    <cellStyle name="20% - Accent3 6 4 2" xfId="2415" xr:uid="{00000000-0005-0000-0000-000005140000}"/>
    <cellStyle name="20% - Accent3 6 4 2 2" xfId="13729" xr:uid="{00000000-0005-0000-0000-000006140000}"/>
    <cellStyle name="20% - Accent3 6 4 2 3" xfId="17680" xr:uid="{00000000-0005-0000-0000-000007140000}"/>
    <cellStyle name="20% - Accent3 6 4 3" xfId="2416" xr:uid="{00000000-0005-0000-0000-000008140000}"/>
    <cellStyle name="20% - Accent3 6 4 3 2" xfId="13730" xr:uid="{00000000-0005-0000-0000-000009140000}"/>
    <cellStyle name="20% - Accent3 6 4 3 3" xfId="17681" xr:uid="{00000000-0005-0000-0000-00000A140000}"/>
    <cellStyle name="20% - Accent3 6 4 4" xfId="13728" xr:uid="{00000000-0005-0000-0000-00000B140000}"/>
    <cellStyle name="20% - Accent3 6 4 5" xfId="17679" xr:uid="{00000000-0005-0000-0000-00000C140000}"/>
    <cellStyle name="20% - Accent3 6 5" xfId="2417" xr:uid="{00000000-0005-0000-0000-00000D140000}"/>
    <cellStyle name="20% - Accent3 6 5 2" xfId="2418" xr:uid="{00000000-0005-0000-0000-00000E140000}"/>
    <cellStyle name="20% - Accent3 6 5 2 2" xfId="13732" xr:uid="{00000000-0005-0000-0000-00000F140000}"/>
    <cellStyle name="20% - Accent3 6 5 2 3" xfId="17683" xr:uid="{00000000-0005-0000-0000-000010140000}"/>
    <cellStyle name="20% - Accent3 6 5 3" xfId="2419" xr:uid="{00000000-0005-0000-0000-000011140000}"/>
    <cellStyle name="20% - Accent3 6 5 3 2" xfId="13733" xr:uid="{00000000-0005-0000-0000-000012140000}"/>
    <cellStyle name="20% - Accent3 6 5 3 3" xfId="17684" xr:uid="{00000000-0005-0000-0000-000013140000}"/>
    <cellStyle name="20% - Accent3 6 5 4" xfId="13731" xr:uid="{00000000-0005-0000-0000-000014140000}"/>
    <cellStyle name="20% - Accent3 6 5 5" xfId="17682" xr:uid="{00000000-0005-0000-0000-000015140000}"/>
    <cellStyle name="20% - Accent3 6 6" xfId="2420" xr:uid="{00000000-0005-0000-0000-000016140000}"/>
    <cellStyle name="20% - Accent3 6 6 2" xfId="2421" xr:uid="{00000000-0005-0000-0000-000017140000}"/>
    <cellStyle name="20% - Accent3 6 6 2 2" xfId="13735" xr:uid="{00000000-0005-0000-0000-000018140000}"/>
    <cellStyle name="20% - Accent3 6 6 2 3" xfId="17686" xr:uid="{00000000-0005-0000-0000-000019140000}"/>
    <cellStyle name="20% - Accent3 6 6 3" xfId="2422" xr:uid="{00000000-0005-0000-0000-00001A140000}"/>
    <cellStyle name="20% - Accent3 6 6 3 2" xfId="13736" xr:uid="{00000000-0005-0000-0000-00001B140000}"/>
    <cellStyle name="20% - Accent3 6 6 3 3" xfId="17687" xr:uid="{00000000-0005-0000-0000-00001C140000}"/>
    <cellStyle name="20% - Accent3 6 6 4" xfId="13734" xr:uid="{00000000-0005-0000-0000-00001D140000}"/>
    <cellStyle name="20% - Accent3 6 6 5" xfId="17685" xr:uid="{00000000-0005-0000-0000-00001E140000}"/>
    <cellStyle name="20% - Accent3 6 7" xfId="2423" xr:uid="{00000000-0005-0000-0000-00001F140000}"/>
    <cellStyle name="20% - Accent3 6 7 2" xfId="13737" xr:uid="{00000000-0005-0000-0000-000020140000}"/>
    <cellStyle name="20% - Accent3 6 7 3" xfId="17688" xr:uid="{00000000-0005-0000-0000-000021140000}"/>
    <cellStyle name="20% - Accent3 6 8" xfId="2424" xr:uid="{00000000-0005-0000-0000-000022140000}"/>
    <cellStyle name="20% - Accent3 6 8 2" xfId="13738" xr:uid="{00000000-0005-0000-0000-000023140000}"/>
    <cellStyle name="20% - Accent3 6 8 3" xfId="17689" xr:uid="{00000000-0005-0000-0000-000024140000}"/>
    <cellStyle name="20% - Accent3 6 9" xfId="13706" xr:uid="{00000000-0005-0000-0000-000025140000}"/>
    <cellStyle name="20% - Accent3 6_Volatility" xfId="2425" xr:uid="{00000000-0005-0000-0000-000026140000}"/>
    <cellStyle name="20% - Accent3 7" xfId="2426" xr:uid="{00000000-0005-0000-0000-000027140000}"/>
    <cellStyle name="20% - Accent3 7 10" xfId="17690" xr:uid="{00000000-0005-0000-0000-000028140000}"/>
    <cellStyle name="20% - Accent3 7 2" xfId="2427" xr:uid="{00000000-0005-0000-0000-000029140000}"/>
    <cellStyle name="20% - Accent3 7 2 2" xfId="2428" xr:uid="{00000000-0005-0000-0000-00002A140000}"/>
    <cellStyle name="20% - Accent3 7 2 2 2" xfId="2429" xr:uid="{00000000-0005-0000-0000-00002B140000}"/>
    <cellStyle name="20% - Accent3 7 2 2 2 2" xfId="13742" xr:uid="{00000000-0005-0000-0000-00002C140000}"/>
    <cellStyle name="20% - Accent3 7 2 2 2 3" xfId="17693" xr:uid="{00000000-0005-0000-0000-00002D140000}"/>
    <cellStyle name="20% - Accent3 7 2 2 3" xfId="2430" xr:uid="{00000000-0005-0000-0000-00002E140000}"/>
    <cellStyle name="20% - Accent3 7 2 2 3 2" xfId="13743" xr:uid="{00000000-0005-0000-0000-00002F140000}"/>
    <cellStyle name="20% - Accent3 7 2 2 3 3" xfId="17694" xr:uid="{00000000-0005-0000-0000-000030140000}"/>
    <cellStyle name="20% - Accent3 7 2 2 4" xfId="13741" xr:uid="{00000000-0005-0000-0000-000031140000}"/>
    <cellStyle name="20% - Accent3 7 2 2 5" xfId="17692" xr:uid="{00000000-0005-0000-0000-000032140000}"/>
    <cellStyle name="20% - Accent3 7 2 3" xfId="2431" xr:uid="{00000000-0005-0000-0000-000033140000}"/>
    <cellStyle name="20% - Accent3 7 2 3 2" xfId="2432" xr:uid="{00000000-0005-0000-0000-000034140000}"/>
    <cellStyle name="20% - Accent3 7 2 3 2 2" xfId="13745" xr:uid="{00000000-0005-0000-0000-000035140000}"/>
    <cellStyle name="20% - Accent3 7 2 3 2 3" xfId="17696" xr:uid="{00000000-0005-0000-0000-000036140000}"/>
    <cellStyle name="20% - Accent3 7 2 3 3" xfId="2433" xr:uid="{00000000-0005-0000-0000-000037140000}"/>
    <cellStyle name="20% - Accent3 7 2 3 3 2" xfId="13746" xr:uid="{00000000-0005-0000-0000-000038140000}"/>
    <cellStyle name="20% - Accent3 7 2 3 3 3" xfId="17697" xr:uid="{00000000-0005-0000-0000-000039140000}"/>
    <cellStyle name="20% - Accent3 7 2 3 4" xfId="13744" xr:uid="{00000000-0005-0000-0000-00003A140000}"/>
    <cellStyle name="20% - Accent3 7 2 3 5" xfId="17695" xr:uid="{00000000-0005-0000-0000-00003B140000}"/>
    <cellStyle name="20% - Accent3 7 2 4" xfId="2434" xr:uid="{00000000-0005-0000-0000-00003C140000}"/>
    <cellStyle name="20% - Accent3 7 2 4 2" xfId="2435" xr:uid="{00000000-0005-0000-0000-00003D140000}"/>
    <cellStyle name="20% - Accent3 7 2 4 2 2" xfId="13748" xr:uid="{00000000-0005-0000-0000-00003E140000}"/>
    <cellStyle name="20% - Accent3 7 2 4 2 3" xfId="17699" xr:uid="{00000000-0005-0000-0000-00003F140000}"/>
    <cellStyle name="20% - Accent3 7 2 4 3" xfId="2436" xr:uid="{00000000-0005-0000-0000-000040140000}"/>
    <cellStyle name="20% - Accent3 7 2 4 3 2" xfId="13749" xr:uid="{00000000-0005-0000-0000-000041140000}"/>
    <cellStyle name="20% - Accent3 7 2 4 3 3" xfId="17700" xr:uid="{00000000-0005-0000-0000-000042140000}"/>
    <cellStyle name="20% - Accent3 7 2 4 4" xfId="13747" xr:uid="{00000000-0005-0000-0000-000043140000}"/>
    <cellStyle name="20% - Accent3 7 2 4 5" xfId="17698" xr:uid="{00000000-0005-0000-0000-000044140000}"/>
    <cellStyle name="20% - Accent3 7 2 5" xfId="2437" xr:uid="{00000000-0005-0000-0000-000045140000}"/>
    <cellStyle name="20% - Accent3 7 2 5 2" xfId="13750" xr:uid="{00000000-0005-0000-0000-000046140000}"/>
    <cellStyle name="20% - Accent3 7 2 5 3" xfId="17701" xr:uid="{00000000-0005-0000-0000-000047140000}"/>
    <cellStyle name="20% - Accent3 7 2 6" xfId="2438" xr:uid="{00000000-0005-0000-0000-000048140000}"/>
    <cellStyle name="20% - Accent3 7 2 6 2" xfId="13751" xr:uid="{00000000-0005-0000-0000-000049140000}"/>
    <cellStyle name="20% - Accent3 7 2 6 3" xfId="17702" xr:uid="{00000000-0005-0000-0000-00004A140000}"/>
    <cellStyle name="20% - Accent3 7 2 7" xfId="13740" xr:uid="{00000000-0005-0000-0000-00004B140000}"/>
    <cellStyle name="20% - Accent3 7 2 8" xfId="17691" xr:uid="{00000000-0005-0000-0000-00004C140000}"/>
    <cellStyle name="20% - Accent3 7 2_Volatility" xfId="2439" xr:uid="{00000000-0005-0000-0000-00004D140000}"/>
    <cellStyle name="20% - Accent3 7 3" xfId="2440" xr:uid="{00000000-0005-0000-0000-00004E140000}"/>
    <cellStyle name="20% - Accent3 7 3 2" xfId="2441" xr:uid="{00000000-0005-0000-0000-00004F140000}"/>
    <cellStyle name="20% - Accent3 7 3 2 2" xfId="2442" xr:uid="{00000000-0005-0000-0000-000050140000}"/>
    <cellStyle name="20% - Accent3 7 3 2 2 2" xfId="13754" xr:uid="{00000000-0005-0000-0000-000051140000}"/>
    <cellStyle name="20% - Accent3 7 3 2 2 3" xfId="17705" xr:uid="{00000000-0005-0000-0000-000052140000}"/>
    <cellStyle name="20% - Accent3 7 3 2 3" xfId="2443" xr:uid="{00000000-0005-0000-0000-000053140000}"/>
    <cellStyle name="20% - Accent3 7 3 2 3 2" xfId="13755" xr:uid="{00000000-0005-0000-0000-000054140000}"/>
    <cellStyle name="20% - Accent3 7 3 2 3 3" xfId="17706" xr:uid="{00000000-0005-0000-0000-000055140000}"/>
    <cellStyle name="20% - Accent3 7 3 2 4" xfId="13753" xr:uid="{00000000-0005-0000-0000-000056140000}"/>
    <cellStyle name="20% - Accent3 7 3 2 5" xfId="17704" xr:uid="{00000000-0005-0000-0000-000057140000}"/>
    <cellStyle name="20% - Accent3 7 3 3" xfId="2444" xr:uid="{00000000-0005-0000-0000-000058140000}"/>
    <cellStyle name="20% - Accent3 7 3 3 2" xfId="2445" xr:uid="{00000000-0005-0000-0000-000059140000}"/>
    <cellStyle name="20% - Accent3 7 3 3 2 2" xfId="13757" xr:uid="{00000000-0005-0000-0000-00005A140000}"/>
    <cellStyle name="20% - Accent3 7 3 3 2 3" xfId="17708" xr:uid="{00000000-0005-0000-0000-00005B140000}"/>
    <cellStyle name="20% - Accent3 7 3 3 3" xfId="2446" xr:uid="{00000000-0005-0000-0000-00005C140000}"/>
    <cellStyle name="20% - Accent3 7 3 3 3 2" xfId="13758" xr:uid="{00000000-0005-0000-0000-00005D140000}"/>
    <cellStyle name="20% - Accent3 7 3 3 3 3" xfId="17709" xr:uid="{00000000-0005-0000-0000-00005E140000}"/>
    <cellStyle name="20% - Accent3 7 3 3 4" xfId="13756" xr:uid="{00000000-0005-0000-0000-00005F140000}"/>
    <cellStyle name="20% - Accent3 7 3 3 5" xfId="17707" xr:uid="{00000000-0005-0000-0000-000060140000}"/>
    <cellStyle name="20% - Accent3 7 3 4" xfId="2447" xr:uid="{00000000-0005-0000-0000-000061140000}"/>
    <cellStyle name="20% - Accent3 7 3 4 2" xfId="13759" xr:uid="{00000000-0005-0000-0000-000062140000}"/>
    <cellStyle name="20% - Accent3 7 3 4 3" xfId="17710" xr:uid="{00000000-0005-0000-0000-000063140000}"/>
    <cellStyle name="20% - Accent3 7 3 5" xfId="2448" xr:uid="{00000000-0005-0000-0000-000064140000}"/>
    <cellStyle name="20% - Accent3 7 3 5 2" xfId="13760" xr:uid="{00000000-0005-0000-0000-000065140000}"/>
    <cellStyle name="20% - Accent3 7 3 5 3" xfId="17711" xr:uid="{00000000-0005-0000-0000-000066140000}"/>
    <cellStyle name="20% - Accent3 7 3 6" xfId="13752" xr:uid="{00000000-0005-0000-0000-000067140000}"/>
    <cellStyle name="20% - Accent3 7 3 7" xfId="17703" xr:uid="{00000000-0005-0000-0000-000068140000}"/>
    <cellStyle name="20% - Accent3 7 3_Volatility" xfId="2449" xr:uid="{00000000-0005-0000-0000-000069140000}"/>
    <cellStyle name="20% - Accent3 7 4" xfId="2450" xr:uid="{00000000-0005-0000-0000-00006A140000}"/>
    <cellStyle name="20% - Accent3 7 4 2" xfId="2451" xr:uid="{00000000-0005-0000-0000-00006B140000}"/>
    <cellStyle name="20% - Accent3 7 4 2 2" xfId="13762" xr:uid="{00000000-0005-0000-0000-00006C140000}"/>
    <cellStyle name="20% - Accent3 7 4 2 3" xfId="17713" xr:uid="{00000000-0005-0000-0000-00006D140000}"/>
    <cellStyle name="20% - Accent3 7 4 3" xfId="2452" xr:uid="{00000000-0005-0000-0000-00006E140000}"/>
    <cellStyle name="20% - Accent3 7 4 3 2" xfId="13763" xr:uid="{00000000-0005-0000-0000-00006F140000}"/>
    <cellStyle name="20% - Accent3 7 4 3 3" xfId="17714" xr:uid="{00000000-0005-0000-0000-000070140000}"/>
    <cellStyle name="20% - Accent3 7 4 4" xfId="13761" xr:uid="{00000000-0005-0000-0000-000071140000}"/>
    <cellStyle name="20% - Accent3 7 4 5" xfId="17712" xr:uid="{00000000-0005-0000-0000-000072140000}"/>
    <cellStyle name="20% - Accent3 7 5" xfId="2453" xr:uid="{00000000-0005-0000-0000-000073140000}"/>
    <cellStyle name="20% - Accent3 7 5 2" xfId="2454" xr:uid="{00000000-0005-0000-0000-000074140000}"/>
    <cellStyle name="20% - Accent3 7 5 2 2" xfId="13765" xr:uid="{00000000-0005-0000-0000-000075140000}"/>
    <cellStyle name="20% - Accent3 7 5 2 3" xfId="17716" xr:uid="{00000000-0005-0000-0000-000076140000}"/>
    <cellStyle name="20% - Accent3 7 5 3" xfId="2455" xr:uid="{00000000-0005-0000-0000-000077140000}"/>
    <cellStyle name="20% - Accent3 7 5 3 2" xfId="13766" xr:uid="{00000000-0005-0000-0000-000078140000}"/>
    <cellStyle name="20% - Accent3 7 5 3 3" xfId="17717" xr:uid="{00000000-0005-0000-0000-000079140000}"/>
    <cellStyle name="20% - Accent3 7 5 4" xfId="13764" xr:uid="{00000000-0005-0000-0000-00007A140000}"/>
    <cellStyle name="20% - Accent3 7 5 5" xfId="17715" xr:uid="{00000000-0005-0000-0000-00007B140000}"/>
    <cellStyle name="20% - Accent3 7 6" xfId="2456" xr:uid="{00000000-0005-0000-0000-00007C140000}"/>
    <cellStyle name="20% - Accent3 7 6 2" xfId="2457" xr:uid="{00000000-0005-0000-0000-00007D140000}"/>
    <cellStyle name="20% - Accent3 7 6 2 2" xfId="13768" xr:uid="{00000000-0005-0000-0000-00007E140000}"/>
    <cellStyle name="20% - Accent3 7 6 2 3" xfId="17719" xr:uid="{00000000-0005-0000-0000-00007F140000}"/>
    <cellStyle name="20% - Accent3 7 6 3" xfId="2458" xr:uid="{00000000-0005-0000-0000-000080140000}"/>
    <cellStyle name="20% - Accent3 7 6 3 2" xfId="13769" xr:uid="{00000000-0005-0000-0000-000081140000}"/>
    <cellStyle name="20% - Accent3 7 6 3 3" xfId="17720" xr:uid="{00000000-0005-0000-0000-000082140000}"/>
    <cellStyle name="20% - Accent3 7 6 4" xfId="13767" xr:uid="{00000000-0005-0000-0000-000083140000}"/>
    <cellStyle name="20% - Accent3 7 6 5" xfId="17718" xr:uid="{00000000-0005-0000-0000-000084140000}"/>
    <cellStyle name="20% - Accent3 7 7" xfId="2459" xr:uid="{00000000-0005-0000-0000-000085140000}"/>
    <cellStyle name="20% - Accent3 7 7 2" xfId="13770" xr:uid="{00000000-0005-0000-0000-000086140000}"/>
    <cellStyle name="20% - Accent3 7 7 3" xfId="17721" xr:uid="{00000000-0005-0000-0000-000087140000}"/>
    <cellStyle name="20% - Accent3 7 8" xfId="2460" xr:uid="{00000000-0005-0000-0000-000088140000}"/>
    <cellStyle name="20% - Accent3 7 8 2" xfId="13771" xr:uid="{00000000-0005-0000-0000-000089140000}"/>
    <cellStyle name="20% - Accent3 7 8 3" xfId="17722" xr:uid="{00000000-0005-0000-0000-00008A140000}"/>
    <cellStyle name="20% - Accent3 7 9" xfId="13739" xr:uid="{00000000-0005-0000-0000-00008B140000}"/>
    <cellStyle name="20% - Accent3 7_Volatility" xfId="2461" xr:uid="{00000000-0005-0000-0000-00008C140000}"/>
    <cellStyle name="20% - Accent3 8" xfId="2462" xr:uid="{00000000-0005-0000-0000-00008D140000}"/>
    <cellStyle name="20% - Accent3 8 10" xfId="17723" xr:uid="{00000000-0005-0000-0000-00008E140000}"/>
    <cellStyle name="20% - Accent3 8 2" xfId="2463" xr:uid="{00000000-0005-0000-0000-00008F140000}"/>
    <cellStyle name="20% - Accent3 8 2 2" xfId="2464" xr:uid="{00000000-0005-0000-0000-000090140000}"/>
    <cellStyle name="20% - Accent3 8 2 2 2" xfId="2465" xr:uid="{00000000-0005-0000-0000-000091140000}"/>
    <cellStyle name="20% - Accent3 8 2 2 2 2" xfId="13775" xr:uid="{00000000-0005-0000-0000-000092140000}"/>
    <cellStyle name="20% - Accent3 8 2 2 2 3" xfId="17726" xr:uid="{00000000-0005-0000-0000-000093140000}"/>
    <cellStyle name="20% - Accent3 8 2 2 3" xfId="2466" xr:uid="{00000000-0005-0000-0000-000094140000}"/>
    <cellStyle name="20% - Accent3 8 2 2 3 2" xfId="13776" xr:uid="{00000000-0005-0000-0000-000095140000}"/>
    <cellStyle name="20% - Accent3 8 2 2 3 3" xfId="17727" xr:uid="{00000000-0005-0000-0000-000096140000}"/>
    <cellStyle name="20% - Accent3 8 2 2 4" xfId="13774" xr:uid="{00000000-0005-0000-0000-000097140000}"/>
    <cellStyle name="20% - Accent3 8 2 2 5" xfId="17725" xr:uid="{00000000-0005-0000-0000-000098140000}"/>
    <cellStyle name="20% - Accent3 8 2 3" xfId="2467" xr:uid="{00000000-0005-0000-0000-000099140000}"/>
    <cellStyle name="20% - Accent3 8 2 3 2" xfId="2468" xr:uid="{00000000-0005-0000-0000-00009A140000}"/>
    <cellStyle name="20% - Accent3 8 2 3 2 2" xfId="13778" xr:uid="{00000000-0005-0000-0000-00009B140000}"/>
    <cellStyle name="20% - Accent3 8 2 3 2 3" xfId="17729" xr:uid="{00000000-0005-0000-0000-00009C140000}"/>
    <cellStyle name="20% - Accent3 8 2 3 3" xfId="2469" xr:uid="{00000000-0005-0000-0000-00009D140000}"/>
    <cellStyle name="20% - Accent3 8 2 3 3 2" xfId="13779" xr:uid="{00000000-0005-0000-0000-00009E140000}"/>
    <cellStyle name="20% - Accent3 8 2 3 3 3" xfId="17730" xr:uid="{00000000-0005-0000-0000-00009F140000}"/>
    <cellStyle name="20% - Accent3 8 2 3 4" xfId="13777" xr:uid="{00000000-0005-0000-0000-0000A0140000}"/>
    <cellStyle name="20% - Accent3 8 2 3 5" xfId="17728" xr:uid="{00000000-0005-0000-0000-0000A1140000}"/>
    <cellStyle name="20% - Accent3 8 2 4" xfId="2470" xr:uid="{00000000-0005-0000-0000-0000A2140000}"/>
    <cellStyle name="20% - Accent3 8 2 4 2" xfId="2471" xr:uid="{00000000-0005-0000-0000-0000A3140000}"/>
    <cellStyle name="20% - Accent3 8 2 4 2 2" xfId="13781" xr:uid="{00000000-0005-0000-0000-0000A4140000}"/>
    <cellStyle name="20% - Accent3 8 2 4 2 3" xfId="17732" xr:uid="{00000000-0005-0000-0000-0000A5140000}"/>
    <cellStyle name="20% - Accent3 8 2 4 3" xfId="2472" xr:uid="{00000000-0005-0000-0000-0000A6140000}"/>
    <cellStyle name="20% - Accent3 8 2 4 3 2" xfId="13782" xr:uid="{00000000-0005-0000-0000-0000A7140000}"/>
    <cellStyle name="20% - Accent3 8 2 4 3 3" xfId="17733" xr:uid="{00000000-0005-0000-0000-0000A8140000}"/>
    <cellStyle name="20% - Accent3 8 2 4 4" xfId="13780" xr:uid="{00000000-0005-0000-0000-0000A9140000}"/>
    <cellStyle name="20% - Accent3 8 2 4 5" xfId="17731" xr:uid="{00000000-0005-0000-0000-0000AA140000}"/>
    <cellStyle name="20% - Accent3 8 2 5" xfId="2473" xr:uid="{00000000-0005-0000-0000-0000AB140000}"/>
    <cellStyle name="20% - Accent3 8 2 5 2" xfId="13783" xr:uid="{00000000-0005-0000-0000-0000AC140000}"/>
    <cellStyle name="20% - Accent3 8 2 5 3" xfId="17734" xr:uid="{00000000-0005-0000-0000-0000AD140000}"/>
    <cellStyle name="20% - Accent3 8 2 6" xfId="2474" xr:uid="{00000000-0005-0000-0000-0000AE140000}"/>
    <cellStyle name="20% - Accent3 8 2 6 2" xfId="13784" xr:uid="{00000000-0005-0000-0000-0000AF140000}"/>
    <cellStyle name="20% - Accent3 8 2 6 3" xfId="17735" xr:uid="{00000000-0005-0000-0000-0000B0140000}"/>
    <cellStyle name="20% - Accent3 8 2 7" xfId="13773" xr:uid="{00000000-0005-0000-0000-0000B1140000}"/>
    <cellStyle name="20% - Accent3 8 2 8" xfId="17724" xr:uid="{00000000-0005-0000-0000-0000B2140000}"/>
    <cellStyle name="20% - Accent3 8 2_Volatility" xfId="2475" xr:uid="{00000000-0005-0000-0000-0000B3140000}"/>
    <cellStyle name="20% - Accent3 8 3" xfId="2476" xr:uid="{00000000-0005-0000-0000-0000B4140000}"/>
    <cellStyle name="20% - Accent3 8 3 2" xfId="2477" xr:uid="{00000000-0005-0000-0000-0000B5140000}"/>
    <cellStyle name="20% - Accent3 8 3 2 2" xfId="2478" xr:uid="{00000000-0005-0000-0000-0000B6140000}"/>
    <cellStyle name="20% - Accent3 8 3 2 2 2" xfId="13787" xr:uid="{00000000-0005-0000-0000-0000B7140000}"/>
    <cellStyle name="20% - Accent3 8 3 2 2 3" xfId="17738" xr:uid="{00000000-0005-0000-0000-0000B8140000}"/>
    <cellStyle name="20% - Accent3 8 3 2 3" xfId="2479" xr:uid="{00000000-0005-0000-0000-0000B9140000}"/>
    <cellStyle name="20% - Accent3 8 3 2 3 2" xfId="13788" xr:uid="{00000000-0005-0000-0000-0000BA140000}"/>
    <cellStyle name="20% - Accent3 8 3 2 3 3" xfId="17739" xr:uid="{00000000-0005-0000-0000-0000BB140000}"/>
    <cellStyle name="20% - Accent3 8 3 2 4" xfId="13786" xr:uid="{00000000-0005-0000-0000-0000BC140000}"/>
    <cellStyle name="20% - Accent3 8 3 2 5" xfId="17737" xr:uid="{00000000-0005-0000-0000-0000BD140000}"/>
    <cellStyle name="20% - Accent3 8 3 3" xfId="2480" xr:uid="{00000000-0005-0000-0000-0000BE140000}"/>
    <cellStyle name="20% - Accent3 8 3 3 2" xfId="2481" xr:uid="{00000000-0005-0000-0000-0000BF140000}"/>
    <cellStyle name="20% - Accent3 8 3 3 2 2" xfId="13790" xr:uid="{00000000-0005-0000-0000-0000C0140000}"/>
    <cellStyle name="20% - Accent3 8 3 3 2 3" xfId="17741" xr:uid="{00000000-0005-0000-0000-0000C1140000}"/>
    <cellStyle name="20% - Accent3 8 3 3 3" xfId="2482" xr:uid="{00000000-0005-0000-0000-0000C2140000}"/>
    <cellStyle name="20% - Accent3 8 3 3 3 2" xfId="13791" xr:uid="{00000000-0005-0000-0000-0000C3140000}"/>
    <cellStyle name="20% - Accent3 8 3 3 3 3" xfId="17742" xr:uid="{00000000-0005-0000-0000-0000C4140000}"/>
    <cellStyle name="20% - Accent3 8 3 3 4" xfId="13789" xr:uid="{00000000-0005-0000-0000-0000C5140000}"/>
    <cellStyle name="20% - Accent3 8 3 3 5" xfId="17740" xr:uid="{00000000-0005-0000-0000-0000C6140000}"/>
    <cellStyle name="20% - Accent3 8 3 4" xfId="2483" xr:uid="{00000000-0005-0000-0000-0000C7140000}"/>
    <cellStyle name="20% - Accent3 8 3 4 2" xfId="13792" xr:uid="{00000000-0005-0000-0000-0000C8140000}"/>
    <cellStyle name="20% - Accent3 8 3 4 3" xfId="17743" xr:uid="{00000000-0005-0000-0000-0000C9140000}"/>
    <cellStyle name="20% - Accent3 8 3 5" xfId="2484" xr:uid="{00000000-0005-0000-0000-0000CA140000}"/>
    <cellStyle name="20% - Accent3 8 3 5 2" xfId="13793" xr:uid="{00000000-0005-0000-0000-0000CB140000}"/>
    <cellStyle name="20% - Accent3 8 3 5 3" xfId="17744" xr:uid="{00000000-0005-0000-0000-0000CC140000}"/>
    <cellStyle name="20% - Accent3 8 3 6" xfId="13785" xr:uid="{00000000-0005-0000-0000-0000CD140000}"/>
    <cellStyle name="20% - Accent3 8 3 7" xfId="17736" xr:uid="{00000000-0005-0000-0000-0000CE140000}"/>
    <cellStyle name="20% - Accent3 8 3_Volatility" xfId="2485" xr:uid="{00000000-0005-0000-0000-0000CF140000}"/>
    <cellStyle name="20% - Accent3 8 4" xfId="2486" xr:uid="{00000000-0005-0000-0000-0000D0140000}"/>
    <cellStyle name="20% - Accent3 8 4 2" xfId="2487" xr:uid="{00000000-0005-0000-0000-0000D1140000}"/>
    <cellStyle name="20% - Accent3 8 4 2 2" xfId="13795" xr:uid="{00000000-0005-0000-0000-0000D2140000}"/>
    <cellStyle name="20% - Accent3 8 4 2 3" xfId="17746" xr:uid="{00000000-0005-0000-0000-0000D3140000}"/>
    <cellStyle name="20% - Accent3 8 4 3" xfId="2488" xr:uid="{00000000-0005-0000-0000-0000D4140000}"/>
    <cellStyle name="20% - Accent3 8 4 3 2" xfId="13796" xr:uid="{00000000-0005-0000-0000-0000D5140000}"/>
    <cellStyle name="20% - Accent3 8 4 3 3" xfId="17747" xr:uid="{00000000-0005-0000-0000-0000D6140000}"/>
    <cellStyle name="20% - Accent3 8 4 4" xfId="13794" xr:uid="{00000000-0005-0000-0000-0000D7140000}"/>
    <cellStyle name="20% - Accent3 8 4 5" xfId="17745" xr:uid="{00000000-0005-0000-0000-0000D8140000}"/>
    <cellStyle name="20% - Accent3 8 5" xfId="2489" xr:uid="{00000000-0005-0000-0000-0000D9140000}"/>
    <cellStyle name="20% - Accent3 8 5 2" xfId="2490" xr:uid="{00000000-0005-0000-0000-0000DA140000}"/>
    <cellStyle name="20% - Accent3 8 5 2 2" xfId="13798" xr:uid="{00000000-0005-0000-0000-0000DB140000}"/>
    <cellStyle name="20% - Accent3 8 5 2 3" xfId="17749" xr:uid="{00000000-0005-0000-0000-0000DC140000}"/>
    <cellStyle name="20% - Accent3 8 5 3" xfId="2491" xr:uid="{00000000-0005-0000-0000-0000DD140000}"/>
    <cellStyle name="20% - Accent3 8 5 3 2" xfId="13799" xr:uid="{00000000-0005-0000-0000-0000DE140000}"/>
    <cellStyle name="20% - Accent3 8 5 3 3" xfId="17750" xr:uid="{00000000-0005-0000-0000-0000DF140000}"/>
    <cellStyle name="20% - Accent3 8 5 4" xfId="13797" xr:uid="{00000000-0005-0000-0000-0000E0140000}"/>
    <cellStyle name="20% - Accent3 8 5 5" xfId="17748" xr:uid="{00000000-0005-0000-0000-0000E1140000}"/>
    <cellStyle name="20% - Accent3 8 6" xfId="2492" xr:uid="{00000000-0005-0000-0000-0000E2140000}"/>
    <cellStyle name="20% - Accent3 8 6 2" xfId="2493" xr:uid="{00000000-0005-0000-0000-0000E3140000}"/>
    <cellStyle name="20% - Accent3 8 6 2 2" xfId="13801" xr:uid="{00000000-0005-0000-0000-0000E4140000}"/>
    <cellStyle name="20% - Accent3 8 6 2 3" xfId="17752" xr:uid="{00000000-0005-0000-0000-0000E5140000}"/>
    <cellStyle name="20% - Accent3 8 6 3" xfId="2494" xr:uid="{00000000-0005-0000-0000-0000E6140000}"/>
    <cellStyle name="20% - Accent3 8 6 3 2" xfId="13802" xr:uid="{00000000-0005-0000-0000-0000E7140000}"/>
    <cellStyle name="20% - Accent3 8 6 3 3" xfId="17753" xr:uid="{00000000-0005-0000-0000-0000E8140000}"/>
    <cellStyle name="20% - Accent3 8 6 4" xfId="13800" xr:uid="{00000000-0005-0000-0000-0000E9140000}"/>
    <cellStyle name="20% - Accent3 8 6 5" xfId="17751" xr:uid="{00000000-0005-0000-0000-0000EA140000}"/>
    <cellStyle name="20% - Accent3 8 7" xfId="2495" xr:uid="{00000000-0005-0000-0000-0000EB140000}"/>
    <cellStyle name="20% - Accent3 8 7 2" xfId="13803" xr:uid="{00000000-0005-0000-0000-0000EC140000}"/>
    <cellStyle name="20% - Accent3 8 7 3" xfId="17754" xr:uid="{00000000-0005-0000-0000-0000ED140000}"/>
    <cellStyle name="20% - Accent3 8 8" xfId="2496" xr:uid="{00000000-0005-0000-0000-0000EE140000}"/>
    <cellStyle name="20% - Accent3 8 8 2" xfId="13804" xr:uid="{00000000-0005-0000-0000-0000EF140000}"/>
    <cellStyle name="20% - Accent3 8 8 3" xfId="17755" xr:uid="{00000000-0005-0000-0000-0000F0140000}"/>
    <cellStyle name="20% - Accent3 8 9" xfId="13772" xr:uid="{00000000-0005-0000-0000-0000F1140000}"/>
    <cellStyle name="20% - Accent3 8_Volatility" xfId="2497" xr:uid="{00000000-0005-0000-0000-0000F2140000}"/>
    <cellStyle name="20% - Accent3 9" xfId="2498" xr:uid="{00000000-0005-0000-0000-0000F3140000}"/>
    <cellStyle name="20% - Accent3 9 10" xfId="17756" xr:uid="{00000000-0005-0000-0000-0000F4140000}"/>
    <cellStyle name="20% - Accent3 9 2" xfId="2499" xr:uid="{00000000-0005-0000-0000-0000F5140000}"/>
    <cellStyle name="20% - Accent3 9 2 2" xfId="2500" xr:uid="{00000000-0005-0000-0000-0000F6140000}"/>
    <cellStyle name="20% - Accent3 9 2 2 2" xfId="2501" xr:uid="{00000000-0005-0000-0000-0000F7140000}"/>
    <cellStyle name="20% - Accent3 9 2 2 2 2" xfId="13808" xr:uid="{00000000-0005-0000-0000-0000F8140000}"/>
    <cellStyle name="20% - Accent3 9 2 2 2 3" xfId="17759" xr:uid="{00000000-0005-0000-0000-0000F9140000}"/>
    <cellStyle name="20% - Accent3 9 2 2 3" xfId="2502" xr:uid="{00000000-0005-0000-0000-0000FA140000}"/>
    <cellStyle name="20% - Accent3 9 2 2 3 2" xfId="13809" xr:uid="{00000000-0005-0000-0000-0000FB140000}"/>
    <cellStyle name="20% - Accent3 9 2 2 3 3" xfId="17760" xr:uid="{00000000-0005-0000-0000-0000FC140000}"/>
    <cellStyle name="20% - Accent3 9 2 2 4" xfId="13807" xr:uid="{00000000-0005-0000-0000-0000FD140000}"/>
    <cellStyle name="20% - Accent3 9 2 2 5" xfId="17758" xr:uid="{00000000-0005-0000-0000-0000FE140000}"/>
    <cellStyle name="20% - Accent3 9 2 3" xfId="2503" xr:uid="{00000000-0005-0000-0000-0000FF140000}"/>
    <cellStyle name="20% - Accent3 9 2 3 2" xfId="2504" xr:uid="{00000000-0005-0000-0000-000000150000}"/>
    <cellStyle name="20% - Accent3 9 2 3 2 2" xfId="13811" xr:uid="{00000000-0005-0000-0000-000001150000}"/>
    <cellStyle name="20% - Accent3 9 2 3 2 3" xfId="17762" xr:uid="{00000000-0005-0000-0000-000002150000}"/>
    <cellStyle name="20% - Accent3 9 2 3 3" xfId="2505" xr:uid="{00000000-0005-0000-0000-000003150000}"/>
    <cellStyle name="20% - Accent3 9 2 3 3 2" xfId="13812" xr:uid="{00000000-0005-0000-0000-000004150000}"/>
    <cellStyle name="20% - Accent3 9 2 3 3 3" xfId="17763" xr:uid="{00000000-0005-0000-0000-000005150000}"/>
    <cellStyle name="20% - Accent3 9 2 3 4" xfId="13810" xr:uid="{00000000-0005-0000-0000-000006150000}"/>
    <cellStyle name="20% - Accent3 9 2 3 5" xfId="17761" xr:uid="{00000000-0005-0000-0000-000007150000}"/>
    <cellStyle name="20% - Accent3 9 2 4" xfId="2506" xr:uid="{00000000-0005-0000-0000-000008150000}"/>
    <cellStyle name="20% - Accent3 9 2 4 2" xfId="2507" xr:uid="{00000000-0005-0000-0000-000009150000}"/>
    <cellStyle name="20% - Accent3 9 2 4 2 2" xfId="13814" xr:uid="{00000000-0005-0000-0000-00000A150000}"/>
    <cellStyle name="20% - Accent3 9 2 4 2 3" xfId="17765" xr:uid="{00000000-0005-0000-0000-00000B150000}"/>
    <cellStyle name="20% - Accent3 9 2 4 3" xfId="2508" xr:uid="{00000000-0005-0000-0000-00000C150000}"/>
    <cellStyle name="20% - Accent3 9 2 4 3 2" xfId="13815" xr:uid="{00000000-0005-0000-0000-00000D150000}"/>
    <cellStyle name="20% - Accent3 9 2 4 3 3" xfId="17766" xr:uid="{00000000-0005-0000-0000-00000E150000}"/>
    <cellStyle name="20% - Accent3 9 2 4 4" xfId="13813" xr:uid="{00000000-0005-0000-0000-00000F150000}"/>
    <cellStyle name="20% - Accent3 9 2 4 5" xfId="17764" xr:uid="{00000000-0005-0000-0000-000010150000}"/>
    <cellStyle name="20% - Accent3 9 2 5" xfId="2509" xr:uid="{00000000-0005-0000-0000-000011150000}"/>
    <cellStyle name="20% - Accent3 9 2 5 2" xfId="13816" xr:uid="{00000000-0005-0000-0000-000012150000}"/>
    <cellStyle name="20% - Accent3 9 2 5 3" xfId="17767" xr:uid="{00000000-0005-0000-0000-000013150000}"/>
    <cellStyle name="20% - Accent3 9 2 6" xfId="2510" xr:uid="{00000000-0005-0000-0000-000014150000}"/>
    <cellStyle name="20% - Accent3 9 2 6 2" xfId="13817" xr:uid="{00000000-0005-0000-0000-000015150000}"/>
    <cellStyle name="20% - Accent3 9 2 6 3" xfId="17768" xr:uid="{00000000-0005-0000-0000-000016150000}"/>
    <cellStyle name="20% - Accent3 9 2 7" xfId="13806" xr:uid="{00000000-0005-0000-0000-000017150000}"/>
    <cellStyle name="20% - Accent3 9 2 8" xfId="17757" xr:uid="{00000000-0005-0000-0000-000018150000}"/>
    <cellStyle name="20% - Accent3 9 2_Volatility" xfId="2511" xr:uid="{00000000-0005-0000-0000-000019150000}"/>
    <cellStyle name="20% - Accent3 9 3" xfId="2512" xr:uid="{00000000-0005-0000-0000-00001A150000}"/>
    <cellStyle name="20% - Accent3 9 3 2" xfId="2513" xr:uid="{00000000-0005-0000-0000-00001B150000}"/>
    <cellStyle name="20% - Accent3 9 3 2 2" xfId="2514" xr:uid="{00000000-0005-0000-0000-00001C150000}"/>
    <cellStyle name="20% - Accent3 9 3 2 2 2" xfId="13820" xr:uid="{00000000-0005-0000-0000-00001D150000}"/>
    <cellStyle name="20% - Accent3 9 3 2 2 3" xfId="17771" xr:uid="{00000000-0005-0000-0000-00001E150000}"/>
    <cellStyle name="20% - Accent3 9 3 2 3" xfId="2515" xr:uid="{00000000-0005-0000-0000-00001F150000}"/>
    <cellStyle name="20% - Accent3 9 3 2 3 2" xfId="13821" xr:uid="{00000000-0005-0000-0000-000020150000}"/>
    <cellStyle name="20% - Accent3 9 3 2 3 3" xfId="17772" xr:uid="{00000000-0005-0000-0000-000021150000}"/>
    <cellStyle name="20% - Accent3 9 3 2 4" xfId="13819" xr:uid="{00000000-0005-0000-0000-000022150000}"/>
    <cellStyle name="20% - Accent3 9 3 2 5" xfId="17770" xr:uid="{00000000-0005-0000-0000-000023150000}"/>
    <cellStyle name="20% - Accent3 9 3 3" xfId="2516" xr:uid="{00000000-0005-0000-0000-000024150000}"/>
    <cellStyle name="20% - Accent3 9 3 3 2" xfId="2517" xr:uid="{00000000-0005-0000-0000-000025150000}"/>
    <cellStyle name="20% - Accent3 9 3 3 2 2" xfId="13823" xr:uid="{00000000-0005-0000-0000-000026150000}"/>
    <cellStyle name="20% - Accent3 9 3 3 2 3" xfId="17774" xr:uid="{00000000-0005-0000-0000-000027150000}"/>
    <cellStyle name="20% - Accent3 9 3 3 3" xfId="2518" xr:uid="{00000000-0005-0000-0000-000028150000}"/>
    <cellStyle name="20% - Accent3 9 3 3 3 2" xfId="13824" xr:uid="{00000000-0005-0000-0000-000029150000}"/>
    <cellStyle name="20% - Accent3 9 3 3 3 3" xfId="17775" xr:uid="{00000000-0005-0000-0000-00002A150000}"/>
    <cellStyle name="20% - Accent3 9 3 3 4" xfId="13822" xr:uid="{00000000-0005-0000-0000-00002B150000}"/>
    <cellStyle name="20% - Accent3 9 3 3 5" xfId="17773" xr:uid="{00000000-0005-0000-0000-00002C150000}"/>
    <cellStyle name="20% - Accent3 9 3 4" xfId="2519" xr:uid="{00000000-0005-0000-0000-00002D150000}"/>
    <cellStyle name="20% - Accent3 9 3 4 2" xfId="13825" xr:uid="{00000000-0005-0000-0000-00002E150000}"/>
    <cellStyle name="20% - Accent3 9 3 4 3" xfId="17776" xr:uid="{00000000-0005-0000-0000-00002F150000}"/>
    <cellStyle name="20% - Accent3 9 3 5" xfId="2520" xr:uid="{00000000-0005-0000-0000-000030150000}"/>
    <cellStyle name="20% - Accent3 9 3 5 2" xfId="13826" xr:uid="{00000000-0005-0000-0000-000031150000}"/>
    <cellStyle name="20% - Accent3 9 3 5 3" xfId="17777" xr:uid="{00000000-0005-0000-0000-000032150000}"/>
    <cellStyle name="20% - Accent3 9 3 6" xfId="13818" xr:uid="{00000000-0005-0000-0000-000033150000}"/>
    <cellStyle name="20% - Accent3 9 3 7" xfId="17769" xr:uid="{00000000-0005-0000-0000-000034150000}"/>
    <cellStyle name="20% - Accent3 9 3_Volatility" xfId="2521" xr:uid="{00000000-0005-0000-0000-000035150000}"/>
    <cellStyle name="20% - Accent3 9 4" xfId="2522" xr:uid="{00000000-0005-0000-0000-000036150000}"/>
    <cellStyle name="20% - Accent3 9 4 2" xfId="2523" xr:uid="{00000000-0005-0000-0000-000037150000}"/>
    <cellStyle name="20% - Accent3 9 4 2 2" xfId="13828" xr:uid="{00000000-0005-0000-0000-000038150000}"/>
    <cellStyle name="20% - Accent3 9 4 2 3" xfId="17779" xr:uid="{00000000-0005-0000-0000-000039150000}"/>
    <cellStyle name="20% - Accent3 9 4 3" xfId="2524" xr:uid="{00000000-0005-0000-0000-00003A150000}"/>
    <cellStyle name="20% - Accent3 9 4 3 2" xfId="13829" xr:uid="{00000000-0005-0000-0000-00003B150000}"/>
    <cellStyle name="20% - Accent3 9 4 3 3" xfId="17780" xr:uid="{00000000-0005-0000-0000-00003C150000}"/>
    <cellStyle name="20% - Accent3 9 4 4" xfId="13827" xr:uid="{00000000-0005-0000-0000-00003D150000}"/>
    <cellStyle name="20% - Accent3 9 4 5" xfId="17778" xr:uid="{00000000-0005-0000-0000-00003E150000}"/>
    <cellStyle name="20% - Accent3 9 5" xfId="2525" xr:uid="{00000000-0005-0000-0000-00003F150000}"/>
    <cellStyle name="20% - Accent3 9 5 2" xfId="2526" xr:uid="{00000000-0005-0000-0000-000040150000}"/>
    <cellStyle name="20% - Accent3 9 5 2 2" xfId="13831" xr:uid="{00000000-0005-0000-0000-000041150000}"/>
    <cellStyle name="20% - Accent3 9 5 2 3" xfId="17782" xr:uid="{00000000-0005-0000-0000-000042150000}"/>
    <cellStyle name="20% - Accent3 9 5 3" xfId="2527" xr:uid="{00000000-0005-0000-0000-000043150000}"/>
    <cellStyle name="20% - Accent3 9 5 3 2" xfId="13832" xr:uid="{00000000-0005-0000-0000-000044150000}"/>
    <cellStyle name="20% - Accent3 9 5 3 3" xfId="17783" xr:uid="{00000000-0005-0000-0000-000045150000}"/>
    <cellStyle name="20% - Accent3 9 5 4" xfId="13830" xr:uid="{00000000-0005-0000-0000-000046150000}"/>
    <cellStyle name="20% - Accent3 9 5 5" xfId="17781" xr:uid="{00000000-0005-0000-0000-000047150000}"/>
    <cellStyle name="20% - Accent3 9 6" xfId="2528" xr:uid="{00000000-0005-0000-0000-000048150000}"/>
    <cellStyle name="20% - Accent3 9 6 2" xfId="2529" xr:uid="{00000000-0005-0000-0000-000049150000}"/>
    <cellStyle name="20% - Accent3 9 6 2 2" xfId="13834" xr:uid="{00000000-0005-0000-0000-00004A150000}"/>
    <cellStyle name="20% - Accent3 9 6 2 3" xfId="17785" xr:uid="{00000000-0005-0000-0000-00004B150000}"/>
    <cellStyle name="20% - Accent3 9 6 3" xfId="2530" xr:uid="{00000000-0005-0000-0000-00004C150000}"/>
    <cellStyle name="20% - Accent3 9 6 3 2" xfId="13835" xr:uid="{00000000-0005-0000-0000-00004D150000}"/>
    <cellStyle name="20% - Accent3 9 6 3 3" xfId="17786" xr:uid="{00000000-0005-0000-0000-00004E150000}"/>
    <cellStyle name="20% - Accent3 9 6 4" xfId="13833" xr:uid="{00000000-0005-0000-0000-00004F150000}"/>
    <cellStyle name="20% - Accent3 9 6 5" xfId="17784" xr:uid="{00000000-0005-0000-0000-000050150000}"/>
    <cellStyle name="20% - Accent3 9 7" xfId="2531" xr:uid="{00000000-0005-0000-0000-000051150000}"/>
    <cellStyle name="20% - Accent3 9 7 2" xfId="13836" xr:uid="{00000000-0005-0000-0000-000052150000}"/>
    <cellStyle name="20% - Accent3 9 7 3" xfId="17787" xr:uid="{00000000-0005-0000-0000-000053150000}"/>
    <cellStyle name="20% - Accent3 9 8" xfId="2532" xr:uid="{00000000-0005-0000-0000-000054150000}"/>
    <cellStyle name="20% - Accent3 9 8 2" xfId="13837" xr:uid="{00000000-0005-0000-0000-000055150000}"/>
    <cellStyle name="20% - Accent3 9 8 3" xfId="17788" xr:uid="{00000000-0005-0000-0000-000056150000}"/>
    <cellStyle name="20% - Accent3 9 9" xfId="13805" xr:uid="{00000000-0005-0000-0000-000057150000}"/>
    <cellStyle name="20% - Accent3 9_Volatility" xfId="2533" xr:uid="{00000000-0005-0000-0000-000058150000}"/>
    <cellStyle name="20% - Accent4 10" xfId="2534" xr:uid="{00000000-0005-0000-0000-000059150000}"/>
    <cellStyle name="20% - Accent4 10 10" xfId="17789" xr:uid="{00000000-0005-0000-0000-00005A150000}"/>
    <cellStyle name="20% - Accent4 10 2" xfId="2535" xr:uid="{00000000-0005-0000-0000-00005B150000}"/>
    <cellStyle name="20% - Accent4 10 2 2" xfId="2536" xr:uid="{00000000-0005-0000-0000-00005C150000}"/>
    <cellStyle name="20% - Accent4 10 2 2 2" xfId="2537" xr:uid="{00000000-0005-0000-0000-00005D150000}"/>
    <cellStyle name="20% - Accent4 10 2 2 2 2" xfId="13841" xr:uid="{00000000-0005-0000-0000-00005E150000}"/>
    <cellStyle name="20% - Accent4 10 2 2 2 3" xfId="17792" xr:uid="{00000000-0005-0000-0000-00005F150000}"/>
    <cellStyle name="20% - Accent4 10 2 2 3" xfId="2538" xr:uid="{00000000-0005-0000-0000-000060150000}"/>
    <cellStyle name="20% - Accent4 10 2 2 3 2" xfId="13842" xr:uid="{00000000-0005-0000-0000-000061150000}"/>
    <cellStyle name="20% - Accent4 10 2 2 3 3" xfId="17793" xr:uid="{00000000-0005-0000-0000-000062150000}"/>
    <cellStyle name="20% - Accent4 10 2 2 4" xfId="13840" xr:uid="{00000000-0005-0000-0000-000063150000}"/>
    <cellStyle name="20% - Accent4 10 2 2 5" xfId="17791" xr:uid="{00000000-0005-0000-0000-000064150000}"/>
    <cellStyle name="20% - Accent4 10 2 3" xfId="2539" xr:uid="{00000000-0005-0000-0000-000065150000}"/>
    <cellStyle name="20% - Accent4 10 2 3 2" xfId="2540" xr:uid="{00000000-0005-0000-0000-000066150000}"/>
    <cellStyle name="20% - Accent4 10 2 3 2 2" xfId="13844" xr:uid="{00000000-0005-0000-0000-000067150000}"/>
    <cellStyle name="20% - Accent4 10 2 3 2 3" xfId="17795" xr:uid="{00000000-0005-0000-0000-000068150000}"/>
    <cellStyle name="20% - Accent4 10 2 3 3" xfId="2541" xr:uid="{00000000-0005-0000-0000-000069150000}"/>
    <cellStyle name="20% - Accent4 10 2 3 3 2" xfId="13845" xr:uid="{00000000-0005-0000-0000-00006A150000}"/>
    <cellStyle name="20% - Accent4 10 2 3 3 3" xfId="17796" xr:uid="{00000000-0005-0000-0000-00006B150000}"/>
    <cellStyle name="20% - Accent4 10 2 3 4" xfId="13843" xr:uid="{00000000-0005-0000-0000-00006C150000}"/>
    <cellStyle name="20% - Accent4 10 2 3 5" xfId="17794" xr:uid="{00000000-0005-0000-0000-00006D150000}"/>
    <cellStyle name="20% - Accent4 10 2 4" xfId="2542" xr:uid="{00000000-0005-0000-0000-00006E150000}"/>
    <cellStyle name="20% - Accent4 10 2 4 2" xfId="2543" xr:uid="{00000000-0005-0000-0000-00006F150000}"/>
    <cellStyle name="20% - Accent4 10 2 4 2 2" xfId="13847" xr:uid="{00000000-0005-0000-0000-000070150000}"/>
    <cellStyle name="20% - Accent4 10 2 4 2 3" xfId="17798" xr:uid="{00000000-0005-0000-0000-000071150000}"/>
    <cellStyle name="20% - Accent4 10 2 4 3" xfId="2544" xr:uid="{00000000-0005-0000-0000-000072150000}"/>
    <cellStyle name="20% - Accent4 10 2 4 3 2" xfId="13848" xr:uid="{00000000-0005-0000-0000-000073150000}"/>
    <cellStyle name="20% - Accent4 10 2 4 3 3" xfId="17799" xr:uid="{00000000-0005-0000-0000-000074150000}"/>
    <cellStyle name="20% - Accent4 10 2 4 4" xfId="13846" xr:uid="{00000000-0005-0000-0000-000075150000}"/>
    <cellStyle name="20% - Accent4 10 2 4 5" xfId="17797" xr:uid="{00000000-0005-0000-0000-000076150000}"/>
    <cellStyle name="20% - Accent4 10 2 5" xfId="2545" xr:uid="{00000000-0005-0000-0000-000077150000}"/>
    <cellStyle name="20% - Accent4 10 2 5 2" xfId="13849" xr:uid="{00000000-0005-0000-0000-000078150000}"/>
    <cellStyle name="20% - Accent4 10 2 5 3" xfId="17800" xr:uid="{00000000-0005-0000-0000-000079150000}"/>
    <cellStyle name="20% - Accent4 10 2 6" xfId="2546" xr:uid="{00000000-0005-0000-0000-00007A150000}"/>
    <cellStyle name="20% - Accent4 10 2 6 2" xfId="13850" xr:uid="{00000000-0005-0000-0000-00007B150000}"/>
    <cellStyle name="20% - Accent4 10 2 6 3" xfId="17801" xr:uid="{00000000-0005-0000-0000-00007C150000}"/>
    <cellStyle name="20% - Accent4 10 2 7" xfId="13839" xr:uid="{00000000-0005-0000-0000-00007D150000}"/>
    <cellStyle name="20% - Accent4 10 2 8" xfId="17790" xr:uid="{00000000-0005-0000-0000-00007E150000}"/>
    <cellStyle name="20% - Accent4 10 2_Volatility" xfId="2547" xr:uid="{00000000-0005-0000-0000-00007F150000}"/>
    <cellStyle name="20% - Accent4 10 3" xfId="2548" xr:uid="{00000000-0005-0000-0000-000080150000}"/>
    <cellStyle name="20% - Accent4 10 3 2" xfId="2549" xr:uid="{00000000-0005-0000-0000-000081150000}"/>
    <cellStyle name="20% - Accent4 10 3 2 2" xfId="2550" xr:uid="{00000000-0005-0000-0000-000082150000}"/>
    <cellStyle name="20% - Accent4 10 3 2 2 2" xfId="13853" xr:uid="{00000000-0005-0000-0000-000083150000}"/>
    <cellStyle name="20% - Accent4 10 3 2 2 3" xfId="17804" xr:uid="{00000000-0005-0000-0000-000084150000}"/>
    <cellStyle name="20% - Accent4 10 3 2 3" xfId="2551" xr:uid="{00000000-0005-0000-0000-000085150000}"/>
    <cellStyle name="20% - Accent4 10 3 2 3 2" xfId="13854" xr:uid="{00000000-0005-0000-0000-000086150000}"/>
    <cellStyle name="20% - Accent4 10 3 2 3 3" xfId="17805" xr:uid="{00000000-0005-0000-0000-000087150000}"/>
    <cellStyle name="20% - Accent4 10 3 2 4" xfId="13852" xr:uid="{00000000-0005-0000-0000-000088150000}"/>
    <cellStyle name="20% - Accent4 10 3 2 5" xfId="17803" xr:uid="{00000000-0005-0000-0000-000089150000}"/>
    <cellStyle name="20% - Accent4 10 3 3" xfId="2552" xr:uid="{00000000-0005-0000-0000-00008A150000}"/>
    <cellStyle name="20% - Accent4 10 3 3 2" xfId="2553" xr:uid="{00000000-0005-0000-0000-00008B150000}"/>
    <cellStyle name="20% - Accent4 10 3 3 2 2" xfId="13856" xr:uid="{00000000-0005-0000-0000-00008C150000}"/>
    <cellStyle name="20% - Accent4 10 3 3 2 3" xfId="17807" xr:uid="{00000000-0005-0000-0000-00008D150000}"/>
    <cellStyle name="20% - Accent4 10 3 3 3" xfId="2554" xr:uid="{00000000-0005-0000-0000-00008E150000}"/>
    <cellStyle name="20% - Accent4 10 3 3 3 2" xfId="13857" xr:uid="{00000000-0005-0000-0000-00008F150000}"/>
    <cellStyle name="20% - Accent4 10 3 3 3 3" xfId="17808" xr:uid="{00000000-0005-0000-0000-000090150000}"/>
    <cellStyle name="20% - Accent4 10 3 3 4" xfId="13855" xr:uid="{00000000-0005-0000-0000-000091150000}"/>
    <cellStyle name="20% - Accent4 10 3 3 5" xfId="17806" xr:uid="{00000000-0005-0000-0000-000092150000}"/>
    <cellStyle name="20% - Accent4 10 3 4" xfId="2555" xr:uid="{00000000-0005-0000-0000-000093150000}"/>
    <cellStyle name="20% - Accent4 10 3 4 2" xfId="13858" xr:uid="{00000000-0005-0000-0000-000094150000}"/>
    <cellStyle name="20% - Accent4 10 3 4 3" xfId="17809" xr:uid="{00000000-0005-0000-0000-000095150000}"/>
    <cellStyle name="20% - Accent4 10 3 5" xfId="2556" xr:uid="{00000000-0005-0000-0000-000096150000}"/>
    <cellStyle name="20% - Accent4 10 3 5 2" xfId="13859" xr:uid="{00000000-0005-0000-0000-000097150000}"/>
    <cellStyle name="20% - Accent4 10 3 5 3" xfId="17810" xr:uid="{00000000-0005-0000-0000-000098150000}"/>
    <cellStyle name="20% - Accent4 10 3 6" xfId="13851" xr:uid="{00000000-0005-0000-0000-000099150000}"/>
    <cellStyle name="20% - Accent4 10 3 7" xfId="17802" xr:uid="{00000000-0005-0000-0000-00009A150000}"/>
    <cellStyle name="20% - Accent4 10 3_Volatility" xfId="2557" xr:uid="{00000000-0005-0000-0000-00009B150000}"/>
    <cellStyle name="20% - Accent4 10 4" xfId="2558" xr:uid="{00000000-0005-0000-0000-00009C150000}"/>
    <cellStyle name="20% - Accent4 10 4 2" xfId="2559" xr:uid="{00000000-0005-0000-0000-00009D150000}"/>
    <cellStyle name="20% - Accent4 10 4 2 2" xfId="13861" xr:uid="{00000000-0005-0000-0000-00009E150000}"/>
    <cellStyle name="20% - Accent4 10 4 2 3" xfId="17812" xr:uid="{00000000-0005-0000-0000-00009F150000}"/>
    <cellStyle name="20% - Accent4 10 4 3" xfId="2560" xr:uid="{00000000-0005-0000-0000-0000A0150000}"/>
    <cellStyle name="20% - Accent4 10 4 3 2" xfId="13862" xr:uid="{00000000-0005-0000-0000-0000A1150000}"/>
    <cellStyle name="20% - Accent4 10 4 3 3" xfId="17813" xr:uid="{00000000-0005-0000-0000-0000A2150000}"/>
    <cellStyle name="20% - Accent4 10 4 4" xfId="13860" xr:uid="{00000000-0005-0000-0000-0000A3150000}"/>
    <cellStyle name="20% - Accent4 10 4 5" xfId="17811" xr:uid="{00000000-0005-0000-0000-0000A4150000}"/>
    <cellStyle name="20% - Accent4 10 5" xfId="2561" xr:uid="{00000000-0005-0000-0000-0000A5150000}"/>
    <cellStyle name="20% - Accent4 10 5 2" xfId="2562" xr:uid="{00000000-0005-0000-0000-0000A6150000}"/>
    <cellStyle name="20% - Accent4 10 5 2 2" xfId="13864" xr:uid="{00000000-0005-0000-0000-0000A7150000}"/>
    <cellStyle name="20% - Accent4 10 5 2 3" xfId="17815" xr:uid="{00000000-0005-0000-0000-0000A8150000}"/>
    <cellStyle name="20% - Accent4 10 5 3" xfId="2563" xr:uid="{00000000-0005-0000-0000-0000A9150000}"/>
    <cellStyle name="20% - Accent4 10 5 3 2" xfId="13865" xr:uid="{00000000-0005-0000-0000-0000AA150000}"/>
    <cellStyle name="20% - Accent4 10 5 3 3" xfId="17816" xr:uid="{00000000-0005-0000-0000-0000AB150000}"/>
    <cellStyle name="20% - Accent4 10 5 4" xfId="13863" xr:uid="{00000000-0005-0000-0000-0000AC150000}"/>
    <cellStyle name="20% - Accent4 10 5 5" xfId="17814" xr:uid="{00000000-0005-0000-0000-0000AD150000}"/>
    <cellStyle name="20% - Accent4 10 6" xfId="2564" xr:uid="{00000000-0005-0000-0000-0000AE150000}"/>
    <cellStyle name="20% - Accent4 10 6 2" xfId="2565" xr:uid="{00000000-0005-0000-0000-0000AF150000}"/>
    <cellStyle name="20% - Accent4 10 6 2 2" xfId="13867" xr:uid="{00000000-0005-0000-0000-0000B0150000}"/>
    <cellStyle name="20% - Accent4 10 6 2 3" xfId="17818" xr:uid="{00000000-0005-0000-0000-0000B1150000}"/>
    <cellStyle name="20% - Accent4 10 6 3" xfId="2566" xr:uid="{00000000-0005-0000-0000-0000B2150000}"/>
    <cellStyle name="20% - Accent4 10 6 3 2" xfId="13868" xr:uid="{00000000-0005-0000-0000-0000B3150000}"/>
    <cellStyle name="20% - Accent4 10 6 3 3" xfId="17819" xr:uid="{00000000-0005-0000-0000-0000B4150000}"/>
    <cellStyle name="20% - Accent4 10 6 4" xfId="13866" xr:uid="{00000000-0005-0000-0000-0000B5150000}"/>
    <cellStyle name="20% - Accent4 10 6 5" xfId="17817" xr:uid="{00000000-0005-0000-0000-0000B6150000}"/>
    <cellStyle name="20% - Accent4 10 7" xfId="2567" xr:uid="{00000000-0005-0000-0000-0000B7150000}"/>
    <cellStyle name="20% - Accent4 10 7 2" xfId="13869" xr:uid="{00000000-0005-0000-0000-0000B8150000}"/>
    <cellStyle name="20% - Accent4 10 7 3" xfId="17820" xr:uid="{00000000-0005-0000-0000-0000B9150000}"/>
    <cellStyle name="20% - Accent4 10 8" xfId="2568" xr:uid="{00000000-0005-0000-0000-0000BA150000}"/>
    <cellStyle name="20% - Accent4 10 8 2" xfId="13870" xr:uid="{00000000-0005-0000-0000-0000BB150000}"/>
    <cellStyle name="20% - Accent4 10 8 3" xfId="17821" xr:uid="{00000000-0005-0000-0000-0000BC150000}"/>
    <cellStyle name="20% - Accent4 10 9" xfId="13838" xr:uid="{00000000-0005-0000-0000-0000BD150000}"/>
    <cellStyle name="20% - Accent4 10_Volatility" xfId="2569" xr:uid="{00000000-0005-0000-0000-0000BE150000}"/>
    <cellStyle name="20% - Accent4 11" xfId="2570" xr:uid="{00000000-0005-0000-0000-0000BF150000}"/>
    <cellStyle name="20% - Accent4 11 10" xfId="17822" xr:uid="{00000000-0005-0000-0000-0000C0150000}"/>
    <cellStyle name="20% - Accent4 11 2" xfId="2571" xr:uid="{00000000-0005-0000-0000-0000C1150000}"/>
    <cellStyle name="20% - Accent4 11 2 2" xfId="2572" xr:uid="{00000000-0005-0000-0000-0000C2150000}"/>
    <cellStyle name="20% - Accent4 11 2 2 2" xfId="2573" xr:uid="{00000000-0005-0000-0000-0000C3150000}"/>
    <cellStyle name="20% - Accent4 11 2 2 2 2" xfId="13874" xr:uid="{00000000-0005-0000-0000-0000C4150000}"/>
    <cellStyle name="20% - Accent4 11 2 2 2 3" xfId="17825" xr:uid="{00000000-0005-0000-0000-0000C5150000}"/>
    <cellStyle name="20% - Accent4 11 2 2 3" xfId="2574" xr:uid="{00000000-0005-0000-0000-0000C6150000}"/>
    <cellStyle name="20% - Accent4 11 2 2 3 2" xfId="13875" xr:uid="{00000000-0005-0000-0000-0000C7150000}"/>
    <cellStyle name="20% - Accent4 11 2 2 3 3" xfId="17826" xr:uid="{00000000-0005-0000-0000-0000C8150000}"/>
    <cellStyle name="20% - Accent4 11 2 2 4" xfId="13873" xr:uid="{00000000-0005-0000-0000-0000C9150000}"/>
    <cellStyle name="20% - Accent4 11 2 2 5" xfId="17824" xr:uid="{00000000-0005-0000-0000-0000CA150000}"/>
    <cellStyle name="20% - Accent4 11 2 3" xfId="2575" xr:uid="{00000000-0005-0000-0000-0000CB150000}"/>
    <cellStyle name="20% - Accent4 11 2 3 2" xfId="2576" xr:uid="{00000000-0005-0000-0000-0000CC150000}"/>
    <cellStyle name="20% - Accent4 11 2 3 2 2" xfId="13877" xr:uid="{00000000-0005-0000-0000-0000CD150000}"/>
    <cellStyle name="20% - Accent4 11 2 3 2 3" xfId="17828" xr:uid="{00000000-0005-0000-0000-0000CE150000}"/>
    <cellStyle name="20% - Accent4 11 2 3 3" xfId="2577" xr:uid="{00000000-0005-0000-0000-0000CF150000}"/>
    <cellStyle name="20% - Accent4 11 2 3 3 2" xfId="13878" xr:uid="{00000000-0005-0000-0000-0000D0150000}"/>
    <cellStyle name="20% - Accent4 11 2 3 3 3" xfId="17829" xr:uid="{00000000-0005-0000-0000-0000D1150000}"/>
    <cellStyle name="20% - Accent4 11 2 3 4" xfId="13876" xr:uid="{00000000-0005-0000-0000-0000D2150000}"/>
    <cellStyle name="20% - Accent4 11 2 3 5" xfId="17827" xr:uid="{00000000-0005-0000-0000-0000D3150000}"/>
    <cellStyle name="20% - Accent4 11 2 4" xfId="2578" xr:uid="{00000000-0005-0000-0000-0000D4150000}"/>
    <cellStyle name="20% - Accent4 11 2 4 2" xfId="2579" xr:uid="{00000000-0005-0000-0000-0000D5150000}"/>
    <cellStyle name="20% - Accent4 11 2 4 2 2" xfId="13880" xr:uid="{00000000-0005-0000-0000-0000D6150000}"/>
    <cellStyle name="20% - Accent4 11 2 4 2 3" xfId="17831" xr:uid="{00000000-0005-0000-0000-0000D7150000}"/>
    <cellStyle name="20% - Accent4 11 2 4 3" xfId="2580" xr:uid="{00000000-0005-0000-0000-0000D8150000}"/>
    <cellStyle name="20% - Accent4 11 2 4 3 2" xfId="13881" xr:uid="{00000000-0005-0000-0000-0000D9150000}"/>
    <cellStyle name="20% - Accent4 11 2 4 3 3" xfId="17832" xr:uid="{00000000-0005-0000-0000-0000DA150000}"/>
    <cellStyle name="20% - Accent4 11 2 4 4" xfId="13879" xr:uid="{00000000-0005-0000-0000-0000DB150000}"/>
    <cellStyle name="20% - Accent4 11 2 4 5" xfId="17830" xr:uid="{00000000-0005-0000-0000-0000DC150000}"/>
    <cellStyle name="20% - Accent4 11 2 5" xfId="2581" xr:uid="{00000000-0005-0000-0000-0000DD150000}"/>
    <cellStyle name="20% - Accent4 11 2 5 2" xfId="13882" xr:uid="{00000000-0005-0000-0000-0000DE150000}"/>
    <cellStyle name="20% - Accent4 11 2 5 3" xfId="17833" xr:uid="{00000000-0005-0000-0000-0000DF150000}"/>
    <cellStyle name="20% - Accent4 11 2 6" xfId="2582" xr:uid="{00000000-0005-0000-0000-0000E0150000}"/>
    <cellStyle name="20% - Accent4 11 2 6 2" xfId="13883" xr:uid="{00000000-0005-0000-0000-0000E1150000}"/>
    <cellStyle name="20% - Accent4 11 2 6 3" xfId="17834" xr:uid="{00000000-0005-0000-0000-0000E2150000}"/>
    <cellStyle name="20% - Accent4 11 2 7" xfId="13872" xr:uid="{00000000-0005-0000-0000-0000E3150000}"/>
    <cellStyle name="20% - Accent4 11 2 8" xfId="17823" xr:uid="{00000000-0005-0000-0000-0000E4150000}"/>
    <cellStyle name="20% - Accent4 11 2_Volatility" xfId="2583" xr:uid="{00000000-0005-0000-0000-0000E5150000}"/>
    <cellStyle name="20% - Accent4 11 3" xfId="2584" xr:uid="{00000000-0005-0000-0000-0000E6150000}"/>
    <cellStyle name="20% - Accent4 11 3 2" xfId="2585" xr:uid="{00000000-0005-0000-0000-0000E7150000}"/>
    <cellStyle name="20% - Accent4 11 3 2 2" xfId="2586" xr:uid="{00000000-0005-0000-0000-0000E8150000}"/>
    <cellStyle name="20% - Accent4 11 3 2 2 2" xfId="13886" xr:uid="{00000000-0005-0000-0000-0000E9150000}"/>
    <cellStyle name="20% - Accent4 11 3 2 2 3" xfId="17837" xr:uid="{00000000-0005-0000-0000-0000EA150000}"/>
    <cellStyle name="20% - Accent4 11 3 2 3" xfId="2587" xr:uid="{00000000-0005-0000-0000-0000EB150000}"/>
    <cellStyle name="20% - Accent4 11 3 2 3 2" xfId="13887" xr:uid="{00000000-0005-0000-0000-0000EC150000}"/>
    <cellStyle name="20% - Accent4 11 3 2 3 3" xfId="17838" xr:uid="{00000000-0005-0000-0000-0000ED150000}"/>
    <cellStyle name="20% - Accent4 11 3 2 4" xfId="13885" xr:uid="{00000000-0005-0000-0000-0000EE150000}"/>
    <cellStyle name="20% - Accent4 11 3 2 5" xfId="17836" xr:uid="{00000000-0005-0000-0000-0000EF150000}"/>
    <cellStyle name="20% - Accent4 11 3 3" xfId="2588" xr:uid="{00000000-0005-0000-0000-0000F0150000}"/>
    <cellStyle name="20% - Accent4 11 3 3 2" xfId="2589" xr:uid="{00000000-0005-0000-0000-0000F1150000}"/>
    <cellStyle name="20% - Accent4 11 3 3 2 2" xfId="13889" xr:uid="{00000000-0005-0000-0000-0000F2150000}"/>
    <cellStyle name="20% - Accent4 11 3 3 2 3" xfId="17840" xr:uid="{00000000-0005-0000-0000-0000F3150000}"/>
    <cellStyle name="20% - Accent4 11 3 3 3" xfId="2590" xr:uid="{00000000-0005-0000-0000-0000F4150000}"/>
    <cellStyle name="20% - Accent4 11 3 3 3 2" xfId="13890" xr:uid="{00000000-0005-0000-0000-0000F5150000}"/>
    <cellStyle name="20% - Accent4 11 3 3 3 3" xfId="17841" xr:uid="{00000000-0005-0000-0000-0000F6150000}"/>
    <cellStyle name="20% - Accent4 11 3 3 4" xfId="13888" xr:uid="{00000000-0005-0000-0000-0000F7150000}"/>
    <cellStyle name="20% - Accent4 11 3 3 5" xfId="17839" xr:uid="{00000000-0005-0000-0000-0000F8150000}"/>
    <cellStyle name="20% - Accent4 11 3 4" xfId="2591" xr:uid="{00000000-0005-0000-0000-0000F9150000}"/>
    <cellStyle name="20% - Accent4 11 3 4 2" xfId="13891" xr:uid="{00000000-0005-0000-0000-0000FA150000}"/>
    <cellStyle name="20% - Accent4 11 3 4 3" xfId="17842" xr:uid="{00000000-0005-0000-0000-0000FB150000}"/>
    <cellStyle name="20% - Accent4 11 3 5" xfId="2592" xr:uid="{00000000-0005-0000-0000-0000FC150000}"/>
    <cellStyle name="20% - Accent4 11 3 5 2" xfId="13892" xr:uid="{00000000-0005-0000-0000-0000FD150000}"/>
    <cellStyle name="20% - Accent4 11 3 5 3" xfId="17843" xr:uid="{00000000-0005-0000-0000-0000FE150000}"/>
    <cellStyle name="20% - Accent4 11 3 6" xfId="13884" xr:uid="{00000000-0005-0000-0000-0000FF150000}"/>
    <cellStyle name="20% - Accent4 11 3 7" xfId="17835" xr:uid="{00000000-0005-0000-0000-000000160000}"/>
    <cellStyle name="20% - Accent4 11 3_Volatility" xfId="2593" xr:uid="{00000000-0005-0000-0000-000001160000}"/>
    <cellStyle name="20% - Accent4 11 4" xfId="2594" xr:uid="{00000000-0005-0000-0000-000002160000}"/>
    <cellStyle name="20% - Accent4 11 4 2" xfId="2595" xr:uid="{00000000-0005-0000-0000-000003160000}"/>
    <cellStyle name="20% - Accent4 11 4 2 2" xfId="13894" xr:uid="{00000000-0005-0000-0000-000004160000}"/>
    <cellStyle name="20% - Accent4 11 4 2 3" xfId="17845" xr:uid="{00000000-0005-0000-0000-000005160000}"/>
    <cellStyle name="20% - Accent4 11 4 3" xfId="2596" xr:uid="{00000000-0005-0000-0000-000006160000}"/>
    <cellStyle name="20% - Accent4 11 4 3 2" xfId="13895" xr:uid="{00000000-0005-0000-0000-000007160000}"/>
    <cellStyle name="20% - Accent4 11 4 3 3" xfId="17846" xr:uid="{00000000-0005-0000-0000-000008160000}"/>
    <cellStyle name="20% - Accent4 11 4 4" xfId="13893" xr:uid="{00000000-0005-0000-0000-000009160000}"/>
    <cellStyle name="20% - Accent4 11 4 5" xfId="17844" xr:uid="{00000000-0005-0000-0000-00000A160000}"/>
    <cellStyle name="20% - Accent4 11 5" xfId="2597" xr:uid="{00000000-0005-0000-0000-00000B160000}"/>
    <cellStyle name="20% - Accent4 11 5 2" xfId="2598" xr:uid="{00000000-0005-0000-0000-00000C160000}"/>
    <cellStyle name="20% - Accent4 11 5 2 2" xfId="13897" xr:uid="{00000000-0005-0000-0000-00000D160000}"/>
    <cellStyle name="20% - Accent4 11 5 2 3" xfId="17848" xr:uid="{00000000-0005-0000-0000-00000E160000}"/>
    <cellStyle name="20% - Accent4 11 5 3" xfId="2599" xr:uid="{00000000-0005-0000-0000-00000F160000}"/>
    <cellStyle name="20% - Accent4 11 5 3 2" xfId="13898" xr:uid="{00000000-0005-0000-0000-000010160000}"/>
    <cellStyle name="20% - Accent4 11 5 3 3" xfId="17849" xr:uid="{00000000-0005-0000-0000-000011160000}"/>
    <cellStyle name="20% - Accent4 11 5 4" xfId="13896" xr:uid="{00000000-0005-0000-0000-000012160000}"/>
    <cellStyle name="20% - Accent4 11 5 5" xfId="17847" xr:uid="{00000000-0005-0000-0000-000013160000}"/>
    <cellStyle name="20% - Accent4 11 6" xfId="2600" xr:uid="{00000000-0005-0000-0000-000014160000}"/>
    <cellStyle name="20% - Accent4 11 6 2" xfId="2601" xr:uid="{00000000-0005-0000-0000-000015160000}"/>
    <cellStyle name="20% - Accent4 11 6 2 2" xfId="13900" xr:uid="{00000000-0005-0000-0000-000016160000}"/>
    <cellStyle name="20% - Accent4 11 6 2 3" xfId="17851" xr:uid="{00000000-0005-0000-0000-000017160000}"/>
    <cellStyle name="20% - Accent4 11 6 3" xfId="2602" xr:uid="{00000000-0005-0000-0000-000018160000}"/>
    <cellStyle name="20% - Accent4 11 6 3 2" xfId="13901" xr:uid="{00000000-0005-0000-0000-000019160000}"/>
    <cellStyle name="20% - Accent4 11 6 3 3" xfId="17852" xr:uid="{00000000-0005-0000-0000-00001A160000}"/>
    <cellStyle name="20% - Accent4 11 6 4" xfId="13899" xr:uid="{00000000-0005-0000-0000-00001B160000}"/>
    <cellStyle name="20% - Accent4 11 6 5" xfId="17850" xr:uid="{00000000-0005-0000-0000-00001C160000}"/>
    <cellStyle name="20% - Accent4 11 7" xfId="2603" xr:uid="{00000000-0005-0000-0000-00001D160000}"/>
    <cellStyle name="20% - Accent4 11 7 2" xfId="13902" xr:uid="{00000000-0005-0000-0000-00001E160000}"/>
    <cellStyle name="20% - Accent4 11 7 3" xfId="17853" xr:uid="{00000000-0005-0000-0000-00001F160000}"/>
    <cellStyle name="20% - Accent4 11 8" xfId="2604" xr:uid="{00000000-0005-0000-0000-000020160000}"/>
    <cellStyle name="20% - Accent4 11 8 2" xfId="13903" xr:uid="{00000000-0005-0000-0000-000021160000}"/>
    <cellStyle name="20% - Accent4 11 8 3" xfId="17854" xr:uid="{00000000-0005-0000-0000-000022160000}"/>
    <cellStyle name="20% - Accent4 11 9" xfId="13871" xr:uid="{00000000-0005-0000-0000-000023160000}"/>
    <cellStyle name="20% - Accent4 11_Volatility" xfId="2605" xr:uid="{00000000-0005-0000-0000-000024160000}"/>
    <cellStyle name="20% - Accent4 12" xfId="2606" xr:uid="{00000000-0005-0000-0000-000025160000}"/>
    <cellStyle name="20% - Accent4 12 10" xfId="17855" xr:uid="{00000000-0005-0000-0000-000026160000}"/>
    <cellStyle name="20% - Accent4 12 2" xfId="2607" xr:uid="{00000000-0005-0000-0000-000027160000}"/>
    <cellStyle name="20% - Accent4 12 2 2" xfId="2608" xr:uid="{00000000-0005-0000-0000-000028160000}"/>
    <cellStyle name="20% - Accent4 12 2 2 2" xfId="2609" xr:uid="{00000000-0005-0000-0000-000029160000}"/>
    <cellStyle name="20% - Accent4 12 2 2 2 2" xfId="13907" xr:uid="{00000000-0005-0000-0000-00002A160000}"/>
    <cellStyle name="20% - Accent4 12 2 2 2 3" xfId="17858" xr:uid="{00000000-0005-0000-0000-00002B160000}"/>
    <cellStyle name="20% - Accent4 12 2 2 3" xfId="2610" xr:uid="{00000000-0005-0000-0000-00002C160000}"/>
    <cellStyle name="20% - Accent4 12 2 2 3 2" xfId="13908" xr:uid="{00000000-0005-0000-0000-00002D160000}"/>
    <cellStyle name="20% - Accent4 12 2 2 3 3" xfId="17859" xr:uid="{00000000-0005-0000-0000-00002E160000}"/>
    <cellStyle name="20% - Accent4 12 2 2 4" xfId="13906" xr:uid="{00000000-0005-0000-0000-00002F160000}"/>
    <cellStyle name="20% - Accent4 12 2 2 5" xfId="17857" xr:uid="{00000000-0005-0000-0000-000030160000}"/>
    <cellStyle name="20% - Accent4 12 2 3" xfId="2611" xr:uid="{00000000-0005-0000-0000-000031160000}"/>
    <cellStyle name="20% - Accent4 12 2 3 2" xfId="2612" xr:uid="{00000000-0005-0000-0000-000032160000}"/>
    <cellStyle name="20% - Accent4 12 2 3 2 2" xfId="13910" xr:uid="{00000000-0005-0000-0000-000033160000}"/>
    <cellStyle name="20% - Accent4 12 2 3 2 3" xfId="17861" xr:uid="{00000000-0005-0000-0000-000034160000}"/>
    <cellStyle name="20% - Accent4 12 2 3 3" xfId="2613" xr:uid="{00000000-0005-0000-0000-000035160000}"/>
    <cellStyle name="20% - Accent4 12 2 3 3 2" xfId="13911" xr:uid="{00000000-0005-0000-0000-000036160000}"/>
    <cellStyle name="20% - Accent4 12 2 3 3 3" xfId="17862" xr:uid="{00000000-0005-0000-0000-000037160000}"/>
    <cellStyle name="20% - Accent4 12 2 3 4" xfId="13909" xr:uid="{00000000-0005-0000-0000-000038160000}"/>
    <cellStyle name="20% - Accent4 12 2 3 5" xfId="17860" xr:uid="{00000000-0005-0000-0000-000039160000}"/>
    <cellStyle name="20% - Accent4 12 2 4" xfId="2614" xr:uid="{00000000-0005-0000-0000-00003A160000}"/>
    <cellStyle name="20% - Accent4 12 2 4 2" xfId="2615" xr:uid="{00000000-0005-0000-0000-00003B160000}"/>
    <cellStyle name="20% - Accent4 12 2 4 2 2" xfId="13913" xr:uid="{00000000-0005-0000-0000-00003C160000}"/>
    <cellStyle name="20% - Accent4 12 2 4 2 3" xfId="17864" xr:uid="{00000000-0005-0000-0000-00003D160000}"/>
    <cellStyle name="20% - Accent4 12 2 4 3" xfId="2616" xr:uid="{00000000-0005-0000-0000-00003E160000}"/>
    <cellStyle name="20% - Accent4 12 2 4 3 2" xfId="13914" xr:uid="{00000000-0005-0000-0000-00003F160000}"/>
    <cellStyle name="20% - Accent4 12 2 4 3 3" xfId="17865" xr:uid="{00000000-0005-0000-0000-000040160000}"/>
    <cellStyle name="20% - Accent4 12 2 4 4" xfId="13912" xr:uid="{00000000-0005-0000-0000-000041160000}"/>
    <cellStyle name="20% - Accent4 12 2 4 5" xfId="17863" xr:uid="{00000000-0005-0000-0000-000042160000}"/>
    <cellStyle name="20% - Accent4 12 2 5" xfId="2617" xr:uid="{00000000-0005-0000-0000-000043160000}"/>
    <cellStyle name="20% - Accent4 12 2 5 2" xfId="13915" xr:uid="{00000000-0005-0000-0000-000044160000}"/>
    <cellStyle name="20% - Accent4 12 2 5 3" xfId="17866" xr:uid="{00000000-0005-0000-0000-000045160000}"/>
    <cellStyle name="20% - Accent4 12 2 6" xfId="2618" xr:uid="{00000000-0005-0000-0000-000046160000}"/>
    <cellStyle name="20% - Accent4 12 2 6 2" xfId="13916" xr:uid="{00000000-0005-0000-0000-000047160000}"/>
    <cellStyle name="20% - Accent4 12 2 6 3" xfId="17867" xr:uid="{00000000-0005-0000-0000-000048160000}"/>
    <cellStyle name="20% - Accent4 12 2 7" xfId="13905" xr:uid="{00000000-0005-0000-0000-000049160000}"/>
    <cellStyle name="20% - Accent4 12 2 8" xfId="17856" xr:uid="{00000000-0005-0000-0000-00004A160000}"/>
    <cellStyle name="20% - Accent4 12 2_Volatility" xfId="2619" xr:uid="{00000000-0005-0000-0000-00004B160000}"/>
    <cellStyle name="20% - Accent4 12 3" xfId="2620" xr:uid="{00000000-0005-0000-0000-00004C160000}"/>
    <cellStyle name="20% - Accent4 12 3 2" xfId="2621" xr:uid="{00000000-0005-0000-0000-00004D160000}"/>
    <cellStyle name="20% - Accent4 12 3 2 2" xfId="2622" xr:uid="{00000000-0005-0000-0000-00004E160000}"/>
    <cellStyle name="20% - Accent4 12 3 2 2 2" xfId="13919" xr:uid="{00000000-0005-0000-0000-00004F160000}"/>
    <cellStyle name="20% - Accent4 12 3 2 2 3" xfId="17870" xr:uid="{00000000-0005-0000-0000-000050160000}"/>
    <cellStyle name="20% - Accent4 12 3 2 3" xfId="2623" xr:uid="{00000000-0005-0000-0000-000051160000}"/>
    <cellStyle name="20% - Accent4 12 3 2 3 2" xfId="13920" xr:uid="{00000000-0005-0000-0000-000052160000}"/>
    <cellStyle name="20% - Accent4 12 3 2 3 3" xfId="17871" xr:uid="{00000000-0005-0000-0000-000053160000}"/>
    <cellStyle name="20% - Accent4 12 3 2 4" xfId="13918" xr:uid="{00000000-0005-0000-0000-000054160000}"/>
    <cellStyle name="20% - Accent4 12 3 2 5" xfId="17869" xr:uid="{00000000-0005-0000-0000-000055160000}"/>
    <cellStyle name="20% - Accent4 12 3 3" xfId="2624" xr:uid="{00000000-0005-0000-0000-000056160000}"/>
    <cellStyle name="20% - Accent4 12 3 3 2" xfId="2625" xr:uid="{00000000-0005-0000-0000-000057160000}"/>
    <cellStyle name="20% - Accent4 12 3 3 2 2" xfId="13922" xr:uid="{00000000-0005-0000-0000-000058160000}"/>
    <cellStyle name="20% - Accent4 12 3 3 2 3" xfId="17873" xr:uid="{00000000-0005-0000-0000-000059160000}"/>
    <cellStyle name="20% - Accent4 12 3 3 3" xfId="2626" xr:uid="{00000000-0005-0000-0000-00005A160000}"/>
    <cellStyle name="20% - Accent4 12 3 3 3 2" xfId="13923" xr:uid="{00000000-0005-0000-0000-00005B160000}"/>
    <cellStyle name="20% - Accent4 12 3 3 3 3" xfId="17874" xr:uid="{00000000-0005-0000-0000-00005C160000}"/>
    <cellStyle name="20% - Accent4 12 3 3 4" xfId="13921" xr:uid="{00000000-0005-0000-0000-00005D160000}"/>
    <cellStyle name="20% - Accent4 12 3 3 5" xfId="17872" xr:uid="{00000000-0005-0000-0000-00005E160000}"/>
    <cellStyle name="20% - Accent4 12 3 4" xfId="2627" xr:uid="{00000000-0005-0000-0000-00005F160000}"/>
    <cellStyle name="20% - Accent4 12 3 4 2" xfId="13924" xr:uid="{00000000-0005-0000-0000-000060160000}"/>
    <cellStyle name="20% - Accent4 12 3 4 3" xfId="17875" xr:uid="{00000000-0005-0000-0000-000061160000}"/>
    <cellStyle name="20% - Accent4 12 3 5" xfId="2628" xr:uid="{00000000-0005-0000-0000-000062160000}"/>
    <cellStyle name="20% - Accent4 12 3 5 2" xfId="13925" xr:uid="{00000000-0005-0000-0000-000063160000}"/>
    <cellStyle name="20% - Accent4 12 3 5 3" xfId="17876" xr:uid="{00000000-0005-0000-0000-000064160000}"/>
    <cellStyle name="20% - Accent4 12 3 6" xfId="13917" xr:uid="{00000000-0005-0000-0000-000065160000}"/>
    <cellStyle name="20% - Accent4 12 3 7" xfId="17868" xr:uid="{00000000-0005-0000-0000-000066160000}"/>
    <cellStyle name="20% - Accent4 12 3_Volatility" xfId="2629" xr:uid="{00000000-0005-0000-0000-000067160000}"/>
    <cellStyle name="20% - Accent4 12 4" xfId="2630" xr:uid="{00000000-0005-0000-0000-000068160000}"/>
    <cellStyle name="20% - Accent4 12 4 2" xfId="2631" xr:uid="{00000000-0005-0000-0000-000069160000}"/>
    <cellStyle name="20% - Accent4 12 4 2 2" xfId="13927" xr:uid="{00000000-0005-0000-0000-00006A160000}"/>
    <cellStyle name="20% - Accent4 12 4 2 3" xfId="17878" xr:uid="{00000000-0005-0000-0000-00006B160000}"/>
    <cellStyle name="20% - Accent4 12 4 3" xfId="2632" xr:uid="{00000000-0005-0000-0000-00006C160000}"/>
    <cellStyle name="20% - Accent4 12 4 3 2" xfId="13928" xr:uid="{00000000-0005-0000-0000-00006D160000}"/>
    <cellStyle name="20% - Accent4 12 4 3 3" xfId="17879" xr:uid="{00000000-0005-0000-0000-00006E160000}"/>
    <cellStyle name="20% - Accent4 12 4 4" xfId="13926" xr:uid="{00000000-0005-0000-0000-00006F160000}"/>
    <cellStyle name="20% - Accent4 12 4 5" xfId="17877" xr:uid="{00000000-0005-0000-0000-000070160000}"/>
    <cellStyle name="20% - Accent4 12 5" xfId="2633" xr:uid="{00000000-0005-0000-0000-000071160000}"/>
    <cellStyle name="20% - Accent4 12 5 2" xfId="2634" xr:uid="{00000000-0005-0000-0000-000072160000}"/>
    <cellStyle name="20% - Accent4 12 5 2 2" xfId="13930" xr:uid="{00000000-0005-0000-0000-000073160000}"/>
    <cellStyle name="20% - Accent4 12 5 2 3" xfId="17881" xr:uid="{00000000-0005-0000-0000-000074160000}"/>
    <cellStyle name="20% - Accent4 12 5 3" xfId="2635" xr:uid="{00000000-0005-0000-0000-000075160000}"/>
    <cellStyle name="20% - Accent4 12 5 3 2" xfId="13931" xr:uid="{00000000-0005-0000-0000-000076160000}"/>
    <cellStyle name="20% - Accent4 12 5 3 3" xfId="17882" xr:uid="{00000000-0005-0000-0000-000077160000}"/>
    <cellStyle name="20% - Accent4 12 5 4" xfId="13929" xr:uid="{00000000-0005-0000-0000-000078160000}"/>
    <cellStyle name="20% - Accent4 12 5 5" xfId="17880" xr:uid="{00000000-0005-0000-0000-000079160000}"/>
    <cellStyle name="20% - Accent4 12 6" xfId="2636" xr:uid="{00000000-0005-0000-0000-00007A160000}"/>
    <cellStyle name="20% - Accent4 12 6 2" xfId="2637" xr:uid="{00000000-0005-0000-0000-00007B160000}"/>
    <cellStyle name="20% - Accent4 12 6 2 2" xfId="13933" xr:uid="{00000000-0005-0000-0000-00007C160000}"/>
    <cellStyle name="20% - Accent4 12 6 2 3" xfId="17884" xr:uid="{00000000-0005-0000-0000-00007D160000}"/>
    <cellStyle name="20% - Accent4 12 6 3" xfId="2638" xr:uid="{00000000-0005-0000-0000-00007E160000}"/>
    <cellStyle name="20% - Accent4 12 6 3 2" xfId="13934" xr:uid="{00000000-0005-0000-0000-00007F160000}"/>
    <cellStyle name="20% - Accent4 12 6 3 3" xfId="17885" xr:uid="{00000000-0005-0000-0000-000080160000}"/>
    <cellStyle name="20% - Accent4 12 6 4" xfId="13932" xr:uid="{00000000-0005-0000-0000-000081160000}"/>
    <cellStyle name="20% - Accent4 12 6 5" xfId="17883" xr:uid="{00000000-0005-0000-0000-000082160000}"/>
    <cellStyle name="20% - Accent4 12 7" xfId="2639" xr:uid="{00000000-0005-0000-0000-000083160000}"/>
    <cellStyle name="20% - Accent4 12 7 2" xfId="13935" xr:uid="{00000000-0005-0000-0000-000084160000}"/>
    <cellStyle name="20% - Accent4 12 7 3" xfId="17886" xr:uid="{00000000-0005-0000-0000-000085160000}"/>
    <cellStyle name="20% - Accent4 12 8" xfId="2640" xr:uid="{00000000-0005-0000-0000-000086160000}"/>
    <cellStyle name="20% - Accent4 12 8 2" xfId="13936" xr:uid="{00000000-0005-0000-0000-000087160000}"/>
    <cellStyle name="20% - Accent4 12 8 3" xfId="17887" xr:uid="{00000000-0005-0000-0000-000088160000}"/>
    <cellStyle name="20% - Accent4 12 9" xfId="13904" xr:uid="{00000000-0005-0000-0000-000089160000}"/>
    <cellStyle name="20% - Accent4 12_Volatility" xfId="2641" xr:uid="{00000000-0005-0000-0000-00008A160000}"/>
    <cellStyle name="20% - Accent4 13" xfId="2642" xr:uid="{00000000-0005-0000-0000-00008B160000}"/>
    <cellStyle name="20% - Accent4 13 10" xfId="17888" xr:uid="{00000000-0005-0000-0000-00008C160000}"/>
    <cellStyle name="20% - Accent4 13 2" xfId="2643" xr:uid="{00000000-0005-0000-0000-00008D160000}"/>
    <cellStyle name="20% - Accent4 13 2 2" xfId="2644" xr:uid="{00000000-0005-0000-0000-00008E160000}"/>
    <cellStyle name="20% - Accent4 13 2 2 2" xfId="2645" xr:uid="{00000000-0005-0000-0000-00008F160000}"/>
    <cellStyle name="20% - Accent4 13 2 2 2 2" xfId="13940" xr:uid="{00000000-0005-0000-0000-000090160000}"/>
    <cellStyle name="20% - Accent4 13 2 2 2 3" xfId="17891" xr:uid="{00000000-0005-0000-0000-000091160000}"/>
    <cellStyle name="20% - Accent4 13 2 2 3" xfId="2646" xr:uid="{00000000-0005-0000-0000-000092160000}"/>
    <cellStyle name="20% - Accent4 13 2 2 3 2" xfId="13941" xr:uid="{00000000-0005-0000-0000-000093160000}"/>
    <cellStyle name="20% - Accent4 13 2 2 3 3" xfId="17892" xr:uid="{00000000-0005-0000-0000-000094160000}"/>
    <cellStyle name="20% - Accent4 13 2 2 4" xfId="13939" xr:uid="{00000000-0005-0000-0000-000095160000}"/>
    <cellStyle name="20% - Accent4 13 2 2 5" xfId="17890" xr:uid="{00000000-0005-0000-0000-000096160000}"/>
    <cellStyle name="20% - Accent4 13 2 3" xfId="2647" xr:uid="{00000000-0005-0000-0000-000097160000}"/>
    <cellStyle name="20% - Accent4 13 2 3 2" xfId="2648" xr:uid="{00000000-0005-0000-0000-000098160000}"/>
    <cellStyle name="20% - Accent4 13 2 3 2 2" xfId="13943" xr:uid="{00000000-0005-0000-0000-000099160000}"/>
    <cellStyle name="20% - Accent4 13 2 3 2 3" xfId="17894" xr:uid="{00000000-0005-0000-0000-00009A160000}"/>
    <cellStyle name="20% - Accent4 13 2 3 3" xfId="2649" xr:uid="{00000000-0005-0000-0000-00009B160000}"/>
    <cellStyle name="20% - Accent4 13 2 3 3 2" xfId="13944" xr:uid="{00000000-0005-0000-0000-00009C160000}"/>
    <cellStyle name="20% - Accent4 13 2 3 3 3" xfId="17895" xr:uid="{00000000-0005-0000-0000-00009D160000}"/>
    <cellStyle name="20% - Accent4 13 2 3 4" xfId="13942" xr:uid="{00000000-0005-0000-0000-00009E160000}"/>
    <cellStyle name="20% - Accent4 13 2 3 5" xfId="17893" xr:uid="{00000000-0005-0000-0000-00009F160000}"/>
    <cellStyle name="20% - Accent4 13 2 4" xfId="2650" xr:uid="{00000000-0005-0000-0000-0000A0160000}"/>
    <cellStyle name="20% - Accent4 13 2 4 2" xfId="2651" xr:uid="{00000000-0005-0000-0000-0000A1160000}"/>
    <cellStyle name="20% - Accent4 13 2 4 2 2" xfId="13946" xr:uid="{00000000-0005-0000-0000-0000A2160000}"/>
    <cellStyle name="20% - Accent4 13 2 4 2 3" xfId="17897" xr:uid="{00000000-0005-0000-0000-0000A3160000}"/>
    <cellStyle name="20% - Accent4 13 2 4 3" xfId="2652" xr:uid="{00000000-0005-0000-0000-0000A4160000}"/>
    <cellStyle name="20% - Accent4 13 2 4 3 2" xfId="13947" xr:uid="{00000000-0005-0000-0000-0000A5160000}"/>
    <cellStyle name="20% - Accent4 13 2 4 3 3" xfId="17898" xr:uid="{00000000-0005-0000-0000-0000A6160000}"/>
    <cellStyle name="20% - Accent4 13 2 4 4" xfId="13945" xr:uid="{00000000-0005-0000-0000-0000A7160000}"/>
    <cellStyle name="20% - Accent4 13 2 4 5" xfId="17896" xr:uid="{00000000-0005-0000-0000-0000A8160000}"/>
    <cellStyle name="20% - Accent4 13 2 5" xfId="2653" xr:uid="{00000000-0005-0000-0000-0000A9160000}"/>
    <cellStyle name="20% - Accent4 13 2 5 2" xfId="13948" xr:uid="{00000000-0005-0000-0000-0000AA160000}"/>
    <cellStyle name="20% - Accent4 13 2 5 3" xfId="17899" xr:uid="{00000000-0005-0000-0000-0000AB160000}"/>
    <cellStyle name="20% - Accent4 13 2 6" xfId="2654" xr:uid="{00000000-0005-0000-0000-0000AC160000}"/>
    <cellStyle name="20% - Accent4 13 2 6 2" xfId="13949" xr:uid="{00000000-0005-0000-0000-0000AD160000}"/>
    <cellStyle name="20% - Accent4 13 2 6 3" xfId="17900" xr:uid="{00000000-0005-0000-0000-0000AE160000}"/>
    <cellStyle name="20% - Accent4 13 2 7" xfId="13938" xr:uid="{00000000-0005-0000-0000-0000AF160000}"/>
    <cellStyle name="20% - Accent4 13 2 8" xfId="17889" xr:uid="{00000000-0005-0000-0000-0000B0160000}"/>
    <cellStyle name="20% - Accent4 13 2_Volatility" xfId="2655" xr:uid="{00000000-0005-0000-0000-0000B1160000}"/>
    <cellStyle name="20% - Accent4 13 3" xfId="2656" xr:uid="{00000000-0005-0000-0000-0000B2160000}"/>
    <cellStyle name="20% - Accent4 13 3 2" xfId="2657" xr:uid="{00000000-0005-0000-0000-0000B3160000}"/>
    <cellStyle name="20% - Accent4 13 3 2 2" xfId="2658" xr:uid="{00000000-0005-0000-0000-0000B4160000}"/>
    <cellStyle name="20% - Accent4 13 3 2 2 2" xfId="13952" xr:uid="{00000000-0005-0000-0000-0000B5160000}"/>
    <cellStyle name="20% - Accent4 13 3 2 2 3" xfId="17903" xr:uid="{00000000-0005-0000-0000-0000B6160000}"/>
    <cellStyle name="20% - Accent4 13 3 2 3" xfId="2659" xr:uid="{00000000-0005-0000-0000-0000B7160000}"/>
    <cellStyle name="20% - Accent4 13 3 2 3 2" xfId="13953" xr:uid="{00000000-0005-0000-0000-0000B8160000}"/>
    <cellStyle name="20% - Accent4 13 3 2 3 3" xfId="17904" xr:uid="{00000000-0005-0000-0000-0000B9160000}"/>
    <cellStyle name="20% - Accent4 13 3 2 4" xfId="13951" xr:uid="{00000000-0005-0000-0000-0000BA160000}"/>
    <cellStyle name="20% - Accent4 13 3 2 5" xfId="17902" xr:uid="{00000000-0005-0000-0000-0000BB160000}"/>
    <cellStyle name="20% - Accent4 13 3 3" xfId="2660" xr:uid="{00000000-0005-0000-0000-0000BC160000}"/>
    <cellStyle name="20% - Accent4 13 3 3 2" xfId="2661" xr:uid="{00000000-0005-0000-0000-0000BD160000}"/>
    <cellStyle name="20% - Accent4 13 3 3 2 2" xfId="13955" xr:uid="{00000000-0005-0000-0000-0000BE160000}"/>
    <cellStyle name="20% - Accent4 13 3 3 2 3" xfId="17906" xr:uid="{00000000-0005-0000-0000-0000BF160000}"/>
    <cellStyle name="20% - Accent4 13 3 3 3" xfId="2662" xr:uid="{00000000-0005-0000-0000-0000C0160000}"/>
    <cellStyle name="20% - Accent4 13 3 3 3 2" xfId="13956" xr:uid="{00000000-0005-0000-0000-0000C1160000}"/>
    <cellStyle name="20% - Accent4 13 3 3 3 3" xfId="17907" xr:uid="{00000000-0005-0000-0000-0000C2160000}"/>
    <cellStyle name="20% - Accent4 13 3 3 4" xfId="13954" xr:uid="{00000000-0005-0000-0000-0000C3160000}"/>
    <cellStyle name="20% - Accent4 13 3 3 5" xfId="17905" xr:uid="{00000000-0005-0000-0000-0000C4160000}"/>
    <cellStyle name="20% - Accent4 13 3 4" xfId="2663" xr:uid="{00000000-0005-0000-0000-0000C5160000}"/>
    <cellStyle name="20% - Accent4 13 3 4 2" xfId="13957" xr:uid="{00000000-0005-0000-0000-0000C6160000}"/>
    <cellStyle name="20% - Accent4 13 3 4 3" xfId="17908" xr:uid="{00000000-0005-0000-0000-0000C7160000}"/>
    <cellStyle name="20% - Accent4 13 3 5" xfId="2664" xr:uid="{00000000-0005-0000-0000-0000C8160000}"/>
    <cellStyle name="20% - Accent4 13 3 5 2" xfId="13958" xr:uid="{00000000-0005-0000-0000-0000C9160000}"/>
    <cellStyle name="20% - Accent4 13 3 5 3" xfId="17909" xr:uid="{00000000-0005-0000-0000-0000CA160000}"/>
    <cellStyle name="20% - Accent4 13 3 6" xfId="13950" xr:uid="{00000000-0005-0000-0000-0000CB160000}"/>
    <cellStyle name="20% - Accent4 13 3 7" xfId="17901" xr:uid="{00000000-0005-0000-0000-0000CC160000}"/>
    <cellStyle name="20% - Accent4 13 3_Volatility" xfId="2665" xr:uid="{00000000-0005-0000-0000-0000CD160000}"/>
    <cellStyle name="20% - Accent4 13 4" xfId="2666" xr:uid="{00000000-0005-0000-0000-0000CE160000}"/>
    <cellStyle name="20% - Accent4 13 4 2" xfId="2667" xr:uid="{00000000-0005-0000-0000-0000CF160000}"/>
    <cellStyle name="20% - Accent4 13 4 2 2" xfId="13960" xr:uid="{00000000-0005-0000-0000-0000D0160000}"/>
    <cellStyle name="20% - Accent4 13 4 2 3" xfId="17911" xr:uid="{00000000-0005-0000-0000-0000D1160000}"/>
    <cellStyle name="20% - Accent4 13 4 3" xfId="2668" xr:uid="{00000000-0005-0000-0000-0000D2160000}"/>
    <cellStyle name="20% - Accent4 13 4 3 2" xfId="13961" xr:uid="{00000000-0005-0000-0000-0000D3160000}"/>
    <cellStyle name="20% - Accent4 13 4 3 3" xfId="17912" xr:uid="{00000000-0005-0000-0000-0000D4160000}"/>
    <cellStyle name="20% - Accent4 13 4 4" xfId="13959" xr:uid="{00000000-0005-0000-0000-0000D5160000}"/>
    <cellStyle name="20% - Accent4 13 4 5" xfId="17910" xr:uid="{00000000-0005-0000-0000-0000D6160000}"/>
    <cellStyle name="20% - Accent4 13 5" xfId="2669" xr:uid="{00000000-0005-0000-0000-0000D7160000}"/>
    <cellStyle name="20% - Accent4 13 5 2" xfId="2670" xr:uid="{00000000-0005-0000-0000-0000D8160000}"/>
    <cellStyle name="20% - Accent4 13 5 2 2" xfId="13963" xr:uid="{00000000-0005-0000-0000-0000D9160000}"/>
    <cellStyle name="20% - Accent4 13 5 2 3" xfId="17914" xr:uid="{00000000-0005-0000-0000-0000DA160000}"/>
    <cellStyle name="20% - Accent4 13 5 3" xfId="2671" xr:uid="{00000000-0005-0000-0000-0000DB160000}"/>
    <cellStyle name="20% - Accent4 13 5 3 2" xfId="13964" xr:uid="{00000000-0005-0000-0000-0000DC160000}"/>
    <cellStyle name="20% - Accent4 13 5 3 3" xfId="17915" xr:uid="{00000000-0005-0000-0000-0000DD160000}"/>
    <cellStyle name="20% - Accent4 13 5 4" xfId="13962" xr:uid="{00000000-0005-0000-0000-0000DE160000}"/>
    <cellStyle name="20% - Accent4 13 5 5" xfId="17913" xr:uid="{00000000-0005-0000-0000-0000DF160000}"/>
    <cellStyle name="20% - Accent4 13 6" xfId="2672" xr:uid="{00000000-0005-0000-0000-0000E0160000}"/>
    <cellStyle name="20% - Accent4 13 6 2" xfId="2673" xr:uid="{00000000-0005-0000-0000-0000E1160000}"/>
    <cellStyle name="20% - Accent4 13 6 2 2" xfId="13966" xr:uid="{00000000-0005-0000-0000-0000E2160000}"/>
    <cellStyle name="20% - Accent4 13 6 2 3" xfId="17917" xr:uid="{00000000-0005-0000-0000-0000E3160000}"/>
    <cellStyle name="20% - Accent4 13 6 3" xfId="2674" xr:uid="{00000000-0005-0000-0000-0000E4160000}"/>
    <cellStyle name="20% - Accent4 13 6 3 2" xfId="13967" xr:uid="{00000000-0005-0000-0000-0000E5160000}"/>
    <cellStyle name="20% - Accent4 13 6 3 3" xfId="17918" xr:uid="{00000000-0005-0000-0000-0000E6160000}"/>
    <cellStyle name="20% - Accent4 13 6 4" xfId="13965" xr:uid="{00000000-0005-0000-0000-0000E7160000}"/>
    <cellStyle name="20% - Accent4 13 6 5" xfId="17916" xr:uid="{00000000-0005-0000-0000-0000E8160000}"/>
    <cellStyle name="20% - Accent4 13 7" xfId="2675" xr:uid="{00000000-0005-0000-0000-0000E9160000}"/>
    <cellStyle name="20% - Accent4 13 7 2" xfId="13968" xr:uid="{00000000-0005-0000-0000-0000EA160000}"/>
    <cellStyle name="20% - Accent4 13 7 3" xfId="17919" xr:uid="{00000000-0005-0000-0000-0000EB160000}"/>
    <cellStyle name="20% - Accent4 13 8" xfId="2676" xr:uid="{00000000-0005-0000-0000-0000EC160000}"/>
    <cellStyle name="20% - Accent4 13 8 2" xfId="13969" xr:uid="{00000000-0005-0000-0000-0000ED160000}"/>
    <cellStyle name="20% - Accent4 13 8 3" xfId="17920" xr:uid="{00000000-0005-0000-0000-0000EE160000}"/>
    <cellStyle name="20% - Accent4 13 9" xfId="13937" xr:uid="{00000000-0005-0000-0000-0000EF160000}"/>
    <cellStyle name="20% - Accent4 13_Volatility" xfId="2677" xr:uid="{00000000-0005-0000-0000-0000F0160000}"/>
    <cellStyle name="20% - Accent4 14" xfId="2678" xr:uid="{00000000-0005-0000-0000-0000F1160000}"/>
    <cellStyle name="20% - Accent4 14 10" xfId="17921" xr:uid="{00000000-0005-0000-0000-0000F2160000}"/>
    <cellStyle name="20% - Accent4 14 2" xfId="2679" xr:uid="{00000000-0005-0000-0000-0000F3160000}"/>
    <cellStyle name="20% - Accent4 14 2 2" xfId="2680" xr:uid="{00000000-0005-0000-0000-0000F4160000}"/>
    <cellStyle name="20% - Accent4 14 2 2 2" xfId="2681" xr:uid="{00000000-0005-0000-0000-0000F5160000}"/>
    <cellStyle name="20% - Accent4 14 2 2 2 2" xfId="13973" xr:uid="{00000000-0005-0000-0000-0000F6160000}"/>
    <cellStyle name="20% - Accent4 14 2 2 2 3" xfId="17924" xr:uid="{00000000-0005-0000-0000-0000F7160000}"/>
    <cellStyle name="20% - Accent4 14 2 2 3" xfId="2682" xr:uid="{00000000-0005-0000-0000-0000F8160000}"/>
    <cellStyle name="20% - Accent4 14 2 2 3 2" xfId="13974" xr:uid="{00000000-0005-0000-0000-0000F9160000}"/>
    <cellStyle name="20% - Accent4 14 2 2 3 3" xfId="17925" xr:uid="{00000000-0005-0000-0000-0000FA160000}"/>
    <cellStyle name="20% - Accent4 14 2 2 4" xfId="13972" xr:uid="{00000000-0005-0000-0000-0000FB160000}"/>
    <cellStyle name="20% - Accent4 14 2 2 5" xfId="17923" xr:uid="{00000000-0005-0000-0000-0000FC160000}"/>
    <cellStyle name="20% - Accent4 14 2 3" xfId="2683" xr:uid="{00000000-0005-0000-0000-0000FD160000}"/>
    <cellStyle name="20% - Accent4 14 2 3 2" xfId="2684" xr:uid="{00000000-0005-0000-0000-0000FE160000}"/>
    <cellStyle name="20% - Accent4 14 2 3 2 2" xfId="13976" xr:uid="{00000000-0005-0000-0000-0000FF160000}"/>
    <cellStyle name="20% - Accent4 14 2 3 2 3" xfId="17927" xr:uid="{00000000-0005-0000-0000-000000170000}"/>
    <cellStyle name="20% - Accent4 14 2 3 3" xfId="2685" xr:uid="{00000000-0005-0000-0000-000001170000}"/>
    <cellStyle name="20% - Accent4 14 2 3 3 2" xfId="13977" xr:uid="{00000000-0005-0000-0000-000002170000}"/>
    <cellStyle name="20% - Accent4 14 2 3 3 3" xfId="17928" xr:uid="{00000000-0005-0000-0000-000003170000}"/>
    <cellStyle name="20% - Accent4 14 2 3 4" xfId="13975" xr:uid="{00000000-0005-0000-0000-000004170000}"/>
    <cellStyle name="20% - Accent4 14 2 3 5" xfId="17926" xr:uid="{00000000-0005-0000-0000-000005170000}"/>
    <cellStyle name="20% - Accent4 14 2 4" xfId="2686" xr:uid="{00000000-0005-0000-0000-000006170000}"/>
    <cellStyle name="20% - Accent4 14 2 4 2" xfId="2687" xr:uid="{00000000-0005-0000-0000-000007170000}"/>
    <cellStyle name="20% - Accent4 14 2 4 2 2" xfId="13979" xr:uid="{00000000-0005-0000-0000-000008170000}"/>
    <cellStyle name="20% - Accent4 14 2 4 2 3" xfId="17930" xr:uid="{00000000-0005-0000-0000-000009170000}"/>
    <cellStyle name="20% - Accent4 14 2 4 3" xfId="2688" xr:uid="{00000000-0005-0000-0000-00000A170000}"/>
    <cellStyle name="20% - Accent4 14 2 4 3 2" xfId="13980" xr:uid="{00000000-0005-0000-0000-00000B170000}"/>
    <cellStyle name="20% - Accent4 14 2 4 3 3" xfId="17931" xr:uid="{00000000-0005-0000-0000-00000C170000}"/>
    <cellStyle name="20% - Accent4 14 2 4 4" xfId="13978" xr:uid="{00000000-0005-0000-0000-00000D170000}"/>
    <cellStyle name="20% - Accent4 14 2 4 5" xfId="17929" xr:uid="{00000000-0005-0000-0000-00000E170000}"/>
    <cellStyle name="20% - Accent4 14 2 5" xfId="2689" xr:uid="{00000000-0005-0000-0000-00000F170000}"/>
    <cellStyle name="20% - Accent4 14 2 5 2" xfId="13981" xr:uid="{00000000-0005-0000-0000-000010170000}"/>
    <cellStyle name="20% - Accent4 14 2 5 3" xfId="17932" xr:uid="{00000000-0005-0000-0000-000011170000}"/>
    <cellStyle name="20% - Accent4 14 2 6" xfId="2690" xr:uid="{00000000-0005-0000-0000-000012170000}"/>
    <cellStyle name="20% - Accent4 14 2 6 2" xfId="13982" xr:uid="{00000000-0005-0000-0000-000013170000}"/>
    <cellStyle name="20% - Accent4 14 2 6 3" xfId="17933" xr:uid="{00000000-0005-0000-0000-000014170000}"/>
    <cellStyle name="20% - Accent4 14 2 7" xfId="13971" xr:uid="{00000000-0005-0000-0000-000015170000}"/>
    <cellStyle name="20% - Accent4 14 2 8" xfId="17922" xr:uid="{00000000-0005-0000-0000-000016170000}"/>
    <cellStyle name="20% - Accent4 14 2_Volatility" xfId="2691" xr:uid="{00000000-0005-0000-0000-000017170000}"/>
    <cellStyle name="20% - Accent4 14 3" xfId="2692" xr:uid="{00000000-0005-0000-0000-000018170000}"/>
    <cellStyle name="20% - Accent4 14 3 2" xfId="2693" xr:uid="{00000000-0005-0000-0000-000019170000}"/>
    <cellStyle name="20% - Accent4 14 3 2 2" xfId="2694" xr:uid="{00000000-0005-0000-0000-00001A170000}"/>
    <cellStyle name="20% - Accent4 14 3 2 2 2" xfId="13985" xr:uid="{00000000-0005-0000-0000-00001B170000}"/>
    <cellStyle name="20% - Accent4 14 3 2 2 3" xfId="17936" xr:uid="{00000000-0005-0000-0000-00001C170000}"/>
    <cellStyle name="20% - Accent4 14 3 2 3" xfId="2695" xr:uid="{00000000-0005-0000-0000-00001D170000}"/>
    <cellStyle name="20% - Accent4 14 3 2 3 2" xfId="13986" xr:uid="{00000000-0005-0000-0000-00001E170000}"/>
    <cellStyle name="20% - Accent4 14 3 2 3 3" xfId="17937" xr:uid="{00000000-0005-0000-0000-00001F170000}"/>
    <cellStyle name="20% - Accent4 14 3 2 4" xfId="13984" xr:uid="{00000000-0005-0000-0000-000020170000}"/>
    <cellStyle name="20% - Accent4 14 3 2 5" xfId="17935" xr:uid="{00000000-0005-0000-0000-000021170000}"/>
    <cellStyle name="20% - Accent4 14 3 3" xfId="2696" xr:uid="{00000000-0005-0000-0000-000022170000}"/>
    <cellStyle name="20% - Accent4 14 3 3 2" xfId="2697" xr:uid="{00000000-0005-0000-0000-000023170000}"/>
    <cellStyle name="20% - Accent4 14 3 3 2 2" xfId="13988" xr:uid="{00000000-0005-0000-0000-000024170000}"/>
    <cellStyle name="20% - Accent4 14 3 3 2 3" xfId="17939" xr:uid="{00000000-0005-0000-0000-000025170000}"/>
    <cellStyle name="20% - Accent4 14 3 3 3" xfId="2698" xr:uid="{00000000-0005-0000-0000-000026170000}"/>
    <cellStyle name="20% - Accent4 14 3 3 3 2" xfId="13989" xr:uid="{00000000-0005-0000-0000-000027170000}"/>
    <cellStyle name="20% - Accent4 14 3 3 3 3" xfId="17940" xr:uid="{00000000-0005-0000-0000-000028170000}"/>
    <cellStyle name="20% - Accent4 14 3 3 4" xfId="13987" xr:uid="{00000000-0005-0000-0000-000029170000}"/>
    <cellStyle name="20% - Accent4 14 3 3 5" xfId="17938" xr:uid="{00000000-0005-0000-0000-00002A170000}"/>
    <cellStyle name="20% - Accent4 14 3 4" xfId="2699" xr:uid="{00000000-0005-0000-0000-00002B170000}"/>
    <cellStyle name="20% - Accent4 14 3 4 2" xfId="13990" xr:uid="{00000000-0005-0000-0000-00002C170000}"/>
    <cellStyle name="20% - Accent4 14 3 4 3" xfId="17941" xr:uid="{00000000-0005-0000-0000-00002D170000}"/>
    <cellStyle name="20% - Accent4 14 3 5" xfId="2700" xr:uid="{00000000-0005-0000-0000-00002E170000}"/>
    <cellStyle name="20% - Accent4 14 3 5 2" xfId="13991" xr:uid="{00000000-0005-0000-0000-00002F170000}"/>
    <cellStyle name="20% - Accent4 14 3 5 3" xfId="17942" xr:uid="{00000000-0005-0000-0000-000030170000}"/>
    <cellStyle name="20% - Accent4 14 3 6" xfId="13983" xr:uid="{00000000-0005-0000-0000-000031170000}"/>
    <cellStyle name="20% - Accent4 14 3 7" xfId="17934" xr:uid="{00000000-0005-0000-0000-000032170000}"/>
    <cellStyle name="20% - Accent4 14 3_Volatility" xfId="2701" xr:uid="{00000000-0005-0000-0000-000033170000}"/>
    <cellStyle name="20% - Accent4 14 4" xfId="2702" xr:uid="{00000000-0005-0000-0000-000034170000}"/>
    <cellStyle name="20% - Accent4 14 4 2" xfId="2703" xr:uid="{00000000-0005-0000-0000-000035170000}"/>
    <cellStyle name="20% - Accent4 14 4 2 2" xfId="13993" xr:uid="{00000000-0005-0000-0000-000036170000}"/>
    <cellStyle name="20% - Accent4 14 4 2 3" xfId="17944" xr:uid="{00000000-0005-0000-0000-000037170000}"/>
    <cellStyle name="20% - Accent4 14 4 3" xfId="2704" xr:uid="{00000000-0005-0000-0000-000038170000}"/>
    <cellStyle name="20% - Accent4 14 4 3 2" xfId="13994" xr:uid="{00000000-0005-0000-0000-000039170000}"/>
    <cellStyle name="20% - Accent4 14 4 3 3" xfId="17945" xr:uid="{00000000-0005-0000-0000-00003A170000}"/>
    <cellStyle name="20% - Accent4 14 4 4" xfId="13992" xr:uid="{00000000-0005-0000-0000-00003B170000}"/>
    <cellStyle name="20% - Accent4 14 4 5" xfId="17943" xr:uid="{00000000-0005-0000-0000-00003C170000}"/>
    <cellStyle name="20% - Accent4 14 5" xfId="2705" xr:uid="{00000000-0005-0000-0000-00003D170000}"/>
    <cellStyle name="20% - Accent4 14 5 2" xfId="2706" xr:uid="{00000000-0005-0000-0000-00003E170000}"/>
    <cellStyle name="20% - Accent4 14 5 2 2" xfId="13996" xr:uid="{00000000-0005-0000-0000-00003F170000}"/>
    <cellStyle name="20% - Accent4 14 5 2 3" xfId="17947" xr:uid="{00000000-0005-0000-0000-000040170000}"/>
    <cellStyle name="20% - Accent4 14 5 3" xfId="2707" xr:uid="{00000000-0005-0000-0000-000041170000}"/>
    <cellStyle name="20% - Accent4 14 5 3 2" xfId="13997" xr:uid="{00000000-0005-0000-0000-000042170000}"/>
    <cellStyle name="20% - Accent4 14 5 3 3" xfId="17948" xr:uid="{00000000-0005-0000-0000-000043170000}"/>
    <cellStyle name="20% - Accent4 14 5 4" xfId="13995" xr:uid="{00000000-0005-0000-0000-000044170000}"/>
    <cellStyle name="20% - Accent4 14 5 5" xfId="17946" xr:uid="{00000000-0005-0000-0000-000045170000}"/>
    <cellStyle name="20% - Accent4 14 6" xfId="2708" xr:uid="{00000000-0005-0000-0000-000046170000}"/>
    <cellStyle name="20% - Accent4 14 6 2" xfId="2709" xr:uid="{00000000-0005-0000-0000-000047170000}"/>
    <cellStyle name="20% - Accent4 14 6 2 2" xfId="13999" xr:uid="{00000000-0005-0000-0000-000048170000}"/>
    <cellStyle name="20% - Accent4 14 6 2 3" xfId="17950" xr:uid="{00000000-0005-0000-0000-000049170000}"/>
    <cellStyle name="20% - Accent4 14 6 3" xfId="2710" xr:uid="{00000000-0005-0000-0000-00004A170000}"/>
    <cellStyle name="20% - Accent4 14 6 3 2" xfId="14000" xr:uid="{00000000-0005-0000-0000-00004B170000}"/>
    <cellStyle name="20% - Accent4 14 6 3 3" xfId="17951" xr:uid="{00000000-0005-0000-0000-00004C170000}"/>
    <cellStyle name="20% - Accent4 14 6 4" xfId="13998" xr:uid="{00000000-0005-0000-0000-00004D170000}"/>
    <cellStyle name="20% - Accent4 14 6 5" xfId="17949" xr:uid="{00000000-0005-0000-0000-00004E170000}"/>
    <cellStyle name="20% - Accent4 14 7" xfId="2711" xr:uid="{00000000-0005-0000-0000-00004F170000}"/>
    <cellStyle name="20% - Accent4 14 7 2" xfId="14001" xr:uid="{00000000-0005-0000-0000-000050170000}"/>
    <cellStyle name="20% - Accent4 14 7 3" xfId="17952" xr:uid="{00000000-0005-0000-0000-000051170000}"/>
    <cellStyle name="20% - Accent4 14 8" xfId="2712" xr:uid="{00000000-0005-0000-0000-000052170000}"/>
    <cellStyle name="20% - Accent4 14 8 2" xfId="14002" xr:uid="{00000000-0005-0000-0000-000053170000}"/>
    <cellStyle name="20% - Accent4 14 8 3" xfId="17953" xr:uid="{00000000-0005-0000-0000-000054170000}"/>
    <cellStyle name="20% - Accent4 14 9" xfId="13970" xr:uid="{00000000-0005-0000-0000-000055170000}"/>
    <cellStyle name="20% - Accent4 14_Volatility" xfId="2713" xr:uid="{00000000-0005-0000-0000-000056170000}"/>
    <cellStyle name="20% - Accent4 15" xfId="2714" xr:uid="{00000000-0005-0000-0000-000057170000}"/>
    <cellStyle name="20% - Accent4 15 10" xfId="17954" xr:uid="{00000000-0005-0000-0000-000058170000}"/>
    <cellStyle name="20% - Accent4 15 2" xfId="2715" xr:uid="{00000000-0005-0000-0000-000059170000}"/>
    <cellStyle name="20% - Accent4 15 2 2" xfId="2716" xr:uid="{00000000-0005-0000-0000-00005A170000}"/>
    <cellStyle name="20% - Accent4 15 2 2 2" xfId="2717" xr:uid="{00000000-0005-0000-0000-00005B170000}"/>
    <cellStyle name="20% - Accent4 15 2 2 2 2" xfId="14006" xr:uid="{00000000-0005-0000-0000-00005C170000}"/>
    <cellStyle name="20% - Accent4 15 2 2 2 3" xfId="17957" xr:uid="{00000000-0005-0000-0000-00005D170000}"/>
    <cellStyle name="20% - Accent4 15 2 2 3" xfId="2718" xr:uid="{00000000-0005-0000-0000-00005E170000}"/>
    <cellStyle name="20% - Accent4 15 2 2 3 2" xfId="14007" xr:uid="{00000000-0005-0000-0000-00005F170000}"/>
    <cellStyle name="20% - Accent4 15 2 2 3 3" xfId="17958" xr:uid="{00000000-0005-0000-0000-000060170000}"/>
    <cellStyle name="20% - Accent4 15 2 2 4" xfId="14005" xr:uid="{00000000-0005-0000-0000-000061170000}"/>
    <cellStyle name="20% - Accent4 15 2 2 5" xfId="17956" xr:uid="{00000000-0005-0000-0000-000062170000}"/>
    <cellStyle name="20% - Accent4 15 2 3" xfId="2719" xr:uid="{00000000-0005-0000-0000-000063170000}"/>
    <cellStyle name="20% - Accent4 15 2 3 2" xfId="2720" xr:uid="{00000000-0005-0000-0000-000064170000}"/>
    <cellStyle name="20% - Accent4 15 2 3 2 2" xfId="14009" xr:uid="{00000000-0005-0000-0000-000065170000}"/>
    <cellStyle name="20% - Accent4 15 2 3 2 3" xfId="17960" xr:uid="{00000000-0005-0000-0000-000066170000}"/>
    <cellStyle name="20% - Accent4 15 2 3 3" xfId="2721" xr:uid="{00000000-0005-0000-0000-000067170000}"/>
    <cellStyle name="20% - Accent4 15 2 3 3 2" xfId="14010" xr:uid="{00000000-0005-0000-0000-000068170000}"/>
    <cellStyle name="20% - Accent4 15 2 3 3 3" xfId="17961" xr:uid="{00000000-0005-0000-0000-000069170000}"/>
    <cellStyle name="20% - Accent4 15 2 3 4" xfId="14008" xr:uid="{00000000-0005-0000-0000-00006A170000}"/>
    <cellStyle name="20% - Accent4 15 2 3 5" xfId="17959" xr:uid="{00000000-0005-0000-0000-00006B170000}"/>
    <cellStyle name="20% - Accent4 15 2 4" xfId="2722" xr:uid="{00000000-0005-0000-0000-00006C170000}"/>
    <cellStyle name="20% - Accent4 15 2 4 2" xfId="2723" xr:uid="{00000000-0005-0000-0000-00006D170000}"/>
    <cellStyle name="20% - Accent4 15 2 4 2 2" xfId="14012" xr:uid="{00000000-0005-0000-0000-00006E170000}"/>
    <cellStyle name="20% - Accent4 15 2 4 2 3" xfId="17963" xr:uid="{00000000-0005-0000-0000-00006F170000}"/>
    <cellStyle name="20% - Accent4 15 2 4 3" xfId="2724" xr:uid="{00000000-0005-0000-0000-000070170000}"/>
    <cellStyle name="20% - Accent4 15 2 4 3 2" xfId="14013" xr:uid="{00000000-0005-0000-0000-000071170000}"/>
    <cellStyle name="20% - Accent4 15 2 4 3 3" xfId="17964" xr:uid="{00000000-0005-0000-0000-000072170000}"/>
    <cellStyle name="20% - Accent4 15 2 4 4" xfId="14011" xr:uid="{00000000-0005-0000-0000-000073170000}"/>
    <cellStyle name="20% - Accent4 15 2 4 5" xfId="17962" xr:uid="{00000000-0005-0000-0000-000074170000}"/>
    <cellStyle name="20% - Accent4 15 2 5" xfId="2725" xr:uid="{00000000-0005-0000-0000-000075170000}"/>
    <cellStyle name="20% - Accent4 15 2 5 2" xfId="14014" xr:uid="{00000000-0005-0000-0000-000076170000}"/>
    <cellStyle name="20% - Accent4 15 2 5 3" xfId="17965" xr:uid="{00000000-0005-0000-0000-000077170000}"/>
    <cellStyle name="20% - Accent4 15 2 6" xfId="2726" xr:uid="{00000000-0005-0000-0000-000078170000}"/>
    <cellStyle name="20% - Accent4 15 2 6 2" xfId="14015" xr:uid="{00000000-0005-0000-0000-000079170000}"/>
    <cellStyle name="20% - Accent4 15 2 6 3" xfId="17966" xr:uid="{00000000-0005-0000-0000-00007A170000}"/>
    <cellStyle name="20% - Accent4 15 2 7" xfId="14004" xr:uid="{00000000-0005-0000-0000-00007B170000}"/>
    <cellStyle name="20% - Accent4 15 2 8" xfId="17955" xr:uid="{00000000-0005-0000-0000-00007C170000}"/>
    <cellStyle name="20% - Accent4 15 2_Volatility" xfId="2727" xr:uid="{00000000-0005-0000-0000-00007D170000}"/>
    <cellStyle name="20% - Accent4 15 3" xfId="2728" xr:uid="{00000000-0005-0000-0000-00007E170000}"/>
    <cellStyle name="20% - Accent4 15 3 2" xfId="2729" xr:uid="{00000000-0005-0000-0000-00007F170000}"/>
    <cellStyle name="20% - Accent4 15 3 2 2" xfId="2730" xr:uid="{00000000-0005-0000-0000-000080170000}"/>
    <cellStyle name="20% - Accent4 15 3 2 2 2" xfId="14018" xr:uid="{00000000-0005-0000-0000-000081170000}"/>
    <cellStyle name="20% - Accent4 15 3 2 2 3" xfId="17969" xr:uid="{00000000-0005-0000-0000-000082170000}"/>
    <cellStyle name="20% - Accent4 15 3 2 3" xfId="2731" xr:uid="{00000000-0005-0000-0000-000083170000}"/>
    <cellStyle name="20% - Accent4 15 3 2 3 2" xfId="14019" xr:uid="{00000000-0005-0000-0000-000084170000}"/>
    <cellStyle name="20% - Accent4 15 3 2 3 3" xfId="17970" xr:uid="{00000000-0005-0000-0000-000085170000}"/>
    <cellStyle name="20% - Accent4 15 3 2 4" xfId="14017" xr:uid="{00000000-0005-0000-0000-000086170000}"/>
    <cellStyle name="20% - Accent4 15 3 2 5" xfId="17968" xr:uid="{00000000-0005-0000-0000-000087170000}"/>
    <cellStyle name="20% - Accent4 15 3 3" xfId="2732" xr:uid="{00000000-0005-0000-0000-000088170000}"/>
    <cellStyle name="20% - Accent4 15 3 3 2" xfId="2733" xr:uid="{00000000-0005-0000-0000-000089170000}"/>
    <cellStyle name="20% - Accent4 15 3 3 2 2" xfId="14021" xr:uid="{00000000-0005-0000-0000-00008A170000}"/>
    <cellStyle name="20% - Accent4 15 3 3 2 3" xfId="17972" xr:uid="{00000000-0005-0000-0000-00008B170000}"/>
    <cellStyle name="20% - Accent4 15 3 3 3" xfId="2734" xr:uid="{00000000-0005-0000-0000-00008C170000}"/>
    <cellStyle name="20% - Accent4 15 3 3 3 2" xfId="14022" xr:uid="{00000000-0005-0000-0000-00008D170000}"/>
    <cellStyle name="20% - Accent4 15 3 3 3 3" xfId="17973" xr:uid="{00000000-0005-0000-0000-00008E170000}"/>
    <cellStyle name="20% - Accent4 15 3 3 4" xfId="14020" xr:uid="{00000000-0005-0000-0000-00008F170000}"/>
    <cellStyle name="20% - Accent4 15 3 3 5" xfId="17971" xr:uid="{00000000-0005-0000-0000-000090170000}"/>
    <cellStyle name="20% - Accent4 15 3 4" xfId="2735" xr:uid="{00000000-0005-0000-0000-000091170000}"/>
    <cellStyle name="20% - Accent4 15 3 4 2" xfId="14023" xr:uid="{00000000-0005-0000-0000-000092170000}"/>
    <cellStyle name="20% - Accent4 15 3 4 3" xfId="17974" xr:uid="{00000000-0005-0000-0000-000093170000}"/>
    <cellStyle name="20% - Accent4 15 3 5" xfId="2736" xr:uid="{00000000-0005-0000-0000-000094170000}"/>
    <cellStyle name="20% - Accent4 15 3 5 2" xfId="14024" xr:uid="{00000000-0005-0000-0000-000095170000}"/>
    <cellStyle name="20% - Accent4 15 3 5 3" xfId="17975" xr:uid="{00000000-0005-0000-0000-000096170000}"/>
    <cellStyle name="20% - Accent4 15 3 6" xfId="14016" xr:uid="{00000000-0005-0000-0000-000097170000}"/>
    <cellStyle name="20% - Accent4 15 3 7" xfId="17967" xr:uid="{00000000-0005-0000-0000-000098170000}"/>
    <cellStyle name="20% - Accent4 15 3_Volatility" xfId="2737" xr:uid="{00000000-0005-0000-0000-000099170000}"/>
    <cellStyle name="20% - Accent4 15 4" xfId="2738" xr:uid="{00000000-0005-0000-0000-00009A170000}"/>
    <cellStyle name="20% - Accent4 15 4 2" xfId="2739" xr:uid="{00000000-0005-0000-0000-00009B170000}"/>
    <cellStyle name="20% - Accent4 15 4 2 2" xfId="14026" xr:uid="{00000000-0005-0000-0000-00009C170000}"/>
    <cellStyle name="20% - Accent4 15 4 2 3" xfId="17977" xr:uid="{00000000-0005-0000-0000-00009D170000}"/>
    <cellStyle name="20% - Accent4 15 4 3" xfId="2740" xr:uid="{00000000-0005-0000-0000-00009E170000}"/>
    <cellStyle name="20% - Accent4 15 4 3 2" xfId="14027" xr:uid="{00000000-0005-0000-0000-00009F170000}"/>
    <cellStyle name="20% - Accent4 15 4 3 3" xfId="17978" xr:uid="{00000000-0005-0000-0000-0000A0170000}"/>
    <cellStyle name="20% - Accent4 15 4 4" xfId="14025" xr:uid="{00000000-0005-0000-0000-0000A1170000}"/>
    <cellStyle name="20% - Accent4 15 4 5" xfId="17976" xr:uid="{00000000-0005-0000-0000-0000A2170000}"/>
    <cellStyle name="20% - Accent4 15 5" xfId="2741" xr:uid="{00000000-0005-0000-0000-0000A3170000}"/>
    <cellStyle name="20% - Accent4 15 5 2" xfId="2742" xr:uid="{00000000-0005-0000-0000-0000A4170000}"/>
    <cellStyle name="20% - Accent4 15 5 2 2" xfId="14029" xr:uid="{00000000-0005-0000-0000-0000A5170000}"/>
    <cellStyle name="20% - Accent4 15 5 2 3" xfId="17980" xr:uid="{00000000-0005-0000-0000-0000A6170000}"/>
    <cellStyle name="20% - Accent4 15 5 3" xfId="2743" xr:uid="{00000000-0005-0000-0000-0000A7170000}"/>
    <cellStyle name="20% - Accent4 15 5 3 2" xfId="14030" xr:uid="{00000000-0005-0000-0000-0000A8170000}"/>
    <cellStyle name="20% - Accent4 15 5 3 3" xfId="17981" xr:uid="{00000000-0005-0000-0000-0000A9170000}"/>
    <cellStyle name="20% - Accent4 15 5 4" xfId="14028" xr:uid="{00000000-0005-0000-0000-0000AA170000}"/>
    <cellStyle name="20% - Accent4 15 5 5" xfId="17979" xr:uid="{00000000-0005-0000-0000-0000AB170000}"/>
    <cellStyle name="20% - Accent4 15 6" xfId="2744" xr:uid="{00000000-0005-0000-0000-0000AC170000}"/>
    <cellStyle name="20% - Accent4 15 6 2" xfId="2745" xr:uid="{00000000-0005-0000-0000-0000AD170000}"/>
    <cellStyle name="20% - Accent4 15 6 2 2" xfId="14032" xr:uid="{00000000-0005-0000-0000-0000AE170000}"/>
    <cellStyle name="20% - Accent4 15 6 2 3" xfId="17983" xr:uid="{00000000-0005-0000-0000-0000AF170000}"/>
    <cellStyle name="20% - Accent4 15 6 3" xfId="2746" xr:uid="{00000000-0005-0000-0000-0000B0170000}"/>
    <cellStyle name="20% - Accent4 15 6 3 2" xfId="14033" xr:uid="{00000000-0005-0000-0000-0000B1170000}"/>
    <cellStyle name="20% - Accent4 15 6 3 3" xfId="17984" xr:uid="{00000000-0005-0000-0000-0000B2170000}"/>
    <cellStyle name="20% - Accent4 15 6 4" xfId="14031" xr:uid="{00000000-0005-0000-0000-0000B3170000}"/>
    <cellStyle name="20% - Accent4 15 6 5" xfId="17982" xr:uid="{00000000-0005-0000-0000-0000B4170000}"/>
    <cellStyle name="20% - Accent4 15 7" xfId="2747" xr:uid="{00000000-0005-0000-0000-0000B5170000}"/>
    <cellStyle name="20% - Accent4 15 7 2" xfId="14034" xr:uid="{00000000-0005-0000-0000-0000B6170000}"/>
    <cellStyle name="20% - Accent4 15 7 3" xfId="17985" xr:uid="{00000000-0005-0000-0000-0000B7170000}"/>
    <cellStyle name="20% - Accent4 15 8" xfId="2748" xr:uid="{00000000-0005-0000-0000-0000B8170000}"/>
    <cellStyle name="20% - Accent4 15 8 2" xfId="14035" xr:uid="{00000000-0005-0000-0000-0000B9170000}"/>
    <cellStyle name="20% - Accent4 15 8 3" xfId="17986" xr:uid="{00000000-0005-0000-0000-0000BA170000}"/>
    <cellStyle name="20% - Accent4 15 9" xfId="14003" xr:uid="{00000000-0005-0000-0000-0000BB170000}"/>
    <cellStyle name="20% - Accent4 15_Volatility" xfId="2749" xr:uid="{00000000-0005-0000-0000-0000BC170000}"/>
    <cellStyle name="20% - Accent4 16" xfId="2750" xr:uid="{00000000-0005-0000-0000-0000BD170000}"/>
    <cellStyle name="20% - Accent4 16 2" xfId="14036" xr:uid="{00000000-0005-0000-0000-0000BE170000}"/>
    <cellStyle name="20% - Accent4 16 3" xfId="17987" xr:uid="{00000000-0005-0000-0000-0000BF170000}"/>
    <cellStyle name="20% - Accent4 17" xfId="2751" xr:uid="{00000000-0005-0000-0000-0000C0170000}"/>
    <cellStyle name="20% - Accent4 17 2" xfId="14037" xr:uid="{00000000-0005-0000-0000-0000C1170000}"/>
    <cellStyle name="20% - Accent4 17 3" xfId="17988" xr:uid="{00000000-0005-0000-0000-0000C2170000}"/>
    <cellStyle name="20% - Accent4 18" xfId="2752" xr:uid="{00000000-0005-0000-0000-0000C3170000}"/>
    <cellStyle name="20% - Accent4 18 2" xfId="14038" xr:uid="{00000000-0005-0000-0000-0000C4170000}"/>
    <cellStyle name="20% - Accent4 18 3" xfId="17989" xr:uid="{00000000-0005-0000-0000-0000C5170000}"/>
    <cellStyle name="20% - Accent4 19" xfId="2753" xr:uid="{00000000-0005-0000-0000-0000C6170000}"/>
    <cellStyle name="20% - Accent4 19 2" xfId="14039" xr:uid="{00000000-0005-0000-0000-0000C7170000}"/>
    <cellStyle name="20% - Accent4 19 3" xfId="17990" xr:uid="{00000000-0005-0000-0000-0000C8170000}"/>
    <cellStyle name="20% - Accent4 2" xfId="2754" xr:uid="{00000000-0005-0000-0000-0000C9170000}"/>
    <cellStyle name="20% - Accent4 2 10" xfId="17991" xr:uid="{00000000-0005-0000-0000-0000CA170000}"/>
    <cellStyle name="20% - Accent4 2 2" xfId="2755" xr:uid="{00000000-0005-0000-0000-0000CB170000}"/>
    <cellStyle name="20% - Accent4 2 2 2" xfId="2756" xr:uid="{00000000-0005-0000-0000-0000CC170000}"/>
    <cellStyle name="20% - Accent4 2 2 2 2" xfId="2757" xr:uid="{00000000-0005-0000-0000-0000CD170000}"/>
    <cellStyle name="20% - Accent4 2 2 2 2 2" xfId="14043" xr:uid="{00000000-0005-0000-0000-0000CE170000}"/>
    <cellStyle name="20% - Accent4 2 2 2 2 3" xfId="17994" xr:uid="{00000000-0005-0000-0000-0000CF170000}"/>
    <cellStyle name="20% - Accent4 2 2 2 3" xfId="2758" xr:uid="{00000000-0005-0000-0000-0000D0170000}"/>
    <cellStyle name="20% - Accent4 2 2 2 3 2" xfId="14044" xr:uid="{00000000-0005-0000-0000-0000D1170000}"/>
    <cellStyle name="20% - Accent4 2 2 2 3 3" xfId="17995" xr:uid="{00000000-0005-0000-0000-0000D2170000}"/>
    <cellStyle name="20% - Accent4 2 2 2 4" xfId="14042" xr:uid="{00000000-0005-0000-0000-0000D3170000}"/>
    <cellStyle name="20% - Accent4 2 2 2 5" xfId="17993" xr:uid="{00000000-0005-0000-0000-0000D4170000}"/>
    <cellStyle name="20% - Accent4 2 2 3" xfId="2759" xr:uid="{00000000-0005-0000-0000-0000D5170000}"/>
    <cellStyle name="20% - Accent4 2 2 3 2" xfId="2760" xr:uid="{00000000-0005-0000-0000-0000D6170000}"/>
    <cellStyle name="20% - Accent4 2 2 3 2 2" xfId="14046" xr:uid="{00000000-0005-0000-0000-0000D7170000}"/>
    <cellStyle name="20% - Accent4 2 2 3 2 3" xfId="17997" xr:uid="{00000000-0005-0000-0000-0000D8170000}"/>
    <cellStyle name="20% - Accent4 2 2 3 3" xfId="2761" xr:uid="{00000000-0005-0000-0000-0000D9170000}"/>
    <cellStyle name="20% - Accent4 2 2 3 3 2" xfId="14047" xr:uid="{00000000-0005-0000-0000-0000DA170000}"/>
    <cellStyle name="20% - Accent4 2 2 3 3 3" xfId="17998" xr:uid="{00000000-0005-0000-0000-0000DB170000}"/>
    <cellStyle name="20% - Accent4 2 2 3 4" xfId="14045" xr:uid="{00000000-0005-0000-0000-0000DC170000}"/>
    <cellStyle name="20% - Accent4 2 2 3 5" xfId="17996" xr:uid="{00000000-0005-0000-0000-0000DD170000}"/>
    <cellStyle name="20% - Accent4 2 2 4" xfId="2762" xr:uid="{00000000-0005-0000-0000-0000DE170000}"/>
    <cellStyle name="20% - Accent4 2 2 4 2" xfId="2763" xr:uid="{00000000-0005-0000-0000-0000DF170000}"/>
    <cellStyle name="20% - Accent4 2 2 4 2 2" xfId="14049" xr:uid="{00000000-0005-0000-0000-0000E0170000}"/>
    <cellStyle name="20% - Accent4 2 2 4 2 3" xfId="18000" xr:uid="{00000000-0005-0000-0000-0000E1170000}"/>
    <cellStyle name="20% - Accent4 2 2 4 3" xfId="2764" xr:uid="{00000000-0005-0000-0000-0000E2170000}"/>
    <cellStyle name="20% - Accent4 2 2 4 3 2" xfId="14050" xr:uid="{00000000-0005-0000-0000-0000E3170000}"/>
    <cellStyle name="20% - Accent4 2 2 4 3 3" xfId="18001" xr:uid="{00000000-0005-0000-0000-0000E4170000}"/>
    <cellStyle name="20% - Accent4 2 2 4 4" xfId="14048" xr:uid="{00000000-0005-0000-0000-0000E5170000}"/>
    <cellStyle name="20% - Accent4 2 2 4 5" xfId="17999" xr:uid="{00000000-0005-0000-0000-0000E6170000}"/>
    <cellStyle name="20% - Accent4 2 2 5" xfId="2765" xr:uid="{00000000-0005-0000-0000-0000E7170000}"/>
    <cellStyle name="20% - Accent4 2 2 5 2" xfId="14051" xr:uid="{00000000-0005-0000-0000-0000E8170000}"/>
    <cellStyle name="20% - Accent4 2 2 5 3" xfId="18002" xr:uid="{00000000-0005-0000-0000-0000E9170000}"/>
    <cellStyle name="20% - Accent4 2 2 6" xfId="2766" xr:uid="{00000000-0005-0000-0000-0000EA170000}"/>
    <cellStyle name="20% - Accent4 2 2 6 2" xfId="14052" xr:uid="{00000000-0005-0000-0000-0000EB170000}"/>
    <cellStyle name="20% - Accent4 2 2 6 3" xfId="18003" xr:uid="{00000000-0005-0000-0000-0000EC170000}"/>
    <cellStyle name="20% - Accent4 2 2 7" xfId="14041" xr:uid="{00000000-0005-0000-0000-0000ED170000}"/>
    <cellStyle name="20% - Accent4 2 2 8" xfId="17992" xr:uid="{00000000-0005-0000-0000-0000EE170000}"/>
    <cellStyle name="20% - Accent4 2 2_Volatility" xfId="2767" xr:uid="{00000000-0005-0000-0000-0000EF170000}"/>
    <cellStyle name="20% - Accent4 2 3" xfId="2768" xr:uid="{00000000-0005-0000-0000-0000F0170000}"/>
    <cellStyle name="20% - Accent4 2 3 2" xfId="2769" xr:uid="{00000000-0005-0000-0000-0000F1170000}"/>
    <cellStyle name="20% - Accent4 2 3 2 2" xfId="2770" xr:uid="{00000000-0005-0000-0000-0000F2170000}"/>
    <cellStyle name="20% - Accent4 2 3 2 2 2" xfId="14055" xr:uid="{00000000-0005-0000-0000-0000F3170000}"/>
    <cellStyle name="20% - Accent4 2 3 2 2 3" xfId="18006" xr:uid="{00000000-0005-0000-0000-0000F4170000}"/>
    <cellStyle name="20% - Accent4 2 3 2 3" xfId="2771" xr:uid="{00000000-0005-0000-0000-0000F5170000}"/>
    <cellStyle name="20% - Accent4 2 3 2 3 2" xfId="14056" xr:uid="{00000000-0005-0000-0000-0000F6170000}"/>
    <cellStyle name="20% - Accent4 2 3 2 3 3" xfId="18007" xr:uid="{00000000-0005-0000-0000-0000F7170000}"/>
    <cellStyle name="20% - Accent4 2 3 2 4" xfId="14054" xr:uid="{00000000-0005-0000-0000-0000F8170000}"/>
    <cellStyle name="20% - Accent4 2 3 2 5" xfId="18005" xr:uid="{00000000-0005-0000-0000-0000F9170000}"/>
    <cellStyle name="20% - Accent4 2 3 3" xfId="2772" xr:uid="{00000000-0005-0000-0000-0000FA170000}"/>
    <cellStyle name="20% - Accent4 2 3 3 2" xfId="2773" xr:uid="{00000000-0005-0000-0000-0000FB170000}"/>
    <cellStyle name="20% - Accent4 2 3 3 2 2" xfId="14058" xr:uid="{00000000-0005-0000-0000-0000FC170000}"/>
    <cellStyle name="20% - Accent4 2 3 3 2 3" xfId="18009" xr:uid="{00000000-0005-0000-0000-0000FD170000}"/>
    <cellStyle name="20% - Accent4 2 3 3 3" xfId="2774" xr:uid="{00000000-0005-0000-0000-0000FE170000}"/>
    <cellStyle name="20% - Accent4 2 3 3 3 2" xfId="14059" xr:uid="{00000000-0005-0000-0000-0000FF170000}"/>
    <cellStyle name="20% - Accent4 2 3 3 3 3" xfId="18010" xr:uid="{00000000-0005-0000-0000-000000180000}"/>
    <cellStyle name="20% - Accent4 2 3 3 4" xfId="14057" xr:uid="{00000000-0005-0000-0000-000001180000}"/>
    <cellStyle name="20% - Accent4 2 3 3 5" xfId="18008" xr:uid="{00000000-0005-0000-0000-000002180000}"/>
    <cellStyle name="20% - Accent4 2 3 4" xfId="2775" xr:uid="{00000000-0005-0000-0000-000003180000}"/>
    <cellStyle name="20% - Accent4 2 3 4 2" xfId="14060" xr:uid="{00000000-0005-0000-0000-000004180000}"/>
    <cellStyle name="20% - Accent4 2 3 4 3" xfId="18011" xr:uid="{00000000-0005-0000-0000-000005180000}"/>
    <cellStyle name="20% - Accent4 2 3 5" xfId="2776" xr:uid="{00000000-0005-0000-0000-000006180000}"/>
    <cellStyle name="20% - Accent4 2 3 5 2" xfId="14061" xr:uid="{00000000-0005-0000-0000-000007180000}"/>
    <cellStyle name="20% - Accent4 2 3 5 3" xfId="18012" xr:uid="{00000000-0005-0000-0000-000008180000}"/>
    <cellStyle name="20% - Accent4 2 3 6" xfId="14053" xr:uid="{00000000-0005-0000-0000-000009180000}"/>
    <cellStyle name="20% - Accent4 2 3 7" xfId="18004" xr:uid="{00000000-0005-0000-0000-00000A180000}"/>
    <cellStyle name="20% - Accent4 2 3_Volatility" xfId="2777" xr:uid="{00000000-0005-0000-0000-00000B180000}"/>
    <cellStyle name="20% - Accent4 2 4" xfId="2778" xr:uid="{00000000-0005-0000-0000-00000C180000}"/>
    <cellStyle name="20% - Accent4 2 4 2" xfId="2779" xr:uid="{00000000-0005-0000-0000-00000D180000}"/>
    <cellStyle name="20% - Accent4 2 4 2 2" xfId="14063" xr:uid="{00000000-0005-0000-0000-00000E180000}"/>
    <cellStyle name="20% - Accent4 2 4 2 3" xfId="18014" xr:uid="{00000000-0005-0000-0000-00000F180000}"/>
    <cellStyle name="20% - Accent4 2 4 3" xfId="2780" xr:uid="{00000000-0005-0000-0000-000010180000}"/>
    <cellStyle name="20% - Accent4 2 4 3 2" xfId="14064" xr:uid="{00000000-0005-0000-0000-000011180000}"/>
    <cellStyle name="20% - Accent4 2 4 3 3" xfId="18015" xr:uid="{00000000-0005-0000-0000-000012180000}"/>
    <cellStyle name="20% - Accent4 2 4 4" xfId="14062" xr:uid="{00000000-0005-0000-0000-000013180000}"/>
    <cellStyle name="20% - Accent4 2 4 5" xfId="18013" xr:uid="{00000000-0005-0000-0000-000014180000}"/>
    <cellStyle name="20% - Accent4 2 5" xfId="2781" xr:uid="{00000000-0005-0000-0000-000015180000}"/>
    <cellStyle name="20% - Accent4 2 5 2" xfId="2782" xr:uid="{00000000-0005-0000-0000-000016180000}"/>
    <cellStyle name="20% - Accent4 2 5 2 2" xfId="14066" xr:uid="{00000000-0005-0000-0000-000017180000}"/>
    <cellStyle name="20% - Accent4 2 5 2 3" xfId="18017" xr:uid="{00000000-0005-0000-0000-000018180000}"/>
    <cellStyle name="20% - Accent4 2 5 3" xfId="2783" xr:uid="{00000000-0005-0000-0000-000019180000}"/>
    <cellStyle name="20% - Accent4 2 5 3 2" xfId="14067" xr:uid="{00000000-0005-0000-0000-00001A180000}"/>
    <cellStyle name="20% - Accent4 2 5 3 3" xfId="18018" xr:uid="{00000000-0005-0000-0000-00001B180000}"/>
    <cellStyle name="20% - Accent4 2 5 4" xfId="14065" xr:uid="{00000000-0005-0000-0000-00001C180000}"/>
    <cellStyle name="20% - Accent4 2 5 5" xfId="18016" xr:uid="{00000000-0005-0000-0000-00001D180000}"/>
    <cellStyle name="20% - Accent4 2 6" xfId="2784" xr:uid="{00000000-0005-0000-0000-00001E180000}"/>
    <cellStyle name="20% - Accent4 2 6 2" xfId="2785" xr:uid="{00000000-0005-0000-0000-00001F180000}"/>
    <cellStyle name="20% - Accent4 2 6 2 2" xfId="14069" xr:uid="{00000000-0005-0000-0000-000020180000}"/>
    <cellStyle name="20% - Accent4 2 6 2 3" xfId="18020" xr:uid="{00000000-0005-0000-0000-000021180000}"/>
    <cellStyle name="20% - Accent4 2 6 3" xfId="2786" xr:uid="{00000000-0005-0000-0000-000022180000}"/>
    <cellStyle name="20% - Accent4 2 6 3 2" xfId="14070" xr:uid="{00000000-0005-0000-0000-000023180000}"/>
    <cellStyle name="20% - Accent4 2 6 3 3" xfId="18021" xr:uid="{00000000-0005-0000-0000-000024180000}"/>
    <cellStyle name="20% - Accent4 2 6 4" xfId="14068" xr:uid="{00000000-0005-0000-0000-000025180000}"/>
    <cellStyle name="20% - Accent4 2 6 5" xfId="18019" xr:uid="{00000000-0005-0000-0000-000026180000}"/>
    <cellStyle name="20% - Accent4 2 7" xfId="2787" xr:uid="{00000000-0005-0000-0000-000027180000}"/>
    <cellStyle name="20% - Accent4 2 7 2" xfId="14071" xr:uid="{00000000-0005-0000-0000-000028180000}"/>
    <cellStyle name="20% - Accent4 2 7 3" xfId="18022" xr:uid="{00000000-0005-0000-0000-000029180000}"/>
    <cellStyle name="20% - Accent4 2 8" xfId="2788" xr:uid="{00000000-0005-0000-0000-00002A180000}"/>
    <cellStyle name="20% - Accent4 2 8 2" xfId="14072" xr:uid="{00000000-0005-0000-0000-00002B180000}"/>
    <cellStyle name="20% - Accent4 2 8 3" xfId="18023" xr:uid="{00000000-0005-0000-0000-00002C180000}"/>
    <cellStyle name="20% - Accent4 2 9" xfId="14040" xr:uid="{00000000-0005-0000-0000-00002D180000}"/>
    <cellStyle name="20% - Accent4 2_Volatility" xfId="2789" xr:uid="{00000000-0005-0000-0000-00002E180000}"/>
    <cellStyle name="20% - Accent4 3" xfId="2790" xr:uid="{00000000-0005-0000-0000-00002F180000}"/>
    <cellStyle name="20% - Accent4 3 10" xfId="18024" xr:uid="{00000000-0005-0000-0000-000030180000}"/>
    <cellStyle name="20% - Accent4 3 2" xfId="2791" xr:uid="{00000000-0005-0000-0000-000031180000}"/>
    <cellStyle name="20% - Accent4 3 2 2" xfId="2792" xr:uid="{00000000-0005-0000-0000-000032180000}"/>
    <cellStyle name="20% - Accent4 3 2 2 2" xfId="2793" xr:uid="{00000000-0005-0000-0000-000033180000}"/>
    <cellStyle name="20% - Accent4 3 2 2 2 2" xfId="14076" xr:uid="{00000000-0005-0000-0000-000034180000}"/>
    <cellStyle name="20% - Accent4 3 2 2 2 3" xfId="18027" xr:uid="{00000000-0005-0000-0000-000035180000}"/>
    <cellStyle name="20% - Accent4 3 2 2 3" xfId="2794" xr:uid="{00000000-0005-0000-0000-000036180000}"/>
    <cellStyle name="20% - Accent4 3 2 2 3 2" xfId="14077" xr:uid="{00000000-0005-0000-0000-000037180000}"/>
    <cellStyle name="20% - Accent4 3 2 2 3 3" xfId="18028" xr:uid="{00000000-0005-0000-0000-000038180000}"/>
    <cellStyle name="20% - Accent4 3 2 2 4" xfId="14075" xr:uid="{00000000-0005-0000-0000-000039180000}"/>
    <cellStyle name="20% - Accent4 3 2 2 5" xfId="18026" xr:uid="{00000000-0005-0000-0000-00003A180000}"/>
    <cellStyle name="20% - Accent4 3 2 3" xfId="2795" xr:uid="{00000000-0005-0000-0000-00003B180000}"/>
    <cellStyle name="20% - Accent4 3 2 3 2" xfId="2796" xr:uid="{00000000-0005-0000-0000-00003C180000}"/>
    <cellStyle name="20% - Accent4 3 2 3 2 2" xfId="14079" xr:uid="{00000000-0005-0000-0000-00003D180000}"/>
    <cellStyle name="20% - Accent4 3 2 3 2 3" xfId="18030" xr:uid="{00000000-0005-0000-0000-00003E180000}"/>
    <cellStyle name="20% - Accent4 3 2 3 3" xfId="2797" xr:uid="{00000000-0005-0000-0000-00003F180000}"/>
    <cellStyle name="20% - Accent4 3 2 3 3 2" xfId="14080" xr:uid="{00000000-0005-0000-0000-000040180000}"/>
    <cellStyle name="20% - Accent4 3 2 3 3 3" xfId="18031" xr:uid="{00000000-0005-0000-0000-000041180000}"/>
    <cellStyle name="20% - Accent4 3 2 3 4" xfId="14078" xr:uid="{00000000-0005-0000-0000-000042180000}"/>
    <cellStyle name="20% - Accent4 3 2 3 5" xfId="18029" xr:uid="{00000000-0005-0000-0000-000043180000}"/>
    <cellStyle name="20% - Accent4 3 2 4" xfId="2798" xr:uid="{00000000-0005-0000-0000-000044180000}"/>
    <cellStyle name="20% - Accent4 3 2 4 2" xfId="2799" xr:uid="{00000000-0005-0000-0000-000045180000}"/>
    <cellStyle name="20% - Accent4 3 2 4 2 2" xfId="14082" xr:uid="{00000000-0005-0000-0000-000046180000}"/>
    <cellStyle name="20% - Accent4 3 2 4 2 3" xfId="18033" xr:uid="{00000000-0005-0000-0000-000047180000}"/>
    <cellStyle name="20% - Accent4 3 2 4 3" xfId="2800" xr:uid="{00000000-0005-0000-0000-000048180000}"/>
    <cellStyle name="20% - Accent4 3 2 4 3 2" xfId="14083" xr:uid="{00000000-0005-0000-0000-000049180000}"/>
    <cellStyle name="20% - Accent4 3 2 4 3 3" xfId="18034" xr:uid="{00000000-0005-0000-0000-00004A180000}"/>
    <cellStyle name="20% - Accent4 3 2 4 4" xfId="14081" xr:uid="{00000000-0005-0000-0000-00004B180000}"/>
    <cellStyle name="20% - Accent4 3 2 4 5" xfId="18032" xr:uid="{00000000-0005-0000-0000-00004C180000}"/>
    <cellStyle name="20% - Accent4 3 2 5" xfId="2801" xr:uid="{00000000-0005-0000-0000-00004D180000}"/>
    <cellStyle name="20% - Accent4 3 2 5 2" xfId="14084" xr:uid="{00000000-0005-0000-0000-00004E180000}"/>
    <cellStyle name="20% - Accent4 3 2 5 3" xfId="18035" xr:uid="{00000000-0005-0000-0000-00004F180000}"/>
    <cellStyle name="20% - Accent4 3 2 6" xfId="2802" xr:uid="{00000000-0005-0000-0000-000050180000}"/>
    <cellStyle name="20% - Accent4 3 2 6 2" xfId="14085" xr:uid="{00000000-0005-0000-0000-000051180000}"/>
    <cellStyle name="20% - Accent4 3 2 6 3" xfId="18036" xr:uid="{00000000-0005-0000-0000-000052180000}"/>
    <cellStyle name="20% - Accent4 3 2 7" xfId="14074" xr:uid="{00000000-0005-0000-0000-000053180000}"/>
    <cellStyle name="20% - Accent4 3 2 8" xfId="18025" xr:uid="{00000000-0005-0000-0000-000054180000}"/>
    <cellStyle name="20% - Accent4 3 2_Volatility" xfId="2803" xr:uid="{00000000-0005-0000-0000-000055180000}"/>
    <cellStyle name="20% - Accent4 3 3" xfId="2804" xr:uid="{00000000-0005-0000-0000-000056180000}"/>
    <cellStyle name="20% - Accent4 3 3 2" xfId="2805" xr:uid="{00000000-0005-0000-0000-000057180000}"/>
    <cellStyle name="20% - Accent4 3 3 2 2" xfId="2806" xr:uid="{00000000-0005-0000-0000-000058180000}"/>
    <cellStyle name="20% - Accent4 3 3 2 2 2" xfId="14088" xr:uid="{00000000-0005-0000-0000-000059180000}"/>
    <cellStyle name="20% - Accent4 3 3 2 2 3" xfId="18039" xr:uid="{00000000-0005-0000-0000-00005A180000}"/>
    <cellStyle name="20% - Accent4 3 3 2 3" xfId="2807" xr:uid="{00000000-0005-0000-0000-00005B180000}"/>
    <cellStyle name="20% - Accent4 3 3 2 3 2" xfId="14089" xr:uid="{00000000-0005-0000-0000-00005C180000}"/>
    <cellStyle name="20% - Accent4 3 3 2 3 3" xfId="18040" xr:uid="{00000000-0005-0000-0000-00005D180000}"/>
    <cellStyle name="20% - Accent4 3 3 2 4" xfId="14087" xr:uid="{00000000-0005-0000-0000-00005E180000}"/>
    <cellStyle name="20% - Accent4 3 3 2 5" xfId="18038" xr:uid="{00000000-0005-0000-0000-00005F180000}"/>
    <cellStyle name="20% - Accent4 3 3 3" xfId="2808" xr:uid="{00000000-0005-0000-0000-000060180000}"/>
    <cellStyle name="20% - Accent4 3 3 3 2" xfId="2809" xr:uid="{00000000-0005-0000-0000-000061180000}"/>
    <cellStyle name="20% - Accent4 3 3 3 2 2" xfId="14091" xr:uid="{00000000-0005-0000-0000-000062180000}"/>
    <cellStyle name="20% - Accent4 3 3 3 2 3" xfId="18042" xr:uid="{00000000-0005-0000-0000-000063180000}"/>
    <cellStyle name="20% - Accent4 3 3 3 3" xfId="2810" xr:uid="{00000000-0005-0000-0000-000064180000}"/>
    <cellStyle name="20% - Accent4 3 3 3 3 2" xfId="14092" xr:uid="{00000000-0005-0000-0000-000065180000}"/>
    <cellStyle name="20% - Accent4 3 3 3 3 3" xfId="18043" xr:uid="{00000000-0005-0000-0000-000066180000}"/>
    <cellStyle name="20% - Accent4 3 3 3 4" xfId="14090" xr:uid="{00000000-0005-0000-0000-000067180000}"/>
    <cellStyle name="20% - Accent4 3 3 3 5" xfId="18041" xr:uid="{00000000-0005-0000-0000-000068180000}"/>
    <cellStyle name="20% - Accent4 3 3 4" xfId="2811" xr:uid="{00000000-0005-0000-0000-000069180000}"/>
    <cellStyle name="20% - Accent4 3 3 4 2" xfId="14093" xr:uid="{00000000-0005-0000-0000-00006A180000}"/>
    <cellStyle name="20% - Accent4 3 3 4 3" xfId="18044" xr:uid="{00000000-0005-0000-0000-00006B180000}"/>
    <cellStyle name="20% - Accent4 3 3 5" xfId="2812" xr:uid="{00000000-0005-0000-0000-00006C180000}"/>
    <cellStyle name="20% - Accent4 3 3 5 2" xfId="14094" xr:uid="{00000000-0005-0000-0000-00006D180000}"/>
    <cellStyle name="20% - Accent4 3 3 5 3" xfId="18045" xr:uid="{00000000-0005-0000-0000-00006E180000}"/>
    <cellStyle name="20% - Accent4 3 3 6" xfId="14086" xr:uid="{00000000-0005-0000-0000-00006F180000}"/>
    <cellStyle name="20% - Accent4 3 3 7" xfId="18037" xr:uid="{00000000-0005-0000-0000-000070180000}"/>
    <cellStyle name="20% - Accent4 3 3_Volatility" xfId="2813" xr:uid="{00000000-0005-0000-0000-000071180000}"/>
    <cellStyle name="20% - Accent4 3 4" xfId="2814" xr:uid="{00000000-0005-0000-0000-000072180000}"/>
    <cellStyle name="20% - Accent4 3 4 2" xfId="2815" xr:uid="{00000000-0005-0000-0000-000073180000}"/>
    <cellStyle name="20% - Accent4 3 4 2 2" xfId="14096" xr:uid="{00000000-0005-0000-0000-000074180000}"/>
    <cellStyle name="20% - Accent4 3 4 2 3" xfId="18047" xr:uid="{00000000-0005-0000-0000-000075180000}"/>
    <cellStyle name="20% - Accent4 3 4 3" xfId="2816" xr:uid="{00000000-0005-0000-0000-000076180000}"/>
    <cellStyle name="20% - Accent4 3 4 3 2" xfId="14097" xr:uid="{00000000-0005-0000-0000-000077180000}"/>
    <cellStyle name="20% - Accent4 3 4 3 3" xfId="18048" xr:uid="{00000000-0005-0000-0000-000078180000}"/>
    <cellStyle name="20% - Accent4 3 4 4" xfId="14095" xr:uid="{00000000-0005-0000-0000-000079180000}"/>
    <cellStyle name="20% - Accent4 3 4 5" xfId="18046" xr:uid="{00000000-0005-0000-0000-00007A180000}"/>
    <cellStyle name="20% - Accent4 3 5" xfId="2817" xr:uid="{00000000-0005-0000-0000-00007B180000}"/>
    <cellStyle name="20% - Accent4 3 5 2" xfId="2818" xr:uid="{00000000-0005-0000-0000-00007C180000}"/>
    <cellStyle name="20% - Accent4 3 5 2 2" xfId="14099" xr:uid="{00000000-0005-0000-0000-00007D180000}"/>
    <cellStyle name="20% - Accent4 3 5 2 3" xfId="18050" xr:uid="{00000000-0005-0000-0000-00007E180000}"/>
    <cellStyle name="20% - Accent4 3 5 3" xfId="2819" xr:uid="{00000000-0005-0000-0000-00007F180000}"/>
    <cellStyle name="20% - Accent4 3 5 3 2" xfId="14100" xr:uid="{00000000-0005-0000-0000-000080180000}"/>
    <cellStyle name="20% - Accent4 3 5 3 3" xfId="18051" xr:uid="{00000000-0005-0000-0000-000081180000}"/>
    <cellStyle name="20% - Accent4 3 5 4" xfId="14098" xr:uid="{00000000-0005-0000-0000-000082180000}"/>
    <cellStyle name="20% - Accent4 3 5 5" xfId="18049" xr:uid="{00000000-0005-0000-0000-000083180000}"/>
    <cellStyle name="20% - Accent4 3 6" xfId="2820" xr:uid="{00000000-0005-0000-0000-000084180000}"/>
    <cellStyle name="20% - Accent4 3 6 2" xfId="2821" xr:uid="{00000000-0005-0000-0000-000085180000}"/>
    <cellStyle name="20% - Accent4 3 6 2 2" xfId="14102" xr:uid="{00000000-0005-0000-0000-000086180000}"/>
    <cellStyle name="20% - Accent4 3 6 2 3" xfId="18053" xr:uid="{00000000-0005-0000-0000-000087180000}"/>
    <cellStyle name="20% - Accent4 3 6 3" xfId="2822" xr:uid="{00000000-0005-0000-0000-000088180000}"/>
    <cellStyle name="20% - Accent4 3 6 3 2" xfId="14103" xr:uid="{00000000-0005-0000-0000-000089180000}"/>
    <cellStyle name="20% - Accent4 3 6 3 3" xfId="18054" xr:uid="{00000000-0005-0000-0000-00008A180000}"/>
    <cellStyle name="20% - Accent4 3 6 4" xfId="14101" xr:uid="{00000000-0005-0000-0000-00008B180000}"/>
    <cellStyle name="20% - Accent4 3 6 5" xfId="18052" xr:uid="{00000000-0005-0000-0000-00008C180000}"/>
    <cellStyle name="20% - Accent4 3 7" xfId="2823" xr:uid="{00000000-0005-0000-0000-00008D180000}"/>
    <cellStyle name="20% - Accent4 3 7 2" xfId="14104" xr:uid="{00000000-0005-0000-0000-00008E180000}"/>
    <cellStyle name="20% - Accent4 3 7 3" xfId="18055" xr:uid="{00000000-0005-0000-0000-00008F180000}"/>
    <cellStyle name="20% - Accent4 3 8" xfId="2824" xr:uid="{00000000-0005-0000-0000-000090180000}"/>
    <cellStyle name="20% - Accent4 3 8 2" xfId="14105" xr:uid="{00000000-0005-0000-0000-000091180000}"/>
    <cellStyle name="20% - Accent4 3 8 3" xfId="18056" xr:uid="{00000000-0005-0000-0000-000092180000}"/>
    <cellStyle name="20% - Accent4 3 9" xfId="14073" xr:uid="{00000000-0005-0000-0000-000093180000}"/>
    <cellStyle name="20% - Accent4 3_Volatility" xfId="2825" xr:uid="{00000000-0005-0000-0000-000094180000}"/>
    <cellStyle name="20% - Accent4 4" xfId="2826" xr:uid="{00000000-0005-0000-0000-000095180000}"/>
    <cellStyle name="20% - Accent4 4 10" xfId="18057" xr:uid="{00000000-0005-0000-0000-000096180000}"/>
    <cellStyle name="20% - Accent4 4 2" xfId="2827" xr:uid="{00000000-0005-0000-0000-000097180000}"/>
    <cellStyle name="20% - Accent4 4 2 2" xfId="2828" xr:uid="{00000000-0005-0000-0000-000098180000}"/>
    <cellStyle name="20% - Accent4 4 2 2 2" xfId="2829" xr:uid="{00000000-0005-0000-0000-000099180000}"/>
    <cellStyle name="20% - Accent4 4 2 2 2 2" xfId="14109" xr:uid="{00000000-0005-0000-0000-00009A180000}"/>
    <cellStyle name="20% - Accent4 4 2 2 2 3" xfId="18060" xr:uid="{00000000-0005-0000-0000-00009B180000}"/>
    <cellStyle name="20% - Accent4 4 2 2 3" xfId="2830" xr:uid="{00000000-0005-0000-0000-00009C180000}"/>
    <cellStyle name="20% - Accent4 4 2 2 3 2" xfId="14110" xr:uid="{00000000-0005-0000-0000-00009D180000}"/>
    <cellStyle name="20% - Accent4 4 2 2 3 3" xfId="18061" xr:uid="{00000000-0005-0000-0000-00009E180000}"/>
    <cellStyle name="20% - Accent4 4 2 2 4" xfId="14108" xr:uid="{00000000-0005-0000-0000-00009F180000}"/>
    <cellStyle name="20% - Accent4 4 2 2 5" xfId="18059" xr:uid="{00000000-0005-0000-0000-0000A0180000}"/>
    <cellStyle name="20% - Accent4 4 2 3" xfId="2831" xr:uid="{00000000-0005-0000-0000-0000A1180000}"/>
    <cellStyle name="20% - Accent4 4 2 3 2" xfId="2832" xr:uid="{00000000-0005-0000-0000-0000A2180000}"/>
    <cellStyle name="20% - Accent4 4 2 3 2 2" xfId="14112" xr:uid="{00000000-0005-0000-0000-0000A3180000}"/>
    <cellStyle name="20% - Accent4 4 2 3 2 3" xfId="18063" xr:uid="{00000000-0005-0000-0000-0000A4180000}"/>
    <cellStyle name="20% - Accent4 4 2 3 3" xfId="2833" xr:uid="{00000000-0005-0000-0000-0000A5180000}"/>
    <cellStyle name="20% - Accent4 4 2 3 3 2" xfId="14113" xr:uid="{00000000-0005-0000-0000-0000A6180000}"/>
    <cellStyle name="20% - Accent4 4 2 3 3 3" xfId="18064" xr:uid="{00000000-0005-0000-0000-0000A7180000}"/>
    <cellStyle name="20% - Accent4 4 2 3 4" xfId="14111" xr:uid="{00000000-0005-0000-0000-0000A8180000}"/>
    <cellStyle name="20% - Accent4 4 2 3 5" xfId="18062" xr:uid="{00000000-0005-0000-0000-0000A9180000}"/>
    <cellStyle name="20% - Accent4 4 2 4" xfId="2834" xr:uid="{00000000-0005-0000-0000-0000AA180000}"/>
    <cellStyle name="20% - Accent4 4 2 4 2" xfId="2835" xr:uid="{00000000-0005-0000-0000-0000AB180000}"/>
    <cellStyle name="20% - Accent4 4 2 4 2 2" xfId="14115" xr:uid="{00000000-0005-0000-0000-0000AC180000}"/>
    <cellStyle name="20% - Accent4 4 2 4 2 3" xfId="18066" xr:uid="{00000000-0005-0000-0000-0000AD180000}"/>
    <cellStyle name="20% - Accent4 4 2 4 3" xfId="2836" xr:uid="{00000000-0005-0000-0000-0000AE180000}"/>
    <cellStyle name="20% - Accent4 4 2 4 3 2" xfId="14116" xr:uid="{00000000-0005-0000-0000-0000AF180000}"/>
    <cellStyle name="20% - Accent4 4 2 4 3 3" xfId="18067" xr:uid="{00000000-0005-0000-0000-0000B0180000}"/>
    <cellStyle name="20% - Accent4 4 2 4 4" xfId="14114" xr:uid="{00000000-0005-0000-0000-0000B1180000}"/>
    <cellStyle name="20% - Accent4 4 2 4 5" xfId="18065" xr:uid="{00000000-0005-0000-0000-0000B2180000}"/>
    <cellStyle name="20% - Accent4 4 2 5" xfId="2837" xr:uid="{00000000-0005-0000-0000-0000B3180000}"/>
    <cellStyle name="20% - Accent4 4 2 5 2" xfId="14117" xr:uid="{00000000-0005-0000-0000-0000B4180000}"/>
    <cellStyle name="20% - Accent4 4 2 5 3" xfId="18068" xr:uid="{00000000-0005-0000-0000-0000B5180000}"/>
    <cellStyle name="20% - Accent4 4 2 6" xfId="2838" xr:uid="{00000000-0005-0000-0000-0000B6180000}"/>
    <cellStyle name="20% - Accent4 4 2 6 2" xfId="14118" xr:uid="{00000000-0005-0000-0000-0000B7180000}"/>
    <cellStyle name="20% - Accent4 4 2 6 3" xfId="18069" xr:uid="{00000000-0005-0000-0000-0000B8180000}"/>
    <cellStyle name="20% - Accent4 4 2 7" xfId="14107" xr:uid="{00000000-0005-0000-0000-0000B9180000}"/>
    <cellStyle name="20% - Accent4 4 2 8" xfId="18058" xr:uid="{00000000-0005-0000-0000-0000BA180000}"/>
    <cellStyle name="20% - Accent4 4 2_Volatility" xfId="2839" xr:uid="{00000000-0005-0000-0000-0000BB180000}"/>
    <cellStyle name="20% - Accent4 4 3" xfId="2840" xr:uid="{00000000-0005-0000-0000-0000BC180000}"/>
    <cellStyle name="20% - Accent4 4 3 2" xfId="2841" xr:uid="{00000000-0005-0000-0000-0000BD180000}"/>
    <cellStyle name="20% - Accent4 4 3 2 2" xfId="2842" xr:uid="{00000000-0005-0000-0000-0000BE180000}"/>
    <cellStyle name="20% - Accent4 4 3 2 2 2" xfId="14121" xr:uid="{00000000-0005-0000-0000-0000BF180000}"/>
    <cellStyle name="20% - Accent4 4 3 2 2 3" xfId="18072" xr:uid="{00000000-0005-0000-0000-0000C0180000}"/>
    <cellStyle name="20% - Accent4 4 3 2 3" xfId="2843" xr:uid="{00000000-0005-0000-0000-0000C1180000}"/>
    <cellStyle name="20% - Accent4 4 3 2 3 2" xfId="14122" xr:uid="{00000000-0005-0000-0000-0000C2180000}"/>
    <cellStyle name="20% - Accent4 4 3 2 3 3" xfId="18073" xr:uid="{00000000-0005-0000-0000-0000C3180000}"/>
    <cellStyle name="20% - Accent4 4 3 2 4" xfId="14120" xr:uid="{00000000-0005-0000-0000-0000C4180000}"/>
    <cellStyle name="20% - Accent4 4 3 2 5" xfId="18071" xr:uid="{00000000-0005-0000-0000-0000C5180000}"/>
    <cellStyle name="20% - Accent4 4 3 3" xfId="2844" xr:uid="{00000000-0005-0000-0000-0000C6180000}"/>
    <cellStyle name="20% - Accent4 4 3 3 2" xfId="2845" xr:uid="{00000000-0005-0000-0000-0000C7180000}"/>
    <cellStyle name="20% - Accent4 4 3 3 2 2" xfId="14124" xr:uid="{00000000-0005-0000-0000-0000C8180000}"/>
    <cellStyle name="20% - Accent4 4 3 3 2 3" xfId="18075" xr:uid="{00000000-0005-0000-0000-0000C9180000}"/>
    <cellStyle name="20% - Accent4 4 3 3 3" xfId="2846" xr:uid="{00000000-0005-0000-0000-0000CA180000}"/>
    <cellStyle name="20% - Accent4 4 3 3 3 2" xfId="14125" xr:uid="{00000000-0005-0000-0000-0000CB180000}"/>
    <cellStyle name="20% - Accent4 4 3 3 3 3" xfId="18076" xr:uid="{00000000-0005-0000-0000-0000CC180000}"/>
    <cellStyle name="20% - Accent4 4 3 3 4" xfId="14123" xr:uid="{00000000-0005-0000-0000-0000CD180000}"/>
    <cellStyle name="20% - Accent4 4 3 3 5" xfId="18074" xr:uid="{00000000-0005-0000-0000-0000CE180000}"/>
    <cellStyle name="20% - Accent4 4 3 4" xfId="2847" xr:uid="{00000000-0005-0000-0000-0000CF180000}"/>
    <cellStyle name="20% - Accent4 4 3 4 2" xfId="14126" xr:uid="{00000000-0005-0000-0000-0000D0180000}"/>
    <cellStyle name="20% - Accent4 4 3 4 3" xfId="18077" xr:uid="{00000000-0005-0000-0000-0000D1180000}"/>
    <cellStyle name="20% - Accent4 4 3 5" xfId="2848" xr:uid="{00000000-0005-0000-0000-0000D2180000}"/>
    <cellStyle name="20% - Accent4 4 3 5 2" xfId="14127" xr:uid="{00000000-0005-0000-0000-0000D3180000}"/>
    <cellStyle name="20% - Accent4 4 3 5 3" xfId="18078" xr:uid="{00000000-0005-0000-0000-0000D4180000}"/>
    <cellStyle name="20% - Accent4 4 3 6" xfId="14119" xr:uid="{00000000-0005-0000-0000-0000D5180000}"/>
    <cellStyle name="20% - Accent4 4 3 7" xfId="18070" xr:uid="{00000000-0005-0000-0000-0000D6180000}"/>
    <cellStyle name="20% - Accent4 4 3_Volatility" xfId="2849" xr:uid="{00000000-0005-0000-0000-0000D7180000}"/>
    <cellStyle name="20% - Accent4 4 4" xfId="2850" xr:uid="{00000000-0005-0000-0000-0000D8180000}"/>
    <cellStyle name="20% - Accent4 4 4 2" xfId="2851" xr:uid="{00000000-0005-0000-0000-0000D9180000}"/>
    <cellStyle name="20% - Accent4 4 4 2 2" xfId="14129" xr:uid="{00000000-0005-0000-0000-0000DA180000}"/>
    <cellStyle name="20% - Accent4 4 4 2 3" xfId="18080" xr:uid="{00000000-0005-0000-0000-0000DB180000}"/>
    <cellStyle name="20% - Accent4 4 4 3" xfId="2852" xr:uid="{00000000-0005-0000-0000-0000DC180000}"/>
    <cellStyle name="20% - Accent4 4 4 3 2" xfId="14130" xr:uid="{00000000-0005-0000-0000-0000DD180000}"/>
    <cellStyle name="20% - Accent4 4 4 3 3" xfId="18081" xr:uid="{00000000-0005-0000-0000-0000DE180000}"/>
    <cellStyle name="20% - Accent4 4 4 4" xfId="14128" xr:uid="{00000000-0005-0000-0000-0000DF180000}"/>
    <cellStyle name="20% - Accent4 4 4 5" xfId="18079" xr:uid="{00000000-0005-0000-0000-0000E0180000}"/>
    <cellStyle name="20% - Accent4 4 5" xfId="2853" xr:uid="{00000000-0005-0000-0000-0000E1180000}"/>
    <cellStyle name="20% - Accent4 4 5 2" xfId="2854" xr:uid="{00000000-0005-0000-0000-0000E2180000}"/>
    <cellStyle name="20% - Accent4 4 5 2 2" xfId="14132" xr:uid="{00000000-0005-0000-0000-0000E3180000}"/>
    <cellStyle name="20% - Accent4 4 5 2 3" xfId="18083" xr:uid="{00000000-0005-0000-0000-0000E4180000}"/>
    <cellStyle name="20% - Accent4 4 5 3" xfId="2855" xr:uid="{00000000-0005-0000-0000-0000E5180000}"/>
    <cellStyle name="20% - Accent4 4 5 3 2" xfId="14133" xr:uid="{00000000-0005-0000-0000-0000E6180000}"/>
    <cellStyle name="20% - Accent4 4 5 3 3" xfId="18084" xr:uid="{00000000-0005-0000-0000-0000E7180000}"/>
    <cellStyle name="20% - Accent4 4 5 4" xfId="14131" xr:uid="{00000000-0005-0000-0000-0000E8180000}"/>
    <cellStyle name="20% - Accent4 4 5 5" xfId="18082" xr:uid="{00000000-0005-0000-0000-0000E9180000}"/>
    <cellStyle name="20% - Accent4 4 6" xfId="2856" xr:uid="{00000000-0005-0000-0000-0000EA180000}"/>
    <cellStyle name="20% - Accent4 4 6 2" xfId="2857" xr:uid="{00000000-0005-0000-0000-0000EB180000}"/>
    <cellStyle name="20% - Accent4 4 6 2 2" xfId="14135" xr:uid="{00000000-0005-0000-0000-0000EC180000}"/>
    <cellStyle name="20% - Accent4 4 6 2 3" xfId="18086" xr:uid="{00000000-0005-0000-0000-0000ED180000}"/>
    <cellStyle name="20% - Accent4 4 6 3" xfId="2858" xr:uid="{00000000-0005-0000-0000-0000EE180000}"/>
    <cellStyle name="20% - Accent4 4 6 3 2" xfId="14136" xr:uid="{00000000-0005-0000-0000-0000EF180000}"/>
    <cellStyle name="20% - Accent4 4 6 3 3" xfId="18087" xr:uid="{00000000-0005-0000-0000-0000F0180000}"/>
    <cellStyle name="20% - Accent4 4 6 4" xfId="14134" xr:uid="{00000000-0005-0000-0000-0000F1180000}"/>
    <cellStyle name="20% - Accent4 4 6 5" xfId="18085" xr:uid="{00000000-0005-0000-0000-0000F2180000}"/>
    <cellStyle name="20% - Accent4 4 7" xfId="2859" xr:uid="{00000000-0005-0000-0000-0000F3180000}"/>
    <cellStyle name="20% - Accent4 4 7 2" xfId="14137" xr:uid="{00000000-0005-0000-0000-0000F4180000}"/>
    <cellStyle name="20% - Accent4 4 7 3" xfId="18088" xr:uid="{00000000-0005-0000-0000-0000F5180000}"/>
    <cellStyle name="20% - Accent4 4 8" xfId="2860" xr:uid="{00000000-0005-0000-0000-0000F6180000}"/>
    <cellStyle name="20% - Accent4 4 8 2" xfId="14138" xr:uid="{00000000-0005-0000-0000-0000F7180000}"/>
    <cellStyle name="20% - Accent4 4 8 3" xfId="18089" xr:uid="{00000000-0005-0000-0000-0000F8180000}"/>
    <cellStyle name="20% - Accent4 4 9" xfId="14106" xr:uid="{00000000-0005-0000-0000-0000F9180000}"/>
    <cellStyle name="20% - Accent4 4_Volatility" xfId="2861" xr:uid="{00000000-0005-0000-0000-0000FA180000}"/>
    <cellStyle name="20% - Accent4 5" xfId="2862" xr:uid="{00000000-0005-0000-0000-0000FB180000}"/>
    <cellStyle name="20% - Accent4 5 10" xfId="18090" xr:uid="{00000000-0005-0000-0000-0000FC180000}"/>
    <cellStyle name="20% - Accent4 5 2" xfId="2863" xr:uid="{00000000-0005-0000-0000-0000FD180000}"/>
    <cellStyle name="20% - Accent4 5 2 2" xfId="2864" xr:uid="{00000000-0005-0000-0000-0000FE180000}"/>
    <cellStyle name="20% - Accent4 5 2 2 2" xfId="2865" xr:uid="{00000000-0005-0000-0000-0000FF180000}"/>
    <cellStyle name="20% - Accent4 5 2 2 2 2" xfId="14142" xr:uid="{00000000-0005-0000-0000-000000190000}"/>
    <cellStyle name="20% - Accent4 5 2 2 2 3" xfId="18093" xr:uid="{00000000-0005-0000-0000-000001190000}"/>
    <cellStyle name="20% - Accent4 5 2 2 3" xfId="2866" xr:uid="{00000000-0005-0000-0000-000002190000}"/>
    <cellStyle name="20% - Accent4 5 2 2 3 2" xfId="14143" xr:uid="{00000000-0005-0000-0000-000003190000}"/>
    <cellStyle name="20% - Accent4 5 2 2 3 3" xfId="18094" xr:uid="{00000000-0005-0000-0000-000004190000}"/>
    <cellStyle name="20% - Accent4 5 2 2 4" xfId="14141" xr:uid="{00000000-0005-0000-0000-000005190000}"/>
    <cellStyle name="20% - Accent4 5 2 2 5" xfId="18092" xr:uid="{00000000-0005-0000-0000-000006190000}"/>
    <cellStyle name="20% - Accent4 5 2 3" xfId="2867" xr:uid="{00000000-0005-0000-0000-000007190000}"/>
    <cellStyle name="20% - Accent4 5 2 3 2" xfId="2868" xr:uid="{00000000-0005-0000-0000-000008190000}"/>
    <cellStyle name="20% - Accent4 5 2 3 2 2" xfId="14145" xr:uid="{00000000-0005-0000-0000-000009190000}"/>
    <cellStyle name="20% - Accent4 5 2 3 2 3" xfId="18096" xr:uid="{00000000-0005-0000-0000-00000A190000}"/>
    <cellStyle name="20% - Accent4 5 2 3 3" xfId="2869" xr:uid="{00000000-0005-0000-0000-00000B190000}"/>
    <cellStyle name="20% - Accent4 5 2 3 3 2" xfId="14146" xr:uid="{00000000-0005-0000-0000-00000C190000}"/>
    <cellStyle name="20% - Accent4 5 2 3 3 3" xfId="18097" xr:uid="{00000000-0005-0000-0000-00000D190000}"/>
    <cellStyle name="20% - Accent4 5 2 3 4" xfId="14144" xr:uid="{00000000-0005-0000-0000-00000E190000}"/>
    <cellStyle name="20% - Accent4 5 2 3 5" xfId="18095" xr:uid="{00000000-0005-0000-0000-00000F190000}"/>
    <cellStyle name="20% - Accent4 5 2 4" xfId="2870" xr:uid="{00000000-0005-0000-0000-000010190000}"/>
    <cellStyle name="20% - Accent4 5 2 4 2" xfId="2871" xr:uid="{00000000-0005-0000-0000-000011190000}"/>
    <cellStyle name="20% - Accent4 5 2 4 2 2" xfId="14148" xr:uid="{00000000-0005-0000-0000-000012190000}"/>
    <cellStyle name="20% - Accent4 5 2 4 2 3" xfId="18099" xr:uid="{00000000-0005-0000-0000-000013190000}"/>
    <cellStyle name="20% - Accent4 5 2 4 3" xfId="2872" xr:uid="{00000000-0005-0000-0000-000014190000}"/>
    <cellStyle name="20% - Accent4 5 2 4 3 2" xfId="14149" xr:uid="{00000000-0005-0000-0000-000015190000}"/>
    <cellStyle name="20% - Accent4 5 2 4 3 3" xfId="18100" xr:uid="{00000000-0005-0000-0000-000016190000}"/>
    <cellStyle name="20% - Accent4 5 2 4 4" xfId="14147" xr:uid="{00000000-0005-0000-0000-000017190000}"/>
    <cellStyle name="20% - Accent4 5 2 4 5" xfId="18098" xr:uid="{00000000-0005-0000-0000-000018190000}"/>
    <cellStyle name="20% - Accent4 5 2 5" xfId="2873" xr:uid="{00000000-0005-0000-0000-000019190000}"/>
    <cellStyle name="20% - Accent4 5 2 5 2" xfId="14150" xr:uid="{00000000-0005-0000-0000-00001A190000}"/>
    <cellStyle name="20% - Accent4 5 2 5 3" xfId="18101" xr:uid="{00000000-0005-0000-0000-00001B190000}"/>
    <cellStyle name="20% - Accent4 5 2 6" xfId="2874" xr:uid="{00000000-0005-0000-0000-00001C190000}"/>
    <cellStyle name="20% - Accent4 5 2 6 2" xfId="14151" xr:uid="{00000000-0005-0000-0000-00001D190000}"/>
    <cellStyle name="20% - Accent4 5 2 6 3" xfId="18102" xr:uid="{00000000-0005-0000-0000-00001E190000}"/>
    <cellStyle name="20% - Accent4 5 2 7" xfId="14140" xr:uid="{00000000-0005-0000-0000-00001F190000}"/>
    <cellStyle name="20% - Accent4 5 2 8" xfId="18091" xr:uid="{00000000-0005-0000-0000-000020190000}"/>
    <cellStyle name="20% - Accent4 5 2_Volatility" xfId="2875" xr:uid="{00000000-0005-0000-0000-000021190000}"/>
    <cellStyle name="20% - Accent4 5 3" xfId="2876" xr:uid="{00000000-0005-0000-0000-000022190000}"/>
    <cellStyle name="20% - Accent4 5 3 2" xfId="2877" xr:uid="{00000000-0005-0000-0000-000023190000}"/>
    <cellStyle name="20% - Accent4 5 3 2 2" xfId="2878" xr:uid="{00000000-0005-0000-0000-000024190000}"/>
    <cellStyle name="20% - Accent4 5 3 2 2 2" xfId="14154" xr:uid="{00000000-0005-0000-0000-000025190000}"/>
    <cellStyle name="20% - Accent4 5 3 2 2 3" xfId="18105" xr:uid="{00000000-0005-0000-0000-000026190000}"/>
    <cellStyle name="20% - Accent4 5 3 2 3" xfId="2879" xr:uid="{00000000-0005-0000-0000-000027190000}"/>
    <cellStyle name="20% - Accent4 5 3 2 3 2" xfId="14155" xr:uid="{00000000-0005-0000-0000-000028190000}"/>
    <cellStyle name="20% - Accent4 5 3 2 3 3" xfId="18106" xr:uid="{00000000-0005-0000-0000-000029190000}"/>
    <cellStyle name="20% - Accent4 5 3 2 4" xfId="14153" xr:uid="{00000000-0005-0000-0000-00002A190000}"/>
    <cellStyle name="20% - Accent4 5 3 2 5" xfId="18104" xr:uid="{00000000-0005-0000-0000-00002B190000}"/>
    <cellStyle name="20% - Accent4 5 3 3" xfId="2880" xr:uid="{00000000-0005-0000-0000-00002C190000}"/>
    <cellStyle name="20% - Accent4 5 3 3 2" xfId="2881" xr:uid="{00000000-0005-0000-0000-00002D190000}"/>
    <cellStyle name="20% - Accent4 5 3 3 2 2" xfId="14157" xr:uid="{00000000-0005-0000-0000-00002E190000}"/>
    <cellStyle name="20% - Accent4 5 3 3 2 3" xfId="18108" xr:uid="{00000000-0005-0000-0000-00002F190000}"/>
    <cellStyle name="20% - Accent4 5 3 3 3" xfId="2882" xr:uid="{00000000-0005-0000-0000-000030190000}"/>
    <cellStyle name="20% - Accent4 5 3 3 3 2" xfId="14158" xr:uid="{00000000-0005-0000-0000-000031190000}"/>
    <cellStyle name="20% - Accent4 5 3 3 3 3" xfId="18109" xr:uid="{00000000-0005-0000-0000-000032190000}"/>
    <cellStyle name="20% - Accent4 5 3 3 4" xfId="14156" xr:uid="{00000000-0005-0000-0000-000033190000}"/>
    <cellStyle name="20% - Accent4 5 3 3 5" xfId="18107" xr:uid="{00000000-0005-0000-0000-000034190000}"/>
    <cellStyle name="20% - Accent4 5 3 4" xfId="2883" xr:uid="{00000000-0005-0000-0000-000035190000}"/>
    <cellStyle name="20% - Accent4 5 3 4 2" xfId="14159" xr:uid="{00000000-0005-0000-0000-000036190000}"/>
    <cellStyle name="20% - Accent4 5 3 4 3" xfId="18110" xr:uid="{00000000-0005-0000-0000-000037190000}"/>
    <cellStyle name="20% - Accent4 5 3 5" xfId="2884" xr:uid="{00000000-0005-0000-0000-000038190000}"/>
    <cellStyle name="20% - Accent4 5 3 5 2" xfId="14160" xr:uid="{00000000-0005-0000-0000-000039190000}"/>
    <cellStyle name="20% - Accent4 5 3 5 3" xfId="18111" xr:uid="{00000000-0005-0000-0000-00003A190000}"/>
    <cellStyle name="20% - Accent4 5 3 6" xfId="14152" xr:uid="{00000000-0005-0000-0000-00003B190000}"/>
    <cellStyle name="20% - Accent4 5 3 7" xfId="18103" xr:uid="{00000000-0005-0000-0000-00003C190000}"/>
    <cellStyle name="20% - Accent4 5 3_Volatility" xfId="2885" xr:uid="{00000000-0005-0000-0000-00003D190000}"/>
    <cellStyle name="20% - Accent4 5 4" xfId="2886" xr:uid="{00000000-0005-0000-0000-00003E190000}"/>
    <cellStyle name="20% - Accent4 5 4 2" xfId="2887" xr:uid="{00000000-0005-0000-0000-00003F190000}"/>
    <cellStyle name="20% - Accent4 5 4 2 2" xfId="14162" xr:uid="{00000000-0005-0000-0000-000040190000}"/>
    <cellStyle name="20% - Accent4 5 4 2 3" xfId="18113" xr:uid="{00000000-0005-0000-0000-000041190000}"/>
    <cellStyle name="20% - Accent4 5 4 3" xfId="2888" xr:uid="{00000000-0005-0000-0000-000042190000}"/>
    <cellStyle name="20% - Accent4 5 4 3 2" xfId="14163" xr:uid="{00000000-0005-0000-0000-000043190000}"/>
    <cellStyle name="20% - Accent4 5 4 3 3" xfId="18114" xr:uid="{00000000-0005-0000-0000-000044190000}"/>
    <cellStyle name="20% - Accent4 5 4 4" xfId="14161" xr:uid="{00000000-0005-0000-0000-000045190000}"/>
    <cellStyle name="20% - Accent4 5 4 5" xfId="18112" xr:uid="{00000000-0005-0000-0000-000046190000}"/>
    <cellStyle name="20% - Accent4 5 5" xfId="2889" xr:uid="{00000000-0005-0000-0000-000047190000}"/>
    <cellStyle name="20% - Accent4 5 5 2" xfId="2890" xr:uid="{00000000-0005-0000-0000-000048190000}"/>
    <cellStyle name="20% - Accent4 5 5 2 2" xfId="14165" xr:uid="{00000000-0005-0000-0000-000049190000}"/>
    <cellStyle name="20% - Accent4 5 5 2 3" xfId="18116" xr:uid="{00000000-0005-0000-0000-00004A190000}"/>
    <cellStyle name="20% - Accent4 5 5 3" xfId="2891" xr:uid="{00000000-0005-0000-0000-00004B190000}"/>
    <cellStyle name="20% - Accent4 5 5 3 2" xfId="14166" xr:uid="{00000000-0005-0000-0000-00004C190000}"/>
    <cellStyle name="20% - Accent4 5 5 3 3" xfId="18117" xr:uid="{00000000-0005-0000-0000-00004D190000}"/>
    <cellStyle name="20% - Accent4 5 5 4" xfId="14164" xr:uid="{00000000-0005-0000-0000-00004E190000}"/>
    <cellStyle name="20% - Accent4 5 5 5" xfId="18115" xr:uid="{00000000-0005-0000-0000-00004F190000}"/>
    <cellStyle name="20% - Accent4 5 6" xfId="2892" xr:uid="{00000000-0005-0000-0000-000050190000}"/>
    <cellStyle name="20% - Accent4 5 6 2" xfId="2893" xr:uid="{00000000-0005-0000-0000-000051190000}"/>
    <cellStyle name="20% - Accent4 5 6 2 2" xfId="14168" xr:uid="{00000000-0005-0000-0000-000052190000}"/>
    <cellStyle name="20% - Accent4 5 6 2 3" xfId="18119" xr:uid="{00000000-0005-0000-0000-000053190000}"/>
    <cellStyle name="20% - Accent4 5 6 3" xfId="2894" xr:uid="{00000000-0005-0000-0000-000054190000}"/>
    <cellStyle name="20% - Accent4 5 6 3 2" xfId="14169" xr:uid="{00000000-0005-0000-0000-000055190000}"/>
    <cellStyle name="20% - Accent4 5 6 3 3" xfId="18120" xr:uid="{00000000-0005-0000-0000-000056190000}"/>
    <cellStyle name="20% - Accent4 5 6 4" xfId="14167" xr:uid="{00000000-0005-0000-0000-000057190000}"/>
    <cellStyle name="20% - Accent4 5 6 5" xfId="18118" xr:uid="{00000000-0005-0000-0000-000058190000}"/>
    <cellStyle name="20% - Accent4 5 7" xfId="2895" xr:uid="{00000000-0005-0000-0000-000059190000}"/>
    <cellStyle name="20% - Accent4 5 7 2" xfId="14170" xr:uid="{00000000-0005-0000-0000-00005A190000}"/>
    <cellStyle name="20% - Accent4 5 7 3" xfId="18121" xr:uid="{00000000-0005-0000-0000-00005B190000}"/>
    <cellStyle name="20% - Accent4 5 8" xfId="2896" xr:uid="{00000000-0005-0000-0000-00005C190000}"/>
    <cellStyle name="20% - Accent4 5 8 2" xfId="14171" xr:uid="{00000000-0005-0000-0000-00005D190000}"/>
    <cellStyle name="20% - Accent4 5 8 3" xfId="18122" xr:uid="{00000000-0005-0000-0000-00005E190000}"/>
    <cellStyle name="20% - Accent4 5 9" xfId="14139" xr:uid="{00000000-0005-0000-0000-00005F190000}"/>
    <cellStyle name="20% - Accent4 5_Volatility" xfId="2897" xr:uid="{00000000-0005-0000-0000-000060190000}"/>
    <cellStyle name="20% - Accent4 6" xfId="2898" xr:uid="{00000000-0005-0000-0000-000061190000}"/>
    <cellStyle name="20% - Accent4 6 10" xfId="18123" xr:uid="{00000000-0005-0000-0000-000062190000}"/>
    <cellStyle name="20% - Accent4 6 2" xfId="2899" xr:uid="{00000000-0005-0000-0000-000063190000}"/>
    <cellStyle name="20% - Accent4 6 2 2" xfId="2900" xr:uid="{00000000-0005-0000-0000-000064190000}"/>
    <cellStyle name="20% - Accent4 6 2 2 2" xfId="2901" xr:uid="{00000000-0005-0000-0000-000065190000}"/>
    <cellStyle name="20% - Accent4 6 2 2 2 2" xfId="14175" xr:uid="{00000000-0005-0000-0000-000066190000}"/>
    <cellStyle name="20% - Accent4 6 2 2 2 3" xfId="18126" xr:uid="{00000000-0005-0000-0000-000067190000}"/>
    <cellStyle name="20% - Accent4 6 2 2 3" xfId="2902" xr:uid="{00000000-0005-0000-0000-000068190000}"/>
    <cellStyle name="20% - Accent4 6 2 2 3 2" xfId="14176" xr:uid="{00000000-0005-0000-0000-000069190000}"/>
    <cellStyle name="20% - Accent4 6 2 2 3 3" xfId="18127" xr:uid="{00000000-0005-0000-0000-00006A190000}"/>
    <cellStyle name="20% - Accent4 6 2 2 4" xfId="14174" xr:uid="{00000000-0005-0000-0000-00006B190000}"/>
    <cellStyle name="20% - Accent4 6 2 2 5" xfId="18125" xr:uid="{00000000-0005-0000-0000-00006C190000}"/>
    <cellStyle name="20% - Accent4 6 2 3" xfId="2903" xr:uid="{00000000-0005-0000-0000-00006D190000}"/>
    <cellStyle name="20% - Accent4 6 2 3 2" xfId="2904" xr:uid="{00000000-0005-0000-0000-00006E190000}"/>
    <cellStyle name="20% - Accent4 6 2 3 2 2" xfId="14178" xr:uid="{00000000-0005-0000-0000-00006F190000}"/>
    <cellStyle name="20% - Accent4 6 2 3 2 3" xfId="18129" xr:uid="{00000000-0005-0000-0000-000070190000}"/>
    <cellStyle name="20% - Accent4 6 2 3 3" xfId="2905" xr:uid="{00000000-0005-0000-0000-000071190000}"/>
    <cellStyle name="20% - Accent4 6 2 3 3 2" xfId="14179" xr:uid="{00000000-0005-0000-0000-000072190000}"/>
    <cellStyle name="20% - Accent4 6 2 3 3 3" xfId="18130" xr:uid="{00000000-0005-0000-0000-000073190000}"/>
    <cellStyle name="20% - Accent4 6 2 3 4" xfId="14177" xr:uid="{00000000-0005-0000-0000-000074190000}"/>
    <cellStyle name="20% - Accent4 6 2 3 5" xfId="18128" xr:uid="{00000000-0005-0000-0000-000075190000}"/>
    <cellStyle name="20% - Accent4 6 2 4" xfId="2906" xr:uid="{00000000-0005-0000-0000-000076190000}"/>
    <cellStyle name="20% - Accent4 6 2 4 2" xfId="2907" xr:uid="{00000000-0005-0000-0000-000077190000}"/>
    <cellStyle name="20% - Accent4 6 2 4 2 2" xfId="14181" xr:uid="{00000000-0005-0000-0000-000078190000}"/>
    <cellStyle name="20% - Accent4 6 2 4 2 3" xfId="18132" xr:uid="{00000000-0005-0000-0000-000079190000}"/>
    <cellStyle name="20% - Accent4 6 2 4 3" xfId="2908" xr:uid="{00000000-0005-0000-0000-00007A190000}"/>
    <cellStyle name="20% - Accent4 6 2 4 3 2" xfId="14182" xr:uid="{00000000-0005-0000-0000-00007B190000}"/>
    <cellStyle name="20% - Accent4 6 2 4 3 3" xfId="18133" xr:uid="{00000000-0005-0000-0000-00007C190000}"/>
    <cellStyle name="20% - Accent4 6 2 4 4" xfId="14180" xr:uid="{00000000-0005-0000-0000-00007D190000}"/>
    <cellStyle name="20% - Accent4 6 2 4 5" xfId="18131" xr:uid="{00000000-0005-0000-0000-00007E190000}"/>
    <cellStyle name="20% - Accent4 6 2 5" xfId="2909" xr:uid="{00000000-0005-0000-0000-00007F190000}"/>
    <cellStyle name="20% - Accent4 6 2 5 2" xfId="14183" xr:uid="{00000000-0005-0000-0000-000080190000}"/>
    <cellStyle name="20% - Accent4 6 2 5 3" xfId="18134" xr:uid="{00000000-0005-0000-0000-000081190000}"/>
    <cellStyle name="20% - Accent4 6 2 6" xfId="2910" xr:uid="{00000000-0005-0000-0000-000082190000}"/>
    <cellStyle name="20% - Accent4 6 2 6 2" xfId="14184" xr:uid="{00000000-0005-0000-0000-000083190000}"/>
    <cellStyle name="20% - Accent4 6 2 6 3" xfId="18135" xr:uid="{00000000-0005-0000-0000-000084190000}"/>
    <cellStyle name="20% - Accent4 6 2 7" xfId="14173" xr:uid="{00000000-0005-0000-0000-000085190000}"/>
    <cellStyle name="20% - Accent4 6 2 8" xfId="18124" xr:uid="{00000000-0005-0000-0000-000086190000}"/>
    <cellStyle name="20% - Accent4 6 2_Volatility" xfId="2911" xr:uid="{00000000-0005-0000-0000-000087190000}"/>
    <cellStyle name="20% - Accent4 6 3" xfId="2912" xr:uid="{00000000-0005-0000-0000-000088190000}"/>
    <cellStyle name="20% - Accent4 6 3 2" xfId="2913" xr:uid="{00000000-0005-0000-0000-000089190000}"/>
    <cellStyle name="20% - Accent4 6 3 2 2" xfId="2914" xr:uid="{00000000-0005-0000-0000-00008A190000}"/>
    <cellStyle name="20% - Accent4 6 3 2 2 2" xfId="14187" xr:uid="{00000000-0005-0000-0000-00008B190000}"/>
    <cellStyle name="20% - Accent4 6 3 2 2 3" xfId="18138" xr:uid="{00000000-0005-0000-0000-00008C190000}"/>
    <cellStyle name="20% - Accent4 6 3 2 3" xfId="2915" xr:uid="{00000000-0005-0000-0000-00008D190000}"/>
    <cellStyle name="20% - Accent4 6 3 2 3 2" xfId="14188" xr:uid="{00000000-0005-0000-0000-00008E190000}"/>
    <cellStyle name="20% - Accent4 6 3 2 3 3" xfId="18139" xr:uid="{00000000-0005-0000-0000-00008F190000}"/>
    <cellStyle name="20% - Accent4 6 3 2 4" xfId="14186" xr:uid="{00000000-0005-0000-0000-000090190000}"/>
    <cellStyle name="20% - Accent4 6 3 2 5" xfId="18137" xr:uid="{00000000-0005-0000-0000-000091190000}"/>
    <cellStyle name="20% - Accent4 6 3 3" xfId="2916" xr:uid="{00000000-0005-0000-0000-000092190000}"/>
    <cellStyle name="20% - Accent4 6 3 3 2" xfId="2917" xr:uid="{00000000-0005-0000-0000-000093190000}"/>
    <cellStyle name="20% - Accent4 6 3 3 2 2" xfId="14190" xr:uid="{00000000-0005-0000-0000-000094190000}"/>
    <cellStyle name="20% - Accent4 6 3 3 2 3" xfId="18141" xr:uid="{00000000-0005-0000-0000-000095190000}"/>
    <cellStyle name="20% - Accent4 6 3 3 3" xfId="2918" xr:uid="{00000000-0005-0000-0000-000096190000}"/>
    <cellStyle name="20% - Accent4 6 3 3 3 2" xfId="14191" xr:uid="{00000000-0005-0000-0000-000097190000}"/>
    <cellStyle name="20% - Accent4 6 3 3 3 3" xfId="18142" xr:uid="{00000000-0005-0000-0000-000098190000}"/>
    <cellStyle name="20% - Accent4 6 3 3 4" xfId="14189" xr:uid="{00000000-0005-0000-0000-000099190000}"/>
    <cellStyle name="20% - Accent4 6 3 3 5" xfId="18140" xr:uid="{00000000-0005-0000-0000-00009A190000}"/>
    <cellStyle name="20% - Accent4 6 3 4" xfId="2919" xr:uid="{00000000-0005-0000-0000-00009B190000}"/>
    <cellStyle name="20% - Accent4 6 3 4 2" xfId="14192" xr:uid="{00000000-0005-0000-0000-00009C190000}"/>
    <cellStyle name="20% - Accent4 6 3 4 3" xfId="18143" xr:uid="{00000000-0005-0000-0000-00009D190000}"/>
    <cellStyle name="20% - Accent4 6 3 5" xfId="2920" xr:uid="{00000000-0005-0000-0000-00009E190000}"/>
    <cellStyle name="20% - Accent4 6 3 5 2" xfId="14193" xr:uid="{00000000-0005-0000-0000-00009F190000}"/>
    <cellStyle name="20% - Accent4 6 3 5 3" xfId="18144" xr:uid="{00000000-0005-0000-0000-0000A0190000}"/>
    <cellStyle name="20% - Accent4 6 3 6" xfId="14185" xr:uid="{00000000-0005-0000-0000-0000A1190000}"/>
    <cellStyle name="20% - Accent4 6 3 7" xfId="18136" xr:uid="{00000000-0005-0000-0000-0000A2190000}"/>
    <cellStyle name="20% - Accent4 6 3_Volatility" xfId="2921" xr:uid="{00000000-0005-0000-0000-0000A3190000}"/>
    <cellStyle name="20% - Accent4 6 4" xfId="2922" xr:uid="{00000000-0005-0000-0000-0000A4190000}"/>
    <cellStyle name="20% - Accent4 6 4 2" xfId="2923" xr:uid="{00000000-0005-0000-0000-0000A5190000}"/>
    <cellStyle name="20% - Accent4 6 4 2 2" xfId="14195" xr:uid="{00000000-0005-0000-0000-0000A6190000}"/>
    <cellStyle name="20% - Accent4 6 4 2 3" xfId="18146" xr:uid="{00000000-0005-0000-0000-0000A7190000}"/>
    <cellStyle name="20% - Accent4 6 4 3" xfId="2924" xr:uid="{00000000-0005-0000-0000-0000A8190000}"/>
    <cellStyle name="20% - Accent4 6 4 3 2" xfId="14196" xr:uid="{00000000-0005-0000-0000-0000A9190000}"/>
    <cellStyle name="20% - Accent4 6 4 3 3" xfId="18147" xr:uid="{00000000-0005-0000-0000-0000AA190000}"/>
    <cellStyle name="20% - Accent4 6 4 4" xfId="14194" xr:uid="{00000000-0005-0000-0000-0000AB190000}"/>
    <cellStyle name="20% - Accent4 6 4 5" xfId="18145" xr:uid="{00000000-0005-0000-0000-0000AC190000}"/>
    <cellStyle name="20% - Accent4 6 5" xfId="2925" xr:uid="{00000000-0005-0000-0000-0000AD190000}"/>
    <cellStyle name="20% - Accent4 6 5 2" xfId="2926" xr:uid="{00000000-0005-0000-0000-0000AE190000}"/>
    <cellStyle name="20% - Accent4 6 5 2 2" xfId="14198" xr:uid="{00000000-0005-0000-0000-0000AF190000}"/>
    <cellStyle name="20% - Accent4 6 5 2 3" xfId="18149" xr:uid="{00000000-0005-0000-0000-0000B0190000}"/>
    <cellStyle name="20% - Accent4 6 5 3" xfId="2927" xr:uid="{00000000-0005-0000-0000-0000B1190000}"/>
    <cellStyle name="20% - Accent4 6 5 3 2" xfId="14199" xr:uid="{00000000-0005-0000-0000-0000B2190000}"/>
    <cellStyle name="20% - Accent4 6 5 3 3" xfId="18150" xr:uid="{00000000-0005-0000-0000-0000B3190000}"/>
    <cellStyle name="20% - Accent4 6 5 4" xfId="14197" xr:uid="{00000000-0005-0000-0000-0000B4190000}"/>
    <cellStyle name="20% - Accent4 6 5 5" xfId="18148" xr:uid="{00000000-0005-0000-0000-0000B5190000}"/>
    <cellStyle name="20% - Accent4 6 6" xfId="2928" xr:uid="{00000000-0005-0000-0000-0000B6190000}"/>
    <cellStyle name="20% - Accent4 6 6 2" xfId="2929" xr:uid="{00000000-0005-0000-0000-0000B7190000}"/>
    <cellStyle name="20% - Accent4 6 6 2 2" xfId="14201" xr:uid="{00000000-0005-0000-0000-0000B8190000}"/>
    <cellStyle name="20% - Accent4 6 6 2 3" xfId="18152" xr:uid="{00000000-0005-0000-0000-0000B9190000}"/>
    <cellStyle name="20% - Accent4 6 6 3" xfId="2930" xr:uid="{00000000-0005-0000-0000-0000BA190000}"/>
    <cellStyle name="20% - Accent4 6 6 3 2" xfId="14202" xr:uid="{00000000-0005-0000-0000-0000BB190000}"/>
    <cellStyle name="20% - Accent4 6 6 3 3" xfId="18153" xr:uid="{00000000-0005-0000-0000-0000BC190000}"/>
    <cellStyle name="20% - Accent4 6 6 4" xfId="14200" xr:uid="{00000000-0005-0000-0000-0000BD190000}"/>
    <cellStyle name="20% - Accent4 6 6 5" xfId="18151" xr:uid="{00000000-0005-0000-0000-0000BE190000}"/>
    <cellStyle name="20% - Accent4 6 7" xfId="2931" xr:uid="{00000000-0005-0000-0000-0000BF190000}"/>
    <cellStyle name="20% - Accent4 6 7 2" xfId="14203" xr:uid="{00000000-0005-0000-0000-0000C0190000}"/>
    <cellStyle name="20% - Accent4 6 7 3" xfId="18154" xr:uid="{00000000-0005-0000-0000-0000C1190000}"/>
    <cellStyle name="20% - Accent4 6 8" xfId="2932" xr:uid="{00000000-0005-0000-0000-0000C2190000}"/>
    <cellStyle name="20% - Accent4 6 8 2" xfId="14204" xr:uid="{00000000-0005-0000-0000-0000C3190000}"/>
    <cellStyle name="20% - Accent4 6 8 3" xfId="18155" xr:uid="{00000000-0005-0000-0000-0000C4190000}"/>
    <cellStyle name="20% - Accent4 6 9" xfId="14172" xr:uid="{00000000-0005-0000-0000-0000C5190000}"/>
    <cellStyle name="20% - Accent4 6_Volatility" xfId="2933" xr:uid="{00000000-0005-0000-0000-0000C6190000}"/>
    <cellStyle name="20% - Accent4 7" xfId="2934" xr:uid="{00000000-0005-0000-0000-0000C7190000}"/>
    <cellStyle name="20% - Accent4 7 10" xfId="18156" xr:uid="{00000000-0005-0000-0000-0000C8190000}"/>
    <cellStyle name="20% - Accent4 7 2" xfId="2935" xr:uid="{00000000-0005-0000-0000-0000C9190000}"/>
    <cellStyle name="20% - Accent4 7 2 2" xfId="2936" xr:uid="{00000000-0005-0000-0000-0000CA190000}"/>
    <cellStyle name="20% - Accent4 7 2 2 2" xfId="2937" xr:uid="{00000000-0005-0000-0000-0000CB190000}"/>
    <cellStyle name="20% - Accent4 7 2 2 2 2" xfId="14208" xr:uid="{00000000-0005-0000-0000-0000CC190000}"/>
    <cellStyle name="20% - Accent4 7 2 2 2 3" xfId="18159" xr:uid="{00000000-0005-0000-0000-0000CD190000}"/>
    <cellStyle name="20% - Accent4 7 2 2 3" xfId="2938" xr:uid="{00000000-0005-0000-0000-0000CE190000}"/>
    <cellStyle name="20% - Accent4 7 2 2 3 2" xfId="14209" xr:uid="{00000000-0005-0000-0000-0000CF190000}"/>
    <cellStyle name="20% - Accent4 7 2 2 3 3" xfId="18160" xr:uid="{00000000-0005-0000-0000-0000D0190000}"/>
    <cellStyle name="20% - Accent4 7 2 2 4" xfId="14207" xr:uid="{00000000-0005-0000-0000-0000D1190000}"/>
    <cellStyle name="20% - Accent4 7 2 2 5" xfId="18158" xr:uid="{00000000-0005-0000-0000-0000D2190000}"/>
    <cellStyle name="20% - Accent4 7 2 3" xfId="2939" xr:uid="{00000000-0005-0000-0000-0000D3190000}"/>
    <cellStyle name="20% - Accent4 7 2 3 2" xfId="2940" xr:uid="{00000000-0005-0000-0000-0000D4190000}"/>
    <cellStyle name="20% - Accent4 7 2 3 2 2" xfId="14211" xr:uid="{00000000-0005-0000-0000-0000D5190000}"/>
    <cellStyle name="20% - Accent4 7 2 3 2 3" xfId="18162" xr:uid="{00000000-0005-0000-0000-0000D6190000}"/>
    <cellStyle name="20% - Accent4 7 2 3 3" xfId="2941" xr:uid="{00000000-0005-0000-0000-0000D7190000}"/>
    <cellStyle name="20% - Accent4 7 2 3 3 2" xfId="14212" xr:uid="{00000000-0005-0000-0000-0000D8190000}"/>
    <cellStyle name="20% - Accent4 7 2 3 3 3" xfId="18163" xr:uid="{00000000-0005-0000-0000-0000D9190000}"/>
    <cellStyle name="20% - Accent4 7 2 3 4" xfId="14210" xr:uid="{00000000-0005-0000-0000-0000DA190000}"/>
    <cellStyle name="20% - Accent4 7 2 3 5" xfId="18161" xr:uid="{00000000-0005-0000-0000-0000DB190000}"/>
    <cellStyle name="20% - Accent4 7 2 4" xfId="2942" xr:uid="{00000000-0005-0000-0000-0000DC190000}"/>
    <cellStyle name="20% - Accent4 7 2 4 2" xfId="2943" xr:uid="{00000000-0005-0000-0000-0000DD190000}"/>
    <cellStyle name="20% - Accent4 7 2 4 2 2" xfId="14214" xr:uid="{00000000-0005-0000-0000-0000DE190000}"/>
    <cellStyle name="20% - Accent4 7 2 4 2 3" xfId="18165" xr:uid="{00000000-0005-0000-0000-0000DF190000}"/>
    <cellStyle name="20% - Accent4 7 2 4 3" xfId="2944" xr:uid="{00000000-0005-0000-0000-0000E0190000}"/>
    <cellStyle name="20% - Accent4 7 2 4 3 2" xfId="14215" xr:uid="{00000000-0005-0000-0000-0000E1190000}"/>
    <cellStyle name="20% - Accent4 7 2 4 3 3" xfId="18166" xr:uid="{00000000-0005-0000-0000-0000E2190000}"/>
    <cellStyle name="20% - Accent4 7 2 4 4" xfId="14213" xr:uid="{00000000-0005-0000-0000-0000E3190000}"/>
    <cellStyle name="20% - Accent4 7 2 4 5" xfId="18164" xr:uid="{00000000-0005-0000-0000-0000E4190000}"/>
    <cellStyle name="20% - Accent4 7 2 5" xfId="2945" xr:uid="{00000000-0005-0000-0000-0000E5190000}"/>
    <cellStyle name="20% - Accent4 7 2 5 2" xfId="14216" xr:uid="{00000000-0005-0000-0000-0000E6190000}"/>
    <cellStyle name="20% - Accent4 7 2 5 3" xfId="18167" xr:uid="{00000000-0005-0000-0000-0000E7190000}"/>
    <cellStyle name="20% - Accent4 7 2 6" xfId="2946" xr:uid="{00000000-0005-0000-0000-0000E8190000}"/>
    <cellStyle name="20% - Accent4 7 2 6 2" xfId="14217" xr:uid="{00000000-0005-0000-0000-0000E9190000}"/>
    <cellStyle name="20% - Accent4 7 2 6 3" xfId="18168" xr:uid="{00000000-0005-0000-0000-0000EA190000}"/>
    <cellStyle name="20% - Accent4 7 2 7" xfId="14206" xr:uid="{00000000-0005-0000-0000-0000EB190000}"/>
    <cellStyle name="20% - Accent4 7 2 8" xfId="18157" xr:uid="{00000000-0005-0000-0000-0000EC190000}"/>
    <cellStyle name="20% - Accent4 7 2_Volatility" xfId="2947" xr:uid="{00000000-0005-0000-0000-0000ED190000}"/>
    <cellStyle name="20% - Accent4 7 3" xfId="2948" xr:uid="{00000000-0005-0000-0000-0000EE190000}"/>
    <cellStyle name="20% - Accent4 7 3 2" xfId="2949" xr:uid="{00000000-0005-0000-0000-0000EF190000}"/>
    <cellStyle name="20% - Accent4 7 3 2 2" xfId="2950" xr:uid="{00000000-0005-0000-0000-0000F0190000}"/>
    <cellStyle name="20% - Accent4 7 3 2 2 2" xfId="14220" xr:uid="{00000000-0005-0000-0000-0000F1190000}"/>
    <cellStyle name="20% - Accent4 7 3 2 2 3" xfId="18171" xr:uid="{00000000-0005-0000-0000-0000F2190000}"/>
    <cellStyle name="20% - Accent4 7 3 2 3" xfId="2951" xr:uid="{00000000-0005-0000-0000-0000F3190000}"/>
    <cellStyle name="20% - Accent4 7 3 2 3 2" xfId="14221" xr:uid="{00000000-0005-0000-0000-0000F4190000}"/>
    <cellStyle name="20% - Accent4 7 3 2 3 3" xfId="18172" xr:uid="{00000000-0005-0000-0000-0000F5190000}"/>
    <cellStyle name="20% - Accent4 7 3 2 4" xfId="14219" xr:uid="{00000000-0005-0000-0000-0000F6190000}"/>
    <cellStyle name="20% - Accent4 7 3 2 5" xfId="18170" xr:uid="{00000000-0005-0000-0000-0000F7190000}"/>
    <cellStyle name="20% - Accent4 7 3 3" xfId="2952" xr:uid="{00000000-0005-0000-0000-0000F8190000}"/>
    <cellStyle name="20% - Accent4 7 3 3 2" xfId="2953" xr:uid="{00000000-0005-0000-0000-0000F9190000}"/>
    <cellStyle name="20% - Accent4 7 3 3 2 2" xfId="14223" xr:uid="{00000000-0005-0000-0000-0000FA190000}"/>
    <cellStyle name="20% - Accent4 7 3 3 2 3" xfId="18174" xr:uid="{00000000-0005-0000-0000-0000FB190000}"/>
    <cellStyle name="20% - Accent4 7 3 3 3" xfId="2954" xr:uid="{00000000-0005-0000-0000-0000FC190000}"/>
    <cellStyle name="20% - Accent4 7 3 3 3 2" xfId="14224" xr:uid="{00000000-0005-0000-0000-0000FD190000}"/>
    <cellStyle name="20% - Accent4 7 3 3 3 3" xfId="18175" xr:uid="{00000000-0005-0000-0000-0000FE190000}"/>
    <cellStyle name="20% - Accent4 7 3 3 4" xfId="14222" xr:uid="{00000000-0005-0000-0000-0000FF190000}"/>
    <cellStyle name="20% - Accent4 7 3 3 5" xfId="18173" xr:uid="{00000000-0005-0000-0000-0000001A0000}"/>
    <cellStyle name="20% - Accent4 7 3 4" xfId="2955" xr:uid="{00000000-0005-0000-0000-0000011A0000}"/>
    <cellStyle name="20% - Accent4 7 3 4 2" xfId="14225" xr:uid="{00000000-0005-0000-0000-0000021A0000}"/>
    <cellStyle name="20% - Accent4 7 3 4 3" xfId="18176" xr:uid="{00000000-0005-0000-0000-0000031A0000}"/>
    <cellStyle name="20% - Accent4 7 3 5" xfId="2956" xr:uid="{00000000-0005-0000-0000-0000041A0000}"/>
    <cellStyle name="20% - Accent4 7 3 5 2" xfId="14226" xr:uid="{00000000-0005-0000-0000-0000051A0000}"/>
    <cellStyle name="20% - Accent4 7 3 5 3" xfId="18177" xr:uid="{00000000-0005-0000-0000-0000061A0000}"/>
    <cellStyle name="20% - Accent4 7 3 6" xfId="14218" xr:uid="{00000000-0005-0000-0000-0000071A0000}"/>
    <cellStyle name="20% - Accent4 7 3 7" xfId="18169" xr:uid="{00000000-0005-0000-0000-0000081A0000}"/>
    <cellStyle name="20% - Accent4 7 3_Volatility" xfId="2957" xr:uid="{00000000-0005-0000-0000-0000091A0000}"/>
    <cellStyle name="20% - Accent4 7 4" xfId="2958" xr:uid="{00000000-0005-0000-0000-00000A1A0000}"/>
    <cellStyle name="20% - Accent4 7 4 2" xfId="2959" xr:uid="{00000000-0005-0000-0000-00000B1A0000}"/>
    <cellStyle name="20% - Accent4 7 4 2 2" xfId="14228" xr:uid="{00000000-0005-0000-0000-00000C1A0000}"/>
    <cellStyle name="20% - Accent4 7 4 2 3" xfId="18179" xr:uid="{00000000-0005-0000-0000-00000D1A0000}"/>
    <cellStyle name="20% - Accent4 7 4 3" xfId="2960" xr:uid="{00000000-0005-0000-0000-00000E1A0000}"/>
    <cellStyle name="20% - Accent4 7 4 3 2" xfId="14229" xr:uid="{00000000-0005-0000-0000-00000F1A0000}"/>
    <cellStyle name="20% - Accent4 7 4 3 3" xfId="18180" xr:uid="{00000000-0005-0000-0000-0000101A0000}"/>
    <cellStyle name="20% - Accent4 7 4 4" xfId="14227" xr:uid="{00000000-0005-0000-0000-0000111A0000}"/>
    <cellStyle name="20% - Accent4 7 4 5" xfId="18178" xr:uid="{00000000-0005-0000-0000-0000121A0000}"/>
    <cellStyle name="20% - Accent4 7 5" xfId="2961" xr:uid="{00000000-0005-0000-0000-0000131A0000}"/>
    <cellStyle name="20% - Accent4 7 5 2" xfId="2962" xr:uid="{00000000-0005-0000-0000-0000141A0000}"/>
    <cellStyle name="20% - Accent4 7 5 2 2" xfId="14231" xr:uid="{00000000-0005-0000-0000-0000151A0000}"/>
    <cellStyle name="20% - Accent4 7 5 2 3" xfId="18182" xr:uid="{00000000-0005-0000-0000-0000161A0000}"/>
    <cellStyle name="20% - Accent4 7 5 3" xfId="2963" xr:uid="{00000000-0005-0000-0000-0000171A0000}"/>
    <cellStyle name="20% - Accent4 7 5 3 2" xfId="14232" xr:uid="{00000000-0005-0000-0000-0000181A0000}"/>
    <cellStyle name="20% - Accent4 7 5 3 3" xfId="18183" xr:uid="{00000000-0005-0000-0000-0000191A0000}"/>
    <cellStyle name="20% - Accent4 7 5 4" xfId="14230" xr:uid="{00000000-0005-0000-0000-00001A1A0000}"/>
    <cellStyle name="20% - Accent4 7 5 5" xfId="18181" xr:uid="{00000000-0005-0000-0000-00001B1A0000}"/>
    <cellStyle name="20% - Accent4 7 6" xfId="2964" xr:uid="{00000000-0005-0000-0000-00001C1A0000}"/>
    <cellStyle name="20% - Accent4 7 6 2" xfId="2965" xr:uid="{00000000-0005-0000-0000-00001D1A0000}"/>
    <cellStyle name="20% - Accent4 7 6 2 2" xfId="14234" xr:uid="{00000000-0005-0000-0000-00001E1A0000}"/>
    <cellStyle name="20% - Accent4 7 6 2 3" xfId="18185" xr:uid="{00000000-0005-0000-0000-00001F1A0000}"/>
    <cellStyle name="20% - Accent4 7 6 3" xfId="2966" xr:uid="{00000000-0005-0000-0000-0000201A0000}"/>
    <cellStyle name="20% - Accent4 7 6 3 2" xfId="14235" xr:uid="{00000000-0005-0000-0000-0000211A0000}"/>
    <cellStyle name="20% - Accent4 7 6 3 3" xfId="18186" xr:uid="{00000000-0005-0000-0000-0000221A0000}"/>
    <cellStyle name="20% - Accent4 7 6 4" xfId="14233" xr:uid="{00000000-0005-0000-0000-0000231A0000}"/>
    <cellStyle name="20% - Accent4 7 6 5" xfId="18184" xr:uid="{00000000-0005-0000-0000-0000241A0000}"/>
    <cellStyle name="20% - Accent4 7 7" xfId="2967" xr:uid="{00000000-0005-0000-0000-0000251A0000}"/>
    <cellStyle name="20% - Accent4 7 7 2" xfId="14236" xr:uid="{00000000-0005-0000-0000-0000261A0000}"/>
    <cellStyle name="20% - Accent4 7 7 3" xfId="18187" xr:uid="{00000000-0005-0000-0000-0000271A0000}"/>
    <cellStyle name="20% - Accent4 7 8" xfId="2968" xr:uid="{00000000-0005-0000-0000-0000281A0000}"/>
    <cellStyle name="20% - Accent4 7 8 2" xfId="14237" xr:uid="{00000000-0005-0000-0000-0000291A0000}"/>
    <cellStyle name="20% - Accent4 7 8 3" xfId="18188" xr:uid="{00000000-0005-0000-0000-00002A1A0000}"/>
    <cellStyle name="20% - Accent4 7 9" xfId="14205" xr:uid="{00000000-0005-0000-0000-00002B1A0000}"/>
    <cellStyle name="20% - Accent4 7_Volatility" xfId="2969" xr:uid="{00000000-0005-0000-0000-00002C1A0000}"/>
    <cellStyle name="20% - Accent4 8" xfId="2970" xr:uid="{00000000-0005-0000-0000-00002D1A0000}"/>
    <cellStyle name="20% - Accent4 8 10" xfId="18189" xr:uid="{00000000-0005-0000-0000-00002E1A0000}"/>
    <cellStyle name="20% - Accent4 8 2" xfId="2971" xr:uid="{00000000-0005-0000-0000-00002F1A0000}"/>
    <cellStyle name="20% - Accent4 8 2 2" xfId="2972" xr:uid="{00000000-0005-0000-0000-0000301A0000}"/>
    <cellStyle name="20% - Accent4 8 2 2 2" xfId="2973" xr:uid="{00000000-0005-0000-0000-0000311A0000}"/>
    <cellStyle name="20% - Accent4 8 2 2 2 2" xfId="14241" xr:uid="{00000000-0005-0000-0000-0000321A0000}"/>
    <cellStyle name="20% - Accent4 8 2 2 2 3" xfId="18192" xr:uid="{00000000-0005-0000-0000-0000331A0000}"/>
    <cellStyle name="20% - Accent4 8 2 2 3" xfId="2974" xr:uid="{00000000-0005-0000-0000-0000341A0000}"/>
    <cellStyle name="20% - Accent4 8 2 2 3 2" xfId="14242" xr:uid="{00000000-0005-0000-0000-0000351A0000}"/>
    <cellStyle name="20% - Accent4 8 2 2 3 3" xfId="18193" xr:uid="{00000000-0005-0000-0000-0000361A0000}"/>
    <cellStyle name="20% - Accent4 8 2 2 4" xfId="14240" xr:uid="{00000000-0005-0000-0000-0000371A0000}"/>
    <cellStyle name="20% - Accent4 8 2 2 5" xfId="18191" xr:uid="{00000000-0005-0000-0000-0000381A0000}"/>
    <cellStyle name="20% - Accent4 8 2 3" xfId="2975" xr:uid="{00000000-0005-0000-0000-0000391A0000}"/>
    <cellStyle name="20% - Accent4 8 2 3 2" xfId="2976" xr:uid="{00000000-0005-0000-0000-00003A1A0000}"/>
    <cellStyle name="20% - Accent4 8 2 3 2 2" xfId="14244" xr:uid="{00000000-0005-0000-0000-00003B1A0000}"/>
    <cellStyle name="20% - Accent4 8 2 3 2 3" xfId="18195" xr:uid="{00000000-0005-0000-0000-00003C1A0000}"/>
    <cellStyle name="20% - Accent4 8 2 3 3" xfId="2977" xr:uid="{00000000-0005-0000-0000-00003D1A0000}"/>
    <cellStyle name="20% - Accent4 8 2 3 3 2" xfId="14245" xr:uid="{00000000-0005-0000-0000-00003E1A0000}"/>
    <cellStyle name="20% - Accent4 8 2 3 3 3" xfId="18196" xr:uid="{00000000-0005-0000-0000-00003F1A0000}"/>
    <cellStyle name="20% - Accent4 8 2 3 4" xfId="14243" xr:uid="{00000000-0005-0000-0000-0000401A0000}"/>
    <cellStyle name="20% - Accent4 8 2 3 5" xfId="18194" xr:uid="{00000000-0005-0000-0000-0000411A0000}"/>
    <cellStyle name="20% - Accent4 8 2 4" xfId="2978" xr:uid="{00000000-0005-0000-0000-0000421A0000}"/>
    <cellStyle name="20% - Accent4 8 2 4 2" xfId="2979" xr:uid="{00000000-0005-0000-0000-0000431A0000}"/>
    <cellStyle name="20% - Accent4 8 2 4 2 2" xfId="14247" xr:uid="{00000000-0005-0000-0000-0000441A0000}"/>
    <cellStyle name="20% - Accent4 8 2 4 2 3" xfId="18198" xr:uid="{00000000-0005-0000-0000-0000451A0000}"/>
    <cellStyle name="20% - Accent4 8 2 4 3" xfId="2980" xr:uid="{00000000-0005-0000-0000-0000461A0000}"/>
    <cellStyle name="20% - Accent4 8 2 4 3 2" xfId="14248" xr:uid="{00000000-0005-0000-0000-0000471A0000}"/>
    <cellStyle name="20% - Accent4 8 2 4 3 3" xfId="18199" xr:uid="{00000000-0005-0000-0000-0000481A0000}"/>
    <cellStyle name="20% - Accent4 8 2 4 4" xfId="14246" xr:uid="{00000000-0005-0000-0000-0000491A0000}"/>
    <cellStyle name="20% - Accent4 8 2 4 5" xfId="18197" xr:uid="{00000000-0005-0000-0000-00004A1A0000}"/>
    <cellStyle name="20% - Accent4 8 2 5" xfId="2981" xr:uid="{00000000-0005-0000-0000-00004B1A0000}"/>
    <cellStyle name="20% - Accent4 8 2 5 2" xfId="14249" xr:uid="{00000000-0005-0000-0000-00004C1A0000}"/>
    <cellStyle name="20% - Accent4 8 2 5 3" xfId="18200" xr:uid="{00000000-0005-0000-0000-00004D1A0000}"/>
    <cellStyle name="20% - Accent4 8 2 6" xfId="2982" xr:uid="{00000000-0005-0000-0000-00004E1A0000}"/>
    <cellStyle name="20% - Accent4 8 2 6 2" xfId="14250" xr:uid="{00000000-0005-0000-0000-00004F1A0000}"/>
    <cellStyle name="20% - Accent4 8 2 6 3" xfId="18201" xr:uid="{00000000-0005-0000-0000-0000501A0000}"/>
    <cellStyle name="20% - Accent4 8 2 7" xfId="14239" xr:uid="{00000000-0005-0000-0000-0000511A0000}"/>
    <cellStyle name="20% - Accent4 8 2 8" xfId="18190" xr:uid="{00000000-0005-0000-0000-0000521A0000}"/>
    <cellStyle name="20% - Accent4 8 2_Volatility" xfId="2983" xr:uid="{00000000-0005-0000-0000-0000531A0000}"/>
    <cellStyle name="20% - Accent4 8 3" xfId="2984" xr:uid="{00000000-0005-0000-0000-0000541A0000}"/>
    <cellStyle name="20% - Accent4 8 3 2" xfId="2985" xr:uid="{00000000-0005-0000-0000-0000551A0000}"/>
    <cellStyle name="20% - Accent4 8 3 2 2" xfId="2986" xr:uid="{00000000-0005-0000-0000-0000561A0000}"/>
    <cellStyle name="20% - Accent4 8 3 2 2 2" xfId="14253" xr:uid="{00000000-0005-0000-0000-0000571A0000}"/>
    <cellStyle name="20% - Accent4 8 3 2 2 3" xfId="18204" xr:uid="{00000000-0005-0000-0000-0000581A0000}"/>
    <cellStyle name="20% - Accent4 8 3 2 3" xfId="2987" xr:uid="{00000000-0005-0000-0000-0000591A0000}"/>
    <cellStyle name="20% - Accent4 8 3 2 3 2" xfId="14254" xr:uid="{00000000-0005-0000-0000-00005A1A0000}"/>
    <cellStyle name="20% - Accent4 8 3 2 3 3" xfId="18205" xr:uid="{00000000-0005-0000-0000-00005B1A0000}"/>
    <cellStyle name="20% - Accent4 8 3 2 4" xfId="14252" xr:uid="{00000000-0005-0000-0000-00005C1A0000}"/>
    <cellStyle name="20% - Accent4 8 3 2 5" xfId="18203" xr:uid="{00000000-0005-0000-0000-00005D1A0000}"/>
    <cellStyle name="20% - Accent4 8 3 3" xfId="2988" xr:uid="{00000000-0005-0000-0000-00005E1A0000}"/>
    <cellStyle name="20% - Accent4 8 3 3 2" xfId="2989" xr:uid="{00000000-0005-0000-0000-00005F1A0000}"/>
    <cellStyle name="20% - Accent4 8 3 3 2 2" xfId="14256" xr:uid="{00000000-0005-0000-0000-0000601A0000}"/>
    <cellStyle name="20% - Accent4 8 3 3 2 3" xfId="18207" xr:uid="{00000000-0005-0000-0000-0000611A0000}"/>
    <cellStyle name="20% - Accent4 8 3 3 3" xfId="2990" xr:uid="{00000000-0005-0000-0000-0000621A0000}"/>
    <cellStyle name="20% - Accent4 8 3 3 3 2" xfId="14257" xr:uid="{00000000-0005-0000-0000-0000631A0000}"/>
    <cellStyle name="20% - Accent4 8 3 3 3 3" xfId="18208" xr:uid="{00000000-0005-0000-0000-0000641A0000}"/>
    <cellStyle name="20% - Accent4 8 3 3 4" xfId="14255" xr:uid="{00000000-0005-0000-0000-0000651A0000}"/>
    <cellStyle name="20% - Accent4 8 3 3 5" xfId="18206" xr:uid="{00000000-0005-0000-0000-0000661A0000}"/>
    <cellStyle name="20% - Accent4 8 3 4" xfId="2991" xr:uid="{00000000-0005-0000-0000-0000671A0000}"/>
    <cellStyle name="20% - Accent4 8 3 4 2" xfId="14258" xr:uid="{00000000-0005-0000-0000-0000681A0000}"/>
    <cellStyle name="20% - Accent4 8 3 4 3" xfId="18209" xr:uid="{00000000-0005-0000-0000-0000691A0000}"/>
    <cellStyle name="20% - Accent4 8 3 5" xfId="2992" xr:uid="{00000000-0005-0000-0000-00006A1A0000}"/>
    <cellStyle name="20% - Accent4 8 3 5 2" xfId="14259" xr:uid="{00000000-0005-0000-0000-00006B1A0000}"/>
    <cellStyle name="20% - Accent4 8 3 5 3" xfId="18210" xr:uid="{00000000-0005-0000-0000-00006C1A0000}"/>
    <cellStyle name="20% - Accent4 8 3 6" xfId="14251" xr:uid="{00000000-0005-0000-0000-00006D1A0000}"/>
    <cellStyle name="20% - Accent4 8 3 7" xfId="18202" xr:uid="{00000000-0005-0000-0000-00006E1A0000}"/>
    <cellStyle name="20% - Accent4 8 3_Volatility" xfId="2993" xr:uid="{00000000-0005-0000-0000-00006F1A0000}"/>
    <cellStyle name="20% - Accent4 8 4" xfId="2994" xr:uid="{00000000-0005-0000-0000-0000701A0000}"/>
    <cellStyle name="20% - Accent4 8 4 2" xfId="2995" xr:uid="{00000000-0005-0000-0000-0000711A0000}"/>
    <cellStyle name="20% - Accent4 8 4 2 2" xfId="14261" xr:uid="{00000000-0005-0000-0000-0000721A0000}"/>
    <cellStyle name="20% - Accent4 8 4 2 3" xfId="18212" xr:uid="{00000000-0005-0000-0000-0000731A0000}"/>
    <cellStyle name="20% - Accent4 8 4 3" xfId="2996" xr:uid="{00000000-0005-0000-0000-0000741A0000}"/>
    <cellStyle name="20% - Accent4 8 4 3 2" xfId="14262" xr:uid="{00000000-0005-0000-0000-0000751A0000}"/>
    <cellStyle name="20% - Accent4 8 4 3 3" xfId="18213" xr:uid="{00000000-0005-0000-0000-0000761A0000}"/>
    <cellStyle name="20% - Accent4 8 4 4" xfId="14260" xr:uid="{00000000-0005-0000-0000-0000771A0000}"/>
    <cellStyle name="20% - Accent4 8 4 5" xfId="18211" xr:uid="{00000000-0005-0000-0000-0000781A0000}"/>
    <cellStyle name="20% - Accent4 8 5" xfId="2997" xr:uid="{00000000-0005-0000-0000-0000791A0000}"/>
    <cellStyle name="20% - Accent4 8 5 2" xfId="2998" xr:uid="{00000000-0005-0000-0000-00007A1A0000}"/>
    <cellStyle name="20% - Accent4 8 5 2 2" xfId="14264" xr:uid="{00000000-0005-0000-0000-00007B1A0000}"/>
    <cellStyle name="20% - Accent4 8 5 2 3" xfId="18215" xr:uid="{00000000-0005-0000-0000-00007C1A0000}"/>
    <cellStyle name="20% - Accent4 8 5 3" xfId="2999" xr:uid="{00000000-0005-0000-0000-00007D1A0000}"/>
    <cellStyle name="20% - Accent4 8 5 3 2" xfId="14265" xr:uid="{00000000-0005-0000-0000-00007E1A0000}"/>
    <cellStyle name="20% - Accent4 8 5 3 3" xfId="18216" xr:uid="{00000000-0005-0000-0000-00007F1A0000}"/>
    <cellStyle name="20% - Accent4 8 5 4" xfId="14263" xr:uid="{00000000-0005-0000-0000-0000801A0000}"/>
    <cellStyle name="20% - Accent4 8 5 5" xfId="18214" xr:uid="{00000000-0005-0000-0000-0000811A0000}"/>
    <cellStyle name="20% - Accent4 8 6" xfId="3000" xr:uid="{00000000-0005-0000-0000-0000821A0000}"/>
    <cellStyle name="20% - Accent4 8 6 2" xfId="3001" xr:uid="{00000000-0005-0000-0000-0000831A0000}"/>
    <cellStyle name="20% - Accent4 8 6 2 2" xfId="14267" xr:uid="{00000000-0005-0000-0000-0000841A0000}"/>
    <cellStyle name="20% - Accent4 8 6 2 3" xfId="18218" xr:uid="{00000000-0005-0000-0000-0000851A0000}"/>
    <cellStyle name="20% - Accent4 8 6 3" xfId="3002" xr:uid="{00000000-0005-0000-0000-0000861A0000}"/>
    <cellStyle name="20% - Accent4 8 6 3 2" xfId="14268" xr:uid="{00000000-0005-0000-0000-0000871A0000}"/>
    <cellStyle name="20% - Accent4 8 6 3 3" xfId="18219" xr:uid="{00000000-0005-0000-0000-0000881A0000}"/>
    <cellStyle name="20% - Accent4 8 6 4" xfId="14266" xr:uid="{00000000-0005-0000-0000-0000891A0000}"/>
    <cellStyle name="20% - Accent4 8 6 5" xfId="18217" xr:uid="{00000000-0005-0000-0000-00008A1A0000}"/>
    <cellStyle name="20% - Accent4 8 7" xfId="3003" xr:uid="{00000000-0005-0000-0000-00008B1A0000}"/>
    <cellStyle name="20% - Accent4 8 7 2" xfId="14269" xr:uid="{00000000-0005-0000-0000-00008C1A0000}"/>
    <cellStyle name="20% - Accent4 8 7 3" xfId="18220" xr:uid="{00000000-0005-0000-0000-00008D1A0000}"/>
    <cellStyle name="20% - Accent4 8 8" xfId="3004" xr:uid="{00000000-0005-0000-0000-00008E1A0000}"/>
    <cellStyle name="20% - Accent4 8 8 2" xfId="14270" xr:uid="{00000000-0005-0000-0000-00008F1A0000}"/>
    <cellStyle name="20% - Accent4 8 8 3" xfId="18221" xr:uid="{00000000-0005-0000-0000-0000901A0000}"/>
    <cellStyle name="20% - Accent4 8 9" xfId="14238" xr:uid="{00000000-0005-0000-0000-0000911A0000}"/>
    <cellStyle name="20% - Accent4 8_Volatility" xfId="3005" xr:uid="{00000000-0005-0000-0000-0000921A0000}"/>
    <cellStyle name="20% - Accent4 9" xfId="3006" xr:uid="{00000000-0005-0000-0000-0000931A0000}"/>
    <cellStyle name="20% - Accent4 9 10" xfId="18222" xr:uid="{00000000-0005-0000-0000-0000941A0000}"/>
    <cellStyle name="20% - Accent4 9 2" xfId="3007" xr:uid="{00000000-0005-0000-0000-0000951A0000}"/>
    <cellStyle name="20% - Accent4 9 2 2" xfId="3008" xr:uid="{00000000-0005-0000-0000-0000961A0000}"/>
    <cellStyle name="20% - Accent4 9 2 2 2" xfId="3009" xr:uid="{00000000-0005-0000-0000-0000971A0000}"/>
    <cellStyle name="20% - Accent4 9 2 2 2 2" xfId="14274" xr:uid="{00000000-0005-0000-0000-0000981A0000}"/>
    <cellStyle name="20% - Accent4 9 2 2 2 3" xfId="18225" xr:uid="{00000000-0005-0000-0000-0000991A0000}"/>
    <cellStyle name="20% - Accent4 9 2 2 3" xfId="3010" xr:uid="{00000000-0005-0000-0000-00009A1A0000}"/>
    <cellStyle name="20% - Accent4 9 2 2 3 2" xfId="14275" xr:uid="{00000000-0005-0000-0000-00009B1A0000}"/>
    <cellStyle name="20% - Accent4 9 2 2 3 3" xfId="18226" xr:uid="{00000000-0005-0000-0000-00009C1A0000}"/>
    <cellStyle name="20% - Accent4 9 2 2 4" xfId="14273" xr:uid="{00000000-0005-0000-0000-00009D1A0000}"/>
    <cellStyle name="20% - Accent4 9 2 2 5" xfId="18224" xr:uid="{00000000-0005-0000-0000-00009E1A0000}"/>
    <cellStyle name="20% - Accent4 9 2 3" xfId="3011" xr:uid="{00000000-0005-0000-0000-00009F1A0000}"/>
    <cellStyle name="20% - Accent4 9 2 3 2" xfId="3012" xr:uid="{00000000-0005-0000-0000-0000A01A0000}"/>
    <cellStyle name="20% - Accent4 9 2 3 2 2" xfId="14277" xr:uid="{00000000-0005-0000-0000-0000A11A0000}"/>
    <cellStyle name="20% - Accent4 9 2 3 2 3" xfId="18228" xr:uid="{00000000-0005-0000-0000-0000A21A0000}"/>
    <cellStyle name="20% - Accent4 9 2 3 3" xfId="3013" xr:uid="{00000000-0005-0000-0000-0000A31A0000}"/>
    <cellStyle name="20% - Accent4 9 2 3 3 2" xfId="14278" xr:uid="{00000000-0005-0000-0000-0000A41A0000}"/>
    <cellStyle name="20% - Accent4 9 2 3 3 3" xfId="18229" xr:uid="{00000000-0005-0000-0000-0000A51A0000}"/>
    <cellStyle name="20% - Accent4 9 2 3 4" xfId="14276" xr:uid="{00000000-0005-0000-0000-0000A61A0000}"/>
    <cellStyle name="20% - Accent4 9 2 3 5" xfId="18227" xr:uid="{00000000-0005-0000-0000-0000A71A0000}"/>
    <cellStyle name="20% - Accent4 9 2 4" xfId="3014" xr:uid="{00000000-0005-0000-0000-0000A81A0000}"/>
    <cellStyle name="20% - Accent4 9 2 4 2" xfId="3015" xr:uid="{00000000-0005-0000-0000-0000A91A0000}"/>
    <cellStyle name="20% - Accent4 9 2 4 2 2" xfId="14280" xr:uid="{00000000-0005-0000-0000-0000AA1A0000}"/>
    <cellStyle name="20% - Accent4 9 2 4 2 3" xfId="18231" xr:uid="{00000000-0005-0000-0000-0000AB1A0000}"/>
    <cellStyle name="20% - Accent4 9 2 4 3" xfId="3016" xr:uid="{00000000-0005-0000-0000-0000AC1A0000}"/>
    <cellStyle name="20% - Accent4 9 2 4 3 2" xfId="14281" xr:uid="{00000000-0005-0000-0000-0000AD1A0000}"/>
    <cellStyle name="20% - Accent4 9 2 4 3 3" xfId="18232" xr:uid="{00000000-0005-0000-0000-0000AE1A0000}"/>
    <cellStyle name="20% - Accent4 9 2 4 4" xfId="14279" xr:uid="{00000000-0005-0000-0000-0000AF1A0000}"/>
    <cellStyle name="20% - Accent4 9 2 4 5" xfId="18230" xr:uid="{00000000-0005-0000-0000-0000B01A0000}"/>
    <cellStyle name="20% - Accent4 9 2 5" xfId="3017" xr:uid="{00000000-0005-0000-0000-0000B11A0000}"/>
    <cellStyle name="20% - Accent4 9 2 5 2" xfId="14282" xr:uid="{00000000-0005-0000-0000-0000B21A0000}"/>
    <cellStyle name="20% - Accent4 9 2 5 3" xfId="18233" xr:uid="{00000000-0005-0000-0000-0000B31A0000}"/>
    <cellStyle name="20% - Accent4 9 2 6" xfId="3018" xr:uid="{00000000-0005-0000-0000-0000B41A0000}"/>
    <cellStyle name="20% - Accent4 9 2 6 2" xfId="14283" xr:uid="{00000000-0005-0000-0000-0000B51A0000}"/>
    <cellStyle name="20% - Accent4 9 2 6 3" xfId="18234" xr:uid="{00000000-0005-0000-0000-0000B61A0000}"/>
    <cellStyle name="20% - Accent4 9 2 7" xfId="14272" xr:uid="{00000000-0005-0000-0000-0000B71A0000}"/>
    <cellStyle name="20% - Accent4 9 2 8" xfId="18223" xr:uid="{00000000-0005-0000-0000-0000B81A0000}"/>
    <cellStyle name="20% - Accent4 9 2_Volatility" xfId="3019" xr:uid="{00000000-0005-0000-0000-0000B91A0000}"/>
    <cellStyle name="20% - Accent4 9 3" xfId="3020" xr:uid="{00000000-0005-0000-0000-0000BA1A0000}"/>
    <cellStyle name="20% - Accent4 9 3 2" xfId="3021" xr:uid="{00000000-0005-0000-0000-0000BB1A0000}"/>
    <cellStyle name="20% - Accent4 9 3 2 2" xfId="3022" xr:uid="{00000000-0005-0000-0000-0000BC1A0000}"/>
    <cellStyle name="20% - Accent4 9 3 2 2 2" xfId="14286" xr:uid="{00000000-0005-0000-0000-0000BD1A0000}"/>
    <cellStyle name="20% - Accent4 9 3 2 2 3" xfId="18237" xr:uid="{00000000-0005-0000-0000-0000BE1A0000}"/>
    <cellStyle name="20% - Accent4 9 3 2 3" xfId="3023" xr:uid="{00000000-0005-0000-0000-0000BF1A0000}"/>
    <cellStyle name="20% - Accent4 9 3 2 3 2" xfId="14287" xr:uid="{00000000-0005-0000-0000-0000C01A0000}"/>
    <cellStyle name="20% - Accent4 9 3 2 3 3" xfId="18238" xr:uid="{00000000-0005-0000-0000-0000C11A0000}"/>
    <cellStyle name="20% - Accent4 9 3 2 4" xfId="14285" xr:uid="{00000000-0005-0000-0000-0000C21A0000}"/>
    <cellStyle name="20% - Accent4 9 3 2 5" xfId="18236" xr:uid="{00000000-0005-0000-0000-0000C31A0000}"/>
    <cellStyle name="20% - Accent4 9 3 3" xfId="3024" xr:uid="{00000000-0005-0000-0000-0000C41A0000}"/>
    <cellStyle name="20% - Accent4 9 3 3 2" xfId="3025" xr:uid="{00000000-0005-0000-0000-0000C51A0000}"/>
    <cellStyle name="20% - Accent4 9 3 3 2 2" xfId="14289" xr:uid="{00000000-0005-0000-0000-0000C61A0000}"/>
    <cellStyle name="20% - Accent4 9 3 3 2 3" xfId="18240" xr:uid="{00000000-0005-0000-0000-0000C71A0000}"/>
    <cellStyle name="20% - Accent4 9 3 3 3" xfId="3026" xr:uid="{00000000-0005-0000-0000-0000C81A0000}"/>
    <cellStyle name="20% - Accent4 9 3 3 3 2" xfId="14290" xr:uid="{00000000-0005-0000-0000-0000C91A0000}"/>
    <cellStyle name="20% - Accent4 9 3 3 3 3" xfId="18241" xr:uid="{00000000-0005-0000-0000-0000CA1A0000}"/>
    <cellStyle name="20% - Accent4 9 3 3 4" xfId="14288" xr:uid="{00000000-0005-0000-0000-0000CB1A0000}"/>
    <cellStyle name="20% - Accent4 9 3 3 5" xfId="18239" xr:uid="{00000000-0005-0000-0000-0000CC1A0000}"/>
    <cellStyle name="20% - Accent4 9 3 4" xfId="3027" xr:uid="{00000000-0005-0000-0000-0000CD1A0000}"/>
    <cellStyle name="20% - Accent4 9 3 4 2" xfId="14291" xr:uid="{00000000-0005-0000-0000-0000CE1A0000}"/>
    <cellStyle name="20% - Accent4 9 3 4 3" xfId="18242" xr:uid="{00000000-0005-0000-0000-0000CF1A0000}"/>
    <cellStyle name="20% - Accent4 9 3 5" xfId="3028" xr:uid="{00000000-0005-0000-0000-0000D01A0000}"/>
    <cellStyle name="20% - Accent4 9 3 5 2" xfId="14292" xr:uid="{00000000-0005-0000-0000-0000D11A0000}"/>
    <cellStyle name="20% - Accent4 9 3 5 3" xfId="18243" xr:uid="{00000000-0005-0000-0000-0000D21A0000}"/>
    <cellStyle name="20% - Accent4 9 3 6" xfId="14284" xr:uid="{00000000-0005-0000-0000-0000D31A0000}"/>
    <cellStyle name="20% - Accent4 9 3 7" xfId="18235" xr:uid="{00000000-0005-0000-0000-0000D41A0000}"/>
    <cellStyle name="20% - Accent4 9 3_Volatility" xfId="3029" xr:uid="{00000000-0005-0000-0000-0000D51A0000}"/>
    <cellStyle name="20% - Accent4 9 4" xfId="3030" xr:uid="{00000000-0005-0000-0000-0000D61A0000}"/>
    <cellStyle name="20% - Accent4 9 4 2" xfId="3031" xr:uid="{00000000-0005-0000-0000-0000D71A0000}"/>
    <cellStyle name="20% - Accent4 9 4 2 2" xfId="14294" xr:uid="{00000000-0005-0000-0000-0000D81A0000}"/>
    <cellStyle name="20% - Accent4 9 4 2 3" xfId="18245" xr:uid="{00000000-0005-0000-0000-0000D91A0000}"/>
    <cellStyle name="20% - Accent4 9 4 3" xfId="3032" xr:uid="{00000000-0005-0000-0000-0000DA1A0000}"/>
    <cellStyle name="20% - Accent4 9 4 3 2" xfId="14295" xr:uid="{00000000-0005-0000-0000-0000DB1A0000}"/>
    <cellStyle name="20% - Accent4 9 4 3 3" xfId="18246" xr:uid="{00000000-0005-0000-0000-0000DC1A0000}"/>
    <cellStyle name="20% - Accent4 9 4 4" xfId="14293" xr:uid="{00000000-0005-0000-0000-0000DD1A0000}"/>
    <cellStyle name="20% - Accent4 9 4 5" xfId="18244" xr:uid="{00000000-0005-0000-0000-0000DE1A0000}"/>
    <cellStyle name="20% - Accent4 9 5" xfId="3033" xr:uid="{00000000-0005-0000-0000-0000DF1A0000}"/>
    <cellStyle name="20% - Accent4 9 5 2" xfId="3034" xr:uid="{00000000-0005-0000-0000-0000E01A0000}"/>
    <cellStyle name="20% - Accent4 9 5 2 2" xfId="14297" xr:uid="{00000000-0005-0000-0000-0000E11A0000}"/>
    <cellStyle name="20% - Accent4 9 5 2 3" xfId="18248" xr:uid="{00000000-0005-0000-0000-0000E21A0000}"/>
    <cellStyle name="20% - Accent4 9 5 3" xfId="3035" xr:uid="{00000000-0005-0000-0000-0000E31A0000}"/>
    <cellStyle name="20% - Accent4 9 5 3 2" xfId="14298" xr:uid="{00000000-0005-0000-0000-0000E41A0000}"/>
    <cellStyle name="20% - Accent4 9 5 3 3" xfId="18249" xr:uid="{00000000-0005-0000-0000-0000E51A0000}"/>
    <cellStyle name="20% - Accent4 9 5 4" xfId="14296" xr:uid="{00000000-0005-0000-0000-0000E61A0000}"/>
    <cellStyle name="20% - Accent4 9 5 5" xfId="18247" xr:uid="{00000000-0005-0000-0000-0000E71A0000}"/>
    <cellStyle name="20% - Accent4 9 6" xfId="3036" xr:uid="{00000000-0005-0000-0000-0000E81A0000}"/>
    <cellStyle name="20% - Accent4 9 6 2" xfId="3037" xr:uid="{00000000-0005-0000-0000-0000E91A0000}"/>
    <cellStyle name="20% - Accent4 9 6 2 2" xfId="14300" xr:uid="{00000000-0005-0000-0000-0000EA1A0000}"/>
    <cellStyle name="20% - Accent4 9 6 2 3" xfId="18251" xr:uid="{00000000-0005-0000-0000-0000EB1A0000}"/>
    <cellStyle name="20% - Accent4 9 6 3" xfId="3038" xr:uid="{00000000-0005-0000-0000-0000EC1A0000}"/>
    <cellStyle name="20% - Accent4 9 6 3 2" xfId="14301" xr:uid="{00000000-0005-0000-0000-0000ED1A0000}"/>
    <cellStyle name="20% - Accent4 9 6 3 3" xfId="18252" xr:uid="{00000000-0005-0000-0000-0000EE1A0000}"/>
    <cellStyle name="20% - Accent4 9 6 4" xfId="14299" xr:uid="{00000000-0005-0000-0000-0000EF1A0000}"/>
    <cellStyle name="20% - Accent4 9 6 5" xfId="18250" xr:uid="{00000000-0005-0000-0000-0000F01A0000}"/>
    <cellStyle name="20% - Accent4 9 7" xfId="3039" xr:uid="{00000000-0005-0000-0000-0000F11A0000}"/>
    <cellStyle name="20% - Accent4 9 7 2" xfId="14302" xr:uid="{00000000-0005-0000-0000-0000F21A0000}"/>
    <cellStyle name="20% - Accent4 9 7 3" xfId="18253" xr:uid="{00000000-0005-0000-0000-0000F31A0000}"/>
    <cellStyle name="20% - Accent4 9 8" xfId="3040" xr:uid="{00000000-0005-0000-0000-0000F41A0000}"/>
    <cellStyle name="20% - Accent4 9 8 2" xfId="14303" xr:uid="{00000000-0005-0000-0000-0000F51A0000}"/>
    <cellStyle name="20% - Accent4 9 8 3" xfId="18254" xr:uid="{00000000-0005-0000-0000-0000F61A0000}"/>
    <cellStyle name="20% - Accent4 9 9" xfId="14271" xr:uid="{00000000-0005-0000-0000-0000F71A0000}"/>
    <cellStyle name="20% - Accent4 9_Volatility" xfId="3041" xr:uid="{00000000-0005-0000-0000-0000F81A0000}"/>
    <cellStyle name="20% - Accent5 10" xfId="3042" xr:uid="{00000000-0005-0000-0000-0000F91A0000}"/>
    <cellStyle name="20% - Accent5 10 10" xfId="18255" xr:uid="{00000000-0005-0000-0000-0000FA1A0000}"/>
    <cellStyle name="20% - Accent5 10 2" xfId="3043" xr:uid="{00000000-0005-0000-0000-0000FB1A0000}"/>
    <cellStyle name="20% - Accent5 10 2 2" xfId="3044" xr:uid="{00000000-0005-0000-0000-0000FC1A0000}"/>
    <cellStyle name="20% - Accent5 10 2 2 2" xfId="3045" xr:uid="{00000000-0005-0000-0000-0000FD1A0000}"/>
    <cellStyle name="20% - Accent5 10 2 2 2 2" xfId="14307" xr:uid="{00000000-0005-0000-0000-0000FE1A0000}"/>
    <cellStyle name="20% - Accent5 10 2 2 2 3" xfId="18258" xr:uid="{00000000-0005-0000-0000-0000FF1A0000}"/>
    <cellStyle name="20% - Accent5 10 2 2 3" xfId="3046" xr:uid="{00000000-0005-0000-0000-0000001B0000}"/>
    <cellStyle name="20% - Accent5 10 2 2 3 2" xfId="14308" xr:uid="{00000000-0005-0000-0000-0000011B0000}"/>
    <cellStyle name="20% - Accent5 10 2 2 3 3" xfId="18259" xr:uid="{00000000-0005-0000-0000-0000021B0000}"/>
    <cellStyle name="20% - Accent5 10 2 2 4" xfId="14306" xr:uid="{00000000-0005-0000-0000-0000031B0000}"/>
    <cellStyle name="20% - Accent5 10 2 2 5" xfId="18257" xr:uid="{00000000-0005-0000-0000-0000041B0000}"/>
    <cellStyle name="20% - Accent5 10 2 3" xfId="3047" xr:uid="{00000000-0005-0000-0000-0000051B0000}"/>
    <cellStyle name="20% - Accent5 10 2 3 2" xfId="3048" xr:uid="{00000000-0005-0000-0000-0000061B0000}"/>
    <cellStyle name="20% - Accent5 10 2 3 2 2" xfId="14310" xr:uid="{00000000-0005-0000-0000-0000071B0000}"/>
    <cellStyle name="20% - Accent5 10 2 3 2 3" xfId="18261" xr:uid="{00000000-0005-0000-0000-0000081B0000}"/>
    <cellStyle name="20% - Accent5 10 2 3 3" xfId="3049" xr:uid="{00000000-0005-0000-0000-0000091B0000}"/>
    <cellStyle name="20% - Accent5 10 2 3 3 2" xfId="14311" xr:uid="{00000000-0005-0000-0000-00000A1B0000}"/>
    <cellStyle name="20% - Accent5 10 2 3 3 3" xfId="18262" xr:uid="{00000000-0005-0000-0000-00000B1B0000}"/>
    <cellStyle name="20% - Accent5 10 2 3 4" xfId="14309" xr:uid="{00000000-0005-0000-0000-00000C1B0000}"/>
    <cellStyle name="20% - Accent5 10 2 3 5" xfId="18260" xr:uid="{00000000-0005-0000-0000-00000D1B0000}"/>
    <cellStyle name="20% - Accent5 10 2 4" xfId="3050" xr:uid="{00000000-0005-0000-0000-00000E1B0000}"/>
    <cellStyle name="20% - Accent5 10 2 4 2" xfId="3051" xr:uid="{00000000-0005-0000-0000-00000F1B0000}"/>
    <cellStyle name="20% - Accent5 10 2 4 2 2" xfId="14313" xr:uid="{00000000-0005-0000-0000-0000101B0000}"/>
    <cellStyle name="20% - Accent5 10 2 4 2 3" xfId="18264" xr:uid="{00000000-0005-0000-0000-0000111B0000}"/>
    <cellStyle name="20% - Accent5 10 2 4 3" xfId="3052" xr:uid="{00000000-0005-0000-0000-0000121B0000}"/>
    <cellStyle name="20% - Accent5 10 2 4 3 2" xfId="14314" xr:uid="{00000000-0005-0000-0000-0000131B0000}"/>
    <cellStyle name="20% - Accent5 10 2 4 3 3" xfId="18265" xr:uid="{00000000-0005-0000-0000-0000141B0000}"/>
    <cellStyle name="20% - Accent5 10 2 4 4" xfId="14312" xr:uid="{00000000-0005-0000-0000-0000151B0000}"/>
    <cellStyle name="20% - Accent5 10 2 4 5" xfId="18263" xr:uid="{00000000-0005-0000-0000-0000161B0000}"/>
    <cellStyle name="20% - Accent5 10 2 5" xfId="3053" xr:uid="{00000000-0005-0000-0000-0000171B0000}"/>
    <cellStyle name="20% - Accent5 10 2 5 2" xfId="14315" xr:uid="{00000000-0005-0000-0000-0000181B0000}"/>
    <cellStyle name="20% - Accent5 10 2 5 3" xfId="18266" xr:uid="{00000000-0005-0000-0000-0000191B0000}"/>
    <cellStyle name="20% - Accent5 10 2 6" xfId="3054" xr:uid="{00000000-0005-0000-0000-00001A1B0000}"/>
    <cellStyle name="20% - Accent5 10 2 6 2" xfId="14316" xr:uid="{00000000-0005-0000-0000-00001B1B0000}"/>
    <cellStyle name="20% - Accent5 10 2 6 3" xfId="18267" xr:uid="{00000000-0005-0000-0000-00001C1B0000}"/>
    <cellStyle name="20% - Accent5 10 2 7" xfId="14305" xr:uid="{00000000-0005-0000-0000-00001D1B0000}"/>
    <cellStyle name="20% - Accent5 10 2 8" xfId="18256" xr:uid="{00000000-0005-0000-0000-00001E1B0000}"/>
    <cellStyle name="20% - Accent5 10 2_Volatility" xfId="3055" xr:uid="{00000000-0005-0000-0000-00001F1B0000}"/>
    <cellStyle name="20% - Accent5 10 3" xfId="3056" xr:uid="{00000000-0005-0000-0000-0000201B0000}"/>
    <cellStyle name="20% - Accent5 10 3 2" xfId="3057" xr:uid="{00000000-0005-0000-0000-0000211B0000}"/>
    <cellStyle name="20% - Accent5 10 3 2 2" xfId="3058" xr:uid="{00000000-0005-0000-0000-0000221B0000}"/>
    <cellStyle name="20% - Accent5 10 3 2 2 2" xfId="14319" xr:uid="{00000000-0005-0000-0000-0000231B0000}"/>
    <cellStyle name="20% - Accent5 10 3 2 2 3" xfId="18270" xr:uid="{00000000-0005-0000-0000-0000241B0000}"/>
    <cellStyle name="20% - Accent5 10 3 2 3" xfId="3059" xr:uid="{00000000-0005-0000-0000-0000251B0000}"/>
    <cellStyle name="20% - Accent5 10 3 2 3 2" xfId="14320" xr:uid="{00000000-0005-0000-0000-0000261B0000}"/>
    <cellStyle name="20% - Accent5 10 3 2 3 3" xfId="18271" xr:uid="{00000000-0005-0000-0000-0000271B0000}"/>
    <cellStyle name="20% - Accent5 10 3 2 4" xfId="14318" xr:uid="{00000000-0005-0000-0000-0000281B0000}"/>
    <cellStyle name="20% - Accent5 10 3 2 5" xfId="18269" xr:uid="{00000000-0005-0000-0000-0000291B0000}"/>
    <cellStyle name="20% - Accent5 10 3 3" xfId="3060" xr:uid="{00000000-0005-0000-0000-00002A1B0000}"/>
    <cellStyle name="20% - Accent5 10 3 3 2" xfId="3061" xr:uid="{00000000-0005-0000-0000-00002B1B0000}"/>
    <cellStyle name="20% - Accent5 10 3 3 2 2" xfId="14322" xr:uid="{00000000-0005-0000-0000-00002C1B0000}"/>
    <cellStyle name="20% - Accent5 10 3 3 2 3" xfId="18273" xr:uid="{00000000-0005-0000-0000-00002D1B0000}"/>
    <cellStyle name="20% - Accent5 10 3 3 3" xfId="3062" xr:uid="{00000000-0005-0000-0000-00002E1B0000}"/>
    <cellStyle name="20% - Accent5 10 3 3 3 2" xfId="14323" xr:uid="{00000000-0005-0000-0000-00002F1B0000}"/>
    <cellStyle name="20% - Accent5 10 3 3 3 3" xfId="18274" xr:uid="{00000000-0005-0000-0000-0000301B0000}"/>
    <cellStyle name="20% - Accent5 10 3 3 4" xfId="14321" xr:uid="{00000000-0005-0000-0000-0000311B0000}"/>
    <cellStyle name="20% - Accent5 10 3 3 5" xfId="18272" xr:uid="{00000000-0005-0000-0000-0000321B0000}"/>
    <cellStyle name="20% - Accent5 10 3 4" xfId="3063" xr:uid="{00000000-0005-0000-0000-0000331B0000}"/>
    <cellStyle name="20% - Accent5 10 3 4 2" xfId="14324" xr:uid="{00000000-0005-0000-0000-0000341B0000}"/>
    <cellStyle name="20% - Accent5 10 3 4 3" xfId="18275" xr:uid="{00000000-0005-0000-0000-0000351B0000}"/>
    <cellStyle name="20% - Accent5 10 3 5" xfId="3064" xr:uid="{00000000-0005-0000-0000-0000361B0000}"/>
    <cellStyle name="20% - Accent5 10 3 5 2" xfId="14325" xr:uid="{00000000-0005-0000-0000-0000371B0000}"/>
    <cellStyle name="20% - Accent5 10 3 5 3" xfId="18276" xr:uid="{00000000-0005-0000-0000-0000381B0000}"/>
    <cellStyle name="20% - Accent5 10 3 6" xfId="14317" xr:uid="{00000000-0005-0000-0000-0000391B0000}"/>
    <cellStyle name="20% - Accent5 10 3 7" xfId="18268" xr:uid="{00000000-0005-0000-0000-00003A1B0000}"/>
    <cellStyle name="20% - Accent5 10 3_Volatility" xfId="3065" xr:uid="{00000000-0005-0000-0000-00003B1B0000}"/>
    <cellStyle name="20% - Accent5 10 4" xfId="3066" xr:uid="{00000000-0005-0000-0000-00003C1B0000}"/>
    <cellStyle name="20% - Accent5 10 4 2" xfId="3067" xr:uid="{00000000-0005-0000-0000-00003D1B0000}"/>
    <cellStyle name="20% - Accent5 10 4 2 2" xfId="14327" xr:uid="{00000000-0005-0000-0000-00003E1B0000}"/>
    <cellStyle name="20% - Accent5 10 4 2 3" xfId="18278" xr:uid="{00000000-0005-0000-0000-00003F1B0000}"/>
    <cellStyle name="20% - Accent5 10 4 3" xfId="3068" xr:uid="{00000000-0005-0000-0000-0000401B0000}"/>
    <cellStyle name="20% - Accent5 10 4 3 2" xfId="14328" xr:uid="{00000000-0005-0000-0000-0000411B0000}"/>
    <cellStyle name="20% - Accent5 10 4 3 3" xfId="18279" xr:uid="{00000000-0005-0000-0000-0000421B0000}"/>
    <cellStyle name="20% - Accent5 10 4 4" xfId="14326" xr:uid="{00000000-0005-0000-0000-0000431B0000}"/>
    <cellStyle name="20% - Accent5 10 4 5" xfId="18277" xr:uid="{00000000-0005-0000-0000-0000441B0000}"/>
    <cellStyle name="20% - Accent5 10 5" xfId="3069" xr:uid="{00000000-0005-0000-0000-0000451B0000}"/>
    <cellStyle name="20% - Accent5 10 5 2" xfId="3070" xr:uid="{00000000-0005-0000-0000-0000461B0000}"/>
    <cellStyle name="20% - Accent5 10 5 2 2" xfId="14330" xr:uid="{00000000-0005-0000-0000-0000471B0000}"/>
    <cellStyle name="20% - Accent5 10 5 2 3" xfId="18281" xr:uid="{00000000-0005-0000-0000-0000481B0000}"/>
    <cellStyle name="20% - Accent5 10 5 3" xfId="3071" xr:uid="{00000000-0005-0000-0000-0000491B0000}"/>
    <cellStyle name="20% - Accent5 10 5 3 2" xfId="14331" xr:uid="{00000000-0005-0000-0000-00004A1B0000}"/>
    <cellStyle name="20% - Accent5 10 5 3 3" xfId="18282" xr:uid="{00000000-0005-0000-0000-00004B1B0000}"/>
    <cellStyle name="20% - Accent5 10 5 4" xfId="14329" xr:uid="{00000000-0005-0000-0000-00004C1B0000}"/>
    <cellStyle name="20% - Accent5 10 5 5" xfId="18280" xr:uid="{00000000-0005-0000-0000-00004D1B0000}"/>
    <cellStyle name="20% - Accent5 10 6" xfId="3072" xr:uid="{00000000-0005-0000-0000-00004E1B0000}"/>
    <cellStyle name="20% - Accent5 10 6 2" xfId="3073" xr:uid="{00000000-0005-0000-0000-00004F1B0000}"/>
    <cellStyle name="20% - Accent5 10 6 2 2" xfId="14333" xr:uid="{00000000-0005-0000-0000-0000501B0000}"/>
    <cellStyle name="20% - Accent5 10 6 2 3" xfId="18284" xr:uid="{00000000-0005-0000-0000-0000511B0000}"/>
    <cellStyle name="20% - Accent5 10 6 3" xfId="3074" xr:uid="{00000000-0005-0000-0000-0000521B0000}"/>
    <cellStyle name="20% - Accent5 10 6 3 2" xfId="14334" xr:uid="{00000000-0005-0000-0000-0000531B0000}"/>
    <cellStyle name="20% - Accent5 10 6 3 3" xfId="18285" xr:uid="{00000000-0005-0000-0000-0000541B0000}"/>
    <cellStyle name="20% - Accent5 10 6 4" xfId="14332" xr:uid="{00000000-0005-0000-0000-0000551B0000}"/>
    <cellStyle name="20% - Accent5 10 6 5" xfId="18283" xr:uid="{00000000-0005-0000-0000-0000561B0000}"/>
    <cellStyle name="20% - Accent5 10 7" xfId="3075" xr:uid="{00000000-0005-0000-0000-0000571B0000}"/>
    <cellStyle name="20% - Accent5 10 7 2" xfId="14335" xr:uid="{00000000-0005-0000-0000-0000581B0000}"/>
    <cellStyle name="20% - Accent5 10 7 3" xfId="18286" xr:uid="{00000000-0005-0000-0000-0000591B0000}"/>
    <cellStyle name="20% - Accent5 10 8" xfId="3076" xr:uid="{00000000-0005-0000-0000-00005A1B0000}"/>
    <cellStyle name="20% - Accent5 10 8 2" xfId="14336" xr:uid="{00000000-0005-0000-0000-00005B1B0000}"/>
    <cellStyle name="20% - Accent5 10 8 3" xfId="18287" xr:uid="{00000000-0005-0000-0000-00005C1B0000}"/>
    <cellStyle name="20% - Accent5 10 9" xfId="14304" xr:uid="{00000000-0005-0000-0000-00005D1B0000}"/>
    <cellStyle name="20% - Accent5 10_Volatility" xfId="3077" xr:uid="{00000000-0005-0000-0000-00005E1B0000}"/>
    <cellStyle name="20% - Accent5 11" xfId="3078" xr:uid="{00000000-0005-0000-0000-00005F1B0000}"/>
    <cellStyle name="20% - Accent5 11 10" xfId="18288" xr:uid="{00000000-0005-0000-0000-0000601B0000}"/>
    <cellStyle name="20% - Accent5 11 2" xfId="3079" xr:uid="{00000000-0005-0000-0000-0000611B0000}"/>
    <cellStyle name="20% - Accent5 11 2 2" xfId="3080" xr:uid="{00000000-0005-0000-0000-0000621B0000}"/>
    <cellStyle name="20% - Accent5 11 2 2 2" xfId="3081" xr:uid="{00000000-0005-0000-0000-0000631B0000}"/>
    <cellStyle name="20% - Accent5 11 2 2 2 2" xfId="14340" xr:uid="{00000000-0005-0000-0000-0000641B0000}"/>
    <cellStyle name="20% - Accent5 11 2 2 2 3" xfId="18291" xr:uid="{00000000-0005-0000-0000-0000651B0000}"/>
    <cellStyle name="20% - Accent5 11 2 2 3" xfId="3082" xr:uid="{00000000-0005-0000-0000-0000661B0000}"/>
    <cellStyle name="20% - Accent5 11 2 2 3 2" xfId="14341" xr:uid="{00000000-0005-0000-0000-0000671B0000}"/>
    <cellStyle name="20% - Accent5 11 2 2 3 3" xfId="18292" xr:uid="{00000000-0005-0000-0000-0000681B0000}"/>
    <cellStyle name="20% - Accent5 11 2 2 4" xfId="14339" xr:uid="{00000000-0005-0000-0000-0000691B0000}"/>
    <cellStyle name="20% - Accent5 11 2 2 5" xfId="18290" xr:uid="{00000000-0005-0000-0000-00006A1B0000}"/>
    <cellStyle name="20% - Accent5 11 2 3" xfId="3083" xr:uid="{00000000-0005-0000-0000-00006B1B0000}"/>
    <cellStyle name="20% - Accent5 11 2 3 2" xfId="3084" xr:uid="{00000000-0005-0000-0000-00006C1B0000}"/>
    <cellStyle name="20% - Accent5 11 2 3 2 2" xfId="14343" xr:uid="{00000000-0005-0000-0000-00006D1B0000}"/>
    <cellStyle name="20% - Accent5 11 2 3 2 3" xfId="18294" xr:uid="{00000000-0005-0000-0000-00006E1B0000}"/>
    <cellStyle name="20% - Accent5 11 2 3 3" xfId="3085" xr:uid="{00000000-0005-0000-0000-00006F1B0000}"/>
    <cellStyle name="20% - Accent5 11 2 3 3 2" xfId="14344" xr:uid="{00000000-0005-0000-0000-0000701B0000}"/>
    <cellStyle name="20% - Accent5 11 2 3 3 3" xfId="18295" xr:uid="{00000000-0005-0000-0000-0000711B0000}"/>
    <cellStyle name="20% - Accent5 11 2 3 4" xfId="14342" xr:uid="{00000000-0005-0000-0000-0000721B0000}"/>
    <cellStyle name="20% - Accent5 11 2 3 5" xfId="18293" xr:uid="{00000000-0005-0000-0000-0000731B0000}"/>
    <cellStyle name="20% - Accent5 11 2 4" xfId="3086" xr:uid="{00000000-0005-0000-0000-0000741B0000}"/>
    <cellStyle name="20% - Accent5 11 2 4 2" xfId="3087" xr:uid="{00000000-0005-0000-0000-0000751B0000}"/>
    <cellStyle name="20% - Accent5 11 2 4 2 2" xfId="14346" xr:uid="{00000000-0005-0000-0000-0000761B0000}"/>
    <cellStyle name="20% - Accent5 11 2 4 2 3" xfId="18297" xr:uid="{00000000-0005-0000-0000-0000771B0000}"/>
    <cellStyle name="20% - Accent5 11 2 4 3" xfId="3088" xr:uid="{00000000-0005-0000-0000-0000781B0000}"/>
    <cellStyle name="20% - Accent5 11 2 4 3 2" xfId="14347" xr:uid="{00000000-0005-0000-0000-0000791B0000}"/>
    <cellStyle name="20% - Accent5 11 2 4 3 3" xfId="18298" xr:uid="{00000000-0005-0000-0000-00007A1B0000}"/>
    <cellStyle name="20% - Accent5 11 2 4 4" xfId="14345" xr:uid="{00000000-0005-0000-0000-00007B1B0000}"/>
    <cellStyle name="20% - Accent5 11 2 4 5" xfId="18296" xr:uid="{00000000-0005-0000-0000-00007C1B0000}"/>
    <cellStyle name="20% - Accent5 11 2 5" xfId="3089" xr:uid="{00000000-0005-0000-0000-00007D1B0000}"/>
    <cellStyle name="20% - Accent5 11 2 5 2" xfId="14348" xr:uid="{00000000-0005-0000-0000-00007E1B0000}"/>
    <cellStyle name="20% - Accent5 11 2 5 3" xfId="18299" xr:uid="{00000000-0005-0000-0000-00007F1B0000}"/>
    <cellStyle name="20% - Accent5 11 2 6" xfId="3090" xr:uid="{00000000-0005-0000-0000-0000801B0000}"/>
    <cellStyle name="20% - Accent5 11 2 6 2" xfId="14349" xr:uid="{00000000-0005-0000-0000-0000811B0000}"/>
    <cellStyle name="20% - Accent5 11 2 6 3" xfId="18300" xr:uid="{00000000-0005-0000-0000-0000821B0000}"/>
    <cellStyle name="20% - Accent5 11 2 7" xfId="14338" xr:uid="{00000000-0005-0000-0000-0000831B0000}"/>
    <cellStyle name="20% - Accent5 11 2 8" xfId="18289" xr:uid="{00000000-0005-0000-0000-0000841B0000}"/>
    <cellStyle name="20% - Accent5 11 2_Volatility" xfId="3091" xr:uid="{00000000-0005-0000-0000-0000851B0000}"/>
    <cellStyle name="20% - Accent5 11 3" xfId="3092" xr:uid="{00000000-0005-0000-0000-0000861B0000}"/>
    <cellStyle name="20% - Accent5 11 3 2" xfId="3093" xr:uid="{00000000-0005-0000-0000-0000871B0000}"/>
    <cellStyle name="20% - Accent5 11 3 2 2" xfId="3094" xr:uid="{00000000-0005-0000-0000-0000881B0000}"/>
    <cellStyle name="20% - Accent5 11 3 2 2 2" xfId="14352" xr:uid="{00000000-0005-0000-0000-0000891B0000}"/>
    <cellStyle name="20% - Accent5 11 3 2 2 3" xfId="18303" xr:uid="{00000000-0005-0000-0000-00008A1B0000}"/>
    <cellStyle name="20% - Accent5 11 3 2 3" xfId="3095" xr:uid="{00000000-0005-0000-0000-00008B1B0000}"/>
    <cellStyle name="20% - Accent5 11 3 2 3 2" xfId="14353" xr:uid="{00000000-0005-0000-0000-00008C1B0000}"/>
    <cellStyle name="20% - Accent5 11 3 2 3 3" xfId="18304" xr:uid="{00000000-0005-0000-0000-00008D1B0000}"/>
    <cellStyle name="20% - Accent5 11 3 2 4" xfId="14351" xr:uid="{00000000-0005-0000-0000-00008E1B0000}"/>
    <cellStyle name="20% - Accent5 11 3 2 5" xfId="18302" xr:uid="{00000000-0005-0000-0000-00008F1B0000}"/>
    <cellStyle name="20% - Accent5 11 3 3" xfId="3096" xr:uid="{00000000-0005-0000-0000-0000901B0000}"/>
    <cellStyle name="20% - Accent5 11 3 3 2" xfId="3097" xr:uid="{00000000-0005-0000-0000-0000911B0000}"/>
    <cellStyle name="20% - Accent5 11 3 3 2 2" xfId="14355" xr:uid="{00000000-0005-0000-0000-0000921B0000}"/>
    <cellStyle name="20% - Accent5 11 3 3 2 3" xfId="18306" xr:uid="{00000000-0005-0000-0000-0000931B0000}"/>
    <cellStyle name="20% - Accent5 11 3 3 3" xfId="3098" xr:uid="{00000000-0005-0000-0000-0000941B0000}"/>
    <cellStyle name="20% - Accent5 11 3 3 3 2" xfId="14356" xr:uid="{00000000-0005-0000-0000-0000951B0000}"/>
    <cellStyle name="20% - Accent5 11 3 3 3 3" xfId="18307" xr:uid="{00000000-0005-0000-0000-0000961B0000}"/>
    <cellStyle name="20% - Accent5 11 3 3 4" xfId="14354" xr:uid="{00000000-0005-0000-0000-0000971B0000}"/>
    <cellStyle name="20% - Accent5 11 3 3 5" xfId="18305" xr:uid="{00000000-0005-0000-0000-0000981B0000}"/>
    <cellStyle name="20% - Accent5 11 3 4" xfId="3099" xr:uid="{00000000-0005-0000-0000-0000991B0000}"/>
    <cellStyle name="20% - Accent5 11 3 4 2" xfId="14357" xr:uid="{00000000-0005-0000-0000-00009A1B0000}"/>
    <cellStyle name="20% - Accent5 11 3 4 3" xfId="18308" xr:uid="{00000000-0005-0000-0000-00009B1B0000}"/>
    <cellStyle name="20% - Accent5 11 3 5" xfId="3100" xr:uid="{00000000-0005-0000-0000-00009C1B0000}"/>
    <cellStyle name="20% - Accent5 11 3 5 2" xfId="14358" xr:uid="{00000000-0005-0000-0000-00009D1B0000}"/>
    <cellStyle name="20% - Accent5 11 3 5 3" xfId="18309" xr:uid="{00000000-0005-0000-0000-00009E1B0000}"/>
    <cellStyle name="20% - Accent5 11 3 6" xfId="14350" xr:uid="{00000000-0005-0000-0000-00009F1B0000}"/>
    <cellStyle name="20% - Accent5 11 3 7" xfId="18301" xr:uid="{00000000-0005-0000-0000-0000A01B0000}"/>
    <cellStyle name="20% - Accent5 11 3_Volatility" xfId="3101" xr:uid="{00000000-0005-0000-0000-0000A11B0000}"/>
    <cellStyle name="20% - Accent5 11 4" xfId="3102" xr:uid="{00000000-0005-0000-0000-0000A21B0000}"/>
    <cellStyle name="20% - Accent5 11 4 2" xfId="3103" xr:uid="{00000000-0005-0000-0000-0000A31B0000}"/>
    <cellStyle name="20% - Accent5 11 4 2 2" xfId="14360" xr:uid="{00000000-0005-0000-0000-0000A41B0000}"/>
    <cellStyle name="20% - Accent5 11 4 2 3" xfId="18311" xr:uid="{00000000-0005-0000-0000-0000A51B0000}"/>
    <cellStyle name="20% - Accent5 11 4 3" xfId="3104" xr:uid="{00000000-0005-0000-0000-0000A61B0000}"/>
    <cellStyle name="20% - Accent5 11 4 3 2" xfId="14361" xr:uid="{00000000-0005-0000-0000-0000A71B0000}"/>
    <cellStyle name="20% - Accent5 11 4 3 3" xfId="18312" xr:uid="{00000000-0005-0000-0000-0000A81B0000}"/>
    <cellStyle name="20% - Accent5 11 4 4" xfId="14359" xr:uid="{00000000-0005-0000-0000-0000A91B0000}"/>
    <cellStyle name="20% - Accent5 11 4 5" xfId="18310" xr:uid="{00000000-0005-0000-0000-0000AA1B0000}"/>
    <cellStyle name="20% - Accent5 11 5" xfId="3105" xr:uid="{00000000-0005-0000-0000-0000AB1B0000}"/>
    <cellStyle name="20% - Accent5 11 5 2" xfId="3106" xr:uid="{00000000-0005-0000-0000-0000AC1B0000}"/>
    <cellStyle name="20% - Accent5 11 5 2 2" xfId="14363" xr:uid="{00000000-0005-0000-0000-0000AD1B0000}"/>
    <cellStyle name="20% - Accent5 11 5 2 3" xfId="18314" xr:uid="{00000000-0005-0000-0000-0000AE1B0000}"/>
    <cellStyle name="20% - Accent5 11 5 3" xfId="3107" xr:uid="{00000000-0005-0000-0000-0000AF1B0000}"/>
    <cellStyle name="20% - Accent5 11 5 3 2" xfId="14364" xr:uid="{00000000-0005-0000-0000-0000B01B0000}"/>
    <cellStyle name="20% - Accent5 11 5 3 3" xfId="18315" xr:uid="{00000000-0005-0000-0000-0000B11B0000}"/>
    <cellStyle name="20% - Accent5 11 5 4" xfId="14362" xr:uid="{00000000-0005-0000-0000-0000B21B0000}"/>
    <cellStyle name="20% - Accent5 11 5 5" xfId="18313" xr:uid="{00000000-0005-0000-0000-0000B31B0000}"/>
    <cellStyle name="20% - Accent5 11 6" xfId="3108" xr:uid="{00000000-0005-0000-0000-0000B41B0000}"/>
    <cellStyle name="20% - Accent5 11 6 2" xfId="3109" xr:uid="{00000000-0005-0000-0000-0000B51B0000}"/>
    <cellStyle name="20% - Accent5 11 6 2 2" xfId="14366" xr:uid="{00000000-0005-0000-0000-0000B61B0000}"/>
    <cellStyle name="20% - Accent5 11 6 2 3" xfId="18317" xr:uid="{00000000-0005-0000-0000-0000B71B0000}"/>
    <cellStyle name="20% - Accent5 11 6 3" xfId="3110" xr:uid="{00000000-0005-0000-0000-0000B81B0000}"/>
    <cellStyle name="20% - Accent5 11 6 3 2" xfId="14367" xr:uid="{00000000-0005-0000-0000-0000B91B0000}"/>
    <cellStyle name="20% - Accent5 11 6 3 3" xfId="18318" xr:uid="{00000000-0005-0000-0000-0000BA1B0000}"/>
    <cellStyle name="20% - Accent5 11 6 4" xfId="14365" xr:uid="{00000000-0005-0000-0000-0000BB1B0000}"/>
    <cellStyle name="20% - Accent5 11 6 5" xfId="18316" xr:uid="{00000000-0005-0000-0000-0000BC1B0000}"/>
    <cellStyle name="20% - Accent5 11 7" xfId="3111" xr:uid="{00000000-0005-0000-0000-0000BD1B0000}"/>
    <cellStyle name="20% - Accent5 11 7 2" xfId="14368" xr:uid="{00000000-0005-0000-0000-0000BE1B0000}"/>
    <cellStyle name="20% - Accent5 11 7 3" xfId="18319" xr:uid="{00000000-0005-0000-0000-0000BF1B0000}"/>
    <cellStyle name="20% - Accent5 11 8" xfId="3112" xr:uid="{00000000-0005-0000-0000-0000C01B0000}"/>
    <cellStyle name="20% - Accent5 11 8 2" xfId="14369" xr:uid="{00000000-0005-0000-0000-0000C11B0000}"/>
    <cellStyle name="20% - Accent5 11 8 3" xfId="18320" xr:uid="{00000000-0005-0000-0000-0000C21B0000}"/>
    <cellStyle name="20% - Accent5 11 9" xfId="14337" xr:uid="{00000000-0005-0000-0000-0000C31B0000}"/>
    <cellStyle name="20% - Accent5 11_Volatility" xfId="3113" xr:uid="{00000000-0005-0000-0000-0000C41B0000}"/>
    <cellStyle name="20% - Accent5 12" xfId="3114" xr:uid="{00000000-0005-0000-0000-0000C51B0000}"/>
    <cellStyle name="20% - Accent5 12 10" xfId="18321" xr:uid="{00000000-0005-0000-0000-0000C61B0000}"/>
    <cellStyle name="20% - Accent5 12 2" xfId="3115" xr:uid="{00000000-0005-0000-0000-0000C71B0000}"/>
    <cellStyle name="20% - Accent5 12 2 2" xfId="3116" xr:uid="{00000000-0005-0000-0000-0000C81B0000}"/>
    <cellStyle name="20% - Accent5 12 2 2 2" xfId="3117" xr:uid="{00000000-0005-0000-0000-0000C91B0000}"/>
    <cellStyle name="20% - Accent5 12 2 2 2 2" xfId="14373" xr:uid="{00000000-0005-0000-0000-0000CA1B0000}"/>
    <cellStyle name="20% - Accent5 12 2 2 2 3" xfId="18324" xr:uid="{00000000-0005-0000-0000-0000CB1B0000}"/>
    <cellStyle name="20% - Accent5 12 2 2 3" xfId="3118" xr:uid="{00000000-0005-0000-0000-0000CC1B0000}"/>
    <cellStyle name="20% - Accent5 12 2 2 3 2" xfId="14374" xr:uid="{00000000-0005-0000-0000-0000CD1B0000}"/>
    <cellStyle name="20% - Accent5 12 2 2 3 3" xfId="18325" xr:uid="{00000000-0005-0000-0000-0000CE1B0000}"/>
    <cellStyle name="20% - Accent5 12 2 2 4" xfId="14372" xr:uid="{00000000-0005-0000-0000-0000CF1B0000}"/>
    <cellStyle name="20% - Accent5 12 2 2 5" xfId="18323" xr:uid="{00000000-0005-0000-0000-0000D01B0000}"/>
    <cellStyle name="20% - Accent5 12 2 3" xfId="3119" xr:uid="{00000000-0005-0000-0000-0000D11B0000}"/>
    <cellStyle name="20% - Accent5 12 2 3 2" xfId="3120" xr:uid="{00000000-0005-0000-0000-0000D21B0000}"/>
    <cellStyle name="20% - Accent5 12 2 3 2 2" xfId="14376" xr:uid="{00000000-0005-0000-0000-0000D31B0000}"/>
    <cellStyle name="20% - Accent5 12 2 3 2 3" xfId="18327" xr:uid="{00000000-0005-0000-0000-0000D41B0000}"/>
    <cellStyle name="20% - Accent5 12 2 3 3" xfId="3121" xr:uid="{00000000-0005-0000-0000-0000D51B0000}"/>
    <cellStyle name="20% - Accent5 12 2 3 3 2" xfId="14377" xr:uid="{00000000-0005-0000-0000-0000D61B0000}"/>
    <cellStyle name="20% - Accent5 12 2 3 3 3" xfId="18328" xr:uid="{00000000-0005-0000-0000-0000D71B0000}"/>
    <cellStyle name="20% - Accent5 12 2 3 4" xfId="14375" xr:uid="{00000000-0005-0000-0000-0000D81B0000}"/>
    <cellStyle name="20% - Accent5 12 2 3 5" xfId="18326" xr:uid="{00000000-0005-0000-0000-0000D91B0000}"/>
    <cellStyle name="20% - Accent5 12 2 4" xfId="3122" xr:uid="{00000000-0005-0000-0000-0000DA1B0000}"/>
    <cellStyle name="20% - Accent5 12 2 4 2" xfId="3123" xr:uid="{00000000-0005-0000-0000-0000DB1B0000}"/>
    <cellStyle name="20% - Accent5 12 2 4 2 2" xfId="14379" xr:uid="{00000000-0005-0000-0000-0000DC1B0000}"/>
    <cellStyle name="20% - Accent5 12 2 4 2 3" xfId="18330" xr:uid="{00000000-0005-0000-0000-0000DD1B0000}"/>
    <cellStyle name="20% - Accent5 12 2 4 3" xfId="3124" xr:uid="{00000000-0005-0000-0000-0000DE1B0000}"/>
    <cellStyle name="20% - Accent5 12 2 4 3 2" xfId="14380" xr:uid="{00000000-0005-0000-0000-0000DF1B0000}"/>
    <cellStyle name="20% - Accent5 12 2 4 3 3" xfId="18331" xr:uid="{00000000-0005-0000-0000-0000E01B0000}"/>
    <cellStyle name="20% - Accent5 12 2 4 4" xfId="14378" xr:uid="{00000000-0005-0000-0000-0000E11B0000}"/>
    <cellStyle name="20% - Accent5 12 2 4 5" xfId="18329" xr:uid="{00000000-0005-0000-0000-0000E21B0000}"/>
    <cellStyle name="20% - Accent5 12 2 5" xfId="3125" xr:uid="{00000000-0005-0000-0000-0000E31B0000}"/>
    <cellStyle name="20% - Accent5 12 2 5 2" xfId="14381" xr:uid="{00000000-0005-0000-0000-0000E41B0000}"/>
    <cellStyle name="20% - Accent5 12 2 5 3" xfId="18332" xr:uid="{00000000-0005-0000-0000-0000E51B0000}"/>
    <cellStyle name="20% - Accent5 12 2 6" xfId="3126" xr:uid="{00000000-0005-0000-0000-0000E61B0000}"/>
    <cellStyle name="20% - Accent5 12 2 6 2" xfId="14382" xr:uid="{00000000-0005-0000-0000-0000E71B0000}"/>
    <cellStyle name="20% - Accent5 12 2 6 3" xfId="18333" xr:uid="{00000000-0005-0000-0000-0000E81B0000}"/>
    <cellStyle name="20% - Accent5 12 2 7" xfId="14371" xr:uid="{00000000-0005-0000-0000-0000E91B0000}"/>
    <cellStyle name="20% - Accent5 12 2 8" xfId="18322" xr:uid="{00000000-0005-0000-0000-0000EA1B0000}"/>
    <cellStyle name="20% - Accent5 12 2_Volatility" xfId="3127" xr:uid="{00000000-0005-0000-0000-0000EB1B0000}"/>
    <cellStyle name="20% - Accent5 12 3" xfId="3128" xr:uid="{00000000-0005-0000-0000-0000EC1B0000}"/>
    <cellStyle name="20% - Accent5 12 3 2" xfId="3129" xr:uid="{00000000-0005-0000-0000-0000ED1B0000}"/>
    <cellStyle name="20% - Accent5 12 3 2 2" xfId="3130" xr:uid="{00000000-0005-0000-0000-0000EE1B0000}"/>
    <cellStyle name="20% - Accent5 12 3 2 2 2" xfId="14385" xr:uid="{00000000-0005-0000-0000-0000EF1B0000}"/>
    <cellStyle name="20% - Accent5 12 3 2 2 3" xfId="18336" xr:uid="{00000000-0005-0000-0000-0000F01B0000}"/>
    <cellStyle name="20% - Accent5 12 3 2 3" xfId="3131" xr:uid="{00000000-0005-0000-0000-0000F11B0000}"/>
    <cellStyle name="20% - Accent5 12 3 2 3 2" xfId="14386" xr:uid="{00000000-0005-0000-0000-0000F21B0000}"/>
    <cellStyle name="20% - Accent5 12 3 2 3 3" xfId="18337" xr:uid="{00000000-0005-0000-0000-0000F31B0000}"/>
    <cellStyle name="20% - Accent5 12 3 2 4" xfId="14384" xr:uid="{00000000-0005-0000-0000-0000F41B0000}"/>
    <cellStyle name="20% - Accent5 12 3 2 5" xfId="18335" xr:uid="{00000000-0005-0000-0000-0000F51B0000}"/>
    <cellStyle name="20% - Accent5 12 3 3" xfId="3132" xr:uid="{00000000-0005-0000-0000-0000F61B0000}"/>
    <cellStyle name="20% - Accent5 12 3 3 2" xfId="3133" xr:uid="{00000000-0005-0000-0000-0000F71B0000}"/>
    <cellStyle name="20% - Accent5 12 3 3 2 2" xfId="14388" xr:uid="{00000000-0005-0000-0000-0000F81B0000}"/>
    <cellStyle name="20% - Accent5 12 3 3 2 3" xfId="18339" xr:uid="{00000000-0005-0000-0000-0000F91B0000}"/>
    <cellStyle name="20% - Accent5 12 3 3 3" xfId="3134" xr:uid="{00000000-0005-0000-0000-0000FA1B0000}"/>
    <cellStyle name="20% - Accent5 12 3 3 3 2" xfId="14389" xr:uid="{00000000-0005-0000-0000-0000FB1B0000}"/>
    <cellStyle name="20% - Accent5 12 3 3 3 3" xfId="18340" xr:uid="{00000000-0005-0000-0000-0000FC1B0000}"/>
    <cellStyle name="20% - Accent5 12 3 3 4" xfId="14387" xr:uid="{00000000-0005-0000-0000-0000FD1B0000}"/>
    <cellStyle name="20% - Accent5 12 3 3 5" xfId="18338" xr:uid="{00000000-0005-0000-0000-0000FE1B0000}"/>
    <cellStyle name="20% - Accent5 12 3 4" xfId="3135" xr:uid="{00000000-0005-0000-0000-0000FF1B0000}"/>
    <cellStyle name="20% - Accent5 12 3 4 2" xfId="14390" xr:uid="{00000000-0005-0000-0000-0000001C0000}"/>
    <cellStyle name="20% - Accent5 12 3 4 3" xfId="18341" xr:uid="{00000000-0005-0000-0000-0000011C0000}"/>
    <cellStyle name="20% - Accent5 12 3 5" xfId="3136" xr:uid="{00000000-0005-0000-0000-0000021C0000}"/>
    <cellStyle name="20% - Accent5 12 3 5 2" xfId="14391" xr:uid="{00000000-0005-0000-0000-0000031C0000}"/>
    <cellStyle name="20% - Accent5 12 3 5 3" xfId="18342" xr:uid="{00000000-0005-0000-0000-0000041C0000}"/>
    <cellStyle name="20% - Accent5 12 3 6" xfId="14383" xr:uid="{00000000-0005-0000-0000-0000051C0000}"/>
    <cellStyle name="20% - Accent5 12 3 7" xfId="18334" xr:uid="{00000000-0005-0000-0000-0000061C0000}"/>
    <cellStyle name="20% - Accent5 12 3_Volatility" xfId="3137" xr:uid="{00000000-0005-0000-0000-0000071C0000}"/>
    <cellStyle name="20% - Accent5 12 4" xfId="3138" xr:uid="{00000000-0005-0000-0000-0000081C0000}"/>
    <cellStyle name="20% - Accent5 12 4 2" xfId="3139" xr:uid="{00000000-0005-0000-0000-0000091C0000}"/>
    <cellStyle name="20% - Accent5 12 4 2 2" xfId="14393" xr:uid="{00000000-0005-0000-0000-00000A1C0000}"/>
    <cellStyle name="20% - Accent5 12 4 2 3" xfId="18344" xr:uid="{00000000-0005-0000-0000-00000B1C0000}"/>
    <cellStyle name="20% - Accent5 12 4 3" xfId="3140" xr:uid="{00000000-0005-0000-0000-00000C1C0000}"/>
    <cellStyle name="20% - Accent5 12 4 3 2" xfId="14394" xr:uid="{00000000-0005-0000-0000-00000D1C0000}"/>
    <cellStyle name="20% - Accent5 12 4 3 3" xfId="18345" xr:uid="{00000000-0005-0000-0000-00000E1C0000}"/>
    <cellStyle name="20% - Accent5 12 4 4" xfId="14392" xr:uid="{00000000-0005-0000-0000-00000F1C0000}"/>
    <cellStyle name="20% - Accent5 12 4 5" xfId="18343" xr:uid="{00000000-0005-0000-0000-0000101C0000}"/>
    <cellStyle name="20% - Accent5 12 5" xfId="3141" xr:uid="{00000000-0005-0000-0000-0000111C0000}"/>
    <cellStyle name="20% - Accent5 12 5 2" xfId="3142" xr:uid="{00000000-0005-0000-0000-0000121C0000}"/>
    <cellStyle name="20% - Accent5 12 5 2 2" xfId="14396" xr:uid="{00000000-0005-0000-0000-0000131C0000}"/>
    <cellStyle name="20% - Accent5 12 5 2 3" xfId="18347" xr:uid="{00000000-0005-0000-0000-0000141C0000}"/>
    <cellStyle name="20% - Accent5 12 5 3" xfId="3143" xr:uid="{00000000-0005-0000-0000-0000151C0000}"/>
    <cellStyle name="20% - Accent5 12 5 3 2" xfId="14397" xr:uid="{00000000-0005-0000-0000-0000161C0000}"/>
    <cellStyle name="20% - Accent5 12 5 3 3" xfId="18348" xr:uid="{00000000-0005-0000-0000-0000171C0000}"/>
    <cellStyle name="20% - Accent5 12 5 4" xfId="14395" xr:uid="{00000000-0005-0000-0000-0000181C0000}"/>
    <cellStyle name="20% - Accent5 12 5 5" xfId="18346" xr:uid="{00000000-0005-0000-0000-0000191C0000}"/>
    <cellStyle name="20% - Accent5 12 6" xfId="3144" xr:uid="{00000000-0005-0000-0000-00001A1C0000}"/>
    <cellStyle name="20% - Accent5 12 6 2" xfId="3145" xr:uid="{00000000-0005-0000-0000-00001B1C0000}"/>
    <cellStyle name="20% - Accent5 12 6 2 2" xfId="14399" xr:uid="{00000000-0005-0000-0000-00001C1C0000}"/>
    <cellStyle name="20% - Accent5 12 6 2 3" xfId="18350" xr:uid="{00000000-0005-0000-0000-00001D1C0000}"/>
    <cellStyle name="20% - Accent5 12 6 3" xfId="3146" xr:uid="{00000000-0005-0000-0000-00001E1C0000}"/>
    <cellStyle name="20% - Accent5 12 6 3 2" xfId="14400" xr:uid="{00000000-0005-0000-0000-00001F1C0000}"/>
    <cellStyle name="20% - Accent5 12 6 3 3" xfId="18351" xr:uid="{00000000-0005-0000-0000-0000201C0000}"/>
    <cellStyle name="20% - Accent5 12 6 4" xfId="14398" xr:uid="{00000000-0005-0000-0000-0000211C0000}"/>
    <cellStyle name="20% - Accent5 12 6 5" xfId="18349" xr:uid="{00000000-0005-0000-0000-0000221C0000}"/>
    <cellStyle name="20% - Accent5 12 7" xfId="3147" xr:uid="{00000000-0005-0000-0000-0000231C0000}"/>
    <cellStyle name="20% - Accent5 12 7 2" xfId="14401" xr:uid="{00000000-0005-0000-0000-0000241C0000}"/>
    <cellStyle name="20% - Accent5 12 7 3" xfId="18352" xr:uid="{00000000-0005-0000-0000-0000251C0000}"/>
    <cellStyle name="20% - Accent5 12 8" xfId="3148" xr:uid="{00000000-0005-0000-0000-0000261C0000}"/>
    <cellStyle name="20% - Accent5 12 8 2" xfId="14402" xr:uid="{00000000-0005-0000-0000-0000271C0000}"/>
    <cellStyle name="20% - Accent5 12 8 3" xfId="18353" xr:uid="{00000000-0005-0000-0000-0000281C0000}"/>
    <cellStyle name="20% - Accent5 12 9" xfId="14370" xr:uid="{00000000-0005-0000-0000-0000291C0000}"/>
    <cellStyle name="20% - Accent5 12_Volatility" xfId="3149" xr:uid="{00000000-0005-0000-0000-00002A1C0000}"/>
    <cellStyle name="20% - Accent5 13" xfId="3150" xr:uid="{00000000-0005-0000-0000-00002B1C0000}"/>
    <cellStyle name="20% - Accent5 13 10" xfId="18354" xr:uid="{00000000-0005-0000-0000-00002C1C0000}"/>
    <cellStyle name="20% - Accent5 13 2" xfId="3151" xr:uid="{00000000-0005-0000-0000-00002D1C0000}"/>
    <cellStyle name="20% - Accent5 13 2 2" xfId="3152" xr:uid="{00000000-0005-0000-0000-00002E1C0000}"/>
    <cellStyle name="20% - Accent5 13 2 2 2" xfId="3153" xr:uid="{00000000-0005-0000-0000-00002F1C0000}"/>
    <cellStyle name="20% - Accent5 13 2 2 2 2" xfId="14406" xr:uid="{00000000-0005-0000-0000-0000301C0000}"/>
    <cellStyle name="20% - Accent5 13 2 2 2 3" xfId="18357" xr:uid="{00000000-0005-0000-0000-0000311C0000}"/>
    <cellStyle name="20% - Accent5 13 2 2 3" xfId="3154" xr:uid="{00000000-0005-0000-0000-0000321C0000}"/>
    <cellStyle name="20% - Accent5 13 2 2 3 2" xfId="14407" xr:uid="{00000000-0005-0000-0000-0000331C0000}"/>
    <cellStyle name="20% - Accent5 13 2 2 3 3" xfId="18358" xr:uid="{00000000-0005-0000-0000-0000341C0000}"/>
    <cellStyle name="20% - Accent5 13 2 2 4" xfId="14405" xr:uid="{00000000-0005-0000-0000-0000351C0000}"/>
    <cellStyle name="20% - Accent5 13 2 2 5" xfId="18356" xr:uid="{00000000-0005-0000-0000-0000361C0000}"/>
    <cellStyle name="20% - Accent5 13 2 3" xfId="3155" xr:uid="{00000000-0005-0000-0000-0000371C0000}"/>
    <cellStyle name="20% - Accent5 13 2 3 2" xfId="3156" xr:uid="{00000000-0005-0000-0000-0000381C0000}"/>
    <cellStyle name="20% - Accent5 13 2 3 2 2" xfId="14409" xr:uid="{00000000-0005-0000-0000-0000391C0000}"/>
    <cellStyle name="20% - Accent5 13 2 3 2 3" xfId="18360" xr:uid="{00000000-0005-0000-0000-00003A1C0000}"/>
    <cellStyle name="20% - Accent5 13 2 3 3" xfId="3157" xr:uid="{00000000-0005-0000-0000-00003B1C0000}"/>
    <cellStyle name="20% - Accent5 13 2 3 3 2" xfId="14410" xr:uid="{00000000-0005-0000-0000-00003C1C0000}"/>
    <cellStyle name="20% - Accent5 13 2 3 3 3" xfId="18361" xr:uid="{00000000-0005-0000-0000-00003D1C0000}"/>
    <cellStyle name="20% - Accent5 13 2 3 4" xfId="14408" xr:uid="{00000000-0005-0000-0000-00003E1C0000}"/>
    <cellStyle name="20% - Accent5 13 2 3 5" xfId="18359" xr:uid="{00000000-0005-0000-0000-00003F1C0000}"/>
    <cellStyle name="20% - Accent5 13 2 4" xfId="3158" xr:uid="{00000000-0005-0000-0000-0000401C0000}"/>
    <cellStyle name="20% - Accent5 13 2 4 2" xfId="3159" xr:uid="{00000000-0005-0000-0000-0000411C0000}"/>
    <cellStyle name="20% - Accent5 13 2 4 2 2" xfId="14412" xr:uid="{00000000-0005-0000-0000-0000421C0000}"/>
    <cellStyle name="20% - Accent5 13 2 4 2 3" xfId="18363" xr:uid="{00000000-0005-0000-0000-0000431C0000}"/>
    <cellStyle name="20% - Accent5 13 2 4 3" xfId="3160" xr:uid="{00000000-0005-0000-0000-0000441C0000}"/>
    <cellStyle name="20% - Accent5 13 2 4 3 2" xfId="14413" xr:uid="{00000000-0005-0000-0000-0000451C0000}"/>
    <cellStyle name="20% - Accent5 13 2 4 3 3" xfId="18364" xr:uid="{00000000-0005-0000-0000-0000461C0000}"/>
    <cellStyle name="20% - Accent5 13 2 4 4" xfId="14411" xr:uid="{00000000-0005-0000-0000-0000471C0000}"/>
    <cellStyle name="20% - Accent5 13 2 4 5" xfId="18362" xr:uid="{00000000-0005-0000-0000-0000481C0000}"/>
    <cellStyle name="20% - Accent5 13 2 5" xfId="3161" xr:uid="{00000000-0005-0000-0000-0000491C0000}"/>
    <cellStyle name="20% - Accent5 13 2 5 2" xfId="14414" xr:uid="{00000000-0005-0000-0000-00004A1C0000}"/>
    <cellStyle name="20% - Accent5 13 2 5 3" xfId="18365" xr:uid="{00000000-0005-0000-0000-00004B1C0000}"/>
    <cellStyle name="20% - Accent5 13 2 6" xfId="3162" xr:uid="{00000000-0005-0000-0000-00004C1C0000}"/>
    <cellStyle name="20% - Accent5 13 2 6 2" xfId="14415" xr:uid="{00000000-0005-0000-0000-00004D1C0000}"/>
    <cellStyle name="20% - Accent5 13 2 6 3" xfId="18366" xr:uid="{00000000-0005-0000-0000-00004E1C0000}"/>
    <cellStyle name="20% - Accent5 13 2 7" xfId="14404" xr:uid="{00000000-0005-0000-0000-00004F1C0000}"/>
    <cellStyle name="20% - Accent5 13 2 8" xfId="18355" xr:uid="{00000000-0005-0000-0000-0000501C0000}"/>
    <cellStyle name="20% - Accent5 13 2_Volatility" xfId="3163" xr:uid="{00000000-0005-0000-0000-0000511C0000}"/>
    <cellStyle name="20% - Accent5 13 3" xfId="3164" xr:uid="{00000000-0005-0000-0000-0000521C0000}"/>
    <cellStyle name="20% - Accent5 13 3 2" xfId="3165" xr:uid="{00000000-0005-0000-0000-0000531C0000}"/>
    <cellStyle name="20% - Accent5 13 3 2 2" xfId="3166" xr:uid="{00000000-0005-0000-0000-0000541C0000}"/>
    <cellStyle name="20% - Accent5 13 3 2 2 2" xfId="14418" xr:uid="{00000000-0005-0000-0000-0000551C0000}"/>
    <cellStyle name="20% - Accent5 13 3 2 2 3" xfId="18369" xr:uid="{00000000-0005-0000-0000-0000561C0000}"/>
    <cellStyle name="20% - Accent5 13 3 2 3" xfId="3167" xr:uid="{00000000-0005-0000-0000-0000571C0000}"/>
    <cellStyle name="20% - Accent5 13 3 2 3 2" xfId="14419" xr:uid="{00000000-0005-0000-0000-0000581C0000}"/>
    <cellStyle name="20% - Accent5 13 3 2 3 3" xfId="18370" xr:uid="{00000000-0005-0000-0000-0000591C0000}"/>
    <cellStyle name="20% - Accent5 13 3 2 4" xfId="14417" xr:uid="{00000000-0005-0000-0000-00005A1C0000}"/>
    <cellStyle name="20% - Accent5 13 3 2 5" xfId="18368" xr:uid="{00000000-0005-0000-0000-00005B1C0000}"/>
    <cellStyle name="20% - Accent5 13 3 3" xfId="3168" xr:uid="{00000000-0005-0000-0000-00005C1C0000}"/>
    <cellStyle name="20% - Accent5 13 3 3 2" xfId="3169" xr:uid="{00000000-0005-0000-0000-00005D1C0000}"/>
    <cellStyle name="20% - Accent5 13 3 3 2 2" xfId="14421" xr:uid="{00000000-0005-0000-0000-00005E1C0000}"/>
    <cellStyle name="20% - Accent5 13 3 3 2 3" xfId="18372" xr:uid="{00000000-0005-0000-0000-00005F1C0000}"/>
    <cellStyle name="20% - Accent5 13 3 3 3" xfId="3170" xr:uid="{00000000-0005-0000-0000-0000601C0000}"/>
    <cellStyle name="20% - Accent5 13 3 3 3 2" xfId="14422" xr:uid="{00000000-0005-0000-0000-0000611C0000}"/>
    <cellStyle name="20% - Accent5 13 3 3 3 3" xfId="18373" xr:uid="{00000000-0005-0000-0000-0000621C0000}"/>
    <cellStyle name="20% - Accent5 13 3 3 4" xfId="14420" xr:uid="{00000000-0005-0000-0000-0000631C0000}"/>
    <cellStyle name="20% - Accent5 13 3 3 5" xfId="18371" xr:uid="{00000000-0005-0000-0000-0000641C0000}"/>
    <cellStyle name="20% - Accent5 13 3 4" xfId="3171" xr:uid="{00000000-0005-0000-0000-0000651C0000}"/>
    <cellStyle name="20% - Accent5 13 3 4 2" xfId="14423" xr:uid="{00000000-0005-0000-0000-0000661C0000}"/>
    <cellStyle name="20% - Accent5 13 3 4 3" xfId="18374" xr:uid="{00000000-0005-0000-0000-0000671C0000}"/>
    <cellStyle name="20% - Accent5 13 3 5" xfId="3172" xr:uid="{00000000-0005-0000-0000-0000681C0000}"/>
    <cellStyle name="20% - Accent5 13 3 5 2" xfId="14424" xr:uid="{00000000-0005-0000-0000-0000691C0000}"/>
    <cellStyle name="20% - Accent5 13 3 5 3" xfId="18375" xr:uid="{00000000-0005-0000-0000-00006A1C0000}"/>
    <cellStyle name="20% - Accent5 13 3 6" xfId="14416" xr:uid="{00000000-0005-0000-0000-00006B1C0000}"/>
    <cellStyle name="20% - Accent5 13 3 7" xfId="18367" xr:uid="{00000000-0005-0000-0000-00006C1C0000}"/>
    <cellStyle name="20% - Accent5 13 3_Volatility" xfId="3173" xr:uid="{00000000-0005-0000-0000-00006D1C0000}"/>
    <cellStyle name="20% - Accent5 13 4" xfId="3174" xr:uid="{00000000-0005-0000-0000-00006E1C0000}"/>
    <cellStyle name="20% - Accent5 13 4 2" xfId="3175" xr:uid="{00000000-0005-0000-0000-00006F1C0000}"/>
    <cellStyle name="20% - Accent5 13 4 2 2" xfId="14426" xr:uid="{00000000-0005-0000-0000-0000701C0000}"/>
    <cellStyle name="20% - Accent5 13 4 2 3" xfId="18377" xr:uid="{00000000-0005-0000-0000-0000711C0000}"/>
    <cellStyle name="20% - Accent5 13 4 3" xfId="3176" xr:uid="{00000000-0005-0000-0000-0000721C0000}"/>
    <cellStyle name="20% - Accent5 13 4 3 2" xfId="14427" xr:uid="{00000000-0005-0000-0000-0000731C0000}"/>
    <cellStyle name="20% - Accent5 13 4 3 3" xfId="18378" xr:uid="{00000000-0005-0000-0000-0000741C0000}"/>
    <cellStyle name="20% - Accent5 13 4 4" xfId="14425" xr:uid="{00000000-0005-0000-0000-0000751C0000}"/>
    <cellStyle name="20% - Accent5 13 4 5" xfId="18376" xr:uid="{00000000-0005-0000-0000-0000761C0000}"/>
    <cellStyle name="20% - Accent5 13 5" xfId="3177" xr:uid="{00000000-0005-0000-0000-0000771C0000}"/>
    <cellStyle name="20% - Accent5 13 5 2" xfId="3178" xr:uid="{00000000-0005-0000-0000-0000781C0000}"/>
    <cellStyle name="20% - Accent5 13 5 2 2" xfId="14429" xr:uid="{00000000-0005-0000-0000-0000791C0000}"/>
    <cellStyle name="20% - Accent5 13 5 2 3" xfId="18380" xr:uid="{00000000-0005-0000-0000-00007A1C0000}"/>
    <cellStyle name="20% - Accent5 13 5 3" xfId="3179" xr:uid="{00000000-0005-0000-0000-00007B1C0000}"/>
    <cellStyle name="20% - Accent5 13 5 3 2" xfId="14430" xr:uid="{00000000-0005-0000-0000-00007C1C0000}"/>
    <cellStyle name="20% - Accent5 13 5 3 3" xfId="18381" xr:uid="{00000000-0005-0000-0000-00007D1C0000}"/>
    <cellStyle name="20% - Accent5 13 5 4" xfId="14428" xr:uid="{00000000-0005-0000-0000-00007E1C0000}"/>
    <cellStyle name="20% - Accent5 13 5 5" xfId="18379" xr:uid="{00000000-0005-0000-0000-00007F1C0000}"/>
    <cellStyle name="20% - Accent5 13 6" xfId="3180" xr:uid="{00000000-0005-0000-0000-0000801C0000}"/>
    <cellStyle name="20% - Accent5 13 6 2" xfId="3181" xr:uid="{00000000-0005-0000-0000-0000811C0000}"/>
    <cellStyle name="20% - Accent5 13 6 2 2" xfId="14432" xr:uid="{00000000-0005-0000-0000-0000821C0000}"/>
    <cellStyle name="20% - Accent5 13 6 2 3" xfId="18383" xr:uid="{00000000-0005-0000-0000-0000831C0000}"/>
    <cellStyle name="20% - Accent5 13 6 3" xfId="3182" xr:uid="{00000000-0005-0000-0000-0000841C0000}"/>
    <cellStyle name="20% - Accent5 13 6 3 2" xfId="14433" xr:uid="{00000000-0005-0000-0000-0000851C0000}"/>
    <cellStyle name="20% - Accent5 13 6 3 3" xfId="18384" xr:uid="{00000000-0005-0000-0000-0000861C0000}"/>
    <cellStyle name="20% - Accent5 13 6 4" xfId="14431" xr:uid="{00000000-0005-0000-0000-0000871C0000}"/>
    <cellStyle name="20% - Accent5 13 6 5" xfId="18382" xr:uid="{00000000-0005-0000-0000-0000881C0000}"/>
    <cellStyle name="20% - Accent5 13 7" xfId="3183" xr:uid="{00000000-0005-0000-0000-0000891C0000}"/>
    <cellStyle name="20% - Accent5 13 7 2" xfId="14434" xr:uid="{00000000-0005-0000-0000-00008A1C0000}"/>
    <cellStyle name="20% - Accent5 13 7 3" xfId="18385" xr:uid="{00000000-0005-0000-0000-00008B1C0000}"/>
    <cellStyle name="20% - Accent5 13 8" xfId="3184" xr:uid="{00000000-0005-0000-0000-00008C1C0000}"/>
    <cellStyle name="20% - Accent5 13 8 2" xfId="14435" xr:uid="{00000000-0005-0000-0000-00008D1C0000}"/>
    <cellStyle name="20% - Accent5 13 8 3" xfId="18386" xr:uid="{00000000-0005-0000-0000-00008E1C0000}"/>
    <cellStyle name="20% - Accent5 13 9" xfId="14403" xr:uid="{00000000-0005-0000-0000-00008F1C0000}"/>
    <cellStyle name="20% - Accent5 13_Volatility" xfId="3185" xr:uid="{00000000-0005-0000-0000-0000901C0000}"/>
    <cellStyle name="20% - Accent5 14" xfId="3186" xr:uid="{00000000-0005-0000-0000-0000911C0000}"/>
    <cellStyle name="20% - Accent5 14 10" xfId="18387" xr:uid="{00000000-0005-0000-0000-0000921C0000}"/>
    <cellStyle name="20% - Accent5 14 2" xfId="3187" xr:uid="{00000000-0005-0000-0000-0000931C0000}"/>
    <cellStyle name="20% - Accent5 14 2 2" xfId="3188" xr:uid="{00000000-0005-0000-0000-0000941C0000}"/>
    <cellStyle name="20% - Accent5 14 2 2 2" xfId="3189" xr:uid="{00000000-0005-0000-0000-0000951C0000}"/>
    <cellStyle name="20% - Accent5 14 2 2 2 2" xfId="14439" xr:uid="{00000000-0005-0000-0000-0000961C0000}"/>
    <cellStyle name="20% - Accent5 14 2 2 2 3" xfId="18390" xr:uid="{00000000-0005-0000-0000-0000971C0000}"/>
    <cellStyle name="20% - Accent5 14 2 2 3" xfId="3190" xr:uid="{00000000-0005-0000-0000-0000981C0000}"/>
    <cellStyle name="20% - Accent5 14 2 2 3 2" xfId="14440" xr:uid="{00000000-0005-0000-0000-0000991C0000}"/>
    <cellStyle name="20% - Accent5 14 2 2 3 3" xfId="18391" xr:uid="{00000000-0005-0000-0000-00009A1C0000}"/>
    <cellStyle name="20% - Accent5 14 2 2 4" xfId="14438" xr:uid="{00000000-0005-0000-0000-00009B1C0000}"/>
    <cellStyle name="20% - Accent5 14 2 2 5" xfId="18389" xr:uid="{00000000-0005-0000-0000-00009C1C0000}"/>
    <cellStyle name="20% - Accent5 14 2 3" xfId="3191" xr:uid="{00000000-0005-0000-0000-00009D1C0000}"/>
    <cellStyle name="20% - Accent5 14 2 3 2" xfId="3192" xr:uid="{00000000-0005-0000-0000-00009E1C0000}"/>
    <cellStyle name="20% - Accent5 14 2 3 2 2" xfId="14442" xr:uid="{00000000-0005-0000-0000-00009F1C0000}"/>
    <cellStyle name="20% - Accent5 14 2 3 2 3" xfId="18393" xr:uid="{00000000-0005-0000-0000-0000A01C0000}"/>
    <cellStyle name="20% - Accent5 14 2 3 3" xfId="3193" xr:uid="{00000000-0005-0000-0000-0000A11C0000}"/>
    <cellStyle name="20% - Accent5 14 2 3 3 2" xfId="14443" xr:uid="{00000000-0005-0000-0000-0000A21C0000}"/>
    <cellStyle name="20% - Accent5 14 2 3 3 3" xfId="18394" xr:uid="{00000000-0005-0000-0000-0000A31C0000}"/>
    <cellStyle name="20% - Accent5 14 2 3 4" xfId="14441" xr:uid="{00000000-0005-0000-0000-0000A41C0000}"/>
    <cellStyle name="20% - Accent5 14 2 3 5" xfId="18392" xr:uid="{00000000-0005-0000-0000-0000A51C0000}"/>
    <cellStyle name="20% - Accent5 14 2 4" xfId="3194" xr:uid="{00000000-0005-0000-0000-0000A61C0000}"/>
    <cellStyle name="20% - Accent5 14 2 4 2" xfId="3195" xr:uid="{00000000-0005-0000-0000-0000A71C0000}"/>
    <cellStyle name="20% - Accent5 14 2 4 2 2" xfId="14445" xr:uid="{00000000-0005-0000-0000-0000A81C0000}"/>
    <cellStyle name="20% - Accent5 14 2 4 2 3" xfId="18396" xr:uid="{00000000-0005-0000-0000-0000A91C0000}"/>
    <cellStyle name="20% - Accent5 14 2 4 3" xfId="3196" xr:uid="{00000000-0005-0000-0000-0000AA1C0000}"/>
    <cellStyle name="20% - Accent5 14 2 4 3 2" xfId="14446" xr:uid="{00000000-0005-0000-0000-0000AB1C0000}"/>
    <cellStyle name="20% - Accent5 14 2 4 3 3" xfId="18397" xr:uid="{00000000-0005-0000-0000-0000AC1C0000}"/>
    <cellStyle name="20% - Accent5 14 2 4 4" xfId="14444" xr:uid="{00000000-0005-0000-0000-0000AD1C0000}"/>
    <cellStyle name="20% - Accent5 14 2 4 5" xfId="18395" xr:uid="{00000000-0005-0000-0000-0000AE1C0000}"/>
    <cellStyle name="20% - Accent5 14 2 5" xfId="3197" xr:uid="{00000000-0005-0000-0000-0000AF1C0000}"/>
    <cellStyle name="20% - Accent5 14 2 5 2" xfId="14447" xr:uid="{00000000-0005-0000-0000-0000B01C0000}"/>
    <cellStyle name="20% - Accent5 14 2 5 3" xfId="18398" xr:uid="{00000000-0005-0000-0000-0000B11C0000}"/>
    <cellStyle name="20% - Accent5 14 2 6" xfId="3198" xr:uid="{00000000-0005-0000-0000-0000B21C0000}"/>
    <cellStyle name="20% - Accent5 14 2 6 2" xfId="14448" xr:uid="{00000000-0005-0000-0000-0000B31C0000}"/>
    <cellStyle name="20% - Accent5 14 2 6 3" xfId="18399" xr:uid="{00000000-0005-0000-0000-0000B41C0000}"/>
    <cellStyle name="20% - Accent5 14 2 7" xfId="14437" xr:uid="{00000000-0005-0000-0000-0000B51C0000}"/>
    <cellStyle name="20% - Accent5 14 2 8" xfId="18388" xr:uid="{00000000-0005-0000-0000-0000B61C0000}"/>
    <cellStyle name="20% - Accent5 14 2_Volatility" xfId="3199" xr:uid="{00000000-0005-0000-0000-0000B71C0000}"/>
    <cellStyle name="20% - Accent5 14 3" xfId="3200" xr:uid="{00000000-0005-0000-0000-0000B81C0000}"/>
    <cellStyle name="20% - Accent5 14 3 2" xfId="3201" xr:uid="{00000000-0005-0000-0000-0000B91C0000}"/>
    <cellStyle name="20% - Accent5 14 3 2 2" xfId="3202" xr:uid="{00000000-0005-0000-0000-0000BA1C0000}"/>
    <cellStyle name="20% - Accent5 14 3 2 2 2" xfId="14451" xr:uid="{00000000-0005-0000-0000-0000BB1C0000}"/>
    <cellStyle name="20% - Accent5 14 3 2 2 3" xfId="18402" xr:uid="{00000000-0005-0000-0000-0000BC1C0000}"/>
    <cellStyle name="20% - Accent5 14 3 2 3" xfId="3203" xr:uid="{00000000-0005-0000-0000-0000BD1C0000}"/>
    <cellStyle name="20% - Accent5 14 3 2 3 2" xfId="14452" xr:uid="{00000000-0005-0000-0000-0000BE1C0000}"/>
    <cellStyle name="20% - Accent5 14 3 2 3 3" xfId="18403" xr:uid="{00000000-0005-0000-0000-0000BF1C0000}"/>
    <cellStyle name="20% - Accent5 14 3 2 4" xfId="14450" xr:uid="{00000000-0005-0000-0000-0000C01C0000}"/>
    <cellStyle name="20% - Accent5 14 3 2 5" xfId="18401" xr:uid="{00000000-0005-0000-0000-0000C11C0000}"/>
    <cellStyle name="20% - Accent5 14 3 3" xfId="3204" xr:uid="{00000000-0005-0000-0000-0000C21C0000}"/>
    <cellStyle name="20% - Accent5 14 3 3 2" xfId="3205" xr:uid="{00000000-0005-0000-0000-0000C31C0000}"/>
    <cellStyle name="20% - Accent5 14 3 3 2 2" xfId="14454" xr:uid="{00000000-0005-0000-0000-0000C41C0000}"/>
    <cellStyle name="20% - Accent5 14 3 3 2 3" xfId="18405" xr:uid="{00000000-0005-0000-0000-0000C51C0000}"/>
    <cellStyle name="20% - Accent5 14 3 3 3" xfId="3206" xr:uid="{00000000-0005-0000-0000-0000C61C0000}"/>
    <cellStyle name="20% - Accent5 14 3 3 3 2" xfId="14455" xr:uid="{00000000-0005-0000-0000-0000C71C0000}"/>
    <cellStyle name="20% - Accent5 14 3 3 3 3" xfId="18406" xr:uid="{00000000-0005-0000-0000-0000C81C0000}"/>
    <cellStyle name="20% - Accent5 14 3 3 4" xfId="14453" xr:uid="{00000000-0005-0000-0000-0000C91C0000}"/>
    <cellStyle name="20% - Accent5 14 3 3 5" xfId="18404" xr:uid="{00000000-0005-0000-0000-0000CA1C0000}"/>
    <cellStyle name="20% - Accent5 14 3 4" xfId="3207" xr:uid="{00000000-0005-0000-0000-0000CB1C0000}"/>
    <cellStyle name="20% - Accent5 14 3 4 2" xfId="14456" xr:uid="{00000000-0005-0000-0000-0000CC1C0000}"/>
    <cellStyle name="20% - Accent5 14 3 4 3" xfId="18407" xr:uid="{00000000-0005-0000-0000-0000CD1C0000}"/>
    <cellStyle name="20% - Accent5 14 3 5" xfId="3208" xr:uid="{00000000-0005-0000-0000-0000CE1C0000}"/>
    <cellStyle name="20% - Accent5 14 3 5 2" xfId="14457" xr:uid="{00000000-0005-0000-0000-0000CF1C0000}"/>
    <cellStyle name="20% - Accent5 14 3 5 3" xfId="18408" xr:uid="{00000000-0005-0000-0000-0000D01C0000}"/>
    <cellStyle name="20% - Accent5 14 3 6" xfId="14449" xr:uid="{00000000-0005-0000-0000-0000D11C0000}"/>
    <cellStyle name="20% - Accent5 14 3 7" xfId="18400" xr:uid="{00000000-0005-0000-0000-0000D21C0000}"/>
    <cellStyle name="20% - Accent5 14 3_Volatility" xfId="3209" xr:uid="{00000000-0005-0000-0000-0000D31C0000}"/>
    <cellStyle name="20% - Accent5 14 4" xfId="3210" xr:uid="{00000000-0005-0000-0000-0000D41C0000}"/>
    <cellStyle name="20% - Accent5 14 4 2" xfId="3211" xr:uid="{00000000-0005-0000-0000-0000D51C0000}"/>
    <cellStyle name="20% - Accent5 14 4 2 2" xfId="14459" xr:uid="{00000000-0005-0000-0000-0000D61C0000}"/>
    <cellStyle name="20% - Accent5 14 4 2 3" xfId="18410" xr:uid="{00000000-0005-0000-0000-0000D71C0000}"/>
    <cellStyle name="20% - Accent5 14 4 3" xfId="3212" xr:uid="{00000000-0005-0000-0000-0000D81C0000}"/>
    <cellStyle name="20% - Accent5 14 4 3 2" xfId="14460" xr:uid="{00000000-0005-0000-0000-0000D91C0000}"/>
    <cellStyle name="20% - Accent5 14 4 3 3" xfId="18411" xr:uid="{00000000-0005-0000-0000-0000DA1C0000}"/>
    <cellStyle name="20% - Accent5 14 4 4" xfId="14458" xr:uid="{00000000-0005-0000-0000-0000DB1C0000}"/>
    <cellStyle name="20% - Accent5 14 4 5" xfId="18409" xr:uid="{00000000-0005-0000-0000-0000DC1C0000}"/>
    <cellStyle name="20% - Accent5 14 5" xfId="3213" xr:uid="{00000000-0005-0000-0000-0000DD1C0000}"/>
    <cellStyle name="20% - Accent5 14 5 2" xfId="3214" xr:uid="{00000000-0005-0000-0000-0000DE1C0000}"/>
    <cellStyle name="20% - Accent5 14 5 2 2" xfId="14462" xr:uid="{00000000-0005-0000-0000-0000DF1C0000}"/>
    <cellStyle name="20% - Accent5 14 5 2 3" xfId="18413" xr:uid="{00000000-0005-0000-0000-0000E01C0000}"/>
    <cellStyle name="20% - Accent5 14 5 3" xfId="3215" xr:uid="{00000000-0005-0000-0000-0000E11C0000}"/>
    <cellStyle name="20% - Accent5 14 5 3 2" xfId="14463" xr:uid="{00000000-0005-0000-0000-0000E21C0000}"/>
    <cellStyle name="20% - Accent5 14 5 3 3" xfId="18414" xr:uid="{00000000-0005-0000-0000-0000E31C0000}"/>
    <cellStyle name="20% - Accent5 14 5 4" xfId="14461" xr:uid="{00000000-0005-0000-0000-0000E41C0000}"/>
    <cellStyle name="20% - Accent5 14 5 5" xfId="18412" xr:uid="{00000000-0005-0000-0000-0000E51C0000}"/>
    <cellStyle name="20% - Accent5 14 6" xfId="3216" xr:uid="{00000000-0005-0000-0000-0000E61C0000}"/>
    <cellStyle name="20% - Accent5 14 6 2" xfId="3217" xr:uid="{00000000-0005-0000-0000-0000E71C0000}"/>
    <cellStyle name="20% - Accent5 14 6 2 2" xfId="14465" xr:uid="{00000000-0005-0000-0000-0000E81C0000}"/>
    <cellStyle name="20% - Accent5 14 6 2 3" xfId="18416" xr:uid="{00000000-0005-0000-0000-0000E91C0000}"/>
    <cellStyle name="20% - Accent5 14 6 3" xfId="3218" xr:uid="{00000000-0005-0000-0000-0000EA1C0000}"/>
    <cellStyle name="20% - Accent5 14 6 3 2" xfId="14466" xr:uid="{00000000-0005-0000-0000-0000EB1C0000}"/>
    <cellStyle name="20% - Accent5 14 6 3 3" xfId="18417" xr:uid="{00000000-0005-0000-0000-0000EC1C0000}"/>
    <cellStyle name="20% - Accent5 14 6 4" xfId="14464" xr:uid="{00000000-0005-0000-0000-0000ED1C0000}"/>
    <cellStyle name="20% - Accent5 14 6 5" xfId="18415" xr:uid="{00000000-0005-0000-0000-0000EE1C0000}"/>
    <cellStyle name="20% - Accent5 14 7" xfId="3219" xr:uid="{00000000-0005-0000-0000-0000EF1C0000}"/>
    <cellStyle name="20% - Accent5 14 7 2" xfId="14467" xr:uid="{00000000-0005-0000-0000-0000F01C0000}"/>
    <cellStyle name="20% - Accent5 14 7 3" xfId="18418" xr:uid="{00000000-0005-0000-0000-0000F11C0000}"/>
    <cellStyle name="20% - Accent5 14 8" xfId="3220" xr:uid="{00000000-0005-0000-0000-0000F21C0000}"/>
    <cellStyle name="20% - Accent5 14 8 2" xfId="14468" xr:uid="{00000000-0005-0000-0000-0000F31C0000}"/>
    <cellStyle name="20% - Accent5 14 8 3" xfId="18419" xr:uid="{00000000-0005-0000-0000-0000F41C0000}"/>
    <cellStyle name="20% - Accent5 14 9" xfId="14436" xr:uid="{00000000-0005-0000-0000-0000F51C0000}"/>
    <cellStyle name="20% - Accent5 14_Volatility" xfId="3221" xr:uid="{00000000-0005-0000-0000-0000F61C0000}"/>
    <cellStyle name="20% - Accent5 15" xfId="3222" xr:uid="{00000000-0005-0000-0000-0000F71C0000}"/>
    <cellStyle name="20% - Accent5 15 10" xfId="18420" xr:uid="{00000000-0005-0000-0000-0000F81C0000}"/>
    <cellStyle name="20% - Accent5 15 2" xfId="3223" xr:uid="{00000000-0005-0000-0000-0000F91C0000}"/>
    <cellStyle name="20% - Accent5 15 2 2" xfId="3224" xr:uid="{00000000-0005-0000-0000-0000FA1C0000}"/>
    <cellStyle name="20% - Accent5 15 2 2 2" xfId="3225" xr:uid="{00000000-0005-0000-0000-0000FB1C0000}"/>
    <cellStyle name="20% - Accent5 15 2 2 2 2" xfId="14472" xr:uid="{00000000-0005-0000-0000-0000FC1C0000}"/>
    <cellStyle name="20% - Accent5 15 2 2 2 3" xfId="18423" xr:uid="{00000000-0005-0000-0000-0000FD1C0000}"/>
    <cellStyle name="20% - Accent5 15 2 2 3" xfId="3226" xr:uid="{00000000-0005-0000-0000-0000FE1C0000}"/>
    <cellStyle name="20% - Accent5 15 2 2 3 2" xfId="14473" xr:uid="{00000000-0005-0000-0000-0000FF1C0000}"/>
    <cellStyle name="20% - Accent5 15 2 2 3 3" xfId="18424" xr:uid="{00000000-0005-0000-0000-0000001D0000}"/>
    <cellStyle name="20% - Accent5 15 2 2 4" xfId="14471" xr:uid="{00000000-0005-0000-0000-0000011D0000}"/>
    <cellStyle name="20% - Accent5 15 2 2 5" xfId="18422" xr:uid="{00000000-0005-0000-0000-0000021D0000}"/>
    <cellStyle name="20% - Accent5 15 2 3" xfId="3227" xr:uid="{00000000-0005-0000-0000-0000031D0000}"/>
    <cellStyle name="20% - Accent5 15 2 3 2" xfId="3228" xr:uid="{00000000-0005-0000-0000-0000041D0000}"/>
    <cellStyle name="20% - Accent5 15 2 3 2 2" xfId="14475" xr:uid="{00000000-0005-0000-0000-0000051D0000}"/>
    <cellStyle name="20% - Accent5 15 2 3 2 3" xfId="18426" xr:uid="{00000000-0005-0000-0000-0000061D0000}"/>
    <cellStyle name="20% - Accent5 15 2 3 3" xfId="3229" xr:uid="{00000000-0005-0000-0000-0000071D0000}"/>
    <cellStyle name="20% - Accent5 15 2 3 3 2" xfId="14476" xr:uid="{00000000-0005-0000-0000-0000081D0000}"/>
    <cellStyle name="20% - Accent5 15 2 3 3 3" xfId="18427" xr:uid="{00000000-0005-0000-0000-0000091D0000}"/>
    <cellStyle name="20% - Accent5 15 2 3 4" xfId="14474" xr:uid="{00000000-0005-0000-0000-00000A1D0000}"/>
    <cellStyle name="20% - Accent5 15 2 3 5" xfId="18425" xr:uid="{00000000-0005-0000-0000-00000B1D0000}"/>
    <cellStyle name="20% - Accent5 15 2 4" xfId="3230" xr:uid="{00000000-0005-0000-0000-00000C1D0000}"/>
    <cellStyle name="20% - Accent5 15 2 4 2" xfId="3231" xr:uid="{00000000-0005-0000-0000-00000D1D0000}"/>
    <cellStyle name="20% - Accent5 15 2 4 2 2" xfId="14478" xr:uid="{00000000-0005-0000-0000-00000E1D0000}"/>
    <cellStyle name="20% - Accent5 15 2 4 2 3" xfId="18429" xr:uid="{00000000-0005-0000-0000-00000F1D0000}"/>
    <cellStyle name="20% - Accent5 15 2 4 3" xfId="3232" xr:uid="{00000000-0005-0000-0000-0000101D0000}"/>
    <cellStyle name="20% - Accent5 15 2 4 3 2" xfId="14479" xr:uid="{00000000-0005-0000-0000-0000111D0000}"/>
    <cellStyle name="20% - Accent5 15 2 4 3 3" xfId="18430" xr:uid="{00000000-0005-0000-0000-0000121D0000}"/>
    <cellStyle name="20% - Accent5 15 2 4 4" xfId="14477" xr:uid="{00000000-0005-0000-0000-0000131D0000}"/>
    <cellStyle name="20% - Accent5 15 2 4 5" xfId="18428" xr:uid="{00000000-0005-0000-0000-0000141D0000}"/>
    <cellStyle name="20% - Accent5 15 2 5" xfId="3233" xr:uid="{00000000-0005-0000-0000-0000151D0000}"/>
    <cellStyle name="20% - Accent5 15 2 5 2" xfId="14480" xr:uid="{00000000-0005-0000-0000-0000161D0000}"/>
    <cellStyle name="20% - Accent5 15 2 5 3" xfId="18431" xr:uid="{00000000-0005-0000-0000-0000171D0000}"/>
    <cellStyle name="20% - Accent5 15 2 6" xfId="3234" xr:uid="{00000000-0005-0000-0000-0000181D0000}"/>
    <cellStyle name="20% - Accent5 15 2 6 2" xfId="14481" xr:uid="{00000000-0005-0000-0000-0000191D0000}"/>
    <cellStyle name="20% - Accent5 15 2 6 3" xfId="18432" xr:uid="{00000000-0005-0000-0000-00001A1D0000}"/>
    <cellStyle name="20% - Accent5 15 2 7" xfId="14470" xr:uid="{00000000-0005-0000-0000-00001B1D0000}"/>
    <cellStyle name="20% - Accent5 15 2 8" xfId="18421" xr:uid="{00000000-0005-0000-0000-00001C1D0000}"/>
    <cellStyle name="20% - Accent5 15 2_Volatility" xfId="3235" xr:uid="{00000000-0005-0000-0000-00001D1D0000}"/>
    <cellStyle name="20% - Accent5 15 3" xfId="3236" xr:uid="{00000000-0005-0000-0000-00001E1D0000}"/>
    <cellStyle name="20% - Accent5 15 3 2" xfId="3237" xr:uid="{00000000-0005-0000-0000-00001F1D0000}"/>
    <cellStyle name="20% - Accent5 15 3 2 2" xfId="3238" xr:uid="{00000000-0005-0000-0000-0000201D0000}"/>
    <cellStyle name="20% - Accent5 15 3 2 2 2" xfId="14484" xr:uid="{00000000-0005-0000-0000-0000211D0000}"/>
    <cellStyle name="20% - Accent5 15 3 2 2 3" xfId="18435" xr:uid="{00000000-0005-0000-0000-0000221D0000}"/>
    <cellStyle name="20% - Accent5 15 3 2 3" xfId="3239" xr:uid="{00000000-0005-0000-0000-0000231D0000}"/>
    <cellStyle name="20% - Accent5 15 3 2 3 2" xfId="14485" xr:uid="{00000000-0005-0000-0000-0000241D0000}"/>
    <cellStyle name="20% - Accent5 15 3 2 3 3" xfId="18436" xr:uid="{00000000-0005-0000-0000-0000251D0000}"/>
    <cellStyle name="20% - Accent5 15 3 2 4" xfId="14483" xr:uid="{00000000-0005-0000-0000-0000261D0000}"/>
    <cellStyle name="20% - Accent5 15 3 2 5" xfId="18434" xr:uid="{00000000-0005-0000-0000-0000271D0000}"/>
    <cellStyle name="20% - Accent5 15 3 3" xfId="3240" xr:uid="{00000000-0005-0000-0000-0000281D0000}"/>
    <cellStyle name="20% - Accent5 15 3 3 2" xfId="3241" xr:uid="{00000000-0005-0000-0000-0000291D0000}"/>
    <cellStyle name="20% - Accent5 15 3 3 2 2" xfId="14487" xr:uid="{00000000-0005-0000-0000-00002A1D0000}"/>
    <cellStyle name="20% - Accent5 15 3 3 2 3" xfId="18438" xr:uid="{00000000-0005-0000-0000-00002B1D0000}"/>
    <cellStyle name="20% - Accent5 15 3 3 3" xfId="3242" xr:uid="{00000000-0005-0000-0000-00002C1D0000}"/>
    <cellStyle name="20% - Accent5 15 3 3 3 2" xfId="14488" xr:uid="{00000000-0005-0000-0000-00002D1D0000}"/>
    <cellStyle name="20% - Accent5 15 3 3 3 3" xfId="18439" xr:uid="{00000000-0005-0000-0000-00002E1D0000}"/>
    <cellStyle name="20% - Accent5 15 3 3 4" xfId="14486" xr:uid="{00000000-0005-0000-0000-00002F1D0000}"/>
    <cellStyle name="20% - Accent5 15 3 3 5" xfId="18437" xr:uid="{00000000-0005-0000-0000-0000301D0000}"/>
    <cellStyle name="20% - Accent5 15 3 4" xfId="3243" xr:uid="{00000000-0005-0000-0000-0000311D0000}"/>
    <cellStyle name="20% - Accent5 15 3 4 2" xfId="14489" xr:uid="{00000000-0005-0000-0000-0000321D0000}"/>
    <cellStyle name="20% - Accent5 15 3 4 3" xfId="18440" xr:uid="{00000000-0005-0000-0000-0000331D0000}"/>
    <cellStyle name="20% - Accent5 15 3 5" xfId="3244" xr:uid="{00000000-0005-0000-0000-0000341D0000}"/>
    <cellStyle name="20% - Accent5 15 3 5 2" xfId="14490" xr:uid="{00000000-0005-0000-0000-0000351D0000}"/>
    <cellStyle name="20% - Accent5 15 3 5 3" xfId="18441" xr:uid="{00000000-0005-0000-0000-0000361D0000}"/>
    <cellStyle name="20% - Accent5 15 3 6" xfId="14482" xr:uid="{00000000-0005-0000-0000-0000371D0000}"/>
    <cellStyle name="20% - Accent5 15 3 7" xfId="18433" xr:uid="{00000000-0005-0000-0000-0000381D0000}"/>
    <cellStyle name="20% - Accent5 15 3_Volatility" xfId="3245" xr:uid="{00000000-0005-0000-0000-0000391D0000}"/>
    <cellStyle name="20% - Accent5 15 4" xfId="3246" xr:uid="{00000000-0005-0000-0000-00003A1D0000}"/>
    <cellStyle name="20% - Accent5 15 4 2" xfId="3247" xr:uid="{00000000-0005-0000-0000-00003B1D0000}"/>
    <cellStyle name="20% - Accent5 15 4 2 2" xfId="14492" xr:uid="{00000000-0005-0000-0000-00003C1D0000}"/>
    <cellStyle name="20% - Accent5 15 4 2 3" xfId="18443" xr:uid="{00000000-0005-0000-0000-00003D1D0000}"/>
    <cellStyle name="20% - Accent5 15 4 3" xfId="3248" xr:uid="{00000000-0005-0000-0000-00003E1D0000}"/>
    <cellStyle name="20% - Accent5 15 4 3 2" xfId="14493" xr:uid="{00000000-0005-0000-0000-00003F1D0000}"/>
    <cellStyle name="20% - Accent5 15 4 3 3" xfId="18444" xr:uid="{00000000-0005-0000-0000-0000401D0000}"/>
    <cellStyle name="20% - Accent5 15 4 4" xfId="14491" xr:uid="{00000000-0005-0000-0000-0000411D0000}"/>
    <cellStyle name="20% - Accent5 15 4 5" xfId="18442" xr:uid="{00000000-0005-0000-0000-0000421D0000}"/>
    <cellStyle name="20% - Accent5 15 5" xfId="3249" xr:uid="{00000000-0005-0000-0000-0000431D0000}"/>
    <cellStyle name="20% - Accent5 15 5 2" xfId="3250" xr:uid="{00000000-0005-0000-0000-0000441D0000}"/>
    <cellStyle name="20% - Accent5 15 5 2 2" xfId="14495" xr:uid="{00000000-0005-0000-0000-0000451D0000}"/>
    <cellStyle name="20% - Accent5 15 5 2 3" xfId="18446" xr:uid="{00000000-0005-0000-0000-0000461D0000}"/>
    <cellStyle name="20% - Accent5 15 5 3" xfId="3251" xr:uid="{00000000-0005-0000-0000-0000471D0000}"/>
    <cellStyle name="20% - Accent5 15 5 3 2" xfId="14496" xr:uid="{00000000-0005-0000-0000-0000481D0000}"/>
    <cellStyle name="20% - Accent5 15 5 3 3" xfId="18447" xr:uid="{00000000-0005-0000-0000-0000491D0000}"/>
    <cellStyle name="20% - Accent5 15 5 4" xfId="14494" xr:uid="{00000000-0005-0000-0000-00004A1D0000}"/>
    <cellStyle name="20% - Accent5 15 5 5" xfId="18445" xr:uid="{00000000-0005-0000-0000-00004B1D0000}"/>
    <cellStyle name="20% - Accent5 15 6" xfId="3252" xr:uid="{00000000-0005-0000-0000-00004C1D0000}"/>
    <cellStyle name="20% - Accent5 15 6 2" xfId="3253" xr:uid="{00000000-0005-0000-0000-00004D1D0000}"/>
    <cellStyle name="20% - Accent5 15 6 2 2" xfId="14498" xr:uid="{00000000-0005-0000-0000-00004E1D0000}"/>
    <cellStyle name="20% - Accent5 15 6 2 3" xfId="18449" xr:uid="{00000000-0005-0000-0000-00004F1D0000}"/>
    <cellStyle name="20% - Accent5 15 6 3" xfId="3254" xr:uid="{00000000-0005-0000-0000-0000501D0000}"/>
    <cellStyle name="20% - Accent5 15 6 3 2" xfId="14499" xr:uid="{00000000-0005-0000-0000-0000511D0000}"/>
    <cellStyle name="20% - Accent5 15 6 3 3" xfId="18450" xr:uid="{00000000-0005-0000-0000-0000521D0000}"/>
    <cellStyle name="20% - Accent5 15 6 4" xfId="14497" xr:uid="{00000000-0005-0000-0000-0000531D0000}"/>
    <cellStyle name="20% - Accent5 15 6 5" xfId="18448" xr:uid="{00000000-0005-0000-0000-0000541D0000}"/>
    <cellStyle name="20% - Accent5 15 7" xfId="3255" xr:uid="{00000000-0005-0000-0000-0000551D0000}"/>
    <cellStyle name="20% - Accent5 15 7 2" xfId="14500" xr:uid="{00000000-0005-0000-0000-0000561D0000}"/>
    <cellStyle name="20% - Accent5 15 7 3" xfId="18451" xr:uid="{00000000-0005-0000-0000-0000571D0000}"/>
    <cellStyle name="20% - Accent5 15 8" xfId="3256" xr:uid="{00000000-0005-0000-0000-0000581D0000}"/>
    <cellStyle name="20% - Accent5 15 8 2" xfId="14501" xr:uid="{00000000-0005-0000-0000-0000591D0000}"/>
    <cellStyle name="20% - Accent5 15 8 3" xfId="18452" xr:uid="{00000000-0005-0000-0000-00005A1D0000}"/>
    <cellStyle name="20% - Accent5 15 9" xfId="14469" xr:uid="{00000000-0005-0000-0000-00005B1D0000}"/>
    <cellStyle name="20% - Accent5 15_Volatility" xfId="3257" xr:uid="{00000000-0005-0000-0000-00005C1D0000}"/>
    <cellStyle name="20% - Accent5 16" xfId="3258" xr:uid="{00000000-0005-0000-0000-00005D1D0000}"/>
    <cellStyle name="20% - Accent5 16 2" xfId="14502" xr:uid="{00000000-0005-0000-0000-00005E1D0000}"/>
    <cellStyle name="20% - Accent5 16 3" xfId="18453" xr:uid="{00000000-0005-0000-0000-00005F1D0000}"/>
    <cellStyle name="20% - Accent5 17" xfId="3259" xr:uid="{00000000-0005-0000-0000-0000601D0000}"/>
    <cellStyle name="20% - Accent5 17 2" xfId="14503" xr:uid="{00000000-0005-0000-0000-0000611D0000}"/>
    <cellStyle name="20% - Accent5 17 3" xfId="18454" xr:uid="{00000000-0005-0000-0000-0000621D0000}"/>
    <cellStyle name="20% - Accent5 18" xfId="3260" xr:uid="{00000000-0005-0000-0000-0000631D0000}"/>
    <cellStyle name="20% - Accent5 18 2" xfId="14504" xr:uid="{00000000-0005-0000-0000-0000641D0000}"/>
    <cellStyle name="20% - Accent5 18 3" xfId="18455" xr:uid="{00000000-0005-0000-0000-0000651D0000}"/>
    <cellStyle name="20% - Accent5 19" xfId="3261" xr:uid="{00000000-0005-0000-0000-0000661D0000}"/>
    <cellStyle name="20% - Accent5 19 2" xfId="14505" xr:uid="{00000000-0005-0000-0000-0000671D0000}"/>
    <cellStyle name="20% - Accent5 19 3" xfId="18456" xr:uid="{00000000-0005-0000-0000-0000681D0000}"/>
    <cellStyle name="20% - Accent5 2" xfId="3262" xr:uid="{00000000-0005-0000-0000-0000691D0000}"/>
    <cellStyle name="20% - Accent5 2 10" xfId="18457" xr:uid="{00000000-0005-0000-0000-00006A1D0000}"/>
    <cellStyle name="20% - Accent5 2 2" xfId="3263" xr:uid="{00000000-0005-0000-0000-00006B1D0000}"/>
    <cellStyle name="20% - Accent5 2 2 2" xfId="3264" xr:uid="{00000000-0005-0000-0000-00006C1D0000}"/>
    <cellStyle name="20% - Accent5 2 2 2 2" xfId="3265" xr:uid="{00000000-0005-0000-0000-00006D1D0000}"/>
    <cellStyle name="20% - Accent5 2 2 2 2 2" xfId="14509" xr:uid="{00000000-0005-0000-0000-00006E1D0000}"/>
    <cellStyle name="20% - Accent5 2 2 2 2 3" xfId="18460" xr:uid="{00000000-0005-0000-0000-00006F1D0000}"/>
    <cellStyle name="20% - Accent5 2 2 2 3" xfId="3266" xr:uid="{00000000-0005-0000-0000-0000701D0000}"/>
    <cellStyle name="20% - Accent5 2 2 2 3 2" xfId="14510" xr:uid="{00000000-0005-0000-0000-0000711D0000}"/>
    <cellStyle name="20% - Accent5 2 2 2 3 3" xfId="18461" xr:uid="{00000000-0005-0000-0000-0000721D0000}"/>
    <cellStyle name="20% - Accent5 2 2 2 4" xfId="14508" xr:uid="{00000000-0005-0000-0000-0000731D0000}"/>
    <cellStyle name="20% - Accent5 2 2 2 5" xfId="18459" xr:uid="{00000000-0005-0000-0000-0000741D0000}"/>
    <cellStyle name="20% - Accent5 2 2 3" xfId="3267" xr:uid="{00000000-0005-0000-0000-0000751D0000}"/>
    <cellStyle name="20% - Accent5 2 2 3 2" xfId="3268" xr:uid="{00000000-0005-0000-0000-0000761D0000}"/>
    <cellStyle name="20% - Accent5 2 2 3 2 2" xfId="14512" xr:uid="{00000000-0005-0000-0000-0000771D0000}"/>
    <cellStyle name="20% - Accent5 2 2 3 2 3" xfId="18463" xr:uid="{00000000-0005-0000-0000-0000781D0000}"/>
    <cellStyle name="20% - Accent5 2 2 3 3" xfId="3269" xr:uid="{00000000-0005-0000-0000-0000791D0000}"/>
    <cellStyle name="20% - Accent5 2 2 3 3 2" xfId="14513" xr:uid="{00000000-0005-0000-0000-00007A1D0000}"/>
    <cellStyle name="20% - Accent5 2 2 3 3 3" xfId="18464" xr:uid="{00000000-0005-0000-0000-00007B1D0000}"/>
    <cellStyle name="20% - Accent5 2 2 3 4" xfId="14511" xr:uid="{00000000-0005-0000-0000-00007C1D0000}"/>
    <cellStyle name="20% - Accent5 2 2 3 5" xfId="18462" xr:uid="{00000000-0005-0000-0000-00007D1D0000}"/>
    <cellStyle name="20% - Accent5 2 2 4" xfId="3270" xr:uid="{00000000-0005-0000-0000-00007E1D0000}"/>
    <cellStyle name="20% - Accent5 2 2 4 2" xfId="3271" xr:uid="{00000000-0005-0000-0000-00007F1D0000}"/>
    <cellStyle name="20% - Accent5 2 2 4 2 2" xfId="14515" xr:uid="{00000000-0005-0000-0000-0000801D0000}"/>
    <cellStyle name="20% - Accent5 2 2 4 2 3" xfId="18466" xr:uid="{00000000-0005-0000-0000-0000811D0000}"/>
    <cellStyle name="20% - Accent5 2 2 4 3" xfId="3272" xr:uid="{00000000-0005-0000-0000-0000821D0000}"/>
    <cellStyle name="20% - Accent5 2 2 4 3 2" xfId="14516" xr:uid="{00000000-0005-0000-0000-0000831D0000}"/>
    <cellStyle name="20% - Accent5 2 2 4 3 3" xfId="18467" xr:uid="{00000000-0005-0000-0000-0000841D0000}"/>
    <cellStyle name="20% - Accent5 2 2 4 4" xfId="14514" xr:uid="{00000000-0005-0000-0000-0000851D0000}"/>
    <cellStyle name="20% - Accent5 2 2 4 5" xfId="18465" xr:uid="{00000000-0005-0000-0000-0000861D0000}"/>
    <cellStyle name="20% - Accent5 2 2 5" xfId="3273" xr:uid="{00000000-0005-0000-0000-0000871D0000}"/>
    <cellStyle name="20% - Accent5 2 2 5 2" xfId="14517" xr:uid="{00000000-0005-0000-0000-0000881D0000}"/>
    <cellStyle name="20% - Accent5 2 2 5 3" xfId="18468" xr:uid="{00000000-0005-0000-0000-0000891D0000}"/>
    <cellStyle name="20% - Accent5 2 2 6" xfId="3274" xr:uid="{00000000-0005-0000-0000-00008A1D0000}"/>
    <cellStyle name="20% - Accent5 2 2 6 2" xfId="14518" xr:uid="{00000000-0005-0000-0000-00008B1D0000}"/>
    <cellStyle name="20% - Accent5 2 2 6 3" xfId="18469" xr:uid="{00000000-0005-0000-0000-00008C1D0000}"/>
    <cellStyle name="20% - Accent5 2 2 7" xfId="14507" xr:uid="{00000000-0005-0000-0000-00008D1D0000}"/>
    <cellStyle name="20% - Accent5 2 2 8" xfId="18458" xr:uid="{00000000-0005-0000-0000-00008E1D0000}"/>
    <cellStyle name="20% - Accent5 2 2_Volatility" xfId="3275" xr:uid="{00000000-0005-0000-0000-00008F1D0000}"/>
    <cellStyle name="20% - Accent5 2 3" xfId="3276" xr:uid="{00000000-0005-0000-0000-0000901D0000}"/>
    <cellStyle name="20% - Accent5 2 3 2" xfId="3277" xr:uid="{00000000-0005-0000-0000-0000911D0000}"/>
    <cellStyle name="20% - Accent5 2 3 2 2" xfId="3278" xr:uid="{00000000-0005-0000-0000-0000921D0000}"/>
    <cellStyle name="20% - Accent5 2 3 2 2 2" xfId="14521" xr:uid="{00000000-0005-0000-0000-0000931D0000}"/>
    <cellStyle name="20% - Accent5 2 3 2 2 3" xfId="18472" xr:uid="{00000000-0005-0000-0000-0000941D0000}"/>
    <cellStyle name="20% - Accent5 2 3 2 3" xfId="3279" xr:uid="{00000000-0005-0000-0000-0000951D0000}"/>
    <cellStyle name="20% - Accent5 2 3 2 3 2" xfId="14522" xr:uid="{00000000-0005-0000-0000-0000961D0000}"/>
    <cellStyle name="20% - Accent5 2 3 2 3 3" xfId="18473" xr:uid="{00000000-0005-0000-0000-0000971D0000}"/>
    <cellStyle name="20% - Accent5 2 3 2 4" xfId="14520" xr:uid="{00000000-0005-0000-0000-0000981D0000}"/>
    <cellStyle name="20% - Accent5 2 3 2 5" xfId="18471" xr:uid="{00000000-0005-0000-0000-0000991D0000}"/>
    <cellStyle name="20% - Accent5 2 3 3" xfId="3280" xr:uid="{00000000-0005-0000-0000-00009A1D0000}"/>
    <cellStyle name="20% - Accent5 2 3 3 2" xfId="3281" xr:uid="{00000000-0005-0000-0000-00009B1D0000}"/>
    <cellStyle name="20% - Accent5 2 3 3 2 2" xfId="14524" xr:uid="{00000000-0005-0000-0000-00009C1D0000}"/>
    <cellStyle name="20% - Accent5 2 3 3 2 3" xfId="18475" xr:uid="{00000000-0005-0000-0000-00009D1D0000}"/>
    <cellStyle name="20% - Accent5 2 3 3 3" xfId="3282" xr:uid="{00000000-0005-0000-0000-00009E1D0000}"/>
    <cellStyle name="20% - Accent5 2 3 3 3 2" xfId="14525" xr:uid="{00000000-0005-0000-0000-00009F1D0000}"/>
    <cellStyle name="20% - Accent5 2 3 3 3 3" xfId="18476" xr:uid="{00000000-0005-0000-0000-0000A01D0000}"/>
    <cellStyle name="20% - Accent5 2 3 3 4" xfId="14523" xr:uid="{00000000-0005-0000-0000-0000A11D0000}"/>
    <cellStyle name="20% - Accent5 2 3 3 5" xfId="18474" xr:uid="{00000000-0005-0000-0000-0000A21D0000}"/>
    <cellStyle name="20% - Accent5 2 3 4" xfId="3283" xr:uid="{00000000-0005-0000-0000-0000A31D0000}"/>
    <cellStyle name="20% - Accent5 2 3 4 2" xfId="14526" xr:uid="{00000000-0005-0000-0000-0000A41D0000}"/>
    <cellStyle name="20% - Accent5 2 3 4 3" xfId="18477" xr:uid="{00000000-0005-0000-0000-0000A51D0000}"/>
    <cellStyle name="20% - Accent5 2 3 5" xfId="3284" xr:uid="{00000000-0005-0000-0000-0000A61D0000}"/>
    <cellStyle name="20% - Accent5 2 3 5 2" xfId="14527" xr:uid="{00000000-0005-0000-0000-0000A71D0000}"/>
    <cellStyle name="20% - Accent5 2 3 5 3" xfId="18478" xr:uid="{00000000-0005-0000-0000-0000A81D0000}"/>
    <cellStyle name="20% - Accent5 2 3 6" xfId="14519" xr:uid="{00000000-0005-0000-0000-0000A91D0000}"/>
    <cellStyle name="20% - Accent5 2 3 7" xfId="18470" xr:uid="{00000000-0005-0000-0000-0000AA1D0000}"/>
    <cellStyle name="20% - Accent5 2 3_Volatility" xfId="3285" xr:uid="{00000000-0005-0000-0000-0000AB1D0000}"/>
    <cellStyle name="20% - Accent5 2 4" xfId="3286" xr:uid="{00000000-0005-0000-0000-0000AC1D0000}"/>
    <cellStyle name="20% - Accent5 2 4 2" xfId="3287" xr:uid="{00000000-0005-0000-0000-0000AD1D0000}"/>
    <cellStyle name="20% - Accent5 2 4 2 2" xfId="14529" xr:uid="{00000000-0005-0000-0000-0000AE1D0000}"/>
    <cellStyle name="20% - Accent5 2 4 2 3" xfId="18480" xr:uid="{00000000-0005-0000-0000-0000AF1D0000}"/>
    <cellStyle name="20% - Accent5 2 4 3" xfId="3288" xr:uid="{00000000-0005-0000-0000-0000B01D0000}"/>
    <cellStyle name="20% - Accent5 2 4 3 2" xfId="14530" xr:uid="{00000000-0005-0000-0000-0000B11D0000}"/>
    <cellStyle name="20% - Accent5 2 4 3 3" xfId="18481" xr:uid="{00000000-0005-0000-0000-0000B21D0000}"/>
    <cellStyle name="20% - Accent5 2 4 4" xfId="14528" xr:uid="{00000000-0005-0000-0000-0000B31D0000}"/>
    <cellStyle name="20% - Accent5 2 4 5" xfId="18479" xr:uid="{00000000-0005-0000-0000-0000B41D0000}"/>
    <cellStyle name="20% - Accent5 2 5" xfId="3289" xr:uid="{00000000-0005-0000-0000-0000B51D0000}"/>
    <cellStyle name="20% - Accent5 2 5 2" xfId="3290" xr:uid="{00000000-0005-0000-0000-0000B61D0000}"/>
    <cellStyle name="20% - Accent5 2 5 2 2" xfId="14532" xr:uid="{00000000-0005-0000-0000-0000B71D0000}"/>
    <cellStyle name="20% - Accent5 2 5 2 3" xfId="18483" xr:uid="{00000000-0005-0000-0000-0000B81D0000}"/>
    <cellStyle name="20% - Accent5 2 5 3" xfId="3291" xr:uid="{00000000-0005-0000-0000-0000B91D0000}"/>
    <cellStyle name="20% - Accent5 2 5 3 2" xfId="14533" xr:uid="{00000000-0005-0000-0000-0000BA1D0000}"/>
    <cellStyle name="20% - Accent5 2 5 3 3" xfId="18484" xr:uid="{00000000-0005-0000-0000-0000BB1D0000}"/>
    <cellStyle name="20% - Accent5 2 5 4" xfId="14531" xr:uid="{00000000-0005-0000-0000-0000BC1D0000}"/>
    <cellStyle name="20% - Accent5 2 5 5" xfId="18482" xr:uid="{00000000-0005-0000-0000-0000BD1D0000}"/>
    <cellStyle name="20% - Accent5 2 6" xfId="3292" xr:uid="{00000000-0005-0000-0000-0000BE1D0000}"/>
    <cellStyle name="20% - Accent5 2 6 2" xfId="3293" xr:uid="{00000000-0005-0000-0000-0000BF1D0000}"/>
    <cellStyle name="20% - Accent5 2 6 2 2" xfId="14535" xr:uid="{00000000-0005-0000-0000-0000C01D0000}"/>
    <cellStyle name="20% - Accent5 2 6 2 3" xfId="18486" xr:uid="{00000000-0005-0000-0000-0000C11D0000}"/>
    <cellStyle name="20% - Accent5 2 6 3" xfId="3294" xr:uid="{00000000-0005-0000-0000-0000C21D0000}"/>
    <cellStyle name="20% - Accent5 2 6 3 2" xfId="14536" xr:uid="{00000000-0005-0000-0000-0000C31D0000}"/>
    <cellStyle name="20% - Accent5 2 6 3 3" xfId="18487" xr:uid="{00000000-0005-0000-0000-0000C41D0000}"/>
    <cellStyle name="20% - Accent5 2 6 4" xfId="14534" xr:uid="{00000000-0005-0000-0000-0000C51D0000}"/>
    <cellStyle name="20% - Accent5 2 6 5" xfId="18485" xr:uid="{00000000-0005-0000-0000-0000C61D0000}"/>
    <cellStyle name="20% - Accent5 2 7" xfId="3295" xr:uid="{00000000-0005-0000-0000-0000C71D0000}"/>
    <cellStyle name="20% - Accent5 2 7 2" xfId="14537" xr:uid="{00000000-0005-0000-0000-0000C81D0000}"/>
    <cellStyle name="20% - Accent5 2 7 3" xfId="18488" xr:uid="{00000000-0005-0000-0000-0000C91D0000}"/>
    <cellStyle name="20% - Accent5 2 8" xfId="3296" xr:uid="{00000000-0005-0000-0000-0000CA1D0000}"/>
    <cellStyle name="20% - Accent5 2 8 2" xfId="14538" xr:uid="{00000000-0005-0000-0000-0000CB1D0000}"/>
    <cellStyle name="20% - Accent5 2 8 3" xfId="18489" xr:uid="{00000000-0005-0000-0000-0000CC1D0000}"/>
    <cellStyle name="20% - Accent5 2 9" xfId="14506" xr:uid="{00000000-0005-0000-0000-0000CD1D0000}"/>
    <cellStyle name="20% - Accent5 2_Volatility" xfId="3297" xr:uid="{00000000-0005-0000-0000-0000CE1D0000}"/>
    <cellStyle name="20% - Accent5 3" xfId="3298" xr:uid="{00000000-0005-0000-0000-0000CF1D0000}"/>
    <cellStyle name="20% - Accent5 3 10" xfId="18490" xr:uid="{00000000-0005-0000-0000-0000D01D0000}"/>
    <cellStyle name="20% - Accent5 3 2" xfId="3299" xr:uid="{00000000-0005-0000-0000-0000D11D0000}"/>
    <cellStyle name="20% - Accent5 3 2 2" xfId="3300" xr:uid="{00000000-0005-0000-0000-0000D21D0000}"/>
    <cellStyle name="20% - Accent5 3 2 2 2" xfId="3301" xr:uid="{00000000-0005-0000-0000-0000D31D0000}"/>
    <cellStyle name="20% - Accent5 3 2 2 2 2" xfId="14542" xr:uid="{00000000-0005-0000-0000-0000D41D0000}"/>
    <cellStyle name="20% - Accent5 3 2 2 2 3" xfId="18493" xr:uid="{00000000-0005-0000-0000-0000D51D0000}"/>
    <cellStyle name="20% - Accent5 3 2 2 3" xfId="3302" xr:uid="{00000000-0005-0000-0000-0000D61D0000}"/>
    <cellStyle name="20% - Accent5 3 2 2 3 2" xfId="14543" xr:uid="{00000000-0005-0000-0000-0000D71D0000}"/>
    <cellStyle name="20% - Accent5 3 2 2 3 3" xfId="18494" xr:uid="{00000000-0005-0000-0000-0000D81D0000}"/>
    <cellStyle name="20% - Accent5 3 2 2 4" xfId="14541" xr:uid="{00000000-0005-0000-0000-0000D91D0000}"/>
    <cellStyle name="20% - Accent5 3 2 2 5" xfId="18492" xr:uid="{00000000-0005-0000-0000-0000DA1D0000}"/>
    <cellStyle name="20% - Accent5 3 2 3" xfId="3303" xr:uid="{00000000-0005-0000-0000-0000DB1D0000}"/>
    <cellStyle name="20% - Accent5 3 2 3 2" xfId="3304" xr:uid="{00000000-0005-0000-0000-0000DC1D0000}"/>
    <cellStyle name="20% - Accent5 3 2 3 2 2" xfId="14545" xr:uid="{00000000-0005-0000-0000-0000DD1D0000}"/>
    <cellStyle name="20% - Accent5 3 2 3 2 3" xfId="18496" xr:uid="{00000000-0005-0000-0000-0000DE1D0000}"/>
    <cellStyle name="20% - Accent5 3 2 3 3" xfId="3305" xr:uid="{00000000-0005-0000-0000-0000DF1D0000}"/>
    <cellStyle name="20% - Accent5 3 2 3 3 2" xfId="14546" xr:uid="{00000000-0005-0000-0000-0000E01D0000}"/>
    <cellStyle name="20% - Accent5 3 2 3 3 3" xfId="18497" xr:uid="{00000000-0005-0000-0000-0000E11D0000}"/>
    <cellStyle name="20% - Accent5 3 2 3 4" xfId="14544" xr:uid="{00000000-0005-0000-0000-0000E21D0000}"/>
    <cellStyle name="20% - Accent5 3 2 3 5" xfId="18495" xr:uid="{00000000-0005-0000-0000-0000E31D0000}"/>
    <cellStyle name="20% - Accent5 3 2 4" xfId="3306" xr:uid="{00000000-0005-0000-0000-0000E41D0000}"/>
    <cellStyle name="20% - Accent5 3 2 4 2" xfId="3307" xr:uid="{00000000-0005-0000-0000-0000E51D0000}"/>
    <cellStyle name="20% - Accent5 3 2 4 2 2" xfId="14548" xr:uid="{00000000-0005-0000-0000-0000E61D0000}"/>
    <cellStyle name="20% - Accent5 3 2 4 2 3" xfId="18499" xr:uid="{00000000-0005-0000-0000-0000E71D0000}"/>
    <cellStyle name="20% - Accent5 3 2 4 3" xfId="3308" xr:uid="{00000000-0005-0000-0000-0000E81D0000}"/>
    <cellStyle name="20% - Accent5 3 2 4 3 2" xfId="14549" xr:uid="{00000000-0005-0000-0000-0000E91D0000}"/>
    <cellStyle name="20% - Accent5 3 2 4 3 3" xfId="18500" xr:uid="{00000000-0005-0000-0000-0000EA1D0000}"/>
    <cellStyle name="20% - Accent5 3 2 4 4" xfId="14547" xr:uid="{00000000-0005-0000-0000-0000EB1D0000}"/>
    <cellStyle name="20% - Accent5 3 2 4 5" xfId="18498" xr:uid="{00000000-0005-0000-0000-0000EC1D0000}"/>
    <cellStyle name="20% - Accent5 3 2 5" xfId="3309" xr:uid="{00000000-0005-0000-0000-0000ED1D0000}"/>
    <cellStyle name="20% - Accent5 3 2 5 2" xfId="14550" xr:uid="{00000000-0005-0000-0000-0000EE1D0000}"/>
    <cellStyle name="20% - Accent5 3 2 5 3" xfId="18501" xr:uid="{00000000-0005-0000-0000-0000EF1D0000}"/>
    <cellStyle name="20% - Accent5 3 2 6" xfId="3310" xr:uid="{00000000-0005-0000-0000-0000F01D0000}"/>
    <cellStyle name="20% - Accent5 3 2 6 2" xfId="14551" xr:uid="{00000000-0005-0000-0000-0000F11D0000}"/>
    <cellStyle name="20% - Accent5 3 2 6 3" xfId="18502" xr:uid="{00000000-0005-0000-0000-0000F21D0000}"/>
    <cellStyle name="20% - Accent5 3 2 7" xfId="14540" xr:uid="{00000000-0005-0000-0000-0000F31D0000}"/>
    <cellStyle name="20% - Accent5 3 2 8" xfId="18491" xr:uid="{00000000-0005-0000-0000-0000F41D0000}"/>
    <cellStyle name="20% - Accent5 3 2_Volatility" xfId="3311" xr:uid="{00000000-0005-0000-0000-0000F51D0000}"/>
    <cellStyle name="20% - Accent5 3 3" xfId="3312" xr:uid="{00000000-0005-0000-0000-0000F61D0000}"/>
    <cellStyle name="20% - Accent5 3 3 2" xfId="3313" xr:uid="{00000000-0005-0000-0000-0000F71D0000}"/>
    <cellStyle name="20% - Accent5 3 3 2 2" xfId="3314" xr:uid="{00000000-0005-0000-0000-0000F81D0000}"/>
    <cellStyle name="20% - Accent5 3 3 2 2 2" xfId="14554" xr:uid="{00000000-0005-0000-0000-0000F91D0000}"/>
    <cellStyle name="20% - Accent5 3 3 2 2 3" xfId="18505" xr:uid="{00000000-0005-0000-0000-0000FA1D0000}"/>
    <cellStyle name="20% - Accent5 3 3 2 3" xfId="3315" xr:uid="{00000000-0005-0000-0000-0000FB1D0000}"/>
    <cellStyle name="20% - Accent5 3 3 2 3 2" xfId="14555" xr:uid="{00000000-0005-0000-0000-0000FC1D0000}"/>
    <cellStyle name="20% - Accent5 3 3 2 3 3" xfId="18506" xr:uid="{00000000-0005-0000-0000-0000FD1D0000}"/>
    <cellStyle name="20% - Accent5 3 3 2 4" xfId="14553" xr:uid="{00000000-0005-0000-0000-0000FE1D0000}"/>
    <cellStyle name="20% - Accent5 3 3 2 5" xfId="18504" xr:uid="{00000000-0005-0000-0000-0000FF1D0000}"/>
    <cellStyle name="20% - Accent5 3 3 3" xfId="3316" xr:uid="{00000000-0005-0000-0000-0000001E0000}"/>
    <cellStyle name="20% - Accent5 3 3 3 2" xfId="3317" xr:uid="{00000000-0005-0000-0000-0000011E0000}"/>
    <cellStyle name="20% - Accent5 3 3 3 2 2" xfId="14557" xr:uid="{00000000-0005-0000-0000-0000021E0000}"/>
    <cellStyle name="20% - Accent5 3 3 3 2 3" xfId="18508" xr:uid="{00000000-0005-0000-0000-0000031E0000}"/>
    <cellStyle name="20% - Accent5 3 3 3 3" xfId="3318" xr:uid="{00000000-0005-0000-0000-0000041E0000}"/>
    <cellStyle name="20% - Accent5 3 3 3 3 2" xfId="14558" xr:uid="{00000000-0005-0000-0000-0000051E0000}"/>
    <cellStyle name="20% - Accent5 3 3 3 3 3" xfId="18509" xr:uid="{00000000-0005-0000-0000-0000061E0000}"/>
    <cellStyle name="20% - Accent5 3 3 3 4" xfId="14556" xr:uid="{00000000-0005-0000-0000-0000071E0000}"/>
    <cellStyle name="20% - Accent5 3 3 3 5" xfId="18507" xr:uid="{00000000-0005-0000-0000-0000081E0000}"/>
    <cellStyle name="20% - Accent5 3 3 4" xfId="3319" xr:uid="{00000000-0005-0000-0000-0000091E0000}"/>
    <cellStyle name="20% - Accent5 3 3 4 2" xfId="14559" xr:uid="{00000000-0005-0000-0000-00000A1E0000}"/>
    <cellStyle name="20% - Accent5 3 3 4 3" xfId="18510" xr:uid="{00000000-0005-0000-0000-00000B1E0000}"/>
    <cellStyle name="20% - Accent5 3 3 5" xfId="3320" xr:uid="{00000000-0005-0000-0000-00000C1E0000}"/>
    <cellStyle name="20% - Accent5 3 3 5 2" xfId="14560" xr:uid="{00000000-0005-0000-0000-00000D1E0000}"/>
    <cellStyle name="20% - Accent5 3 3 5 3" xfId="18511" xr:uid="{00000000-0005-0000-0000-00000E1E0000}"/>
    <cellStyle name="20% - Accent5 3 3 6" xfId="14552" xr:uid="{00000000-0005-0000-0000-00000F1E0000}"/>
    <cellStyle name="20% - Accent5 3 3 7" xfId="18503" xr:uid="{00000000-0005-0000-0000-0000101E0000}"/>
    <cellStyle name="20% - Accent5 3 3_Volatility" xfId="3321" xr:uid="{00000000-0005-0000-0000-0000111E0000}"/>
    <cellStyle name="20% - Accent5 3 4" xfId="3322" xr:uid="{00000000-0005-0000-0000-0000121E0000}"/>
    <cellStyle name="20% - Accent5 3 4 2" xfId="3323" xr:uid="{00000000-0005-0000-0000-0000131E0000}"/>
    <cellStyle name="20% - Accent5 3 4 2 2" xfId="14562" xr:uid="{00000000-0005-0000-0000-0000141E0000}"/>
    <cellStyle name="20% - Accent5 3 4 2 3" xfId="18513" xr:uid="{00000000-0005-0000-0000-0000151E0000}"/>
    <cellStyle name="20% - Accent5 3 4 3" xfId="3324" xr:uid="{00000000-0005-0000-0000-0000161E0000}"/>
    <cellStyle name="20% - Accent5 3 4 3 2" xfId="14563" xr:uid="{00000000-0005-0000-0000-0000171E0000}"/>
    <cellStyle name="20% - Accent5 3 4 3 3" xfId="18514" xr:uid="{00000000-0005-0000-0000-0000181E0000}"/>
    <cellStyle name="20% - Accent5 3 4 4" xfId="14561" xr:uid="{00000000-0005-0000-0000-0000191E0000}"/>
    <cellStyle name="20% - Accent5 3 4 5" xfId="18512" xr:uid="{00000000-0005-0000-0000-00001A1E0000}"/>
    <cellStyle name="20% - Accent5 3 5" xfId="3325" xr:uid="{00000000-0005-0000-0000-00001B1E0000}"/>
    <cellStyle name="20% - Accent5 3 5 2" xfId="3326" xr:uid="{00000000-0005-0000-0000-00001C1E0000}"/>
    <cellStyle name="20% - Accent5 3 5 2 2" xfId="14565" xr:uid="{00000000-0005-0000-0000-00001D1E0000}"/>
    <cellStyle name="20% - Accent5 3 5 2 3" xfId="18516" xr:uid="{00000000-0005-0000-0000-00001E1E0000}"/>
    <cellStyle name="20% - Accent5 3 5 3" xfId="3327" xr:uid="{00000000-0005-0000-0000-00001F1E0000}"/>
    <cellStyle name="20% - Accent5 3 5 3 2" xfId="14566" xr:uid="{00000000-0005-0000-0000-0000201E0000}"/>
    <cellStyle name="20% - Accent5 3 5 3 3" xfId="18517" xr:uid="{00000000-0005-0000-0000-0000211E0000}"/>
    <cellStyle name="20% - Accent5 3 5 4" xfId="14564" xr:uid="{00000000-0005-0000-0000-0000221E0000}"/>
    <cellStyle name="20% - Accent5 3 5 5" xfId="18515" xr:uid="{00000000-0005-0000-0000-0000231E0000}"/>
    <cellStyle name="20% - Accent5 3 6" xfId="3328" xr:uid="{00000000-0005-0000-0000-0000241E0000}"/>
    <cellStyle name="20% - Accent5 3 6 2" xfId="3329" xr:uid="{00000000-0005-0000-0000-0000251E0000}"/>
    <cellStyle name="20% - Accent5 3 6 2 2" xfId="14568" xr:uid="{00000000-0005-0000-0000-0000261E0000}"/>
    <cellStyle name="20% - Accent5 3 6 2 3" xfId="18519" xr:uid="{00000000-0005-0000-0000-0000271E0000}"/>
    <cellStyle name="20% - Accent5 3 6 3" xfId="3330" xr:uid="{00000000-0005-0000-0000-0000281E0000}"/>
    <cellStyle name="20% - Accent5 3 6 3 2" xfId="14569" xr:uid="{00000000-0005-0000-0000-0000291E0000}"/>
    <cellStyle name="20% - Accent5 3 6 3 3" xfId="18520" xr:uid="{00000000-0005-0000-0000-00002A1E0000}"/>
    <cellStyle name="20% - Accent5 3 6 4" xfId="14567" xr:uid="{00000000-0005-0000-0000-00002B1E0000}"/>
    <cellStyle name="20% - Accent5 3 6 5" xfId="18518" xr:uid="{00000000-0005-0000-0000-00002C1E0000}"/>
    <cellStyle name="20% - Accent5 3 7" xfId="3331" xr:uid="{00000000-0005-0000-0000-00002D1E0000}"/>
    <cellStyle name="20% - Accent5 3 7 2" xfId="14570" xr:uid="{00000000-0005-0000-0000-00002E1E0000}"/>
    <cellStyle name="20% - Accent5 3 7 3" xfId="18521" xr:uid="{00000000-0005-0000-0000-00002F1E0000}"/>
    <cellStyle name="20% - Accent5 3 8" xfId="3332" xr:uid="{00000000-0005-0000-0000-0000301E0000}"/>
    <cellStyle name="20% - Accent5 3 8 2" xfId="14571" xr:uid="{00000000-0005-0000-0000-0000311E0000}"/>
    <cellStyle name="20% - Accent5 3 8 3" xfId="18522" xr:uid="{00000000-0005-0000-0000-0000321E0000}"/>
    <cellStyle name="20% - Accent5 3 9" xfId="14539" xr:uid="{00000000-0005-0000-0000-0000331E0000}"/>
    <cellStyle name="20% - Accent5 3_Volatility" xfId="3333" xr:uid="{00000000-0005-0000-0000-0000341E0000}"/>
    <cellStyle name="20% - Accent5 4" xfId="3334" xr:uid="{00000000-0005-0000-0000-0000351E0000}"/>
    <cellStyle name="20% - Accent5 4 10" xfId="18523" xr:uid="{00000000-0005-0000-0000-0000361E0000}"/>
    <cellStyle name="20% - Accent5 4 2" xfId="3335" xr:uid="{00000000-0005-0000-0000-0000371E0000}"/>
    <cellStyle name="20% - Accent5 4 2 2" xfId="3336" xr:uid="{00000000-0005-0000-0000-0000381E0000}"/>
    <cellStyle name="20% - Accent5 4 2 2 2" xfId="3337" xr:uid="{00000000-0005-0000-0000-0000391E0000}"/>
    <cellStyle name="20% - Accent5 4 2 2 2 2" xfId="14575" xr:uid="{00000000-0005-0000-0000-00003A1E0000}"/>
    <cellStyle name="20% - Accent5 4 2 2 2 3" xfId="18526" xr:uid="{00000000-0005-0000-0000-00003B1E0000}"/>
    <cellStyle name="20% - Accent5 4 2 2 3" xfId="3338" xr:uid="{00000000-0005-0000-0000-00003C1E0000}"/>
    <cellStyle name="20% - Accent5 4 2 2 3 2" xfId="14576" xr:uid="{00000000-0005-0000-0000-00003D1E0000}"/>
    <cellStyle name="20% - Accent5 4 2 2 3 3" xfId="18527" xr:uid="{00000000-0005-0000-0000-00003E1E0000}"/>
    <cellStyle name="20% - Accent5 4 2 2 4" xfId="14574" xr:uid="{00000000-0005-0000-0000-00003F1E0000}"/>
    <cellStyle name="20% - Accent5 4 2 2 5" xfId="18525" xr:uid="{00000000-0005-0000-0000-0000401E0000}"/>
    <cellStyle name="20% - Accent5 4 2 3" xfId="3339" xr:uid="{00000000-0005-0000-0000-0000411E0000}"/>
    <cellStyle name="20% - Accent5 4 2 3 2" xfId="3340" xr:uid="{00000000-0005-0000-0000-0000421E0000}"/>
    <cellStyle name="20% - Accent5 4 2 3 2 2" xfId="14578" xr:uid="{00000000-0005-0000-0000-0000431E0000}"/>
    <cellStyle name="20% - Accent5 4 2 3 2 3" xfId="18529" xr:uid="{00000000-0005-0000-0000-0000441E0000}"/>
    <cellStyle name="20% - Accent5 4 2 3 3" xfId="3341" xr:uid="{00000000-0005-0000-0000-0000451E0000}"/>
    <cellStyle name="20% - Accent5 4 2 3 3 2" xfId="14579" xr:uid="{00000000-0005-0000-0000-0000461E0000}"/>
    <cellStyle name="20% - Accent5 4 2 3 3 3" xfId="18530" xr:uid="{00000000-0005-0000-0000-0000471E0000}"/>
    <cellStyle name="20% - Accent5 4 2 3 4" xfId="14577" xr:uid="{00000000-0005-0000-0000-0000481E0000}"/>
    <cellStyle name="20% - Accent5 4 2 3 5" xfId="18528" xr:uid="{00000000-0005-0000-0000-0000491E0000}"/>
    <cellStyle name="20% - Accent5 4 2 4" xfId="3342" xr:uid="{00000000-0005-0000-0000-00004A1E0000}"/>
    <cellStyle name="20% - Accent5 4 2 4 2" xfId="3343" xr:uid="{00000000-0005-0000-0000-00004B1E0000}"/>
    <cellStyle name="20% - Accent5 4 2 4 2 2" xfId="14581" xr:uid="{00000000-0005-0000-0000-00004C1E0000}"/>
    <cellStyle name="20% - Accent5 4 2 4 2 3" xfId="18532" xr:uid="{00000000-0005-0000-0000-00004D1E0000}"/>
    <cellStyle name="20% - Accent5 4 2 4 3" xfId="3344" xr:uid="{00000000-0005-0000-0000-00004E1E0000}"/>
    <cellStyle name="20% - Accent5 4 2 4 3 2" xfId="14582" xr:uid="{00000000-0005-0000-0000-00004F1E0000}"/>
    <cellStyle name="20% - Accent5 4 2 4 3 3" xfId="18533" xr:uid="{00000000-0005-0000-0000-0000501E0000}"/>
    <cellStyle name="20% - Accent5 4 2 4 4" xfId="14580" xr:uid="{00000000-0005-0000-0000-0000511E0000}"/>
    <cellStyle name="20% - Accent5 4 2 4 5" xfId="18531" xr:uid="{00000000-0005-0000-0000-0000521E0000}"/>
    <cellStyle name="20% - Accent5 4 2 5" xfId="3345" xr:uid="{00000000-0005-0000-0000-0000531E0000}"/>
    <cellStyle name="20% - Accent5 4 2 5 2" xfId="14583" xr:uid="{00000000-0005-0000-0000-0000541E0000}"/>
    <cellStyle name="20% - Accent5 4 2 5 3" xfId="18534" xr:uid="{00000000-0005-0000-0000-0000551E0000}"/>
    <cellStyle name="20% - Accent5 4 2 6" xfId="3346" xr:uid="{00000000-0005-0000-0000-0000561E0000}"/>
    <cellStyle name="20% - Accent5 4 2 6 2" xfId="14584" xr:uid="{00000000-0005-0000-0000-0000571E0000}"/>
    <cellStyle name="20% - Accent5 4 2 6 3" xfId="18535" xr:uid="{00000000-0005-0000-0000-0000581E0000}"/>
    <cellStyle name="20% - Accent5 4 2 7" xfId="14573" xr:uid="{00000000-0005-0000-0000-0000591E0000}"/>
    <cellStyle name="20% - Accent5 4 2 8" xfId="18524" xr:uid="{00000000-0005-0000-0000-00005A1E0000}"/>
    <cellStyle name="20% - Accent5 4 2_Volatility" xfId="3347" xr:uid="{00000000-0005-0000-0000-00005B1E0000}"/>
    <cellStyle name="20% - Accent5 4 3" xfId="3348" xr:uid="{00000000-0005-0000-0000-00005C1E0000}"/>
    <cellStyle name="20% - Accent5 4 3 2" xfId="3349" xr:uid="{00000000-0005-0000-0000-00005D1E0000}"/>
    <cellStyle name="20% - Accent5 4 3 2 2" xfId="3350" xr:uid="{00000000-0005-0000-0000-00005E1E0000}"/>
    <cellStyle name="20% - Accent5 4 3 2 2 2" xfId="14587" xr:uid="{00000000-0005-0000-0000-00005F1E0000}"/>
    <cellStyle name="20% - Accent5 4 3 2 2 3" xfId="18538" xr:uid="{00000000-0005-0000-0000-0000601E0000}"/>
    <cellStyle name="20% - Accent5 4 3 2 3" xfId="3351" xr:uid="{00000000-0005-0000-0000-0000611E0000}"/>
    <cellStyle name="20% - Accent5 4 3 2 3 2" xfId="14588" xr:uid="{00000000-0005-0000-0000-0000621E0000}"/>
    <cellStyle name="20% - Accent5 4 3 2 3 3" xfId="18539" xr:uid="{00000000-0005-0000-0000-0000631E0000}"/>
    <cellStyle name="20% - Accent5 4 3 2 4" xfId="14586" xr:uid="{00000000-0005-0000-0000-0000641E0000}"/>
    <cellStyle name="20% - Accent5 4 3 2 5" xfId="18537" xr:uid="{00000000-0005-0000-0000-0000651E0000}"/>
    <cellStyle name="20% - Accent5 4 3 3" xfId="3352" xr:uid="{00000000-0005-0000-0000-0000661E0000}"/>
    <cellStyle name="20% - Accent5 4 3 3 2" xfId="3353" xr:uid="{00000000-0005-0000-0000-0000671E0000}"/>
    <cellStyle name="20% - Accent5 4 3 3 2 2" xfId="14590" xr:uid="{00000000-0005-0000-0000-0000681E0000}"/>
    <cellStyle name="20% - Accent5 4 3 3 2 3" xfId="18541" xr:uid="{00000000-0005-0000-0000-0000691E0000}"/>
    <cellStyle name="20% - Accent5 4 3 3 3" xfId="3354" xr:uid="{00000000-0005-0000-0000-00006A1E0000}"/>
    <cellStyle name="20% - Accent5 4 3 3 3 2" xfId="14591" xr:uid="{00000000-0005-0000-0000-00006B1E0000}"/>
    <cellStyle name="20% - Accent5 4 3 3 3 3" xfId="18542" xr:uid="{00000000-0005-0000-0000-00006C1E0000}"/>
    <cellStyle name="20% - Accent5 4 3 3 4" xfId="14589" xr:uid="{00000000-0005-0000-0000-00006D1E0000}"/>
    <cellStyle name="20% - Accent5 4 3 3 5" xfId="18540" xr:uid="{00000000-0005-0000-0000-00006E1E0000}"/>
    <cellStyle name="20% - Accent5 4 3 4" xfId="3355" xr:uid="{00000000-0005-0000-0000-00006F1E0000}"/>
    <cellStyle name="20% - Accent5 4 3 4 2" xfId="14592" xr:uid="{00000000-0005-0000-0000-0000701E0000}"/>
    <cellStyle name="20% - Accent5 4 3 4 3" xfId="18543" xr:uid="{00000000-0005-0000-0000-0000711E0000}"/>
    <cellStyle name="20% - Accent5 4 3 5" xfId="3356" xr:uid="{00000000-0005-0000-0000-0000721E0000}"/>
    <cellStyle name="20% - Accent5 4 3 5 2" xfId="14593" xr:uid="{00000000-0005-0000-0000-0000731E0000}"/>
    <cellStyle name="20% - Accent5 4 3 5 3" xfId="18544" xr:uid="{00000000-0005-0000-0000-0000741E0000}"/>
    <cellStyle name="20% - Accent5 4 3 6" xfId="14585" xr:uid="{00000000-0005-0000-0000-0000751E0000}"/>
    <cellStyle name="20% - Accent5 4 3 7" xfId="18536" xr:uid="{00000000-0005-0000-0000-0000761E0000}"/>
    <cellStyle name="20% - Accent5 4 3_Volatility" xfId="3357" xr:uid="{00000000-0005-0000-0000-0000771E0000}"/>
    <cellStyle name="20% - Accent5 4 4" xfId="3358" xr:uid="{00000000-0005-0000-0000-0000781E0000}"/>
    <cellStyle name="20% - Accent5 4 4 2" xfId="3359" xr:uid="{00000000-0005-0000-0000-0000791E0000}"/>
    <cellStyle name="20% - Accent5 4 4 2 2" xfId="14595" xr:uid="{00000000-0005-0000-0000-00007A1E0000}"/>
    <cellStyle name="20% - Accent5 4 4 2 3" xfId="18546" xr:uid="{00000000-0005-0000-0000-00007B1E0000}"/>
    <cellStyle name="20% - Accent5 4 4 3" xfId="3360" xr:uid="{00000000-0005-0000-0000-00007C1E0000}"/>
    <cellStyle name="20% - Accent5 4 4 3 2" xfId="14596" xr:uid="{00000000-0005-0000-0000-00007D1E0000}"/>
    <cellStyle name="20% - Accent5 4 4 3 3" xfId="18547" xr:uid="{00000000-0005-0000-0000-00007E1E0000}"/>
    <cellStyle name="20% - Accent5 4 4 4" xfId="14594" xr:uid="{00000000-0005-0000-0000-00007F1E0000}"/>
    <cellStyle name="20% - Accent5 4 4 5" xfId="18545" xr:uid="{00000000-0005-0000-0000-0000801E0000}"/>
    <cellStyle name="20% - Accent5 4 5" xfId="3361" xr:uid="{00000000-0005-0000-0000-0000811E0000}"/>
    <cellStyle name="20% - Accent5 4 5 2" xfId="3362" xr:uid="{00000000-0005-0000-0000-0000821E0000}"/>
    <cellStyle name="20% - Accent5 4 5 2 2" xfId="14598" xr:uid="{00000000-0005-0000-0000-0000831E0000}"/>
    <cellStyle name="20% - Accent5 4 5 2 3" xfId="18549" xr:uid="{00000000-0005-0000-0000-0000841E0000}"/>
    <cellStyle name="20% - Accent5 4 5 3" xfId="3363" xr:uid="{00000000-0005-0000-0000-0000851E0000}"/>
    <cellStyle name="20% - Accent5 4 5 3 2" xfId="14599" xr:uid="{00000000-0005-0000-0000-0000861E0000}"/>
    <cellStyle name="20% - Accent5 4 5 3 3" xfId="18550" xr:uid="{00000000-0005-0000-0000-0000871E0000}"/>
    <cellStyle name="20% - Accent5 4 5 4" xfId="14597" xr:uid="{00000000-0005-0000-0000-0000881E0000}"/>
    <cellStyle name="20% - Accent5 4 5 5" xfId="18548" xr:uid="{00000000-0005-0000-0000-0000891E0000}"/>
    <cellStyle name="20% - Accent5 4 6" xfId="3364" xr:uid="{00000000-0005-0000-0000-00008A1E0000}"/>
    <cellStyle name="20% - Accent5 4 6 2" xfId="3365" xr:uid="{00000000-0005-0000-0000-00008B1E0000}"/>
    <cellStyle name="20% - Accent5 4 6 2 2" xfId="14601" xr:uid="{00000000-0005-0000-0000-00008C1E0000}"/>
    <cellStyle name="20% - Accent5 4 6 2 3" xfId="18552" xr:uid="{00000000-0005-0000-0000-00008D1E0000}"/>
    <cellStyle name="20% - Accent5 4 6 3" xfId="3366" xr:uid="{00000000-0005-0000-0000-00008E1E0000}"/>
    <cellStyle name="20% - Accent5 4 6 3 2" xfId="14602" xr:uid="{00000000-0005-0000-0000-00008F1E0000}"/>
    <cellStyle name="20% - Accent5 4 6 3 3" xfId="18553" xr:uid="{00000000-0005-0000-0000-0000901E0000}"/>
    <cellStyle name="20% - Accent5 4 6 4" xfId="14600" xr:uid="{00000000-0005-0000-0000-0000911E0000}"/>
    <cellStyle name="20% - Accent5 4 6 5" xfId="18551" xr:uid="{00000000-0005-0000-0000-0000921E0000}"/>
    <cellStyle name="20% - Accent5 4 7" xfId="3367" xr:uid="{00000000-0005-0000-0000-0000931E0000}"/>
    <cellStyle name="20% - Accent5 4 7 2" xfId="14603" xr:uid="{00000000-0005-0000-0000-0000941E0000}"/>
    <cellStyle name="20% - Accent5 4 7 3" xfId="18554" xr:uid="{00000000-0005-0000-0000-0000951E0000}"/>
    <cellStyle name="20% - Accent5 4 8" xfId="3368" xr:uid="{00000000-0005-0000-0000-0000961E0000}"/>
    <cellStyle name="20% - Accent5 4 8 2" xfId="14604" xr:uid="{00000000-0005-0000-0000-0000971E0000}"/>
    <cellStyle name="20% - Accent5 4 8 3" xfId="18555" xr:uid="{00000000-0005-0000-0000-0000981E0000}"/>
    <cellStyle name="20% - Accent5 4 9" xfId="14572" xr:uid="{00000000-0005-0000-0000-0000991E0000}"/>
    <cellStyle name="20% - Accent5 4_Volatility" xfId="3369" xr:uid="{00000000-0005-0000-0000-00009A1E0000}"/>
    <cellStyle name="20% - Accent5 5" xfId="3370" xr:uid="{00000000-0005-0000-0000-00009B1E0000}"/>
    <cellStyle name="20% - Accent5 5 10" xfId="18556" xr:uid="{00000000-0005-0000-0000-00009C1E0000}"/>
    <cellStyle name="20% - Accent5 5 2" xfId="3371" xr:uid="{00000000-0005-0000-0000-00009D1E0000}"/>
    <cellStyle name="20% - Accent5 5 2 2" xfId="3372" xr:uid="{00000000-0005-0000-0000-00009E1E0000}"/>
    <cellStyle name="20% - Accent5 5 2 2 2" xfId="3373" xr:uid="{00000000-0005-0000-0000-00009F1E0000}"/>
    <cellStyle name="20% - Accent5 5 2 2 2 2" xfId="14608" xr:uid="{00000000-0005-0000-0000-0000A01E0000}"/>
    <cellStyle name="20% - Accent5 5 2 2 2 3" xfId="18559" xr:uid="{00000000-0005-0000-0000-0000A11E0000}"/>
    <cellStyle name="20% - Accent5 5 2 2 3" xfId="3374" xr:uid="{00000000-0005-0000-0000-0000A21E0000}"/>
    <cellStyle name="20% - Accent5 5 2 2 3 2" xfId="14609" xr:uid="{00000000-0005-0000-0000-0000A31E0000}"/>
    <cellStyle name="20% - Accent5 5 2 2 3 3" xfId="18560" xr:uid="{00000000-0005-0000-0000-0000A41E0000}"/>
    <cellStyle name="20% - Accent5 5 2 2 4" xfId="14607" xr:uid="{00000000-0005-0000-0000-0000A51E0000}"/>
    <cellStyle name="20% - Accent5 5 2 2 5" xfId="18558" xr:uid="{00000000-0005-0000-0000-0000A61E0000}"/>
    <cellStyle name="20% - Accent5 5 2 3" xfId="3375" xr:uid="{00000000-0005-0000-0000-0000A71E0000}"/>
    <cellStyle name="20% - Accent5 5 2 3 2" xfId="3376" xr:uid="{00000000-0005-0000-0000-0000A81E0000}"/>
    <cellStyle name="20% - Accent5 5 2 3 2 2" xfId="14611" xr:uid="{00000000-0005-0000-0000-0000A91E0000}"/>
    <cellStyle name="20% - Accent5 5 2 3 2 3" xfId="18562" xr:uid="{00000000-0005-0000-0000-0000AA1E0000}"/>
    <cellStyle name="20% - Accent5 5 2 3 3" xfId="3377" xr:uid="{00000000-0005-0000-0000-0000AB1E0000}"/>
    <cellStyle name="20% - Accent5 5 2 3 3 2" xfId="14612" xr:uid="{00000000-0005-0000-0000-0000AC1E0000}"/>
    <cellStyle name="20% - Accent5 5 2 3 3 3" xfId="18563" xr:uid="{00000000-0005-0000-0000-0000AD1E0000}"/>
    <cellStyle name="20% - Accent5 5 2 3 4" xfId="14610" xr:uid="{00000000-0005-0000-0000-0000AE1E0000}"/>
    <cellStyle name="20% - Accent5 5 2 3 5" xfId="18561" xr:uid="{00000000-0005-0000-0000-0000AF1E0000}"/>
    <cellStyle name="20% - Accent5 5 2 4" xfId="3378" xr:uid="{00000000-0005-0000-0000-0000B01E0000}"/>
    <cellStyle name="20% - Accent5 5 2 4 2" xfId="3379" xr:uid="{00000000-0005-0000-0000-0000B11E0000}"/>
    <cellStyle name="20% - Accent5 5 2 4 2 2" xfId="14614" xr:uid="{00000000-0005-0000-0000-0000B21E0000}"/>
    <cellStyle name="20% - Accent5 5 2 4 2 3" xfId="18565" xr:uid="{00000000-0005-0000-0000-0000B31E0000}"/>
    <cellStyle name="20% - Accent5 5 2 4 3" xfId="3380" xr:uid="{00000000-0005-0000-0000-0000B41E0000}"/>
    <cellStyle name="20% - Accent5 5 2 4 3 2" xfId="14615" xr:uid="{00000000-0005-0000-0000-0000B51E0000}"/>
    <cellStyle name="20% - Accent5 5 2 4 3 3" xfId="18566" xr:uid="{00000000-0005-0000-0000-0000B61E0000}"/>
    <cellStyle name="20% - Accent5 5 2 4 4" xfId="14613" xr:uid="{00000000-0005-0000-0000-0000B71E0000}"/>
    <cellStyle name="20% - Accent5 5 2 4 5" xfId="18564" xr:uid="{00000000-0005-0000-0000-0000B81E0000}"/>
    <cellStyle name="20% - Accent5 5 2 5" xfId="3381" xr:uid="{00000000-0005-0000-0000-0000B91E0000}"/>
    <cellStyle name="20% - Accent5 5 2 5 2" xfId="14616" xr:uid="{00000000-0005-0000-0000-0000BA1E0000}"/>
    <cellStyle name="20% - Accent5 5 2 5 3" xfId="18567" xr:uid="{00000000-0005-0000-0000-0000BB1E0000}"/>
    <cellStyle name="20% - Accent5 5 2 6" xfId="3382" xr:uid="{00000000-0005-0000-0000-0000BC1E0000}"/>
    <cellStyle name="20% - Accent5 5 2 6 2" xfId="14617" xr:uid="{00000000-0005-0000-0000-0000BD1E0000}"/>
    <cellStyle name="20% - Accent5 5 2 6 3" xfId="18568" xr:uid="{00000000-0005-0000-0000-0000BE1E0000}"/>
    <cellStyle name="20% - Accent5 5 2 7" xfId="14606" xr:uid="{00000000-0005-0000-0000-0000BF1E0000}"/>
    <cellStyle name="20% - Accent5 5 2 8" xfId="18557" xr:uid="{00000000-0005-0000-0000-0000C01E0000}"/>
    <cellStyle name="20% - Accent5 5 2_Volatility" xfId="3383" xr:uid="{00000000-0005-0000-0000-0000C11E0000}"/>
    <cellStyle name="20% - Accent5 5 3" xfId="3384" xr:uid="{00000000-0005-0000-0000-0000C21E0000}"/>
    <cellStyle name="20% - Accent5 5 3 2" xfId="3385" xr:uid="{00000000-0005-0000-0000-0000C31E0000}"/>
    <cellStyle name="20% - Accent5 5 3 2 2" xfId="3386" xr:uid="{00000000-0005-0000-0000-0000C41E0000}"/>
    <cellStyle name="20% - Accent5 5 3 2 2 2" xfId="14620" xr:uid="{00000000-0005-0000-0000-0000C51E0000}"/>
    <cellStyle name="20% - Accent5 5 3 2 2 3" xfId="18571" xr:uid="{00000000-0005-0000-0000-0000C61E0000}"/>
    <cellStyle name="20% - Accent5 5 3 2 3" xfId="3387" xr:uid="{00000000-0005-0000-0000-0000C71E0000}"/>
    <cellStyle name="20% - Accent5 5 3 2 3 2" xfId="14621" xr:uid="{00000000-0005-0000-0000-0000C81E0000}"/>
    <cellStyle name="20% - Accent5 5 3 2 3 3" xfId="18572" xr:uid="{00000000-0005-0000-0000-0000C91E0000}"/>
    <cellStyle name="20% - Accent5 5 3 2 4" xfId="14619" xr:uid="{00000000-0005-0000-0000-0000CA1E0000}"/>
    <cellStyle name="20% - Accent5 5 3 2 5" xfId="18570" xr:uid="{00000000-0005-0000-0000-0000CB1E0000}"/>
    <cellStyle name="20% - Accent5 5 3 3" xfId="3388" xr:uid="{00000000-0005-0000-0000-0000CC1E0000}"/>
    <cellStyle name="20% - Accent5 5 3 3 2" xfId="3389" xr:uid="{00000000-0005-0000-0000-0000CD1E0000}"/>
    <cellStyle name="20% - Accent5 5 3 3 2 2" xfId="14623" xr:uid="{00000000-0005-0000-0000-0000CE1E0000}"/>
    <cellStyle name="20% - Accent5 5 3 3 2 3" xfId="18574" xr:uid="{00000000-0005-0000-0000-0000CF1E0000}"/>
    <cellStyle name="20% - Accent5 5 3 3 3" xfId="3390" xr:uid="{00000000-0005-0000-0000-0000D01E0000}"/>
    <cellStyle name="20% - Accent5 5 3 3 3 2" xfId="14624" xr:uid="{00000000-0005-0000-0000-0000D11E0000}"/>
    <cellStyle name="20% - Accent5 5 3 3 3 3" xfId="18575" xr:uid="{00000000-0005-0000-0000-0000D21E0000}"/>
    <cellStyle name="20% - Accent5 5 3 3 4" xfId="14622" xr:uid="{00000000-0005-0000-0000-0000D31E0000}"/>
    <cellStyle name="20% - Accent5 5 3 3 5" xfId="18573" xr:uid="{00000000-0005-0000-0000-0000D41E0000}"/>
    <cellStyle name="20% - Accent5 5 3 4" xfId="3391" xr:uid="{00000000-0005-0000-0000-0000D51E0000}"/>
    <cellStyle name="20% - Accent5 5 3 4 2" xfId="14625" xr:uid="{00000000-0005-0000-0000-0000D61E0000}"/>
    <cellStyle name="20% - Accent5 5 3 4 3" xfId="18576" xr:uid="{00000000-0005-0000-0000-0000D71E0000}"/>
    <cellStyle name="20% - Accent5 5 3 5" xfId="3392" xr:uid="{00000000-0005-0000-0000-0000D81E0000}"/>
    <cellStyle name="20% - Accent5 5 3 5 2" xfId="14626" xr:uid="{00000000-0005-0000-0000-0000D91E0000}"/>
    <cellStyle name="20% - Accent5 5 3 5 3" xfId="18577" xr:uid="{00000000-0005-0000-0000-0000DA1E0000}"/>
    <cellStyle name="20% - Accent5 5 3 6" xfId="14618" xr:uid="{00000000-0005-0000-0000-0000DB1E0000}"/>
    <cellStyle name="20% - Accent5 5 3 7" xfId="18569" xr:uid="{00000000-0005-0000-0000-0000DC1E0000}"/>
    <cellStyle name="20% - Accent5 5 3_Volatility" xfId="3393" xr:uid="{00000000-0005-0000-0000-0000DD1E0000}"/>
    <cellStyle name="20% - Accent5 5 4" xfId="3394" xr:uid="{00000000-0005-0000-0000-0000DE1E0000}"/>
    <cellStyle name="20% - Accent5 5 4 2" xfId="3395" xr:uid="{00000000-0005-0000-0000-0000DF1E0000}"/>
    <cellStyle name="20% - Accent5 5 4 2 2" xfId="14628" xr:uid="{00000000-0005-0000-0000-0000E01E0000}"/>
    <cellStyle name="20% - Accent5 5 4 2 3" xfId="18579" xr:uid="{00000000-0005-0000-0000-0000E11E0000}"/>
    <cellStyle name="20% - Accent5 5 4 3" xfId="3396" xr:uid="{00000000-0005-0000-0000-0000E21E0000}"/>
    <cellStyle name="20% - Accent5 5 4 3 2" xfId="14629" xr:uid="{00000000-0005-0000-0000-0000E31E0000}"/>
    <cellStyle name="20% - Accent5 5 4 3 3" xfId="18580" xr:uid="{00000000-0005-0000-0000-0000E41E0000}"/>
    <cellStyle name="20% - Accent5 5 4 4" xfId="14627" xr:uid="{00000000-0005-0000-0000-0000E51E0000}"/>
    <cellStyle name="20% - Accent5 5 4 5" xfId="18578" xr:uid="{00000000-0005-0000-0000-0000E61E0000}"/>
    <cellStyle name="20% - Accent5 5 5" xfId="3397" xr:uid="{00000000-0005-0000-0000-0000E71E0000}"/>
    <cellStyle name="20% - Accent5 5 5 2" xfId="3398" xr:uid="{00000000-0005-0000-0000-0000E81E0000}"/>
    <cellStyle name="20% - Accent5 5 5 2 2" xfId="14631" xr:uid="{00000000-0005-0000-0000-0000E91E0000}"/>
    <cellStyle name="20% - Accent5 5 5 2 3" xfId="18582" xr:uid="{00000000-0005-0000-0000-0000EA1E0000}"/>
    <cellStyle name="20% - Accent5 5 5 3" xfId="3399" xr:uid="{00000000-0005-0000-0000-0000EB1E0000}"/>
    <cellStyle name="20% - Accent5 5 5 3 2" xfId="14632" xr:uid="{00000000-0005-0000-0000-0000EC1E0000}"/>
    <cellStyle name="20% - Accent5 5 5 3 3" xfId="18583" xr:uid="{00000000-0005-0000-0000-0000ED1E0000}"/>
    <cellStyle name="20% - Accent5 5 5 4" xfId="14630" xr:uid="{00000000-0005-0000-0000-0000EE1E0000}"/>
    <cellStyle name="20% - Accent5 5 5 5" xfId="18581" xr:uid="{00000000-0005-0000-0000-0000EF1E0000}"/>
    <cellStyle name="20% - Accent5 5 6" xfId="3400" xr:uid="{00000000-0005-0000-0000-0000F01E0000}"/>
    <cellStyle name="20% - Accent5 5 6 2" xfId="3401" xr:uid="{00000000-0005-0000-0000-0000F11E0000}"/>
    <cellStyle name="20% - Accent5 5 6 2 2" xfId="14634" xr:uid="{00000000-0005-0000-0000-0000F21E0000}"/>
    <cellStyle name="20% - Accent5 5 6 2 3" xfId="18585" xr:uid="{00000000-0005-0000-0000-0000F31E0000}"/>
    <cellStyle name="20% - Accent5 5 6 3" xfId="3402" xr:uid="{00000000-0005-0000-0000-0000F41E0000}"/>
    <cellStyle name="20% - Accent5 5 6 3 2" xfId="14635" xr:uid="{00000000-0005-0000-0000-0000F51E0000}"/>
    <cellStyle name="20% - Accent5 5 6 3 3" xfId="18586" xr:uid="{00000000-0005-0000-0000-0000F61E0000}"/>
    <cellStyle name="20% - Accent5 5 6 4" xfId="14633" xr:uid="{00000000-0005-0000-0000-0000F71E0000}"/>
    <cellStyle name="20% - Accent5 5 6 5" xfId="18584" xr:uid="{00000000-0005-0000-0000-0000F81E0000}"/>
    <cellStyle name="20% - Accent5 5 7" xfId="3403" xr:uid="{00000000-0005-0000-0000-0000F91E0000}"/>
    <cellStyle name="20% - Accent5 5 7 2" xfId="14636" xr:uid="{00000000-0005-0000-0000-0000FA1E0000}"/>
    <cellStyle name="20% - Accent5 5 7 3" xfId="18587" xr:uid="{00000000-0005-0000-0000-0000FB1E0000}"/>
    <cellStyle name="20% - Accent5 5 8" xfId="3404" xr:uid="{00000000-0005-0000-0000-0000FC1E0000}"/>
    <cellStyle name="20% - Accent5 5 8 2" xfId="14637" xr:uid="{00000000-0005-0000-0000-0000FD1E0000}"/>
    <cellStyle name="20% - Accent5 5 8 3" xfId="18588" xr:uid="{00000000-0005-0000-0000-0000FE1E0000}"/>
    <cellStyle name="20% - Accent5 5 9" xfId="14605" xr:uid="{00000000-0005-0000-0000-0000FF1E0000}"/>
    <cellStyle name="20% - Accent5 5_Volatility" xfId="3405" xr:uid="{00000000-0005-0000-0000-0000001F0000}"/>
    <cellStyle name="20% - Accent5 6" xfId="3406" xr:uid="{00000000-0005-0000-0000-0000011F0000}"/>
    <cellStyle name="20% - Accent5 6 10" xfId="18589" xr:uid="{00000000-0005-0000-0000-0000021F0000}"/>
    <cellStyle name="20% - Accent5 6 2" xfId="3407" xr:uid="{00000000-0005-0000-0000-0000031F0000}"/>
    <cellStyle name="20% - Accent5 6 2 2" xfId="3408" xr:uid="{00000000-0005-0000-0000-0000041F0000}"/>
    <cellStyle name="20% - Accent5 6 2 2 2" xfId="3409" xr:uid="{00000000-0005-0000-0000-0000051F0000}"/>
    <cellStyle name="20% - Accent5 6 2 2 2 2" xfId="14641" xr:uid="{00000000-0005-0000-0000-0000061F0000}"/>
    <cellStyle name="20% - Accent5 6 2 2 2 3" xfId="18592" xr:uid="{00000000-0005-0000-0000-0000071F0000}"/>
    <cellStyle name="20% - Accent5 6 2 2 3" xfId="3410" xr:uid="{00000000-0005-0000-0000-0000081F0000}"/>
    <cellStyle name="20% - Accent5 6 2 2 3 2" xfId="14642" xr:uid="{00000000-0005-0000-0000-0000091F0000}"/>
    <cellStyle name="20% - Accent5 6 2 2 3 3" xfId="18593" xr:uid="{00000000-0005-0000-0000-00000A1F0000}"/>
    <cellStyle name="20% - Accent5 6 2 2 4" xfId="14640" xr:uid="{00000000-0005-0000-0000-00000B1F0000}"/>
    <cellStyle name="20% - Accent5 6 2 2 5" xfId="18591" xr:uid="{00000000-0005-0000-0000-00000C1F0000}"/>
    <cellStyle name="20% - Accent5 6 2 3" xfId="3411" xr:uid="{00000000-0005-0000-0000-00000D1F0000}"/>
    <cellStyle name="20% - Accent5 6 2 3 2" xfId="3412" xr:uid="{00000000-0005-0000-0000-00000E1F0000}"/>
    <cellStyle name="20% - Accent5 6 2 3 2 2" xfId="14644" xr:uid="{00000000-0005-0000-0000-00000F1F0000}"/>
    <cellStyle name="20% - Accent5 6 2 3 2 3" xfId="18595" xr:uid="{00000000-0005-0000-0000-0000101F0000}"/>
    <cellStyle name="20% - Accent5 6 2 3 3" xfId="3413" xr:uid="{00000000-0005-0000-0000-0000111F0000}"/>
    <cellStyle name="20% - Accent5 6 2 3 3 2" xfId="14645" xr:uid="{00000000-0005-0000-0000-0000121F0000}"/>
    <cellStyle name="20% - Accent5 6 2 3 3 3" xfId="18596" xr:uid="{00000000-0005-0000-0000-0000131F0000}"/>
    <cellStyle name="20% - Accent5 6 2 3 4" xfId="14643" xr:uid="{00000000-0005-0000-0000-0000141F0000}"/>
    <cellStyle name="20% - Accent5 6 2 3 5" xfId="18594" xr:uid="{00000000-0005-0000-0000-0000151F0000}"/>
    <cellStyle name="20% - Accent5 6 2 4" xfId="3414" xr:uid="{00000000-0005-0000-0000-0000161F0000}"/>
    <cellStyle name="20% - Accent5 6 2 4 2" xfId="3415" xr:uid="{00000000-0005-0000-0000-0000171F0000}"/>
    <cellStyle name="20% - Accent5 6 2 4 2 2" xfId="14647" xr:uid="{00000000-0005-0000-0000-0000181F0000}"/>
    <cellStyle name="20% - Accent5 6 2 4 2 3" xfId="18598" xr:uid="{00000000-0005-0000-0000-0000191F0000}"/>
    <cellStyle name="20% - Accent5 6 2 4 3" xfId="3416" xr:uid="{00000000-0005-0000-0000-00001A1F0000}"/>
    <cellStyle name="20% - Accent5 6 2 4 3 2" xfId="14648" xr:uid="{00000000-0005-0000-0000-00001B1F0000}"/>
    <cellStyle name="20% - Accent5 6 2 4 3 3" xfId="18599" xr:uid="{00000000-0005-0000-0000-00001C1F0000}"/>
    <cellStyle name="20% - Accent5 6 2 4 4" xfId="14646" xr:uid="{00000000-0005-0000-0000-00001D1F0000}"/>
    <cellStyle name="20% - Accent5 6 2 4 5" xfId="18597" xr:uid="{00000000-0005-0000-0000-00001E1F0000}"/>
    <cellStyle name="20% - Accent5 6 2 5" xfId="3417" xr:uid="{00000000-0005-0000-0000-00001F1F0000}"/>
    <cellStyle name="20% - Accent5 6 2 5 2" xfId="14649" xr:uid="{00000000-0005-0000-0000-0000201F0000}"/>
    <cellStyle name="20% - Accent5 6 2 5 3" xfId="18600" xr:uid="{00000000-0005-0000-0000-0000211F0000}"/>
    <cellStyle name="20% - Accent5 6 2 6" xfId="3418" xr:uid="{00000000-0005-0000-0000-0000221F0000}"/>
    <cellStyle name="20% - Accent5 6 2 6 2" xfId="14650" xr:uid="{00000000-0005-0000-0000-0000231F0000}"/>
    <cellStyle name="20% - Accent5 6 2 6 3" xfId="18601" xr:uid="{00000000-0005-0000-0000-0000241F0000}"/>
    <cellStyle name="20% - Accent5 6 2 7" xfId="14639" xr:uid="{00000000-0005-0000-0000-0000251F0000}"/>
    <cellStyle name="20% - Accent5 6 2 8" xfId="18590" xr:uid="{00000000-0005-0000-0000-0000261F0000}"/>
    <cellStyle name="20% - Accent5 6 2_Volatility" xfId="3419" xr:uid="{00000000-0005-0000-0000-0000271F0000}"/>
    <cellStyle name="20% - Accent5 6 3" xfId="3420" xr:uid="{00000000-0005-0000-0000-0000281F0000}"/>
    <cellStyle name="20% - Accent5 6 3 2" xfId="3421" xr:uid="{00000000-0005-0000-0000-0000291F0000}"/>
    <cellStyle name="20% - Accent5 6 3 2 2" xfId="3422" xr:uid="{00000000-0005-0000-0000-00002A1F0000}"/>
    <cellStyle name="20% - Accent5 6 3 2 2 2" xfId="14653" xr:uid="{00000000-0005-0000-0000-00002B1F0000}"/>
    <cellStyle name="20% - Accent5 6 3 2 2 3" xfId="18604" xr:uid="{00000000-0005-0000-0000-00002C1F0000}"/>
    <cellStyle name="20% - Accent5 6 3 2 3" xfId="3423" xr:uid="{00000000-0005-0000-0000-00002D1F0000}"/>
    <cellStyle name="20% - Accent5 6 3 2 3 2" xfId="14654" xr:uid="{00000000-0005-0000-0000-00002E1F0000}"/>
    <cellStyle name="20% - Accent5 6 3 2 3 3" xfId="18605" xr:uid="{00000000-0005-0000-0000-00002F1F0000}"/>
    <cellStyle name="20% - Accent5 6 3 2 4" xfId="14652" xr:uid="{00000000-0005-0000-0000-0000301F0000}"/>
    <cellStyle name="20% - Accent5 6 3 2 5" xfId="18603" xr:uid="{00000000-0005-0000-0000-0000311F0000}"/>
    <cellStyle name="20% - Accent5 6 3 3" xfId="3424" xr:uid="{00000000-0005-0000-0000-0000321F0000}"/>
    <cellStyle name="20% - Accent5 6 3 3 2" xfId="3425" xr:uid="{00000000-0005-0000-0000-0000331F0000}"/>
    <cellStyle name="20% - Accent5 6 3 3 2 2" xfId="14656" xr:uid="{00000000-0005-0000-0000-0000341F0000}"/>
    <cellStyle name="20% - Accent5 6 3 3 2 3" xfId="18607" xr:uid="{00000000-0005-0000-0000-0000351F0000}"/>
    <cellStyle name="20% - Accent5 6 3 3 3" xfId="3426" xr:uid="{00000000-0005-0000-0000-0000361F0000}"/>
    <cellStyle name="20% - Accent5 6 3 3 3 2" xfId="14657" xr:uid="{00000000-0005-0000-0000-0000371F0000}"/>
    <cellStyle name="20% - Accent5 6 3 3 3 3" xfId="18608" xr:uid="{00000000-0005-0000-0000-0000381F0000}"/>
    <cellStyle name="20% - Accent5 6 3 3 4" xfId="14655" xr:uid="{00000000-0005-0000-0000-0000391F0000}"/>
    <cellStyle name="20% - Accent5 6 3 3 5" xfId="18606" xr:uid="{00000000-0005-0000-0000-00003A1F0000}"/>
    <cellStyle name="20% - Accent5 6 3 4" xfId="3427" xr:uid="{00000000-0005-0000-0000-00003B1F0000}"/>
    <cellStyle name="20% - Accent5 6 3 4 2" xfId="14658" xr:uid="{00000000-0005-0000-0000-00003C1F0000}"/>
    <cellStyle name="20% - Accent5 6 3 4 3" xfId="18609" xr:uid="{00000000-0005-0000-0000-00003D1F0000}"/>
    <cellStyle name="20% - Accent5 6 3 5" xfId="3428" xr:uid="{00000000-0005-0000-0000-00003E1F0000}"/>
    <cellStyle name="20% - Accent5 6 3 5 2" xfId="14659" xr:uid="{00000000-0005-0000-0000-00003F1F0000}"/>
    <cellStyle name="20% - Accent5 6 3 5 3" xfId="18610" xr:uid="{00000000-0005-0000-0000-0000401F0000}"/>
    <cellStyle name="20% - Accent5 6 3 6" xfId="14651" xr:uid="{00000000-0005-0000-0000-0000411F0000}"/>
    <cellStyle name="20% - Accent5 6 3 7" xfId="18602" xr:uid="{00000000-0005-0000-0000-0000421F0000}"/>
    <cellStyle name="20% - Accent5 6 3_Volatility" xfId="3429" xr:uid="{00000000-0005-0000-0000-0000431F0000}"/>
    <cellStyle name="20% - Accent5 6 4" xfId="3430" xr:uid="{00000000-0005-0000-0000-0000441F0000}"/>
    <cellStyle name="20% - Accent5 6 4 2" xfId="3431" xr:uid="{00000000-0005-0000-0000-0000451F0000}"/>
    <cellStyle name="20% - Accent5 6 4 2 2" xfId="14661" xr:uid="{00000000-0005-0000-0000-0000461F0000}"/>
    <cellStyle name="20% - Accent5 6 4 2 3" xfId="18612" xr:uid="{00000000-0005-0000-0000-0000471F0000}"/>
    <cellStyle name="20% - Accent5 6 4 3" xfId="3432" xr:uid="{00000000-0005-0000-0000-0000481F0000}"/>
    <cellStyle name="20% - Accent5 6 4 3 2" xfId="14662" xr:uid="{00000000-0005-0000-0000-0000491F0000}"/>
    <cellStyle name="20% - Accent5 6 4 3 3" xfId="18613" xr:uid="{00000000-0005-0000-0000-00004A1F0000}"/>
    <cellStyle name="20% - Accent5 6 4 4" xfId="14660" xr:uid="{00000000-0005-0000-0000-00004B1F0000}"/>
    <cellStyle name="20% - Accent5 6 4 5" xfId="18611" xr:uid="{00000000-0005-0000-0000-00004C1F0000}"/>
    <cellStyle name="20% - Accent5 6 5" xfId="3433" xr:uid="{00000000-0005-0000-0000-00004D1F0000}"/>
    <cellStyle name="20% - Accent5 6 5 2" xfId="3434" xr:uid="{00000000-0005-0000-0000-00004E1F0000}"/>
    <cellStyle name="20% - Accent5 6 5 2 2" xfId="14664" xr:uid="{00000000-0005-0000-0000-00004F1F0000}"/>
    <cellStyle name="20% - Accent5 6 5 2 3" xfId="18615" xr:uid="{00000000-0005-0000-0000-0000501F0000}"/>
    <cellStyle name="20% - Accent5 6 5 3" xfId="3435" xr:uid="{00000000-0005-0000-0000-0000511F0000}"/>
    <cellStyle name="20% - Accent5 6 5 3 2" xfId="14665" xr:uid="{00000000-0005-0000-0000-0000521F0000}"/>
    <cellStyle name="20% - Accent5 6 5 3 3" xfId="18616" xr:uid="{00000000-0005-0000-0000-0000531F0000}"/>
    <cellStyle name="20% - Accent5 6 5 4" xfId="14663" xr:uid="{00000000-0005-0000-0000-0000541F0000}"/>
    <cellStyle name="20% - Accent5 6 5 5" xfId="18614" xr:uid="{00000000-0005-0000-0000-0000551F0000}"/>
    <cellStyle name="20% - Accent5 6 6" xfId="3436" xr:uid="{00000000-0005-0000-0000-0000561F0000}"/>
    <cellStyle name="20% - Accent5 6 6 2" xfId="3437" xr:uid="{00000000-0005-0000-0000-0000571F0000}"/>
    <cellStyle name="20% - Accent5 6 6 2 2" xfId="14667" xr:uid="{00000000-0005-0000-0000-0000581F0000}"/>
    <cellStyle name="20% - Accent5 6 6 2 3" xfId="18618" xr:uid="{00000000-0005-0000-0000-0000591F0000}"/>
    <cellStyle name="20% - Accent5 6 6 3" xfId="3438" xr:uid="{00000000-0005-0000-0000-00005A1F0000}"/>
    <cellStyle name="20% - Accent5 6 6 3 2" xfId="14668" xr:uid="{00000000-0005-0000-0000-00005B1F0000}"/>
    <cellStyle name="20% - Accent5 6 6 3 3" xfId="18619" xr:uid="{00000000-0005-0000-0000-00005C1F0000}"/>
    <cellStyle name="20% - Accent5 6 6 4" xfId="14666" xr:uid="{00000000-0005-0000-0000-00005D1F0000}"/>
    <cellStyle name="20% - Accent5 6 6 5" xfId="18617" xr:uid="{00000000-0005-0000-0000-00005E1F0000}"/>
    <cellStyle name="20% - Accent5 6 7" xfId="3439" xr:uid="{00000000-0005-0000-0000-00005F1F0000}"/>
    <cellStyle name="20% - Accent5 6 7 2" xfId="14669" xr:uid="{00000000-0005-0000-0000-0000601F0000}"/>
    <cellStyle name="20% - Accent5 6 7 3" xfId="18620" xr:uid="{00000000-0005-0000-0000-0000611F0000}"/>
    <cellStyle name="20% - Accent5 6 8" xfId="3440" xr:uid="{00000000-0005-0000-0000-0000621F0000}"/>
    <cellStyle name="20% - Accent5 6 8 2" xfId="14670" xr:uid="{00000000-0005-0000-0000-0000631F0000}"/>
    <cellStyle name="20% - Accent5 6 8 3" xfId="18621" xr:uid="{00000000-0005-0000-0000-0000641F0000}"/>
    <cellStyle name="20% - Accent5 6 9" xfId="14638" xr:uid="{00000000-0005-0000-0000-0000651F0000}"/>
    <cellStyle name="20% - Accent5 6_Volatility" xfId="3441" xr:uid="{00000000-0005-0000-0000-0000661F0000}"/>
    <cellStyle name="20% - Accent5 7" xfId="3442" xr:uid="{00000000-0005-0000-0000-0000671F0000}"/>
    <cellStyle name="20% - Accent5 7 10" xfId="18622" xr:uid="{00000000-0005-0000-0000-0000681F0000}"/>
    <cellStyle name="20% - Accent5 7 2" xfId="3443" xr:uid="{00000000-0005-0000-0000-0000691F0000}"/>
    <cellStyle name="20% - Accent5 7 2 2" xfId="3444" xr:uid="{00000000-0005-0000-0000-00006A1F0000}"/>
    <cellStyle name="20% - Accent5 7 2 2 2" xfId="3445" xr:uid="{00000000-0005-0000-0000-00006B1F0000}"/>
    <cellStyle name="20% - Accent5 7 2 2 2 2" xfId="14674" xr:uid="{00000000-0005-0000-0000-00006C1F0000}"/>
    <cellStyle name="20% - Accent5 7 2 2 2 3" xfId="18625" xr:uid="{00000000-0005-0000-0000-00006D1F0000}"/>
    <cellStyle name="20% - Accent5 7 2 2 3" xfId="3446" xr:uid="{00000000-0005-0000-0000-00006E1F0000}"/>
    <cellStyle name="20% - Accent5 7 2 2 3 2" xfId="14675" xr:uid="{00000000-0005-0000-0000-00006F1F0000}"/>
    <cellStyle name="20% - Accent5 7 2 2 3 3" xfId="18626" xr:uid="{00000000-0005-0000-0000-0000701F0000}"/>
    <cellStyle name="20% - Accent5 7 2 2 4" xfId="14673" xr:uid="{00000000-0005-0000-0000-0000711F0000}"/>
    <cellStyle name="20% - Accent5 7 2 2 5" xfId="18624" xr:uid="{00000000-0005-0000-0000-0000721F0000}"/>
    <cellStyle name="20% - Accent5 7 2 3" xfId="3447" xr:uid="{00000000-0005-0000-0000-0000731F0000}"/>
    <cellStyle name="20% - Accent5 7 2 3 2" xfId="3448" xr:uid="{00000000-0005-0000-0000-0000741F0000}"/>
    <cellStyle name="20% - Accent5 7 2 3 2 2" xfId="14677" xr:uid="{00000000-0005-0000-0000-0000751F0000}"/>
    <cellStyle name="20% - Accent5 7 2 3 2 3" xfId="18628" xr:uid="{00000000-0005-0000-0000-0000761F0000}"/>
    <cellStyle name="20% - Accent5 7 2 3 3" xfId="3449" xr:uid="{00000000-0005-0000-0000-0000771F0000}"/>
    <cellStyle name="20% - Accent5 7 2 3 3 2" xfId="14678" xr:uid="{00000000-0005-0000-0000-0000781F0000}"/>
    <cellStyle name="20% - Accent5 7 2 3 3 3" xfId="18629" xr:uid="{00000000-0005-0000-0000-0000791F0000}"/>
    <cellStyle name="20% - Accent5 7 2 3 4" xfId="14676" xr:uid="{00000000-0005-0000-0000-00007A1F0000}"/>
    <cellStyle name="20% - Accent5 7 2 3 5" xfId="18627" xr:uid="{00000000-0005-0000-0000-00007B1F0000}"/>
    <cellStyle name="20% - Accent5 7 2 4" xfId="3450" xr:uid="{00000000-0005-0000-0000-00007C1F0000}"/>
    <cellStyle name="20% - Accent5 7 2 4 2" xfId="3451" xr:uid="{00000000-0005-0000-0000-00007D1F0000}"/>
    <cellStyle name="20% - Accent5 7 2 4 2 2" xfId="14680" xr:uid="{00000000-0005-0000-0000-00007E1F0000}"/>
    <cellStyle name="20% - Accent5 7 2 4 2 3" xfId="18631" xr:uid="{00000000-0005-0000-0000-00007F1F0000}"/>
    <cellStyle name="20% - Accent5 7 2 4 3" xfId="3452" xr:uid="{00000000-0005-0000-0000-0000801F0000}"/>
    <cellStyle name="20% - Accent5 7 2 4 3 2" xfId="14681" xr:uid="{00000000-0005-0000-0000-0000811F0000}"/>
    <cellStyle name="20% - Accent5 7 2 4 3 3" xfId="18632" xr:uid="{00000000-0005-0000-0000-0000821F0000}"/>
    <cellStyle name="20% - Accent5 7 2 4 4" xfId="14679" xr:uid="{00000000-0005-0000-0000-0000831F0000}"/>
    <cellStyle name="20% - Accent5 7 2 4 5" xfId="18630" xr:uid="{00000000-0005-0000-0000-0000841F0000}"/>
    <cellStyle name="20% - Accent5 7 2 5" xfId="3453" xr:uid="{00000000-0005-0000-0000-0000851F0000}"/>
    <cellStyle name="20% - Accent5 7 2 5 2" xfId="14682" xr:uid="{00000000-0005-0000-0000-0000861F0000}"/>
    <cellStyle name="20% - Accent5 7 2 5 3" xfId="18633" xr:uid="{00000000-0005-0000-0000-0000871F0000}"/>
    <cellStyle name="20% - Accent5 7 2 6" xfId="3454" xr:uid="{00000000-0005-0000-0000-0000881F0000}"/>
    <cellStyle name="20% - Accent5 7 2 6 2" xfId="14683" xr:uid="{00000000-0005-0000-0000-0000891F0000}"/>
    <cellStyle name="20% - Accent5 7 2 6 3" xfId="18634" xr:uid="{00000000-0005-0000-0000-00008A1F0000}"/>
    <cellStyle name="20% - Accent5 7 2 7" xfId="14672" xr:uid="{00000000-0005-0000-0000-00008B1F0000}"/>
    <cellStyle name="20% - Accent5 7 2 8" xfId="18623" xr:uid="{00000000-0005-0000-0000-00008C1F0000}"/>
    <cellStyle name="20% - Accent5 7 2_Volatility" xfId="3455" xr:uid="{00000000-0005-0000-0000-00008D1F0000}"/>
    <cellStyle name="20% - Accent5 7 3" xfId="3456" xr:uid="{00000000-0005-0000-0000-00008E1F0000}"/>
    <cellStyle name="20% - Accent5 7 3 2" xfId="3457" xr:uid="{00000000-0005-0000-0000-00008F1F0000}"/>
    <cellStyle name="20% - Accent5 7 3 2 2" xfId="3458" xr:uid="{00000000-0005-0000-0000-0000901F0000}"/>
    <cellStyle name="20% - Accent5 7 3 2 2 2" xfId="14686" xr:uid="{00000000-0005-0000-0000-0000911F0000}"/>
    <cellStyle name="20% - Accent5 7 3 2 2 3" xfId="18637" xr:uid="{00000000-0005-0000-0000-0000921F0000}"/>
    <cellStyle name="20% - Accent5 7 3 2 3" xfId="3459" xr:uid="{00000000-0005-0000-0000-0000931F0000}"/>
    <cellStyle name="20% - Accent5 7 3 2 3 2" xfId="14687" xr:uid="{00000000-0005-0000-0000-0000941F0000}"/>
    <cellStyle name="20% - Accent5 7 3 2 3 3" xfId="18638" xr:uid="{00000000-0005-0000-0000-0000951F0000}"/>
    <cellStyle name="20% - Accent5 7 3 2 4" xfId="14685" xr:uid="{00000000-0005-0000-0000-0000961F0000}"/>
    <cellStyle name="20% - Accent5 7 3 2 5" xfId="18636" xr:uid="{00000000-0005-0000-0000-0000971F0000}"/>
    <cellStyle name="20% - Accent5 7 3 3" xfId="3460" xr:uid="{00000000-0005-0000-0000-0000981F0000}"/>
    <cellStyle name="20% - Accent5 7 3 3 2" xfId="3461" xr:uid="{00000000-0005-0000-0000-0000991F0000}"/>
    <cellStyle name="20% - Accent5 7 3 3 2 2" xfId="14689" xr:uid="{00000000-0005-0000-0000-00009A1F0000}"/>
    <cellStyle name="20% - Accent5 7 3 3 2 3" xfId="18640" xr:uid="{00000000-0005-0000-0000-00009B1F0000}"/>
    <cellStyle name="20% - Accent5 7 3 3 3" xfId="3462" xr:uid="{00000000-0005-0000-0000-00009C1F0000}"/>
    <cellStyle name="20% - Accent5 7 3 3 3 2" xfId="14690" xr:uid="{00000000-0005-0000-0000-00009D1F0000}"/>
    <cellStyle name="20% - Accent5 7 3 3 3 3" xfId="18641" xr:uid="{00000000-0005-0000-0000-00009E1F0000}"/>
    <cellStyle name="20% - Accent5 7 3 3 4" xfId="14688" xr:uid="{00000000-0005-0000-0000-00009F1F0000}"/>
    <cellStyle name="20% - Accent5 7 3 3 5" xfId="18639" xr:uid="{00000000-0005-0000-0000-0000A01F0000}"/>
    <cellStyle name="20% - Accent5 7 3 4" xfId="3463" xr:uid="{00000000-0005-0000-0000-0000A11F0000}"/>
    <cellStyle name="20% - Accent5 7 3 4 2" xfId="14691" xr:uid="{00000000-0005-0000-0000-0000A21F0000}"/>
    <cellStyle name="20% - Accent5 7 3 4 3" xfId="18642" xr:uid="{00000000-0005-0000-0000-0000A31F0000}"/>
    <cellStyle name="20% - Accent5 7 3 5" xfId="3464" xr:uid="{00000000-0005-0000-0000-0000A41F0000}"/>
    <cellStyle name="20% - Accent5 7 3 5 2" xfId="14692" xr:uid="{00000000-0005-0000-0000-0000A51F0000}"/>
    <cellStyle name="20% - Accent5 7 3 5 3" xfId="18643" xr:uid="{00000000-0005-0000-0000-0000A61F0000}"/>
    <cellStyle name="20% - Accent5 7 3 6" xfId="14684" xr:uid="{00000000-0005-0000-0000-0000A71F0000}"/>
    <cellStyle name="20% - Accent5 7 3 7" xfId="18635" xr:uid="{00000000-0005-0000-0000-0000A81F0000}"/>
    <cellStyle name="20% - Accent5 7 3_Volatility" xfId="3465" xr:uid="{00000000-0005-0000-0000-0000A91F0000}"/>
    <cellStyle name="20% - Accent5 7 4" xfId="3466" xr:uid="{00000000-0005-0000-0000-0000AA1F0000}"/>
    <cellStyle name="20% - Accent5 7 4 2" xfId="3467" xr:uid="{00000000-0005-0000-0000-0000AB1F0000}"/>
    <cellStyle name="20% - Accent5 7 4 2 2" xfId="14694" xr:uid="{00000000-0005-0000-0000-0000AC1F0000}"/>
    <cellStyle name="20% - Accent5 7 4 2 3" xfId="18645" xr:uid="{00000000-0005-0000-0000-0000AD1F0000}"/>
    <cellStyle name="20% - Accent5 7 4 3" xfId="3468" xr:uid="{00000000-0005-0000-0000-0000AE1F0000}"/>
    <cellStyle name="20% - Accent5 7 4 3 2" xfId="14695" xr:uid="{00000000-0005-0000-0000-0000AF1F0000}"/>
    <cellStyle name="20% - Accent5 7 4 3 3" xfId="18646" xr:uid="{00000000-0005-0000-0000-0000B01F0000}"/>
    <cellStyle name="20% - Accent5 7 4 4" xfId="14693" xr:uid="{00000000-0005-0000-0000-0000B11F0000}"/>
    <cellStyle name="20% - Accent5 7 4 5" xfId="18644" xr:uid="{00000000-0005-0000-0000-0000B21F0000}"/>
    <cellStyle name="20% - Accent5 7 5" xfId="3469" xr:uid="{00000000-0005-0000-0000-0000B31F0000}"/>
    <cellStyle name="20% - Accent5 7 5 2" xfId="3470" xr:uid="{00000000-0005-0000-0000-0000B41F0000}"/>
    <cellStyle name="20% - Accent5 7 5 2 2" xfId="14697" xr:uid="{00000000-0005-0000-0000-0000B51F0000}"/>
    <cellStyle name="20% - Accent5 7 5 2 3" xfId="18648" xr:uid="{00000000-0005-0000-0000-0000B61F0000}"/>
    <cellStyle name="20% - Accent5 7 5 3" xfId="3471" xr:uid="{00000000-0005-0000-0000-0000B71F0000}"/>
    <cellStyle name="20% - Accent5 7 5 3 2" xfId="14698" xr:uid="{00000000-0005-0000-0000-0000B81F0000}"/>
    <cellStyle name="20% - Accent5 7 5 3 3" xfId="18649" xr:uid="{00000000-0005-0000-0000-0000B91F0000}"/>
    <cellStyle name="20% - Accent5 7 5 4" xfId="14696" xr:uid="{00000000-0005-0000-0000-0000BA1F0000}"/>
    <cellStyle name="20% - Accent5 7 5 5" xfId="18647" xr:uid="{00000000-0005-0000-0000-0000BB1F0000}"/>
    <cellStyle name="20% - Accent5 7 6" xfId="3472" xr:uid="{00000000-0005-0000-0000-0000BC1F0000}"/>
    <cellStyle name="20% - Accent5 7 6 2" xfId="3473" xr:uid="{00000000-0005-0000-0000-0000BD1F0000}"/>
    <cellStyle name="20% - Accent5 7 6 2 2" xfId="14700" xr:uid="{00000000-0005-0000-0000-0000BE1F0000}"/>
    <cellStyle name="20% - Accent5 7 6 2 3" xfId="18651" xr:uid="{00000000-0005-0000-0000-0000BF1F0000}"/>
    <cellStyle name="20% - Accent5 7 6 3" xfId="3474" xr:uid="{00000000-0005-0000-0000-0000C01F0000}"/>
    <cellStyle name="20% - Accent5 7 6 3 2" xfId="14701" xr:uid="{00000000-0005-0000-0000-0000C11F0000}"/>
    <cellStyle name="20% - Accent5 7 6 3 3" xfId="18652" xr:uid="{00000000-0005-0000-0000-0000C21F0000}"/>
    <cellStyle name="20% - Accent5 7 6 4" xfId="14699" xr:uid="{00000000-0005-0000-0000-0000C31F0000}"/>
    <cellStyle name="20% - Accent5 7 6 5" xfId="18650" xr:uid="{00000000-0005-0000-0000-0000C41F0000}"/>
    <cellStyle name="20% - Accent5 7 7" xfId="3475" xr:uid="{00000000-0005-0000-0000-0000C51F0000}"/>
    <cellStyle name="20% - Accent5 7 7 2" xfId="14702" xr:uid="{00000000-0005-0000-0000-0000C61F0000}"/>
    <cellStyle name="20% - Accent5 7 7 3" xfId="18653" xr:uid="{00000000-0005-0000-0000-0000C71F0000}"/>
    <cellStyle name="20% - Accent5 7 8" xfId="3476" xr:uid="{00000000-0005-0000-0000-0000C81F0000}"/>
    <cellStyle name="20% - Accent5 7 8 2" xfId="14703" xr:uid="{00000000-0005-0000-0000-0000C91F0000}"/>
    <cellStyle name="20% - Accent5 7 8 3" xfId="18654" xr:uid="{00000000-0005-0000-0000-0000CA1F0000}"/>
    <cellStyle name="20% - Accent5 7 9" xfId="14671" xr:uid="{00000000-0005-0000-0000-0000CB1F0000}"/>
    <cellStyle name="20% - Accent5 7_Volatility" xfId="3477" xr:uid="{00000000-0005-0000-0000-0000CC1F0000}"/>
    <cellStyle name="20% - Accent5 8" xfId="3478" xr:uid="{00000000-0005-0000-0000-0000CD1F0000}"/>
    <cellStyle name="20% - Accent5 8 10" xfId="18655" xr:uid="{00000000-0005-0000-0000-0000CE1F0000}"/>
    <cellStyle name="20% - Accent5 8 2" xfId="3479" xr:uid="{00000000-0005-0000-0000-0000CF1F0000}"/>
    <cellStyle name="20% - Accent5 8 2 2" xfId="3480" xr:uid="{00000000-0005-0000-0000-0000D01F0000}"/>
    <cellStyle name="20% - Accent5 8 2 2 2" xfId="3481" xr:uid="{00000000-0005-0000-0000-0000D11F0000}"/>
    <cellStyle name="20% - Accent5 8 2 2 2 2" xfId="14707" xr:uid="{00000000-0005-0000-0000-0000D21F0000}"/>
    <cellStyle name="20% - Accent5 8 2 2 2 3" xfId="18658" xr:uid="{00000000-0005-0000-0000-0000D31F0000}"/>
    <cellStyle name="20% - Accent5 8 2 2 3" xfId="3482" xr:uid="{00000000-0005-0000-0000-0000D41F0000}"/>
    <cellStyle name="20% - Accent5 8 2 2 3 2" xfId="14708" xr:uid="{00000000-0005-0000-0000-0000D51F0000}"/>
    <cellStyle name="20% - Accent5 8 2 2 3 3" xfId="18659" xr:uid="{00000000-0005-0000-0000-0000D61F0000}"/>
    <cellStyle name="20% - Accent5 8 2 2 4" xfId="14706" xr:uid="{00000000-0005-0000-0000-0000D71F0000}"/>
    <cellStyle name="20% - Accent5 8 2 2 5" xfId="18657" xr:uid="{00000000-0005-0000-0000-0000D81F0000}"/>
    <cellStyle name="20% - Accent5 8 2 3" xfId="3483" xr:uid="{00000000-0005-0000-0000-0000D91F0000}"/>
    <cellStyle name="20% - Accent5 8 2 3 2" xfId="3484" xr:uid="{00000000-0005-0000-0000-0000DA1F0000}"/>
    <cellStyle name="20% - Accent5 8 2 3 2 2" xfId="14710" xr:uid="{00000000-0005-0000-0000-0000DB1F0000}"/>
    <cellStyle name="20% - Accent5 8 2 3 2 3" xfId="18661" xr:uid="{00000000-0005-0000-0000-0000DC1F0000}"/>
    <cellStyle name="20% - Accent5 8 2 3 3" xfId="3485" xr:uid="{00000000-0005-0000-0000-0000DD1F0000}"/>
    <cellStyle name="20% - Accent5 8 2 3 3 2" xfId="14711" xr:uid="{00000000-0005-0000-0000-0000DE1F0000}"/>
    <cellStyle name="20% - Accent5 8 2 3 3 3" xfId="18662" xr:uid="{00000000-0005-0000-0000-0000DF1F0000}"/>
    <cellStyle name="20% - Accent5 8 2 3 4" xfId="14709" xr:uid="{00000000-0005-0000-0000-0000E01F0000}"/>
    <cellStyle name="20% - Accent5 8 2 3 5" xfId="18660" xr:uid="{00000000-0005-0000-0000-0000E11F0000}"/>
    <cellStyle name="20% - Accent5 8 2 4" xfId="3486" xr:uid="{00000000-0005-0000-0000-0000E21F0000}"/>
    <cellStyle name="20% - Accent5 8 2 4 2" xfId="3487" xr:uid="{00000000-0005-0000-0000-0000E31F0000}"/>
    <cellStyle name="20% - Accent5 8 2 4 2 2" xfId="14713" xr:uid="{00000000-0005-0000-0000-0000E41F0000}"/>
    <cellStyle name="20% - Accent5 8 2 4 2 3" xfId="18664" xr:uid="{00000000-0005-0000-0000-0000E51F0000}"/>
    <cellStyle name="20% - Accent5 8 2 4 3" xfId="3488" xr:uid="{00000000-0005-0000-0000-0000E61F0000}"/>
    <cellStyle name="20% - Accent5 8 2 4 3 2" xfId="14714" xr:uid="{00000000-0005-0000-0000-0000E71F0000}"/>
    <cellStyle name="20% - Accent5 8 2 4 3 3" xfId="18665" xr:uid="{00000000-0005-0000-0000-0000E81F0000}"/>
    <cellStyle name="20% - Accent5 8 2 4 4" xfId="14712" xr:uid="{00000000-0005-0000-0000-0000E91F0000}"/>
    <cellStyle name="20% - Accent5 8 2 4 5" xfId="18663" xr:uid="{00000000-0005-0000-0000-0000EA1F0000}"/>
    <cellStyle name="20% - Accent5 8 2 5" xfId="3489" xr:uid="{00000000-0005-0000-0000-0000EB1F0000}"/>
    <cellStyle name="20% - Accent5 8 2 5 2" xfId="14715" xr:uid="{00000000-0005-0000-0000-0000EC1F0000}"/>
    <cellStyle name="20% - Accent5 8 2 5 3" xfId="18666" xr:uid="{00000000-0005-0000-0000-0000ED1F0000}"/>
    <cellStyle name="20% - Accent5 8 2 6" xfId="3490" xr:uid="{00000000-0005-0000-0000-0000EE1F0000}"/>
    <cellStyle name="20% - Accent5 8 2 6 2" xfId="14716" xr:uid="{00000000-0005-0000-0000-0000EF1F0000}"/>
    <cellStyle name="20% - Accent5 8 2 6 3" xfId="18667" xr:uid="{00000000-0005-0000-0000-0000F01F0000}"/>
    <cellStyle name="20% - Accent5 8 2 7" xfId="14705" xr:uid="{00000000-0005-0000-0000-0000F11F0000}"/>
    <cellStyle name="20% - Accent5 8 2 8" xfId="18656" xr:uid="{00000000-0005-0000-0000-0000F21F0000}"/>
    <cellStyle name="20% - Accent5 8 2_Volatility" xfId="3491" xr:uid="{00000000-0005-0000-0000-0000F31F0000}"/>
    <cellStyle name="20% - Accent5 8 3" xfId="3492" xr:uid="{00000000-0005-0000-0000-0000F41F0000}"/>
    <cellStyle name="20% - Accent5 8 3 2" xfId="3493" xr:uid="{00000000-0005-0000-0000-0000F51F0000}"/>
    <cellStyle name="20% - Accent5 8 3 2 2" xfId="3494" xr:uid="{00000000-0005-0000-0000-0000F61F0000}"/>
    <cellStyle name="20% - Accent5 8 3 2 2 2" xfId="14719" xr:uid="{00000000-0005-0000-0000-0000F71F0000}"/>
    <cellStyle name="20% - Accent5 8 3 2 2 3" xfId="18670" xr:uid="{00000000-0005-0000-0000-0000F81F0000}"/>
    <cellStyle name="20% - Accent5 8 3 2 3" xfId="3495" xr:uid="{00000000-0005-0000-0000-0000F91F0000}"/>
    <cellStyle name="20% - Accent5 8 3 2 3 2" xfId="14720" xr:uid="{00000000-0005-0000-0000-0000FA1F0000}"/>
    <cellStyle name="20% - Accent5 8 3 2 3 3" xfId="18671" xr:uid="{00000000-0005-0000-0000-0000FB1F0000}"/>
    <cellStyle name="20% - Accent5 8 3 2 4" xfId="14718" xr:uid="{00000000-0005-0000-0000-0000FC1F0000}"/>
    <cellStyle name="20% - Accent5 8 3 2 5" xfId="18669" xr:uid="{00000000-0005-0000-0000-0000FD1F0000}"/>
    <cellStyle name="20% - Accent5 8 3 3" xfId="3496" xr:uid="{00000000-0005-0000-0000-0000FE1F0000}"/>
    <cellStyle name="20% - Accent5 8 3 3 2" xfId="3497" xr:uid="{00000000-0005-0000-0000-0000FF1F0000}"/>
    <cellStyle name="20% - Accent5 8 3 3 2 2" xfId="14722" xr:uid="{00000000-0005-0000-0000-000000200000}"/>
    <cellStyle name="20% - Accent5 8 3 3 2 3" xfId="18673" xr:uid="{00000000-0005-0000-0000-000001200000}"/>
    <cellStyle name="20% - Accent5 8 3 3 3" xfId="3498" xr:uid="{00000000-0005-0000-0000-000002200000}"/>
    <cellStyle name="20% - Accent5 8 3 3 3 2" xfId="14723" xr:uid="{00000000-0005-0000-0000-000003200000}"/>
    <cellStyle name="20% - Accent5 8 3 3 3 3" xfId="18674" xr:uid="{00000000-0005-0000-0000-000004200000}"/>
    <cellStyle name="20% - Accent5 8 3 3 4" xfId="14721" xr:uid="{00000000-0005-0000-0000-000005200000}"/>
    <cellStyle name="20% - Accent5 8 3 3 5" xfId="18672" xr:uid="{00000000-0005-0000-0000-000006200000}"/>
    <cellStyle name="20% - Accent5 8 3 4" xfId="3499" xr:uid="{00000000-0005-0000-0000-000007200000}"/>
    <cellStyle name="20% - Accent5 8 3 4 2" xfId="14724" xr:uid="{00000000-0005-0000-0000-000008200000}"/>
    <cellStyle name="20% - Accent5 8 3 4 3" xfId="18675" xr:uid="{00000000-0005-0000-0000-000009200000}"/>
    <cellStyle name="20% - Accent5 8 3 5" xfId="3500" xr:uid="{00000000-0005-0000-0000-00000A200000}"/>
    <cellStyle name="20% - Accent5 8 3 5 2" xfId="14725" xr:uid="{00000000-0005-0000-0000-00000B200000}"/>
    <cellStyle name="20% - Accent5 8 3 5 3" xfId="18676" xr:uid="{00000000-0005-0000-0000-00000C200000}"/>
    <cellStyle name="20% - Accent5 8 3 6" xfId="14717" xr:uid="{00000000-0005-0000-0000-00000D200000}"/>
    <cellStyle name="20% - Accent5 8 3 7" xfId="18668" xr:uid="{00000000-0005-0000-0000-00000E200000}"/>
    <cellStyle name="20% - Accent5 8 3_Volatility" xfId="3501" xr:uid="{00000000-0005-0000-0000-00000F200000}"/>
    <cellStyle name="20% - Accent5 8 4" xfId="3502" xr:uid="{00000000-0005-0000-0000-000010200000}"/>
    <cellStyle name="20% - Accent5 8 4 2" xfId="3503" xr:uid="{00000000-0005-0000-0000-000011200000}"/>
    <cellStyle name="20% - Accent5 8 4 2 2" xfId="14727" xr:uid="{00000000-0005-0000-0000-000012200000}"/>
    <cellStyle name="20% - Accent5 8 4 2 3" xfId="18678" xr:uid="{00000000-0005-0000-0000-000013200000}"/>
    <cellStyle name="20% - Accent5 8 4 3" xfId="3504" xr:uid="{00000000-0005-0000-0000-000014200000}"/>
    <cellStyle name="20% - Accent5 8 4 3 2" xfId="14728" xr:uid="{00000000-0005-0000-0000-000015200000}"/>
    <cellStyle name="20% - Accent5 8 4 3 3" xfId="18679" xr:uid="{00000000-0005-0000-0000-000016200000}"/>
    <cellStyle name="20% - Accent5 8 4 4" xfId="14726" xr:uid="{00000000-0005-0000-0000-000017200000}"/>
    <cellStyle name="20% - Accent5 8 4 5" xfId="18677" xr:uid="{00000000-0005-0000-0000-000018200000}"/>
    <cellStyle name="20% - Accent5 8 5" xfId="3505" xr:uid="{00000000-0005-0000-0000-000019200000}"/>
    <cellStyle name="20% - Accent5 8 5 2" xfId="3506" xr:uid="{00000000-0005-0000-0000-00001A200000}"/>
    <cellStyle name="20% - Accent5 8 5 2 2" xfId="14730" xr:uid="{00000000-0005-0000-0000-00001B200000}"/>
    <cellStyle name="20% - Accent5 8 5 2 3" xfId="18681" xr:uid="{00000000-0005-0000-0000-00001C200000}"/>
    <cellStyle name="20% - Accent5 8 5 3" xfId="3507" xr:uid="{00000000-0005-0000-0000-00001D200000}"/>
    <cellStyle name="20% - Accent5 8 5 3 2" xfId="14731" xr:uid="{00000000-0005-0000-0000-00001E200000}"/>
    <cellStyle name="20% - Accent5 8 5 3 3" xfId="18682" xr:uid="{00000000-0005-0000-0000-00001F200000}"/>
    <cellStyle name="20% - Accent5 8 5 4" xfId="14729" xr:uid="{00000000-0005-0000-0000-000020200000}"/>
    <cellStyle name="20% - Accent5 8 5 5" xfId="18680" xr:uid="{00000000-0005-0000-0000-000021200000}"/>
    <cellStyle name="20% - Accent5 8 6" xfId="3508" xr:uid="{00000000-0005-0000-0000-000022200000}"/>
    <cellStyle name="20% - Accent5 8 6 2" xfId="3509" xr:uid="{00000000-0005-0000-0000-000023200000}"/>
    <cellStyle name="20% - Accent5 8 6 2 2" xfId="14733" xr:uid="{00000000-0005-0000-0000-000024200000}"/>
    <cellStyle name="20% - Accent5 8 6 2 3" xfId="18684" xr:uid="{00000000-0005-0000-0000-000025200000}"/>
    <cellStyle name="20% - Accent5 8 6 3" xfId="3510" xr:uid="{00000000-0005-0000-0000-000026200000}"/>
    <cellStyle name="20% - Accent5 8 6 3 2" xfId="14734" xr:uid="{00000000-0005-0000-0000-000027200000}"/>
    <cellStyle name="20% - Accent5 8 6 3 3" xfId="18685" xr:uid="{00000000-0005-0000-0000-000028200000}"/>
    <cellStyle name="20% - Accent5 8 6 4" xfId="14732" xr:uid="{00000000-0005-0000-0000-000029200000}"/>
    <cellStyle name="20% - Accent5 8 6 5" xfId="18683" xr:uid="{00000000-0005-0000-0000-00002A200000}"/>
    <cellStyle name="20% - Accent5 8 7" xfId="3511" xr:uid="{00000000-0005-0000-0000-00002B200000}"/>
    <cellStyle name="20% - Accent5 8 7 2" xfId="14735" xr:uid="{00000000-0005-0000-0000-00002C200000}"/>
    <cellStyle name="20% - Accent5 8 7 3" xfId="18686" xr:uid="{00000000-0005-0000-0000-00002D200000}"/>
    <cellStyle name="20% - Accent5 8 8" xfId="3512" xr:uid="{00000000-0005-0000-0000-00002E200000}"/>
    <cellStyle name="20% - Accent5 8 8 2" xfId="14736" xr:uid="{00000000-0005-0000-0000-00002F200000}"/>
    <cellStyle name="20% - Accent5 8 8 3" xfId="18687" xr:uid="{00000000-0005-0000-0000-000030200000}"/>
    <cellStyle name="20% - Accent5 8 9" xfId="14704" xr:uid="{00000000-0005-0000-0000-000031200000}"/>
    <cellStyle name="20% - Accent5 8_Volatility" xfId="3513" xr:uid="{00000000-0005-0000-0000-000032200000}"/>
    <cellStyle name="20% - Accent5 9" xfId="3514" xr:uid="{00000000-0005-0000-0000-000033200000}"/>
    <cellStyle name="20% - Accent5 9 10" xfId="18688" xr:uid="{00000000-0005-0000-0000-000034200000}"/>
    <cellStyle name="20% - Accent5 9 2" xfId="3515" xr:uid="{00000000-0005-0000-0000-000035200000}"/>
    <cellStyle name="20% - Accent5 9 2 2" xfId="3516" xr:uid="{00000000-0005-0000-0000-000036200000}"/>
    <cellStyle name="20% - Accent5 9 2 2 2" xfId="3517" xr:uid="{00000000-0005-0000-0000-000037200000}"/>
    <cellStyle name="20% - Accent5 9 2 2 2 2" xfId="14740" xr:uid="{00000000-0005-0000-0000-000038200000}"/>
    <cellStyle name="20% - Accent5 9 2 2 2 3" xfId="18691" xr:uid="{00000000-0005-0000-0000-000039200000}"/>
    <cellStyle name="20% - Accent5 9 2 2 3" xfId="3518" xr:uid="{00000000-0005-0000-0000-00003A200000}"/>
    <cellStyle name="20% - Accent5 9 2 2 3 2" xfId="14741" xr:uid="{00000000-0005-0000-0000-00003B200000}"/>
    <cellStyle name="20% - Accent5 9 2 2 3 3" xfId="18692" xr:uid="{00000000-0005-0000-0000-00003C200000}"/>
    <cellStyle name="20% - Accent5 9 2 2 4" xfId="14739" xr:uid="{00000000-0005-0000-0000-00003D200000}"/>
    <cellStyle name="20% - Accent5 9 2 2 5" xfId="18690" xr:uid="{00000000-0005-0000-0000-00003E200000}"/>
    <cellStyle name="20% - Accent5 9 2 3" xfId="3519" xr:uid="{00000000-0005-0000-0000-00003F200000}"/>
    <cellStyle name="20% - Accent5 9 2 3 2" xfId="3520" xr:uid="{00000000-0005-0000-0000-000040200000}"/>
    <cellStyle name="20% - Accent5 9 2 3 2 2" xfId="14743" xr:uid="{00000000-0005-0000-0000-000041200000}"/>
    <cellStyle name="20% - Accent5 9 2 3 2 3" xfId="18694" xr:uid="{00000000-0005-0000-0000-000042200000}"/>
    <cellStyle name="20% - Accent5 9 2 3 3" xfId="3521" xr:uid="{00000000-0005-0000-0000-000043200000}"/>
    <cellStyle name="20% - Accent5 9 2 3 3 2" xfId="14744" xr:uid="{00000000-0005-0000-0000-000044200000}"/>
    <cellStyle name="20% - Accent5 9 2 3 3 3" xfId="18695" xr:uid="{00000000-0005-0000-0000-000045200000}"/>
    <cellStyle name="20% - Accent5 9 2 3 4" xfId="14742" xr:uid="{00000000-0005-0000-0000-000046200000}"/>
    <cellStyle name="20% - Accent5 9 2 3 5" xfId="18693" xr:uid="{00000000-0005-0000-0000-000047200000}"/>
    <cellStyle name="20% - Accent5 9 2 4" xfId="3522" xr:uid="{00000000-0005-0000-0000-000048200000}"/>
    <cellStyle name="20% - Accent5 9 2 4 2" xfId="3523" xr:uid="{00000000-0005-0000-0000-000049200000}"/>
    <cellStyle name="20% - Accent5 9 2 4 2 2" xfId="14746" xr:uid="{00000000-0005-0000-0000-00004A200000}"/>
    <cellStyle name="20% - Accent5 9 2 4 2 3" xfId="18697" xr:uid="{00000000-0005-0000-0000-00004B200000}"/>
    <cellStyle name="20% - Accent5 9 2 4 3" xfId="3524" xr:uid="{00000000-0005-0000-0000-00004C200000}"/>
    <cellStyle name="20% - Accent5 9 2 4 3 2" xfId="14747" xr:uid="{00000000-0005-0000-0000-00004D200000}"/>
    <cellStyle name="20% - Accent5 9 2 4 3 3" xfId="18698" xr:uid="{00000000-0005-0000-0000-00004E200000}"/>
    <cellStyle name="20% - Accent5 9 2 4 4" xfId="14745" xr:uid="{00000000-0005-0000-0000-00004F200000}"/>
    <cellStyle name="20% - Accent5 9 2 4 5" xfId="18696" xr:uid="{00000000-0005-0000-0000-000050200000}"/>
    <cellStyle name="20% - Accent5 9 2 5" xfId="3525" xr:uid="{00000000-0005-0000-0000-000051200000}"/>
    <cellStyle name="20% - Accent5 9 2 5 2" xfId="14748" xr:uid="{00000000-0005-0000-0000-000052200000}"/>
    <cellStyle name="20% - Accent5 9 2 5 3" xfId="18699" xr:uid="{00000000-0005-0000-0000-000053200000}"/>
    <cellStyle name="20% - Accent5 9 2 6" xfId="3526" xr:uid="{00000000-0005-0000-0000-000054200000}"/>
    <cellStyle name="20% - Accent5 9 2 6 2" xfId="14749" xr:uid="{00000000-0005-0000-0000-000055200000}"/>
    <cellStyle name="20% - Accent5 9 2 6 3" xfId="18700" xr:uid="{00000000-0005-0000-0000-000056200000}"/>
    <cellStyle name="20% - Accent5 9 2 7" xfId="14738" xr:uid="{00000000-0005-0000-0000-000057200000}"/>
    <cellStyle name="20% - Accent5 9 2 8" xfId="18689" xr:uid="{00000000-0005-0000-0000-000058200000}"/>
    <cellStyle name="20% - Accent5 9 2_Volatility" xfId="3527" xr:uid="{00000000-0005-0000-0000-000059200000}"/>
    <cellStyle name="20% - Accent5 9 3" xfId="3528" xr:uid="{00000000-0005-0000-0000-00005A200000}"/>
    <cellStyle name="20% - Accent5 9 3 2" xfId="3529" xr:uid="{00000000-0005-0000-0000-00005B200000}"/>
    <cellStyle name="20% - Accent5 9 3 2 2" xfId="3530" xr:uid="{00000000-0005-0000-0000-00005C200000}"/>
    <cellStyle name="20% - Accent5 9 3 2 2 2" xfId="14752" xr:uid="{00000000-0005-0000-0000-00005D200000}"/>
    <cellStyle name="20% - Accent5 9 3 2 2 3" xfId="18703" xr:uid="{00000000-0005-0000-0000-00005E200000}"/>
    <cellStyle name="20% - Accent5 9 3 2 3" xfId="3531" xr:uid="{00000000-0005-0000-0000-00005F200000}"/>
    <cellStyle name="20% - Accent5 9 3 2 3 2" xfId="14753" xr:uid="{00000000-0005-0000-0000-000060200000}"/>
    <cellStyle name="20% - Accent5 9 3 2 3 3" xfId="18704" xr:uid="{00000000-0005-0000-0000-000061200000}"/>
    <cellStyle name="20% - Accent5 9 3 2 4" xfId="14751" xr:uid="{00000000-0005-0000-0000-000062200000}"/>
    <cellStyle name="20% - Accent5 9 3 2 5" xfId="18702" xr:uid="{00000000-0005-0000-0000-000063200000}"/>
    <cellStyle name="20% - Accent5 9 3 3" xfId="3532" xr:uid="{00000000-0005-0000-0000-000064200000}"/>
    <cellStyle name="20% - Accent5 9 3 3 2" xfId="3533" xr:uid="{00000000-0005-0000-0000-000065200000}"/>
    <cellStyle name="20% - Accent5 9 3 3 2 2" xfId="14755" xr:uid="{00000000-0005-0000-0000-000066200000}"/>
    <cellStyle name="20% - Accent5 9 3 3 2 3" xfId="18706" xr:uid="{00000000-0005-0000-0000-000067200000}"/>
    <cellStyle name="20% - Accent5 9 3 3 3" xfId="3534" xr:uid="{00000000-0005-0000-0000-000068200000}"/>
    <cellStyle name="20% - Accent5 9 3 3 3 2" xfId="14756" xr:uid="{00000000-0005-0000-0000-000069200000}"/>
    <cellStyle name="20% - Accent5 9 3 3 3 3" xfId="18707" xr:uid="{00000000-0005-0000-0000-00006A200000}"/>
    <cellStyle name="20% - Accent5 9 3 3 4" xfId="14754" xr:uid="{00000000-0005-0000-0000-00006B200000}"/>
    <cellStyle name="20% - Accent5 9 3 3 5" xfId="18705" xr:uid="{00000000-0005-0000-0000-00006C200000}"/>
    <cellStyle name="20% - Accent5 9 3 4" xfId="3535" xr:uid="{00000000-0005-0000-0000-00006D200000}"/>
    <cellStyle name="20% - Accent5 9 3 4 2" xfId="14757" xr:uid="{00000000-0005-0000-0000-00006E200000}"/>
    <cellStyle name="20% - Accent5 9 3 4 3" xfId="18708" xr:uid="{00000000-0005-0000-0000-00006F200000}"/>
    <cellStyle name="20% - Accent5 9 3 5" xfId="3536" xr:uid="{00000000-0005-0000-0000-000070200000}"/>
    <cellStyle name="20% - Accent5 9 3 5 2" xfId="14758" xr:uid="{00000000-0005-0000-0000-000071200000}"/>
    <cellStyle name="20% - Accent5 9 3 5 3" xfId="18709" xr:uid="{00000000-0005-0000-0000-000072200000}"/>
    <cellStyle name="20% - Accent5 9 3 6" xfId="14750" xr:uid="{00000000-0005-0000-0000-000073200000}"/>
    <cellStyle name="20% - Accent5 9 3 7" xfId="18701" xr:uid="{00000000-0005-0000-0000-000074200000}"/>
    <cellStyle name="20% - Accent5 9 3_Volatility" xfId="3537" xr:uid="{00000000-0005-0000-0000-000075200000}"/>
    <cellStyle name="20% - Accent5 9 4" xfId="3538" xr:uid="{00000000-0005-0000-0000-000076200000}"/>
    <cellStyle name="20% - Accent5 9 4 2" xfId="3539" xr:uid="{00000000-0005-0000-0000-000077200000}"/>
    <cellStyle name="20% - Accent5 9 4 2 2" xfId="14760" xr:uid="{00000000-0005-0000-0000-000078200000}"/>
    <cellStyle name="20% - Accent5 9 4 2 3" xfId="18711" xr:uid="{00000000-0005-0000-0000-000079200000}"/>
    <cellStyle name="20% - Accent5 9 4 3" xfId="3540" xr:uid="{00000000-0005-0000-0000-00007A200000}"/>
    <cellStyle name="20% - Accent5 9 4 3 2" xfId="14761" xr:uid="{00000000-0005-0000-0000-00007B200000}"/>
    <cellStyle name="20% - Accent5 9 4 3 3" xfId="18712" xr:uid="{00000000-0005-0000-0000-00007C200000}"/>
    <cellStyle name="20% - Accent5 9 4 4" xfId="14759" xr:uid="{00000000-0005-0000-0000-00007D200000}"/>
    <cellStyle name="20% - Accent5 9 4 5" xfId="18710" xr:uid="{00000000-0005-0000-0000-00007E200000}"/>
    <cellStyle name="20% - Accent5 9 5" xfId="3541" xr:uid="{00000000-0005-0000-0000-00007F200000}"/>
    <cellStyle name="20% - Accent5 9 5 2" xfId="3542" xr:uid="{00000000-0005-0000-0000-000080200000}"/>
    <cellStyle name="20% - Accent5 9 5 2 2" xfId="14763" xr:uid="{00000000-0005-0000-0000-000081200000}"/>
    <cellStyle name="20% - Accent5 9 5 2 3" xfId="18714" xr:uid="{00000000-0005-0000-0000-000082200000}"/>
    <cellStyle name="20% - Accent5 9 5 3" xfId="3543" xr:uid="{00000000-0005-0000-0000-000083200000}"/>
    <cellStyle name="20% - Accent5 9 5 3 2" xfId="14764" xr:uid="{00000000-0005-0000-0000-000084200000}"/>
    <cellStyle name="20% - Accent5 9 5 3 3" xfId="18715" xr:uid="{00000000-0005-0000-0000-000085200000}"/>
    <cellStyle name="20% - Accent5 9 5 4" xfId="14762" xr:uid="{00000000-0005-0000-0000-000086200000}"/>
    <cellStyle name="20% - Accent5 9 5 5" xfId="18713" xr:uid="{00000000-0005-0000-0000-000087200000}"/>
    <cellStyle name="20% - Accent5 9 6" xfId="3544" xr:uid="{00000000-0005-0000-0000-000088200000}"/>
    <cellStyle name="20% - Accent5 9 6 2" xfId="3545" xr:uid="{00000000-0005-0000-0000-000089200000}"/>
    <cellStyle name="20% - Accent5 9 6 2 2" xfId="14766" xr:uid="{00000000-0005-0000-0000-00008A200000}"/>
    <cellStyle name="20% - Accent5 9 6 2 3" xfId="18717" xr:uid="{00000000-0005-0000-0000-00008B200000}"/>
    <cellStyle name="20% - Accent5 9 6 3" xfId="3546" xr:uid="{00000000-0005-0000-0000-00008C200000}"/>
    <cellStyle name="20% - Accent5 9 6 3 2" xfId="14767" xr:uid="{00000000-0005-0000-0000-00008D200000}"/>
    <cellStyle name="20% - Accent5 9 6 3 3" xfId="18718" xr:uid="{00000000-0005-0000-0000-00008E200000}"/>
    <cellStyle name="20% - Accent5 9 6 4" xfId="14765" xr:uid="{00000000-0005-0000-0000-00008F200000}"/>
    <cellStyle name="20% - Accent5 9 6 5" xfId="18716" xr:uid="{00000000-0005-0000-0000-000090200000}"/>
    <cellStyle name="20% - Accent5 9 7" xfId="3547" xr:uid="{00000000-0005-0000-0000-000091200000}"/>
    <cellStyle name="20% - Accent5 9 7 2" xfId="14768" xr:uid="{00000000-0005-0000-0000-000092200000}"/>
    <cellStyle name="20% - Accent5 9 7 3" xfId="18719" xr:uid="{00000000-0005-0000-0000-000093200000}"/>
    <cellStyle name="20% - Accent5 9 8" xfId="3548" xr:uid="{00000000-0005-0000-0000-000094200000}"/>
    <cellStyle name="20% - Accent5 9 8 2" xfId="14769" xr:uid="{00000000-0005-0000-0000-000095200000}"/>
    <cellStyle name="20% - Accent5 9 8 3" xfId="18720" xr:uid="{00000000-0005-0000-0000-000096200000}"/>
    <cellStyle name="20% - Accent5 9 9" xfId="14737" xr:uid="{00000000-0005-0000-0000-000097200000}"/>
    <cellStyle name="20% - Accent5 9_Volatility" xfId="3549" xr:uid="{00000000-0005-0000-0000-000098200000}"/>
    <cellStyle name="20% - Accent6 10" xfId="3550" xr:uid="{00000000-0005-0000-0000-000099200000}"/>
    <cellStyle name="20% - Accent6 10 10" xfId="18721" xr:uid="{00000000-0005-0000-0000-00009A200000}"/>
    <cellStyle name="20% - Accent6 10 2" xfId="3551" xr:uid="{00000000-0005-0000-0000-00009B200000}"/>
    <cellStyle name="20% - Accent6 10 2 2" xfId="3552" xr:uid="{00000000-0005-0000-0000-00009C200000}"/>
    <cellStyle name="20% - Accent6 10 2 2 2" xfId="3553" xr:uid="{00000000-0005-0000-0000-00009D200000}"/>
    <cellStyle name="20% - Accent6 10 2 2 2 2" xfId="14773" xr:uid="{00000000-0005-0000-0000-00009E200000}"/>
    <cellStyle name="20% - Accent6 10 2 2 2 3" xfId="18724" xr:uid="{00000000-0005-0000-0000-00009F200000}"/>
    <cellStyle name="20% - Accent6 10 2 2 3" xfId="3554" xr:uid="{00000000-0005-0000-0000-0000A0200000}"/>
    <cellStyle name="20% - Accent6 10 2 2 3 2" xfId="14774" xr:uid="{00000000-0005-0000-0000-0000A1200000}"/>
    <cellStyle name="20% - Accent6 10 2 2 3 3" xfId="18725" xr:uid="{00000000-0005-0000-0000-0000A2200000}"/>
    <cellStyle name="20% - Accent6 10 2 2 4" xfId="14772" xr:uid="{00000000-0005-0000-0000-0000A3200000}"/>
    <cellStyle name="20% - Accent6 10 2 2 5" xfId="18723" xr:uid="{00000000-0005-0000-0000-0000A4200000}"/>
    <cellStyle name="20% - Accent6 10 2 3" xfId="3555" xr:uid="{00000000-0005-0000-0000-0000A5200000}"/>
    <cellStyle name="20% - Accent6 10 2 3 2" xfId="3556" xr:uid="{00000000-0005-0000-0000-0000A6200000}"/>
    <cellStyle name="20% - Accent6 10 2 3 2 2" xfId="14776" xr:uid="{00000000-0005-0000-0000-0000A7200000}"/>
    <cellStyle name="20% - Accent6 10 2 3 2 3" xfId="18727" xr:uid="{00000000-0005-0000-0000-0000A8200000}"/>
    <cellStyle name="20% - Accent6 10 2 3 3" xfId="3557" xr:uid="{00000000-0005-0000-0000-0000A9200000}"/>
    <cellStyle name="20% - Accent6 10 2 3 3 2" xfId="14777" xr:uid="{00000000-0005-0000-0000-0000AA200000}"/>
    <cellStyle name="20% - Accent6 10 2 3 3 3" xfId="18728" xr:uid="{00000000-0005-0000-0000-0000AB200000}"/>
    <cellStyle name="20% - Accent6 10 2 3 4" xfId="14775" xr:uid="{00000000-0005-0000-0000-0000AC200000}"/>
    <cellStyle name="20% - Accent6 10 2 3 5" xfId="18726" xr:uid="{00000000-0005-0000-0000-0000AD200000}"/>
    <cellStyle name="20% - Accent6 10 2 4" xfId="3558" xr:uid="{00000000-0005-0000-0000-0000AE200000}"/>
    <cellStyle name="20% - Accent6 10 2 4 2" xfId="3559" xr:uid="{00000000-0005-0000-0000-0000AF200000}"/>
    <cellStyle name="20% - Accent6 10 2 4 2 2" xfId="14779" xr:uid="{00000000-0005-0000-0000-0000B0200000}"/>
    <cellStyle name="20% - Accent6 10 2 4 2 3" xfId="18730" xr:uid="{00000000-0005-0000-0000-0000B1200000}"/>
    <cellStyle name="20% - Accent6 10 2 4 3" xfId="3560" xr:uid="{00000000-0005-0000-0000-0000B2200000}"/>
    <cellStyle name="20% - Accent6 10 2 4 3 2" xfId="14780" xr:uid="{00000000-0005-0000-0000-0000B3200000}"/>
    <cellStyle name="20% - Accent6 10 2 4 3 3" xfId="18731" xr:uid="{00000000-0005-0000-0000-0000B4200000}"/>
    <cellStyle name="20% - Accent6 10 2 4 4" xfId="14778" xr:uid="{00000000-0005-0000-0000-0000B5200000}"/>
    <cellStyle name="20% - Accent6 10 2 4 5" xfId="18729" xr:uid="{00000000-0005-0000-0000-0000B6200000}"/>
    <cellStyle name="20% - Accent6 10 2 5" xfId="3561" xr:uid="{00000000-0005-0000-0000-0000B7200000}"/>
    <cellStyle name="20% - Accent6 10 2 5 2" xfId="14781" xr:uid="{00000000-0005-0000-0000-0000B8200000}"/>
    <cellStyle name="20% - Accent6 10 2 5 3" xfId="18732" xr:uid="{00000000-0005-0000-0000-0000B9200000}"/>
    <cellStyle name="20% - Accent6 10 2 6" xfId="3562" xr:uid="{00000000-0005-0000-0000-0000BA200000}"/>
    <cellStyle name="20% - Accent6 10 2 6 2" xfId="14782" xr:uid="{00000000-0005-0000-0000-0000BB200000}"/>
    <cellStyle name="20% - Accent6 10 2 6 3" xfId="18733" xr:uid="{00000000-0005-0000-0000-0000BC200000}"/>
    <cellStyle name="20% - Accent6 10 2 7" xfId="14771" xr:uid="{00000000-0005-0000-0000-0000BD200000}"/>
    <cellStyle name="20% - Accent6 10 2 8" xfId="18722" xr:uid="{00000000-0005-0000-0000-0000BE200000}"/>
    <cellStyle name="20% - Accent6 10 2_Volatility" xfId="3563" xr:uid="{00000000-0005-0000-0000-0000BF200000}"/>
    <cellStyle name="20% - Accent6 10 3" xfId="3564" xr:uid="{00000000-0005-0000-0000-0000C0200000}"/>
    <cellStyle name="20% - Accent6 10 3 2" xfId="3565" xr:uid="{00000000-0005-0000-0000-0000C1200000}"/>
    <cellStyle name="20% - Accent6 10 3 2 2" xfId="3566" xr:uid="{00000000-0005-0000-0000-0000C2200000}"/>
    <cellStyle name="20% - Accent6 10 3 2 2 2" xfId="14785" xr:uid="{00000000-0005-0000-0000-0000C3200000}"/>
    <cellStyle name="20% - Accent6 10 3 2 2 3" xfId="18736" xr:uid="{00000000-0005-0000-0000-0000C4200000}"/>
    <cellStyle name="20% - Accent6 10 3 2 3" xfId="3567" xr:uid="{00000000-0005-0000-0000-0000C5200000}"/>
    <cellStyle name="20% - Accent6 10 3 2 3 2" xfId="14786" xr:uid="{00000000-0005-0000-0000-0000C6200000}"/>
    <cellStyle name="20% - Accent6 10 3 2 3 3" xfId="18737" xr:uid="{00000000-0005-0000-0000-0000C7200000}"/>
    <cellStyle name="20% - Accent6 10 3 2 4" xfId="14784" xr:uid="{00000000-0005-0000-0000-0000C8200000}"/>
    <cellStyle name="20% - Accent6 10 3 2 5" xfId="18735" xr:uid="{00000000-0005-0000-0000-0000C9200000}"/>
    <cellStyle name="20% - Accent6 10 3 3" xfId="3568" xr:uid="{00000000-0005-0000-0000-0000CA200000}"/>
    <cellStyle name="20% - Accent6 10 3 3 2" xfId="3569" xr:uid="{00000000-0005-0000-0000-0000CB200000}"/>
    <cellStyle name="20% - Accent6 10 3 3 2 2" xfId="14788" xr:uid="{00000000-0005-0000-0000-0000CC200000}"/>
    <cellStyle name="20% - Accent6 10 3 3 2 3" xfId="18739" xr:uid="{00000000-0005-0000-0000-0000CD200000}"/>
    <cellStyle name="20% - Accent6 10 3 3 3" xfId="3570" xr:uid="{00000000-0005-0000-0000-0000CE200000}"/>
    <cellStyle name="20% - Accent6 10 3 3 3 2" xfId="14789" xr:uid="{00000000-0005-0000-0000-0000CF200000}"/>
    <cellStyle name="20% - Accent6 10 3 3 3 3" xfId="18740" xr:uid="{00000000-0005-0000-0000-0000D0200000}"/>
    <cellStyle name="20% - Accent6 10 3 3 4" xfId="14787" xr:uid="{00000000-0005-0000-0000-0000D1200000}"/>
    <cellStyle name="20% - Accent6 10 3 3 5" xfId="18738" xr:uid="{00000000-0005-0000-0000-0000D2200000}"/>
    <cellStyle name="20% - Accent6 10 3 4" xfId="3571" xr:uid="{00000000-0005-0000-0000-0000D3200000}"/>
    <cellStyle name="20% - Accent6 10 3 4 2" xfId="14790" xr:uid="{00000000-0005-0000-0000-0000D4200000}"/>
    <cellStyle name="20% - Accent6 10 3 4 3" xfId="18741" xr:uid="{00000000-0005-0000-0000-0000D5200000}"/>
    <cellStyle name="20% - Accent6 10 3 5" xfId="3572" xr:uid="{00000000-0005-0000-0000-0000D6200000}"/>
    <cellStyle name="20% - Accent6 10 3 5 2" xfId="14791" xr:uid="{00000000-0005-0000-0000-0000D7200000}"/>
    <cellStyle name="20% - Accent6 10 3 5 3" xfId="18742" xr:uid="{00000000-0005-0000-0000-0000D8200000}"/>
    <cellStyle name="20% - Accent6 10 3 6" xfId="14783" xr:uid="{00000000-0005-0000-0000-0000D9200000}"/>
    <cellStyle name="20% - Accent6 10 3 7" xfId="18734" xr:uid="{00000000-0005-0000-0000-0000DA200000}"/>
    <cellStyle name="20% - Accent6 10 3_Volatility" xfId="3573" xr:uid="{00000000-0005-0000-0000-0000DB200000}"/>
    <cellStyle name="20% - Accent6 10 4" xfId="3574" xr:uid="{00000000-0005-0000-0000-0000DC200000}"/>
    <cellStyle name="20% - Accent6 10 4 2" xfId="3575" xr:uid="{00000000-0005-0000-0000-0000DD200000}"/>
    <cellStyle name="20% - Accent6 10 4 2 2" xfId="14793" xr:uid="{00000000-0005-0000-0000-0000DE200000}"/>
    <cellStyle name="20% - Accent6 10 4 2 3" xfId="18744" xr:uid="{00000000-0005-0000-0000-0000DF200000}"/>
    <cellStyle name="20% - Accent6 10 4 3" xfId="3576" xr:uid="{00000000-0005-0000-0000-0000E0200000}"/>
    <cellStyle name="20% - Accent6 10 4 3 2" xfId="14794" xr:uid="{00000000-0005-0000-0000-0000E1200000}"/>
    <cellStyle name="20% - Accent6 10 4 3 3" xfId="18745" xr:uid="{00000000-0005-0000-0000-0000E2200000}"/>
    <cellStyle name="20% - Accent6 10 4 4" xfId="14792" xr:uid="{00000000-0005-0000-0000-0000E3200000}"/>
    <cellStyle name="20% - Accent6 10 4 5" xfId="18743" xr:uid="{00000000-0005-0000-0000-0000E4200000}"/>
    <cellStyle name="20% - Accent6 10 5" xfId="3577" xr:uid="{00000000-0005-0000-0000-0000E5200000}"/>
    <cellStyle name="20% - Accent6 10 5 2" xfId="3578" xr:uid="{00000000-0005-0000-0000-0000E6200000}"/>
    <cellStyle name="20% - Accent6 10 5 2 2" xfId="14796" xr:uid="{00000000-0005-0000-0000-0000E7200000}"/>
    <cellStyle name="20% - Accent6 10 5 2 3" xfId="18747" xr:uid="{00000000-0005-0000-0000-0000E8200000}"/>
    <cellStyle name="20% - Accent6 10 5 3" xfId="3579" xr:uid="{00000000-0005-0000-0000-0000E9200000}"/>
    <cellStyle name="20% - Accent6 10 5 3 2" xfId="14797" xr:uid="{00000000-0005-0000-0000-0000EA200000}"/>
    <cellStyle name="20% - Accent6 10 5 3 3" xfId="18748" xr:uid="{00000000-0005-0000-0000-0000EB200000}"/>
    <cellStyle name="20% - Accent6 10 5 4" xfId="14795" xr:uid="{00000000-0005-0000-0000-0000EC200000}"/>
    <cellStyle name="20% - Accent6 10 5 5" xfId="18746" xr:uid="{00000000-0005-0000-0000-0000ED200000}"/>
    <cellStyle name="20% - Accent6 10 6" xfId="3580" xr:uid="{00000000-0005-0000-0000-0000EE200000}"/>
    <cellStyle name="20% - Accent6 10 6 2" xfId="3581" xr:uid="{00000000-0005-0000-0000-0000EF200000}"/>
    <cellStyle name="20% - Accent6 10 6 2 2" xfId="14799" xr:uid="{00000000-0005-0000-0000-0000F0200000}"/>
    <cellStyle name="20% - Accent6 10 6 2 3" xfId="18750" xr:uid="{00000000-0005-0000-0000-0000F1200000}"/>
    <cellStyle name="20% - Accent6 10 6 3" xfId="3582" xr:uid="{00000000-0005-0000-0000-0000F2200000}"/>
    <cellStyle name="20% - Accent6 10 6 3 2" xfId="14800" xr:uid="{00000000-0005-0000-0000-0000F3200000}"/>
    <cellStyle name="20% - Accent6 10 6 3 3" xfId="18751" xr:uid="{00000000-0005-0000-0000-0000F4200000}"/>
    <cellStyle name="20% - Accent6 10 6 4" xfId="14798" xr:uid="{00000000-0005-0000-0000-0000F5200000}"/>
    <cellStyle name="20% - Accent6 10 6 5" xfId="18749" xr:uid="{00000000-0005-0000-0000-0000F6200000}"/>
    <cellStyle name="20% - Accent6 10 7" xfId="3583" xr:uid="{00000000-0005-0000-0000-0000F7200000}"/>
    <cellStyle name="20% - Accent6 10 7 2" xfId="14801" xr:uid="{00000000-0005-0000-0000-0000F8200000}"/>
    <cellStyle name="20% - Accent6 10 7 3" xfId="18752" xr:uid="{00000000-0005-0000-0000-0000F9200000}"/>
    <cellStyle name="20% - Accent6 10 8" xfId="3584" xr:uid="{00000000-0005-0000-0000-0000FA200000}"/>
    <cellStyle name="20% - Accent6 10 8 2" xfId="14802" xr:uid="{00000000-0005-0000-0000-0000FB200000}"/>
    <cellStyle name="20% - Accent6 10 8 3" xfId="18753" xr:uid="{00000000-0005-0000-0000-0000FC200000}"/>
    <cellStyle name="20% - Accent6 10 9" xfId="14770" xr:uid="{00000000-0005-0000-0000-0000FD200000}"/>
    <cellStyle name="20% - Accent6 10_Volatility" xfId="3585" xr:uid="{00000000-0005-0000-0000-0000FE200000}"/>
    <cellStyle name="20% - Accent6 11" xfId="3586" xr:uid="{00000000-0005-0000-0000-0000FF200000}"/>
    <cellStyle name="20% - Accent6 11 10" xfId="18754" xr:uid="{00000000-0005-0000-0000-000000210000}"/>
    <cellStyle name="20% - Accent6 11 2" xfId="3587" xr:uid="{00000000-0005-0000-0000-000001210000}"/>
    <cellStyle name="20% - Accent6 11 2 2" xfId="3588" xr:uid="{00000000-0005-0000-0000-000002210000}"/>
    <cellStyle name="20% - Accent6 11 2 2 2" xfId="3589" xr:uid="{00000000-0005-0000-0000-000003210000}"/>
    <cellStyle name="20% - Accent6 11 2 2 2 2" xfId="14806" xr:uid="{00000000-0005-0000-0000-000004210000}"/>
    <cellStyle name="20% - Accent6 11 2 2 2 3" xfId="18757" xr:uid="{00000000-0005-0000-0000-000005210000}"/>
    <cellStyle name="20% - Accent6 11 2 2 3" xfId="3590" xr:uid="{00000000-0005-0000-0000-000006210000}"/>
    <cellStyle name="20% - Accent6 11 2 2 3 2" xfId="14807" xr:uid="{00000000-0005-0000-0000-000007210000}"/>
    <cellStyle name="20% - Accent6 11 2 2 3 3" xfId="18758" xr:uid="{00000000-0005-0000-0000-000008210000}"/>
    <cellStyle name="20% - Accent6 11 2 2 4" xfId="14805" xr:uid="{00000000-0005-0000-0000-000009210000}"/>
    <cellStyle name="20% - Accent6 11 2 2 5" xfId="18756" xr:uid="{00000000-0005-0000-0000-00000A210000}"/>
    <cellStyle name="20% - Accent6 11 2 3" xfId="3591" xr:uid="{00000000-0005-0000-0000-00000B210000}"/>
    <cellStyle name="20% - Accent6 11 2 3 2" xfId="3592" xr:uid="{00000000-0005-0000-0000-00000C210000}"/>
    <cellStyle name="20% - Accent6 11 2 3 2 2" xfId="14809" xr:uid="{00000000-0005-0000-0000-00000D210000}"/>
    <cellStyle name="20% - Accent6 11 2 3 2 3" xfId="18760" xr:uid="{00000000-0005-0000-0000-00000E210000}"/>
    <cellStyle name="20% - Accent6 11 2 3 3" xfId="3593" xr:uid="{00000000-0005-0000-0000-00000F210000}"/>
    <cellStyle name="20% - Accent6 11 2 3 3 2" xfId="14810" xr:uid="{00000000-0005-0000-0000-000010210000}"/>
    <cellStyle name="20% - Accent6 11 2 3 3 3" xfId="18761" xr:uid="{00000000-0005-0000-0000-000011210000}"/>
    <cellStyle name="20% - Accent6 11 2 3 4" xfId="14808" xr:uid="{00000000-0005-0000-0000-000012210000}"/>
    <cellStyle name="20% - Accent6 11 2 3 5" xfId="18759" xr:uid="{00000000-0005-0000-0000-000013210000}"/>
    <cellStyle name="20% - Accent6 11 2 4" xfId="3594" xr:uid="{00000000-0005-0000-0000-000014210000}"/>
    <cellStyle name="20% - Accent6 11 2 4 2" xfId="3595" xr:uid="{00000000-0005-0000-0000-000015210000}"/>
    <cellStyle name="20% - Accent6 11 2 4 2 2" xfId="14812" xr:uid="{00000000-0005-0000-0000-000016210000}"/>
    <cellStyle name="20% - Accent6 11 2 4 2 3" xfId="18763" xr:uid="{00000000-0005-0000-0000-000017210000}"/>
    <cellStyle name="20% - Accent6 11 2 4 3" xfId="3596" xr:uid="{00000000-0005-0000-0000-000018210000}"/>
    <cellStyle name="20% - Accent6 11 2 4 3 2" xfId="14813" xr:uid="{00000000-0005-0000-0000-000019210000}"/>
    <cellStyle name="20% - Accent6 11 2 4 3 3" xfId="18764" xr:uid="{00000000-0005-0000-0000-00001A210000}"/>
    <cellStyle name="20% - Accent6 11 2 4 4" xfId="14811" xr:uid="{00000000-0005-0000-0000-00001B210000}"/>
    <cellStyle name="20% - Accent6 11 2 4 5" xfId="18762" xr:uid="{00000000-0005-0000-0000-00001C210000}"/>
    <cellStyle name="20% - Accent6 11 2 5" xfId="3597" xr:uid="{00000000-0005-0000-0000-00001D210000}"/>
    <cellStyle name="20% - Accent6 11 2 5 2" xfId="14814" xr:uid="{00000000-0005-0000-0000-00001E210000}"/>
    <cellStyle name="20% - Accent6 11 2 5 3" xfId="18765" xr:uid="{00000000-0005-0000-0000-00001F210000}"/>
    <cellStyle name="20% - Accent6 11 2 6" xfId="3598" xr:uid="{00000000-0005-0000-0000-000020210000}"/>
    <cellStyle name="20% - Accent6 11 2 6 2" xfId="14815" xr:uid="{00000000-0005-0000-0000-000021210000}"/>
    <cellStyle name="20% - Accent6 11 2 6 3" xfId="18766" xr:uid="{00000000-0005-0000-0000-000022210000}"/>
    <cellStyle name="20% - Accent6 11 2 7" xfId="14804" xr:uid="{00000000-0005-0000-0000-000023210000}"/>
    <cellStyle name="20% - Accent6 11 2 8" xfId="18755" xr:uid="{00000000-0005-0000-0000-000024210000}"/>
    <cellStyle name="20% - Accent6 11 2_Volatility" xfId="3599" xr:uid="{00000000-0005-0000-0000-000025210000}"/>
    <cellStyle name="20% - Accent6 11 3" xfId="3600" xr:uid="{00000000-0005-0000-0000-000026210000}"/>
    <cellStyle name="20% - Accent6 11 3 2" xfId="3601" xr:uid="{00000000-0005-0000-0000-000027210000}"/>
    <cellStyle name="20% - Accent6 11 3 2 2" xfId="3602" xr:uid="{00000000-0005-0000-0000-000028210000}"/>
    <cellStyle name="20% - Accent6 11 3 2 2 2" xfId="14818" xr:uid="{00000000-0005-0000-0000-000029210000}"/>
    <cellStyle name="20% - Accent6 11 3 2 2 3" xfId="18769" xr:uid="{00000000-0005-0000-0000-00002A210000}"/>
    <cellStyle name="20% - Accent6 11 3 2 3" xfId="3603" xr:uid="{00000000-0005-0000-0000-00002B210000}"/>
    <cellStyle name="20% - Accent6 11 3 2 3 2" xfId="14819" xr:uid="{00000000-0005-0000-0000-00002C210000}"/>
    <cellStyle name="20% - Accent6 11 3 2 3 3" xfId="18770" xr:uid="{00000000-0005-0000-0000-00002D210000}"/>
    <cellStyle name="20% - Accent6 11 3 2 4" xfId="14817" xr:uid="{00000000-0005-0000-0000-00002E210000}"/>
    <cellStyle name="20% - Accent6 11 3 2 5" xfId="18768" xr:uid="{00000000-0005-0000-0000-00002F210000}"/>
    <cellStyle name="20% - Accent6 11 3 3" xfId="3604" xr:uid="{00000000-0005-0000-0000-000030210000}"/>
    <cellStyle name="20% - Accent6 11 3 3 2" xfId="3605" xr:uid="{00000000-0005-0000-0000-000031210000}"/>
    <cellStyle name="20% - Accent6 11 3 3 2 2" xfId="14821" xr:uid="{00000000-0005-0000-0000-000032210000}"/>
    <cellStyle name="20% - Accent6 11 3 3 2 3" xfId="18772" xr:uid="{00000000-0005-0000-0000-000033210000}"/>
    <cellStyle name="20% - Accent6 11 3 3 3" xfId="3606" xr:uid="{00000000-0005-0000-0000-000034210000}"/>
    <cellStyle name="20% - Accent6 11 3 3 3 2" xfId="14822" xr:uid="{00000000-0005-0000-0000-000035210000}"/>
    <cellStyle name="20% - Accent6 11 3 3 3 3" xfId="18773" xr:uid="{00000000-0005-0000-0000-000036210000}"/>
    <cellStyle name="20% - Accent6 11 3 3 4" xfId="14820" xr:uid="{00000000-0005-0000-0000-000037210000}"/>
    <cellStyle name="20% - Accent6 11 3 3 5" xfId="18771" xr:uid="{00000000-0005-0000-0000-000038210000}"/>
    <cellStyle name="20% - Accent6 11 3 4" xfId="3607" xr:uid="{00000000-0005-0000-0000-000039210000}"/>
    <cellStyle name="20% - Accent6 11 3 4 2" xfId="14823" xr:uid="{00000000-0005-0000-0000-00003A210000}"/>
    <cellStyle name="20% - Accent6 11 3 4 3" xfId="18774" xr:uid="{00000000-0005-0000-0000-00003B210000}"/>
    <cellStyle name="20% - Accent6 11 3 5" xfId="3608" xr:uid="{00000000-0005-0000-0000-00003C210000}"/>
    <cellStyle name="20% - Accent6 11 3 5 2" xfId="14824" xr:uid="{00000000-0005-0000-0000-00003D210000}"/>
    <cellStyle name="20% - Accent6 11 3 5 3" xfId="18775" xr:uid="{00000000-0005-0000-0000-00003E210000}"/>
    <cellStyle name="20% - Accent6 11 3 6" xfId="14816" xr:uid="{00000000-0005-0000-0000-00003F210000}"/>
    <cellStyle name="20% - Accent6 11 3 7" xfId="18767" xr:uid="{00000000-0005-0000-0000-000040210000}"/>
    <cellStyle name="20% - Accent6 11 3_Volatility" xfId="3609" xr:uid="{00000000-0005-0000-0000-000041210000}"/>
    <cellStyle name="20% - Accent6 11 4" xfId="3610" xr:uid="{00000000-0005-0000-0000-000042210000}"/>
    <cellStyle name="20% - Accent6 11 4 2" xfId="3611" xr:uid="{00000000-0005-0000-0000-000043210000}"/>
    <cellStyle name="20% - Accent6 11 4 2 2" xfId="14826" xr:uid="{00000000-0005-0000-0000-000044210000}"/>
    <cellStyle name="20% - Accent6 11 4 2 3" xfId="18777" xr:uid="{00000000-0005-0000-0000-000045210000}"/>
    <cellStyle name="20% - Accent6 11 4 3" xfId="3612" xr:uid="{00000000-0005-0000-0000-000046210000}"/>
    <cellStyle name="20% - Accent6 11 4 3 2" xfId="14827" xr:uid="{00000000-0005-0000-0000-000047210000}"/>
    <cellStyle name="20% - Accent6 11 4 3 3" xfId="18778" xr:uid="{00000000-0005-0000-0000-000048210000}"/>
    <cellStyle name="20% - Accent6 11 4 4" xfId="14825" xr:uid="{00000000-0005-0000-0000-000049210000}"/>
    <cellStyle name="20% - Accent6 11 4 5" xfId="18776" xr:uid="{00000000-0005-0000-0000-00004A210000}"/>
    <cellStyle name="20% - Accent6 11 5" xfId="3613" xr:uid="{00000000-0005-0000-0000-00004B210000}"/>
    <cellStyle name="20% - Accent6 11 5 2" xfId="3614" xr:uid="{00000000-0005-0000-0000-00004C210000}"/>
    <cellStyle name="20% - Accent6 11 5 2 2" xfId="14829" xr:uid="{00000000-0005-0000-0000-00004D210000}"/>
    <cellStyle name="20% - Accent6 11 5 2 3" xfId="18780" xr:uid="{00000000-0005-0000-0000-00004E210000}"/>
    <cellStyle name="20% - Accent6 11 5 3" xfId="3615" xr:uid="{00000000-0005-0000-0000-00004F210000}"/>
    <cellStyle name="20% - Accent6 11 5 3 2" xfId="14830" xr:uid="{00000000-0005-0000-0000-000050210000}"/>
    <cellStyle name="20% - Accent6 11 5 3 3" xfId="18781" xr:uid="{00000000-0005-0000-0000-000051210000}"/>
    <cellStyle name="20% - Accent6 11 5 4" xfId="14828" xr:uid="{00000000-0005-0000-0000-000052210000}"/>
    <cellStyle name="20% - Accent6 11 5 5" xfId="18779" xr:uid="{00000000-0005-0000-0000-000053210000}"/>
    <cellStyle name="20% - Accent6 11 6" xfId="3616" xr:uid="{00000000-0005-0000-0000-000054210000}"/>
    <cellStyle name="20% - Accent6 11 6 2" xfId="3617" xr:uid="{00000000-0005-0000-0000-000055210000}"/>
    <cellStyle name="20% - Accent6 11 6 2 2" xfId="14832" xr:uid="{00000000-0005-0000-0000-000056210000}"/>
    <cellStyle name="20% - Accent6 11 6 2 3" xfId="18783" xr:uid="{00000000-0005-0000-0000-000057210000}"/>
    <cellStyle name="20% - Accent6 11 6 3" xfId="3618" xr:uid="{00000000-0005-0000-0000-000058210000}"/>
    <cellStyle name="20% - Accent6 11 6 3 2" xfId="14833" xr:uid="{00000000-0005-0000-0000-000059210000}"/>
    <cellStyle name="20% - Accent6 11 6 3 3" xfId="18784" xr:uid="{00000000-0005-0000-0000-00005A210000}"/>
    <cellStyle name="20% - Accent6 11 6 4" xfId="14831" xr:uid="{00000000-0005-0000-0000-00005B210000}"/>
    <cellStyle name="20% - Accent6 11 6 5" xfId="18782" xr:uid="{00000000-0005-0000-0000-00005C210000}"/>
    <cellStyle name="20% - Accent6 11 7" xfId="3619" xr:uid="{00000000-0005-0000-0000-00005D210000}"/>
    <cellStyle name="20% - Accent6 11 7 2" xfId="14834" xr:uid="{00000000-0005-0000-0000-00005E210000}"/>
    <cellStyle name="20% - Accent6 11 7 3" xfId="18785" xr:uid="{00000000-0005-0000-0000-00005F210000}"/>
    <cellStyle name="20% - Accent6 11 8" xfId="3620" xr:uid="{00000000-0005-0000-0000-000060210000}"/>
    <cellStyle name="20% - Accent6 11 8 2" xfId="14835" xr:uid="{00000000-0005-0000-0000-000061210000}"/>
    <cellStyle name="20% - Accent6 11 8 3" xfId="18786" xr:uid="{00000000-0005-0000-0000-000062210000}"/>
    <cellStyle name="20% - Accent6 11 9" xfId="14803" xr:uid="{00000000-0005-0000-0000-000063210000}"/>
    <cellStyle name="20% - Accent6 11_Volatility" xfId="3621" xr:uid="{00000000-0005-0000-0000-000064210000}"/>
    <cellStyle name="20% - Accent6 12" xfId="3622" xr:uid="{00000000-0005-0000-0000-000065210000}"/>
    <cellStyle name="20% - Accent6 12 10" xfId="18787" xr:uid="{00000000-0005-0000-0000-000066210000}"/>
    <cellStyle name="20% - Accent6 12 2" xfId="3623" xr:uid="{00000000-0005-0000-0000-000067210000}"/>
    <cellStyle name="20% - Accent6 12 2 2" xfId="3624" xr:uid="{00000000-0005-0000-0000-000068210000}"/>
    <cellStyle name="20% - Accent6 12 2 2 2" xfId="3625" xr:uid="{00000000-0005-0000-0000-000069210000}"/>
    <cellStyle name="20% - Accent6 12 2 2 2 2" xfId="14839" xr:uid="{00000000-0005-0000-0000-00006A210000}"/>
    <cellStyle name="20% - Accent6 12 2 2 2 3" xfId="18790" xr:uid="{00000000-0005-0000-0000-00006B210000}"/>
    <cellStyle name="20% - Accent6 12 2 2 3" xfId="3626" xr:uid="{00000000-0005-0000-0000-00006C210000}"/>
    <cellStyle name="20% - Accent6 12 2 2 3 2" xfId="14840" xr:uid="{00000000-0005-0000-0000-00006D210000}"/>
    <cellStyle name="20% - Accent6 12 2 2 3 3" xfId="18791" xr:uid="{00000000-0005-0000-0000-00006E210000}"/>
    <cellStyle name="20% - Accent6 12 2 2 4" xfId="14838" xr:uid="{00000000-0005-0000-0000-00006F210000}"/>
    <cellStyle name="20% - Accent6 12 2 2 5" xfId="18789" xr:uid="{00000000-0005-0000-0000-000070210000}"/>
    <cellStyle name="20% - Accent6 12 2 3" xfId="3627" xr:uid="{00000000-0005-0000-0000-000071210000}"/>
    <cellStyle name="20% - Accent6 12 2 3 2" xfId="3628" xr:uid="{00000000-0005-0000-0000-000072210000}"/>
    <cellStyle name="20% - Accent6 12 2 3 2 2" xfId="14842" xr:uid="{00000000-0005-0000-0000-000073210000}"/>
    <cellStyle name="20% - Accent6 12 2 3 2 3" xfId="18793" xr:uid="{00000000-0005-0000-0000-000074210000}"/>
    <cellStyle name="20% - Accent6 12 2 3 3" xfId="3629" xr:uid="{00000000-0005-0000-0000-000075210000}"/>
    <cellStyle name="20% - Accent6 12 2 3 3 2" xfId="14843" xr:uid="{00000000-0005-0000-0000-000076210000}"/>
    <cellStyle name="20% - Accent6 12 2 3 3 3" xfId="18794" xr:uid="{00000000-0005-0000-0000-000077210000}"/>
    <cellStyle name="20% - Accent6 12 2 3 4" xfId="14841" xr:uid="{00000000-0005-0000-0000-000078210000}"/>
    <cellStyle name="20% - Accent6 12 2 3 5" xfId="18792" xr:uid="{00000000-0005-0000-0000-000079210000}"/>
    <cellStyle name="20% - Accent6 12 2 4" xfId="3630" xr:uid="{00000000-0005-0000-0000-00007A210000}"/>
    <cellStyle name="20% - Accent6 12 2 4 2" xfId="3631" xr:uid="{00000000-0005-0000-0000-00007B210000}"/>
    <cellStyle name="20% - Accent6 12 2 4 2 2" xfId="14845" xr:uid="{00000000-0005-0000-0000-00007C210000}"/>
    <cellStyle name="20% - Accent6 12 2 4 2 3" xfId="18796" xr:uid="{00000000-0005-0000-0000-00007D210000}"/>
    <cellStyle name="20% - Accent6 12 2 4 3" xfId="3632" xr:uid="{00000000-0005-0000-0000-00007E210000}"/>
    <cellStyle name="20% - Accent6 12 2 4 3 2" xfId="14846" xr:uid="{00000000-0005-0000-0000-00007F210000}"/>
    <cellStyle name="20% - Accent6 12 2 4 3 3" xfId="18797" xr:uid="{00000000-0005-0000-0000-000080210000}"/>
    <cellStyle name="20% - Accent6 12 2 4 4" xfId="14844" xr:uid="{00000000-0005-0000-0000-000081210000}"/>
    <cellStyle name="20% - Accent6 12 2 4 5" xfId="18795" xr:uid="{00000000-0005-0000-0000-000082210000}"/>
    <cellStyle name="20% - Accent6 12 2 5" xfId="3633" xr:uid="{00000000-0005-0000-0000-000083210000}"/>
    <cellStyle name="20% - Accent6 12 2 5 2" xfId="14847" xr:uid="{00000000-0005-0000-0000-000084210000}"/>
    <cellStyle name="20% - Accent6 12 2 5 3" xfId="18798" xr:uid="{00000000-0005-0000-0000-000085210000}"/>
    <cellStyle name="20% - Accent6 12 2 6" xfId="3634" xr:uid="{00000000-0005-0000-0000-000086210000}"/>
    <cellStyle name="20% - Accent6 12 2 6 2" xfId="14848" xr:uid="{00000000-0005-0000-0000-000087210000}"/>
    <cellStyle name="20% - Accent6 12 2 6 3" xfId="18799" xr:uid="{00000000-0005-0000-0000-000088210000}"/>
    <cellStyle name="20% - Accent6 12 2 7" xfId="14837" xr:uid="{00000000-0005-0000-0000-000089210000}"/>
    <cellStyle name="20% - Accent6 12 2 8" xfId="18788" xr:uid="{00000000-0005-0000-0000-00008A210000}"/>
    <cellStyle name="20% - Accent6 12 2_Volatility" xfId="3635" xr:uid="{00000000-0005-0000-0000-00008B210000}"/>
    <cellStyle name="20% - Accent6 12 3" xfId="3636" xr:uid="{00000000-0005-0000-0000-00008C210000}"/>
    <cellStyle name="20% - Accent6 12 3 2" xfId="3637" xr:uid="{00000000-0005-0000-0000-00008D210000}"/>
    <cellStyle name="20% - Accent6 12 3 2 2" xfId="3638" xr:uid="{00000000-0005-0000-0000-00008E210000}"/>
    <cellStyle name="20% - Accent6 12 3 2 2 2" xfId="14851" xr:uid="{00000000-0005-0000-0000-00008F210000}"/>
    <cellStyle name="20% - Accent6 12 3 2 2 3" xfId="18802" xr:uid="{00000000-0005-0000-0000-000090210000}"/>
    <cellStyle name="20% - Accent6 12 3 2 3" xfId="3639" xr:uid="{00000000-0005-0000-0000-000091210000}"/>
    <cellStyle name="20% - Accent6 12 3 2 3 2" xfId="14852" xr:uid="{00000000-0005-0000-0000-000092210000}"/>
    <cellStyle name="20% - Accent6 12 3 2 3 3" xfId="18803" xr:uid="{00000000-0005-0000-0000-000093210000}"/>
    <cellStyle name="20% - Accent6 12 3 2 4" xfId="14850" xr:uid="{00000000-0005-0000-0000-000094210000}"/>
    <cellStyle name="20% - Accent6 12 3 2 5" xfId="18801" xr:uid="{00000000-0005-0000-0000-000095210000}"/>
    <cellStyle name="20% - Accent6 12 3 3" xfId="3640" xr:uid="{00000000-0005-0000-0000-000096210000}"/>
    <cellStyle name="20% - Accent6 12 3 3 2" xfId="3641" xr:uid="{00000000-0005-0000-0000-000097210000}"/>
    <cellStyle name="20% - Accent6 12 3 3 2 2" xfId="14854" xr:uid="{00000000-0005-0000-0000-000098210000}"/>
    <cellStyle name="20% - Accent6 12 3 3 2 3" xfId="18805" xr:uid="{00000000-0005-0000-0000-000099210000}"/>
    <cellStyle name="20% - Accent6 12 3 3 3" xfId="3642" xr:uid="{00000000-0005-0000-0000-00009A210000}"/>
    <cellStyle name="20% - Accent6 12 3 3 3 2" xfId="14855" xr:uid="{00000000-0005-0000-0000-00009B210000}"/>
    <cellStyle name="20% - Accent6 12 3 3 3 3" xfId="18806" xr:uid="{00000000-0005-0000-0000-00009C210000}"/>
    <cellStyle name="20% - Accent6 12 3 3 4" xfId="14853" xr:uid="{00000000-0005-0000-0000-00009D210000}"/>
    <cellStyle name="20% - Accent6 12 3 3 5" xfId="18804" xr:uid="{00000000-0005-0000-0000-00009E210000}"/>
    <cellStyle name="20% - Accent6 12 3 4" xfId="3643" xr:uid="{00000000-0005-0000-0000-00009F210000}"/>
    <cellStyle name="20% - Accent6 12 3 4 2" xfId="14856" xr:uid="{00000000-0005-0000-0000-0000A0210000}"/>
    <cellStyle name="20% - Accent6 12 3 4 3" xfId="18807" xr:uid="{00000000-0005-0000-0000-0000A1210000}"/>
    <cellStyle name="20% - Accent6 12 3 5" xfId="3644" xr:uid="{00000000-0005-0000-0000-0000A2210000}"/>
    <cellStyle name="20% - Accent6 12 3 5 2" xfId="14857" xr:uid="{00000000-0005-0000-0000-0000A3210000}"/>
    <cellStyle name="20% - Accent6 12 3 5 3" xfId="18808" xr:uid="{00000000-0005-0000-0000-0000A4210000}"/>
    <cellStyle name="20% - Accent6 12 3 6" xfId="14849" xr:uid="{00000000-0005-0000-0000-0000A5210000}"/>
    <cellStyle name="20% - Accent6 12 3 7" xfId="18800" xr:uid="{00000000-0005-0000-0000-0000A6210000}"/>
    <cellStyle name="20% - Accent6 12 3_Volatility" xfId="3645" xr:uid="{00000000-0005-0000-0000-0000A7210000}"/>
    <cellStyle name="20% - Accent6 12 4" xfId="3646" xr:uid="{00000000-0005-0000-0000-0000A8210000}"/>
    <cellStyle name="20% - Accent6 12 4 2" xfId="3647" xr:uid="{00000000-0005-0000-0000-0000A9210000}"/>
    <cellStyle name="20% - Accent6 12 4 2 2" xfId="14859" xr:uid="{00000000-0005-0000-0000-0000AA210000}"/>
    <cellStyle name="20% - Accent6 12 4 2 3" xfId="18810" xr:uid="{00000000-0005-0000-0000-0000AB210000}"/>
    <cellStyle name="20% - Accent6 12 4 3" xfId="3648" xr:uid="{00000000-0005-0000-0000-0000AC210000}"/>
    <cellStyle name="20% - Accent6 12 4 3 2" xfId="14860" xr:uid="{00000000-0005-0000-0000-0000AD210000}"/>
    <cellStyle name="20% - Accent6 12 4 3 3" xfId="18811" xr:uid="{00000000-0005-0000-0000-0000AE210000}"/>
    <cellStyle name="20% - Accent6 12 4 4" xfId="14858" xr:uid="{00000000-0005-0000-0000-0000AF210000}"/>
    <cellStyle name="20% - Accent6 12 4 5" xfId="18809" xr:uid="{00000000-0005-0000-0000-0000B0210000}"/>
    <cellStyle name="20% - Accent6 12 5" xfId="3649" xr:uid="{00000000-0005-0000-0000-0000B1210000}"/>
    <cellStyle name="20% - Accent6 12 5 2" xfId="3650" xr:uid="{00000000-0005-0000-0000-0000B2210000}"/>
    <cellStyle name="20% - Accent6 12 5 2 2" xfId="14862" xr:uid="{00000000-0005-0000-0000-0000B3210000}"/>
    <cellStyle name="20% - Accent6 12 5 2 3" xfId="18813" xr:uid="{00000000-0005-0000-0000-0000B4210000}"/>
    <cellStyle name="20% - Accent6 12 5 3" xfId="3651" xr:uid="{00000000-0005-0000-0000-0000B5210000}"/>
    <cellStyle name="20% - Accent6 12 5 3 2" xfId="14863" xr:uid="{00000000-0005-0000-0000-0000B6210000}"/>
    <cellStyle name="20% - Accent6 12 5 3 3" xfId="18814" xr:uid="{00000000-0005-0000-0000-0000B7210000}"/>
    <cellStyle name="20% - Accent6 12 5 4" xfId="14861" xr:uid="{00000000-0005-0000-0000-0000B8210000}"/>
    <cellStyle name="20% - Accent6 12 5 5" xfId="18812" xr:uid="{00000000-0005-0000-0000-0000B9210000}"/>
    <cellStyle name="20% - Accent6 12 6" xfId="3652" xr:uid="{00000000-0005-0000-0000-0000BA210000}"/>
    <cellStyle name="20% - Accent6 12 6 2" xfId="3653" xr:uid="{00000000-0005-0000-0000-0000BB210000}"/>
    <cellStyle name="20% - Accent6 12 6 2 2" xfId="14865" xr:uid="{00000000-0005-0000-0000-0000BC210000}"/>
    <cellStyle name="20% - Accent6 12 6 2 3" xfId="18816" xr:uid="{00000000-0005-0000-0000-0000BD210000}"/>
    <cellStyle name="20% - Accent6 12 6 3" xfId="3654" xr:uid="{00000000-0005-0000-0000-0000BE210000}"/>
    <cellStyle name="20% - Accent6 12 6 3 2" xfId="14866" xr:uid="{00000000-0005-0000-0000-0000BF210000}"/>
    <cellStyle name="20% - Accent6 12 6 3 3" xfId="18817" xr:uid="{00000000-0005-0000-0000-0000C0210000}"/>
    <cellStyle name="20% - Accent6 12 6 4" xfId="14864" xr:uid="{00000000-0005-0000-0000-0000C1210000}"/>
    <cellStyle name="20% - Accent6 12 6 5" xfId="18815" xr:uid="{00000000-0005-0000-0000-0000C2210000}"/>
    <cellStyle name="20% - Accent6 12 7" xfId="3655" xr:uid="{00000000-0005-0000-0000-0000C3210000}"/>
    <cellStyle name="20% - Accent6 12 7 2" xfId="14867" xr:uid="{00000000-0005-0000-0000-0000C4210000}"/>
    <cellStyle name="20% - Accent6 12 7 3" xfId="18818" xr:uid="{00000000-0005-0000-0000-0000C5210000}"/>
    <cellStyle name="20% - Accent6 12 8" xfId="3656" xr:uid="{00000000-0005-0000-0000-0000C6210000}"/>
    <cellStyle name="20% - Accent6 12 8 2" xfId="14868" xr:uid="{00000000-0005-0000-0000-0000C7210000}"/>
    <cellStyle name="20% - Accent6 12 8 3" xfId="18819" xr:uid="{00000000-0005-0000-0000-0000C8210000}"/>
    <cellStyle name="20% - Accent6 12 9" xfId="14836" xr:uid="{00000000-0005-0000-0000-0000C9210000}"/>
    <cellStyle name="20% - Accent6 12_Volatility" xfId="3657" xr:uid="{00000000-0005-0000-0000-0000CA210000}"/>
    <cellStyle name="20% - Accent6 13" xfId="3658" xr:uid="{00000000-0005-0000-0000-0000CB210000}"/>
    <cellStyle name="20% - Accent6 13 10" xfId="18820" xr:uid="{00000000-0005-0000-0000-0000CC210000}"/>
    <cellStyle name="20% - Accent6 13 2" xfId="3659" xr:uid="{00000000-0005-0000-0000-0000CD210000}"/>
    <cellStyle name="20% - Accent6 13 2 2" xfId="3660" xr:uid="{00000000-0005-0000-0000-0000CE210000}"/>
    <cellStyle name="20% - Accent6 13 2 2 2" xfId="3661" xr:uid="{00000000-0005-0000-0000-0000CF210000}"/>
    <cellStyle name="20% - Accent6 13 2 2 2 2" xfId="14872" xr:uid="{00000000-0005-0000-0000-0000D0210000}"/>
    <cellStyle name="20% - Accent6 13 2 2 2 3" xfId="18823" xr:uid="{00000000-0005-0000-0000-0000D1210000}"/>
    <cellStyle name="20% - Accent6 13 2 2 3" xfId="3662" xr:uid="{00000000-0005-0000-0000-0000D2210000}"/>
    <cellStyle name="20% - Accent6 13 2 2 3 2" xfId="14873" xr:uid="{00000000-0005-0000-0000-0000D3210000}"/>
    <cellStyle name="20% - Accent6 13 2 2 3 3" xfId="18824" xr:uid="{00000000-0005-0000-0000-0000D4210000}"/>
    <cellStyle name="20% - Accent6 13 2 2 4" xfId="14871" xr:uid="{00000000-0005-0000-0000-0000D5210000}"/>
    <cellStyle name="20% - Accent6 13 2 2 5" xfId="18822" xr:uid="{00000000-0005-0000-0000-0000D6210000}"/>
    <cellStyle name="20% - Accent6 13 2 3" xfId="3663" xr:uid="{00000000-0005-0000-0000-0000D7210000}"/>
    <cellStyle name="20% - Accent6 13 2 3 2" xfId="3664" xr:uid="{00000000-0005-0000-0000-0000D8210000}"/>
    <cellStyle name="20% - Accent6 13 2 3 2 2" xfId="14875" xr:uid="{00000000-0005-0000-0000-0000D9210000}"/>
    <cellStyle name="20% - Accent6 13 2 3 2 3" xfId="18826" xr:uid="{00000000-0005-0000-0000-0000DA210000}"/>
    <cellStyle name="20% - Accent6 13 2 3 3" xfId="3665" xr:uid="{00000000-0005-0000-0000-0000DB210000}"/>
    <cellStyle name="20% - Accent6 13 2 3 3 2" xfId="14876" xr:uid="{00000000-0005-0000-0000-0000DC210000}"/>
    <cellStyle name="20% - Accent6 13 2 3 3 3" xfId="18827" xr:uid="{00000000-0005-0000-0000-0000DD210000}"/>
    <cellStyle name="20% - Accent6 13 2 3 4" xfId="14874" xr:uid="{00000000-0005-0000-0000-0000DE210000}"/>
    <cellStyle name="20% - Accent6 13 2 3 5" xfId="18825" xr:uid="{00000000-0005-0000-0000-0000DF210000}"/>
    <cellStyle name="20% - Accent6 13 2 4" xfId="3666" xr:uid="{00000000-0005-0000-0000-0000E0210000}"/>
    <cellStyle name="20% - Accent6 13 2 4 2" xfId="3667" xr:uid="{00000000-0005-0000-0000-0000E1210000}"/>
    <cellStyle name="20% - Accent6 13 2 4 2 2" xfId="14878" xr:uid="{00000000-0005-0000-0000-0000E2210000}"/>
    <cellStyle name="20% - Accent6 13 2 4 2 3" xfId="18829" xr:uid="{00000000-0005-0000-0000-0000E3210000}"/>
    <cellStyle name="20% - Accent6 13 2 4 3" xfId="3668" xr:uid="{00000000-0005-0000-0000-0000E4210000}"/>
    <cellStyle name="20% - Accent6 13 2 4 3 2" xfId="14879" xr:uid="{00000000-0005-0000-0000-0000E5210000}"/>
    <cellStyle name="20% - Accent6 13 2 4 3 3" xfId="18830" xr:uid="{00000000-0005-0000-0000-0000E6210000}"/>
    <cellStyle name="20% - Accent6 13 2 4 4" xfId="14877" xr:uid="{00000000-0005-0000-0000-0000E7210000}"/>
    <cellStyle name="20% - Accent6 13 2 4 5" xfId="18828" xr:uid="{00000000-0005-0000-0000-0000E8210000}"/>
    <cellStyle name="20% - Accent6 13 2 5" xfId="3669" xr:uid="{00000000-0005-0000-0000-0000E9210000}"/>
    <cellStyle name="20% - Accent6 13 2 5 2" xfId="14880" xr:uid="{00000000-0005-0000-0000-0000EA210000}"/>
    <cellStyle name="20% - Accent6 13 2 5 3" xfId="18831" xr:uid="{00000000-0005-0000-0000-0000EB210000}"/>
    <cellStyle name="20% - Accent6 13 2 6" xfId="3670" xr:uid="{00000000-0005-0000-0000-0000EC210000}"/>
    <cellStyle name="20% - Accent6 13 2 6 2" xfId="14881" xr:uid="{00000000-0005-0000-0000-0000ED210000}"/>
    <cellStyle name="20% - Accent6 13 2 6 3" xfId="18832" xr:uid="{00000000-0005-0000-0000-0000EE210000}"/>
    <cellStyle name="20% - Accent6 13 2 7" xfId="14870" xr:uid="{00000000-0005-0000-0000-0000EF210000}"/>
    <cellStyle name="20% - Accent6 13 2 8" xfId="18821" xr:uid="{00000000-0005-0000-0000-0000F0210000}"/>
    <cellStyle name="20% - Accent6 13 2_Volatility" xfId="3671" xr:uid="{00000000-0005-0000-0000-0000F1210000}"/>
    <cellStyle name="20% - Accent6 13 3" xfId="3672" xr:uid="{00000000-0005-0000-0000-0000F2210000}"/>
    <cellStyle name="20% - Accent6 13 3 2" xfId="3673" xr:uid="{00000000-0005-0000-0000-0000F3210000}"/>
    <cellStyle name="20% - Accent6 13 3 2 2" xfId="3674" xr:uid="{00000000-0005-0000-0000-0000F4210000}"/>
    <cellStyle name="20% - Accent6 13 3 2 2 2" xfId="14884" xr:uid="{00000000-0005-0000-0000-0000F5210000}"/>
    <cellStyle name="20% - Accent6 13 3 2 2 3" xfId="18835" xr:uid="{00000000-0005-0000-0000-0000F6210000}"/>
    <cellStyle name="20% - Accent6 13 3 2 3" xfId="3675" xr:uid="{00000000-0005-0000-0000-0000F7210000}"/>
    <cellStyle name="20% - Accent6 13 3 2 3 2" xfId="14885" xr:uid="{00000000-0005-0000-0000-0000F8210000}"/>
    <cellStyle name="20% - Accent6 13 3 2 3 3" xfId="18836" xr:uid="{00000000-0005-0000-0000-0000F9210000}"/>
    <cellStyle name="20% - Accent6 13 3 2 4" xfId="14883" xr:uid="{00000000-0005-0000-0000-0000FA210000}"/>
    <cellStyle name="20% - Accent6 13 3 2 5" xfId="18834" xr:uid="{00000000-0005-0000-0000-0000FB210000}"/>
    <cellStyle name="20% - Accent6 13 3 3" xfId="3676" xr:uid="{00000000-0005-0000-0000-0000FC210000}"/>
    <cellStyle name="20% - Accent6 13 3 3 2" xfId="3677" xr:uid="{00000000-0005-0000-0000-0000FD210000}"/>
    <cellStyle name="20% - Accent6 13 3 3 2 2" xfId="14887" xr:uid="{00000000-0005-0000-0000-0000FE210000}"/>
    <cellStyle name="20% - Accent6 13 3 3 2 3" xfId="18838" xr:uid="{00000000-0005-0000-0000-0000FF210000}"/>
    <cellStyle name="20% - Accent6 13 3 3 3" xfId="3678" xr:uid="{00000000-0005-0000-0000-000000220000}"/>
    <cellStyle name="20% - Accent6 13 3 3 3 2" xfId="14888" xr:uid="{00000000-0005-0000-0000-000001220000}"/>
    <cellStyle name="20% - Accent6 13 3 3 3 3" xfId="18839" xr:uid="{00000000-0005-0000-0000-000002220000}"/>
    <cellStyle name="20% - Accent6 13 3 3 4" xfId="14886" xr:uid="{00000000-0005-0000-0000-000003220000}"/>
    <cellStyle name="20% - Accent6 13 3 3 5" xfId="18837" xr:uid="{00000000-0005-0000-0000-000004220000}"/>
    <cellStyle name="20% - Accent6 13 3 4" xfId="3679" xr:uid="{00000000-0005-0000-0000-000005220000}"/>
    <cellStyle name="20% - Accent6 13 3 4 2" xfId="14889" xr:uid="{00000000-0005-0000-0000-000006220000}"/>
    <cellStyle name="20% - Accent6 13 3 4 3" xfId="18840" xr:uid="{00000000-0005-0000-0000-000007220000}"/>
    <cellStyle name="20% - Accent6 13 3 5" xfId="3680" xr:uid="{00000000-0005-0000-0000-000008220000}"/>
    <cellStyle name="20% - Accent6 13 3 5 2" xfId="14890" xr:uid="{00000000-0005-0000-0000-000009220000}"/>
    <cellStyle name="20% - Accent6 13 3 5 3" xfId="18841" xr:uid="{00000000-0005-0000-0000-00000A220000}"/>
    <cellStyle name="20% - Accent6 13 3 6" xfId="14882" xr:uid="{00000000-0005-0000-0000-00000B220000}"/>
    <cellStyle name="20% - Accent6 13 3 7" xfId="18833" xr:uid="{00000000-0005-0000-0000-00000C220000}"/>
    <cellStyle name="20% - Accent6 13 3_Volatility" xfId="3681" xr:uid="{00000000-0005-0000-0000-00000D220000}"/>
    <cellStyle name="20% - Accent6 13 4" xfId="3682" xr:uid="{00000000-0005-0000-0000-00000E220000}"/>
    <cellStyle name="20% - Accent6 13 4 2" xfId="3683" xr:uid="{00000000-0005-0000-0000-00000F220000}"/>
    <cellStyle name="20% - Accent6 13 4 2 2" xfId="14892" xr:uid="{00000000-0005-0000-0000-000010220000}"/>
    <cellStyle name="20% - Accent6 13 4 2 3" xfId="18843" xr:uid="{00000000-0005-0000-0000-000011220000}"/>
    <cellStyle name="20% - Accent6 13 4 3" xfId="3684" xr:uid="{00000000-0005-0000-0000-000012220000}"/>
    <cellStyle name="20% - Accent6 13 4 3 2" xfId="14893" xr:uid="{00000000-0005-0000-0000-000013220000}"/>
    <cellStyle name="20% - Accent6 13 4 3 3" xfId="18844" xr:uid="{00000000-0005-0000-0000-000014220000}"/>
    <cellStyle name="20% - Accent6 13 4 4" xfId="14891" xr:uid="{00000000-0005-0000-0000-000015220000}"/>
    <cellStyle name="20% - Accent6 13 4 5" xfId="18842" xr:uid="{00000000-0005-0000-0000-000016220000}"/>
    <cellStyle name="20% - Accent6 13 5" xfId="3685" xr:uid="{00000000-0005-0000-0000-000017220000}"/>
    <cellStyle name="20% - Accent6 13 5 2" xfId="3686" xr:uid="{00000000-0005-0000-0000-000018220000}"/>
    <cellStyle name="20% - Accent6 13 5 2 2" xfId="14895" xr:uid="{00000000-0005-0000-0000-000019220000}"/>
    <cellStyle name="20% - Accent6 13 5 2 3" xfId="18846" xr:uid="{00000000-0005-0000-0000-00001A220000}"/>
    <cellStyle name="20% - Accent6 13 5 3" xfId="3687" xr:uid="{00000000-0005-0000-0000-00001B220000}"/>
    <cellStyle name="20% - Accent6 13 5 3 2" xfId="14896" xr:uid="{00000000-0005-0000-0000-00001C220000}"/>
    <cellStyle name="20% - Accent6 13 5 3 3" xfId="18847" xr:uid="{00000000-0005-0000-0000-00001D220000}"/>
    <cellStyle name="20% - Accent6 13 5 4" xfId="14894" xr:uid="{00000000-0005-0000-0000-00001E220000}"/>
    <cellStyle name="20% - Accent6 13 5 5" xfId="18845" xr:uid="{00000000-0005-0000-0000-00001F220000}"/>
    <cellStyle name="20% - Accent6 13 6" xfId="3688" xr:uid="{00000000-0005-0000-0000-000020220000}"/>
    <cellStyle name="20% - Accent6 13 6 2" xfId="3689" xr:uid="{00000000-0005-0000-0000-000021220000}"/>
    <cellStyle name="20% - Accent6 13 6 2 2" xfId="14898" xr:uid="{00000000-0005-0000-0000-000022220000}"/>
    <cellStyle name="20% - Accent6 13 6 2 3" xfId="18849" xr:uid="{00000000-0005-0000-0000-000023220000}"/>
    <cellStyle name="20% - Accent6 13 6 3" xfId="3690" xr:uid="{00000000-0005-0000-0000-000024220000}"/>
    <cellStyle name="20% - Accent6 13 6 3 2" xfId="14899" xr:uid="{00000000-0005-0000-0000-000025220000}"/>
    <cellStyle name="20% - Accent6 13 6 3 3" xfId="18850" xr:uid="{00000000-0005-0000-0000-000026220000}"/>
    <cellStyle name="20% - Accent6 13 6 4" xfId="14897" xr:uid="{00000000-0005-0000-0000-000027220000}"/>
    <cellStyle name="20% - Accent6 13 6 5" xfId="18848" xr:uid="{00000000-0005-0000-0000-000028220000}"/>
    <cellStyle name="20% - Accent6 13 7" xfId="3691" xr:uid="{00000000-0005-0000-0000-000029220000}"/>
    <cellStyle name="20% - Accent6 13 7 2" xfId="14900" xr:uid="{00000000-0005-0000-0000-00002A220000}"/>
    <cellStyle name="20% - Accent6 13 7 3" xfId="18851" xr:uid="{00000000-0005-0000-0000-00002B220000}"/>
    <cellStyle name="20% - Accent6 13 8" xfId="3692" xr:uid="{00000000-0005-0000-0000-00002C220000}"/>
    <cellStyle name="20% - Accent6 13 8 2" xfId="14901" xr:uid="{00000000-0005-0000-0000-00002D220000}"/>
    <cellStyle name="20% - Accent6 13 8 3" xfId="18852" xr:uid="{00000000-0005-0000-0000-00002E220000}"/>
    <cellStyle name="20% - Accent6 13 9" xfId="14869" xr:uid="{00000000-0005-0000-0000-00002F220000}"/>
    <cellStyle name="20% - Accent6 13_Volatility" xfId="3693" xr:uid="{00000000-0005-0000-0000-000030220000}"/>
    <cellStyle name="20% - Accent6 14" xfId="3694" xr:uid="{00000000-0005-0000-0000-000031220000}"/>
    <cellStyle name="20% - Accent6 14 10" xfId="18853" xr:uid="{00000000-0005-0000-0000-000032220000}"/>
    <cellStyle name="20% - Accent6 14 2" xfId="3695" xr:uid="{00000000-0005-0000-0000-000033220000}"/>
    <cellStyle name="20% - Accent6 14 2 2" xfId="3696" xr:uid="{00000000-0005-0000-0000-000034220000}"/>
    <cellStyle name="20% - Accent6 14 2 2 2" xfId="3697" xr:uid="{00000000-0005-0000-0000-000035220000}"/>
    <cellStyle name="20% - Accent6 14 2 2 2 2" xfId="14905" xr:uid="{00000000-0005-0000-0000-000036220000}"/>
    <cellStyle name="20% - Accent6 14 2 2 2 3" xfId="18856" xr:uid="{00000000-0005-0000-0000-000037220000}"/>
    <cellStyle name="20% - Accent6 14 2 2 3" xfId="3698" xr:uid="{00000000-0005-0000-0000-000038220000}"/>
    <cellStyle name="20% - Accent6 14 2 2 3 2" xfId="14906" xr:uid="{00000000-0005-0000-0000-000039220000}"/>
    <cellStyle name="20% - Accent6 14 2 2 3 3" xfId="18857" xr:uid="{00000000-0005-0000-0000-00003A220000}"/>
    <cellStyle name="20% - Accent6 14 2 2 4" xfId="14904" xr:uid="{00000000-0005-0000-0000-00003B220000}"/>
    <cellStyle name="20% - Accent6 14 2 2 5" xfId="18855" xr:uid="{00000000-0005-0000-0000-00003C220000}"/>
    <cellStyle name="20% - Accent6 14 2 3" xfId="3699" xr:uid="{00000000-0005-0000-0000-00003D220000}"/>
    <cellStyle name="20% - Accent6 14 2 3 2" xfId="3700" xr:uid="{00000000-0005-0000-0000-00003E220000}"/>
    <cellStyle name="20% - Accent6 14 2 3 2 2" xfId="14908" xr:uid="{00000000-0005-0000-0000-00003F220000}"/>
    <cellStyle name="20% - Accent6 14 2 3 2 3" xfId="18859" xr:uid="{00000000-0005-0000-0000-000040220000}"/>
    <cellStyle name="20% - Accent6 14 2 3 3" xfId="3701" xr:uid="{00000000-0005-0000-0000-000041220000}"/>
    <cellStyle name="20% - Accent6 14 2 3 3 2" xfId="14909" xr:uid="{00000000-0005-0000-0000-000042220000}"/>
    <cellStyle name="20% - Accent6 14 2 3 3 3" xfId="18860" xr:uid="{00000000-0005-0000-0000-000043220000}"/>
    <cellStyle name="20% - Accent6 14 2 3 4" xfId="14907" xr:uid="{00000000-0005-0000-0000-000044220000}"/>
    <cellStyle name="20% - Accent6 14 2 3 5" xfId="18858" xr:uid="{00000000-0005-0000-0000-000045220000}"/>
    <cellStyle name="20% - Accent6 14 2 4" xfId="3702" xr:uid="{00000000-0005-0000-0000-000046220000}"/>
    <cellStyle name="20% - Accent6 14 2 4 2" xfId="3703" xr:uid="{00000000-0005-0000-0000-000047220000}"/>
    <cellStyle name="20% - Accent6 14 2 4 2 2" xfId="14911" xr:uid="{00000000-0005-0000-0000-000048220000}"/>
    <cellStyle name="20% - Accent6 14 2 4 2 3" xfId="18862" xr:uid="{00000000-0005-0000-0000-000049220000}"/>
    <cellStyle name="20% - Accent6 14 2 4 3" xfId="3704" xr:uid="{00000000-0005-0000-0000-00004A220000}"/>
    <cellStyle name="20% - Accent6 14 2 4 3 2" xfId="14912" xr:uid="{00000000-0005-0000-0000-00004B220000}"/>
    <cellStyle name="20% - Accent6 14 2 4 3 3" xfId="18863" xr:uid="{00000000-0005-0000-0000-00004C220000}"/>
    <cellStyle name="20% - Accent6 14 2 4 4" xfId="14910" xr:uid="{00000000-0005-0000-0000-00004D220000}"/>
    <cellStyle name="20% - Accent6 14 2 4 5" xfId="18861" xr:uid="{00000000-0005-0000-0000-00004E220000}"/>
    <cellStyle name="20% - Accent6 14 2 5" xfId="3705" xr:uid="{00000000-0005-0000-0000-00004F220000}"/>
    <cellStyle name="20% - Accent6 14 2 5 2" xfId="14913" xr:uid="{00000000-0005-0000-0000-000050220000}"/>
    <cellStyle name="20% - Accent6 14 2 5 3" xfId="18864" xr:uid="{00000000-0005-0000-0000-000051220000}"/>
    <cellStyle name="20% - Accent6 14 2 6" xfId="3706" xr:uid="{00000000-0005-0000-0000-000052220000}"/>
    <cellStyle name="20% - Accent6 14 2 6 2" xfId="14914" xr:uid="{00000000-0005-0000-0000-000053220000}"/>
    <cellStyle name="20% - Accent6 14 2 6 3" xfId="18865" xr:uid="{00000000-0005-0000-0000-000054220000}"/>
    <cellStyle name="20% - Accent6 14 2 7" xfId="14903" xr:uid="{00000000-0005-0000-0000-000055220000}"/>
    <cellStyle name="20% - Accent6 14 2 8" xfId="18854" xr:uid="{00000000-0005-0000-0000-000056220000}"/>
    <cellStyle name="20% - Accent6 14 2_Volatility" xfId="3707" xr:uid="{00000000-0005-0000-0000-000057220000}"/>
    <cellStyle name="20% - Accent6 14 3" xfId="3708" xr:uid="{00000000-0005-0000-0000-000058220000}"/>
    <cellStyle name="20% - Accent6 14 3 2" xfId="3709" xr:uid="{00000000-0005-0000-0000-000059220000}"/>
    <cellStyle name="20% - Accent6 14 3 2 2" xfId="3710" xr:uid="{00000000-0005-0000-0000-00005A220000}"/>
    <cellStyle name="20% - Accent6 14 3 2 2 2" xfId="14917" xr:uid="{00000000-0005-0000-0000-00005B220000}"/>
    <cellStyle name="20% - Accent6 14 3 2 2 3" xfId="18868" xr:uid="{00000000-0005-0000-0000-00005C220000}"/>
    <cellStyle name="20% - Accent6 14 3 2 3" xfId="3711" xr:uid="{00000000-0005-0000-0000-00005D220000}"/>
    <cellStyle name="20% - Accent6 14 3 2 3 2" xfId="14918" xr:uid="{00000000-0005-0000-0000-00005E220000}"/>
    <cellStyle name="20% - Accent6 14 3 2 3 3" xfId="18869" xr:uid="{00000000-0005-0000-0000-00005F220000}"/>
    <cellStyle name="20% - Accent6 14 3 2 4" xfId="14916" xr:uid="{00000000-0005-0000-0000-000060220000}"/>
    <cellStyle name="20% - Accent6 14 3 2 5" xfId="18867" xr:uid="{00000000-0005-0000-0000-000061220000}"/>
    <cellStyle name="20% - Accent6 14 3 3" xfId="3712" xr:uid="{00000000-0005-0000-0000-000062220000}"/>
    <cellStyle name="20% - Accent6 14 3 3 2" xfId="3713" xr:uid="{00000000-0005-0000-0000-000063220000}"/>
    <cellStyle name="20% - Accent6 14 3 3 2 2" xfId="14920" xr:uid="{00000000-0005-0000-0000-000064220000}"/>
    <cellStyle name="20% - Accent6 14 3 3 2 3" xfId="18871" xr:uid="{00000000-0005-0000-0000-000065220000}"/>
    <cellStyle name="20% - Accent6 14 3 3 3" xfId="3714" xr:uid="{00000000-0005-0000-0000-000066220000}"/>
    <cellStyle name="20% - Accent6 14 3 3 3 2" xfId="14921" xr:uid="{00000000-0005-0000-0000-000067220000}"/>
    <cellStyle name="20% - Accent6 14 3 3 3 3" xfId="18872" xr:uid="{00000000-0005-0000-0000-000068220000}"/>
    <cellStyle name="20% - Accent6 14 3 3 4" xfId="14919" xr:uid="{00000000-0005-0000-0000-000069220000}"/>
    <cellStyle name="20% - Accent6 14 3 3 5" xfId="18870" xr:uid="{00000000-0005-0000-0000-00006A220000}"/>
    <cellStyle name="20% - Accent6 14 3 4" xfId="3715" xr:uid="{00000000-0005-0000-0000-00006B220000}"/>
    <cellStyle name="20% - Accent6 14 3 4 2" xfId="14922" xr:uid="{00000000-0005-0000-0000-00006C220000}"/>
    <cellStyle name="20% - Accent6 14 3 4 3" xfId="18873" xr:uid="{00000000-0005-0000-0000-00006D220000}"/>
    <cellStyle name="20% - Accent6 14 3 5" xfId="3716" xr:uid="{00000000-0005-0000-0000-00006E220000}"/>
    <cellStyle name="20% - Accent6 14 3 5 2" xfId="14923" xr:uid="{00000000-0005-0000-0000-00006F220000}"/>
    <cellStyle name="20% - Accent6 14 3 5 3" xfId="18874" xr:uid="{00000000-0005-0000-0000-000070220000}"/>
    <cellStyle name="20% - Accent6 14 3 6" xfId="14915" xr:uid="{00000000-0005-0000-0000-000071220000}"/>
    <cellStyle name="20% - Accent6 14 3 7" xfId="18866" xr:uid="{00000000-0005-0000-0000-000072220000}"/>
    <cellStyle name="20% - Accent6 14 3_Volatility" xfId="3717" xr:uid="{00000000-0005-0000-0000-000073220000}"/>
    <cellStyle name="20% - Accent6 14 4" xfId="3718" xr:uid="{00000000-0005-0000-0000-000074220000}"/>
    <cellStyle name="20% - Accent6 14 4 2" xfId="3719" xr:uid="{00000000-0005-0000-0000-000075220000}"/>
    <cellStyle name="20% - Accent6 14 4 2 2" xfId="14925" xr:uid="{00000000-0005-0000-0000-000076220000}"/>
    <cellStyle name="20% - Accent6 14 4 2 3" xfId="18876" xr:uid="{00000000-0005-0000-0000-000077220000}"/>
    <cellStyle name="20% - Accent6 14 4 3" xfId="3720" xr:uid="{00000000-0005-0000-0000-000078220000}"/>
    <cellStyle name="20% - Accent6 14 4 3 2" xfId="14926" xr:uid="{00000000-0005-0000-0000-000079220000}"/>
    <cellStyle name="20% - Accent6 14 4 3 3" xfId="18877" xr:uid="{00000000-0005-0000-0000-00007A220000}"/>
    <cellStyle name="20% - Accent6 14 4 4" xfId="14924" xr:uid="{00000000-0005-0000-0000-00007B220000}"/>
    <cellStyle name="20% - Accent6 14 4 5" xfId="18875" xr:uid="{00000000-0005-0000-0000-00007C220000}"/>
    <cellStyle name="20% - Accent6 14 5" xfId="3721" xr:uid="{00000000-0005-0000-0000-00007D220000}"/>
    <cellStyle name="20% - Accent6 14 5 2" xfId="3722" xr:uid="{00000000-0005-0000-0000-00007E220000}"/>
    <cellStyle name="20% - Accent6 14 5 2 2" xfId="14928" xr:uid="{00000000-0005-0000-0000-00007F220000}"/>
    <cellStyle name="20% - Accent6 14 5 2 3" xfId="18879" xr:uid="{00000000-0005-0000-0000-000080220000}"/>
    <cellStyle name="20% - Accent6 14 5 3" xfId="3723" xr:uid="{00000000-0005-0000-0000-000081220000}"/>
    <cellStyle name="20% - Accent6 14 5 3 2" xfId="14929" xr:uid="{00000000-0005-0000-0000-000082220000}"/>
    <cellStyle name="20% - Accent6 14 5 3 3" xfId="18880" xr:uid="{00000000-0005-0000-0000-000083220000}"/>
    <cellStyle name="20% - Accent6 14 5 4" xfId="14927" xr:uid="{00000000-0005-0000-0000-000084220000}"/>
    <cellStyle name="20% - Accent6 14 5 5" xfId="18878" xr:uid="{00000000-0005-0000-0000-000085220000}"/>
    <cellStyle name="20% - Accent6 14 6" xfId="3724" xr:uid="{00000000-0005-0000-0000-000086220000}"/>
    <cellStyle name="20% - Accent6 14 6 2" xfId="3725" xr:uid="{00000000-0005-0000-0000-000087220000}"/>
    <cellStyle name="20% - Accent6 14 6 2 2" xfId="14931" xr:uid="{00000000-0005-0000-0000-000088220000}"/>
    <cellStyle name="20% - Accent6 14 6 2 3" xfId="18882" xr:uid="{00000000-0005-0000-0000-000089220000}"/>
    <cellStyle name="20% - Accent6 14 6 3" xfId="3726" xr:uid="{00000000-0005-0000-0000-00008A220000}"/>
    <cellStyle name="20% - Accent6 14 6 3 2" xfId="14932" xr:uid="{00000000-0005-0000-0000-00008B220000}"/>
    <cellStyle name="20% - Accent6 14 6 3 3" xfId="18883" xr:uid="{00000000-0005-0000-0000-00008C220000}"/>
    <cellStyle name="20% - Accent6 14 6 4" xfId="14930" xr:uid="{00000000-0005-0000-0000-00008D220000}"/>
    <cellStyle name="20% - Accent6 14 6 5" xfId="18881" xr:uid="{00000000-0005-0000-0000-00008E220000}"/>
    <cellStyle name="20% - Accent6 14 7" xfId="3727" xr:uid="{00000000-0005-0000-0000-00008F220000}"/>
    <cellStyle name="20% - Accent6 14 7 2" xfId="14933" xr:uid="{00000000-0005-0000-0000-000090220000}"/>
    <cellStyle name="20% - Accent6 14 7 3" xfId="18884" xr:uid="{00000000-0005-0000-0000-000091220000}"/>
    <cellStyle name="20% - Accent6 14 8" xfId="3728" xr:uid="{00000000-0005-0000-0000-000092220000}"/>
    <cellStyle name="20% - Accent6 14 8 2" xfId="14934" xr:uid="{00000000-0005-0000-0000-000093220000}"/>
    <cellStyle name="20% - Accent6 14 8 3" xfId="18885" xr:uid="{00000000-0005-0000-0000-000094220000}"/>
    <cellStyle name="20% - Accent6 14 9" xfId="14902" xr:uid="{00000000-0005-0000-0000-000095220000}"/>
    <cellStyle name="20% - Accent6 14_Volatility" xfId="3729" xr:uid="{00000000-0005-0000-0000-000096220000}"/>
    <cellStyle name="20% - Accent6 15" xfId="3730" xr:uid="{00000000-0005-0000-0000-000097220000}"/>
    <cellStyle name="20% - Accent6 15 10" xfId="18886" xr:uid="{00000000-0005-0000-0000-000098220000}"/>
    <cellStyle name="20% - Accent6 15 2" xfId="3731" xr:uid="{00000000-0005-0000-0000-000099220000}"/>
    <cellStyle name="20% - Accent6 15 2 2" xfId="3732" xr:uid="{00000000-0005-0000-0000-00009A220000}"/>
    <cellStyle name="20% - Accent6 15 2 2 2" xfId="3733" xr:uid="{00000000-0005-0000-0000-00009B220000}"/>
    <cellStyle name="20% - Accent6 15 2 2 2 2" xfId="14938" xr:uid="{00000000-0005-0000-0000-00009C220000}"/>
    <cellStyle name="20% - Accent6 15 2 2 2 3" xfId="18889" xr:uid="{00000000-0005-0000-0000-00009D220000}"/>
    <cellStyle name="20% - Accent6 15 2 2 3" xfId="3734" xr:uid="{00000000-0005-0000-0000-00009E220000}"/>
    <cellStyle name="20% - Accent6 15 2 2 3 2" xfId="14939" xr:uid="{00000000-0005-0000-0000-00009F220000}"/>
    <cellStyle name="20% - Accent6 15 2 2 3 3" xfId="18890" xr:uid="{00000000-0005-0000-0000-0000A0220000}"/>
    <cellStyle name="20% - Accent6 15 2 2 4" xfId="14937" xr:uid="{00000000-0005-0000-0000-0000A1220000}"/>
    <cellStyle name="20% - Accent6 15 2 2 5" xfId="18888" xr:uid="{00000000-0005-0000-0000-0000A2220000}"/>
    <cellStyle name="20% - Accent6 15 2 3" xfId="3735" xr:uid="{00000000-0005-0000-0000-0000A3220000}"/>
    <cellStyle name="20% - Accent6 15 2 3 2" xfId="3736" xr:uid="{00000000-0005-0000-0000-0000A4220000}"/>
    <cellStyle name="20% - Accent6 15 2 3 2 2" xfId="14941" xr:uid="{00000000-0005-0000-0000-0000A5220000}"/>
    <cellStyle name="20% - Accent6 15 2 3 2 3" xfId="18892" xr:uid="{00000000-0005-0000-0000-0000A6220000}"/>
    <cellStyle name="20% - Accent6 15 2 3 3" xfId="3737" xr:uid="{00000000-0005-0000-0000-0000A7220000}"/>
    <cellStyle name="20% - Accent6 15 2 3 3 2" xfId="14942" xr:uid="{00000000-0005-0000-0000-0000A8220000}"/>
    <cellStyle name="20% - Accent6 15 2 3 3 3" xfId="18893" xr:uid="{00000000-0005-0000-0000-0000A9220000}"/>
    <cellStyle name="20% - Accent6 15 2 3 4" xfId="14940" xr:uid="{00000000-0005-0000-0000-0000AA220000}"/>
    <cellStyle name="20% - Accent6 15 2 3 5" xfId="18891" xr:uid="{00000000-0005-0000-0000-0000AB220000}"/>
    <cellStyle name="20% - Accent6 15 2 4" xfId="3738" xr:uid="{00000000-0005-0000-0000-0000AC220000}"/>
    <cellStyle name="20% - Accent6 15 2 4 2" xfId="3739" xr:uid="{00000000-0005-0000-0000-0000AD220000}"/>
    <cellStyle name="20% - Accent6 15 2 4 2 2" xfId="14944" xr:uid="{00000000-0005-0000-0000-0000AE220000}"/>
    <cellStyle name="20% - Accent6 15 2 4 2 3" xfId="18895" xr:uid="{00000000-0005-0000-0000-0000AF220000}"/>
    <cellStyle name="20% - Accent6 15 2 4 3" xfId="3740" xr:uid="{00000000-0005-0000-0000-0000B0220000}"/>
    <cellStyle name="20% - Accent6 15 2 4 3 2" xfId="14945" xr:uid="{00000000-0005-0000-0000-0000B1220000}"/>
    <cellStyle name="20% - Accent6 15 2 4 3 3" xfId="18896" xr:uid="{00000000-0005-0000-0000-0000B2220000}"/>
    <cellStyle name="20% - Accent6 15 2 4 4" xfId="14943" xr:uid="{00000000-0005-0000-0000-0000B3220000}"/>
    <cellStyle name="20% - Accent6 15 2 4 5" xfId="18894" xr:uid="{00000000-0005-0000-0000-0000B4220000}"/>
    <cellStyle name="20% - Accent6 15 2 5" xfId="3741" xr:uid="{00000000-0005-0000-0000-0000B5220000}"/>
    <cellStyle name="20% - Accent6 15 2 5 2" xfId="14946" xr:uid="{00000000-0005-0000-0000-0000B6220000}"/>
    <cellStyle name="20% - Accent6 15 2 5 3" xfId="18897" xr:uid="{00000000-0005-0000-0000-0000B7220000}"/>
    <cellStyle name="20% - Accent6 15 2 6" xfId="3742" xr:uid="{00000000-0005-0000-0000-0000B8220000}"/>
    <cellStyle name="20% - Accent6 15 2 6 2" xfId="14947" xr:uid="{00000000-0005-0000-0000-0000B9220000}"/>
    <cellStyle name="20% - Accent6 15 2 6 3" xfId="18898" xr:uid="{00000000-0005-0000-0000-0000BA220000}"/>
    <cellStyle name="20% - Accent6 15 2 7" xfId="14936" xr:uid="{00000000-0005-0000-0000-0000BB220000}"/>
    <cellStyle name="20% - Accent6 15 2 8" xfId="18887" xr:uid="{00000000-0005-0000-0000-0000BC220000}"/>
    <cellStyle name="20% - Accent6 15 2_Volatility" xfId="3743" xr:uid="{00000000-0005-0000-0000-0000BD220000}"/>
    <cellStyle name="20% - Accent6 15 3" xfId="3744" xr:uid="{00000000-0005-0000-0000-0000BE220000}"/>
    <cellStyle name="20% - Accent6 15 3 2" xfId="3745" xr:uid="{00000000-0005-0000-0000-0000BF220000}"/>
    <cellStyle name="20% - Accent6 15 3 2 2" xfId="3746" xr:uid="{00000000-0005-0000-0000-0000C0220000}"/>
    <cellStyle name="20% - Accent6 15 3 2 2 2" xfId="14950" xr:uid="{00000000-0005-0000-0000-0000C1220000}"/>
    <cellStyle name="20% - Accent6 15 3 2 2 3" xfId="18901" xr:uid="{00000000-0005-0000-0000-0000C2220000}"/>
    <cellStyle name="20% - Accent6 15 3 2 3" xfId="3747" xr:uid="{00000000-0005-0000-0000-0000C3220000}"/>
    <cellStyle name="20% - Accent6 15 3 2 3 2" xfId="14951" xr:uid="{00000000-0005-0000-0000-0000C4220000}"/>
    <cellStyle name="20% - Accent6 15 3 2 3 3" xfId="18902" xr:uid="{00000000-0005-0000-0000-0000C5220000}"/>
    <cellStyle name="20% - Accent6 15 3 2 4" xfId="14949" xr:uid="{00000000-0005-0000-0000-0000C6220000}"/>
    <cellStyle name="20% - Accent6 15 3 2 5" xfId="18900" xr:uid="{00000000-0005-0000-0000-0000C7220000}"/>
    <cellStyle name="20% - Accent6 15 3 3" xfId="3748" xr:uid="{00000000-0005-0000-0000-0000C8220000}"/>
    <cellStyle name="20% - Accent6 15 3 3 2" xfId="3749" xr:uid="{00000000-0005-0000-0000-0000C9220000}"/>
    <cellStyle name="20% - Accent6 15 3 3 2 2" xfId="14953" xr:uid="{00000000-0005-0000-0000-0000CA220000}"/>
    <cellStyle name="20% - Accent6 15 3 3 2 3" xfId="18904" xr:uid="{00000000-0005-0000-0000-0000CB220000}"/>
    <cellStyle name="20% - Accent6 15 3 3 3" xfId="3750" xr:uid="{00000000-0005-0000-0000-0000CC220000}"/>
    <cellStyle name="20% - Accent6 15 3 3 3 2" xfId="14954" xr:uid="{00000000-0005-0000-0000-0000CD220000}"/>
    <cellStyle name="20% - Accent6 15 3 3 3 3" xfId="18905" xr:uid="{00000000-0005-0000-0000-0000CE220000}"/>
    <cellStyle name="20% - Accent6 15 3 3 4" xfId="14952" xr:uid="{00000000-0005-0000-0000-0000CF220000}"/>
    <cellStyle name="20% - Accent6 15 3 3 5" xfId="18903" xr:uid="{00000000-0005-0000-0000-0000D0220000}"/>
    <cellStyle name="20% - Accent6 15 3 4" xfId="3751" xr:uid="{00000000-0005-0000-0000-0000D1220000}"/>
    <cellStyle name="20% - Accent6 15 3 4 2" xfId="14955" xr:uid="{00000000-0005-0000-0000-0000D2220000}"/>
    <cellStyle name="20% - Accent6 15 3 4 3" xfId="18906" xr:uid="{00000000-0005-0000-0000-0000D3220000}"/>
    <cellStyle name="20% - Accent6 15 3 5" xfId="3752" xr:uid="{00000000-0005-0000-0000-0000D4220000}"/>
    <cellStyle name="20% - Accent6 15 3 5 2" xfId="14956" xr:uid="{00000000-0005-0000-0000-0000D5220000}"/>
    <cellStyle name="20% - Accent6 15 3 5 3" xfId="18907" xr:uid="{00000000-0005-0000-0000-0000D6220000}"/>
    <cellStyle name="20% - Accent6 15 3 6" xfId="14948" xr:uid="{00000000-0005-0000-0000-0000D7220000}"/>
    <cellStyle name="20% - Accent6 15 3 7" xfId="18899" xr:uid="{00000000-0005-0000-0000-0000D8220000}"/>
    <cellStyle name="20% - Accent6 15 3_Volatility" xfId="3753" xr:uid="{00000000-0005-0000-0000-0000D9220000}"/>
    <cellStyle name="20% - Accent6 15 4" xfId="3754" xr:uid="{00000000-0005-0000-0000-0000DA220000}"/>
    <cellStyle name="20% - Accent6 15 4 2" xfId="3755" xr:uid="{00000000-0005-0000-0000-0000DB220000}"/>
    <cellStyle name="20% - Accent6 15 4 2 2" xfId="14958" xr:uid="{00000000-0005-0000-0000-0000DC220000}"/>
    <cellStyle name="20% - Accent6 15 4 2 3" xfId="18909" xr:uid="{00000000-0005-0000-0000-0000DD220000}"/>
    <cellStyle name="20% - Accent6 15 4 3" xfId="3756" xr:uid="{00000000-0005-0000-0000-0000DE220000}"/>
    <cellStyle name="20% - Accent6 15 4 3 2" xfId="14959" xr:uid="{00000000-0005-0000-0000-0000DF220000}"/>
    <cellStyle name="20% - Accent6 15 4 3 3" xfId="18910" xr:uid="{00000000-0005-0000-0000-0000E0220000}"/>
    <cellStyle name="20% - Accent6 15 4 4" xfId="14957" xr:uid="{00000000-0005-0000-0000-0000E1220000}"/>
    <cellStyle name="20% - Accent6 15 4 5" xfId="18908" xr:uid="{00000000-0005-0000-0000-0000E2220000}"/>
    <cellStyle name="20% - Accent6 15 5" xfId="3757" xr:uid="{00000000-0005-0000-0000-0000E3220000}"/>
    <cellStyle name="20% - Accent6 15 5 2" xfId="3758" xr:uid="{00000000-0005-0000-0000-0000E4220000}"/>
    <cellStyle name="20% - Accent6 15 5 2 2" xfId="14961" xr:uid="{00000000-0005-0000-0000-0000E5220000}"/>
    <cellStyle name="20% - Accent6 15 5 2 3" xfId="18912" xr:uid="{00000000-0005-0000-0000-0000E6220000}"/>
    <cellStyle name="20% - Accent6 15 5 3" xfId="3759" xr:uid="{00000000-0005-0000-0000-0000E7220000}"/>
    <cellStyle name="20% - Accent6 15 5 3 2" xfId="14962" xr:uid="{00000000-0005-0000-0000-0000E8220000}"/>
    <cellStyle name="20% - Accent6 15 5 3 3" xfId="18913" xr:uid="{00000000-0005-0000-0000-0000E9220000}"/>
    <cellStyle name="20% - Accent6 15 5 4" xfId="14960" xr:uid="{00000000-0005-0000-0000-0000EA220000}"/>
    <cellStyle name="20% - Accent6 15 5 5" xfId="18911" xr:uid="{00000000-0005-0000-0000-0000EB220000}"/>
    <cellStyle name="20% - Accent6 15 6" xfId="3760" xr:uid="{00000000-0005-0000-0000-0000EC220000}"/>
    <cellStyle name="20% - Accent6 15 6 2" xfId="3761" xr:uid="{00000000-0005-0000-0000-0000ED220000}"/>
    <cellStyle name="20% - Accent6 15 6 2 2" xfId="14964" xr:uid="{00000000-0005-0000-0000-0000EE220000}"/>
    <cellStyle name="20% - Accent6 15 6 2 3" xfId="18915" xr:uid="{00000000-0005-0000-0000-0000EF220000}"/>
    <cellStyle name="20% - Accent6 15 6 3" xfId="3762" xr:uid="{00000000-0005-0000-0000-0000F0220000}"/>
    <cellStyle name="20% - Accent6 15 6 3 2" xfId="14965" xr:uid="{00000000-0005-0000-0000-0000F1220000}"/>
    <cellStyle name="20% - Accent6 15 6 3 3" xfId="18916" xr:uid="{00000000-0005-0000-0000-0000F2220000}"/>
    <cellStyle name="20% - Accent6 15 6 4" xfId="14963" xr:uid="{00000000-0005-0000-0000-0000F3220000}"/>
    <cellStyle name="20% - Accent6 15 6 5" xfId="18914" xr:uid="{00000000-0005-0000-0000-0000F4220000}"/>
    <cellStyle name="20% - Accent6 15 7" xfId="3763" xr:uid="{00000000-0005-0000-0000-0000F5220000}"/>
    <cellStyle name="20% - Accent6 15 7 2" xfId="14966" xr:uid="{00000000-0005-0000-0000-0000F6220000}"/>
    <cellStyle name="20% - Accent6 15 7 3" xfId="18917" xr:uid="{00000000-0005-0000-0000-0000F7220000}"/>
    <cellStyle name="20% - Accent6 15 8" xfId="3764" xr:uid="{00000000-0005-0000-0000-0000F8220000}"/>
    <cellStyle name="20% - Accent6 15 8 2" xfId="14967" xr:uid="{00000000-0005-0000-0000-0000F9220000}"/>
    <cellStyle name="20% - Accent6 15 8 3" xfId="18918" xr:uid="{00000000-0005-0000-0000-0000FA220000}"/>
    <cellStyle name="20% - Accent6 15 9" xfId="14935" xr:uid="{00000000-0005-0000-0000-0000FB220000}"/>
    <cellStyle name="20% - Accent6 15_Volatility" xfId="3765" xr:uid="{00000000-0005-0000-0000-0000FC220000}"/>
    <cellStyle name="20% - Accent6 16" xfId="3766" xr:uid="{00000000-0005-0000-0000-0000FD220000}"/>
    <cellStyle name="20% - Accent6 16 2" xfId="14968" xr:uid="{00000000-0005-0000-0000-0000FE220000}"/>
    <cellStyle name="20% - Accent6 16 3" xfId="18919" xr:uid="{00000000-0005-0000-0000-0000FF220000}"/>
    <cellStyle name="20% - Accent6 17" xfId="3767" xr:uid="{00000000-0005-0000-0000-000000230000}"/>
    <cellStyle name="20% - Accent6 17 2" xfId="14969" xr:uid="{00000000-0005-0000-0000-000001230000}"/>
    <cellStyle name="20% - Accent6 17 3" xfId="18920" xr:uid="{00000000-0005-0000-0000-000002230000}"/>
    <cellStyle name="20% - Accent6 18" xfId="3768" xr:uid="{00000000-0005-0000-0000-000003230000}"/>
    <cellStyle name="20% - Accent6 18 2" xfId="14970" xr:uid="{00000000-0005-0000-0000-000004230000}"/>
    <cellStyle name="20% - Accent6 18 3" xfId="18921" xr:uid="{00000000-0005-0000-0000-000005230000}"/>
    <cellStyle name="20% - Accent6 19" xfId="3769" xr:uid="{00000000-0005-0000-0000-000006230000}"/>
    <cellStyle name="20% - Accent6 19 2" xfId="14971" xr:uid="{00000000-0005-0000-0000-000007230000}"/>
    <cellStyle name="20% - Accent6 19 3" xfId="18922" xr:uid="{00000000-0005-0000-0000-000008230000}"/>
    <cellStyle name="20% - Accent6 2" xfId="3770" xr:uid="{00000000-0005-0000-0000-000009230000}"/>
    <cellStyle name="20% - Accent6 2 10" xfId="18923" xr:uid="{00000000-0005-0000-0000-00000A230000}"/>
    <cellStyle name="20% - Accent6 2 2" xfId="3771" xr:uid="{00000000-0005-0000-0000-00000B230000}"/>
    <cellStyle name="20% - Accent6 2 2 2" xfId="3772" xr:uid="{00000000-0005-0000-0000-00000C230000}"/>
    <cellStyle name="20% - Accent6 2 2 2 2" xfId="3773" xr:uid="{00000000-0005-0000-0000-00000D230000}"/>
    <cellStyle name="20% - Accent6 2 2 2 2 2" xfId="14975" xr:uid="{00000000-0005-0000-0000-00000E230000}"/>
    <cellStyle name="20% - Accent6 2 2 2 2 3" xfId="18926" xr:uid="{00000000-0005-0000-0000-00000F230000}"/>
    <cellStyle name="20% - Accent6 2 2 2 3" xfId="3774" xr:uid="{00000000-0005-0000-0000-000010230000}"/>
    <cellStyle name="20% - Accent6 2 2 2 3 2" xfId="14976" xr:uid="{00000000-0005-0000-0000-000011230000}"/>
    <cellStyle name="20% - Accent6 2 2 2 3 3" xfId="18927" xr:uid="{00000000-0005-0000-0000-000012230000}"/>
    <cellStyle name="20% - Accent6 2 2 2 4" xfId="14974" xr:uid="{00000000-0005-0000-0000-000013230000}"/>
    <cellStyle name="20% - Accent6 2 2 2 5" xfId="18925" xr:uid="{00000000-0005-0000-0000-000014230000}"/>
    <cellStyle name="20% - Accent6 2 2 3" xfId="3775" xr:uid="{00000000-0005-0000-0000-000015230000}"/>
    <cellStyle name="20% - Accent6 2 2 3 2" xfId="3776" xr:uid="{00000000-0005-0000-0000-000016230000}"/>
    <cellStyle name="20% - Accent6 2 2 3 2 2" xfId="14978" xr:uid="{00000000-0005-0000-0000-000017230000}"/>
    <cellStyle name="20% - Accent6 2 2 3 2 3" xfId="18929" xr:uid="{00000000-0005-0000-0000-000018230000}"/>
    <cellStyle name="20% - Accent6 2 2 3 3" xfId="3777" xr:uid="{00000000-0005-0000-0000-000019230000}"/>
    <cellStyle name="20% - Accent6 2 2 3 3 2" xfId="14979" xr:uid="{00000000-0005-0000-0000-00001A230000}"/>
    <cellStyle name="20% - Accent6 2 2 3 3 3" xfId="18930" xr:uid="{00000000-0005-0000-0000-00001B230000}"/>
    <cellStyle name="20% - Accent6 2 2 3 4" xfId="14977" xr:uid="{00000000-0005-0000-0000-00001C230000}"/>
    <cellStyle name="20% - Accent6 2 2 3 5" xfId="18928" xr:uid="{00000000-0005-0000-0000-00001D230000}"/>
    <cellStyle name="20% - Accent6 2 2 4" xfId="3778" xr:uid="{00000000-0005-0000-0000-00001E230000}"/>
    <cellStyle name="20% - Accent6 2 2 4 2" xfId="3779" xr:uid="{00000000-0005-0000-0000-00001F230000}"/>
    <cellStyle name="20% - Accent6 2 2 4 2 2" xfId="14981" xr:uid="{00000000-0005-0000-0000-000020230000}"/>
    <cellStyle name="20% - Accent6 2 2 4 2 3" xfId="18932" xr:uid="{00000000-0005-0000-0000-000021230000}"/>
    <cellStyle name="20% - Accent6 2 2 4 3" xfId="3780" xr:uid="{00000000-0005-0000-0000-000022230000}"/>
    <cellStyle name="20% - Accent6 2 2 4 3 2" xfId="14982" xr:uid="{00000000-0005-0000-0000-000023230000}"/>
    <cellStyle name="20% - Accent6 2 2 4 3 3" xfId="18933" xr:uid="{00000000-0005-0000-0000-000024230000}"/>
    <cellStyle name="20% - Accent6 2 2 4 4" xfId="14980" xr:uid="{00000000-0005-0000-0000-000025230000}"/>
    <cellStyle name="20% - Accent6 2 2 4 5" xfId="18931" xr:uid="{00000000-0005-0000-0000-000026230000}"/>
    <cellStyle name="20% - Accent6 2 2 5" xfId="3781" xr:uid="{00000000-0005-0000-0000-000027230000}"/>
    <cellStyle name="20% - Accent6 2 2 5 2" xfId="14983" xr:uid="{00000000-0005-0000-0000-000028230000}"/>
    <cellStyle name="20% - Accent6 2 2 5 3" xfId="18934" xr:uid="{00000000-0005-0000-0000-000029230000}"/>
    <cellStyle name="20% - Accent6 2 2 6" xfId="3782" xr:uid="{00000000-0005-0000-0000-00002A230000}"/>
    <cellStyle name="20% - Accent6 2 2 6 2" xfId="14984" xr:uid="{00000000-0005-0000-0000-00002B230000}"/>
    <cellStyle name="20% - Accent6 2 2 6 3" xfId="18935" xr:uid="{00000000-0005-0000-0000-00002C230000}"/>
    <cellStyle name="20% - Accent6 2 2 7" xfId="14973" xr:uid="{00000000-0005-0000-0000-00002D230000}"/>
    <cellStyle name="20% - Accent6 2 2 8" xfId="18924" xr:uid="{00000000-0005-0000-0000-00002E230000}"/>
    <cellStyle name="20% - Accent6 2 2_Volatility" xfId="3783" xr:uid="{00000000-0005-0000-0000-00002F230000}"/>
    <cellStyle name="20% - Accent6 2 3" xfId="3784" xr:uid="{00000000-0005-0000-0000-000030230000}"/>
    <cellStyle name="20% - Accent6 2 3 2" xfId="3785" xr:uid="{00000000-0005-0000-0000-000031230000}"/>
    <cellStyle name="20% - Accent6 2 3 2 2" xfId="3786" xr:uid="{00000000-0005-0000-0000-000032230000}"/>
    <cellStyle name="20% - Accent6 2 3 2 2 2" xfId="14987" xr:uid="{00000000-0005-0000-0000-000033230000}"/>
    <cellStyle name="20% - Accent6 2 3 2 2 3" xfId="18938" xr:uid="{00000000-0005-0000-0000-000034230000}"/>
    <cellStyle name="20% - Accent6 2 3 2 3" xfId="3787" xr:uid="{00000000-0005-0000-0000-000035230000}"/>
    <cellStyle name="20% - Accent6 2 3 2 3 2" xfId="14988" xr:uid="{00000000-0005-0000-0000-000036230000}"/>
    <cellStyle name="20% - Accent6 2 3 2 3 3" xfId="18939" xr:uid="{00000000-0005-0000-0000-000037230000}"/>
    <cellStyle name="20% - Accent6 2 3 2 4" xfId="14986" xr:uid="{00000000-0005-0000-0000-000038230000}"/>
    <cellStyle name="20% - Accent6 2 3 2 5" xfId="18937" xr:uid="{00000000-0005-0000-0000-000039230000}"/>
    <cellStyle name="20% - Accent6 2 3 3" xfId="3788" xr:uid="{00000000-0005-0000-0000-00003A230000}"/>
    <cellStyle name="20% - Accent6 2 3 3 2" xfId="3789" xr:uid="{00000000-0005-0000-0000-00003B230000}"/>
    <cellStyle name="20% - Accent6 2 3 3 2 2" xfId="14990" xr:uid="{00000000-0005-0000-0000-00003C230000}"/>
    <cellStyle name="20% - Accent6 2 3 3 2 3" xfId="18941" xr:uid="{00000000-0005-0000-0000-00003D230000}"/>
    <cellStyle name="20% - Accent6 2 3 3 3" xfId="3790" xr:uid="{00000000-0005-0000-0000-00003E230000}"/>
    <cellStyle name="20% - Accent6 2 3 3 3 2" xfId="14991" xr:uid="{00000000-0005-0000-0000-00003F230000}"/>
    <cellStyle name="20% - Accent6 2 3 3 3 3" xfId="18942" xr:uid="{00000000-0005-0000-0000-000040230000}"/>
    <cellStyle name="20% - Accent6 2 3 3 4" xfId="14989" xr:uid="{00000000-0005-0000-0000-000041230000}"/>
    <cellStyle name="20% - Accent6 2 3 3 5" xfId="18940" xr:uid="{00000000-0005-0000-0000-000042230000}"/>
    <cellStyle name="20% - Accent6 2 3 4" xfId="3791" xr:uid="{00000000-0005-0000-0000-000043230000}"/>
    <cellStyle name="20% - Accent6 2 3 4 2" xfId="14992" xr:uid="{00000000-0005-0000-0000-000044230000}"/>
    <cellStyle name="20% - Accent6 2 3 4 3" xfId="18943" xr:uid="{00000000-0005-0000-0000-000045230000}"/>
    <cellStyle name="20% - Accent6 2 3 5" xfId="3792" xr:uid="{00000000-0005-0000-0000-000046230000}"/>
    <cellStyle name="20% - Accent6 2 3 5 2" xfId="14993" xr:uid="{00000000-0005-0000-0000-000047230000}"/>
    <cellStyle name="20% - Accent6 2 3 5 3" xfId="18944" xr:uid="{00000000-0005-0000-0000-000048230000}"/>
    <cellStyle name="20% - Accent6 2 3 6" xfId="14985" xr:uid="{00000000-0005-0000-0000-000049230000}"/>
    <cellStyle name="20% - Accent6 2 3 7" xfId="18936" xr:uid="{00000000-0005-0000-0000-00004A230000}"/>
    <cellStyle name="20% - Accent6 2 3_Volatility" xfId="3793" xr:uid="{00000000-0005-0000-0000-00004B230000}"/>
    <cellStyle name="20% - Accent6 2 4" xfId="3794" xr:uid="{00000000-0005-0000-0000-00004C230000}"/>
    <cellStyle name="20% - Accent6 2 4 2" xfId="3795" xr:uid="{00000000-0005-0000-0000-00004D230000}"/>
    <cellStyle name="20% - Accent6 2 4 2 2" xfId="14995" xr:uid="{00000000-0005-0000-0000-00004E230000}"/>
    <cellStyle name="20% - Accent6 2 4 2 3" xfId="18946" xr:uid="{00000000-0005-0000-0000-00004F230000}"/>
    <cellStyle name="20% - Accent6 2 4 3" xfId="3796" xr:uid="{00000000-0005-0000-0000-000050230000}"/>
    <cellStyle name="20% - Accent6 2 4 3 2" xfId="14996" xr:uid="{00000000-0005-0000-0000-000051230000}"/>
    <cellStyle name="20% - Accent6 2 4 3 3" xfId="18947" xr:uid="{00000000-0005-0000-0000-000052230000}"/>
    <cellStyle name="20% - Accent6 2 4 4" xfId="14994" xr:uid="{00000000-0005-0000-0000-000053230000}"/>
    <cellStyle name="20% - Accent6 2 4 5" xfId="18945" xr:uid="{00000000-0005-0000-0000-000054230000}"/>
    <cellStyle name="20% - Accent6 2 5" xfId="3797" xr:uid="{00000000-0005-0000-0000-000055230000}"/>
    <cellStyle name="20% - Accent6 2 5 2" xfId="3798" xr:uid="{00000000-0005-0000-0000-000056230000}"/>
    <cellStyle name="20% - Accent6 2 5 2 2" xfId="14998" xr:uid="{00000000-0005-0000-0000-000057230000}"/>
    <cellStyle name="20% - Accent6 2 5 2 3" xfId="18949" xr:uid="{00000000-0005-0000-0000-000058230000}"/>
    <cellStyle name="20% - Accent6 2 5 3" xfId="3799" xr:uid="{00000000-0005-0000-0000-000059230000}"/>
    <cellStyle name="20% - Accent6 2 5 3 2" xfId="14999" xr:uid="{00000000-0005-0000-0000-00005A230000}"/>
    <cellStyle name="20% - Accent6 2 5 3 3" xfId="18950" xr:uid="{00000000-0005-0000-0000-00005B230000}"/>
    <cellStyle name="20% - Accent6 2 5 4" xfId="14997" xr:uid="{00000000-0005-0000-0000-00005C230000}"/>
    <cellStyle name="20% - Accent6 2 5 5" xfId="18948" xr:uid="{00000000-0005-0000-0000-00005D230000}"/>
    <cellStyle name="20% - Accent6 2 6" xfId="3800" xr:uid="{00000000-0005-0000-0000-00005E230000}"/>
    <cellStyle name="20% - Accent6 2 6 2" xfId="3801" xr:uid="{00000000-0005-0000-0000-00005F230000}"/>
    <cellStyle name="20% - Accent6 2 6 2 2" xfId="15001" xr:uid="{00000000-0005-0000-0000-000060230000}"/>
    <cellStyle name="20% - Accent6 2 6 2 3" xfId="18952" xr:uid="{00000000-0005-0000-0000-000061230000}"/>
    <cellStyle name="20% - Accent6 2 6 3" xfId="3802" xr:uid="{00000000-0005-0000-0000-000062230000}"/>
    <cellStyle name="20% - Accent6 2 6 3 2" xfId="15002" xr:uid="{00000000-0005-0000-0000-000063230000}"/>
    <cellStyle name="20% - Accent6 2 6 3 3" xfId="18953" xr:uid="{00000000-0005-0000-0000-000064230000}"/>
    <cellStyle name="20% - Accent6 2 6 4" xfId="15000" xr:uid="{00000000-0005-0000-0000-000065230000}"/>
    <cellStyle name="20% - Accent6 2 6 5" xfId="18951" xr:uid="{00000000-0005-0000-0000-000066230000}"/>
    <cellStyle name="20% - Accent6 2 7" xfId="3803" xr:uid="{00000000-0005-0000-0000-000067230000}"/>
    <cellStyle name="20% - Accent6 2 7 2" xfId="15003" xr:uid="{00000000-0005-0000-0000-000068230000}"/>
    <cellStyle name="20% - Accent6 2 7 3" xfId="18954" xr:uid="{00000000-0005-0000-0000-000069230000}"/>
    <cellStyle name="20% - Accent6 2 8" xfId="3804" xr:uid="{00000000-0005-0000-0000-00006A230000}"/>
    <cellStyle name="20% - Accent6 2 8 2" xfId="15004" xr:uid="{00000000-0005-0000-0000-00006B230000}"/>
    <cellStyle name="20% - Accent6 2 8 3" xfId="18955" xr:uid="{00000000-0005-0000-0000-00006C230000}"/>
    <cellStyle name="20% - Accent6 2 9" xfId="14972" xr:uid="{00000000-0005-0000-0000-00006D230000}"/>
    <cellStyle name="20% - Accent6 2_Volatility" xfId="3805" xr:uid="{00000000-0005-0000-0000-00006E230000}"/>
    <cellStyle name="20% - Accent6 3" xfId="3806" xr:uid="{00000000-0005-0000-0000-00006F230000}"/>
    <cellStyle name="20% - Accent6 3 10" xfId="18956" xr:uid="{00000000-0005-0000-0000-000070230000}"/>
    <cellStyle name="20% - Accent6 3 2" xfId="3807" xr:uid="{00000000-0005-0000-0000-000071230000}"/>
    <cellStyle name="20% - Accent6 3 2 2" xfId="3808" xr:uid="{00000000-0005-0000-0000-000072230000}"/>
    <cellStyle name="20% - Accent6 3 2 2 2" xfId="3809" xr:uid="{00000000-0005-0000-0000-000073230000}"/>
    <cellStyle name="20% - Accent6 3 2 2 2 2" xfId="15008" xr:uid="{00000000-0005-0000-0000-000074230000}"/>
    <cellStyle name="20% - Accent6 3 2 2 2 3" xfId="18959" xr:uid="{00000000-0005-0000-0000-000075230000}"/>
    <cellStyle name="20% - Accent6 3 2 2 3" xfId="3810" xr:uid="{00000000-0005-0000-0000-000076230000}"/>
    <cellStyle name="20% - Accent6 3 2 2 3 2" xfId="15009" xr:uid="{00000000-0005-0000-0000-000077230000}"/>
    <cellStyle name="20% - Accent6 3 2 2 3 3" xfId="18960" xr:uid="{00000000-0005-0000-0000-000078230000}"/>
    <cellStyle name="20% - Accent6 3 2 2 4" xfId="15007" xr:uid="{00000000-0005-0000-0000-000079230000}"/>
    <cellStyle name="20% - Accent6 3 2 2 5" xfId="18958" xr:uid="{00000000-0005-0000-0000-00007A230000}"/>
    <cellStyle name="20% - Accent6 3 2 3" xfId="3811" xr:uid="{00000000-0005-0000-0000-00007B230000}"/>
    <cellStyle name="20% - Accent6 3 2 3 2" xfId="3812" xr:uid="{00000000-0005-0000-0000-00007C230000}"/>
    <cellStyle name="20% - Accent6 3 2 3 2 2" xfId="15011" xr:uid="{00000000-0005-0000-0000-00007D230000}"/>
    <cellStyle name="20% - Accent6 3 2 3 2 3" xfId="18962" xr:uid="{00000000-0005-0000-0000-00007E230000}"/>
    <cellStyle name="20% - Accent6 3 2 3 3" xfId="3813" xr:uid="{00000000-0005-0000-0000-00007F230000}"/>
    <cellStyle name="20% - Accent6 3 2 3 3 2" xfId="15012" xr:uid="{00000000-0005-0000-0000-000080230000}"/>
    <cellStyle name="20% - Accent6 3 2 3 3 3" xfId="18963" xr:uid="{00000000-0005-0000-0000-000081230000}"/>
    <cellStyle name="20% - Accent6 3 2 3 4" xfId="15010" xr:uid="{00000000-0005-0000-0000-000082230000}"/>
    <cellStyle name="20% - Accent6 3 2 3 5" xfId="18961" xr:uid="{00000000-0005-0000-0000-000083230000}"/>
    <cellStyle name="20% - Accent6 3 2 4" xfId="3814" xr:uid="{00000000-0005-0000-0000-000084230000}"/>
    <cellStyle name="20% - Accent6 3 2 4 2" xfId="3815" xr:uid="{00000000-0005-0000-0000-000085230000}"/>
    <cellStyle name="20% - Accent6 3 2 4 2 2" xfId="15014" xr:uid="{00000000-0005-0000-0000-000086230000}"/>
    <cellStyle name="20% - Accent6 3 2 4 2 3" xfId="18965" xr:uid="{00000000-0005-0000-0000-000087230000}"/>
    <cellStyle name="20% - Accent6 3 2 4 3" xfId="3816" xr:uid="{00000000-0005-0000-0000-000088230000}"/>
    <cellStyle name="20% - Accent6 3 2 4 3 2" xfId="15015" xr:uid="{00000000-0005-0000-0000-000089230000}"/>
    <cellStyle name="20% - Accent6 3 2 4 3 3" xfId="18966" xr:uid="{00000000-0005-0000-0000-00008A230000}"/>
    <cellStyle name="20% - Accent6 3 2 4 4" xfId="15013" xr:uid="{00000000-0005-0000-0000-00008B230000}"/>
    <cellStyle name="20% - Accent6 3 2 4 5" xfId="18964" xr:uid="{00000000-0005-0000-0000-00008C230000}"/>
    <cellStyle name="20% - Accent6 3 2 5" xfId="3817" xr:uid="{00000000-0005-0000-0000-00008D230000}"/>
    <cellStyle name="20% - Accent6 3 2 5 2" xfId="15016" xr:uid="{00000000-0005-0000-0000-00008E230000}"/>
    <cellStyle name="20% - Accent6 3 2 5 3" xfId="18967" xr:uid="{00000000-0005-0000-0000-00008F230000}"/>
    <cellStyle name="20% - Accent6 3 2 6" xfId="3818" xr:uid="{00000000-0005-0000-0000-000090230000}"/>
    <cellStyle name="20% - Accent6 3 2 6 2" xfId="15017" xr:uid="{00000000-0005-0000-0000-000091230000}"/>
    <cellStyle name="20% - Accent6 3 2 6 3" xfId="18968" xr:uid="{00000000-0005-0000-0000-000092230000}"/>
    <cellStyle name="20% - Accent6 3 2 7" xfId="15006" xr:uid="{00000000-0005-0000-0000-000093230000}"/>
    <cellStyle name="20% - Accent6 3 2 8" xfId="18957" xr:uid="{00000000-0005-0000-0000-000094230000}"/>
    <cellStyle name="20% - Accent6 3 2_Volatility" xfId="3819" xr:uid="{00000000-0005-0000-0000-000095230000}"/>
    <cellStyle name="20% - Accent6 3 3" xfId="3820" xr:uid="{00000000-0005-0000-0000-000096230000}"/>
    <cellStyle name="20% - Accent6 3 3 2" xfId="3821" xr:uid="{00000000-0005-0000-0000-000097230000}"/>
    <cellStyle name="20% - Accent6 3 3 2 2" xfId="3822" xr:uid="{00000000-0005-0000-0000-000098230000}"/>
    <cellStyle name="20% - Accent6 3 3 2 2 2" xfId="15020" xr:uid="{00000000-0005-0000-0000-000099230000}"/>
    <cellStyle name="20% - Accent6 3 3 2 2 3" xfId="18971" xr:uid="{00000000-0005-0000-0000-00009A230000}"/>
    <cellStyle name="20% - Accent6 3 3 2 3" xfId="3823" xr:uid="{00000000-0005-0000-0000-00009B230000}"/>
    <cellStyle name="20% - Accent6 3 3 2 3 2" xfId="15021" xr:uid="{00000000-0005-0000-0000-00009C230000}"/>
    <cellStyle name="20% - Accent6 3 3 2 3 3" xfId="18972" xr:uid="{00000000-0005-0000-0000-00009D230000}"/>
    <cellStyle name="20% - Accent6 3 3 2 4" xfId="15019" xr:uid="{00000000-0005-0000-0000-00009E230000}"/>
    <cellStyle name="20% - Accent6 3 3 2 5" xfId="18970" xr:uid="{00000000-0005-0000-0000-00009F230000}"/>
    <cellStyle name="20% - Accent6 3 3 3" xfId="3824" xr:uid="{00000000-0005-0000-0000-0000A0230000}"/>
    <cellStyle name="20% - Accent6 3 3 3 2" xfId="3825" xr:uid="{00000000-0005-0000-0000-0000A1230000}"/>
    <cellStyle name="20% - Accent6 3 3 3 2 2" xfId="15023" xr:uid="{00000000-0005-0000-0000-0000A2230000}"/>
    <cellStyle name="20% - Accent6 3 3 3 2 3" xfId="18974" xr:uid="{00000000-0005-0000-0000-0000A3230000}"/>
    <cellStyle name="20% - Accent6 3 3 3 3" xfId="3826" xr:uid="{00000000-0005-0000-0000-0000A4230000}"/>
    <cellStyle name="20% - Accent6 3 3 3 3 2" xfId="15024" xr:uid="{00000000-0005-0000-0000-0000A5230000}"/>
    <cellStyle name="20% - Accent6 3 3 3 3 3" xfId="18975" xr:uid="{00000000-0005-0000-0000-0000A6230000}"/>
    <cellStyle name="20% - Accent6 3 3 3 4" xfId="15022" xr:uid="{00000000-0005-0000-0000-0000A7230000}"/>
    <cellStyle name="20% - Accent6 3 3 3 5" xfId="18973" xr:uid="{00000000-0005-0000-0000-0000A8230000}"/>
    <cellStyle name="20% - Accent6 3 3 4" xfId="3827" xr:uid="{00000000-0005-0000-0000-0000A9230000}"/>
    <cellStyle name="20% - Accent6 3 3 4 2" xfId="15025" xr:uid="{00000000-0005-0000-0000-0000AA230000}"/>
    <cellStyle name="20% - Accent6 3 3 4 3" xfId="18976" xr:uid="{00000000-0005-0000-0000-0000AB230000}"/>
    <cellStyle name="20% - Accent6 3 3 5" xfId="3828" xr:uid="{00000000-0005-0000-0000-0000AC230000}"/>
    <cellStyle name="20% - Accent6 3 3 5 2" xfId="15026" xr:uid="{00000000-0005-0000-0000-0000AD230000}"/>
    <cellStyle name="20% - Accent6 3 3 5 3" xfId="18977" xr:uid="{00000000-0005-0000-0000-0000AE230000}"/>
    <cellStyle name="20% - Accent6 3 3 6" xfId="15018" xr:uid="{00000000-0005-0000-0000-0000AF230000}"/>
    <cellStyle name="20% - Accent6 3 3 7" xfId="18969" xr:uid="{00000000-0005-0000-0000-0000B0230000}"/>
    <cellStyle name="20% - Accent6 3 3_Volatility" xfId="3829" xr:uid="{00000000-0005-0000-0000-0000B1230000}"/>
    <cellStyle name="20% - Accent6 3 4" xfId="3830" xr:uid="{00000000-0005-0000-0000-0000B2230000}"/>
    <cellStyle name="20% - Accent6 3 4 2" xfId="3831" xr:uid="{00000000-0005-0000-0000-0000B3230000}"/>
    <cellStyle name="20% - Accent6 3 4 2 2" xfId="15028" xr:uid="{00000000-0005-0000-0000-0000B4230000}"/>
    <cellStyle name="20% - Accent6 3 4 2 3" xfId="18979" xr:uid="{00000000-0005-0000-0000-0000B5230000}"/>
    <cellStyle name="20% - Accent6 3 4 3" xfId="3832" xr:uid="{00000000-0005-0000-0000-0000B6230000}"/>
    <cellStyle name="20% - Accent6 3 4 3 2" xfId="15029" xr:uid="{00000000-0005-0000-0000-0000B7230000}"/>
    <cellStyle name="20% - Accent6 3 4 3 3" xfId="18980" xr:uid="{00000000-0005-0000-0000-0000B8230000}"/>
    <cellStyle name="20% - Accent6 3 4 4" xfId="15027" xr:uid="{00000000-0005-0000-0000-0000B9230000}"/>
    <cellStyle name="20% - Accent6 3 4 5" xfId="18978" xr:uid="{00000000-0005-0000-0000-0000BA230000}"/>
    <cellStyle name="20% - Accent6 3 5" xfId="3833" xr:uid="{00000000-0005-0000-0000-0000BB230000}"/>
    <cellStyle name="20% - Accent6 3 5 2" xfId="3834" xr:uid="{00000000-0005-0000-0000-0000BC230000}"/>
    <cellStyle name="20% - Accent6 3 5 2 2" xfId="15031" xr:uid="{00000000-0005-0000-0000-0000BD230000}"/>
    <cellStyle name="20% - Accent6 3 5 2 3" xfId="18982" xr:uid="{00000000-0005-0000-0000-0000BE230000}"/>
    <cellStyle name="20% - Accent6 3 5 3" xfId="3835" xr:uid="{00000000-0005-0000-0000-0000BF230000}"/>
    <cellStyle name="20% - Accent6 3 5 3 2" xfId="15032" xr:uid="{00000000-0005-0000-0000-0000C0230000}"/>
    <cellStyle name="20% - Accent6 3 5 3 3" xfId="18983" xr:uid="{00000000-0005-0000-0000-0000C1230000}"/>
    <cellStyle name="20% - Accent6 3 5 4" xfId="15030" xr:uid="{00000000-0005-0000-0000-0000C2230000}"/>
    <cellStyle name="20% - Accent6 3 5 5" xfId="18981" xr:uid="{00000000-0005-0000-0000-0000C3230000}"/>
    <cellStyle name="20% - Accent6 3 6" xfId="3836" xr:uid="{00000000-0005-0000-0000-0000C4230000}"/>
    <cellStyle name="20% - Accent6 3 6 2" xfId="3837" xr:uid="{00000000-0005-0000-0000-0000C5230000}"/>
    <cellStyle name="20% - Accent6 3 6 2 2" xfId="15034" xr:uid="{00000000-0005-0000-0000-0000C6230000}"/>
    <cellStyle name="20% - Accent6 3 6 2 3" xfId="18985" xr:uid="{00000000-0005-0000-0000-0000C7230000}"/>
    <cellStyle name="20% - Accent6 3 6 3" xfId="3838" xr:uid="{00000000-0005-0000-0000-0000C8230000}"/>
    <cellStyle name="20% - Accent6 3 6 3 2" xfId="15035" xr:uid="{00000000-0005-0000-0000-0000C9230000}"/>
    <cellStyle name="20% - Accent6 3 6 3 3" xfId="18986" xr:uid="{00000000-0005-0000-0000-0000CA230000}"/>
    <cellStyle name="20% - Accent6 3 6 4" xfId="15033" xr:uid="{00000000-0005-0000-0000-0000CB230000}"/>
    <cellStyle name="20% - Accent6 3 6 5" xfId="18984" xr:uid="{00000000-0005-0000-0000-0000CC230000}"/>
    <cellStyle name="20% - Accent6 3 7" xfId="3839" xr:uid="{00000000-0005-0000-0000-0000CD230000}"/>
    <cellStyle name="20% - Accent6 3 7 2" xfId="15036" xr:uid="{00000000-0005-0000-0000-0000CE230000}"/>
    <cellStyle name="20% - Accent6 3 7 3" xfId="18987" xr:uid="{00000000-0005-0000-0000-0000CF230000}"/>
    <cellStyle name="20% - Accent6 3 8" xfId="3840" xr:uid="{00000000-0005-0000-0000-0000D0230000}"/>
    <cellStyle name="20% - Accent6 3 8 2" xfId="15037" xr:uid="{00000000-0005-0000-0000-0000D1230000}"/>
    <cellStyle name="20% - Accent6 3 8 3" xfId="18988" xr:uid="{00000000-0005-0000-0000-0000D2230000}"/>
    <cellStyle name="20% - Accent6 3 9" xfId="15005" xr:uid="{00000000-0005-0000-0000-0000D3230000}"/>
    <cellStyle name="20% - Accent6 3_Volatility" xfId="3841" xr:uid="{00000000-0005-0000-0000-0000D4230000}"/>
    <cellStyle name="20% - Accent6 4" xfId="3842" xr:uid="{00000000-0005-0000-0000-0000D5230000}"/>
    <cellStyle name="20% - Accent6 4 10" xfId="18989" xr:uid="{00000000-0005-0000-0000-0000D6230000}"/>
    <cellStyle name="20% - Accent6 4 2" xfId="3843" xr:uid="{00000000-0005-0000-0000-0000D7230000}"/>
    <cellStyle name="20% - Accent6 4 2 2" xfId="3844" xr:uid="{00000000-0005-0000-0000-0000D8230000}"/>
    <cellStyle name="20% - Accent6 4 2 2 2" xfId="3845" xr:uid="{00000000-0005-0000-0000-0000D9230000}"/>
    <cellStyle name="20% - Accent6 4 2 2 2 2" xfId="15041" xr:uid="{00000000-0005-0000-0000-0000DA230000}"/>
    <cellStyle name="20% - Accent6 4 2 2 2 3" xfId="18992" xr:uid="{00000000-0005-0000-0000-0000DB230000}"/>
    <cellStyle name="20% - Accent6 4 2 2 3" xfId="3846" xr:uid="{00000000-0005-0000-0000-0000DC230000}"/>
    <cellStyle name="20% - Accent6 4 2 2 3 2" xfId="15042" xr:uid="{00000000-0005-0000-0000-0000DD230000}"/>
    <cellStyle name="20% - Accent6 4 2 2 3 3" xfId="18993" xr:uid="{00000000-0005-0000-0000-0000DE230000}"/>
    <cellStyle name="20% - Accent6 4 2 2 4" xfId="15040" xr:uid="{00000000-0005-0000-0000-0000DF230000}"/>
    <cellStyle name="20% - Accent6 4 2 2 5" xfId="18991" xr:uid="{00000000-0005-0000-0000-0000E0230000}"/>
    <cellStyle name="20% - Accent6 4 2 3" xfId="3847" xr:uid="{00000000-0005-0000-0000-0000E1230000}"/>
    <cellStyle name="20% - Accent6 4 2 3 2" xfId="3848" xr:uid="{00000000-0005-0000-0000-0000E2230000}"/>
    <cellStyle name="20% - Accent6 4 2 3 2 2" xfId="15044" xr:uid="{00000000-0005-0000-0000-0000E3230000}"/>
    <cellStyle name="20% - Accent6 4 2 3 2 3" xfId="18995" xr:uid="{00000000-0005-0000-0000-0000E4230000}"/>
    <cellStyle name="20% - Accent6 4 2 3 3" xfId="3849" xr:uid="{00000000-0005-0000-0000-0000E5230000}"/>
    <cellStyle name="20% - Accent6 4 2 3 3 2" xfId="15045" xr:uid="{00000000-0005-0000-0000-0000E6230000}"/>
    <cellStyle name="20% - Accent6 4 2 3 3 3" xfId="18996" xr:uid="{00000000-0005-0000-0000-0000E7230000}"/>
    <cellStyle name="20% - Accent6 4 2 3 4" xfId="15043" xr:uid="{00000000-0005-0000-0000-0000E8230000}"/>
    <cellStyle name="20% - Accent6 4 2 3 5" xfId="18994" xr:uid="{00000000-0005-0000-0000-0000E9230000}"/>
    <cellStyle name="20% - Accent6 4 2 4" xfId="3850" xr:uid="{00000000-0005-0000-0000-0000EA230000}"/>
    <cellStyle name="20% - Accent6 4 2 4 2" xfId="3851" xr:uid="{00000000-0005-0000-0000-0000EB230000}"/>
    <cellStyle name="20% - Accent6 4 2 4 2 2" xfId="15047" xr:uid="{00000000-0005-0000-0000-0000EC230000}"/>
    <cellStyle name="20% - Accent6 4 2 4 2 3" xfId="18998" xr:uid="{00000000-0005-0000-0000-0000ED230000}"/>
    <cellStyle name="20% - Accent6 4 2 4 3" xfId="3852" xr:uid="{00000000-0005-0000-0000-0000EE230000}"/>
    <cellStyle name="20% - Accent6 4 2 4 3 2" xfId="15048" xr:uid="{00000000-0005-0000-0000-0000EF230000}"/>
    <cellStyle name="20% - Accent6 4 2 4 3 3" xfId="18999" xr:uid="{00000000-0005-0000-0000-0000F0230000}"/>
    <cellStyle name="20% - Accent6 4 2 4 4" xfId="15046" xr:uid="{00000000-0005-0000-0000-0000F1230000}"/>
    <cellStyle name="20% - Accent6 4 2 4 5" xfId="18997" xr:uid="{00000000-0005-0000-0000-0000F2230000}"/>
    <cellStyle name="20% - Accent6 4 2 5" xfId="3853" xr:uid="{00000000-0005-0000-0000-0000F3230000}"/>
    <cellStyle name="20% - Accent6 4 2 5 2" xfId="15049" xr:uid="{00000000-0005-0000-0000-0000F4230000}"/>
    <cellStyle name="20% - Accent6 4 2 5 3" xfId="19000" xr:uid="{00000000-0005-0000-0000-0000F5230000}"/>
    <cellStyle name="20% - Accent6 4 2 6" xfId="3854" xr:uid="{00000000-0005-0000-0000-0000F6230000}"/>
    <cellStyle name="20% - Accent6 4 2 6 2" xfId="15050" xr:uid="{00000000-0005-0000-0000-0000F7230000}"/>
    <cellStyle name="20% - Accent6 4 2 6 3" xfId="19001" xr:uid="{00000000-0005-0000-0000-0000F8230000}"/>
    <cellStyle name="20% - Accent6 4 2 7" xfId="15039" xr:uid="{00000000-0005-0000-0000-0000F9230000}"/>
    <cellStyle name="20% - Accent6 4 2 8" xfId="18990" xr:uid="{00000000-0005-0000-0000-0000FA230000}"/>
    <cellStyle name="20% - Accent6 4 2_Volatility" xfId="3855" xr:uid="{00000000-0005-0000-0000-0000FB230000}"/>
    <cellStyle name="20% - Accent6 4 3" xfId="3856" xr:uid="{00000000-0005-0000-0000-0000FC230000}"/>
    <cellStyle name="20% - Accent6 4 3 2" xfId="3857" xr:uid="{00000000-0005-0000-0000-0000FD230000}"/>
    <cellStyle name="20% - Accent6 4 3 2 2" xfId="3858" xr:uid="{00000000-0005-0000-0000-0000FE230000}"/>
    <cellStyle name="20% - Accent6 4 3 2 2 2" xfId="15053" xr:uid="{00000000-0005-0000-0000-0000FF230000}"/>
    <cellStyle name="20% - Accent6 4 3 2 2 3" xfId="19004" xr:uid="{00000000-0005-0000-0000-000000240000}"/>
    <cellStyle name="20% - Accent6 4 3 2 3" xfId="3859" xr:uid="{00000000-0005-0000-0000-000001240000}"/>
    <cellStyle name="20% - Accent6 4 3 2 3 2" xfId="15054" xr:uid="{00000000-0005-0000-0000-000002240000}"/>
    <cellStyle name="20% - Accent6 4 3 2 3 3" xfId="19005" xr:uid="{00000000-0005-0000-0000-000003240000}"/>
    <cellStyle name="20% - Accent6 4 3 2 4" xfId="15052" xr:uid="{00000000-0005-0000-0000-000004240000}"/>
    <cellStyle name="20% - Accent6 4 3 2 5" xfId="19003" xr:uid="{00000000-0005-0000-0000-000005240000}"/>
    <cellStyle name="20% - Accent6 4 3 3" xfId="3860" xr:uid="{00000000-0005-0000-0000-000006240000}"/>
    <cellStyle name="20% - Accent6 4 3 3 2" xfId="3861" xr:uid="{00000000-0005-0000-0000-000007240000}"/>
    <cellStyle name="20% - Accent6 4 3 3 2 2" xfId="15056" xr:uid="{00000000-0005-0000-0000-000008240000}"/>
    <cellStyle name="20% - Accent6 4 3 3 2 3" xfId="19007" xr:uid="{00000000-0005-0000-0000-000009240000}"/>
    <cellStyle name="20% - Accent6 4 3 3 3" xfId="3862" xr:uid="{00000000-0005-0000-0000-00000A240000}"/>
    <cellStyle name="20% - Accent6 4 3 3 3 2" xfId="15057" xr:uid="{00000000-0005-0000-0000-00000B240000}"/>
    <cellStyle name="20% - Accent6 4 3 3 3 3" xfId="19008" xr:uid="{00000000-0005-0000-0000-00000C240000}"/>
    <cellStyle name="20% - Accent6 4 3 3 4" xfId="15055" xr:uid="{00000000-0005-0000-0000-00000D240000}"/>
    <cellStyle name="20% - Accent6 4 3 3 5" xfId="19006" xr:uid="{00000000-0005-0000-0000-00000E240000}"/>
    <cellStyle name="20% - Accent6 4 3 4" xfId="3863" xr:uid="{00000000-0005-0000-0000-00000F240000}"/>
    <cellStyle name="20% - Accent6 4 3 4 2" xfId="15058" xr:uid="{00000000-0005-0000-0000-000010240000}"/>
    <cellStyle name="20% - Accent6 4 3 4 3" xfId="19009" xr:uid="{00000000-0005-0000-0000-000011240000}"/>
    <cellStyle name="20% - Accent6 4 3 5" xfId="3864" xr:uid="{00000000-0005-0000-0000-000012240000}"/>
    <cellStyle name="20% - Accent6 4 3 5 2" xfId="15059" xr:uid="{00000000-0005-0000-0000-000013240000}"/>
    <cellStyle name="20% - Accent6 4 3 5 3" xfId="19010" xr:uid="{00000000-0005-0000-0000-000014240000}"/>
    <cellStyle name="20% - Accent6 4 3 6" xfId="15051" xr:uid="{00000000-0005-0000-0000-000015240000}"/>
    <cellStyle name="20% - Accent6 4 3 7" xfId="19002" xr:uid="{00000000-0005-0000-0000-000016240000}"/>
    <cellStyle name="20% - Accent6 4 3_Volatility" xfId="3865" xr:uid="{00000000-0005-0000-0000-000017240000}"/>
    <cellStyle name="20% - Accent6 4 4" xfId="3866" xr:uid="{00000000-0005-0000-0000-000018240000}"/>
    <cellStyle name="20% - Accent6 4 4 2" xfId="3867" xr:uid="{00000000-0005-0000-0000-000019240000}"/>
    <cellStyle name="20% - Accent6 4 4 2 2" xfId="15061" xr:uid="{00000000-0005-0000-0000-00001A240000}"/>
    <cellStyle name="20% - Accent6 4 4 2 3" xfId="19012" xr:uid="{00000000-0005-0000-0000-00001B240000}"/>
    <cellStyle name="20% - Accent6 4 4 3" xfId="3868" xr:uid="{00000000-0005-0000-0000-00001C240000}"/>
    <cellStyle name="20% - Accent6 4 4 3 2" xfId="15062" xr:uid="{00000000-0005-0000-0000-00001D240000}"/>
    <cellStyle name="20% - Accent6 4 4 3 3" xfId="19013" xr:uid="{00000000-0005-0000-0000-00001E240000}"/>
    <cellStyle name="20% - Accent6 4 4 4" xfId="15060" xr:uid="{00000000-0005-0000-0000-00001F240000}"/>
    <cellStyle name="20% - Accent6 4 4 5" xfId="19011" xr:uid="{00000000-0005-0000-0000-000020240000}"/>
    <cellStyle name="20% - Accent6 4 5" xfId="3869" xr:uid="{00000000-0005-0000-0000-000021240000}"/>
    <cellStyle name="20% - Accent6 4 5 2" xfId="3870" xr:uid="{00000000-0005-0000-0000-000022240000}"/>
    <cellStyle name="20% - Accent6 4 5 2 2" xfId="15064" xr:uid="{00000000-0005-0000-0000-000023240000}"/>
    <cellStyle name="20% - Accent6 4 5 2 3" xfId="19015" xr:uid="{00000000-0005-0000-0000-000024240000}"/>
    <cellStyle name="20% - Accent6 4 5 3" xfId="3871" xr:uid="{00000000-0005-0000-0000-000025240000}"/>
    <cellStyle name="20% - Accent6 4 5 3 2" xfId="15065" xr:uid="{00000000-0005-0000-0000-000026240000}"/>
    <cellStyle name="20% - Accent6 4 5 3 3" xfId="19016" xr:uid="{00000000-0005-0000-0000-000027240000}"/>
    <cellStyle name="20% - Accent6 4 5 4" xfId="15063" xr:uid="{00000000-0005-0000-0000-000028240000}"/>
    <cellStyle name="20% - Accent6 4 5 5" xfId="19014" xr:uid="{00000000-0005-0000-0000-000029240000}"/>
    <cellStyle name="20% - Accent6 4 6" xfId="3872" xr:uid="{00000000-0005-0000-0000-00002A240000}"/>
    <cellStyle name="20% - Accent6 4 6 2" xfId="3873" xr:uid="{00000000-0005-0000-0000-00002B240000}"/>
    <cellStyle name="20% - Accent6 4 6 2 2" xfId="15067" xr:uid="{00000000-0005-0000-0000-00002C240000}"/>
    <cellStyle name="20% - Accent6 4 6 2 3" xfId="19018" xr:uid="{00000000-0005-0000-0000-00002D240000}"/>
    <cellStyle name="20% - Accent6 4 6 3" xfId="3874" xr:uid="{00000000-0005-0000-0000-00002E240000}"/>
    <cellStyle name="20% - Accent6 4 6 3 2" xfId="15068" xr:uid="{00000000-0005-0000-0000-00002F240000}"/>
    <cellStyle name="20% - Accent6 4 6 3 3" xfId="19019" xr:uid="{00000000-0005-0000-0000-000030240000}"/>
    <cellStyle name="20% - Accent6 4 6 4" xfId="15066" xr:uid="{00000000-0005-0000-0000-000031240000}"/>
    <cellStyle name="20% - Accent6 4 6 5" xfId="19017" xr:uid="{00000000-0005-0000-0000-000032240000}"/>
    <cellStyle name="20% - Accent6 4 7" xfId="3875" xr:uid="{00000000-0005-0000-0000-000033240000}"/>
    <cellStyle name="20% - Accent6 4 7 2" xfId="15069" xr:uid="{00000000-0005-0000-0000-000034240000}"/>
    <cellStyle name="20% - Accent6 4 7 3" xfId="19020" xr:uid="{00000000-0005-0000-0000-000035240000}"/>
    <cellStyle name="20% - Accent6 4 8" xfId="3876" xr:uid="{00000000-0005-0000-0000-000036240000}"/>
    <cellStyle name="20% - Accent6 4 8 2" xfId="15070" xr:uid="{00000000-0005-0000-0000-000037240000}"/>
    <cellStyle name="20% - Accent6 4 8 3" xfId="19021" xr:uid="{00000000-0005-0000-0000-000038240000}"/>
    <cellStyle name="20% - Accent6 4 9" xfId="15038" xr:uid="{00000000-0005-0000-0000-000039240000}"/>
    <cellStyle name="20% - Accent6 4_Volatility" xfId="3877" xr:uid="{00000000-0005-0000-0000-00003A240000}"/>
    <cellStyle name="20% - Accent6 5" xfId="3878" xr:uid="{00000000-0005-0000-0000-00003B240000}"/>
    <cellStyle name="20% - Accent6 5 10" xfId="19022" xr:uid="{00000000-0005-0000-0000-00003C240000}"/>
    <cellStyle name="20% - Accent6 5 2" xfId="3879" xr:uid="{00000000-0005-0000-0000-00003D240000}"/>
    <cellStyle name="20% - Accent6 5 2 2" xfId="3880" xr:uid="{00000000-0005-0000-0000-00003E240000}"/>
    <cellStyle name="20% - Accent6 5 2 2 2" xfId="3881" xr:uid="{00000000-0005-0000-0000-00003F240000}"/>
    <cellStyle name="20% - Accent6 5 2 2 2 2" xfId="15074" xr:uid="{00000000-0005-0000-0000-000040240000}"/>
    <cellStyle name="20% - Accent6 5 2 2 2 3" xfId="19025" xr:uid="{00000000-0005-0000-0000-000041240000}"/>
    <cellStyle name="20% - Accent6 5 2 2 3" xfId="3882" xr:uid="{00000000-0005-0000-0000-000042240000}"/>
    <cellStyle name="20% - Accent6 5 2 2 3 2" xfId="15075" xr:uid="{00000000-0005-0000-0000-000043240000}"/>
    <cellStyle name="20% - Accent6 5 2 2 3 3" xfId="19026" xr:uid="{00000000-0005-0000-0000-000044240000}"/>
    <cellStyle name="20% - Accent6 5 2 2 4" xfId="15073" xr:uid="{00000000-0005-0000-0000-000045240000}"/>
    <cellStyle name="20% - Accent6 5 2 2 5" xfId="19024" xr:uid="{00000000-0005-0000-0000-000046240000}"/>
    <cellStyle name="20% - Accent6 5 2 3" xfId="3883" xr:uid="{00000000-0005-0000-0000-000047240000}"/>
    <cellStyle name="20% - Accent6 5 2 3 2" xfId="3884" xr:uid="{00000000-0005-0000-0000-000048240000}"/>
    <cellStyle name="20% - Accent6 5 2 3 2 2" xfId="15077" xr:uid="{00000000-0005-0000-0000-000049240000}"/>
    <cellStyle name="20% - Accent6 5 2 3 2 3" xfId="19028" xr:uid="{00000000-0005-0000-0000-00004A240000}"/>
    <cellStyle name="20% - Accent6 5 2 3 3" xfId="3885" xr:uid="{00000000-0005-0000-0000-00004B240000}"/>
    <cellStyle name="20% - Accent6 5 2 3 3 2" xfId="15078" xr:uid="{00000000-0005-0000-0000-00004C240000}"/>
    <cellStyle name="20% - Accent6 5 2 3 3 3" xfId="19029" xr:uid="{00000000-0005-0000-0000-00004D240000}"/>
    <cellStyle name="20% - Accent6 5 2 3 4" xfId="15076" xr:uid="{00000000-0005-0000-0000-00004E240000}"/>
    <cellStyle name="20% - Accent6 5 2 3 5" xfId="19027" xr:uid="{00000000-0005-0000-0000-00004F240000}"/>
    <cellStyle name="20% - Accent6 5 2 4" xfId="3886" xr:uid="{00000000-0005-0000-0000-000050240000}"/>
    <cellStyle name="20% - Accent6 5 2 4 2" xfId="3887" xr:uid="{00000000-0005-0000-0000-000051240000}"/>
    <cellStyle name="20% - Accent6 5 2 4 2 2" xfId="15080" xr:uid="{00000000-0005-0000-0000-000052240000}"/>
    <cellStyle name="20% - Accent6 5 2 4 2 3" xfId="19031" xr:uid="{00000000-0005-0000-0000-000053240000}"/>
    <cellStyle name="20% - Accent6 5 2 4 3" xfId="3888" xr:uid="{00000000-0005-0000-0000-000054240000}"/>
    <cellStyle name="20% - Accent6 5 2 4 3 2" xfId="15081" xr:uid="{00000000-0005-0000-0000-000055240000}"/>
    <cellStyle name="20% - Accent6 5 2 4 3 3" xfId="19032" xr:uid="{00000000-0005-0000-0000-000056240000}"/>
    <cellStyle name="20% - Accent6 5 2 4 4" xfId="15079" xr:uid="{00000000-0005-0000-0000-000057240000}"/>
    <cellStyle name="20% - Accent6 5 2 4 5" xfId="19030" xr:uid="{00000000-0005-0000-0000-000058240000}"/>
    <cellStyle name="20% - Accent6 5 2 5" xfId="3889" xr:uid="{00000000-0005-0000-0000-000059240000}"/>
    <cellStyle name="20% - Accent6 5 2 5 2" xfId="15082" xr:uid="{00000000-0005-0000-0000-00005A240000}"/>
    <cellStyle name="20% - Accent6 5 2 5 3" xfId="19033" xr:uid="{00000000-0005-0000-0000-00005B240000}"/>
    <cellStyle name="20% - Accent6 5 2 6" xfId="3890" xr:uid="{00000000-0005-0000-0000-00005C240000}"/>
    <cellStyle name="20% - Accent6 5 2 6 2" xfId="15083" xr:uid="{00000000-0005-0000-0000-00005D240000}"/>
    <cellStyle name="20% - Accent6 5 2 6 3" xfId="19034" xr:uid="{00000000-0005-0000-0000-00005E240000}"/>
    <cellStyle name="20% - Accent6 5 2 7" xfId="15072" xr:uid="{00000000-0005-0000-0000-00005F240000}"/>
    <cellStyle name="20% - Accent6 5 2 8" xfId="19023" xr:uid="{00000000-0005-0000-0000-000060240000}"/>
    <cellStyle name="20% - Accent6 5 2_Volatility" xfId="3891" xr:uid="{00000000-0005-0000-0000-000061240000}"/>
    <cellStyle name="20% - Accent6 5 3" xfId="3892" xr:uid="{00000000-0005-0000-0000-000062240000}"/>
    <cellStyle name="20% - Accent6 5 3 2" xfId="3893" xr:uid="{00000000-0005-0000-0000-000063240000}"/>
    <cellStyle name="20% - Accent6 5 3 2 2" xfId="3894" xr:uid="{00000000-0005-0000-0000-000064240000}"/>
    <cellStyle name="20% - Accent6 5 3 2 2 2" xfId="15086" xr:uid="{00000000-0005-0000-0000-000065240000}"/>
    <cellStyle name="20% - Accent6 5 3 2 2 3" xfId="19037" xr:uid="{00000000-0005-0000-0000-000066240000}"/>
    <cellStyle name="20% - Accent6 5 3 2 3" xfId="3895" xr:uid="{00000000-0005-0000-0000-000067240000}"/>
    <cellStyle name="20% - Accent6 5 3 2 3 2" xfId="15087" xr:uid="{00000000-0005-0000-0000-000068240000}"/>
    <cellStyle name="20% - Accent6 5 3 2 3 3" xfId="19038" xr:uid="{00000000-0005-0000-0000-000069240000}"/>
    <cellStyle name="20% - Accent6 5 3 2 4" xfId="15085" xr:uid="{00000000-0005-0000-0000-00006A240000}"/>
    <cellStyle name="20% - Accent6 5 3 2 5" xfId="19036" xr:uid="{00000000-0005-0000-0000-00006B240000}"/>
    <cellStyle name="20% - Accent6 5 3 3" xfId="3896" xr:uid="{00000000-0005-0000-0000-00006C240000}"/>
    <cellStyle name="20% - Accent6 5 3 3 2" xfId="3897" xr:uid="{00000000-0005-0000-0000-00006D240000}"/>
    <cellStyle name="20% - Accent6 5 3 3 2 2" xfId="15089" xr:uid="{00000000-0005-0000-0000-00006E240000}"/>
    <cellStyle name="20% - Accent6 5 3 3 2 3" xfId="19040" xr:uid="{00000000-0005-0000-0000-00006F240000}"/>
    <cellStyle name="20% - Accent6 5 3 3 3" xfId="3898" xr:uid="{00000000-0005-0000-0000-000070240000}"/>
    <cellStyle name="20% - Accent6 5 3 3 3 2" xfId="15090" xr:uid="{00000000-0005-0000-0000-000071240000}"/>
    <cellStyle name="20% - Accent6 5 3 3 3 3" xfId="19041" xr:uid="{00000000-0005-0000-0000-000072240000}"/>
    <cellStyle name="20% - Accent6 5 3 3 4" xfId="15088" xr:uid="{00000000-0005-0000-0000-000073240000}"/>
    <cellStyle name="20% - Accent6 5 3 3 5" xfId="19039" xr:uid="{00000000-0005-0000-0000-000074240000}"/>
    <cellStyle name="20% - Accent6 5 3 4" xfId="3899" xr:uid="{00000000-0005-0000-0000-000075240000}"/>
    <cellStyle name="20% - Accent6 5 3 4 2" xfId="15091" xr:uid="{00000000-0005-0000-0000-000076240000}"/>
    <cellStyle name="20% - Accent6 5 3 4 3" xfId="19042" xr:uid="{00000000-0005-0000-0000-000077240000}"/>
    <cellStyle name="20% - Accent6 5 3 5" xfId="3900" xr:uid="{00000000-0005-0000-0000-000078240000}"/>
    <cellStyle name="20% - Accent6 5 3 5 2" xfId="15092" xr:uid="{00000000-0005-0000-0000-000079240000}"/>
    <cellStyle name="20% - Accent6 5 3 5 3" xfId="19043" xr:uid="{00000000-0005-0000-0000-00007A240000}"/>
    <cellStyle name="20% - Accent6 5 3 6" xfId="15084" xr:uid="{00000000-0005-0000-0000-00007B240000}"/>
    <cellStyle name="20% - Accent6 5 3 7" xfId="19035" xr:uid="{00000000-0005-0000-0000-00007C240000}"/>
    <cellStyle name="20% - Accent6 5 3_Volatility" xfId="3901" xr:uid="{00000000-0005-0000-0000-00007D240000}"/>
    <cellStyle name="20% - Accent6 5 4" xfId="3902" xr:uid="{00000000-0005-0000-0000-00007E240000}"/>
    <cellStyle name="20% - Accent6 5 4 2" xfId="3903" xr:uid="{00000000-0005-0000-0000-00007F240000}"/>
    <cellStyle name="20% - Accent6 5 4 2 2" xfId="15094" xr:uid="{00000000-0005-0000-0000-000080240000}"/>
    <cellStyle name="20% - Accent6 5 4 2 3" xfId="19045" xr:uid="{00000000-0005-0000-0000-000081240000}"/>
    <cellStyle name="20% - Accent6 5 4 3" xfId="3904" xr:uid="{00000000-0005-0000-0000-000082240000}"/>
    <cellStyle name="20% - Accent6 5 4 3 2" xfId="15095" xr:uid="{00000000-0005-0000-0000-000083240000}"/>
    <cellStyle name="20% - Accent6 5 4 3 3" xfId="19046" xr:uid="{00000000-0005-0000-0000-000084240000}"/>
    <cellStyle name="20% - Accent6 5 4 4" xfId="15093" xr:uid="{00000000-0005-0000-0000-000085240000}"/>
    <cellStyle name="20% - Accent6 5 4 5" xfId="19044" xr:uid="{00000000-0005-0000-0000-000086240000}"/>
    <cellStyle name="20% - Accent6 5 5" xfId="3905" xr:uid="{00000000-0005-0000-0000-000087240000}"/>
    <cellStyle name="20% - Accent6 5 5 2" xfId="3906" xr:uid="{00000000-0005-0000-0000-000088240000}"/>
    <cellStyle name="20% - Accent6 5 5 2 2" xfId="15097" xr:uid="{00000000-0005-0000-0000-000089240000}"/>
    <cellStyle name="20% - Accent6 5 5 2 3" xfId="19048" xr:uid="{00000000-0005-0000-0000-00008A240000}"/>
    <cellStyle name="20% - Accent6 5 5 3" xfId="3907" xr:uid="{00000000-0005-0000-0000-00008B240000}"/>
    <cellStyle name="20% - Accent6 5 5 3 2" xfId="15098" xr:uid="{00000000-0005-0000-0000-00008C240000}"/>
    <cellStyle name="20% - Accent6 5 5 3 3" xfId="19049" xr:uid="{00000000-0005-0000-0000-00008D240000}"/>
    <cellStyle name="20% - Accent6 5 5 4" xfId="15096" xr:uid="{00000000-0005-0000-0000-00008E240000}"/>
    <cellStyle name="20% - Accent6 5 5 5" xfId="19047" xr:uid="{00000000-0005-0000-0000-00008F240000}"/>
    <cellStyle name="20% - Accent6 5 6" xfId="3908" xr:uid="{00000000-0005-0000-0000-000090240000}"/>
    <cellStyle name="20% - Accent6 5 6 2" xfId="3909" xr:uid="{00000000-0005-0000-0000-000091240000}"/>
    <cellStyle name="20% - Accent6 5 6 2 2" xfId="15100" xr:uid="{00000000-0005-0000-0000-000092240000}"/>
    <cellStyle name="20% - Accent6 5 6 2 3" xfId="19051" xr:uid="{00000000-0005-0000-0000-000093240000}"/>
    <cellStyle name="20% - Accent6 5 6 3" xfId="3910" xr:uid="{00000000-0005-0000-0000-000094240000}"/>
    <cellStyle name="20% - Accent6 5 6 3 2" xfId="15101" xr:uid="{00000000-0005-0000-0000-000095240000}"/>
    <cellStyle name="20% - Accent6 5 6 3 3" xfId="19052" xr:uid="{00000000-0005-0000-0000-000096240000}"/>
    <cellStyle name="20% - Accent6 5 6 4" xfId="15099" xr:uid="{00000000-0005-0000-0000-000097240000}"/>
    <cellStyle name="20% - Accent6 5 6 5" xfId="19050" xr:uid="{00000000-0005-0000-0000-000098240000}"/>
    <cellStyle name="20% - Accent6 5 7" xfId="3911" xr:uid="{00000000-0005-0000-0000-000099240000}"/>
    <cellStyle name="20% - Accent6 5 7 2" xfId="15102" xr:uid="{00000000-0005-0000-0000-00009A240000}"/>
    <cellStyle name="20% - Accent6 5 7 3" xfId="19053" xr:uid="{00000000-0005-0000-0000-00009B240000}"/>
    <cellStyle name="20% - Accent6 5 8" xfId="3912" xr:uid="{00000000-0005-0000-0000-00009C240000}"/>
    <cellStyle name="20% - Accent6 5 8 2" xfId="15103" xr:uid="{00000000-0005-0000-0000-00009D240000}"/>
    <cellStyle name="20% - Accent6 5 8 3" xfId="19054" xr:uid="{00000000-0005-0000-0000-00009E240000}"/>
    <cellStyle name="20% - Accent6 5 9" xfId="15071" xr:uid="{00000000-0005-0000-0000-00009F240000}"/>
    <cellStyle name="20% - Accent6 5_Volatility" xfId="3913" xr:uid="{00000000-0005-0000-0000-0000A0240000}"/>
    <cellStyle name="20% - Accent6 6" xfId="3914" xr:uid="{00000000-0005-0000-0000-0000A1240000}"/>
    <cellStyle name="20% - Accent6 6 10" xfId="19055" xr:uid="{00000000-0005-0000-0000-0000A2240000}"/>
    <cellStyle name="20% - Accent6 6 2" xfId="3915" xr:uid="{00000000-0005-0000-0000-0000A3240000}"/>
    <cellStyle name="20% - Accent6 6 2 2" xfId="3916" xr:uid="{00000000-0005-0000-0000-0000A4240000}"/>
    <cellStyle name="20% - Accent6 6 2 2 2" xfId="3917" xr:uid="{00000000-0005-0000-0000-0000A5240000}"/>
    <cellStyle name="20% - Accent6 6 2 2 2 2" xfId="15107" xr:uid="{00000000-0005-0000-0000-0000A6240000}"/>
    <cellStyle name="20% - Accent6 6 2 2 2 3" xfId="19058" xr:uid="{00000000-0005-0000-0000-0000A7240000}"/>
    <cellStyle name="20% - Accent6 6 2 2 3" xfId="3918" xr:uid="{00000000-0005-0000-0000-0000A8240000}"/>
    <cellStyle name="20% - Accent6 6 2 2 3 2" xfId="15108" xr:uid="{00000000-0005-0000-0000-0000A9240000}"/>
    <cellStyle name="20% - Accent6 6 2 2 3 3" xfId="19059" xr:uid="{00000000-0005-0000-0000-0000AA240000}"/>
    <cellStyle name="20% - Accent6 6 2 2 4" xfId="15106" xr:uid="{00000000-0005-0000-0000-0000AB240000}"/>
    <cellStyle name="20% - Accent6 6 2 2 5" xfId="19057" xr:uid="{00000000-0005-0000-0000-0000AC240000}"/>
    <cellStyle name="20% - Accent6 6 2 3" xfId="3919" xr:uid="{00000000-0005-0000-0000-0000AD240000}"/>
    <cellStyle name="20% - Accent6 6 2 3 2" xfId="3920" xr:uid="{00000000-0005-0000-0000-0000AE240000}"/>
    <cellStyle name="20% - Accent6 6 2 3 2 2" xfId="15110" xr:uid="{00000000-0005-0000-0000-0000AF240000}"/>
    <cellStyle name="20% - Accent6 6 2 3 2 3" xfId="19061" xr:uid="{00000000-0005-0000-0000-0000B0240000}"/>
    <cellStyle name="20% - Accent6 6 2 3 3" xfId="3921" xr:uid="{00000000-0005-0000-0000-0000B1240000}"/>
    <cellStyle name="20% - Accent6 6 2 3 3 2" xfId="15111" xr:uid="{00000000-0005-0000-0000-0000B2240000}"/>
    <cellStyle name="20% - Accent6 6 2 3 3 3" xfId="19062" xr:uid="{00000000-0005-0000-0000-0000B3240000}"/>
    <cellStyle name="20% - Accent6 6 2 3 4" xfId="15109" xr:uid="{00000000-0005-0000-0000-0000B4240000}"/>
    <cellStyle name="20% - Accent6 6 2 3 5" xfId="19060" xr:uid="{00000000-0005-0000-0000-0000B5240000}"/>
    <cellStyle name="20% - Accent6 6 2 4" xfId="3922" xr:uid="{00000000-0005-0000-0000-0000B6240000}"/>
    <cellStyle name="20% - Accent6 6 2 4 2" xfId="3923" xr:uid="{00000000-0005-0000-0000-0000B7240000}"/>
    <cellStyle name="20% - Accent6 6 2 4 2 2" xfId="15113" xr:uid="{00000000-0005-0000-0000-0000B8240000}"/>
    <cellStyle name="20% - Accent6 6 2 4 2 3" xfId="19064" xr:uid="{00000000-0005-0000-0000-0000B9240000}"/>
    <cellStyle name="20% - Accent6 6 2 4 3" xfId="3924" xr:uid="{00000000-0005-0000-0000-0000BA240000}"/>
    <cellStyle name="20% - Accent6 6 2 4 3 2" xfId="15114" xr:uid="{00000000-0005-0000-0000-0000BB240000}"/>
    <cellStyle name="20% - Accent6 6 2 4 3 3" xfId="19065" xr:uid="{00000000-0005-0000-0000-0000BC240000}"/>
    <cellStyle name="20% - Accent6 6 2 4 4" xfId="15112" xr:uid="{00000000-0005-0000-0000-0000BD240000}"/>
    <cellStyle name="20% - Accent6 6 2 4 5" xfId="19063" xr:uid="{00000000-0005-0000-0000-0000BE240000}"/>
    <cellStyle name="20% - Accent6 6 2 5" xfId="3925" xr:uid="{00000000-0005-0000-0000-0000BF240000}"/>
    <cellStyle name="20% - Accent6 6 2 5 2" xfId="15115" xr:uid="{00000000-0005-0000-0000-0000C0240000}"/>
    <cellStyle name="20% - Accent6 6 2 5 3" xfId="19066" xr:uid="{00000000-0005-0000-0000-0000C1240000}"/>
    <cellStyle name="20% - Accent6 6 2 6" xfId="3926" xr:uid="{00000000-0005-0000-0000-0000C2240000}"/>
    <cellStyle name="20% - Accent6 6 2 6 2" xfId="15116" xr:uid="{00000000-0005-0000-0000-0000C3240000}"/>
    <cellStyle name="20% - Accent6 6 2 6 3" xfId="19067" xr:uid="{00000000-0005-0000-0000-0000C4240000}"/>
    <cellStyle name="20% - Accent6 6 2 7" xfId="15105" xr:uid="{00000000-0005-0000-0000-0000C5240000}"/>
    <cellStyle name="20% - Accent6 6 2 8" xfId="19056" xr:uid="{00000000-0005-0000-0000-0000C6240000}"/>
    <cellStyle name="20% - Accent6 6 2_Volatility" xfId="3927" xr:uid="{00000000-0005-0000-0000-0000C7240000}"/>
    <cellStyle name="20% - Accent6 6 3" xfId="3928" xr:uid="{00000000-0005-0000-0000-0000C8240000}"/>
    <cellStyle name="20% - Accent6 6 3 2" xfId="3929" xr:uid="{00000000-0005-0000-0000-0000C9240000}"/>
    <cellStyle name="20% - Accent6 6 3 2 2" xfId="3930" xr:uid="{00000000-0005-0000-0000-0000CA240000}"/>
    <cellStyle name="20% - Accent6 6 3 2 2 2" xfId="15119" xr:uid="{00000000-0005-0000-0000-0000CB240000}"/>
    <cellStyle name="20% - Accent6 6 3 2 2 3" xfId="19070" xr:uid="{00000000-0005-0000-0000-0000CC240000}"/>
    <cellStyle name="20% - Accent6 6 3 2 3" xfId="3931" xr:uid="{00000000-0005-0000-0000-0000CD240000}"/>
    <cellStyle name="20% - Accent6 6 3 2 3 2" xfId="15120" xr:uid="{00000000-0005-0000-0000-0000CE240000}"/>
    <cellStyle name="20% - Accent6 6 3 2 3 3" xfId="19071" xr:uid="{00000000-0005-0000-0000-0000CF240000}"/>
    <cellStyle name="20% - Accent6 6 3 2 4" xfId="15118" xr:uid="{00000000-0005-0000-0000-0000D0240000}"/>
    <cellStyle name="20% - Accent6 6 3 2 5" xfId="19069" xr:uid="{00000000-0005-0000-0000-0000D1240000}"/>
    <cellStyle name="20% - Accent6 6 3 3" xfId="3932" xr:uid="{00000000-0005-0000-0000-0000D2240000}"/>
    <cellStyle name="20% - Accent6 6 3 3 2" xfId="3933" xr:uid="{00000000-0005-0000-0000-0000D3240000}"/>
    <cellStyle name="20% - Accent6 6 3 3 2 2" xfId="15122" xr:uid="{00000000-0005-0000-0000-0000D4240000}"/>
    <cellStyle name="20% - Accent6 6 3 3 2 3" xfId="19073" xr:uid="{00000000-0005-0000-0000-0000D5240000}"/>
    <cellStyle name="20% - Accent6 6 3 3 3" xfId="3934" xr:uid="{00000000-0005-0000-0000-0000D6240000}"/>
    <cellStyle name="20% - Accent6 6 3 3 3 2" xfId="15123" xr:uid="{00000000-0005-0000-0000-0000D7240000}"/>
    <cellStyle name="20% - Accent6 6 3 3 3 3" xfId="19074" xr:uid="{00000000-0005-0000-0000-0000D8240000}"/>
    <cellStyle name="20% - Accent6 6 3 3 4" xfId="15121" xr:uid="{00000000-0005-0000-0000-0000D9240000}"/>
    <cellStyle name="20% - Accent6 6 3 3 5" xfId="19072" xr:uid="{00000000-0005-0000-0000-0000DA240000}"/>
    <cellStyle name="20% - Accent6 6 3 4" xfId="3935" xr:uid="{00000000-0005-0000-0000-0000DB240000}"/>
    <cellStyle name="20% - Accent6 6 3 4 2" xfId="15124" xr:uid="{00000000-0005-0000-0000-0000DC240000}"/>
    <cellStyle name="20% - Accent6 6 3 4 3" xfId="19075" xr:uid="{00000000-0005-0000-0000-0000DD240000}"/>
    <cellStyle name="20% - Accent6 6 3 5" xfId="3936" xr:uid="{00000000-0005-0000-0000-0000DE240000}"/>
    <cellStyle name="20% - Accent6 6 3 5 2" xfId="15125" xr:uid="{00000000-0005-0000-0000-0000DF240000}"/>
    <cellStyle name="20% - Accent6 6 3 5 3" xfId="19076" xr:uid="{00000000-0005-0000-0000-0000E0240000}"/>
    <cellStyle name="20% - Accent6 6 3 6" xfId="15117" xr:uid="{00000000-0005-0000-0000-0000E1240000}"/>
    <cellStyle name="20% - Accent6 6 3 7" xfId="19068" xr:uid="{00000000-0005-0000-0000-0000E2240000}"/>
    <cellStyle name="20% - Accent6 6 3_Volatility" xfId="3937" xr:uid="{00000000-0005-0000-0000-0000E3240000}"/>
    <cellStyle name="20% - Accent6 6 4" xfId="3938" xr:uid="{00000000-0005-0000-0000-0000E4240000}"/>
    <cellStyle name="20% - Accent6 6 4 2" xfId="3939" xr:uid="{00000000-0005-0000-0000-0000E5240000}"/>
    <cellStyle name="20% - Accent6 6 4 2 2" xfId="15127" xr:uid="{00000000-0005-0000-0000-0000E6240000}"/>
    <cellStyle name="20% - Accent6 6 4 2 3" xfId="19078" xr:uid="{00000000-0005-0000-0000-0000E7240000}"/>
    <cellStyle name="20% - Accent6 6 4 3" xfId="3940" xr:uid="{00000000-0005-0000-0000-0000E8240000}"/>
    <cellStyle name="20% - Accent6 6 4 3 2" xfId="15128" xr:uid="{00000000-0005-0000-0000-0000E9240000}"/>
    <cellStyle name="20% - Accent6 6 4 3 3" xfId="19079" xr:uid="{00000000-0005-0000-0000-0000EA240000}"/>
    <cellStyle name="20% - Accent6 6 4 4" xfId="15126" xr:uid="{00000000-0005-0000-0000-0000EB240000}"/>
    <cellStyle name="20% - Accent6 6 4 5" xfId="19077" xr:uid="{00000000-0005-0000-0000-0000EC240000}"/>
    <cellStyle name="20% - Accent6 6 5" xfId="3941" xr:uid="{00000000-0005-0000-0000-0000ED240000}"/>
    <cellStyle name="20% - Accent6 6 5 2" xfId="3942" xr:uid="{00000000-0005-0000-0000-0000EE240000}"/>
    <cellStyle name="20% - Accent6 6 5 2 2" xfId="15130" xr:uid="{00000000-0005-0000-0000-0000EF240000}"/>
    <cellStyle name="20% - Accent6 6 5 2 3" xfId="19081" xr:uid="{00000000-0005-0000-0000-0000F0240000}"/>
    <cellStyle name="20% - Accent6 6 5 3" xfId="3943" xr:uid="{00000000-0005-0000-0000-0000F1240000}"/>
    <cellStyle name="20% - Accent6 6 5 3 2" xfId="15131" xr:uid="{00000000-0005-0000-0000-0000F2240000}"/>
    <cellStyle name="20% - Accent6 6 5 3 3" xfId="19082" xr:uid="{00000000-0005-0000-0000-0000F3240000}"/>
    <cellStyle name="20% - Accent6 6 5 4" xfId="15129" xr:uid="{00000000-0005-0000-0000-0000F4240000}"/>
    <cellStyle name="20% - Accent6 6 5 5" xfId="19080" xr:uid="{00000000-0005-0000-0000-0000F5240000}"/>
    <cellStyle name="20% - Accent6 6 6" xfId="3944" xr:uid="{00000000-0005-0000-0000-0000F6240000}"/>
    <cellStyle name="20% - Accent6 6 6 2" xfId="3945" xr:uid="{00000000-0005-0000-0000-0000F7240000}"/>
    <cellStyle name="20% - Accent6 6 6 2 2" xfId="15133" xr:uid="{00000000-0005-0000-0000-0000F8240000}"/>
    <cellStyle name="20% - Accent6 6 6 2 3" xfId="19084" xr:uid="{00000000-0005-0000-0000-0000F9240000}"/>
    <cellStyle name="20% - Accent6 6 6 3" xfId="3946" xr:uid="{00000000-0005-0000-0000-0000FA240000}"/>
    <cellStyle name="20% - Accent6 6 6 3 2" xfId="15134" xr:uid="{00000000-0005-0000-0000-0000FB240000}"/>
    <cellStyle name="20% - Accent6 6 6 3 3" xfId="19085" xr:uid="{00000000-0005-0000-0000-0000FC240000}"/>
    <cellStyle name="20% - Accent6 6 6 4" xfId="15132" xr:uid="{00000000-0005-0000-0000-0000FD240000}"/>
    <cellStyle name="20% - Accent6 6 6 5" xfId="19083" xr:uid="{00000000-0005-0000-0000-0000FE240000}"/>
    <cellStyle name="20% - Accent6 6 7" xfId="3947" xr:uid="{00000000-0005-0000-0000-0000FF240000}"/>
    <cellStyle name="20% - Accent6 6 7 2" xfId="15135" xr:uid="{00000000-0005-0000-0000-000000250000}"/>
    <cellStyle name="20% - Accent6 6 7 3" xfId="19086" xr:uid="{00000000-0005-0000-0000-000001250000}"/>
    <cellStyle name="20% - Accent6 6 8" xfId="3948" xr:uid="{00000000-0005-0000-0000-000002250000}"/>
    <cellStyle name="20% - Accent6 6 8 2" xfId="15136" xr:uid="{00000000-0005-0000-0000-000003250000}"/>
    <cellStyle name="20% - Accent6 6 8 3" xfId="19087" xr:uid="{00000000-0005-0000-0000-000004250000}"/>
    <cellStyle name="20% - Accent6 6 9" xfId="15104" xr:uid="{00000000-0005-0000-0000-000005250000}"/>
    <cellStyle name="20% - Accent6 6_Volatility" xfId="3949" xr:uid="{00000000-0005-0000-0000-000006250000}"/>
    <cellStyle name="20% - Accent6 7" xfId="3950" xr:uid="{00000000-0005-0000-0000-000007250000}"/>
    <cellStyle name="20% - Accent6 7 10" xfId="19088" xr:uid="{00000000-0005-0000-0000-000008250000}"/>
    <cellStyle name="20% - Accent6 7 2" xfId="3951" xr:uid="{00000000-0005-0000-0000-000009250000}"/>
    <cellStyle name="20% - Accent6 7 2 2" xfId="3952" xr:uid="{00000000-0005-0000-0000-00000A250000}"/>
    <cellStyle name="20% - Accent6 7 2 2 2" xfId="3953" xr:uid="{00000000-0005-0000-0000-00000B250000}"/>
    <cellStyle name="20% - Accent6 7 2 2 2 2" xfId="15140" xr:uid="{00000000-0005-0000-0000-00000C250000}"/>
    <cellStyle name="20% - Accent6 7 2 2 2 3" xfId="19091" xr:uid="{00000000-0005-0000-0000-00000D250000}"/>
    <cellStyle name="20% - Accent6 7 2 2 3" xfId="3954" xr:uid="{00000000-0005-0000-0000-00000E250000}"/>
    <cellStyle name="20% - Accent6 7 2 2 3 2" xfId="15141" xr:uid="{00000000-0005-0000-0000-00000F250000}"/>
    <cellStyle name="20% - Accent6 7 2 2 3 3" xfId="19092" xr:uid="{00000000-0005-0000-0000-000010250000}"/>
    <cellStyle name="20% - Accent6 7 2 2 4" xfId="15139" xr:uid="{00000000-0005-0000-0000-000011250000}"/>
    <cellStyle name="20% - Accent6 7 2 2 5" xfId="19090" xr:uid="{00000000-0005-0000-0000-000012250000}"/>
    <cellStyle name="20% - Accent6 7 2 3" xfId="3955" xr:uid="{00000000-0005-0000-0000-000013250000}"/>
    <cellStyle name="20% - Accent6 7 2 3 2" xfId="3956" xr:uid="{00000000-0005-0000-0000-000014250000}"/>
    <cellStyle name="20% - Accent6 7 2 3 2 2" xfId="15143" xr:uid="{00000000-0005-0000-0000-000015250000}"/>
    <cellStyle name="20% - Accent6 7 2 3 2 3" xfId="19094" xr:uid="{00000000-0005-0000-0000-000016250000}"/>
    <cellStyle name="20% - Accent6 7 2 3 3" xfId="3957" xr:uid="{00000000-0005-0000-0000-000017250000}"/>
    <cellStyle name="20% - Accent6 7 2 3 3 2" xfId="15144" xr:uid="{00000000-0005-0000-0000-000018250000}"/>
    <cellStyle name="20% - Accent6 7 2 3 3 3" xfId="19095" xr:uid="{00000000-0005-0000-0000-000019250000}"/>
    <cellStyle name="20% - Accent6 7 2 3 4" xfId="15142" xr:uid="{00000000-0005-0000-0000-00001A250000}"/>
    <cellStyle name="20% - Accent6 7 2 3 5" xfId="19093" xr:uid="{00000000-0005-0000-0000-00001B250000}"/>
    <cellStyle name="20% - Accent6 7 2 4" xfId="3958" xr:uid="{00000000-0005-0000-0000-00001C250000}"/>
    <cellStyle name="20% - Accent6 7 2 4 2" xfId="3959" xr:uid="{00000000-0005-0000-0000-00001D250000}"/>
    <cellStyle name="20% - Accent6 7 2 4 2 2" xfId="15146" xr:uid="{00000000-0005-0000-0000-00001E250000}"/>
    <cellStyle name="20% - Accent6 7 2 4 2 3" xfId="19097" xr:uid="{00000000-0005-0000-0000-00001F250000}"/>
    <cellStyle name="20% - Accent6 7 2 4 3" xfId="3960" xr:uid="{00000000-0005-0000-0000-000020250000}"/>
    <cellStyle name="20% - Accent6 7 2 4 3 2" xfId="15147" xr:uid="{00000000-0005-0000-0000-000021250000}"/>
    <cellStyle name="20% - Accent6 7 2 4 3 3" xfId="19098" xr:uid="{00000000-0005-0000-0000-000022250000}"/>
    <cellStyle name="20% - Accent6 7 2 4 4" xfId="15145" xr:uid="{00000000-0005-0000-0000-000023250000}"/>
    <cellStyle name="20% - Accent6 7 2 4 5" xfId="19096" xr:uid="{00000000-0005-0000-0000-000024250000}"/>
    <cellStyle name="20% - Accent6 7 2 5" xfId="3961" xr:uid="{00000000-0005-0000-0000-000025250000}"/>
    <cellStyle name="20% - Accent6 7 2 5 2" xfId="15148" xr:uid="{00000000-0005-0000-0000-000026250000}"/>
    <cellStyle name="20% - Accent6 7 2 5 3" xfId="19099" xr:uid="{00000000-0005-0000-0000-000027250000}"/>
    <cellStyle name="20% - Accent6 7 2 6" xfId="3962" xr:uid="{00000000-0005-0000-0000-000028250000}"/>
    <cellStyle name="20% - Accent6 7 2 6 2" xfId="15149" xr:uid="{00000000-0005-0000-0000-000029250000}"/>
    <cellStyle name="20% - Accent6 7 2 6 3" xfId="19100" xr:uid="{00000000-0005-0000-0000-00002A250000}"/>
    <cellStyle name="20% - Accent6 7 2 7" xfId="15138" xr:uid="{00000000-0005-0000-0000-00002B250000}"/>
    <cellStyle name="20% - Accent6 7 2 8" xfId="19089" xr:uid="{00000000-0005-0000-0000-00002C250000}"/>
    <cellStyle name="20% - Accent6 7 2_Volatility" xfId="3963" xr:uid="{00000000-0005-0000-0000-00002D250000}"/>
    <cellStyle name="20% - Accent6 7 3" xfId="3964" xr:uid="{00000000-0005-0000-0000-00002E250000}"/>
    <cellStyle name="20% - Accent6 7 3 2" xfId="3965" xr:uid="{00000000-0005-0000-0000-00002F250000}"/>
    <cellStyle name="20% - Accent6 7 3 2 2" xfId="3966" xr:uid="{00000000-0005-0000-0000-000030250000}"/>
    <cellStyle name="20% - Accent6 7 3 2 2 2" xfId="15152" xr:uid="{00000000-0005-0000-0000-000031250000}"/>
    <cellStyle name="20% - Accent6 7 3 2 2 3" xfId="19103" xr:uid="{00000000-0005-0000-0000-000032250000}"/>
    <cellStyle name="20% - Accent6 7 3 2 3" xfId="3967" xr:uid="{00000000-0005-0000-0000-000033250000}"/>
    <cellStyle name="20% - Accent6 7 3 2 3 2" xfId="15153" xr:uid="{00000000-0005-0000-0000-000034250000}"/>
    <cellStyle name="20% - Accent6 7 3 2 3 3" xfId="19104" xr:uid="{00000000-0005-0000-0000-000035250000}"/>
    <cellStyle name="20% - Accent6 7 3 2 4" xfId="15151" xr:uid="{00000000-0005-0000-0000-000036250000}"/>
    <cellStyle name="20% - Accent6 7 3 2 5" xfId="19102" xr:uid="{00000000-0005-0000-0000-000037250000}"/>
    <cellStyle name="20% - Accent6 7 3 3" xfId="3968" xr:uid="{00000000-0005-0000-0000-000038250000}"/>
    <cellStyle name="20% - Accent6 7 3 3 2" xfId="3969" xr:uid="{00000000-0005-0000-0000-000039250000}"/>
    <cellStyle name="20% - Accent6 7 3 3 2 2" xfId="15155" xr:uid="{00000000-0005-0000-0000-00003A250000}"/>
    <cellStyle name="20% - Accent6 7 3 3 2 3" xfId="19106" xr:uid="{00000000-0005-0000-0000-00003B250000}"/>
    <cellStyle name="20% - Accent6 7 3 3 3" xfId="3970" xr:uid="{00000000-0005-0000-0000-00003C250000}"/>
    <cellStyle name="20% - Accent6 7 3 3 3 2" xfId="15156" xr:uid="{00000000-0005-0000-0000-00003D250000}"/>
    <cellStyle name="20% - Accent6 7 3 3 3 3" xfId="19107" xr:uid="{00000000-0005-0000-0000-00003E250000}"/>
    <cellStyle name="20% - Accent6 7 3 3 4" xfId="15154" xr:uid="{00000000-0005-0000-0000-00003F250000}"/>
    <cellStyle name="20% - Accent6 7 3 3 5" xfId="19105" xr:uid="{00000000-0005-0000-0000-000040250000}"/>
    <cellStyle name="20% - Accent6 7 3 4" xfId="3971" xr:uid="{00000000-0005-0000-0000-000041250000}"/>
    <cellStyle name="20% - Accent6 7 3 4 2" xfId="15157" xr:uid="{00000000-0005-0000-0000-000042250000}"/>
    <cellStyle name="20% - Accent6 7 3 4 3" xfId="19108" xr:uid="{00000000-0005-0000-0000-000043250000}"/>
    <cellStyle name="20% - Accent6 7 3 5" xfId="3972" xr:uid="{00000000-0005-0000-0000-000044250000}"/>
    <cellStyle name="20% - Accent6 7 3 5 2" xfId="15158" xr:uid="{00000000-0005-0000-0000-000045250000}"/>
    <cellStyle name="20% - Accent6 7 3 5 3" xfId="19109" xr:uid="{00000000-0005-0000-0000-000046250000}"/>
    <cellStyle name="20% - Accent6 7 3 6" xfId="15150" xr:uid="{00000000-0005-0000-0000-000047250000}"/>
    <cellStyle name="20% - Accent6 7 3 7" xfId="19101" xr:uid="{00000000-0005-0000-0000-000048250000}"/>
    <cellStyle name="20% - Accent6 7 3_Volatility" xfId="3973" xr:uid="{00000000-0005-0000-0000-000049250000}"/>
    <cellStyle name="20% - Accent6 7 4" xfId="3974" xr:uid="{00000000-0005-0000-0000-00004A250000}"/>
    <cellStyle name="20% - Accent6 7 4 2" xfId="3975" xr:uid="{00000000-0005-0000-0000-00004B250000}"/>
    <cellStyle name="20% - Accent6 7 4 2 2" xfId="15160" xr:uid="{00000000-0005-0000-0000-00004C250000}"/>
    <cellStyle name="20% - Accent6 7 4 2 3" xfId="19111" xr:uid="{00000000-0005-0000-0000-00004D250000}"/>
    <cellStyle name="20% - Accent6 7 4 3" xfId="3976" xr:uid="{00000000-0005-0000-0000-00004E250000}"/>
    <cellStyle name="20% - Accent6 7 4 3 2" xfId="15161" xr:uid="{00000000-0005-0000-0000-00004F250000}"/>
    <cellStyle name="20% - Accent6 7 4 3 3" xfId="19112" xr:uid="{00000000-0005-0000-0000-000050250000}"/>
    <cellStyle name="20% - Accent6 7 4 4" xfId="15159" xr:uid="{00000000-0005-0000-0000-000051250000}"/>
    <cellStyle name="20% - Accent6 7 4 5" xfId="19110" xr:uid="{00000000-0005-0000-0000-000052250000}"/>
    <cellStyle name="20% - Accent6 7 5" xfId="3977" xr:uid="{00000000-0005-0000-0000-000053250000}"/>
    <cellStyle name="20% - Accent6 7 5 2" xfId="3978" xr:uid="{00000000-0005-0000-0000-000054250000}"/>
    <cellStyle name="20% - Accent6 7 5 2 2" xfId="15163" xr:uid="{00000000-0005-0000-0000-000055250000}"/>
    <cellStyle name="20% - Accent6 7 5 2 3" xfId="19114" xr:uid="{00000000-0005-0000-0000-000056250000}"/>
    <cellStyle name="20% - Accent6 7 5 3" xfId="3979" xr:uid="{00000000-0005-0000-0000-000057250000}"/>
    <cellStyle name="20% - Accent6 7 5 3 2" xfId="15164" xr:uid="{00000000-0005-0000-0000-000058250000}"/>
    <cellStyle name="20% - Accent6 7 5 3 3" xfId="19115" xr:uid="{00000000-0005-0000-0000-000059250000}"/>
    <cellStyle name="20% - Accent6 7 5 4" xfId="15162" xr:uid="{00000000-0005-0000-0000-00005A250000}"/>
    <cellStyle name="20% - Accent6 7 5 5" xfId="19113" xr:uid="{00000000-0005-0000-0000-00005B250000}"/>
    <cellStyle name="20% - Accent6 7 6" xfId="3980" xr:uid="{00000000-0005-0000-0000-00005C250000}"/>
    <cellStyle name="20% - Accent6 7 6 2" xfId="3981" xr:uid="{00000000-0005-0000-0000-00005D250000}"/>
    <cellStyle name="20% - Accent6 7 6 2 2" xfId="15166" xr:uid="{00000000-0005-0000-0000-00005E250000}"/>
    <cellStyle name="20% - Accent6 7 6 2 3" xfId="19117" xr:uid="{00000000-0005-0000-0000-00005F250000}"/>
    <cellStyle name="20% - Accent6 7 6 3" xfId="3982" xr:uid="{00000000-0005-0000-0000-000060250000}"/>
    <cellStyle name="20% - Accent6 7 6 3 2" xfId="15167" xr:uid="{00000000-0005-0000-0000-000061250000}"/>
    <cellStyle name="20% - Accent6 7 6 3 3" xfId="19118" xr:uid="{00000000-0005-0000-0000-000062250000}"/>
    <cellStyle name="20% - Accent6 7 6 4" xfId="15165" xr:uid="{00000000-0005-0000-0000-000063250000}"/>
    <cellStyle name="20% - Accent6 7 6 5" xfId="19116" xr:uid="{00000000-0005-0000-0000-000064250000}"/>
    <cellStyle name="20% - Accent6 7 7" xfId="3983" xr:uid="{00000000-0005-0000-0000-000065250000}"/>
    <cellStyle name="20% - Accent6 7 7 2" xfId="15168" xr:uid="{00000000-0005-0000-0000-000066250000}"/>
    <cellStyle name="20% - Accent6 7 7 3" xfId="19119" xr:uid="{00000000-0005-0000-0000-000067250000}"/>
    <cellStyle name="20% - Accent6 7 8" xfId="3984" xr:uid="{00000000-0005-0000-0000-000068250000}"/>
    <cellStyle name="20% - Accent6 7 8 2" xfId="15169" xr:uid="{00000000-0005-0000-0000-000069250000}"/>
    <cellStyle name="20% - Accent6 7 8 3" xfId="19120" xr:uid="{00000000-0005-0000-0000-00006A250000}"/>
    <cellStyle name="20% - Accent6 7 9" xfId="15137" xr:uid="{00000000-0005-0000-0000-00006B250000}"/>
    <cellStyle name="20% - Accent6 7_Volatility" xfId="3985" xr:uid="{00000000-0005-0000-0000-00006C250000}"/>
    <cellStyle name="20% - Accent6 8" xfId="3986" xr:uid="{00000000-0005-0000-0000-00006D250000}"/>
    <cellStyle name="20% - Accent6 8 10" xfId="19121" xr:uid="{00000000-0005-0000-0000-00006E250000}"/>
    <cellStyle name="20% - Accent6 8 2" xfId="3987" xr:uid="{00000000-0005-0000-0000-00006F250000}"/>
    <cellStyle name="20% - Accent6 8 2 2" xfId="3988" xr:uid="{00000000-0005-0000-0000-000070250000}"/>
    <cellStyle name="20% - Accent6 8 2 2 2" xfId="3989" xr:uid="{00000000-0005-0000-0000-000071250000}"/>
    <cellStyle name="20% - Accent6 8 2 2 2 2" xfId="15173" xr:uid="{00000000-0005-0000-0000-000072250000}"/>
    <cellStyle name="20% - Accent6 8 2 2 2 3" xfId="19124" xr:uid="{00000000-0005-0000-0000-000073250000}"/>
    <cellStyle name="20% - Accent6 8 2 2 3" xfId="3990" xr:uid="{00000000-0005-0000-0000-000074250000}"/>
    <cellStyle name="20% - Accent6 8 2 2 3 2" xfId="15174" xr:uid="{00000000-0005-0000-0000-000075250000}"/>
    <cellStyle name="20% - Accent6 8 2 2 3 3" xfId="19125" xr:uid="{00000000-0005-0000-0000-000076250000}"/>
    <cellStyle name="20% - Accent6 8 2 2 4" xfId="15172" xr:uid="{00000000-0005-0000-0000-000077250000}"/>
    <cellStyle name="20% - Accent6 8 2 2 5" xfId="19123" xr:uid="{00000000-0005-0000-0000-000078250000}"/>
    <cellStyle name="20% - Accent6 8 2 3" xfId="3991" xr:uid="{00000000-0005-0000-0000-000079250000}"/>
    <cellStyle name="20% - Accent6 8 2 3 2" xfId="3992" xr:uid="{00000000-0005-0000-0000-00007A250000}"/>
    <cellStyle name="20% - Accent6 8 2 3 2 2" xfId="15176" xr:uid="{00000000-0005-0000-0000-00007B250000}"/>
    <cellStyle name="20% - Accent6 8 2 3 2 3" xfId="19127" xr:uid="{00000000-0005-0000-0000-00007C250000}"/>
    <cellStyle name="20% - Accent6 8 2 3 3" xfId="3993" xr:uid="{00000000-0005-0000-0000-00007D250000}"/>
    <cellStyle name="20% - Accent6 8 2 3 3 2" xfId="15177" xr:uid="{00000000-0005-0000-0000-00007E250000}"/>
    <cellStyle name="20% - Accent6 8 2 3 3 3" xfId="19128" xr:uid="{00000000-0005-0000-0000-00007F250000}"/>
    <cellStyle name="20% - Accent6 8 2 3 4" xfId="15175" xr:uid="{00000000-0005-0000-0000-000080250000}"/>
    <cellStyle name="20% - Accent6 8 2 3 5" xfId="19126" xr:uid="{00000000-0005-0000-0000-000081250000}"/>
    <cellStyle name="20% - Accent6 8 2 4" xfId="3994" xr:uid="{00000000-0005-0000-0000-000082250000}"/>
    <cellStyle name="20% - Accent6 8 2 4 2" xfId="3995" xr:uid="{00000000-0005-0000-0000-000083250000}"/>
    <cellStyle name="20% - Accent6 8 2 4 2 2" xfId="15179" xr:uid="{00000000-0005-0000-0000-000084250000}"/>
    <cellStyle name="20% - Accent6 8 2 4 2 3" xfId="19130" xr:uid="{00000000-0005-0000-0000-000085250000}"/>
    <cellStyle name="20% - Accent6 8 2 4 3" xfId="3996" xr:uid="{00000000-0005-0000-0000-000086250000}"/>
    <cellStyle name="20% - Accent6 8 2 4 3 2" xfId="15180" xr:uid="{00000000-0005-0000-0000-000087250000}"/>
    <cellStyle name="20% - Accent6 8 2 4 3 3" xfId="19131" xr:uid="{00000000-0005-0000-0000-000088250000}"/>
    <cellStyle name="20% - Accent6 8 2 4 4" xfId="15178" xr:uid="{00000000-0005-0000-0000-000089250000}"/>
    <cellStyle name="20% - Accent6 8 2 4 5" xfId="19129" xr:uid="{00000000-0005-0000-0000-00008A250000}"/>
    <cellStyle name="20% - Accent6 8 2 5" xfId="3997" xr:uid="{00000000-0005-0000-0000-00008B250000}"/>
    <cellStyle name="20% - Accent6 8 2 5 2" xfId="15181" xr:uid="{00000000-0005-0000-0000-00008C250000}"/>
    <cellStyle name="20% - Accent6 8 2 5 3" xfId="19132" xr:uid="{00000000-0005-0000-0000-00008D250000}"/>
    <cellStyle name="20% - Accent6 8 2 6" xfId="3998" xr:uid="{00000000-0005-0000-0000-00008E250000}"/>
    <cellStyle name="20% - Accent6 8 2 6 2" xfId="15182" xr:uid="{00000000-0005-0000-0000-00008F250000}"/>
    <cellStyle name="20% - Accent6 8 2 6 3" xfId="19133" xr:uid="{00000000-0005-0000-0000-000090250000}"/>
    <cellStyle name="20% - Accent6 8 2 7" xfId="15171" xr:uid="{00000000-0005-0000-0000-000091250000}"/>
    <cellStyle name="20% - Accent6 8 2 8" xfId="19122" xr:uid="{00000000-0005-0000-0000-000092250000}"/>
    <cellStyle name="20% - Accent6 8 2_Volatility" xfId="3999" xr:uid="{00000000-0005-0000-0000-000093250000}"/>
    <cellStyle name="20% - Accent6 8 3" xfId="4000" xr:uid="{00000000-0005-0000-0000-000094250000}"/>
    <cellStyle name="20% - Accent6 8 3 2" xfId="4001" xr:uid="{00000000-0005-0000-0000-000095250000}"/>
    <cellStyle name="20% - Accent6 8 3 2 2" xfId="4002" xr:uid="{00000000-0005-0000-0000-000096250000}"/>
    <cellStyle name="20% - Accent6 8 3 2 2 2" xfId="15185" xr:uid="{00000000-0005-0000-0000-000097250000}"/>
    <cellStyle name="20% - Accent6 8 3 2 2 3" xfId="19136" xr:uid="{00000000-0005-0000-0000-000098250000}"/>
    <cellStyle name="20% - Accent6 8 3 2 3" xfId="4003" xr:uid="{00000000-0005-0000-0000-000099250000}"/>
    <cellStyle name="20% - Accent6 8 3 2 3 2" xfId="15186" xr:uid="{00000000-0005-0000-0000-00009A250000}"/>
    <cellStyle name="20% - Accent6 8 3 2 3 3" xfId="19137" xr:uid="{00000000-0005-0000-0000-00009B250000}"/>
    <cellStyle name="20% - Accent6 8 3 2 4" xfId="15184" xr:uid="{00000000-0005-0000-0000-00009C250000}"/>
    <cellStyle name="20% - Accent6 8 3 2 5" xfId="19135" xr:uid="{00000000-0005-0000-0000-00009D250000}"/>
    <cellStyle name="20% - Accent6 8 3 3" xfId="4004" xr:uid="{00000000-0005-0000-0000-00009E250000}"/>
    <cellStyle name="20% - Accent6 8 3 3 2" xfId="4005" xr:uid="{00000000-0005-0000-0000-00009F250000}"/>
    <cellStyle name="20% - Accent6 8 3 3 2 2" xfId="15188" xr:uid="{00000000-0005-0000-0000-0000A0250000}"/>
    <cellStyle name="20% - Accent6 8 3 3 2 3" xfId="19139" xr:uid="{00000000-0005-0000-0000-0000A1250000}"/>
    <cellStyle name="20% - Accent6 8 3 3 3" xfId="4006" xr:uid="{00000000-0005-0000-0000-0000A2250000}"/>
    <cellStyle name="20% - Accent6 8 3 3 3 2" xfId="15189" xr:uid="{00000000-0005-0000-0000-0000A3250000}"/>
    <cellStyle name="20% - Accent6 8 3 3 3 3" xfId="19140" xr:uid="{00000000-0005-0000-0000-0000A4250000}"/>
    <cellStyle name="20% - Accent6 8 3 3 4" xfId="15187" xr:uid="{00000000-0005-0000-0000-0000A5250000}"/>
    <cellStyle name="20% - Accent6 8 3 3 5" xfId="19138" xr:uid="{00000000-0005-0000-0000-0000A6250000}"/>
    <cellStyle name="20% - Accent6 8 3 4" xfId="4007" xr:uid="{00000000-0005-0000-0000-0000A7250000}"/>
    <cellStyle name="20% - Accent6 8 3 4 2" xfId="15190" xr:uid="{00000000-0005-0000-0000-0000A8250000}"/>
    <cellStyle name="20% - Accent6 8 3 4 3" xfId="19141" xr:uid="{00000000-0005-0000-0000-0000A9250000}"/>
    <cellStyle name="20% - Accent6 8 3 5" xfId="4008" xr:uid="{00000000-0005-0000-0000-0000AA250000}"/>
    <cellStyle name="20% - Accent6 8 3 5 2" xfId="15191" xr:uid="{00000000-0005-0000-0000-0000AB250000}"/>
    <cellStyle name="20% - Accent6 8 3 5 3" xfId="19142" xr:uid="{00000000-0005-0000-0000-0000AC250000}"/>
    <cellStyle name="20% - Accent6 8 3 6" xfId="15183" xr:uid="{00000000-0005-0000-0000-0000AD250000}"/>
    <cellStyle name="20% - Accent6 8 3 7" xfId="19134" xr:uid="{00000000-0005-0000-0000-0000AE250000}"/>
    <cellStyle name="20% - Accent6 8 3_Volatility" xfId="4009" xr:uid="{00000000-0005-0000-0000-0000AF250000}"/>
    <cellStyle name="20% - Accent6 8 4" xfId="4010" xr:uid="{00000000-0005-0000-0000-0000B0250000}"/>
    <cellStyle name="20% - Accent6 8 4 2" xfId="4011" xr:uid="{00000000-0005-0000-0000-0000B1250000}"/>
    <cellStyle name="20% - Accent6 8 4 2 2" xfId="15193" xr:uid="{00000000-0005-0000-0000-0000B2250000}"/>
    <cellStyle name="20% - Accent6 8 4 2 3" xfId="19144" xr:uid="{00000000-0005-0000-0000-0000B3250000}"/>
    <cellStyle name="20% - Accent6 8 4 3" xfId="4012" xr:uid="{00000000-0005-0000-0000-0000B4250000}"/>
    <cellStyle name="20% - Accent6 8 4 3 2" xfId="15194" xr:uid="{00000000-0005-0000-0000-0000B5250000}"/>
    <cellStyle name="20% - Accent6 8 4 3 3" xfId="19145" xr:uid="{00000000-0005-0000-0000-0000B6250000}"/>
    <cellStyle name="20% - Accent6 8 4 4" xfId="15192" xr:uid="{00000000-0005-0000-0000-0000B7250000}"/>
    <cellStyle name="20% - Accent6 8 4 5" xfId="19143" xr:uid="{00000000-0005-0000-0000-0000B8250000}"/>
    <cellStyle name="20% - Accent6 8 5" xfId="4013" xr:uid="{00000000-0005-0000-0000-0000B9250000}"/>
    <cellStyle name="20% - Accent6 8 5 2" xfId="4014" xr:uid="{00000000-0005-0000-0000-0000BA250000}"/>
    <cellStyle name="20% - Accent6 8 5 2 2" xfId="15196" xr:uid="{00000000-0005-0000-0000-0000BB250000}"/>
    <cellStyle name="20% - Accent6 8 5 2 3" xfId="19147" xr:uid="{00000000-0005-0000-0000-0000BC250000}"/>
    <cellStyle name="20% - Accent6 8 5 3" xfId="4015" xr:uid="{00000000-0005-0000-0000-0000BD250000}"/>
    <cellStyle name="20% - Accent6 8 5 3 2" xfId="15197" xr:uid="{00000000-0005-0000-0000-0000BE250000}"/>
    <cellStyle name="20% - Accent6 8 5 3 3" xfId="19148" xr:uid="{00000000-0005-0000-0000-0000BF250000}"/>
    <cellStyle name="20% - Accent6 8 5 4" xfId="15195" xr:uid="{00000000-0005-0000-0000-0000C0250000}"/>
    <cellStyle name="20% - Accent6 8 5 5" xfId="19146" xr:uid="{00000000-0005-0000-0000-0000C1250000}"/>
    <cellStyle name="20% - Accent6 8 6" xfId="4016" xr:uid="{00000000-0005-0000-0000-0000C2250000}"/>
    <cellStyle name="20% - Accent6 8 6 2" xfId="4017" xr:uid="{00000000-0005-0000-0000-0000C3250000}"/>
    <cellStyle name="20% - Accent6 8 6 2 2" xfId="15199" xr:uid="{00000000-0005-0000-0000-0000C4250000}"/>
    <cellStyle name="20% - Accent6 8 6 2 3" xfId="19150" xr:uid="{00000000-0005-0000-0000-0000C5250000}"/>
    <cellStyle name="20% - Accent6 8 6 3" xfId="4018" xr:uid="{00000000-0005-0000-0000-0000C6250000}"/>
    <cellStyle name="20% - Accent6 8 6 3 2" xfId="15200" xr:uid="{00000000-0005-0000-0000-0000C7250000}"/>
    <cellStyle name="20% - Accent6 8 6 3 3" xfId="19151" xr:uid="{00000000-0005-0000-0000-0000C8250000}"/>
    <cellStyle name="20% - Accent6 8 6 4" xfId="15198" xr:uid="{00000000-0005-0000-0000-0000C9250000}"/>
    <cellStyle name="20% - Accent6 8 6 5" xfId="19149" xr:uid="{00000000-0005-0000-0000-0000CA250000}"/>
    <cellStyle name="20% - Accent6 8 7" xfId="4019" xr:uid="{00000000-0005-0000-0000-0000CB250000}"/>
    <cellStyle name="20% - Accent6 8 7 2" xfId="15201" xr:uid="{00000000-0005-0000-0000-0000CC250000}"/>
    <cellStyle name="20% - Accent6 8 7 3" xfId="19152" xr:uid="{00000000-0005-0000-0000-0000CD250000}"/>
    <cellStyle name="20% - Accent6 8 8" xfId="4020" xr:uid="{00000000-0005-0000-0000-0000CE250000}"/>
    <cellStyle name="20% - Accent6 8 8 2" xfId="15202" xr:uid="{00000000-0005-0000-0000-0000CF250000}"/>
    <cellStyle name="20% - Accent6 8 8 3" xfId="19153" xr:uid="{00000000-0005-0000-0000-0000D0250000}"/>
    <cellStyle name="20% - Accent6 8 9" xfId="15170" xr:uid="{00000000-0005-0000-0000-0000D1250000}"/>
    <cellStyle name="20% - Accent6 8_Volatility" xfId="4021" xr:uid="{00000000-0005-0000-0000-0000D2250000}"/>
    <cellStyle name="20% - Accent6 9" xfId="4022" xr:uid="{00000000-0005-0000-0000-0000D3250000}"/>
    <cellStyle name="20% - Accent6 9 10" xfId="19154" xr:uid="{00000000-0005-0000-0000-0000D4250000}"/>
    <cellStyle name="20% - Accent6 9 2" xfId="4023" xr:uid="{00000000-0005-0000-0000-0000D5250000}"/>
    <cellStyle name="20% - Accent6 9 2 2" xfId="4024" xr:uid="{00000000-0005-0000-0000-0000D6250000}"/>
    <cellStyle name="20% - Accent6 9 2 2 2" xfId="4025" xr:uid="{00000000-0005-0000-0000-0000D7250000}"/>
    <cellStyle name="20% - Accent6 9 2 2 2 2" xfId="15206" xr:uid="{00000000-0005-0000-0000-0000D8250000}"/>
    <cellStyle name="20% - Accent6 9 2 2 2 3" xfId="19157" xr:uid="{00000000-0005-0000-0000-0000D9250000}"/>
    <cellStyle name="20% - Accent6 9 2 2 3" xfId="4026" xr:uid="{00000000-0005-0000-0000-0000DA250000}"/>
    <cellStyle name="20% - Accent6 9 2 2 3 2" xfId="15207" xr:uid="{00000000-0005-0000-0000-0000DB250000}"/>
    <cellStyle name="20% - Accent6 9 2 2 3 3" xfId="19158" xr:uid="{00000000-0005-0000-0000-0000DC250000}"/>
    <cellStyle name="20% - Accent6 9 2 2 4" xfId="15205" xr:uid="{00000000-0005-0000-0000-0000DD250000}"/>
    <cellStyle name="20% - Accent6 9 2 2 5" xfId="19156" xr:uid="{00000000-0005-0000-0000-0000DE250000}"/>
    <cellStyle name="20% - Accent6 9 2 3" xfId="4027" xr:uid="{00000000-0005-0000-0000-0000DF250000}"/>
    <cellStyle name="20% - Accent6 9 2 3 2" xfId="4028" xr:uid="{00000000-0005-0000-0000-0000E0250000}"/>
    <cellStyle name="20% - Accent6 9 2 3 2 2" xfId="15209" xr:uid="{00000000-0005-0000-0000-0000E1250000}"/>
    <cellStyle name="20% - Accent6 9 2 3 2 3" xfId="19160" xr:uid="{00000000-0005-0000-0000-0000E2250000}"/>
    <cellStyle name="20% - Accent6 9 2 3 3" xfId="4029" xr:uid="{00000000-0005-0000-0000-0000E3250000}"/>
    <cellStyle name="20% - Accent6 9 2 3 3 2" xfId="15210" xr:uid="{00000000-0005-0000-0000-0000E4250000}"/>
    <cellStyle name="20% - Accent6 9 2 3 3 3" xfId="19161" xr:uid="{00000000-0005-0000-0000-0000E5250000}"/>
    <cellStyle name="20% - Accent6 9 2 3 4" xfId="15208" xr:uid="{00000000-0005-0000-0000-0000E6250000}"/>
    <cellStyle name="20% - Accent6 9 2 3 5" xfId="19159" xr:uid="{00000000-0005-0000-0000-0000E7250000}"/>
    <cellStyle name="20% - Accent6 9 2 4" xfId="4030" xr:uid="{00000000-0005-0000-0000-0000E8250000}"/>
    <cellStyle name="20% - Accent6 9 2 4 2" xfId="4031" xr:uid="{00000000-0005-0000-0000-0000E9250000}"/>
    <cellStyle name="20% - Accent6 9 2 4 2 2" xfId="15212" xr:uid="{00000000-0005-0000-0000-0000EA250000}"/>
    <cellStyle name="20% - Accent6 9 2 4 2 3" xfId="19163" xr:uid="{00000000-0005-0000-0000-0000EB250000}"/>
    <cellStyle name="20% - Accent6 9 2 4 3" xfId="4032" xr:uid="{00000000-0005-0000-0000-0000EC250000}"/>
    <cellStyle name="20% - Accent6 9 2 4 3 2" xfId="15213" xr:uid="{00000000-0005-0000-0000-0000ED250000}"/>
    <cellStyle name="20% - Accent6 9 2 4 3 3" xfId="19164" xr:uid="{00000000-0005-0000-0000-0000EE250000}"/>
    <cellStyle name="20% - Accent6 9 2 4 4" xfId="15211" xr:uid="{00000000-0005-0000-0000-0000EF250000}"/>
    <cellStyle name="20% - Accent6 9 2 4 5" xfId="19162" xr:uid="{00000000-0005-0000-0000-0000F0250000}"/>
    <cellStyle name="20% - Accent6 9 2 5" xfId="4033" xr:uid="{00000000-0005-0000-0000-0000F1250000}"/>
    <cellStyle name="20% - Accent6 9 2 5 2" xfId="15214" xr:uid="{00000000-0005-0000-0000-0000F2250000}"/>
    <cellStyle name="20% - Accent6 9 2 5 3" xfId="19165" xr:uid="{00000000-0005-0000-0000-0000F3250000}"/>
    <cellStyle name="20% - Accent6 9 2 6" xfId="4034" xr:uid="{00000000-0005-0000-0000-0000F4250000}"/>
    <cellStyle name="20% - Accent6 9 2 6 2" xfId="15215" xr:uid="{00000000-0005-0000-0000-0000F5250000}"/>
    <cellStyle name="20% - Accent6 9 2 6 3" xfId="19166" xr:uid="{00000000-0005-0000-0000-0000F6250000}"/>
    <cellStyle name="20% - Accent6 9 2 7" xfId="15204" xr:uid="{00000000-0005-0000-0000-0000F7250000}"/>
    <cellStyle name="20% - Accent6 9 2 8" xfId="19155" xr:uid="{00000000-0005-0000-0000-0000F8250000}"/>
    <cellStyle name="20% - Accent6 9 2_Volatility" xfId="4035" xr:uid="{00000000-0005-0000-0000-0000F9250000}"/>
    <cellStyle name="20% - Accent6 9 3" xfId="4036" xr:uid="{00000000-0005-0000-0000-0000FA250000}"/>
    <cellStyle name="20% - Accent6 9 3 2" xfId="4037" xr:uid="{00000000-0005-0000-0000-0000FB250000}"/>
    <cellStyle name="20% - Accent6 9 3 2 2" xfId="4038" xr:uid="{00000000-0005-0000-0000-0000FC250000}"/>
    <cellStyle name="20% - Accent6 9 3 2 2 2" xfId="15218" xr:uid="{00000000-0005-0000-0000-0000FD250000}"/>
    <cellStyle name="20% - Accent6 9 3 2 2 3" xfId="19169" xr:uid="{00000000-0005-0000-0000-0000FE250000}"/>
    <cellStyle name="20% - Accent6 9 3 2 3" xfId="4039" xr:uid="{00000000-0005-0000-0000-0000FF250000}"/>
    <cellStyle name="20% - Accent6 9 3 2 3 2" xfId="15219" xr:uid="{00000000-0005-0000-0000-000000260000}"/>
    <cellStyle name="20% - Accent6 9 3 2 3 3" xfId="19170" xr:uid="{00000000-0005-0000-0000-000001260000}"/>
    <cellStyle name="20% - Accent6 9 3 2 4" xfId="15217" xr:uid="{00000000-0005-0000-0000-000002260000}"/>
    <cellStyle name="20% - Accent6 9 3 2 5" xfId="19168" xr:uid="{00000000-0005-0000-0000-000003260000}"/>
    <cellStyle name="20% - Accent6 9 3 3" xfId="4040" xr:uid="{00000000-0005-0000-0000-000004260000}"/>
    <cellStyle name="20% - Accent6 9 3 3 2" xfId="4041" xr:uid="{00000000-0005-0000-0000-000005260000}"/>
    <cellStyle name="20% - Accent6 9 3 3 2 2" xfId="15221" xr:uid="{00000000-0005-0000-0000-000006260000}"/>
    <cellStyle name="20% - Accent6 9 3 3 2 3" xfId="19172" xr:uid="{00000000-0005-0000-0000-000007260000}"/>
    <cellStyle name="20% - Accent6 9 3 3 3" xfId="4042" xr:uid="{00000000-0005-0000-0000-000008260000}"/>
    <cellStyle name="20% - Accent6 9 3 3 3 2" xfId="15222" xr:uid="{00000000-0005-0000-0000-000009260000}"/>
    <cellStyle name="20% - Accent6 9 3 3 3 3" xfId="19173" xr:uid="{00000000-0005-0000-0000-00000A260000}"/>
    <cellStyle name="20% - Accent6 9 3 3 4" xfId="15220" xr:uid="{00000000-0005-0000-0000-00000B260000}"/>
    <cellStyle name="20% - Accent6 9 3 3 5" xfId="19171" xr:uid="{00000000-0005-0000-0000-00000C260000}"/>
    <cellStyle name="20% - Accent6 9 3 4" xfId="4043" xr:uid="{00000000-0005-0000-0000-00000D260000}"/>
    <cellStyle name="20% - Accent6 9 3 4 2" xfId="15223" xr:uid="{00000000-0005-0000-0000-00000E260000}"/>
    <cellStyle name="20% - Accent6 9 3 4 3" xfId="19174" xr:uid="{00000000-0005-0000-0000-00000F260000}"/>
    <cellStyle name="20% - Accent6 9 3 5" xfId="4044" xr:uid="{00000000-0005-0000-0000-000010260000}"/>
    <cellStyle name="20% - Accent6 9 3 5 2" xfId="15224" xr:uid="{00000000-0005-0000-0000-000011260000}"/>
    <cellStyle name="20% - Accent6 9 3 5 3" xfId="19175" xr:uid="{00000000-0005-0000-0000-000012260000}"/>
    <cellStyle name="20% - Accent6 9 3 6" xfId="15216" xr:uid="{00000000-0005-0000-0000-000013260000}"/>
    <cellStyle name="20% - Accent6 9 3 7" xfId="19167" xr:uid="{00000000-0005-0000-0000-000014260000}"/>
    <cellStyle name="20% - Accent6 9 3_Volatility" xfId="4045" xr:uid="{00000000-0005-0000-0000-000015260000}"/>
    <cellStyle name="20% - Accent6 9 4" xfId="4046" xr:uid="{00000000-0005-0000-0000-000016260000}"/>
    <cellStyle name="20% - Accent6 9 4 2" xfId="4047" xr:uid="{00000000-0005-0000-0000-000017260000}"/>
    <cellStyle name="20% - Accent6 9 4 2 2" xfId="15226" xr:uid="{00000000-0005-0000-0000-000018260000}"/>
    <cellStyle name="20% - Accent6 9 4 2 3" xfId="19177" xr:uid="{00000000-0005-0000-0000-000019260000}"/>
    <cellStyle name="20% - Accent6 9 4 3" xfId="4048" xr:uid="{00000000-0005-0000-0000-00001A260000}"/>
    <cellStyle name="20% - Accent6 9 4 3 2" xfId="15227" xr:uid="{00000000-0005-0000-0000-00001B260000}"/>
    <cellStyle name="20% - Accent6 9 4 3 3" xfId="19178" xr:uid="{00000000-0005-0000-0000-00001C260000}"/>
    <cellStyle name="20% - Accent6 9 4 4" xfId="15225" xr:uid="{00000000-0005-0000-0000-00001D260000}"/>
    <cellStyle name="20% - Accent6 9 4 5" xfId="19176" xr:uid="{00000000-0005-0000-0000-00001E260000}"/>
    <cellStyle name="20% - Accent6 9 5" xfId="4049" xr:uid="{00000000-0005-0000-0000-00001F260000}"/>
    <cellStyle name="20% - Accent6 9 5 2" xfId="4050" xr:uid="{00000000-0005-0000-0000-000020260000}"/>
    <cellStyle name="20% - Accent6 9 5 2 2" xfId="15229" xr:uid="{00000000-0005-0000-0000-000021260000}"/>
    <cellStyle name="20% - Accent6 9 5 2 3" xfId="19180" xr:uid="{00000000-0005-0000-0000-000022260000}"/>
    <cellStyle name="20% - Accent6 9 5 3" xfId="4051" xr:uid="{00000000-0005-0000-0000-000023260000}"/>
    <cellStyle name="20% - Accent6 9 5 3 2" xfId="15230" xr:uid="{00000000-0005-0000-0000-000024260000}"/>
    <cellStyle name="20% - Accent6 9 5 3 3" xfId="19181" xr:uid="{00000000-0005-0000-0000-000025260000}"/>
    <cellStyle name="20% - Accent6 9 5 4" xfId="15228" xr:uid="{00000000-0005-0000-0000-000026260000}"/>
    <cellStyle name="20% - Accent6 9 5 5" xfId="19179" xr:uid="{00000000-0005-0000-0000-000027260000}"/>
    <cellStyle name="20% - Accent6 9 6" xfId="4052" xr:uid="{00000000-0005-0000-0000-000028260000}"/>
    <cellStyle name="20% - Accent6 9 6 2" xfId="4053" xr:uid="{00000000-0005-0000-0000-000029260000}"/>
    <cellStyle name="20% - Accent6 9 6 2 2" xfId="15232" xr:uid="{00000000-0005-0000-0000-00002A260000}"/>
    <cellStyle name="20% - Accent6 9 6 2 3" xfId="19183" xr:uid="{00000000-0005-0000-0000-00002B260000}"/>
    <cellStyle name="20% - Accent6 9 6 3" xfId="4054" xr:uid="{00000000-0005-0000-0000-00002C260000}"/>
    <cellStyle name="20% - Accent6 9 6 3 2" xfId="15233" xr:uid="{00000000-0005-0000-0000-00002D260000}"/>
    <cellStyle name="20% - Accent6 9 6 3 3" xfId="19184" xr:uid="{00000000-0005-0000-0000-00002E260000}"/>
    <cellStyle name="20% - Accent6 9 6 4" xfId="15231" xr:uid="{00000000-0005-0000-0000-00002F260000}"/>
    <cellStyle name="20% - Accent6 9 6 5" xfId="19182" xr:uid="{00000000-0005-0000-0000-000030260000}"/>
    <cellStyle name="20% - Accent6 9 7" xfId="4055" xr:uid="{00000000-0005-0000-0000-000031260000}"/>
    <cellStyle name="20% - Accent6 9 7 2" xfId="15234" xr:uid="{00000000-0005-0000-0000-000032260000}"/>
    <cellStyle name="20% - Accent6 9 7 3" xfId="19185" xr:uid="{00000000-0005-0000-0000-000033260000}"/>
    <cellStyle name="20% - Accent6 9 8" xfId="4056" xr:uid="{00000000-0005-0000-0000-000034260000}"/>
    <cellStyle name="20% - Accent6 9 8 2" xfId="15235" xr:uid="{00000000-0005-0000-0000-000035260000}"/>
    <cellStyle name="20% - Accent6 9 8 3" xfId="19186" xr:uid="{00000000-0005-0000-0000-000036260000}"/>
    <cellStyle name="20% - Accent6 9 9" xfId="15203" xr:uid="{00000000-0005-0000-0000-000037260000}"/>
    <cellStyle name="20% - Accent6 9_Volatility" xfId="4057" xr:uid="{00000000-0005-0000-0000-000038260000}"/>
    <cellStyle name="20% - Ênfase1" xfId="4058" xr:uid="{00000000-0005-0000-0000-000039260000}"/>
    <cellStyle name="20% - Ênfase2" xfId="4059" xr:uid="{00000000-0005-0000-0000-00003A260000}"/>
    <cellStyle name="20% - Ênfase3" xfId="4060" xr:uid="{00000000-0005-0000-0000-00003B260000}"/>
    <cellStyle name="20% - Ênfase4" xfId="4061" xr:uid="{00000000-0005-0000-0000-00003C260000}"/>
    <cellStyle name="20% - Ênfase5" xfId="4062" xr:uid="{00000000-0005-0000-0000-00003D260000}"/>
    <cellStyle name="20% - Ênfase6" xfId="4063" xr:uid="{00000000-0005-0000-0000-00003E260000}"/>
    <cellStyle name="20% - Énfasis1" xfId="4064" xr:uid="{00000000-0005-0000-0000-00003F260000}"/>
    <cellStyle name="20% - Énfasis2" xfId="4065" xr:uid="{00000000-0005-0000-0000-000040260000}"/>
    <cellStyle name="20% - Énfasis3" xfId="4066" xr:uid="{00000000-0005-0000-0000-000041260000}"/>
    <cellStyle name="20% - Énfasis4" xfId="4067" xr:uid="{00000000-0005-0000-0000-000042260000}"/>
    <cellStyle name="20% - Énfasis5" xfId="4068" xr:uid="{00000000-0005-0000-0000-000043260000}"/>
    <cellStyle name="20% - Énfasis6" xfId="4069" xr:uid="{00000000-0005-0000-0000-000044260000}"/>
    <cellStyle name="20% - 강조색1" xfId="4070" xr:uid="{00000000-0005-0000-0000-000045260000}"/>
    <cellStyle name="20% - 강조색1 2" xfId="4071" xr:uid="{00000000-0005-0000-0000-000046260000}"/>
    <cellStyle name="20% - 강조색2" xfId="4072" xr:uid="{00000000-0005-0000-0000-000047260000}"/>
    <cellStyle name="20% - 강조색2 2" xfId="4073" xr:uid="{00000000-0005-0000-0000-000048260000}"/>
    <cellStyle name="20% - 강조색3" xfId="4074" xr:uid="{00000000-0005-0000-0000-000049260000}"/>
    <cellStyle name="20% - 강조색3 2" xfId="4075" xr:uid="{00000000-0005-0000-0000-00004A260000}"/>
    <cellStyle name="20% - 강조색4" xfId="4076" xr:uid="{00000000-0005-0000-0000-00004B260000}"/>
    <cellStyle name="20% - 강조색4 2" xfId="4077" xr:uid="{00000000-0005-0000-0000-00004C260000}"/>
    <cellStyle name="20% - 강조색5" xfId="4078" xr:uid="{00000000-0005-0000-0000-00004D260000}"/>
    <cellStyle name="20% - 강조색5 2" xfId="4079" xr:uid="{00000000-0005-0000-0000-00004E260000}"/>
    <cellStyle name="20% - 강조색6" xfId="4080" xr:uid="{00000000-0005-0000-0000-00004F260000}"/>
    <cellStyle name="20% - 강조색6 2" xfId="4081" xr:uid="{00000000-0005-0000-0000-000050260000}"/>
    <cellStyle name="2DecimalPercent" xfId="4082" xr:uid="{00000000-0005-0000-0000-000051260000}"/>
    <cellStyle name="2DecimalPercent 2" xfId="4083" xr:uid="{00000000-0005-0000-0000-000052260000}"/>
    <cellStyle name="2DecimalPercent 2 2" xfId="4084" xr:uid="{00000000-0005-0000-0000-000053260000}"/>
    <cellStyle name="2DecimalPercent 3" xfId="4085" xr:uid="{00000000-0005-0000-0000-000054260000}"/>
    <cellStyle name="2DecimalPercent 4" xfId="4086" xr:uid="{00000000-0005-0000-0000-000055260000}"/>
    <cellStyle name="2DecimalPercent 5" xfId="4087" xr:uid="{00000000-0005-0000-0000-000056260000}"/>
    <cellStyle name="2Decimals" xfId="4088" xr:uid="{00000000-0005-0000-0000-000057260000}"/>
    <cellStyle name="2Decimals 2" xfId="4089" xr:uid="{00000000-0005-0000-0000-000058260000}"/>
    <cellStyle name="2Decimals 2 2" xfId="4090" xr:uid="{00000000-0005-0000-0000-000059260000}"/>
    <cellStyle name="2Decimals 3" xfId="4091" xr:uid="{00000000-0005-0000-0000-00005A260000}"/>
    <cellStyle name="2Decimals 4" xfId="4092" xr:uid="{00000000-0005-0000-0000-00005B260000}"/>
    <cellStyle name="2Decimals 5" xfId="4093" xr:uid="{00000000-0005-0000-0000-00005C260000}"/>
    <cellStyle name="2places" xfId="4094" xr:uid="{00000000-0005-0000-0000-00005D260000}"/>
    <cellStyle name="³f¹ô[0]_P721-Spd" xfId="4095" xr:uid="{00000000-0005-0000-0000-00005E260000}"/>
    <cellStyle name="³f¹ô_P721-Spd" xfId="4096" xr:uid="{00000000-0005-0000-0000-00005F260000}"/>
    <cellStyle name="4 spaces" xfId="16346" xr:uid="{00000000-0005-0000-0000-000060260000}"/>
    <cellStyle name="40% - Accent1 10" xfId="4097" xr:uid="{00000000-0005-0000-0000-000061260000}"/>
    <cellStyle name="40% - Accent1 10 10" xfId="19187" xr:uid="{00000000-0005-0000-0000-000062260000}"/>
    <cellStyle name="40% - Accent1 10 2" xfId="4098" xr:uid="{00000000-0005-0000-0000-000063260000}"/>
    <cellStyle name="40% - Accent1 10 2 2" xfId="4099" xr:uid="{00000000-0005-0000-0000-000064260000}"/>
    <cellStyle name="40% - Accent1 10 2 2 2" xfId="4100" xr:uid="{00000000-0005-0000-0000-000065260000}"/>
    <cellStyle name="40% - Accent1 10 2 2 2 2" xfId="15239" xr:uid="{00000000-0005-0000-0000-000066260000}"/>
    <cellStyle name="40% - Accent1 10 2 2 2 3" xfId="19190" xr:uid="{00000000-0005-0000-0000-000067260000}"/>
    <cellStyle name="40% - Accent1 10 2 2 3" xfId="4101" xr:uid="{00000000-0005-0000-0000-000068260000}"/>
    <cellStyle name="40% - Accent1 10 2 2 3 2" xfId="15240" xr:uid="{00000000-0005-0000-0000-000069260000}"/>
    <cellStyle name="40% - Accent1 10 2 2 3 3" xfId="19191" xr:uid="{00000000-0005-0000-0000-00006A260000}"/>
    <cellStyle name="40% - Accent1 10 2 2 4" xfId="15238" xr:uid="{00000000-0005-0000-0000-00006B260000}"/>
    <cellStyle name="40% - Accent1 10 2 2 5" xfId="19189" xr:uid="{00000000-0005-0000-0000-00006C260000}"/>
    <cellStyle name="40% - Accent1 10 2 3" xfId="4102" xr:uid="{00000000-0005-0000-0000-00006D260000}"/>
    <cellStyle name="40% - Accent1 10 2 3 2" xfId="4103" xr:uid="{00000000-0005-0000-0000-00006E260000}"/>
    <cellStyle name="40% - Accent1 10 2 3 2 2" xfId="15242" xr:uid="{00000000-0005-0000-0000-00006F260000}"/>
    <cellStyle name="40% - Accent1 10 2 3 2 3" xfId="19193" xr:uid="{00000000-0005-0000-0000-000070260000}"/>
    <cellStyle name="40% - Accent1 10 2 3 3" xfId="4104" xr:uid="{00000000-0005-0000-0000-000071260000}"/>
    <cellStyle name="40% - Accent1 10 2 3 3 2" xfId="15243" xr:uid="{00000000-0005-0000-0000-000072260000}"/>
    <cellStyle name="40% - Accent1 10 2 3 3 3" xfId="19194" xr:uid="{00000000-0005-0000-0000-000073260000}"/>
    <cellStyle name="40% - Accent1 10 2 3 4" xfId="15241" xr:uid="{00000000-0005-0000-0000-000074260000}"/>
    <cellStyle name="40% - Accent1 10 2 3 5" xfId="19192" xr:uid="{00000000-0005-0000-0000-000075260000}"/>
    <cellStyle name="40% - Accent1 10 2 4" xfId="4105" xr:uid="{00000000-0005-0000-0000-000076260000}"/>
    <cellStyle name="40% - Accent1 10 2 4 2" xfId="4106" xr:uid="{00000000-0005-0000-0000-000077260000}"/>
    <cellStyle name="40% - Accent1 10 2 4 2 2" xfId="15245" xr:uid="{00000000-0005-0000-0000-000078260000}"/>
    <cellStyle name="40% - Accent1 10 2 4 2 3" xfId="19196" xr:uid="{00000000-0005-0000-0000-000079260000}"/>
    <cellStyle name="40% - Accent1 10 2 4 3" xfId="4107" xr:uid="{00000000-0005-0000-0000-00007A260000}"/>
    <cellStyle name="40% - Accent1 10 2 4 3 2" xfId="15246" xr:uid="{00000000-0005-0000-0000-00007B260000}"/>
    <cellStyle name="40% - Accent1 10 2 4 3 3" xfId="19197" xr:uid="{00000000-0005-0000-0000-00007C260000}"/>
    <cellStyle name="40% - Accent1 10 2 4 4" xfId="15244" xr:uid="{00000000-0005-0000-0000-00007D260000}"/>
    <cellStyle name="40% - Accent1 10 2 4 5" xfId="19195" xr:uid="{00000000-0005-0000-0000-00007E260000}"/>
    <cellStyle name="40% - Accent1 10 2 5" xfId="4108" xr:uid="{00000000-0005-0000-0000-00007F260000}"/>
    <cellStyle name="40% - Accent1 10 2 5 2" xfId="15247" xr:uid="{00000000-0005-0000-0000-000080260000}"/>
    <cellStyle name="40% - Accent1 10 2 5 3" xfId="19198" xr:uid="{00000000-0005-0000-0000-000081260000}"/>
    <cellStyle name="40% - Accent1 10 2 6" xfId="4109" xr:uid="{00000000-0005-0000-0000-000082260000}"/>
    <cellStyle name="40% - Accent1 10 2 6 2" xfId="15248" xr:uid="{00000000-0005-0000-0000-000083260000}"/>
    <cellStyle name="40% - Accent1 10 2 6 3" xfId="19199" xr:uid="{00000000-0005-0000-0000-000084260000}"/>
    <cellStyle name="40% - Accent1 10 2 7" xfId="15237" xr:uid="{00000000-0005-0000-0000-000085260000}"/>
    <cellStyle name="40% - Accent1 10 2 8" xfId="19188" xr:uid="{00000000-0005-0000-0000-000086260000}"/>
    <cellStyle name="40% - Accent1 10 2_Volatility" xfId="4110" xr:uid="{00000000-0005-0000-0000-000087260000}"/>
    <cellStyle name="40% - Accent1 10 3" xfId="4111" xr:uid="{00000000-0005-0000-0000-000088260000}"/>
    <cellStyle name="40% - Accent1 10 3 2" xfId="4112" xr:uid="{00000000-0005-0000-0000-000089260000}"/>
    <cellStyle name="40% - Accent1 10 3 2 2" xfId="4113" xr:uid="{00000000-0005-0000-0000-00008A260000}"/>
    <cellStyle name="40% - Accent1 10 3 2 2 2" xfId="15251" xr:uid="{00000000-0005-0000-0000-00008B260000}"/>
    <cellStyle name="40% - Accent1 10 3 2 2 3" xfId="19202" xr:uid="{00000000-0005-0000-0000-00008C260000}"/>
    <cellStyle name="40% - Accent1 10 3 2 3" xfId="4114" xr:uid="{00000000-0005-0000-0000-00008D260000}"/>
    <cellStyle name="40% - Accent1 10 3 2 3 2" xfId="15252" xr:uid="{00000000-0005-0000-0000-00008E260000}"/>
    <cellStyle name="40% - Accent1 10 3 2 3 3" xfId="19203" xr:uid="{00000000-0005-0000-0000-00008F260000}"/>
    <cellStyle name="40% - Accent1 10 3 2 4" xfId="15250" xr:uid="{00000000-0005-0000-0000-000090260000}"/>
    <cellStyle name="40% - Accent1 10 3 2 5" xfId="19201" xr:uid="{00000000-0005-0000-0000-000091260000}"/>
    <cellStyle name="40% - Accent1 10 3 3" xfId="4115" xr:uid="{00000000-0005-0000-0000-000092260000}"/>
    <cellStyle name="40% - Accent1 10 3 3 2" xfId="4116" xr:uid="{00000000-0005-0000-0000-000093260000}"/>
    <cellStyle name="40% - Accent1 10 3 3 2 2" xfId="15254" xr:uid="{00000000-0005-0000-0000-000094260000}"/>
    <cellStyle name="40% - Accent1 10 3 3 2 3" xfId="19205" xr:uid="{00000000-0005-0000-0000-000095260000}"/>
    <cellStyle name="40% - Accent1 10 3 3 3" xfId="4117" xr:uid="{00000000-0005-0000-0000-000096260000}"/>
    <cellStyle name="40% - Accent1 10 3 3 3 2" xfId="15255" xr:uid="{00000000-0005-0000-0000-000097260000}"/>
    <cellStyle name="40% - Accent1 10 3 3 3 3" xfId="19206" xr:uid="{00000000-0005-0000-0000-000098260000}"/>
    <cellStyle name="40% - Accent1 10 3 3 4" xfId="15253" xr:uid="{00000000-0005-0000-0000-000099260000}"/>
    <cellStyle name="40% - Accent1 10 3 3 5" xfId="19204" xr:uid="{00000000-0005-0000-0000-00009A260000}"/>
    <cellStyle name="40% - Accent1 10 3 4" xfId="4118" xr:uid="{00000000-0005-0000-0000-00009B260000}"/>
    <cellStyle name="40% - Accent1 10 3 4 2" xfId="15256" xr:uid="{00000000-0005-0000-0000-00009C260000}"/>
    <cellStyle name="40% - Accent1 10 3 4 3" xfId="19207" xr:uid="{00000000-0005-0000-0000-00009D260000}"/>
    <cellStyle name="40% - Accent1 10 3 5" xfId="4119" xr:uid="{00000000-0005-0000-0000-00009E260000}"/>
    <cellStyle name="40% - Accent1 10 3 5 2" xfId="15257" xr:uid="{00000000-0005-0000-0000-00009F260000}"/>
    <cellStyle name="40% - Accent1 10 3 5 3" xfId="19208" xr:uid="{00000000-0005-0000-0000-0000A0260000}"/>
    <cellStyle name="40% - Accent1 10 3 6" xfId="15249" xr:uid="{00000000-0005-0000-0000-0000A1260000}"/>
    <cellStyle name="40% - Accent1 10 3 7" xfId="19200" xr:uid="{00000000-0005-0000-0000-0000A2260000}"/>
    <cellStyle name="40% - Accent1 10 3_Volatility" xfId="4120" xr:uid="{00000000-0005-0000-0000-0000A3260000}"/>
    <cellStyle name="40% - Accent1 10 4" xfId="4121" xr:uid="{00000000-0005-0000-0000-0000A4260000}"/>
    <cellStyle name="40% - Accent1 10 4 2" xfId="4122" xr:uid="{00000000-0005-0000-0000-0000A5260000}"/>
    <cellStyle name="40% - Accent1 10 4 2 2" xfId="15259" xr:uid="{00000000-0005-0000-0000-0000A6260000}"/>
    <cellStyle name="40% - Accent1 10 4 2 3" xfId="19210" xr:uid="{00000000-0005-0000-0000-0000A7260000}"/>
    <cellStyle name="40% - Accent1 10 4 3" xfId="4123" xr:uid="{00000000-0005-0000-0000-0000A8260000}"/>
    <cellStyle name="40% - Accent1 10 4 3 2" xfId="15260" xr:uid="{00000000-0005-0000-0000-0000A9260000}"/>
    <cellStyle name="40% - Accent1 10 4 3 3" xfId="19211" xr:uid="{00000000-0005-0000-0000-0000AA260000}"/>
    <cellStyle name="40% - Accent1 10 4 4" xfId="15258" xr:uid="{00000000-0005-0000-0000-0000AB260000}"/>
    <cellStyle name="40% - Accent1 10 4 5" xfId="19209" xr:uid="{00000000-0005-0000-0000-0000AC260000}"/>
    <cellStyle name="40% - Accent1 10 5" xfId="4124" xr:uid="{00000000-0005-0000-0000-0000AD260000}"/>
    <cellStyle name="40% - Accent1 10 5 2" xfId="4125" xr:uid="{00000000-0005-0000-0000-0000AE260000}"/>
    <cellStyle name="40% - Accent1 10 5 2 2" xfId="15262" xr:uid="{00000000-0005-0000-0000-0000AF260000}"/>
    <cellStyle name="40% - Accent1 10 5 2 3" xfId="19213" xr:uid="{00000000-0005-0000-0000-0000B0260000}"/>
    <cellStyle name="40% - Accent1 10 5 3" xfId="4126" xr:uid="{00000000-0005-0000-0000-0000B1260000}"/>
    <cellStyle name="40% - Accent1 10 5 3 2" xfId="15263" xr:uid="{00000000-0005-0000-0000-0000B2260000}"/>
    <cellStyle name="40% - Accent1 10 5 3 3" xfId="19214" xr:uid="{00000000-0005-0000-0000-0000B3260000}"/>
    <cellStyle name="40% - Accent1 10 5 4" xfId="15261" xr:uid="{00000000-0005-0000-0000-0000B4260000}"/>
    <cellStyle name="40% - Accent1 10 5 5" xfId="19212" xr:uid="{00000000-0005-0000-0000-0000B5260000}"/>
    <cellStyle name="40% - Accent1 10 6" xfId="4127" xr:uid="{00000000-0005-0000-0000-0000B6260000}"/>
    <cellStyle name="40% - Accent1 10 6 2" xfId="4128" xr:uid="{00000000-0005-0000-0000-0000B7260000}"/>
    <cellStyle name="40% - Accent1 10 6 2 2" xfId="15265" xr:uid="{00000000-0005-0000-0000-0000B8260000}"/>
    <cellStyle name="40% - Accent1 10 6 2 3" xfId="19216" xr:uid="{00000000-0005-0000-0000-0000B9260000}"/>
    <cellStyle name="40% - Accent1 10 6 3" xfId="4129" xr:uid="{00000000-0005-0000-0000-0000BA260000}"/>
    <cellStyle name="40% - Accent1 10 6 3 2" xfId="15266" xr:uid="{00000000-0005-0000-0000-0000BB260000}"/>
    <cellStyle name="40% - Accent1 10 6 3 3" xfId="19217" xr:uid="{00000000-0005-0000-0000-0000BC260000}"/>
    <cellStyle name="40% - Accent1 10 6 4" xfId="15264" xr:uid="{00000000-0005-0000-0000-0000BD260000}"/>
    <cellStyle name="40% - Accent1 10 6 5" xfId="19215" xr:uid="{00000000-0005-0000-0000-0000BE260000}"/>
    <cellStyle name="40% - Accent1 10 7" xfId="4130" xr:uid="{00000000-0005-0000-0000-0000BF260000}"/>
    <cellStyle name="40% - Accent1 10 7 2" xfId="15267" xr:uid="{00000000-0005-0000-0000-0000C0260000}"/>
    <cellStyle name="40% - Accent1 10 7 3" xfId="19218" xr:uid="{00000000-0005-0000-0000-0000C1260000}"/>
    <cellStyle name="40% - Accent1 10 8" xfId="4131" xr:uid="{00000000-0005-0000-0000-0000C2260000}"/>
    <cellStyle name="40% - Accent1 10 8 2" xfId="15268" xr:uid="{00000000-0005-0000-0000-0000C3260000}"/>
    <cellStyle name="40% - Accent1 10 8 3" xfId="19219" xr:uid="{00000000-0005-0000-0000-0000C4260000}"/>
    <cellStyle name="40% - Accent1 10 9" xfId="15236" xr:uid="{00000000-0005-0000-0000-0000C5260000}"/>
    <cellStyle name="40% - Accent1 10_Volatility" xfId="4132" xr:uid="{00000000-0005-0000-0000-0000C6260000}"/>
    <cellStyle name="40% - Accent1 11" xfId="4133" xr:uid="{00000000-0005-0000-0000-0000C7260000}"/>
    <cellStyle name="40% - Accent1 11 10" xfId="19220" xr:uid="{00000000-0005-0000-0000-0000C8260000}"/>
    <cellStyle name="40% - Accent1 11 2" xfId="4134" xr:uid="{00000000-0005-0000-0000-0000C9260000}"/>
    <cellStyle name="40% - Accent1 11 2 2" xfId="4135" xr:uid="{00000000-0005-0000-0000-0000CA260000}"/>
    <cellStyle name="40% - Accent1 11 2 2 2" xfId="4136" xr:uid="{00000000-0005-0000-0000-0000CB260000}"/>
    <cellStyle name="40% - Accent1 11 2 2 2 2" xfId="15272" xr:uid="{00000000-0005-0000-0000-0000CC260000}"/>
    <cellStyle name="40% - Accent1 11 2 2 2 3" xfId="19223" xr:uid="{00000000-0005-0000-0000-0000CD260000}"/>
    <cellStyle name="40% - Accent1 11 2 2 3" xfId="4137" xr:uid="{00000000-0005-0000-0000-0000CE260000}"/>
    <cellStyle name="40% - Accent1 11 2 2 3 2" xfId="15273" xr:uid="{00000000-0005-0000-0000-0000CF260000}"/>
    <cellStyle name="40% - Accent1 11 2 2 3 3" xfId="19224" xr:uid="{00000000-0005-0000-0000-0000D0260000}"/>
    <cellStyle name="40% - Accent1 11 2 2 4" xfId="15271" xr:uid="{00000000-0005-0000-0000-0000D1260000}"/>
    <cellStyle name="40% - Accent1 11 2 2 5" xfId="19222" xr:uid="{00000000-0005-0000-0000-0000D2260000}"/>
    <cellStyle name="40% - Accent1 11 2 3" xfId="4138" xr:uid="{00000000-0005-0000-0000-0000D3260000}"/>
    <cellStyle name="40% - Accent1 11 2 3 2" xfId="4139" xr:uid="{00000000-0005-0000-0000-0000D4260000}"/>
    <cellStyle name="40% - Accent1 11 2 3 2 2" xfId="15275" xr:uid="{00000000-0005-0000-0000-0000D5260000}"/>
    <cellStyle name="40% - Accent1 11 2 3 2 3" xfId="19226" xr:uid="{00000000-0005-0000-0000-0000D6260000}"/>
    <cellStyle name="40% - Accent1 11 2 3 3" xfId="4140" xr:uid="{00000000-0005-0000-0000-0000D7260000}"/>
    <cellStyle name="40% - Accent1 11 2 3 3 2" xfId="15276" xr:uid="{00000000-0005-0000-0000-0000D8260000}"/>
    <cellStyle name="40% - Accent1 11 2 3 3 3" xfId="19227" xr:uid="{00000000-0005-0000-0000-0000D9260000}"/>
    <cellStyle name="40% - Accent1 11 2 3 4" xfId="15274" xr:uid="{00000000-0005-0000-0000-0000DA260000}"/>
    <cellStyle name="40% - Accent1 11 2 3 5" xfId="19225" xr:uid="{00000000-0005-0000-0000-0000DB260000}"/>
    <cellStyle name="40% - Accent1 11 2 4" xfId="4141" xr:uid="{00000000-0005-0000-0000-0000DC260000}"/>
    <cellStyle name="40% - Accent1 11 2 4 2" xfId="4142" xr:uid="{00000000-0005-0000-0000-0000DD260000}"/>
    <cellStyle name="40% - Accent1 11 2 4 2 2" xfId="15278" xr:uid="{00000000-0005-0000-0000-0000DE260000}"/>
    <cellStyle name="40% - Accent1 11 2 4 2 3" xfId="19229" xr:uid="{00000000-0005-0000-0000-0000DF260000}"/>
    <cellStyle name="40% - Accent1 11 2 4 3" xfId="4143" xr:uid="{00000000-0005-0000-0000-0000E0260000}"/>
    <cellStyle name="40% - Accent1 11 2 4 3 2" xfId="15279" xr:uid="{00000000-0005-0000-0000-0000E1260000}"/>
    <cellStyle name="40% - Accent1 11 2 4 3 3" xfId="19230" xr:uid="{00000000-0005-0000-0000-0000E2260000}"/>
    <cellStyle name="40% - Accent1 11 2 4 4" xfId="15277" xr:uid="{00000000-0005-0000-0000-0000E3260000}"/>
    <cellStyle name="40% - Accent1 11 2 4 5" xfId="19228" xr:uid="{00000000-0005-0000-0000-0000E4260000}"/>
    <cellStyle name="40% - Accent1 11 2 5" xfId="4144" xr:uid="{00000000-0005-0000-0000-0000E5260000}"/>
    <cellStyle name="40% - Accent1 11 2 5 2" xfId="15280" xr:uid="{00000000-0005-0000-0000-0000E6260000}"/>
    <cellStyle name="40% - Accent1 11 2 5 3" xfId="19231" xr:uid="{00000000-0005-0000-0000-0000E7260000}"/>
    <cellStyle name="40% - Accent1 11 2 6" xfId="4145" xr:uid="{00000000-0005-0000-0000-0000E8260000}"/>
    <cellStyle name="40% - Accent1 11 2 6 2" xfId="15281" xr:uid="{00000000-0005-0000-0000-0000E9260000}"/>
    <cellStyle name="40% - Accent1 11 2 6 3" xfId="19232" xr:uid="{00000000-0005-0000-0000-0000EA260000}"/>
    <cellStyle name="40% - Accent1 11 2 7" xfId="15270" xr:uid="{00000000-0005-0000-0000-0000EB260000}"/>
    <cellStyle name="40% - Accent1 11 2 8" xfId="19221" xr:uid="{00000000-0005-0000-0000-0000EC260000}"/>
    <cellStyle name="40% - Accent1 11 2_Volatility" xfId="4146" xr:uid="{00000000-0005-0000-0000-0000ED260000}"/>
    <cellStyle name="40% - Accent1 11 3" xfId="4147" xr:uid="{00000000-0005-0000-0000-0000EE260000}"/>
    <cellStyle name="40% - Accent1 11 3 2" xfId="4148" xr:uid="{00000000-0005-0000-0000-0000EF260000}"/>
    <cellStyle name="40% - Accent1 11 3 2 2" xfId="4149" xr:uid="{00000000-0005-0000-0000-0000F0260000}"/>
    <cellStyle name="40% - Accent1 11 3 2 2 2" xfId="15284" xr:uid="{00000000-0005-0000-0000-0000F1260000}"/>
    <cellStyle name="40% - Accent1 11 3 2 2 3" xfId="19235" xr:uid="{00000000-0005-0000-0000-0000F2260000}"/>
    <cellStyle name="40% - Accent1 11 3 2 3" xfId="4150" xr:uid="{00000000-0005-0000-0000-0000F3260000}"/>
    <cellStyle name="40% - Accent1 11 3 2 3 2" xfId="15285" xr:uid="{00000000-0005-0000-0000-0000F4260000}"/>
    <cellStyle name="40% - Accent1 11 3 2 3 3" xfId="19236" xr:uid="{00000000-0005-0000-0000-0000F5260000}"/>
    <cellStyle name="40% - Accent1 11 3 2 4" xfId="15283" xr:uid="{00000000-0005-0000-0000-0000F6260000}"/>
    <cellStyle name="40% - Accent1 11 3 2 5" xfId="19234" xr:uid="{00000000-0005-0000-0000-0000F7260000}"/>
    <cellStyle name="40% - Accent1 11 3 3" xfId="4151" xr:uid="{00000000-0005-0000-0000-0000F8260000}"/>
    <cellStyle name="40% - Accent1 11 3 3 2" xfId="4152" xr:uid="{00000000-0005-0000-0000-0000F9260000}"/>
    <cellStyle name="40% - Accent1 11 3 3 2 2" xfId="15287" xr:uid="{00000000-0005-0000-0000-0000FA260000}"/>
    <cellStyle name="40% - Accent1 11 3 3 2 3" xfId="19238" xr:uid="{00000000-0005-0000-0000-0000FB260000}"/>
    <cellStyle name="40% - Accent1 11 3 3 3" xfId="4153" xr:uid="{00000000-0005-0000-0000-0000FC260000}"/>
    <cellStyle name="40% - Accent1 11 3 3 3 2" xfId="15288" xr:uid="{00000000-0005-0000-0000-0000FD260000}"/>
    <cellStyle name="40% - Accent1 11 3 3 3 3" xfId="19239" xr:uid="{00000000-0005-0000-0000-0000FE260000}"/>
    <cellStyle name="40% - Accent1 11 3 3 4" xfId="15286" xr:uid="{00000000-0005-0000-0000-0000FF260000}"/>
    <cellStyle name="40% - Accent1 11 3 3 5" xfId="19237" xr:uid="{00000000-0005-0000-0000-000000270000}"/>
    <cellStyle name="40% - Accent1 11 3 4" xfId="4154" xr:uid="{00000000-0005-0000-0000-000001270000}"/>
    <cellStyle name="40% - Accent1 11 3 4 2" xfId="15289" xr:uid="{00000000-0005-0000-0000-000002270000}"/>
    <cellStyle name="40% - Accent1 11 3 4 3" xfId="19240" xr:uid="{00000000-0005-0000-0000-000003270000}"/>
    <cellStyle name="40% - Accent1 11 3 5" xfId="4155" xr:uid="{00000000-0005-0000-0000-000004270000}"/>
    <cellStyle name="40% - Accent1 11 3 5 2" xfId="15290" xr:uid="{00000000-0005-0000-0000-000005270000}"/>
    <cellStyle name="40% - Accent1 11 3 5 3" xfId="19241" xr:uid="{00000000-0005-0000-0000-000006270000}"/>
    <cellStyle name="40% - Accent1 11 3 6" xfId="15282" xr:uid="{00000000-0005-0000-0000-000007270000}"/>
    <cellStyle name="40% - Accent1 11 3 7" xfId="19233" xr:uid="{00000000-0005-0000-0000-000008270000}"/>
    <cellStyle name="40% - Accent1 11 3_Volatility" xfId="4156" xr:uid="{00000000-0005-0000-0000-000009270000}"/>
    <cellStyle name="40% - Accent1 11 4" xfId="4157" xr:uid="{00000000-0005-0000-0000-00000A270000}"/>
    <cellStyle name="40% - Accent1 11 4 2" xfId="4158" xr:uid="{00000000-0005-0000-0000-00000B270000}"/>
    <cellStyle name="40% - Accent1 11 4 2 2" xfId="15292" xr:uid="{00000000-0005-0000-0000-00000C270000}"/>
    <cellStyle name="40% - Accent1 11 4 2 3" xfId="19243" xr:uid="{00000000-0005-0000-0000-00000D270000}"/>
    <cellStyle name="40% - Accent1 11 4 3" xfId="4159" xr:uid="{00000000-0005-0000-0000-00000E270000}"/>
    <cellStyle name="40% - Accent1 11 4 3 2" xfId="15293" xr:uid="{00000000-0005-0000-0000-00000F270000}"/>
    <cellStyle name="40% - Accent1 11 4 3 3" xfId="19244" xr:uid="{00000000-0005-0000-0000-000010270000}"/>
    <cellStyle name="40% - Accent1 11 4 4" xfId="15291" xr:uid="{00000000-0005-0000-0000-000011270000}"/>
    <cellStyle name="40% - Accent1 11 4 5" xfId="19242" xr:uid="{00000000-0005-0000-0000-000012270000}"/>
    <cellStyle name="40% - Accent1 11 5" xfId="4160" xr:uid="{00000000-0005-0000-0000-000013270000}"/>
    <cellStyle name="40% - Accent1 11 5 2" xfId="4161" xr:uid="{00000000-0005-0000-0000-000014270000}"/>
    <cellStyle name="40% - Accent1 11 5 2 2" xfId="15295" xr:uid="{00000000-0005-0000-0000-000015270000}"/>
    <cellStyle name="40% - Accent1 11 5 2 3" xfId="19246" xr:uid="{00000000-0005-0000-0000-000016270000}"/>
    <cellStyle name="40% - Accent1 11 5 3" xfId="4162" xr:uid="{00000000-0005-0000-0000-000017270000}"/>
    <cellStyle name="40% - Accent1 11 5 3 2" xfId="15296" xr:uid="{00000000-0005-0000-0000-000018270000}"/>
    <cellStyle name="40% - Accent1 11 5 3 3" xfId="19247" xr:uid="{00000000-0005-0000-0000-000019270000}"/>
    <cellStyle name="40% - Accent1 11 5 4" xfId="15294" xr:uid="{00000000-0005-0000-0000-00001A270000}"/>
    <cellStyle name="40% - Accent1 11 5 5" xfId="19245" xr:uid="{00000000-0005-0000-0000-00001B270000}"/>
    <cellStyle name="40% - Accent1 11 6" xfId="4163" xr:uid="{00000000-0005-0000-0000-00001C270000}"/>
    <cellStyle name="40% - Accent1 11 6 2" xfId="4164" xr:uid="{00000000-0005-0000-0000-00001D270000}"/>
    <cellStyle name="40% - Accent1 11 6 2 2" xfId="15298" xr:uid="{00000000-0005-0000-0000-00001E270000}"/>
    <cellStyle name="40% - Accent1 11 6 2 3" xfId="19249" xr:uid="{00000000-0005-0000-0000-00001F270000}"/>
    <cellStyle name="40% - Accent1 11 6 3" xfId="4165" xr:uid="{00000000-0005-0000-0000-000020270000}"/>
    <cellStyle name="40% - Accent1 11 6 3 2" xfId="15299" xr:uid="{00000000-0005-0000-0000-000021270000}"/>
    <cellStyle name="40% - Accent1 11 6 3 3" xfId="19250" xr:uid="{00000000-0005-0000-0000-000022270000}"/>
    <cellStyle name="40% - Accent1 11 6 4" xfId="15297" xr:uid="{00000000-0005-0000-0000-000023270000}"/>
    <cellStyle name="40% - Accent1 11 6 5" xfId="19248" xr:uid="{00000000-0005-0000-0000-000024270000}"/>
    <cellStyle name="40% - Accent1 11 7" xfId="4166" xr:uid="{00000000-0005-0000-0000-000025270000}"/>
    <cellStyle name="40% - Accent1 11 7 2" xfId="15300" xr:uid="{00000000-0005-0000-0000-000026270000}"/>
    <cellStyle name="40% - Accent1 11 7 3" xfId="19251" xr:uid="{00000000-0005-0000-0000-000027270000}"/>
    <cellStyle name="40% - Accent1 11 8" xfId="4167" xr:uid="{00000000-0005-0000-0000-000028270000}"/>
    <cellStyle name="40% - Accent1 11 8 2" xfId="15301" xr:uid="{00000000-0005-0000-0000-000029270000}"/>
    <cellStyle name="40% - Accent1 11 8 3" xfId="19252" xr:uid="{00000000-0005-0000-0000-00002A270000}"/>
    <cellStyle name="40% - Accent1 11 9" xfId="15269" xr:uid="{00000000-0005-0000-0000-00002B270000}"/>
    <cellStyle name="40% - Accent1 11_Volatility" xfId="4168" xr:uid="{00000000-0005-0000-0000-00002C270000}"/>
    <cellStyle name="40% - Accent1 12" xfId="4169" xr:uid="{00000000-0005-0000-0000-00002D270000}"/>
    <cellStyle name="40% - Accent1 12 10" xfId="19253" xr:uid="{00000000-0005-0000-0000-00002E270000}"/>
    <cellStyle name="40% - Accent1 12 2" xfId="4170" xr:uid="{00000000-0005-0000-0000-00002F270000}"/>
    <cellStyle name="40% - Accent1 12 2 2" xfId="4171" xr:uid="{00000000-0005-0000-0000-000030270000}"/>
    <cellStyle name="40% - Accent1 12 2 2 2" xfId="4172" xr:uid="{00000000-0005-0000-0000-000031270000}"/>
    <cellStyle name="40% - Accent1 12 2 2 2 2" xfId="15305" xr:uid="{00000000-0005-0000-0000-000032270000}"/>
    <cellStyle name="40% - Accent1 12 2 2 2 3" xfId="19256" xr:uid="{00000000-0005-0000-0000-000033270000}"/>
    <cellStyle name="40% - Accent1 12 2 2 3" xfId="4173" xr:uid="{00000000-0005-0000-0000-000034270000}"/>
    <cellStyle name="40% - Accent1 12 2 2 3 2" xfId="15306" xr:uid="{00000000-0005-0000-0000-000035270000}"/>
    <cellStyle name="40% - Accent1 12 2 2 3 3" xfId="19257" xr:uid="{00000000-0005-0000-0000-000036270000}"/>
    <cellStyle name="40% - Accent1 12 2 2 4" xfId="15304" xr:uid="{00000000-0005-0000-0000-000037270000}"/>
    <cellStyle name="40% - Accent1 12 2 2 5" xfId="19255" xr:uid="{00000000-0005-0000-0000-000038270000}"/>
    <cellStyle name="40% - Accent1 12 2 3" xfId="4174" xr:uid="{00000000-0005-0000-0000-000039270000}"/>
    <cellStyle name="40% - Accent1 12 2 3 2" xfId="4175" xr:uid="{00000000-0005-0000-0000-00003A270000}"/>
    <cellStyle name="40% - Accent1 12 2 3 2 2" xfId="15308" xr:uid="{00000000-0005-0000-0000-00003B270000}"/>
    <cellStyle name="40% - Accent1 12 2 3 2 3" xfId="19259" xr:uid="{00000000-0005-0000-0000-00003C270000}"/>
    <cellStyle name="40% - Accent1 12 2 3 3" xfId="4176" xr:uid="{00000000-0005-0000-0000-00003D270000}"/>
    <cellStyle name="40% - Accent1 12 2 3 3 2" xfId="15309" xr:uid="{00000000-0005-0000-0000-00003E270000}"/>
    <cellStyle name="40% - Accent1 12 2 3 3 3" xfId="19260" xr:uid="{00000000-0005-0000-0000-00003F270000}"/>
    <cellStyle name="40% - Accent1 12 2 3 4" xfId="15307" xr:uid="{00000000-0005-0000-0000-000040270000}"/>
    <cellStyle name="40% - Accent1 12 2 3 5" xfId="19258" xr:uid="{00000000-0005-0000-0000-000041270000}"/>
    <cellStyle name="40% - Accent1 12 2 4" xfId="4177" xr:uid="{00000000-0005-0000-0000-000042270000}"/>
    <cellStyle name="40% - Accent1 12 2 4 2" xfId="4178" xr:uid="{00000000-0005-0000-0000-000043270000}"/>
    <cellStyle name="40% - Accent1 12 2 4 2 2" xfId="15311" xr:uid="{00000000-0005-0000-0000-000044270000}"/>
    <cellStyle name="40% - Accent1 12 2 4 2 3" xfId="19262" xr:uid="{00000000-0005-0000-0000-000045270000}"/>
    <cellStyle name="40% - Accent1 12 2 4 3" xfId="4179" xr:uid="{00000000-0005-0000-0000-000046270000}"/>
    <cellStyle name="40% - Accent1 12 2 4 3 2" xfId="15312" xr:uid="{00000000-0005-0000-0000-000047270000}"/>
    <cellStyle name="40% - Accent1 12 2 4 3 3" xfId="19263" xr:uid="{00000000-0005-0000-0000-000048270000}"/>
    <cellStyle name="40% - Accent1 12 2 4 4" xfId="15310" xr:uid="{00000000-0005-0000-0000-000049270000}"/>
    <cellStyle name="40% - Accent1 12 2 4 5" xfId="19261" xr:uid="{00000000-0005-0000-0000-00004A270000}"/>
    <cellStyle name="40% - Accent1 12 2 5" xfId="4180" xr:uid="{00000000-0005-0000-0000-00004B270000}"/>
    <cellStyle name="40% - Accent1 12 2 5 2" xfId="15313" xr:uid="{00000000-0005-0000-0000-00004C270000}"/>
    <cellStyle name="40% - Accent1 12 2 5 3" xfId="19264" xr:uid="{00000000-0005-0000-0000-00004D270000}"/>
    <cellStyle name="40% - Accent1 12 2 6" xfId="4181" xr:uid="{00000000-0005-0000-0000-00004E270000}"/>
    <cellStyle name="40% - Accent1 12 2 6 2" xfId="15314" xr:uid="{00000000-0005-0000-0000-00004F270000}"/>
    <cellStyle name="40% - Accent1 12 2 6 3" xfId="19265" xr:uid="{00000000-0005-0000-0000-000050270000}"/>
    <cellStyle name="40% - Accent1 12 2 7" xfId="15303" xr:uid="{00000000-0005-0000-0000-000051270000}"/>
    <cellStyle name="40% - Accent1 12 2 8" xfId="19254" xr:uid="{00000000-0005-0000-0000-000052270000}"/>
    <cellStyle name="40% - Accent1 12 2_Volatility" xfId="4182" xr:uid="{00000000-0005-0000-0000-000053270000}"/>
    <cellStyle name="40% - Accent1 12 3" xfId="4183" xr:uid="{00000000-0005-0000-0000-000054270000}"/>
    <cellStyle name="40% - Accent1 12 3 2" xfId="4184" xr:uid="{00000000-0005-0000-0000-000055270000}"/>
    <cellStyle name="40% - Accent1 12 3 2 2" xfId="4185" xr:uid="{00000000-0005-0000-0000-000056270000}"/>
    <cellStyle name="40% - Accent1 12 3 2 2 2" xfId="15317" xr:uid="{00000000-0005-0000-0000-000057270000}"/>
    <cellStyle name="40% - Accent1 12 3 2 2 3" xfId="19268" xr:uid="{00000000-0005-0000-0000-000058270000}"/>
    <cellStyle name="40% - Accent1 12 3 2 3" xfId="4186" xr:uid="{00000000-0005-0000-0000-000059270000}"/>
    <cellStyle name="40% - Accent1 12 3 2 3 2" xfId="15318" xr:uid="{00000000-0005-0000-0000-00005A270000}"/>
    <cellStyle name="40% - Accent1 12 3 2 3 3" xfId="19269" xr:uid="{00000000-0005-0000-0000-00005B270000}"/>
    <cellStyle name="40% - Accent1 12 3 2 4" xfId="15316" xr:uid="{00000000-0005-0000-0000-00005C270000}"/>
    <cellStyle name="40% - Accent1 12 3 2 5" xfId="19267" xr:uid="{00000000-0005-0000-0000-00005D270000}"/>
    <cellStyle name="40% - Accent1 12 3 3" xfId="4187" xr:uid="{00000000-0005-0000-0000-00005E270000}"/>
    <cellStyle name="40% - Accent1 12 3 3 2" xfId="4188" xr:uid="{00000000-0005-0000-0000-00005F270000}"/>
    <cellStyle name="40% - Accent1 12 3 3 2 2" xfId="15320" xr:uid="{00000000-0005-0000-0000-000060270000}"/>
    <cellStyle name="40% - Accent1 12 3 3 2 3" xfId="19271" xr:uid="{00000000-0005-0000-0000-000061270000}"/>
    <cellStyle name="40% - Accent1 12 3 3 3" xfId="4189" xr:uid="{00000000-0005-0000-0000-000062270000}"/>
    <cellStyle name="40% - Accent1 12 3 3 3 2" xfId="15321" xr:uid="{00000000-0005-0000-0000-000063270000}"/>
    <cellStyle name="40% - Accent1 12 3 3 3 3" xfId="19272" xr:uid="{00000000-0005-0000-0000-000064270000}"/>
    <cellStyle name="40% - Accent1 12 3 3 4" xfId="15319" xr:uid="{00000000-0005-0000-0000-000065270000}"/>
    <cellStyle name="40% - Accent1 12 3 3 5" xfId="19270" xr:uid="{00000000-0005-0000-0000-000066270000}"/>
    <cellStyle name="40% - Accent1 12 3 4" xfId="4190" xr:uid="{00000000-0005-0000-0000-000067270000}"/>
    <cellStyle name="40% - Accent1 12 3 4 2" xfId="15322" xr:uid="{00000000-0005-0000-0000-000068270000}"/>
    <cellStyle name="40% - Accent1 12 3 4 3" xfId="19273" xr:uid="{00000000-0005-0000-0000-000069270000}"/>
    <cellStyle name="40% - Accent1 12 3 5" xfId="4191" xr:uid="{00000000-0005-0000-0000-00006A270000}"/>
    <cellStyle name="40% - Accent1 12 3 5 2" xfId="15323" xr:uid="{00000000-0005-0000-0000-00006B270000}"/>
    <cellStyle name="40% - Accent1 12 3 5 3" xfId="19274" xr:uid="{00000000-0005-0000-0000-00006C270000}"/>
    <cellStyle name="40% - Accent1 12 3 6" xfId="15315" xr:uid="{00000000-0005-0000-0000-00006D270000}"/>
    <cellStyle name="40% - Accent1 12 3 7" xfId="19266" xr:uid="{00000000-0005-0000-0000-00006E270000}"/>
    <cellStyle name="40% - Accent1 12 3_Volatility" xfId="4192" xr:uid="{00000000-0005-0000-0000-00006F270000}"/>
    <cellStyle name="40% - Accent1 12 4" xfId="4193" xr:uid="{00000000-0005-0000-0000-000070270000}"/>
    <cellStyle name="40% - Accent1 12 4 2" xfId="4194" xr:uid="{00000000-0005-0000-0000-000071270000}"/>
    <cellStyle name="40% - Accent1 12 4 2 2" xfId="15325" xr:uid="{00000000-0005-0000-0000-000072270000}"/>
    <cellStyle name="40% - Accent1 12 4 2 3" xfId="19276" xr:uid="{00000000-0005-0000-0000-000073270000}"/>
    <cellStyle name="40% - Accent1 12 4 3" xfId="4195" xr:uid="{00000000-0005-0000-0000-000074270000}"/>
    <cellStyle name="40% - Accent1 12 4 3 2" xfId="15326" xr:uid="{00000000-0005-0000-0000-000075270000}"/>
    <cellStyle name="40% - Accent1 12 4 3 3" xfId="19277" xr:uid="{00000000-0005-0000-0000-000076270000}"/>
    <cellStyle name="40% - Accent1 12 4 4" xfId="15324" xr:uid="{00000000-0005-0000-0000-000077270000}"/>
    <cellStyle name="40% - Accent1 12 4 5" xfId="19275" xr:uid="{00000000-0005-0000-0000-000078270000}"/>
    <cellStyle name="40% - Accent1 12 5" xfId="4196" xr:uid="{00000000-0005-0000-0000-000079270000}"/>
    <cellStyle name="40% - Accent1 12 5 2" xfId="4197" xr:uid="{00000000-0005-0000-0000-00007A270000}"/>
    <cellStyle name="40% - Accent1 12 5 2 2" xfId="15328" xr:uid="{00000000-0005-0000-0000-00007B270000}"/>
    <cellStyle name="40% - Accent1 12 5 2 3" xfId="19279" xr:uid="{00000000-0005-0000-0000-00007C270000}"/>
    <cellStyle name="40% - Accent1 12 5 3" xfId="4198" xr:uid="{00000000-0005-0000-0000-00007D270000}"/>
    <cellStyle name="40% - Accent1 12 5 3 2" xfId="15329" xr:uid="{00000000-0005-0000-0000-00007E270000}"/>
    <cellStyle name="40% - Accent1 12 5 3 3" xfId="19280" xr:uid="{00000000-0005-0000-0000-00007F270000}"/>
    <cellStyle name="40% - Accent1 12 5 4" xfId="15327" xr:uid="{00000000-0005-0000-0000-000080270000}"/>
    <cellStyle name="40% - Accent1 12 5 5" xfId="19278" xr:uid="{00000000-0005-0000-0000-000081270000}"/>
    <cellStyle name="40% - Accent1 12 6" xfId="4199" xr:uid="{00000000-0005-0000-0000-000082270000}"/>
    <cellStyle name="40% - Accent1 12 6 2" xfId="4200" xr:uid="{00000000-0005-0000-0000-000083270000}"/>
    <cellStyle name="40% - Accent1 12 6 2 2" xfId="15331" xr:uid="{00000000-0005-0000-0000-000084270000}"/>
    <cellStyle name="40% - Accent1 12 6 2 3" xfId="19282" xr:uid="{00000000-0005-0000-0000-000085270000}"/>
    <cellStyle name="40% - Accent1 12 6 3" xfId="4201" xr:uid="{00000000-0005-0000-0000-000086270000}"/>
    <cellStyle name="40% - Accent1 12 6 3 2" xfId="15332" xr:uid="{00000000-0005-0000-0000-000087270000}"/>
    <cellStyle name="40% - Accent1 12 6 3 3" xfId="19283" xr:uid="{00000000-0005-0000-0000-000088270000}"/>
    <cellStyle name="40% - Accent1 12 6 4" xfId="15330" xr:uid="{00000000-0005-0000-0000-000089270000}"/>
    <cellStyle name="40% - Accent1 12 6 5" xfId="19281" xr:uid="{00000000-0005-0000-0000-00008A270000}"/>
    <cellStyle name="40% - Accent1 12 7" xfId="4202" xr:uid="{00000000-0005-0000-0000-00008B270000}"/>
    <cellStyle name="40% - Accent1 12 7 2" xfId="15333" xr:uid="{00000000-0005-0000-0000-00008C270000}"/>
    <cellStyle name="40% - Accent1 12 7 3" xfId="19284" xr:uid="{00000000-0005-0000-0000-00008D270000}"/>
    <cellStyle name="40% - Accent1 12 8" xfId="4203" xr:uid="{00000000-0005-0000-0000-00008E270000}"/>
    <cellStyle name="40% - Accent1 12 8 2" xfId="15334" xr:uid="{00000000-0005-0000-0000-00008F270000}"/>
    <cellStyle name="40% - Accent1 12 8 3" xfId="19285" xr:uid="{00000000-0005-0000-0000-000090270000}"/>
    <cellStyle name="40% - Accent1 12 9" xfId="15302" xr:uid="{00000000-0005-0000-0000-000091270000}"/>
    <cellStyle name="40% - Accent1 12_Volatility" xfId="4204" xr:uid="{00000000-0005-0000-0000-000092270000}"/>
    <cellStyle name="40% - Accent1 13" xfId="4205" xr:uid="{00000000-0005-0000-0000-000093270000}"/>
    <cellStyle name="40% - Accent1 13 10" xfId="19286" xr:uid="{00000000-0005-0000-0000-000094270000}"/>
    <cellStyle name="40% - Accent1 13 2" xfId="4206" xr:uid="{00000000-0005-0000-0000-000095270000}"/>
    <cellStyle name="40% - Accent1 13 2 2" xfId="4207" xr:uid="{00000000-0005-0000-0000-000096270000}"/>
    <cellStyle name="40% - Accent1 13 2 2 2" xfId="4208" xr:uid="{00000000-0005-0000-0000-000097270000}"/>
    <cellStyle name="40% - Accent1 13 2 2 2 2" xfId="15338" xr:uid="{00000000-0005-0000-0000-000098270000}"/>
    <cellStyle name="40% - Accent1 13 2 2 2 3" xfId="19289" xr:uid="{00000000-0005-0000-0000-000099270000}"/>
    <cellStyle name="40% - Accent1 13 2 2 3" xfId="4209" xr:uid="{00000000-0005-0000-0000-00009A270000}"/>
    <cellStyle name="40% - Accent1 13 2 2 3 2" xfId="15339" xr:uid="{00000000-0005-0000-0000-00009B270000}"/>
    <cellStyle name="40% - Accent1 13 2 2 3 3" xfId="19290" xr:uid="{00000000-0005-0000-0000-00009C270000}"/>
    <cellStyle name="40% - Accent1 13 2 2 4" xfId="15337" xr:uid="{00000000-0005-0000-0000-00009D270000}"/>
    <cellStyle name="40% - Accent1 13 2 2 5" xfId="19288" xr:uid="{00000000-0005-0000-0000-00009E270000}"/>
    <cellStyle name="40% - Accent1 13 2 3" xfId="4210" xr:uid="{00000000-0005-0000-0000-00009F270000}"/>
    <cellStyle name="40% - Accent1 13 2 3 2" xfId="4211" xr:uid="{00000000-0005-0000-0000-0000A0270000}"/>
    <cellStyle name="40% - Accent1 13 2 3 2 2" xfId="15341" xr:uid="{00000000-0005-0000-0000-0000A1270000}"/>
    <cellStyle name="40% - Accent1 13 2 3 2 3" xfId="19292" xr:uid="{00000000-0005-0000-0000-0000A2270000}"/>
    <cellStyle name="40% - Accent1 13 2 3 3" xfId="4212" xr:uid="{00000000-0005-0000-0000-0000A3270000}"/>
    <cellStyle name="40% - Accent1 13 2 3 3 2" xfId="15342" xr:uid="{00000000-0005-0000-0000-0000A4270000}"/>
    <cellStyle name="40% - Accent1 13 2 3 3 3" xfId="19293" xr:uid="{00000000-0005-0000-0000-0000A5270000}"/>
    <cellStyle name="40% - Accent1 13 2 3 4" xfId="15340" xr:uid="{00000000-0005-0000-0000-0000A6270000}"/>
    <cellStyle name="40% - Accent1 13 2 3 5" xfId="19291" xr:uid="{00000000-0005-0000-0000-0000A7270000}"/>
    <cellStyle name="40% - Accent1 13 2 4" xfId="4213" xr:uid="{00000000-0005-0000-0000-0000A8270000}"/>
    <cellStyle name="40% - Accent1 13 2 4 2" xfId="4214" xr:uid="{00000000-0005-0000-0000-0000A9270000}"/>
    <cellStyle name="40% - Accent1 13 2 4 2 2" xfId="15344" xr:uid="{00000000-0005-0000-0000-0000AA270000}"/>
    <cellStyle name="40% - Accent1 13 2 4 2 3" xfId="19295" xr:uid="{00000000-0005-0000-0000-0000AB270000}"/>
    <cellStyle name="40% - Accent1 13 2 4 3" xfId="4215" xr:uid="{00000000-0005-0000-0000-0000AC270000}"/>
    <cellStyle name="40% - Accent1 13 2 4 3 2" xfId="15345" xr:uid="{00000000-0005-0000-0000-0000AD270000}"/>
    <cellStyle name="40% - Accent1 13 2 4 3 3" xfId="19296" xr:uid="{00000000-0005-0000-0000-0000AE270000}"/>
    <cellStyle name="40% - Accent1 13 2 4 4" xfId="15343" xr:uid="{00000000-0005-0000-0000-0000AF270000}"/>
    <cellStyle name="40% - Accent1 13 2 4 5" xfId="19294" xr:uid="{00000000-0005-0000-0000-0000B0270000}"/>
    <cellStyle name="40% - Accent1 13 2 5" xfId="4216" xr:uid="{00000000-0005-0000-0000-0000B1270000}"/>
    <cellStyle name="40% - Accent1 13 2 5 2" xfId="15346" xr:uid="{00000000-0005-0000-0000-0000B2270000}"/>
    <cellStyle name="40% - Accent1 13 2 5 3" xfId="19297" xr:uid="{00000000-0005-0000-0000-0000B3270000}"/>
    <cellStyle name="40% - Accent1 13 2 6" xfId="4217" xr:uid="{00000000-0005-0000-0000-0000B4270000}"/>
    <cellStyle name="40% - Accent1 13 2 6 2" xfId="15347" xr:uid="{00000000-0005-0000-0000-0000B5270000}"/>
    <cellStyle name="40% - Accent1 13 2 6 3" xfId="19298" xr:uid="{00000000-0005-0000-0000-0000B6270000}"/>
    <cellStyle name="40% - Accent1 13 2 7" xfId="15336" xr:uid="{00000000-0005-0000-0000-0000B7270000}"/>
    <cellStyle name="40% - Accent1 13 2 8" xfId="19287" xr:uid="{00000000-0005-0000-0000-0000B8270000}"/>
    <cellStyle name="40% - Accent1 13 2_Volatility" xfId="4218" xr:uid="{00000000-0005-0000-0000-0000B9270000}"/>
    <cellStyle name="40% - Accent1 13 3" xfId="4219" xr:uid="{00000000-0005-0000-0000-0000BA270000}"/>
    <cellStyle name="40% - Accent1 13 3 2" xfId="4220" xr:uid="{00000000-0005-0000-0000-0000BB270000}"/>
    <cellStyle name="40% - Accent1 13 3 2 2" xfId="4221" xr:uid="{00000000-0005-0000-0000-0000BC270000}"/>
    <cellStyle name="40% - Accent1 13 3 2 2 2" xfId="15350" xr:uid="{00000000-0005-0000-0000-0000BD270000}"/>
    <cellStyle name="40% - Accent1 13 3 2 2 3" xfId="19301" xr:uid="{00000000-0005-0000-0000-0000BE270000}"/>
    <cellStyle name="40% - Accent1 13 3 2 3" xfId="4222" xr:uid="{00000000-0005-0000-0000-0000BF270000}"/>
    <cellStyle name="40% - Accent1 13 3 2 3 2" xfId="15351" xr:uid="{00000000-0005-0000-0000-0000C0270000}"/>
    <cellStyle name="40% - Accent1 13 3 2 3 3" xfId="19302" xr:uid="{00000000-0005-0000-0000-0000C1270000}"/>
    <cellStyle name="40% - Accent1 13 3 2 4" xfId="15349" xr:uid="{00000000-0005-0000-0000-0000C2270000}"/>
    <cellStyle name="40% - Accent1 13 3 2 5" xfId="19300" xr:uid="{00000000-0005-0000-0000-0000C3270000}"/>
    <cellStyle name="40% - Accent1 13 3 3" xfId="4223" xr:uid="{00000000-0005-0000-0000-0000C4270000}"/>
    <cellStyle name="40% - Accent1 13 3 3 2" xfId="4224" xr:uid="{00000000-0005-0000-0000-0000C5270000}"/>
    <cellStyle name="40% - Accent1 13 3 3 2 2" xfId="15353" xr:uid="{00000000-0005-0000-0000-0000C6270000}"/>
    <cellStyle name="40% - Accent1 13 3 3 2 3" xfId="19304" xr:uid="{00000000-0005-0000-0000-0000C7270000}"/>
    <cellStyle name="40% - Accent1 13 3 3 3" xfId="4225" xr:uid="{00000000-0005-0000-0000-0000C8270000}"/>
    <cellStyle name="40% - Accent1 13 3 3 3 2" xfId="15354" xr:uid="{00000000-0005-0000-0000-0000C9270000}"/>
    <cellStyle name="40% - Accent1 13 3 3 3 3" xfId="19305" xr:uid="{00000000-0005-0000-0000-0000CA270000}"/>
    <cellStyle name="40% - Accent1 13 3 3 4" xfId="15352" xr:uid="{00000000-0005-0000-0000-0000CB270000}"/>
    <cellStyle name="40% - Accent1 13 3 3 5" xfId="19303" xr:uid="{00000000-0005-0000-0000-0000CC270000}"/>
    <cellStyle name="40% - Accent1 13 3 4" xfId="4226" xr:uid="{00000000-0005-0000-0000-0000CD270000}"/>
    <cellStyle name="40% - Accent1 13 3 4 2" xfId="15355" xr:uid="{00000000-0005-0000-0000-0000CE270000}"/>
    <cellStyle name="40% - Accent1 13 3 4 3" xfId="19306" xr:uid="{00000000-0005-0000-0000-0000CF270000}"/>
    <cellStyle name="40% - Accent1 13 3 5" xfId="4227" xr:uid="{00000000-0005-0000-0000-0000D0270000}"/>
    <cellStyle name="40% - Accent1 13 3 5 2" xfId="15356" xr:uid="{00000000-0005-0000-0000-0000D1270000}"/>
    <cellStyle name="40% - Accent1 13 3 5 3" xfId="19307" xr:uid="{00000000-0005-0000-0000-0000D2270000}"/>
    <cellStyle name="40% - Accent1 13 3 6" xfId="15348" xr:uid="{00000000-0005-0000-0000-0000D3270000}"/>
    <cellStyle name="40% - Accent1 13 3 7" xfId="19299" xr:uid="{00000000-0005-0000-0000-0000D4270000}"/>
    <cellStyle name="40% - Accent1 13 3_Volatility" xfId="4228" xr:uid="{00000000-0005-0000-0000-0000D5270000}"/>
    <cellStyle name="40% - Accent1 13 4" xfId="4229" xr:uid="{00000000-0005-0000-0000-0000D6270000}"/>
    <cellStyle name="40% - Accent1 13 4 2" xfId="4230" xr:uid="{00000000-0005-0000-0000-0000D7270000}"/>
    <cellStyle name="40% - Accent1 13 4 2 2" xfId="15358" xr:uid="{00000000-0005-0000-0000-0000D8270000}"/>
    <cellStyle name="40% - Accent1 13 4 2 3" xfId="19309" xr:uid="{00000000-0005-0000-0000-0000D9270000}"/>
    <cellStyle name="40% - Accent1 13 4 3" xfId="4231" xr:uid="{00000000-0005-0000-0000-0000DA270000}"/>
    <cellStyle name="40% - Accent1 13 4 3 2" xfId="15359" xr:uid="{00000000-0005-0000-0000-0000DB270000}"/>
    <cellStyle name="40% - Accent1 13 4 3 3" xfId="19310" xr:uid="{00000000-0005-0000-0000-0000DC270000}"/>
    <cellStyle name="40% - Accent1 13 4 4" xfId="15357" xr:uid="{00000000-0005-0000-0000-0000DD270000}"/>
    <cellStyle name="40% - Accent1 13 4 5" xfId="19308" xr:uid="{00000000-0005-0000-0000-0000DE270000}"/>
    <cellStyle name="40% - Accent1 13 5" xfId="4232" xr:uid="{00000000-0005-0000-0000-0000DF270000}"/>
    <cellStyle name="40% - Accent1 13 5 2" xfId="4233" xr:uid="{00000000-0005-0000-0000-0000E0270000}"/>
    <cellStyle name="40% - Accent1 13 5 2 2" xfId="15361" xr:uid="{00000000-0005-0000-0000-0000E1270000}"/>
    <cellStyle name="40% - Accent1 13 5 2 3" xfId="19312" xr:uid="{00000000-0005-0000-0000-0000E2270000}"/>
    <cellStyle name="40% - Accent1 13 5 3" xfId="4234" xr:uid="{00000000-0005-0000-0000-0000E3270000}"/>
    <cellStyle name="40% - Accent1 13 5 3 2" xfId="15362" xr:uid="{00000000-0005-0000-0000-0000E4270000}"/>
    <cellStyle name="40% - Accent1 13 5 3 3" xfId="19313" xr:uid="{00000000-0005-0000-0000-0000E5270000}"/>
    <cellStyle name="40% - Accent1 13 5 4" xfId="15360" xr:uid="{00000000-0005-0000-0000-0000E6270000}"/>
    <cellStyle name="40% - Accent1 13 5 5" xfId="19311" xr:uid="{00000000-0005-0000-0000-0000E7270000}"/>
    <cellStyle name="40% - Accent1 13 6" xfId="4235" xr:uid="{00000000-0005-0000-0000-0000E8270000}"/>
    <cellStyle name="40% - Accent1 13 6 2" xfId="4236" xr:uid="{00000000-0005-0000-0000-0000E9270000}"/>
    <cellStyle name="40% - Accent1 13 6 2 2" xfId="15364" xr:uid="{00000000-0005-0000-0000-0000EA270000}"/>
    <cellStyle name="40% - Accent1 13 6 2 3" xfId="19315" xr:uid="{00000000-0005-0000-0000-0000EB270000}"/>
    <cellStyle name="40% - Accent1 13 6 3" xfId="4237" xr:uid="{00000000-0005-0000-0000-0000EC270000}"/>
    <cellStyle name="40% - Accent1 13 6 3 2" xfId="15365" xr:uid="{00000000-0005-0000-0000-0000ED270000}"/>
    <cellStyle name="40% - Accent1 13 6 3 3" xfId="19316" xr:uid="{00000000-0005-0000-0000-0000EE270000}"/>
    <cellStyle name="40% - Accent1 13 6 4" xfId="15363" xr:uid="{00000000-0005-0000-0000-0000EF270000}"/>
    <cellStyle name="40% - Accent1 13 6 5" xfId="19314" xr:uid="{00000000-0005-0000-0000-0000F0270000}"/>
    <cellStyle name="40% - Accent1 13 7" xfId="4238" xr:uid="{00000000-0005-0000-0000-0000F1270000}"/>
    <cellStyle name="40% - Accent1 13 7 2" xfId="15366" xr:uid="{00000000-0005-0000-0000-0000F2270000}"/>
    <cellStyle name="40% - Accent1 13 7 3" xfId="19317" xr:uid="{00000000-0005-0000-0000-0000F3270000}"/>
    <cellStyle name="40% - Accent1 13 8" xfId="4239" xr:uid="{00000000-0005-0000-0000-0000F4270000}"/>
    <cellStyle name="40% - Accent1 13 8 2" xfId="15367" xr:uid="{00000000-0005-0000-0000-0000F5270000}"/>
    <cellStyle name="40% - Accent1 13 8 3" xfId="19318" xr:uid="{00000000-0005-0000-0000-0000F6270000}"/>
    <cellStyle name="40% - Accent1 13 9" xfId="15335" xr:uid="{00000000-0005-0000-0000-0000F7270000}"/>
    <cellStyle name="40% - Accent1 13_Volatility" xfId="4240" xr:uid="{00000000-0005-0000-0000-0000F8270000}"/>
    <cellStyle name="40% - Accent1 14" xfId="4241" xr:uid="{00000000-0005-0000-0000-0000F9270000}"/>
    <cellStyle name="40% - Accent1 14 10" xfId="19319" xr:uid="{00000000-0005-0000-0000-0000FA270000}"/>
    <cellStyle name="40% - Accent1 14 2" xfId="4242" xr:uid="{00000000-0005-0000-0000-0000FB270000}"/>
    <cellStyle name="40% - Accent1 14 2 2" xfId="4243" xr:uid="{00000000-0005-0000-0000-0000FC270000}"/>
    <cellStyle name="40% - Accent1 14 2 2 2" xfId="4244" xr:uid="{00000000-0005-0000-0000-0000FD270000}"/>
    <cellStyle name="40% - Accent1 14 2 2 2 2" xfId="15371" xr:uid="{00000000-0005-0000-0000-0000FE270000}"/>
    <cellStyle name="40% - Accent1 14 2 2 2 3" xfId="19322" xr:uid="{00000000-0005-0000-0000-0000FF270000}"/>
    <cellStyle name="40% - Accent1 14 2 2 3" xfId="4245" xr:uid="{00000000-0005-0000-0000-000000280000}"/>
    <cellStyle name="40% - Accent1 14 2 2 3 2" xfId="15372" xr:uid="{00000000-0005-0000-0000-000001280000}"/>
    <cellStyle name="40% - Accent1 14 2 2 3 3" xfId="19323" xr:uid="{00000000-0005-0000-0000-000002280000}"/>
    <cellStyle name="40% - Accent1 14 2 2 4" xfId="15370" xr:uid="{00000000-0005-0000-0000-000003280000}"/>
    <cellStyle name="40% - Accent1 14 2 2 5" xfId="19321" xr:uid="{00000000-0005-0000-0000-000004280000}"/>
    <cellStyle name="40% - Accent1 14 2 3" xfId="4246" xr:uid="{00000000-0005-0000-0000-000005280000}"/>
    <cellStyle name="40% - Accent1 14 2 3 2" xfId="4247" xr:uid="{00000000-0005-0000-0000-000006280000}"/>
    <cellStyle name="40% - Accent1 14 2 3 2 2" xfId="15374" xr:uid="{00000000-0005-0000-0000-000007280000}"/>
    <cellStyle name="40% - Accent1 14 2 3 2 3" xfId="19325" xr:uid="{00000000-0005-0000-0000-000008280000}"/>
    <cellStyle name="40% - Accent1 14 2 3 3" xfId="4248" xr:uid="{00000000-0005-0000-0000-000009280000}"/>
    <cellStyle name="40% - Accent1 14 2 3 3 2" xfId="15375" xr:uid="{00000000-0005-0000-0000-00000A280000}"/>
    <cellStyle name="40% - Accent1 14 2 3 3 3" xfId="19326" xr:uid="{00000000-0005-0000-0000-00000B280000}"/>
    <cellStyle name="40% - Accent1 14 2 3 4" xfId="15373" xr:uid="{00000000-0005-0000-0000-00000C280000}"/>
    <cellStyle name="40% - Accent1 14 2 3 5" xfId="19324" xr:uid="{00000000-0005-0000-0000-00000D280000}"/>
    <cellStyle name="40% - Accent1 14 2 4" xfId="4249" xr:uid="{00000000-0005-0000-0000-00000E280000}"/>
    <cellStyle name="40% - Accent1 14 2 4 2" xfId="4250" xr:uid="{00000000-0005-0000-0000-00000F280000}"/>
    <cellStyle name="40% - Accent1 14 2 4 2 2" xfId="15377" xr:uid="{00000000-0005-0000-0000-000010280000}"/>
    <cellStyle name="40% - Accent1 14 2 4 2 3" xfId="19328" xr:uid="{00000000-0005-0000-0000-000011280000}"/>
    <cellStyle name="40% - Accent1 14 2 4 3" xfId="4251" xr:uid="{00000000-0005-0000-0000-000012280000}"/>
    <cellStyle name="40% - Accent1 14 2 4 3 2" xfId="15378" xr:uid="{00000000-0005-0000-0000-000013280000}"/>
    <cellStyle name="40% - Accent1 14 2 4 3 3" xfId="19329" xr:uid="{00000000-0005-0000-0000-000014280000}"/>
    <cellStyle name="40% - Accent1 14 2 4 4" xfId="15376" xr:uid="{00000000-0005-0000-0000-000015280000}"/>
    <cellStyle name="40% - Accent1 14 2 4 5" xfId="19327" xr:uid="{00000000-0005-0000-0000-000016280000}"/>
    <cellStyle name="40% - Accent1 14 2 5" xfId="4252" xr:uid="{00000000-0005-0000-0000-000017280000}"/>
    <cellStyle name="40% - Accent1 14 2 5 2" xfId="15379" xr:uid="{00000000-0005-0000-0000-000018280000}"/>
    <cellStyle name="40% - Accent1 14 2 5 3" xfId="19330" xr:uid="{00000000-0005-0000-0000-000019280000}"/>
    <cellStyle name="40% - Accent1 14 2 6" xfId="4253" xr:uid="{00000000-0005-0000-0000-00001A280000}"/>
    <cellStyle name="40% - Accent1 14 2 6 2" xfId="15380" xr:uid="{00000000-0005-0000-0000-00001B280000}"/>
    <cellStyle name="40% - Accent1 14 2 6 3" xfId="19331" xr:uid="{00000000-0005-0000-0000-00001C280000}"/>
    <cellStyle name="40% - Accent1 14 2 7" xfId="15369" xr:uid="{00000000-0005-0000-0000-00001D280000}"/>
    <cellStyle name="40% - Accent1 14 2 8" xfId="19320" xr:uid="{00000000-0005-0000-0000-00001E280000}"/>
    <cellStyle name="40% - Accent1 14 2_Volatility" xfId="4254" xr:uid="{00000000-0005-0000-0000-00001F280000}"/>
    <cellStyle name="40% - Accent1 14 3" xfId="4255" xr:uid="{00000000-0005-0000-0000-000020280000}"/>
    <cellStyle name="40% - Accent1 14 3 2" xfId="4256" xr:uid="{00000000-0005-0000-0000-000021280000}"/>
    <cellStyle name="40% - Accent1 14 3 2 2" xfId="4257" xr:uid="{00000000-0005-0000-0000-000022280000}"/>
    <cellStyle name="40% - Accent1 14 3 2 2 2" xfId="15383" xr:uid="{00000000-0005-0000-0000-000023280000}"/>
    <cellStyle name="40% - Accent1 14 3 2 2 3" xfId="19334" xr:uid="{00000000-0005-0000-0000-000024280000}"/>
    <cellStyle name="40% - Accent1 14 3 2 3" xfId="4258" xr:uid="{00000000-0005-0000-0000-000025280000}"/>
    <cellStyle name="40% - Accent1 14 3 2 3 2" xfId="15384" xr:uid="{00000000-0005-0000-0000-000026280000}"/>
    <cellStyle name="40% - Accent1 14 3 2 3 3" xfId="19335" xr:uid="{00000000-0005-0000-0000-000027280000}"/>
    <cellStyle name="40% - Accent1 14 3 2 4" xfId="15382" xr:uid="{00000000-0005-0000-0000-000028280000}"/>
    <cellStyle name="40% - Accent1 14 3 2 5" xfId="19333" xr:uid="{00000000-0005-0000-0000-000029280000}"/>
    <cellStyle name="40% - Accent1 14 3 3" xfId="4259" xr:uid="{00000000-0005-0000-0000-00002A280000}"/>
    <cellStyle name="40% - Accent1 14 3 3 2" xfId="4260" xr:uid="{00000000-0005-0000-0000-00002B280000}"/>
    <cellStyle name="40% - Accent1 14 3 3 2 2" xfId="15386" xr:uid="{00000000-0005-0000-0000-00002C280000}"/>
    <cellStyle name="40% - Accent1 14 3 3 2 3" xfId="19337" xr:uid="{00000000-0005-0000-0000-00002D280000}"/>
    <cellStyle name="40% - Accent1 14 3 3 3" xfId="4261" xr:uid="{00000000-0005-0000-0000-00002E280000}"/>
    <cellStyle name="40% - Accent1 14 3 3 3 2" xfId="15387" xr:uid="{00000000-0005-0000-0000-00002F280000}"/>
    <cellStyle name="40% - Accent1 14 3 3 3 3" xfId="19338" xr:uid="{00000000-0005-0000-0000-000030280000}"/>
    <cellStyle name="40% - Accent1 14 3 3 4" xfId="15385" xr:uid="{00000000-0005-0000-0000-000031280000}"/>
    <cellStyle name="40% - Accent1 14 3 3 5" xfId="19336" xr:uid="{00000000-0005-0000-0000-000032280000}"/>
    <cellStyle name="40% - Accent1 14 3 4" xfId="4262" xr:uid="{00000000-0005-0000-0000-000033280000}"/>
    <cellStyle name="40% - Accent1 14 3 4 2" xfId="15388" xr:uid="{00000000-0005-0000-0000-000034280000}"/>
    <cellStyle name="40% - Accent1 14 3 4 3" xfId="19339" xr:uid="{00000000-0005-0000-0000-000035280000}"/>
    <cellStyle name="40% - Accent1 14 3 5" xfId="4263" xr:uid="{00000000-0005-0000-0000-000036280000}"/>
    <cellStyle name="40% - Accent1 14 3 5 2" xfId="15389" xr:uid="{00000000-0005-0000-0000-000037280000}"/>
    <cellStyle name="40% - Accent1 14 3 5 3" xfId="19340" xr:uid="{00000000-0005-0000-0000-000038280000}"/>
    <cellStyle name="40% - Accent1 14 3 6" xfId="15381" xr:uid="{00000000-0005-0000-0000-000039280000}"/>
    <cellStyle name="40% - Accent1 14 3 7" xfId="19332" xr:uid="{00000000-0005-0000-0000-00003A280000}"/>
    <cellStyle name="40% - Accent1 14 3_Volatility" xfId="4264" xr:uid="{00000000-0005-0000-0000-00003B280000}"/>
    <cellStyle name="40% - Accent1 14 4" xfId="4265" xr:uid="{00000000-0005-0000-0000-00003C280000}"/>
    <cellStyle name="40% - Accent1 14 4 2" xfId="4266" xr:uid="{00000000-0005-0000-0000-00003D280000}"/>
    <cellStyle name="40% - Accent1 14 4 2 2" xfId="15391" xr:uid="{00000000-0005-0000-0000-00003E280000}"/>
    <cellStyle name="40% - Accent1 14 4 2 3" xfId="19342" xr:uid="{00000000-0005-0000-0000-00003F280000}"/>
    <cellStyle name="40% - Accent1 14 4 3" xfId="4267" xr:uid="{00000000-0005-0000-0000-000040280000}"/>
    <cellStyle name="40% - Accent1 14 4 3 2" xfId="15392" xr:uid="{00000000-0005-0000-0000-000041280000}"/>
    <cellStyle name="40% - Accent1 14 4 3 3" xfId="19343" xr:uid="{00000000-0005-0000-0000-000042280000}"/>
    <cellStyle name="40% - Accent1 14 4 4" xfId="15390" xr:uid="{00000000-0005-0000-0000-000043280000}"/>
    <cellStyle name="40% - Accent1 14 4 5" xfId="19341" xr:uid="{00000000-0005-0000-0000-000044280000}"/>
    <cellStyle name="40% - Accent1 14 5" xfId="4268" xr:uid="{00000000-0005-0000-0000-000045280000}"/>
    <cellStyle name="40% - Accent1 14 5 2" xfId="4269" xr:uid="{00000000-0005-0000-0000-000046280000}"/>
    <cellStyle name="40% - Accent1 14 5 2 2" xfId="15394" xr:uid="{00000000-0005-0000-0000-000047280000}"/>
    <cellStyle name="40% - Accent1 14 5 2 3" xfId="19345" xr:uid="{00000000-0005-0000-0000-000048280000}"/>
    <cellStyle name="40% - Accent1 14 5 3" xfId="4270" xr:uid="{00000000-0005-0000-0000-000049280000}"/>
    <cellStyle name="40% - Accent1 14 5 3 2" xfId="15395" xr:uid="{00000000-0005-0000-0000-00004A280000}"/>
    <cellStyle name="40% - Accent1 14 5 3 3" xfId="19346" xr:uid="{00000000-0005-0000-0000-00004B280000}"/>
    <cellStyle name="40% - Accent1 14 5 4" xfId="15393" xr:uid="{00000000-0005-0000-0000-00004C280000}"/>
    <cellStyle name="40% - Accent1 14 5 5" xfId="19344" xr:uid="{00000000-0005-0000-0000-00004D280000}"/>
    <cellStyle name="40% - Accent1 14 6" xfId="4271" xr:uid="{00000000-0005-0000-0000-00004E280000}"/>
    <cellStyle name="40% - Accent1 14 6 2" xfId="4272" xr:uid="{00000000-0005-0000-0000-00004F280000}"/>
    <cellStyle name="40% - Accent1 14 6 2 2" xfId="15397" xr:uid="{00000000-0005-0000-0000-000050280000}"/>
    <cellStyle name="40% - Accent1 14 6 2 3" xfId="19348" xr:uid="{00000000-0005-0000-0000-000051280000}"/>
    <cellStyle name="40% - Accent1 14 6 3" xfId="4273" xr:uid="{00000000-0005-0000-0000-000052280000}"/>
    <cellStyle name="40% - Accent1 14 6 3 2" xfId="15398" xr:uid="{00000000-0005-0000-0000-000053280000}"/>
    <cellStyle name="40% - Accent1 14 6 3 3" xfId="19349" xr:uid="{00000000-0005-0000-0000-000054280000}"/>
    <cellStyle name="40% - Accent1 14 6 4" xfId="15396" xr:uid="{00000000-0005-0000-0000-000055280000}"/>
    <cellStyle name="40% - Accent1 14 6 5" xfId="19347" xr:uid="{00000000-0005-0000-0000-000056280000}"/>
    <cellStyle name="40% - Accent1 14 7" xfId="4274" xr:uid="{00000000-0005-0000-0000-000057280000}"/>
    <cellStyle name="40% - Accent1 14 7 2" xfId="15399" xr:uid="{00000000-0005-0000-0000-000058280000}"/>
    <cellStyle name="40% - Accent1 14 7 3" xfId="19350" xr:uid="{00000000-0005-0000-0000-000059280000}"/>
    <cellStyle name="40% - Accent1 14 8" xfId="4275" xr:uid="{00000000-0005-0000-0000-00005A280000}"/>
    <cellStyle name="40% - Accent1 14 8 2" xfId="15400" xr:uid="{00000000-0005-0000-0000-00005B280000}"/>
    <cellStyle name="40% - Accent1 14 8 3" xfId="19351" xr:uid="{00000000-0005-0000-0000-00005C280000}"/>
    <cellStyle name="40% - Accent1 14 9" xfId="15368" xr:uid="{00000000-0005-0000-0000-00005D280000}"/>
    <cellStyle name="40% - Accent1 14_Volatility" xfId="4276" xr:uid="{00000000-0005-0000-0000-00005E280000}"/>
    <cellStyle name="40% - Accent1 15" xfId="4277" xr:uid="{00000000-0005-0000-0000-00005F280000}"/>
    <cellStyle name="40% - Accent1 15 10" xfId="19352" xr:uid="{00000000-0005-0000-0000-000060280000}"/>
    <cellStyle name="40% - Accent1 15 2" xfId="4278" xr:uid="{00000000-0005-0000-0000-000061280000}"/>
    <cellStyle name="40% - Accent1 15 2 2" xfId="4279" xr:uid="{00000000-0005-0000-0000-000062280000}"/>
    <cellStyle name="40% - Accent1 15 2 2 2" xfId="4280" xr:uid="{00000000-0005-0000-0000-000063280000}"/>
    <cellStyle name="40% - Accent1 15 2 2 2 2" xfId="15404" xr:uid="{00000000-0005-0000-0000-000064280000}"/>
    <cellStyle name="40% - Accent1 15 2 2 2 3" xfId="19355" xr:uid="{00000000-0005-0000-0000-000065280000}"/>
    <cellStyle name="40% - Accent1 15 2 2 3" xfId="4281" xr:uid="{00000000-0005-0000-0000-000066280000}"/>
    <cellStyle name="40% - Accent1 15 2 2 3 2" xfId="15405" xr:uid="{00000000-0005-0000-0000-000067280000}"/>
    <cellStyle name="40% - Accent1 15 2 2 3 3" xfId="19356" xr:uid="{00000000-0005-0000-0000-000068280000}"/>
    <cellStyle name="40% - Accent1 15 2 2 4" xfId="15403" xr:uid="{00000000-0005-0000-0000-000069280000}"/>
    <cellStyle name="40% - Accent1 15 2 2 5" xfId="19354" xr:uid="{00000000-0005-0000-0000-00006A280000}"/>
    <cellStyle name="40% - Accent1 15 2 3" xfId="4282" xr:uid="{00000000-0005-0000-0000-00006B280000}"/>
    <cellStyle name="40% - Accent1 15 2 3 2" xfId="4283" xr:uid="{00000000-0005-0000-0000-00006C280000}"/>
    <cellStyle name="40% - Accent1 15 2 3 2 2" xfId="15407" xr:uid="{00000000-0005-0000-0000-00006D280000}"/>
    <cellStyle name="40% - Accent1 15 2 3 2 3" xfId="19358" xr:uid="{00000000-0005-0000-0000-00006E280000}"/>
    <cellStyle name="40% - Accent1 15 2 3 3" xfId="4284" xr:uid="{00000000-0005-0000-0000-00006F280000}"/>
    <cellStyle name="40% - Accent1 15 2 3 3 2" xfId="15408" xr:uid="{00000000-0005-0000-0000-000070280000}"/>
    <cellStyle name="40% - Accent1 15 2 3 3 3" xfId="19359" xr:uid="{00000000-0005-0000-0000-000071280000}"/>
    <cellStyle name="40% - Accent1 15 2 3 4" xfId="15406" xr:uid="{00000000-0005-0000-0000-000072280000}"/>
    <cellStyle name="40% - Accent1 15 2 3 5" xfId="19357" xr:uid="{00000000-0005-0000-0000-000073280000}"/>
    <cellStyle name="40% - Accent1 15 2 4" xfId="4285" xr:uid="{00000000-0005-0000-0000-000074280000}"/>
    <cellStyle name="40% - Accent1 15 2 4 2" xfId="4286" xr:uid="{00000000-0005-0000-0000-000075280000}"/>
    <cellStyle name="40% - Accent1 15 2 4 2 2" xfId="15410" xr:uid="{00000000-0005-0000-0000-000076280000}"/>
    <cellStyle name="40% - Accent1 15 2 4 2 3" xfId="19361" xr:uid="{00000000-0005-0000-0000-000077280000}"/>
    <cellStyle name="40% - Accent1 15 2 4 3" xfId="4287" xr:uid="{00000000-0005-0000-0000-000078280000}"/>
    <cellStyle name="40% - Accent1 15 2 4 3 2" xfId="15411" xr:uid="{00000000-0005-0000-0000-000079280000}"/>
    <cellStyle name="40% - Accent1 15 2 4 3 3" xfId="19362" xr:uid="{00000000-0005-0000-0000-00007A280000}"/>
    <cellStyle name="40% - Accent1 15 2 4 4" xfId="15409" xr:uid="{00000000-0005-0000-0000-00007B280000}"/>
    <cellStyle name="40% - Accent1 15 2 4 5" xfId="19360" xr:uid="{00000000-0005-0000-0000-00007C280000}"/>
    <cellStyle name="40% - Accent1 15 2 5" xfId="4288" xr:uid="{00000000-0005-0000-0000-00007D280000}"/>
    <cellStyle name="40% - Accent1 15 2 5 2" xfId="15412" xr:uid="{00000000-0005-0000-0000-00007E280000}"/>
    <cellStyle name="40% - Accent1 15 2 5 3" xfId="19363" xr:uid="{00000000-0005-0000-0000-00007F280000}"/>
    <cellStyle name="40% - Accent1 15 2 6" xfId="4289" xr:uid="{00000000-0005-0000-0000-000080280000}"/>
    <cellStyle name="40% - Accent1 15 2 6 2" xfId="15413" xr:uid="{00000000-0005-0000-0000-000081280000}"/>
    <cellStyle name="40% - Accent1 15 2 6 3" xfId="19364" xr:uid="{00000000-0005-0000-0000-000082280000}"/>
    <cellStyle name="40% - Accent1 15 2 7" xfId="15402" xr:uid="{00000000-0005-0000-0000-000083280000}"/>
    <cellStyle name="40% - Accent1 15 2 8" xfId="19353" xr:uid="{00000000-0005-0000-0000-000084280000}"/>
    <cellStyle name="40% - Accent1 15 2_Volatility" xfId="4290" xr:uid="{00000000-0005-0000-0000-000085280000}"/>
    <cellStyle name="40% - Accent1 15 3" xfId="4291" xr:uid="{00000000-0005-0000-0000-000086280000}"/>
    <cellStyle name="40% - Accent1 15 3 2" xfId="4292" xr:uid="{00000000-0005-0000-0000-000087280000}"/>
    <cellStyle name="40% - Accent1 15 3 2 2" xfId="4293" xr:uid="{00000000-0005-0000-0000-000088280000}"/>
    <cellStyle name="40% - Accent1 15 3 2 2 2" xfId="15416" xr:uid="{00000000-0005-0000-0000-000089280000}"/>
    <cellStyle name="40% - Accent1 15 3 2 2 3" xfId="19367" xr:uid="{00000000-0005-0000-0000-00008A280000}"/>
    <cellStyle name="40% - Accent1 15 3 2 3" xfId="4294" xr:uid="{00000000-0005-0000-0000-00008B280000}"/>
    <cellStyle name="40% - Accent1 15 3 2 3 2" xfId="15417" xr:uid="{00000000-0005-0000-0000-00008C280000}"/>
    <cellStyle name="40% - Accent1 15 3 2 3 3" xfId="19368" xr:uid="{00000000-0005-0000-0000-00008D280000}"/>
    <cellStyle name="40% - Accent1 15 3 2 4" xfId="15415" xr:uid="{00000000-0005-0000-0000-00008E280000}"/>
    <cellStyle name="40% - Accent1 15 3 2 5" xfId="19366" xr:uid="{00000000-0005-0000-0000-00008F280000}"/>
    <cellStyle name="40% - Accent1 15 3 3" xfId="4295" xr:uid="{00000000-0005-0000-0000-000090280000}"/>
    <cellStyle name="40% - Accent1 15 3 3 2" xfId="4296" xr:uid="{00000000-0005-0000-0000-000091280000}"/>
    <cellStyle name="40% - Accent1 15 3 3 2 2" xfId="15419" xr:uid="{00000000-0005-0000-0000-000092280000}"/>
    <cellStyle name="40% - Accent1 15 3 3 2 3" xfId="19370" xr:uid="{00000000-0005-0000-0000-000093280000}"/>
    <cellStyle name="40% - Accent1 15 3 3 3" xfId="4297" xr:uid="{00000000-0005-0000-0000-000094280000}"/>
    <cellStyle name="40% - Accent1 15 3 3 3 2" xfId="15420" xr:uid="{00000000-0005-0000-0000-000095280000}"/>
    <cellStyle name="40% - Accent1 15 3 3 3 3" xfId="19371" xr:uid="{00000000-0005-0000-0000-000096280000}"/>
    <cellStyle name="40% - Accent1 15 3 3 4" xfId="15418" xr:uid="{00000000-0005-0000-0000-000097280000}"/>
    <cellStyle name="40% - Accent1 15 3 3 5" xfId="19369" xr:uid="{00000000-0005-0000-0000-000098280000}"/>
    <cellStyle name="40% - Accent1 15 3 4" xfId="4298" xr:uid="{00000000-0005-0000-0000-000099280000}"/>
    <cellStyle name="40% - Accent1 15 3 4 2" xfId="15421" xr:uid="{00000000-0005-0000-0000-00009A280000}"/>
    <cellStyle name="40% - Accent1 15 3 4 3" xfId="19372" xr:uid="{00000000-0005-0000-0000-00009B280000}"/>
    <cellStyle name="40% - Accent1 15 3 5" xfId="4299" xr:uid="{00000000-0005-0000-0000-00009C280000}"/>
    <cellStyle name="40% - Accent1 15 3 5 2" xfId="15422" xr:uid="{00000000-0005-0000-0000-00009D280000}"/>
    <cellStyle name="40% - Accent1 15 3 5 3" xfId="19373" xr:uid="{00000000-0005-0000-0000-00009E280000}"/>
    <cellStyle name="40% - Accent1 15 3 6" xfId="15414" xr:uid="{00000000-0005-0000-0000-00009F280000}"/>
    <cellStyle name="40% - Accent1 15 3 7" xfId="19365" xr:uid="{00000000-0005-0000-0000-0000A0280000}"/>
    <cellStyle name="40% - Accent1 15 3_Volatility" xfId="4300" xr:uid="{00000000-0005-0000-0000-0000A1280000}"/>
    <cellStyle name="40% - Accent1 15 4" xfId="4301" xr:uid="{00000000-0005-0000-0000-0000A2280000}"/>
    <cellStyle name="40% - Accent1 15 4 2" xfId="4302" xr:uid="{00000000-0005-0000-0000-0000A3280000}"/>
    <cellStyle name="40% - Accent1 15 4 2 2" xfId="15424" xr:uid="{00000000-0005-0000-0000-0000A4280000}"/>
    <cellStyle name="40% - Accent1 15 4 2 3" xfId="19375" xr:uid="{00000000-0005-0000-0000-0000A5280000}"/>
    <cellStyle name="40% - Accent1 15 4 3" xfId="4303" xr:uid="{00000000-0005-0000-0000-0000A6280000}"/>
    <cellStyle name="40% - Accent1 15 4 3 2" xfId="15425" xr:uid="{00000000-0005-0000-0000-0000A7280000}"/>
    <cellStyle name="40% - Accent1 15 4 3 3" xfId="19376" xr:uid="{00000000-0005-0000-0000-0000A8280000}"/>
    <cellStyle name="40% - Accent1 15 4 4" xfId="15423" xr:uid="{00000000-0005-0000-0000-0000A9280000}"/>
    <cellStyle name="40% - Accent1 15 4 5" xfId="19374" xr:uid="{00000000-0005-0000-0000-0000AA280000}"/>
    <cellStyle name="40% - Accent1 15 5" xfId="4304" xr:uid="{00000000-0005-0000-0000-0000AB280000}"/>
    <cellStyle name="40% - Accent1 15 5 2" xfId="4305" xr:uid="{00000000-0005-0000-0000-0000AC280000}"/>
    <cellStyle name="40% - Accent1 15 5 2 2" xfId="15427" xr:uid="{00000000-0005-0000-0000-0000AD280000}"/>
    <cellStyle name="40% - Accent1 15 5 2 3" xfId="19378" xr:uid="{00000000-0005-0000-0000-0000AE280000}"/>
    <cellStyle name="40% - Accent1 15 5 3" xfId="4306" xr:uid="{00000000-0005-0000-0000-0000AF280000}"/>
    <cellStyle name="40% - Accent1 15 5 3 2" xfId="15428" xr:uid="{00000000-0005-0000-0000-0000B0280000}"/>
    <cellStyle name="40% - Accent1 15 5 3 3" xfId="19379" xr:uid="{00000000-0005-0000-0000-0000B1280000}"/>
    <cellStyle name="40% - Accent1 15 5 4" xfId="15426" xr:uid="{00000000-0005-0000-0000-0000B2280000}"/>
    <cellStyle name="40% - Accent1 15 5 5" xfId="19377" xr:uid="{00000000-0005-0000-0000-0000B3280000}"/>
    <cellStyle name="40% - Accent1 15 6" xfId="4307" xr:uid="{00000000-0005-0000-0000-0000B4280000}"/>
    <cellStyle name="40% - Accent1 15 6 2" xfId="4308" xr:uid="{00000000-0005-0000-0000-0000B5280000}"/>
    <cellStyle name="40% - Accent1 15 6 2 2" xfId="15430" xr:uid="{00000000-0005-0000-0000-0000B6280000}"/>
    <cellStyle name="40% - Accent1 15 6 2 3" xfId="19381" xr:uid="{00000000-0005-0000-0000-0000B7280000}"/>
    <cellStyle name="40% - Accent1 15 6 3" xfId="4309" xr:uid="{00000000-0005-0000-0000-0000B8280000}"/>
    <cellStyle name="40% - Accent1 15 6 3 2" xfId="15431" xr:uid="{00000000-0005-0000-0000-0000B9280000}"/>
    <cellStyle name="40% - Accent1 15 6 3 3" xfId="19382" xr:uid="{00000000-0005-0000-0000-0000BA280000}"/>
    <cellStyle name="40% - Accent1 15 6 4" xfId="15429" xr:uid="{00000000-0005-0000-0000-0000BB280000}"/>
    <cellStyle name="40% - Accent1 15 6 5" xfId="19380" xr:uid="{00000000-0005-0000-0000-0000BC280000}"/>
    <cellStyle name="40% - Accent1 15 7" xfId="4310" xr:uid="{00000000-0005-0000-0000-0000BD280000}"/>
    <cellStyle name="40% - Accent1 15 7 2" xfId="15432" xr:uid="{00000000-0005-0000-0000-0000BE280000}"/>
    <cellStyle name="40% - Accent1 15 7 3" xfId="19383" xr:uid="{00000000-0005-0000-0000-0000BF280000}"/>
    <cellStyle name="40% - Accent1 15 8" xfId="4311" xr:uid="{00000000-0005-0000-0000-0000C0280000}"/>
    <cellStyle name="40% - Accent1 15 8 2" xfId="15433" xr:uid="{00000000-0005-0000-0000-0000C1280000}"/>
    <cellStyle name="40% - Accent1 15 8 3" xfId="19384" xr:uid="{00000000-0005-0000-0000-0000C2280000}"/>
    <cellStyle name="40% - Accent1 15 9" xfId="15401" xr:uid="{00000000-0005-0000-0000-0000C3280000}"/>
    <cellStyle name="40% - Accent1 15_Volatility" xfId="4312" xr:uid="{00000000-0005-0000-0000-0000C4280000}"/>
    <cellStyle name="40% - Accent1 16" xfId="4313" xr:uid="{00000000-0005-0000-0000-0000C5280000}"/>
    <cellStyle name="40% - Accent1 16 2" xfId="15434" xr:uid="{00000000-0005-0000-0000-0000C6280000}"/>
    <cellStyle name="40% - Accent1 16 3" xfId="19385" xr:uid="{00000000-0005-0000-0000-0000C7280000}"/>
    <cellStyle name="40% - Accent1 17" xfId="4314" xr:uid="{00000000-0005-0000-0000-0000C8280000}"/>
    <cellStyle name="40% - Accent1 17 2" xfId="15435" xr:uid="{00000000-0005-0000-0000-0000C9280000}"/>
    <cellStyle name="40% - Accent1 17 3" xfId="19386" xr:uid="{00000000-0005-0000-0000-0000CA280000}"/>
    <cellStyle name="40% - Accent1 18" xfId="4315" xr:uid="{00000000-0005-0000-0000-0000CB280000}"/>
    <cellStyle name="40% - Accent1 18 2" xfId="15436" xr:uid="{00000000-0005-0000-0000-0000CC280000}"/>
    <cellStyle name="40% - Accent1 18 3" xfId="19387" xr:uid="{00000000-0005-0000-0000-0000CD280000}"/>
    <cellStyle name="40% - Accent1 19" xfId="4316" xr:uid="{00000000-0005-0000-0000-0000CE280000}"/>
    <cellStyle name="40% - Accent1 19 2" xfId="15437" xr:uid="{00000000-0005-0000-0000-0000CF280000}"/>
    <cellStyle name="40% - Accent1 19 3" xfId="19388" xr:uid="{00000000-0005-0000-0000-0000D0280000}"/>
    <cellStyle name="40% - Accent1 2" xfId="4317" xr:uid="{00000000-0005-0000-0000-0000D1280000}"/>
    <cellStyle name="40% - Accent1 2 10" xfId="19389" xr:uid="{00000000-0005-0000-0000-0000D2280000}"/>
    <cellStyle name="40% - Accent1 2 2" xfId="4318" xr:uid="{00000000-0005-0000-0000-0000D3280000}"/>
    <cellStyle name="40% - Accent1 2 2 2" xfId="4319" xr:uid="{00000000-0005-0000-0000-0000D4280000}"/>
    <cellStyle name="40% - Accent1 2 2 2 2" xfId="4320" xr:uid="{00000000-0005-0000-0000-0000D5280000}"/>
    <cellStyle name="40% - Accent1 2 2 2 2 2" xfId="15441" xr:uid="{00000000-0005-0000-0000-0000D6280000}"/>
    <cellStyle name="40% - Accent1 2 2 2 2 3" xfId="19392" xr:uid="{00000000-0005-0000-0000-0000D7280000}"/>
    <cellStyle name="40% - Accent1 2 2 2 3" xfId="4321" xr:uid="{00000000-0005-0000-0000-0000D8280000}"/>
    <cellStyle name="40% - Accent1 2 2 2 3 2" xfId="15442" xr:uid="{00000000-0005-0000-0000-0000D9280000}"/>
    <cellStyle name="40% - Accent1 2 2 2 3 3" xfId="19393" xr:uid="{00000000-0005-0000-0000-0000DA280000}"/>
    <cellStyle name="40% - Accent1 2 2 2 4" xfId="15440" xr:uid="{00000000-0005-0000-0000-0000DB280000}"/>
    <cellStyle name="40% - Accent1 2 2 2 5" xfId="19391" xr:uid="{00000000-0005-0000-0000-0000DC280000}"/>
    <cellStyle name="40% - Accent1 2 2 3" xfId="4322" xr:uid="{00000000-0005-0000-0000-0000DD280000}"/>
    <cellStyle name="40% - Accent1 2 2 3 2" xfId="4323" xr:uid="{00000000-0005-0000-0000-0000DE280000}"/>
    <cellStyle name="40% - Accent1 2 2 3 2 2" xfId="15444" xr:uid="{00000000-0005-0000-0000-0000DF280000}"/>
    <cellStyle name="40% - Accent1 2 2 3 2 3" xfId="19395" xr:uid="{00000000-0005-0000-0000-0000E0280000}"/>
    <cellStyle name="40% - Accent1 2 2 3 3" xfId="4324" xr:uid="{00000000-0005-0000-0000-0000E1280000}"/>
    <cellStyle name="40% - Accent1 2 2 3 3 2" xfId="15445" xr:uid="{00000000-0005-0000-0000-0000E2280000}"/>
    <cellStyle name="40% - Accent1 2 2 3 3 3" xfId="19396" xr:uid="{00000000-0005-0000-0000-0000E3280000}"/>
    <cellStyle name="40% - Accent1 2 2 3 4" xfId="15443" xr:uid="{00000000-0005-0000-0000-0000E4280000}"/>
    <cellStyle name="40% - Accent1 2 2 3 5" xfId="19394" xr:uid="{00000000-0005-0000-0000-0000E5280000}"/>
    <cellStyle name="40% - Accent1 2 2 4" xfId="4325" xr:uid="{00000000-0005-0000-0000-0000E6280000}"/>
    <cellStyle name="40% - Accent1 2 2 4 2" xfId="4326" xr:uid="{00000000-0005-0000-0000-0000E7280000}"/>
    <cellStyle name="40% - Accent1 2 2 4 2 2" xfId="15447" xr:uid="{00000000-0005-0000-0000-0000E8280000}"/>
    <cellStyle name="40% - Accent1 2 2 4 2 3" xfId="19398" xr:uid="{00000000-0005-0000-0000-0000E9280000}"/>
    <cellStyle name="40% - Accent1 2 2 4 3" xfId="4327" xr:uid="{00000000-0005-0000-0000-0000EA280000}"/>
    <cellStyle name="40% - Accent1 2 2 4 3 2" xfId="15448" xr:uid="{00000000-0005-0000-0000-0000EB280000}"/>
    <cellStyle name="40% - Accent1 2 2 4 3 3" xfId="19399" xr:uid="{00000000-0005-0000-0000-0000EC280000}"/>
    <cellStyle name="40% - Accent1 2 2 4 4" xfId="15446" xr:uid="{00000000-0005-0000-0000-0000ED280000}"/>
    <cellStyle name="40% - Accent1 2 2 4 5" xfId="19397" xr:uid="{00000000-0005-0000-0000-0000EE280000}"/>
    <cellStyle name="40% - Accent1 2 2 5" xfId="4328" xr:uid="{00000000-0005-0000-0000-0000EF280000}"/>
    <cellStyle name="40% - Accent1 2 2 5 2" xfId="15449" xr:uid="{00000000-0005-0000-0000-0000F0280000}"/>
    <cellStyle name="40% - Accent1 2 2 5 3" xfId="19400" xr:uid="{00000000-0005-0000-0000-0000F1280000}"/>
    <cellStyle name="40% - Accent1 2 2 6" xfId="4329" xr:uid="{00000000-0005-0000-0000-0000F2280000}"/>
    <cellStyle name="40% - Accent1 2 2 6 2" xfId="15450" xr:uid="{00000000-0005-0000-0000-0000F3280000}"/>
    <cellStyle name="40% - Accent1 2 2 6 3" xfId="19401" xr:uid="{00000000-0005-0000-0000-0000F4280000}"/>
    <cellStyle name="40% - Accent1 2 2 7" xfId="15439" xr:uid="{00000000-0005-0000-0000-0000F5280000}"/>
    <cellStyle name="40% - Accent1 2 2 8" xfId="19390" xr:uid="{00000000-0005-0000-0000-0000F6280000}"/>
    <cellStyle name="40% - Accent1 2 2_Volatility" xfId="4330" xr:uid="{00000000-0005-0000-0000-0000F7280000}"/>
    <cellStyle name="40% - Accent1 2 3" xfId="4331" xr:uid="{00000000-0005-0000-0000-0000F8280000}"/>
    <cellStyle name="40% - Accent1 2 3 2" xfId="4332" xr:uid="{00000000-0005-0000-0000-0000F9280000}"/>
    <cellStyle name="40% - Accent1 2 3 2 2" xfId="4333" xr:uid="{00000000-0005-0000-0000-0000FA280000}"/>
    <cellStyle name="40% - Accent1 2 3 2 2 2" xfId="15453" xr:uid="{00000000-0005-0000-0000-0000FB280000}"/>
    <cellStyle name="40% - Accent1 2 3 2 2 3" xfId="19404" xr:uid="{00000000-0005-0000-0000-0000FC280000}"/>
    <cellStyle name="40% - Accent1 2 3 2 3" xfId="4334" xr:uid="{00000000-0005-0000-0000-0000FD280000}"/>
    <cellStyle name="40% - Accent1 2 3 2 3 2" xfId="15454" xr:uid="{00000000-0005-0000-0000-0000FE280000}"/>
    <cellStyle name="40% - Accent1 2 3 2 3 3" xfId="19405" xr:uid="{00000000-0005-0000-0000-0000FF280000}"/>
    <cellStyle name="40% - Accent1 2 3 2 4" xfId="15452" xr:uid="{00000000-0005-0000-0000-000000290000}"/>
    <cellStyle name="40% - Accent1 2 3 2 5" xfId="19403" xr:uid="{00000000-0005-0000-0000-000001290000}"/>
    <cellStyle name="40% - Accent1 2 3 3" xfId="4335" xr:uid="{00000000-0005-0000-0000-000002290000}"/>
    <cellStyle name="40% - Accent1 2 3 3 2" xfId="4336" xr:uid="{00000000-0005-0000-0000-000003290000}"/>
    <cellStyle name="40% - Accent1 2 3 3 2 2" xfId="15456" xr:uid="{00000000-0005-0000-0000-000004290000}"/>
    <cellStyle name="40% - Accent1 2 3 3 2 3" xfId="19407" xr:uid="{00000000-0005-0000-0000-000005290000}"/>
    <cellStyle name="40% - Accent1 2 3 3 3" xfId="4337" xr:uid="{00000000-0005-0000-0000-000006290000}"/>
    <cellStyle name="40% - Accent1 2 3 3 3 2" xfId="15457" xr:uid="{00000000-0005-0000-0000-000007290000}"/>
    <cellStyle name="40% - Accent1 2 3 3 3 3" xfId="19408" xr:uid="{00000000-0005-0000-0000-000008290000}"/>
    <cellStyle name="40% - Accent1 2 3 3 4" xfId="15455" xr:uid="{00000000-0005-0000-0000-000009290000}"/>
    <cellStyle name="40% - Accent1 2 3 3 5" xfId="19406" xr:uid="{00000000-0005-0000-0000-00000A290000}"/>
    <cellStyle name="40% - Accent1 2 3 4" xfId="4338" xr:uid="{00000000-0005-0000-0000-00000B290000}"/>
    <cellStyle name="40% - Accent1 2 3 4 2" xfId="15458" xr:uid="{00000000-0005-0000-0000-00000C290000}"/>
    <cellStyle name="40% - Accent1 2 3 4 3" xfId="19409" xr:uid="{00000000-0005-0000-0000-00000D290000}"/>
    <cellStyle name="40% - Accent1 2 3 5" xfId="4339" xr:uid="{00000000-0005-0000-0000-00000E290000}"/>
    <cellStyle name="40% - Accent1 2 3 5 2" xfId="15459" xr:uid="{00000000-0005-0000-0000-00000F290000}"/>
    <cellStyle name="40% - Accent1 2 3 5 3" xfId="19410" xr:uid="{00000000-0005-0000-0000-000010290000}"/>
    <cellStyle name="40% - Accent1 2 3 6" xfId="15451" xr:uid="{00000000-0005-0000-0000-000011290000}"/>
    <cellStyle name="40% - Accent1 2 3 7" xfId="19402" xr:uid="{00000000-0005-0000-0000-000012290000}"/>
    <cellStyle name="40% - Accent1 2 3_Volatility" xfId="4340" xr:uid="{00000000-0005-0000-0000-000013290000}"/>
    <cellStyle name="40% - Accent1 2 4" xfId="4341" xr:uid="{00000000-0005-0000-0000-000014290000}"/>
    <cellStyle name="40% - Accent1 2 4 2" xfId="4342" xr:uid="{00000000-0005-0000-0000-000015290000}"/>
    <cellStyle name="40% - Accent1 2 4 2 2" xfId="15461" xr:uid="{00000000-0005-0000-0000-000016290000}"/>
    <cellStyle name="40% - Accent1 2 4 2 3" xfId="19412" xr:uid="{00000000-0005-0000-0000-000017290000}"/>
    <cellStyle name="40% - Accent1 2 4 3" xfId="4343" xr:uid="{00000000-0005-0000-0000-000018290000}"/>
    <cellStyle name="40% - Accent1 2 4 3 2" xfId="15462" xr:uid="{00000000-0005-0000-0000-000019290000}"/>
    <cellStyle name="40% - Accent1 2 4 3 3" xfId="19413" xr:uid="{00000000-0005-0000-0000-00001A290000}"/>
    <cellStyle name="40% - Accent1 2 4 4" xfId="15460" xr:uid="{00000000-0005-0000-0000-00001B290000}"/>
    <cellStyle name="40% - Accent1 2 4 5" xfId="19411" xr:uid="{00000000-0005-0000-0000-00001C290000}"/>
    <cellStyle name="40% - Accent1 2 5" xfId="4344" xr:uid="{00000000-0005-0000-0000-00001D290000}"/>
    <cellStyle name="40% - Accent1 2 5 2" xfId="4345" xr:uid="{00000000-0005-0000-0000-00001E290000}"/>
    <cellStyle name="40% - Accent1 2 5 2 2" xfId="15464" xr:uid="{00000000-0005-0000-0000-00001F290000}"/>
    <cellStyle name="40% - Accent1 2 5 2 3" xfId="19415" xr:uid="{00000000-0005-0000-0000-000020290000}"/>
    <cellStyle name="40% - Accent1 2 5 3" xfId="4346" xr:uid="{00000000-0005-0000-0000-000021290000}"/>
    <cellStyle name="40% - Accent1 2 5 3 2" xfId="15465" xr:uid="{00000000-0005-0000-0000-000022290000}"/>
    <cellStyle name="40% - Accent1 2 5 3 3" xfId="19416" xr:uid="{00000000-0005-0000-0000-000023290000}"/>
    <cellStyle name="40% - Accent1 2 5 4" xfId="15463" xr:uid="{00000000-0005-0000-0000-000024290000}"/>
    <cellStyle name="40% - Accent1 2 5 5" xfId="19414" xr:uid="{00000000-0005-0000-0000-000025290000}"/>
    <cellStyle name="40% - Accent1 2 6" xfId="4347" xr:uid="{00000000-0005-0000-0000-000026290000}"/>
    <cellStyle name="40% - Accent1 2 6 2" xfId="4348" xr:uid="{00000000-0005-0000-0000-000027290000}"/>
    <cellStyle name="40% - Accent1 2 6 2 2" xfId="15467" xr:uid="{00000000-0005-0000-0000-000028290000}"/>
    <cellStyle name="40% - Accent1 2 6 2 3" xfId="19418" xr:uid="{00000000-0005-0000-0000-000029290000}"/>
    <cellStyle name="40% - Accent1 2 6 3" xfId="4349" xr:uid="{00000000-0005-0000-0000-00002A290000}"/>
    <cellStyle name="40% - Accent1 2 6 3 2" xfId="15468" xr:uid="{00000000-0005-0000-0000-00002B290000}"/>
    <cellStyle name="40% - Accent1 2 6 3 3" xfId="19419" xr:uid="{00000000-0005-0000-0000-00002C290000}"/>
    <cellStyle name="40% - Accent1 2 6 4" xfId="15466" xr:uid="{00000000-0005-0000-0000-00002D290000}"/>
    <cellStyle name="40% - Accent1 2 6 5" xfId="19417" xr:uid="{00000000-0005-0000-0000-00002E290000}"/>
    <cellStyle name="40% - Accent1 2 7" xfId="4350" xr:uid="{00000000-0005-0000-0000-00002F290000}"/>
    <cellStyle name="40% - Accent1 2 7 2" xfId="15469" xr:uid="{00000000-0005-0000-0000-000030290000}"/>
    <cellStyle name="40% - Accent1 2 7 3" xfId="19420" xr:uid="{00000000-0005-0000-0000-000031290000}"/>
    <cellStyle name="40% - Accent1 2 8" xfId="4351" xr:uid="{00000000-0005-0000-0000-000032290000}"/>
    <cellStyle name="40% - Accent1 2 8 2" xfId="15470" xr:uid="{00000000-0005-0000-0000-000033290000}"/>
    <cellStyle name="40% - Accent1 2 8 3" xfId="19421" xr:uid="{00000000-0005-0000-0000-000034290000}"/>
    <cellStyle name="40% - Accent1 2 9" xfId="15438" xr:uid="{00000000-0005-0000-0000-000035290000}"/>
    <cellStyle name="40% - Accent1 2_Volatility" xfId="4352" xr:uid="{00000000-0005-0000-0000-000036290000}"/>
    <cellStyle name="40% - Accent1 3" xfId="4353" xr:uid="{00000000-0005-0000-0000-000037290000}"/>
    <cellStyle name="40% - Accent1 3 10" xfId="19422" xr:uid="{00000000-0005-0000-0000-000038290000}"/>
    <cellStyle name="40% - Accent1 3 2" xfId="4354" xr:uid="{00000000-0005-0000-0000-000039290000}"/>
    <cellStyle name="40% - Accent1 3 2 2" xfId="4355" xr:uid="{00000000-0005-0000-0000-00003A290000}"/>
    <cellStyle name="40% - Accent1 3 2 2 2" xfId="4356" xr:uid="{00000000-0005-0000-0000-00003B290000}"/>
    <cellStyle name="40% - Accent1 3 2 2 2 2" xfId="15474" xr:uid="{00000000-0005-0000-0000-00003C290000}"/>
    <cellStyle name="40% - Accent1 3 2 2 2 3" xfId="19425" xr:uid="{00000000-0005-0000-0000-00003D290000}"/>
    <cellStyle name="40% - Accent1 3 2 2 3" xfId="4357" xr:uid="{00000000-0005-0000-0000-00003E290000}"/>
    <cellStyle name="40% - Accent1 3 2 2 3 2" xfId="15475" xr:uid="{00000000-0005-0000-0000-00003F290000}"/>
    <cellStyle name="40% - Accent1 3 2 2 3 3" xfId="19426" xr:uid="{00000000-0005-0000-0000-000040290000}"/>
    <cellStyle name="40% - Accent1 3 2 2 4" xfId="15473" xr:uid="{00000000-0005-0000-0000-000041290000}"/>
    <cellStyle name="40% - Accent1 3 2 2 5" xfId="19424" xr:uid="{00000000-0005-0000-0000-000042290000}"/>
    <cellStyle name="40% - Accent1 3 2 3" xfId="4358" xr:uid="{00000000-0005-0000-0000-000043290000}"/>
    <cellStyle name="40% - Accent1 3 2 3 2" xfId="4359" xr:uid="{00000000-0005-0000-0000-000044290000}"/>
    <cellStyle name="40% - Accent1 3 2 3 2 2" xfId="15477" xr:uid="{00000000-0005-0000-0000-000045290000}"/>
    <cellStyle name="40% - Accent1 3 2 3 2 3" xfId="19428" xr:uid="{00000000-0005-0000-0000-000046290000}"/>
    <cellStyle name="40% - Accent1 3 2 3 3" xfId="4360" xr:uid="{00000000-0005-0000-0000-000047290000}"/>
    <cellStyle name="40% - Accent1 3 2 3 3 2" xfId="15478" xr:uid="{00000000-0005-0000-0000-000048290000}"/>
    <cellStyle name="40% - Accent1 3 2 3 3 3" xfId="19429" xr:uid="{00000000-0005-0000-0000-000049290000}"/>
    <cellStyle name="40% - Accent1 3 2 3 4" xfId="15476" xr:uid="{00000000-0005-0000-0000-00004A290000}"/>
    <cellStyle name="40% - Accent1 3 2 3 5" xfId="19427" xr:uid="{00000000-0005-0000-0000-00004B290000}"/>
    <cellStyle name="40% - Accent1 3 2 4" xfId="4361" xr:uid="{00000000-0005-0000-0000-00004C290000}"/>
    <cellStyle name="40% - Accent1 3 2 4 2" xfId="4362" xr:uid="{00000000-0005-0000-0000-00004D290000}"/>
    <cellStyle name="40% - Accent1 3 2 4 2 2" xfId="15480" xr:uid="{00000000-0005-0000-0000-00004E290000}"/>
    <cellStyle name="40% - Accent1 3 2 4 2 3" xfId="19431" xr:uid="{00000000-0005-0000-0000-00004F290000}"/>
    <cellStyle name="40% - Accent1 3 2 4 3" xfId="4363" xr:uid="{00000000-0005-0000-0000-000050290000}"/>
    <cellStyle name="40% - Accent1 3 2 4 3 2" xfId="15481" xr:uid="{00000000-0005-0000-0000-000051290000}"/>
    <cellStyle name="40% - Accent1 3 2 4 3 3" xfId="19432" xr:uid="{00000000-0005-0000-0000-000052290000}"/>
    <cellStyle name="40% - Accent1 3 2 4 4" xfId="15479" xr:uid="{00000000-0005-0000-0000-000053290000}"/>
    <cellStyle name="40% - Accent1 3 2 4 5" xfId="19430" xr:uid="{00000000-0005-0000-0000-000054290000}"/>
    <cellStyle name="40% - Accent1 3 2 5" xfId="4364" xr:uid="{00000000-0005-0000-0000-000055290000}"/>
    <cellStyle name="40% - Accent1 3 2 5 2" xfId="15482" xr:uid="{00000000-0005-0000-0000-000056290000}"/>
    <cellStyle name="40% - Accent1 3 2 5 3" xfId="19433" xr:uid="{00000000-0005-0000-0000-000057290000}"/>
    <cellStyle name="40% - Accent1 3 2 6" xfId="4365" xr:uid="{00000000-0005-0000-0000-000058290000}"/>
    <cellStyle name="40% - Accent1 3 2 6 2" xfId="15483" xr:uid="{00000000-0005-0000-0000-000059290000}"/>
    <cellStyle name="40% - Accent1 3 2 6 3" xfId="19434" xr:uid="{00000000-0005-0000-0000-00005A290000}"/>
    <cellStyle name="40% - Accent1 3 2 7" xfId="15472" xr:uid="{00000000-0005-0000-0000-00005B290000}"/>
    <cellStyle name="40% - Accent1 3 2 8" xfId="19423" xr:uid="{00000000-0005-0000-0000-00005C290000}"/>
    <cellStyle name="40% - Accent1 3 2_Volatility" xfId="4366" xr:uid="{00000000-0005-0000-0000-00005D290000}"/>
    <cellStyle name="40% - Accent1 3 3" xfId="4367" xr:uid="{00000000-0005-0000-0000-00005E290000}"/>
    <cellStyle name="40% - Accent1 3 3 2" xfId="4368" xr:uid="{00000000-0005-0000-0000-00005F290000}"/>
    <cellStyle name="40% - Accent1 3 3 2 2" xfId="4369" xr:uid="{00000000-0005-0000-0000-000060290000}"/>
    <cellStyle name="40% - Accent1 3 3 2 2 2" xfId="15486" xr:uid="{00000000-0005-0000-0000-000061290000}"/>
    <cellStyle name="40% - Accent1 3 3 2 2 3" xfId="19437" xr:uid="{00000000-0005-0000-0000-000062290000}"/>
    <cellStyle name="40% - Accent1 3 3 2 3" xfId="4370" xr:uid="{00000000-0005-0000-0000-000063290000}"/>
    <cellStyle name="40% - Accent1 3 3 2 3 2" xfId="15487" xr:uid="{00000000-0005-0000-0000-000064290000}"/>
    <cellStyle name="40% - Accent1 3 3 2 3 3" xfId="19438" xr:uid="{00000000-0005-0000-0000-000065290000}"/>
    <cellStyle name="40% - Accent1 3 3 2 4" xfId="15485" xr:uid="{00000000-0005-0000-0000-000066290000}"/>
    <cellStyle name="40% - Accent1 3 3 2 5" xfId="19436" xr:uid="{00000000-0005-0000-0000-000067290000}"/>
    <cellStyle name="40% - Accent1 3 3 3" xfId="4371" xr:uid="{00000000-0005-0000-0000-000068290000}"/>
    <cellStyle name="40% - Accent1 3 3 3 2" xfId="4372" xr:uid="{00000000-0005-0000-0000-000069290000}"/>
    <cellStyle name="40% - Accent1 3 3 3 2 2" xfId="15489" xr:uid="{00000000-0005-0000-0000-00006A290000}"/>
    <cellStyle name="40% - Accent1 3 3 3 2 3" xfId="19440" xr:uid="{00000000-0005-0000-0000-00006B290000}"/>
    <cellStyle name="40% - Accent1 3 3 3 3" xfId="4373" xr:uid="{00000000-0005-0000-0000-00006C290000}"/>
    <cellStyle name="40% - Accent1 3 3 3 3 2" xfId="15490" xr:uid="{00000000-0005-0000-0000-00006D290000}"/>
    <cellStyle name="40% - Accent1 3 3 3 3 3" xfId="19441" xr:uid="{00000000-0005-0000-0000-00006E290000}"/>
    <cellStyle name="40% - Accent1 3 3 3 4" xfId="15488" xr:uid="{00000000-0005-0000-0000-00006F290000}"/>
    <cellStyle name="40% - Accent1 3 3 3 5" xfId="19439" xr:uid="{00000000-0005-0000-0000-000070290000}"/>
    <cellStyle name="40% - Accent1 3 3 4" xfId="4374" xr:uid="{00000000-0005-0000-0000-000071290000}"/>
    <cellStyle name="40% - Accent1 3 3 4 2" xfId="15491" xr:uid="{00000000-0005-0000-0000-000072290000}"/>
    <cellStyle name="40% - Accent1 3 3 4 3" xfId="19442" xr:uid="{00000000-0005-0000-0000-000073290000}"/>
    <cellStyle name="40% - Accent1 3 3 5" xfId="4375" xr:uid="{00000000-0005-0000-0000-000074290000}"/>
    <cellStyle name="40% - Accent1 3 3 5 2" xfId="15492" xr:uid="{00000000-0005-0000-0000-000075290000}"/>
    <cellStyle name="40% - Accent1 3 3 5 3" xfId="19443" xr:uid="{00000000-0005-0000-0000-000076290000}"/>
    <cellStyle name="40% - Accent1 3 3 6" xfId="15484" xr:uid="{00000000-0005-0000-0000-000077290000}"/>
    <cellStyle name="40% - Accent1 3 3 7" xfId="19435" xr:uid="{00000000-0005-0000-0000-000078290000}"/>
    <cellStyle name="40% - Accent1 3 3_Volatility" xfId="4376" xr:uid="{00000000-0005-0000-0000-000079290000}"/>
    <cellStyle name="40% - Accent1 3 4" xfId="4377" xr:uid="{00000000-0005-0000-0000-00007A290000}"/>
    <cellStyle name="40% - Accent1 3 4 2" xfId="4378" xr:uid="{00000000-0005-0000-0000-00007B290000}"/>
    <cellStyle name="40% - Accent1 3 4 2 2" xfId="15494" xr:uid="{00000000-0005-0000-0000-00007C290000}"/>
    <cellStyle name="40% - Accent1 3 4 2 3" xfId="19445" xr:uid="{00000000-0005-0000-0000-00007D290000}"/>
    <cellStyle name="40% - Accent1 3 4 3" xfId="4379" xr:uid="{00000000-0005-0000-0000-00007E290000}"/>
    <cellStyle name="40% - Accent1 3 4 3 2" xfId="15495" xr:uid="{00000000-0005-0000-0000-00007F290000}"/>
    <cellStyle name="40% - Accent1 3 4 3 3" xfId="19446" xr:uid="{00000000-0005-0000-0000-000080290000}"/>
    <cellStyle name="40% - Accent1 3 4 4" xfId="15493" xr:uid="{00000000-0005-0000-0000-000081290000}"/>
    <cellStyle name="40% - Accent1 3 4 5" xfId="19444" xr:uid="{00000000-0005-0000-0000-000082290000}"/>
    <cellStyle name="40% - Accent1 3 5" xfId="4380" xr:uid="{00000000-0005-0000-0000-000083290000}"/>
    <cellStyle name="40% - Accent1 3 5 2" xfId="4381" xr:uid="{00000000-0005-0000-0000-000084290000}"/>
    <cellStyle name="40% - Accent1 3 5 2 2" xfId="15497" xr:uid="{00000000-0005-0000-0000-000085290000}"/>
    <cellStyle name="40% - Accent1 3 5 2 3" xfId="19448" xr:uid="{00000000-0005-0000-0000-000086290000}"/>
    <cellStyle name="40% - Accent1 3 5 3" xfId="4382" xr:uid="{00000000-0005-0000-0000-000087290000}"/>
    <cellStyle name="40% - Accent1 3 5 3 2" xfId="15498" xr:uid="{00000000-0005-0000-0000-000088290000}"/>
    <cellStyle name="40% - Accent1 3 5 3 3" xfId="19449" xr:uid="{00000000-0005-0000-0000-000089290000}"/>
    <cellStyle name="40% - Accent1 3 5 4" xfId="15496" xr:uid="{00000000-0005-0000-0000-00008A290000}"/>
    <cellStyle name="40% - Accent1 3 5 5" xfId="19447" xr:uid="{00000000-0005-0000-0000-00008B290000}"/>
    <cellStyle name="40% - Accent1 3 6" xfId="4383" xr:uid="{00000000-0005-0000-0000-00008C290000}"/>
    <cellStyle name="40% - Accent1 3 6 2" xfId="4384" xr:uid="{00000000-0005-0000-0000-00008D290000}"/>
    <cellStyle name="40% - Accent1 3 6 2 2" xfId="15500" xr:uid="{00000000-0005-0000-0000-00008E290000}"/>
    <cellStyle name="40% - Accent1 3 6 2 3" xfId="19451" xr:uid="{00000000-0005-0000-0000-00008F290000}"/>
    <cellStyle name="40% - Accent1 3 6 3" xfId="4385" xr:uid="{00000000-0005-0000-0000-000090290000}"/>
    <cellStyle name="40% - Accent1 3 6 3 2" xfId="15501" xr:uid="{00000000-0005-0000-0000-000091290000}"/>
    <cellStyle name="40% - Accent1 3 6 3 3" xfId="19452" xr:uid="{00000000-0005-0000-0000-000092290000}"/>
    <cellStyle name="40% - Accent1 3 6 4" xfId="15499" xr:uid="{00000000-0005-0000-0000-000093290000}"/>
    <cellStyle name="40% - Accent1 3 6 5" xfId="19450" xr:uid="{00000000-0005-0000-0000-000094290000}"/>
    <cellStyle name="40% - Accent1 3 7" xfId="4386" xr:uid="{00000000-0005-0000-0000-000095290000}"/>
    <cellStyle name="40% - Accent1 3 7 2" xfId="15502" xr:uid="{00000000-0005-0000-0000-000096290000}"/>
    <cellStyle name="40% - Accent1 3 7 3" xfId="19453" xr:uid="{00000000-0005-0000-0000-000097290000}"/>
    <cellStyle name="40% - Accent1 3 8" xfId="4387" xr:uid="{00000000-0005-0000-0000-000098290000}"/>
    <cellStyle name="40% - Accent1 3 8 2" xfId="15503" xr:uid="{00000000-0005-0000-0000-000099290000}"/>
    <cellStyle name="40% - Accent1 3 8 3" xfId="19454" xr:uid="{00000000-0005-0000-0000-00009A290000}"/>
    <cellStyle name="40% - Accent1 3 9" xfId="15471" xr:uid="{00000000-0005-0000-0000-00009B290000}"/>
    <cellStyle name="40% - Accent1 3_Volatility" xfId="4388" xr:uid="{00000000-0005-0000-0000-00009C290000}"/>
    <cellStyle name="40% - Accent1 4" xfId="4389" xr:uid="{00000000-0005-0000-0000-00009D290000}"/>
    <cellStyle name="40% - Accent1 4 10" xfId="19455" xr:uid="{00000000-0005-0000-0000-00009E290000}"/>
    <cellStyle name="40% - Accent1 4 2" xfId="4390" xr:uid="{00000000-0005-0000-0000-00009F290000}"/>
    <cellStyle name="40% - Accent1 4 2 2" xfId="4391" xr:uid="{00000000-0005-0000-0000-0000A0290000}"/>
    <cellStyle name="40% - Accent1 4 2 2 2" xfId="4392" xr:uid="{00000000-0005-0000-0000-0000A1290000}"/>
    <cellStyle name="40% - Accent1 4 2 2 2 2" xfId="15507" xr:uid="{00000000-0005-0000-0000-0000A2290000}"/>
    <cellStyle name="40% - Accent1 4 2 2 2 3" xfId="19458" xr:uid="{00000000-0005-0000-0000-0000A3290000}"/>
    <cellStyle name="40% - Accent1 4 2 2 3" xfId="4393" xr:uid="{00000000-0005-0000-0000-0000A4290000}"/>
    <cellStyle name="40% - Accent1 4 2 2 3 2" xfId="15508" xr:uid="{00000000-0005-0000-0000-0000A5290000}"/>
    <cellStyle name="40% - Accent1 4 2 2 3 3" xfId="19459" xr:uid="{00000000-0005-0000-0000-0000A6290000}"/>
    <cellStyle name="40% - Accent1 4 2 2 4" xfId="15506" xr:uid="{00000000-0005-0000-0000-0000A7290000}"/>
    <cellStyle name="40% - Accent1 4 2 2 5" xfId="19457" xr:uid="{00000000-0005-0000-0000-0000A8290000}"/>
    <cellStyle name="40% - Accent1 4 2 3" xfId="4394" xr:uid="{00000000-0005-0000-0000-0000A9290000}"/>
    <cellStyle name="40% - Accent1 4 2 3 2" xfId="4395" xr:uid="{00000000-0005-0000-0000-0000AA290000}"/>
    <cellStyle name="40% - Accent1 4 2 3 2 2" xfId="15510" xr:uid="{00000000-0005-0000-0000-0000AB290000}"/>
    <cellStyle name="40% - Accent1 4 2 3 2 3" xfId="19461" xr:uid="{00000000-0005-0000-0000-0000AC290000}"/>
    <cellStyle name="40% - Accent1 4 2 3 3" xfId="4396" xr:uid="{00000000-0005-0000-0000-0000AD290000}"/>
    <cellStyle name="40% - Accent1 4 2 3 3 2" xfId="15511" xr:uid="{00000000-0005-0000-0000-0000AE290000}"/>
    <cellStyle name="40% - Accent1 4 2 3 3 3" xfId="19462" xr:uid="{00000000-0005-0000-0000-0000AF290000}"/>
    <cellStyle name="40% - Accent1 4 2 3 4" xfId="15509" xr:uid="{00000000-0005-0000-0000-0000B0290000}"/>
    <cellStyle name="40% - Accent1 4 2 3 5" xfId="19460" xr:uid="{00000000-0005-0000-0000-0000B1290000}"/>
    <cellStyle name="40% - Accent1 4 2 4" xfId="4397" xr:uid="{00000000-0005-0000-0000-0000B2290000}"/>
    <cellStyle name="40% - Accent1 4 2 4 2" xfId="4398" xr:uid="{00000000-0005-0000-0000-0000B3290000}"/>
    <cellStyle name="40% - Accent1 4 2 4 2 2" xfId="15513" xr:uid="{00000000-0005-0000-0000-0000B4290000}"/>
    <cellStyle name="40% - Accent1 4 2 4 2 3" xfId="19464" xr:uid="{00000000-0005-0000-0000-0000B5290000}"/>
    <cellStyle name="40% - Accent1 4 2 4 3" xfId="4399" xr:uid="{00000000-0005-0000-0000-0000B6290000}"/>
    <cellStyle name="40% - Accent1 4 2 4 3 2" xfId="15514" xr:uid="{00000000-0005-0000-0000-0000B7290000}"/>
    <cellStyle name="40% - Accent1 4 2 4 3 3" xfId="19465" xr:uid="{00000000-0005-0000-0000-0000B8290000}"/>
    <cellStyle name="40% - Accent1 4 2 4 4" xfId="15512" xr:uid="{00000000-0005-0000-0000-0000B9290000}"/>
    <cellStyle name="40% - Accent1 4 2 4 5" xfId="19463" xr:uid="{00000000-0005-0000-0000-0000BA290000}"/>
    <cellStyle name="40% - Accent1 4 2 5" xfId="4400" xr:uid="{00000000-0005-0000-0000-0000BB290000}"/>
    <cellStyle name="40% - Accent1 4 2 5 2" xfId="15515" xr:uid="{00000000-0005-0000-0000-0000BC290000}"/>
    <cellStyle name="40% - Accent1 4 2 5 3" xfId="19466" xr:uid="{00000000-0005-0000-0000-0000BD290000}"/>
    <cellStyle name="40% - Accent1 4 2 6" xfId="4401" xr:uid="{00000000-0005-0000-0000-0000BE290000}"/>
    <cellStyle name="40% - Accent1 4 2 6 2" xfId="15516" xr:uid="{00000000-0005-0000-0000-0000BF290000}"/>
    <cellStyle name="40% - Accent1 4 2 6 3" xfId="19467" xr:uid="{00000000-0005-0000-0000-0000C0290000}"/>
    <cellStyle name="40% - Accent1 4 2 7" xfId="15505" xr:uid="{00000000-0005-0000-0000-0000C1290000}"/>
    <cellStyle name="40% - Accent1 4 2 8" xfId="19456" xr:uid="{00000000-0005-0000-0000-0000C2290000}"/>
    <cellStyle name="40% - Accent1 4 2_Volatility" xfId="4402" xr:uid="{00000000-0005-0000-0000-0000C3290000}"/>
    <cellStyle name="40% - Accent1 4 3" xfId="4403" xr:uid="{00000000-0005-0000-0000-0000C4290000}"/>
    <cellStyle name="40% - Accent1 4 3 2" xfId="4404" xr:uid="{00000000-0005-0000-0000-0000C5290000}"/>
    <cellStyle name="40% - Accent1 4 3 2 2" xfId="4405" xr:uid="{00000000-0005-0000-0000-0000C6290000}"/>
    <cellStyle name="40% - Accent1 4 3 2 2 2" xfId="15519" xr:uid="{00000000-0005-0000-0000-0000C7290000}"/>
    <cellStyle name="40% - Accent1 4 3 2 2 3" xfId="19470" xr:uid="{00000000-0005-0000-0000-0000C8290000}"/>
    <cellStyle name="40% - Accent1 4 3 2 3" xfId="4406" xr:uid="{00000000-0005-0000-0000-0000C9290000}"/>
    <cellStyle name="40% - Accent1 4 3 2 3 2" xfId="15520" xr:uid="{00000000-0005-0000-0000-0000CA290000}"/>
    <cellStyle name="40% - Accent1 4 3 2 3 3" xfId="19471" xr:uid="{00000000-0005-0000-0000-0000CB290000}"/>
    <cellStyle name="40% - Accent1 4 3 2 4" xfId="15518" xr:uid="{00000000-0005-0000-0000-0000CC290000}"/>
    <cellStyle name="40% - Accent1 4 3 2 5" xfId="19469" xr:uid="{00000000-0005-0000-0000-0000CD290000}"/>
    <cellStyle name="40% - Accent1 4 3 3" xfId="4407" xr:uid="{00000000-0005-0000-0000-0000CE290000}"/>
    <cellStyle name="40% - Accent1 4 3 3 2" xfId="4408" xr:uid="{00000000-0005-0000-0000-0000CF290000}"/>
    <cellStyle name="40% - Accent1 4 3 3 2 2" xfId="15522" xr:uid="{00000000-0005-0000-0000-0000D0290000}"/>
    <cellStyle name="40% - Accent1 4 3 3 2 3" xfId="19473" xr:uid="{00000000-0005-0000-0000-0000D1290000}"/>
    <cellStyle name="40% - Accent1 4 3 3 3" xfId="4409" xr:uid="{00000000-0005-0000-0000-0000D2290000}"/>
    <cellStyle name="40% - Accent1 4 3 3 3 2" xfId="15523" xr:uid="{00000000-0005-0000-0000-0000D3290000}"/>
    <cellStyle name="40% - Accent1 4 3 3 3 3" xfId="19474" xr:uid="{00000000-0005-0000-0000-0000D4290000}"/>
    <cellStyle name="40% - Accent1 4 3 3 4" xfId="15521" xr:uid="{00000000-0005-0000-0000-0000D5290000}"/>
    <cellStyle name="40% - Accent1 4 3 3 5" xfId="19472" xr:uid="{00000000-0005-0000-0000-0000D6290000}"/>
    <cellStyle name="40% - Accent1 4 3 4" xfId="4410" xr:uid="{00000000-0005-0000-0000-0000D7290000}"/>
    <cellStyle name="40% - Accent1 4 3 4 2" xfId="15524" xr:uid="{00000000-0005-0000-0000-0000D8290000}"/>
    <cellStyle name="40% - Accent1 4 3 4 3" xfId="19475" xr:uid="{00000000-0005-0000-0000-0000D9290000}"/>
    <cellStyle name="40% - Accent1 4 3 5" xfId="4411" xr:uid="{00000000-0005-0000-0000-0000DA290000}"/>
    <cellStyle name="40% - Accent1 4 3 5 2" xfId="15525" xr:uid="{00000000-0005-0000-0000-0000DB290000}"/>
    <cellStyle name="40% - Accent1 4 3 5 3" xfId="19476" xr:uid="{00000000-0005-0000-0000-0000DC290000}"/>
    <cellStyle name="40% - Accent1 4 3 6" xfId="15517" xr:uid="{00000000-0005-0000-0000-0000DD290000}"/>
    <cellStyle name="40% - Accent1 4 3 7" xfId="19468" xr:uid="{00000000-0005-0000-0000-0000DE290000}"/>
    <cellStyle name="40% - Accent1 4 3_Volatility" xfId="4412" xr:uid="{00000000-0005-0000-0000-0000DF290000}"/>
    <cellStyle name="40% - Accent1 4 4" xfId="4413" xr:uid="{00000000-0005-0000-0000-0000E0290000}"/>
    <cellStyle name="40% - Accent1 4 4 2" xfId="4414" xr:uid="{00000000-0005-0000-0000-0000E1290000}"/>
    <cellStyle name="40% - Accent1 4 4 2 2" xfId="15527" xr:uid="{00000000-0005-0000-0000-0000E2290000}"/>
    <cellStyle name="40% - Accent1 4 4 2 3" xfId="19478" xr:uid="{00000000-0005-0000-0000-0000E3290000}"/>
    <cellStyle name="40% - Accent1 4 4 3" xfId="4415" xr:uid="{00000000-0005-0000-0000-0000E4290000}"/>
    <cellStyle name="40% - Accent1 4 4 3 2" xfId="15528" xr:uid="{00000000-0005-0000-0000-0000E5290000}"/>
    <cellStyle name="40% - Accent1 4 4 3 3" xfId="19479" xr:uid="{00000000-0005-0000-0000-0000E6290000}"/>
    <cellStyle name="40% - Accent1 4 4 4" xfId="15526" xr:uid="{00000000-0005-0000-0000-0000E7290000}"/>
    <cellStyle name="40% - Accent1 4 4 5" xfId="19477" xr:uid="{00000000-0005-0000-0000-0000E8290000}"/>
    <cellStyle name="40% - Accent1 4 5" xfId="4416" xr:uid="{00000000-0005-0000-0000-0000E9290000}"/>
    <cellStyle name="40% - Accent1 4 5 2" xfId="4417" xr:uid="{00000000-0005-0000-0000-0000EA290000}"/>
    <cellStyle name="40% - Accent1 4 5 2 2" xfId="15530" xr:uid="{00000000-0005-0000-0000-0000EB290000}"/>
    <cellStyle name="40% - Accent1 4 5 2 3" xfId="19481" xr:uid="{00000000-0005-0000-0000-0000EC290000}"/>
    <cellStyle name="40% - Accent1 4 5 3" xfId="4418" xr:uid="{00000000-0005-0000-0000-0000ED290000}"/>
    <cellStyle name="40% - Accent1 4 5 3 2" xfId="15531" xr:uid="{00000000-0005-0000-0000-0000EE290000}"/>
    <cellStyle name="40% - Accent1 4 5 3 3" xfId="19482" xr:uid="{00000000-0005-0000-0000-0000EF290000}"/>
    <cellStyle name="40% - Accent1 4 5 4" xfId="15529" xr:uid="{00000000-0005-0000-0000-0000F0290000}"/>
    <cellStyle name="40% - Accent1 4 5 5" xfId="19480" xr:uid="{00000000-0005-0000-0000-0000F1290000}"/>
    <cellStyle name="40% - Accent1 4 6" xfId="4419" xr:uid="{00000000-0005-0000-0000-0000F2290000}"/>
    <cellStyle name="40% - Accent1 4 6 2" xfId="4420" xr:uid="{00000000-0005-0000-0000-0000F3290000}"/>
    <cellStyle name="40% - Accent1 4 6 2 2" xfId="15533" xr:uid="{00000000-0005-0000-0000-0000F4290000}"/>
    <cellStyle name="40% - Accent1 4 6 2 3" xfId="19484" xr:uid="{00000000-0005-0000-0000-0000F5290000}"/>
    <cellStyle name="40% - Accent1 4 6 3" xfId="4421" xr:uid="{00000000-0005-0000-0000-0000F6290000}"/>
    <cellStyle name="40% - Accent1 4 6 3 2" xfId="15534" xr:uid="{00000000-0005-0000-0000-0000F7290000}"/>
    <cellStyle name="40% - Accent1 4 6 3 3" xfId="19485" xr:uid="{00000000-0005-0000-0000-0000F8290000}"/>
    <cellStyle name="40% - Accent1 4 6 4" xfId="15532" xr:uid="{00000000-0005-0000-0000-0000F9290000}"/>
    <cellStyle name="40% - Accent1 4 6 5" xfId="19483" xr:uid="{00000000-0005-0000-0000-0000FA290000}"/>
    <cellStyle name="40% - Accent1 4 7" xfId="4422" xr:uid="{00000000-0005-0000-0000-0000FB290000}"/>
    <cellStyle name="40% - Accent1 4 7 2" xfId="15535" xr:uid="{00000000-0005-0000-0000-0000FC290000}"/>
    <cellStyle name="40% - Accent1 4 7 3" xfId="19486" xr:uid="{00000000-0005-0000-0000-0000FD290000}"/>
    <cellStyle name="40% - Accent1 4 8" xfId="4423" xr:uid="{00000000-0005-0000-0000-0000FE290000}"/>
    <cellStyle name="40% - Accent1 4 8 2" xfId="15536" xr:uid="{00000000-0005-0000-0000-0000FF290000}"/>
    <cellStyle name="40% - Accent1 4 8 3" xfId="19487" xr:uid="{00000000-0005-0000-0000-0000002A0000}"/>
    <cellStyle name="40% - Accent1 4 9" xfId="15504" xr:uid="{00000000-0005-0000-0000-0000012A0000}"/>
    <cellStyle name="40% - Accent1 4_Volatility" xfId="4424" xr:uid="{00000000-0005-0000-0000-0000022A0000}"/>
    <cellStyle name="40% - Accent1 5" xfId="4425" xr:uid="{00000000-0005-0000-0000-0000032A0000}"/>
    <cellStyle name="40% - Accent1 5 10" xfId="19488" xr:uid="{00000000-0005-0000-0000-0000042A0000}"/>
    <cellStyle name="40% - Accent1 5 2" xfId="4426" xr:uid="{00000000-0005-0000-0000-0000052A0000}"/>
    <cellStyle name="40% - Accent1 5 2 2" xfId="4427" xr:uid="{00000000-0005-0000-0000-0000062A0000}"/>
    <cellStyle name="40% - Accent1 5 2 2 2" xfId="4428" xr:uid="{00000000-0005-0000-0000-0000072A0000}"/>
    <cellStyle name="40% - Accent1 5 2 2 2 2" xfId="15540" xr:uid="{00000000-0005-0000-0000-0000082A0000}"/>
    <cellStyle name="40% - Accent1 5 2 2 2 3" xfId="19491" xr:uid="{00000000-0005-0000-0000-0000092A0000}"/>
    <cellStyle name="40% - Accent1 5 2 2 3" xfId="4429" xr:uid="{00000000-0005-0000-0000-00000A2A0000}"/>
    <cellStyle name="40% - Accent1 5 2 2 3 2" xfId="15541" xr:uid="{00000000-0005-0000-0000-00000B2A0000}"/>
    <cellStyle name="40% - Accent1 5 2 2 3 3" xfId="19492" xr:uid="{00000000-0005-0000-0000-00000C2A0000}"/>
    <cellStyle name="40% - Accent1 5 2 2 4" xfId="15539" xr:uid="{00000000-0005-0000-0000-00000D2A0000}"/>
    <cellStyle name="40% - Accent1 5 2 2 5" xfId="19490" xr:uid="{00000000-0005-0000-0000-00000E2A0000}"/>
    <cellStyle name="40% - Accent1 5 2 3" xfId="4430" xr:uid="{00000000-0005-0000-0000-00000F2A0000}"/>
    <cellStyle name="40% - Accent1 5 2 3 2" xfId="4431" xr:uid="{00000000-0005-0000-0000-0000102A0000}"/>
    <cellStyle name="40% - Accent1 5 2 3 2 2" xfId="15543" xr:uid="{00000000-0005-0000-0000-0000112A0000}"/>
    <cellStyle name="40% - Accent1 5 2 3 2 3" xfId="19494" xr:uid="{00000000-0005-0000-0000-0000122A0000}"/>
    <cellStyle name="40% - Accent1 5 2 3 3" xfId="4432" xr:uid="{00000000-0005-0000-0000-0000132A0000}"/>
    <cellStyle name="40% - Accent1 5 2 3 3 2" xfId="15544" xr:uid="{00000000-0005-0000-0000-0000142A0000}"/>
    <cellStyle name="40% - Accent1 5 2 3 3 3" xfId="19495" xr:uid="{00000000-0005-0000-0000-0000152A0000}"/>
    <cellStyle name="40% - Accent1 5 2 3 4" xfId="15542" xr:uid="{00000000-0005-0000-0000-0000162A0000}"/>
    <cellStyle name="40% - Accent1 5 2 3 5" xfId="19493" xr:uid="{00000000-0005-0000-0000-0000172A0000}"/>
    <cellStyle name="40% - Accent1 5 2 4" xfId="4433" xr:uid="{00000000-0005-0000-0000-0000182A0000}"/>
    <cellStyle name="40% - Accent1 5 2 4 2" xfId="4434" xr:uid="{00000000-0005-0000-0000-0000192A0000}"/>
    <cellStyle name="40% - Accent1 5 2 4 2 2" xfId="15546" xr:uid="{00000000-0005-0000-0000-00001A2A0000}"/>
    <cellStyle name="40% - Accent1 5 2 4 2 3" xfId="19497" xr:uid="{00000000-0005-0000-0000-00001B2A0000}"/>
    <cellStyle name="40% - Accent1 5 2 4 3" xfId="4435" xr:uid="{00000000-0005-0000-0000-00001C2A0000}"/>
    <cellStyle name="40% - Accent1 5 2 4 3 2" xfId="15547" xr:uid="{00000000-0005-0000-0000-00001D2A0000}"/>
    <cellStyle name="40% - Accent1 5 2 4 3 3" xfId="19498" xr:uid="{00000000-0005-0000-0000-00001E2A0000}"/>
    <cellStyle name="40% - Accent1 5 2 4 4" xfId="15545" xr:uid="{00000000-0005-0000-0000-00001F2A0000}"/>
    <cellStyle name="40% - Accent1 5 2 4 5" xfId="19496" xr:uid="{00000000-0005-0000-0000-0000202A0000}"/>
    <cellStyle name="40% - Accent1 5 2 5" xfId="4436" xr:uid="{00000000-0005-0000-0000-0000212A0000}"/>
    <cellStyle name="40% - Accent1 5 2 5 2" xfId="15548" xr:uid="{00000000-0005-0000-0000-0000222A0000}"/>
    <cellStyle name="40% - Accent1 5 2 5 3" xfId="19499" xr:uid="{00000000-0005-0000-0000-0000232A0000}"/>
    <cellStyle name="40% - Accent1 5 2 6" xfId="4437" xr:uid="{00000000-0005-0000-0000-0000242A0000}"/>
    <cellStyle name="40% - Accent1 5 2 6 2" xfId="15549" xr:uid="{00000000-0005-0000-0000-0000252A0000}"/>
    <cellStyle name="40% - Accent1 5 2 6 3" xfId="19500" xr:uid="{00000000-0005-0000-0000-0000262A0000}"/>
    <cellStyle name="40% - Accent1 5 2 7" xfId="15538" xr:uid="{00000000-0005-0000-0000-0000272A0000}"/>
    <cellStyle name="40% - Accent1 5 2 8" xfId="19489" xr:uid="{00000000-0005-0000-0000-0000282A0000}"/>
    <cellStyle name="40% - Accent1 5 2_Volatility" xfId="4438" xr:uid="{00000000-0005-0000-0000-0000292A0000}"/>
    <cellStyle name="40% - Accent1 5 3" xfId="4439" xr:uid="{00000000-0005-0000-0000-00002A2A0000}"/>
    <cellStyle name="40% - Accent1 5 3 2" xfId="4440" xr:uid="{00000000-0005-0000-0000-00002B2A0000}"/>
    <cellStyle name="40% - Accent1 5 3 2 2" xfId="4441" xr:uid="{00000000-0005-0000-0000-00002C2A0000}"/>
    <cellStyle name="40% - Accent1 5 3 2 2 2" xfId="15552" xr:uid="{00000000-0005-0000-0000-00002D2A0000}"/>
    <cellStyle name="40% - Accent1 5 3 2 2 3" xfId="19503" xr:uid="{00000000-0005-0000-0000-00002E2A0000}"/>
    <cellStyle name="40% - Accent1 5 3 2 3" xfId="4442" xr:uid="{00000000-0005-0000-0000-00002F2A0000}"/>
    <cellStyle name="40% - Accent1 5 3 2 3 2" xfId="15553" xr:uid="{00000000-0005-0000-0000-0000302A0000}"/>
    <cellStyle name="40% - Accent1 5 3 2 3 3" xfId="19504" xr:uid="{00000000-0005-0000-0000-0000312A0000}"/>
    <cellStyle name="40% - Accent1 5 3 2 4" xfId="15551" xr:uid="{00000000-0005-0000-0000-0000322A0000}"/>
    <cellStyle name="40% - Accent1 5 3 2 5" xfId="19502" xr:uid="{00000000-0005-0000-0000-0000332A0000}"/>
    <cellStyle name="40% - Accent1 5 3 3" xfId="4443" xr:uid="{00000000-0005-0000-0000-0000342A0000}"/>
    <cellStyle name="40% - Accent1 5 3 3 2" xfId="4444" xr:uid="{00000000-0005-0000-0000-0000352A0000}"/>
    <cellStyle name="40% - Accent1 5 3 3 2 2" xfId="15555" xr:uid="{00000000-0005-0000-0000-0000362A0000}"/>
    <cellStyle name="40% - Accent1 5 3 3 2 3" xfId="19506" xr:uid="{00000000-0005-0000-0000-0000372A0000}"/>
    <cellStyle name="40% - Accent1 5 3 3 3" xfId="4445" xr:uid="{00000000-0005-0000-0000-0000382A0000}"/>
    <cellStyle name="40% - Accent1 5 3 3 3 2" xfId="15556" xr:uid="{00000000-0005-0000-0000-0000392A0000}"/>
    <cellStyle name="40% - Accent1 5 3 3 3 3" xfId="19507" xr:uid="{00000000-0005-0000-0000-00003A2A0000}"/>
    <cellStyle name="40% - Accent1 5 3 3 4" xfId="15554" xr:uid="{00000000-0005-0000-0000-00003B2A0000}"/>
    <cellStyle name="40% - Accent1 5 3 3 5" xfId="19505" xr:uid="{00000000-0005-0000-0000-00003C2A0000}"/>
    <cellStyle name="40% - Accent1 5 3 4" xfId="4446" xr:uid="{00000000-0005-0000-0000-00003D2A0000}"/>
    <cellStyle name="40% - Accent1 5 3 4 2" xfId="15557" xr:uid="{00000000-0005-0000-0000-00003E2A0000}"/>
    <cellStyle name="40% - Accent1 5 3 4 3" xfId="19508" xr:uid="{00000000-0005-0000-0000-00003F2A0000}"/>
    <cellStyle name="40% - Accent1 5 3 5" xfId="4447" xr:uid="{00000000-0005-0000-0000-0000402A0000}"/>
    <cellStyle name="40% - Accent1 5 3 5 2" xfId="15558" xr:uid="{00000000-0005-0000-0000-0000412A0000}"/>
    <cellStyle name="40% - Accent1 5 3 5 3" xfId="19509" xr:uid="{00000000-0005-0000-0000-0000422A0000}"/>
    <cellStyle name="40% - Accent1 5 3 6" xfId="15550" xr:uid="{00000000-0005-0000-0000-0000432A0000}"/>
    <cellStyle name="40% - Accent1 5 3 7" xfId="19501" xr:uid="{00000000-0005-0000-0000-0000442A0000}"/>
    <cellStyle name="40% - Accent1 5 3_Volatility" xfId="4448" xr:uid="{00000000-0005-0000-0000-0000452A0000}"/>
    <cellStyle name="40% - Accent1 5 4" xfId="4449" xr:uid="{00000000-0005-0000-0000-0000462A0000}"/>
    <cellStyle name="40% - Accent1 5 4 2" xfId="4450" xr:uid="{00000000-0005-0000-0000-0000472A0000}"/>
    <cellStyle name="40% - Accent1 5 4 2 2" xfId="15560" xr:uid="{00000000-0005-0000-0000-0000482A0000}"/>
    <cellStyle name="40% - Accent1 5 4 2 3" xfId="19511" xr:uid="{00000000-0005-0000-0000-0000492A0000}"/>
    <cellStyle name="40% - Accent1 5 4 3" xfId="4451" xr:uid="{00000000-0005-0000-0000-00004A2A0000}"/>
    <cellStyle name="40% - Accent1 5 4 3 2" xfId="15561" xr:uid="{00000000-0005-0000-0000-00004B2A0000}"/>
    <cellStyle name="40% - Accent1 5 4 3 3" xfId="19512" xr:uid="{00000000-0005-0000-0000-00004C2A0000}"/>
    <cellStyle name="40% - Accent1 5 4 4" xfId="15559" xr:uid="{00000000-0005-0000-0000-00004D2A0000}"/>
    <cellStyle name="40% - Accent1 5 4 5" xfId="19510" xr:uid="{00000000-0005-0000-0000-00004E2A0000}"/>
    <cellStyle name="40% - Accent1 5 5" xfId="4452" xr:uid="{00000000-0005-0000-0000-00004F2A0000}"/>
    <cellStyle name="40% - Accent1 5 5 2" xfId="4453" xr:uid="{00000000-0005-0000-0000-0000502A0000}"/>
    <cellStyle name="40% - Accent1 5 5 2 2" xfId="15563" xr:uid="{00000000-0005-0000-0000-0000512A0000}"/>
    <cellStyle name="40% - Accent1 5 5 2 3" xfId="19514" xr:uid="{00000000-0005-0000-0000-0000522A0000}"/>
    <cellStyle name="40% - Accent1 5 5 3" xfId="4454" xr:uid="{00000000-0005-0000-0000-0000532A0000}"/>
    <cellStyle name="40% - Accent1 5 5 3 2" xfId="15564" xr:uid="{00000000-0005-0000-0000-0000542A0000}"/>
    <cellStyle name="40% - Accent1 5 5 3 3" xfId="19515" xr:uid="{00000000-0005-0000-0000-0000552A0000}"/>
    <cellStyle name="40% - Accent1 5 5 4" xfId="15562" xr:uid="{00000000-0005-0000-0000-0000562A0000}"/>
    <cellStyle name="40% - Accent1 5 5 5" xfId="19513" xr:uid="{00000000-0005-0000-0000-0000572A0000}"/>
    <cellStyle name="40% - Accent1 5 6" xfId="4455" xr:uid="{00000000-0005-0000-0000-0000582A0000}"/>
    <cellStyle name="40% - Accent1 5 6 2" xfId="4456" xr:uid="{00000000-0005-0000-0000-0000592A0000}"/>
    <cellStyle name="40% - Accent1 5 6 2 2" xfId="15566" xr:uid="{00000000-0005-0000-0000-00005A2A0000}"/>
    <cellStyle name="40% - Accent1 5 6 2 3" xfId="19517" xr:uid="{00000000-0005-0000-0000-00005B2A0000}"/>
    <cellStyle name="40% - Accent1 5 6 3" xfId="4457" xr:uid="{00000000-0005-0000-0000-00005C2A0000}"/>
    <cellStyle name="40% - Accent1 5 6 3 2" xfId="15567" xr:uid="{00000000-0005-0000-0000-00005D2A0000}"/>
    <cellStyle name="40% - Accent1 5 6 3 3" xfId="19518" xr:uid="{00000000-0005-0000-0000-00005E2A0000}"/>
    <cellStyle name="40% - Accent1 5 6 4" xfId="15565" xr:uid="{00000000-0005-0000-0000-00005F2A0000}"/>
    <cellStyle name="40% - Accent1 5 6 5" xfId="19516" xr:uid="{00000000-0005-0000-0000-0000602A0000}"/>
    <cellStyle name="40% - Accent1 5 7" xfId="4458" xr:uid="{00000000-0005-0000-0000-0000612A0000}"/>
    <cellStyle name="40% - Accent1 5 7 2" xfId="15568" xr:uid="{00000000-0005-0000-0000-0000622A0000}"/>
    <cellStyle name="40% - Accent1 5 7 3" xfId="19519" xr:uid="{00000000-0005-0000-0000-0000632A0000}"/>
    <cellStyle name="40% - Accent1 5 8" xfId="4459" xr:uid="{00000000-0005-0000-0000-0000642A0000}"/>
    <cellStyle name="40% - Accent1 5 8 2" xfId="15569" xr:uid="{00000000-0005-0000-0000-0000652A0000}"/>
    <cellStyle name="40% - Accent1 5 8 3" xfId="19520" xr:uid="{00000000-0005-0000-0000-0000662A0000}"/>
    <cellStyle name="40% - Accent1 5 9" xfId="15537" xr:uid="{00000000-0005-0000-0000-0000672A0000}"/>
    <cellStyle name="40% - Accent1 5_Volatility" xfId="4460" xr:uid="{00000000-0005-0000-0000-0000682A0000}"/>
    <cellStyle name="40% - Accent1 6" xfId="4461" xr:uid="{00000000-0005-0000-0000-0000692A0000}"/>
    <cellStyle name="40% - Accent1 6 10" xfId="19521" xr:uid="{00000000-0005-0000-0000-00006A2A0000}"/>
    <cellStyle name="40% - Accent1 6 2" xfId="4462" xr:uid="{00000000-0005-0000-0000-00006B2A0000}"/>
    <cellStyle name="40% - Accent1 6 2 2" xfId="4463" xr:uid="{00000000-0005-0000-0000-00006C2A0000}"/>
    <cellStyle name="40% - Accent1 6 2 2 2" xfId="4464" xr:uid="{00000000-0005-0000-0000-00006D2A0000}"/>
    <cellStyle name="40% - Accent1 6 2 2 2 2" xfId="15573" xr:uid="{00000000-0005-0000-0000-00006E2A0000}"/>
    <cellStyle name="40% - Accent1 6 2 2 2 3" xfId="19524" xr:uid="{00000000-0005-0000-0000-00006F2A0000}"/>
    <cellStyle name="40% - Accent1 6 2 2 3" xfId="4465" xr:uid="{00000000-0005-0000-0000-0000702A0000}"/>
    <cellStyle name="40% - Accent1 6 2 2 3 2" xfId="15574" xr:uid="{00000000-0005-0000-0000-0000712A0000}"/>
    <cellStyle name="40% - Accent1 6 2 2 3 3" xfId="19525" xr:uid="{00000000-0005-0000-0000-0000722A0000}"/>
    <cellStyle name="40% - Accent1 6 2 2 4" xfId="15572" xr:uid="{00000000-0005-0000-0000-0000732A0000}"/>
    <cellStyle name="40% - Accent1 6 2 2 5" xfId="19523" xr:uid="{00000000-0005-0000-0000-0000742A0000}"/>
    <cellStyle name="40% - Accent1 6 2 3" xfId="4466" xr:uid="{00000000-0005-0000-0000-0000752A0000}"/>
    <cellStyle name="40% - Accent1 6 2 3 2" xfId="4467" xr:uid="{00000000-0005-0000-0000-0000762A0000}"/>
    <cellStyle name="40% - Accent1 6 2 3 2 2" xfId="15576" xr:uid="{00000000-0005-0000-0000-0000772A0000}"/>
    <cellStyle name="40% - Accent1 6 2 3 2 3" xfId="19527" xr:uid="{00000000-0005-0000-0000-0000782A0000}"/>
    <cellStyle name="40% - Accent1 6 2 3 3" xfId="4468" xr:uid="{00000000-0005-0000-0000-0000792A0000}"/>
    <cellStyle name="40% - Accent1 6 2 3 3 2" xfId="15577" xr:uid="{00000000-0005-0000-0000-00007A2A0000}"/>
    <cellStyle name="40% - Accent1 6 2 3 3 3" xfId="19528" xr:uid="{00000000-0005-0000-0000-00007B2A0000}"/>
    <cellStyle name="40% - Accent1 6 2 3 4" xfId="15575" xr:uid="{00000000-0005-0000-0000-00007C2A0000}"/>
    <cellStyle name="40% - Accent1 6 2 3 5" xfId="19526" xr:uid="{00000000-0005-0000-0000-00007D2A0000}"/>
    <cellStyle name="40% - Accent1 6 2 4" xfId="4469" xr:uid="{00000000-0005-0000-0000-00007E2A0000}"/>
    <cellStyle name="40% - Accent1 6 2 4 2" xfId="4470" xr:uid="{00000000-0005-0000-0000-00007F2A0000}"/>
    <cellStyle name="40% - Accent1 6 2 4 2 2" xfId="15579" xr:uid="{00000000-0005-0000-0000-0000802A0000}"/>
    <cellStyle name="40% - Accent1 6 2 4 2 3" xfId="19530" xr:uid="{00000000-0005-0000-0000-0000812A0000}"/>
    <cellStyle name="40% - Accent1 6 2 4 3" xfId="4471" xr:uid="{00000000-0005-0000-0000-0000822A0000}"/>
    <cellStyle name="40% - Accent1 6 2 4 3 2" xfId="15580" xr:uid="{00000000-0005-0000-0000-0000832A0000}"/>
    <cellStyle name="40% - Accent1 6 2 4 3 3" xfId="19531" xr:uid="{00000000-0005-0000-0000-0000842A0000}"/>
    <cellStyle name="40% - Accent1 6 2 4 4" xfId="15578" xr:uid="{00000000-0005-0000-0000-0000852A0000}"/>
    <cellStyle name="40% - Accent1 6 2 4 5" xfId="19529" xr:uid="{00000000-0005-0000-0000-0000862A0000}"/>
    <cellStyle name="40% - Accent1 6 2 5" xfId="4472" xr:uid="{00000000-0005-0000-0000-0000872A0000}"/>
    <cellStyle name="40% - Accent1 6 2 5 2" xfId="15581" xr:uid="{00000000-0005-0000-0000-0000882A0000}"/>
    <cellStyle name="40% - Accent1 6 2 5 3" xfId="19532" xr:uid="{00000000-0005-0000-0000-0000892A0000}"/>
    <cellStyle name="40% - Accent1 6 2 6" xfId="4473" xr:uid="{00000000-0005-0000-0000-00008A2A0000}"/>
    <cellStyle name="40% - Accent1 6 2 6 2" xfId="15582" xr:uid="{00000000-0005-0000-0000-00008B2A0000}"/>
    <cellStyle name="40% - Accent1 6 2 6 3" xfId="19533" xr:uid="{00000000-0005-0000-0000-00008C2A0000}"/>
    <cellStyle name="40% - Accent1 6 2 7" xfId="15571" xr:uid="{00000000-0005-0000-0000-00008D2A0000}"/>
    <cellStyle name="40% - Accent1 6 2 8" xfId="19522" xr:uid="{00000000-0005-0000-0000-00008E2A0000}"/>
    <cellStyle name="40% - Accent1 6 2_Volatility" xfId="4474" xr:uid="{00000000-0005-0000-0000-00008F2A0000}"/>
    <cellStyle name="40% - Accent1 6 3" xfId="4475" xr:uid="{00000000-0005-0000-0000-0000902A0000}"/>
    <cellStyle name="40% - Accent1 6 3 2" xfId="4476" xr:uid="{00000000-0005-0000-0000-0000912A0000}"/>
    <cellStyle name="40% - Accent1 6 3 2 2" xfId="4477" xr:uid="{00000000-0005-0000-0000-0000922A0000}"/>
    <cellStyle name="40% - Accent1 6 3 2 2 2" xfId="15585" xr:uid="{00000000-0005-0000-0000-0000932A0000}"/>
    <cellStyle name="40% - Accent1 6 3 2 2 3" xfId="19536" xr:uid="{00000000-0005-0000-0000-0000942A0000}"/>
    <cellStyle name="40% - Accent1 6 3 2 3" xfId="4478" xr:uid="{00000000-0005-0000-0000-0000952A0000}"/>
    <cellStyle name="40% - Accent1 6 3 2 3 2" xfId="15586" xr:uid="{00000000-0005-0000-0000-0000962A0000}"/>
    <cellStyle name="40% - Accent1 6 3 2 3 3" xfId="19537" xr:uid="{00000000-0005-0000-0000-0000972A0000}"/>
    <cellStyle name="40% - Accent1 6 3 2 4" xfId="15584" xr:uid="{00000000-0005-0000-0000-0000982A0000}"/>
    <cellStyle name="40% - Accent1 6 3 2 5" xfId="19535" xr:uid="{00000000-0005-0000-0000-0000992A0000}"/>
    <cellStyle name="40% - Accent1 6 3 3" xfId="4479" xr:uid="{00000000-0005-0000-0000-00009A2A0000}"/>
    <cellStyle name="40% - Accent1 6 3 3 2" xfId="4480" xr:uid="{00000000-0005-0000-0000-00009B2A0000}"/>
    <cellStyle name="40% - Accent1 6 3 3 2 2" xfId="15588" xr:uid="{00000000-0005-0000-0000-00009C2A0000}"/>
    <cellStyle name="40% - Accent1 6 3 3 2 3" xfId="19539" xr:uid="{00000000-0005-0000-0000-00009D2A0000}"/>
    <cellStyle name="40% - Accent1 6 3 3 3" xfId="4481" xr:uid="{00000000-0005-0000-0000-00009E2A0000}"/>
    <cellStyle name="40% - Accent1 6 3 3 3 2" xfId="15589" xr:uid="{00000000-0005-0000-0000-00009F2A0000}"/>
    <cellStyle name="40% - Accent1 6 3 3 3 3" xfId="19540" xr:uid="{00000000-0005-0000-0000-0000A02A0000}"/>
    <cellStyle name="40% - Accent1 6 3 3 4" xfId="15587" xr:uid="{00000000-0005-0000-0000-0000A12A0000}"/>
    <cellStyle name="40% - Accent1 6 3 3 5" xfId="19538" xr:uid="{00000000-0005-0000-0000-0000A22A0000}"/>
    <cellStyle name="40% - Accent1 6 3 4" xfId="4482" xr:uid="{00000000-0005-0000-0000-0000A32A0000}"/>
    <cellStyle name="40% - Accent1 6 3 4 2" xfId="15590" xr:uid="{00000000-0005-0000-0000-0000A42A0000}"/>
    <cellStyle name="40% - Accent1 6 3 4 3" xfId="19541" xr:uid="{00000000-0005-0000-0000-0000A52A0000}"/>
    <cellStyle name="40% - Accent1 6 3 5" xfId="4483" xr:uid="{00000000-0005-0000-0000-0000A62A0000}"/>
    <cellStyle name="40% - Accent1 6 3 5 2" xfId="15591" xr:uid="{00000000-0005-0000-0000-0000A72A0000}"/>
    <cellStyle name="40% - Accent1 6 3 5 3" xfId="19542" xr:uid="{00000000-0005-0000-0000-0000A82A0000}"/>
    <cellStyle name="40% - Accent1 6 3 6" xfId="15583" xr:uid="{00000000-0005-0000-0000-0000A92A0000}"/>
    <cellStyle name="40% - Accent1 6 3 7" xfId="19534" xr:uid="{00000000-0005-0000-0000-0000AA2A0000}"/>
    <cellStyle name="40% - Accent1 6 3_Volatility" xfId="4484" xr:uid="{00000000-0005-0000-0000-0000AB2A0000}"/>
    <cellStyle name="40% - Accent1 6 4" xfId="4485" xr:uid="{00000000-0005-0000-0000-0000AC2A0000}"/>
    <cellStyle name="40% - Accent1 6 4 2" xfId="4486" xr:uid="{00000000-0005-0000-0000-0000AD2A0000}"/>
    <cellStyle name="40% - Accent1 6 4 2 2" xfId="15593" xr:uid="{00000000-0005-0000-0000-0000AE2A0000}"/>
    <cellStyle name="40% - Accent1 6 4 2 3" xfId="19544" xr:uid="{00000000-0005-0000-0000-0000AF2A0000}"/>
    <cellStyle name="40% - Accent1 6 4 3" xfId="4487" xr:uid="{00000000-0005-0000-0000-0000B02A0000}"/>
    <cellStyle name="40% - Accent1 6 4 3 2" xfId="15594" xr:uid="{00000000-0005-0000-0000-0000B12A0000}"/>
    <cellStyle name="40% - Accent1 6 4 3 3" xfId="19545" xr:uid="{00000000-0005-0000-0000-0000B22A0000}"/>
    <cellStyle name="40% - Accent1 6 4 4" xfId="15592" xr:uid="{00000000-0005-0000-0000-0000B32A0000}"/>
    <cellStyle name="40% - Accent1 6 4 5" xfId="19543" xr:uid="{00000000-0005-0000-0000-0000B42A0000}"/>
    <cellStyle name="40% - Accent1 6 5" xfId="4488" xr:uid="{00000000-0005-0000-0000-0000B52A0000}"/>
    <cellStyle name="40% - Accent1 6 5 2" xfId="4489" xr:uid="{00000000-0005-0000-0000-0000B62A0000}"/>
    <cellStyle name="40% - Accent1 6 5 2 2" xfId="15596" xr:uid="{00000000-0005-0000-0000-0000B72A0000}"/>
    <cellStyle name="40% - Accent1 6 5 2 3" xfId="19547" xr:uid="{00000000-0005-0000-0000-0000B82A0000}"/>
    <cellStyle name="40% - Accent1 6 5 3" xfId="4490" xr:uid="{00000000-0005-0000-0000-0000B92A0000}"/>
    <cellStyle name="40% - Accent1 6 5 3 2" xfId="15597" xr:uid="{00000000-0005-0000-0000-0000BA2A0000}"/>
    <cellStyle name="40% - Accent1 6 5 3 3" xfId="19548" xr:uid="{00000000-0005-0000-0000-0000BB2A0000}"/>
    <cellStyle name="40% - Accent1 6 5 4" xfId="15595" xr:uid="{00000000-0005-0000-0000-0000BC2A0000}"/>
    <cellStyle name="40% - Accent1 6 5 5" xfId="19546" xr:uid="{00000000-0005-0000-0000-0000BD2A0000}"/>
    <cellStyle name="40% - Accent1 6 6" xfId="4491" xr:uid="{00000000-0005-0000-0000-0000BE2A0000}"/>
    <cellStyle name="40% - Accent1 6 6 2" xfId="4492" xr:uid="{00000000-0005-0000-0000-0000BF2A0000}"/>
    <cellStyle name="40% - Accent1 6 6 2 2" xfId="15599" xr:uid="{00000000-0005-0000-0000-0000C02A0000}"/>
    <cellStyle name="40% - Accent1 6 6 2 3" xfId="19550" xr:uid="{00000000-0005-0000-0000-0000C12A0000}"/>
    <cellStyle name="40% - Accent1 6 6 3" xfId="4493" xr:uid="{00000000-0005-0000-0000-0000C22A0000}"/>
    <cellStyle name="40% - Accent1 6 6 3 2" xfId="15600" xr:uid="{00000000-0005-0000-0000-0000C32A0000}"/>
    <cellStyle name="40% - Accent1 6 6 3 3" xfId="19551" xr:uid="{00000000-0005-0000-0000-0000C42A0000}"/>
    <cellStyle name="40% - Accent1 6 6 4" xfId="15598" xr:uid="{00000000-0005-0000-0000-0000C52A0000}"/>
    <cellStyle name="40% - Accent1 6 6 5" xfId="19549" xr:uid="{00000000-0005-0000-0000-0000C62A0000}"/>
    <cellStyle name="40% - Accent1 6 7" xfId="4494" xr:uid="{00000000-0005-0000-0000-0000C72A0000}"/>
    <cellStyle name="40% - Accent1 6 7 2" xfId="15601" xr:uid="{00000000-0005-0000-0000-0000C82A0000}"/>
    <cellStyle name="40% - Accent1 6 7 3" xfId="19552" xr:uid="{00000000-0005-0000-0000-0000C92A0000}"/>
    <cellStyle name="40% - Accent1 6 8" xfId="4495" xr:uid="{00000000-0005-0000-0000-0000CA2A0000}"/>
    <cellStyle name="40% - Accent1 6 8 2" xfId="15602" xr:uid="{00000000-0005-0000-0000-0000CB2A0000}"/>
    <cellStyle name="40% - Accent1 6 8 3" xfId="19553" xr:uid="{00000000-0005-0000-0000-0000CC2A0000}"/>
    <cellStyle name="40% - Accent1 6 9" xfId="15570" xr:uid="{00000000-0005-0000-0000-0000CD2A0000}"/>
    <cellStyle name="40% - Accent1 6_Volatility" xfId="4496" xr:uid="{00000000-0005-0000-0000-0000CE2A0000}"/>
    <cellStyle name="40% - Accent1 7" xfId="4497" xr:uid="{00000000-0005-0000-0000-0000CF2A0000}"/>
    <cellStyle name="40% - Accent1 7 10" xfId="19554" xr:uid="{00000000-0005-0000-0000-0000D02A0000}"/>
    <cellStyle name="40% - Accent1 7 2" xfId="4498" xr:uid="{00000000-0005-0000-0000-0000D12A0000}"/>
    <cellStyle name="40% - Accent1 7 2 2" xfId="4499" xr:uid="{00000000-0005-0000-0000-0000D22A0000}"/>
    <cellStyle name="40% - Accent1 7 2 2 2" xfId="4500" xr:uid="{00000000-0005-0000-0000-0000D32A0000}"/>
    <cellStyle name="40% - Accent1 7 2 2 2 2" xfId="15606" xr:uid="{00000000-0005-0000-0000-0000D42A0000}"/>
    <cellStyle name="40% - Accent1 7 2 2 2 3" xfId="19557" xr:uid="{00000000-0005-0000-0000-0000D52A0000}"/>
    <cellStyle name="40% - Accent1 7 2 2 3" xfId="4501" xr:uid="{00000000-0005-0000-0000-0000D62A0000}"/>
    <cellStyle name="40% - Accent1 7 2 2 3 2" xfId="15607" xr:uid="{00000000-0005-0000-0000-0000D72A0000}"/>
    <cellStyle name="40% - Accent1 7 2 2 3 3" xfId="19558" xr:uid="{00000000-0005-0000-0000-0000D82A0000}"/>
    <cellStyle name="40% - Accent1 7 2 2 4" xfId="15605" xr:uid="{00000000-0005-0000-0000-0000D92A0000}"/>
    <cellStyle name="40% - Accent1 7 2 2 5" xfId="19556" xr:uid="{00000000-0005-0000-0000-0000DA2A0000}"/>
    <cellStyle name="40% - Accent1 7 2 3" xfId="4502" xr:uid="{00000000-0005-0000-0000-0000DB2A0000}"/>
    <cellStyle name="40% - Accent1 7 2 3 2" xfId="4503" xr:uid="{00000000-0005-0000-0000-0000DC2A0000}"/>
    <cellStyle name="40% - Accent1 7 2 3 2 2" xfId="15609" xr:uid="{00000000-0005-0000-0000-0000DD2A0000}"/>
    <cellStyle name="40% - Accent1 7 2 3 2 3" xfId="19560" xr:uid="{00000000-0005-0000-0000-0000DE2A0000}"/>
    <cellStyle name="40% - Accent1 7 2 3 3" xfId="4504" xr:uid="{00000000-0005-0000-0000-0000DF2A0000}"/>
    <cellStyle name="40% - Accent1 7 2 3 3 2" xfId="15610" xr:uid="{00000000-0005-0000-0000-0000E02A0000}"/>
    <cellStyle name="40% - Accent1 7 2 3 3 3" xfId="19561" xr:uid="{00000000-0005-0000-0000-0000E12A0000}"/>
    <cellStyle name="40% - Accent1 7 2 3 4" xfId="15608" xr:uid="{00000000-0005-0000-0000-0000E22A0000}"/>
    <cellStyle name="40% - Accent1 7 2 3 5" xfId="19559" xr:uid="{00000000-0005-0000-0000-0000E32A0000}"/>
    <cellStyle name="40% - Accent1 7 2 4" xfId="4505" xr:uid="{00000000-0005-0000-0000-0000E42A0000}"/>
    <cellStyle name="40% - Accent1 7 2 4 2" xfId="4506" xr:uid="{00000000-0005-0000-0000-0000E52A0000}"/>
    <cellStyle name="40% - Accent1 7 2 4 2 2" xfId="15612" xr:uid="{00000000-0005-0000-0000-0000E62A0000}"/>
    <cellStyle name="40% - Accent1 7 2 4 2 3" xfId="19563" xr:uid="{00000000-0005-0000-0000-0000E72A0000}"/>
    <cellStyle name="40% - Accent1 7 2 4 3" xfId="4507" xr:uid="{00000000-0005-0000-0000-0000E82A0000}"/>
    <cellStyle name="40% - Accent1 7 2 4 3 2" xfId="15613" xr:uid="{00000000-0005-0000-0000-0000E92A0000}"/>
    <cellStyle name="40% - Accent1 7 2 4 3 3" xfId="19564" xr:uid="{00000000-0005-0000-0000-0000EA2A0000}"/>
    <cellStyle name="40% - Accent1 7 2 4 4" xfId="15611" xr:uid="{00000000-0005-0000-0000-0000EB2A0000}"/>
    <cellStyle name="40% - Accent1 7 2 4 5" xfId="19562" xr:uid="{00000000-0005-0000-0000-0000EC2A0000}"/>
    <cellStyle name="40% - Accent1 7 2 5" xfId="4508" xr:uid="{00000000-0005-0000-0000-0000ED2A0000}"/>
    <cellStyle name="40% - Accent1 7 2 5 2" xfId="15614" xr:uid="{00000000-0005-0000-0000-0000EE2A0000}"/>
    <cellStyle name="40% - Accent1 7 2 5 3" xfId="19565" xr:uid="{00000000-0005-0000-0000-0000EF2A0000}"/>
    <cellStyle name="40% - Accent1 7 2 6" xfId="4509" xr:uid="{00000000-0005-0000-0000-0000F02A0000}"/>
    <cellStyle name="40% - Accent1 7 2 6 2" xfId="15615" xr:uid="{00000000-0005-0000-0000-0000F12A0000}"/>
    <cellStyle name="40% - Accent1 7 2 6 3" xfId="19566" xr:uid="{00000000-0005-0000-0000-0000F22A0000}"/>
    <cellStyle name="40% - Accent1 7 2 7" xfId="15604" xr:uid="{00000000-0005-0000-0000-0000F32A0000}"/>
    <cellStyle name="40% - Accent1 7 2 8" xfId="19555" xr:uid="{00000000-0005-0000-0000-0000F42A0000}"/>
    <cellStyle name="40% - Accent1 7 2_Volatility" xfId="4510" xr:uid="{00000000-0005-0000-0000-0000F52A0000}"/>
    <cellStyle name="40% - Accent1 7 3" xfId="4511" xr:uid="{00000000-0005-0000-0000-0000F62A0000}"/>
    <cellStyle name="40% - Accent1 7 3 2" xfId="4512" xr:uid="{00000000-0005-0000-0000-0000F72A0000}"/>
    <cellStyle name="40% - Accent1 7 3 2 2" xfId="4513" xr:uid="{00000000-0005-0000-0000-0000F82A0000}"/>
    <cellStyle name="40% - Accent1 7 3 2 2 2" xfId="15618" xr:uid="{00000000-0005-0000-0000-0000F92A0000}"/>
    <cellStyle name="40% - Accent1 7 3 2 2 3" xfId="19569" xr:uid="{00000000-0005-0000-0000-0000FA2A0000}"/>
    <cellStyle name="40% - Accent1 7 3 2 3" xfId="4514" xr:uid="{00000000-0005-0000-0000-0000FB2A0000}"/>
    <cellStyle name="40% - Accent1 7 3 2 3 2" xfId="15619" xr:uid="{00000000-0005-0000-0000-0000FC2A0000}"/>
    <cellStyle name="40% - Accent1 7 3 2 3 3" xfId="19570" xr:uid="{00000000-0005-0000-0000-0000FD2A0000}"/>
    <cellStyle name="40% - Accent1 7 3 2 4" xfId="15617" xr:uid="{00000000-0005-0000-0000-0000FE2A0000}"/>
    <cellStyle name="40% - Accent1 7 3 2 5" xfId="19568" xr:uid="{00000000-0005-0000-0000-0000FF2A0000}"/>
    <cellStyle name="40% - Accent1 7 3 3" xfId="4515" xr:uid="{00000000-0005-0000-0000-0000002B0000}"/>
    <cellStyle name="40% - Accent1 7 3 3 2" xfId="4516" xr:uid="{00000000-0005-0000-0000-0000012B0000}"/>
    <cellStyle name="40% - Accent1 7 3 3 2 2" xfId="15621" xr:uid="{00000000-0005-0000-0000-0000022B0000}"/>
    <cellStyle name="40% - Accent1 7 3 3 2 3" xfId="19572" xr:uid="{00000000-0005-0000-0000-0000032B0000}"/>
    <cellStyle name="40% - Accent1 7 3 3 3" xfId="4517" xr:uid="{00000000-0005-0000-0000-0000042B0000}"/>
    <cellStyle name="40% - Accent1 7 3 3 3 2" xfId="15622" xr:uid="{00000000-0005-0000-0000-0000052B0000}"/>
    <cellStyle name="40% - Accent1 7 3 3 3 3" xfId="19573" xr:uid="{00000000-0005-0000-0000-0000062B0000}"/>
    <cellStyle name="40% - Accent1 7 3 3 4" xfId="15620" xr:uid="{00000000-0005-0000-0000-0000072B0000}"/>
    <cellStyle name="40% - Accent1 7 3 3 5" xfId="19571" xr:uid="{00000000-0005-0000-0000-0000082B0000}"/>
    <cellStyle name="40% - Accent1 7 3 4" xfId="4518" xr:uid="{00000000-0005-0000-0000-0000092B0000}"/>
    <cellStyle name="40% - Accent1 7 3 4 2" xfId="15623" xr:uid="{00000000-0005-0000-0000-00000A2B0000}"/>
    <cellStyle name="40% - Accent1 7 3 4 3" xfId="19574" xr:uid="{00000000-0005-0000-0000-00000B2B0000}"/>
    <cellStyle name="40% - Accent1 7 3 5" xfId="4519" xr:uid="{00000000-0005-0000-0000-00000C2B0000}"/>
    <cellStyle name="40% - Accent1 7 3 5 2" xfId="15624" xr:uid="{00000000-0005-0000-0000-00000D2B0000}"/>
    <cellStyle name="40% - Accent1 7 3 5 3" xfId="19575" xr:uid="{00000000-0005-0000-0000-00000E2B0000}"/>
    <cellStyle name="40% - Accent1 7 3 6" xfId="15616" xr:uid="{00000000-0005-0000-0000-00000F2B0000}"/>
    <cellStyle name="40% - Accent1 7 3 7" xfId="19567" xr:uid="{00000000-0005-0000-0000-0000102B0000}"/>
    <cellStyle name="40% - Accent1 7 3_Volatility" xfId="4520" xr:uid="{00000000-0005-0000-0000-0000112B0000}"/>
    <cellStyle name="40% - Accent1 7 4" xfId="4521" xr:uid="{00000000-0005-0000-0000-0000122B0000}"/>
    <cellStyle name="40% - Accent1 7 4 2" xfId="4522" xr:uid="{00000000-0005-0000-0000-0000132B0000}"/>
    <cellStyle name="40% - Accent1 7 4 2 2" xfId="15626" xr:uid="{00000000-0005-0000-0000-0000142B0000}"/>
    <cellStyle name="40% - Accent1 7 4 2 3" xfId="19577" xr:uid="{00000000-0005-0000-0000-0000152B0000}"/>
    <cellStyle name="40% - Accent1 7 4 3" xfId="4523" xr:uid="{00000000-0005-0000-0000-0000162B0000}"/>
    <cellStyle name="40% - Accent1 7 4 3 2" xfId="15627" xr:uid="{00000000-0005-0000-0000-0000172B0000}"/>
    <cellStyle name="40% - Accent1 7 4 3 3" xfId="19578" xr:uid="{00000000-0005-0000-0000-0000182B0000}"/>
    <cellStyle name="40% - Accent1 7 4 4" xfId="15625" xr:uid="{00000000-0005-0000-0000-0000192B0000}"/>
    <cellStyle name="40% - Accent1 7 4 5" xfId="19576" xr:uid="{00000000-0005-0000-0000-00001A2B0000}"/>
    <cellStyle name="40% - Accent1 7 5" xfId="4524" xr:uid="{00000000-0005-0000-0000-00001B2B0000}"/>
    <cellStyle name="40% - Accent1 7 5 2" xfId="4525" xr:uid="{00000000-0005-0000-0000-00001C2B0000}"/>
    <cellStyle name="40% - Accent1 7 5 2 2" xfId="15629" xr:uid="{00000000-0005-0000-0000-00001D2B0000}"/>
    <cellStyle name="40% - Accent1 7 5 2 3" xfId="19580" xr:uid="{00000000-0005-0000-0000-00001E2B0000}"/>
    <cellStyle name="40% - Accent1 7 5 3" xfId="4526" xr:uid="{00000000-0005-0000-0000-00001F2B0000}"/>
    <cellStyle name="40% - Accent1 7 5 3 2" xfId="15630" xr:uid="{00000000-0005-0000-0000-0000202B0000}"/>
    <cellStyle name="40% - Accent1 7 5 3 3" xfId="19581" xr:uid="{00000000-0005-0000-0000-0000212B0000}"/>
    <cellStyle name="40% - Accent1 7 5 4" xfId="15628" xr:uid="{00000000-0005-0000-0000-0000222B0000}"/>
    <cellStyle name="40% - Accent1 7 5 5" xfId="19579" xr:uid="{00000000-0005-0000-0000-0000232B0000}"/>
    <cellStyle name="40% - Accent1 7 6" xfId="4527" xr:uid="{00000000-0005-0000-0000-0000242B0000}"/>
    <cellStyle name="40% - Accent1 7 6 2" xfId="4528" xr:uid="{00000000-0005-0000-0000-0000252B0000}"/>
    <cellStyle name="40% - Accent1 7 6 2 2" xfId="15632" xr:uid="{00000000-0005-0000-0000-0000262B0000}"/>
    <cellStyle name="40% - Accent1 7 6 2 3" xfId="19583" xr:uid="{00000000-0005-0000-0000-0000272B0000}"/>
    <cellStyle name="40% - Accent1 7 6 3" xfId="4529" xr:uid="{00000000-0005-0000-0000-0000282B0000}"/>
    <cellStyle name="40% - Accent1 7 6 3 2" xfId="15633" xr:uid="{00000000-0005-0000-0000-0000292B0000}"/>
    <cellStyle name="40% - Accent1 7 6 3 3" xfId="19584" xr:uid="{00000000-0005-0000-0000-00002A2B0000}"/>
    <cellStyle name="40% - Accent1 7 6 4" xfId="15631" xr:uid="{00000000-0005-0000-0000-00002B2B0000}"/>
    <cellStyle name="40% - Accent1 7 6 5" xfId="19582" xr:uid="{00000000-0005-0000-0000-00002C2B0000}"/>
    <cellStyle name="40% - Accent1 7 7" xfId="4530" xr:uid="{00000000-0005-0000-0000-00002D2B0000}"/>
    <cellStyle name="40% - Accent1 7 7 2" xfId="15634" xr:uid="{00000000-0005-0000-0000-00002E2B0000}"/>
    <cellStyle name="40% - Accent1 7 7 3" xfId="19585" xr:uid="{00000000-0005-0000-0000-00002F2B0000}"/>
    <cellStyle name="40% - Accent1 7 8" xfId="4531" xr:uid="{00000000-0005-0000-0000-0000302B0000}"/>
    <cellStyle name="40% - Accent1 7 8 2" xfId="15635" xr:uid="{00000000-0005-0000-0000-0000312B0000}"/>
    <cellStyle name="40% - Accent1 7 8 3" xfId="19586" xr:uid="{00000000-0005-0000-0000-0000322B0000}"/>
    <cellStyle name="40% - Accent1 7 9" xfId="15603" xr:uid="{00000000-0005-0000-0000-0000332B0000}"/>
    <cellStyle name="40% - Accent1 7_Volatility" xfId="4532" xr:uid="{00000000-0005-0000-0000-0000342B0000}"/>
    <cellStyle name="40% - Accent1 8" xfId="4533" xr:uid="{00000000-0005-0000-0000-0000352B0000}"/>
    <cellStyle name="40% - Accent1 8 10" xfId="19587" xr:uid="{00000000-0005-0000-0000-0000362B0000}"/>
    <cellStyle name="40% - Accent1 8 2" xfId="4534" xr:uid="{00000000-0005-0000-0000-0000372B0000}"/>
    <cellStyle name="40% - Accent1 8 2 2" xfId="4535" xr:uid="{00000000-0005-0000-0000-0000382B0000}"/>
    <cellStyle name="40% - Accent1 8 2 2 2" xfId="4536" xr:uid="{00000000-0005-0000-0000-0000392B0000}"/>
    <cellStyle name="40% - Accent1 8 2 2 2 2" xfId="15639" xr:uid="{00000000-0005-0000-0000-00003A2B0000}"/>
    <cellStyle name="40% - Accent1 8 2 2 2 3" xfId="19590" xr:uid="{00000000-0005-0000-0000-00003B2B0000}"/>
    <cellStyle name="40% - Accent1 8 2 2 3" xfId="4537" xr:uid="{00000000-0005-0000-0000-00003C2B0000}"/>
    <cellStyle name="40% - Accent1 8 2 2 3 2" xfId="15640" xr:uid="{00000000-0005-0000-0000-00003D2B0000}"/>
    <cellStyle name="40% - Accent1 8 2 2 3 3" xfId="19591" xr:uid="{00000000-0005-0000-0000-00003E2B0000}"/>
    <cellStyle name="40% - Accent1 8 2 2 4" xfId="15638" xr:uid="{00000000-0005-0000-0000-00003F2B0000}"/>
    <cellStyle name="40% - Accent1 8 2 2 5" xfId="19589" xr:uid="{00000000-0005-0000-0000-0000402B0000}"/>
    <cellStyle name="40% - Accent1 8 2 3" xfId="4538" xr:uid="{00000000-0005-0000-0000-0000412B0000}"/>
    <cellStyle name="40% - Accent1 8 2 3 2" xfId="4539" xr:uid="{00000000-0005-0000-0000-0000422B0000}"/>
    <cellStyle name="40% - Accent1 8 2 3 2 2" xfId="15642" xr:uid="{00000000-0005-0000-0000-0000432B0000}"/>
    <cellStyle name="40% - Accent1 8 2 3 2 3" xfId="19593" xr:uid="{00000000-0005-0000-0000-0000442B0000}"/>
    <cellStyle name="40% - Accent1 8 2 3 3" xfId="4540" xr:uid="{00000000-0005-0000-0000-0000452B0000}"/>
    <cellStyle name="40% - Accent1 8 2 3 3 2" xfId="15643" xr:uid="{00000000-0005-0000-0000-0000462B0000}"/>
    <cellStyle name="40% - Accent1 8 2 3 3 3" xfId="19594" xr:uid="{00000000-0005-0000-0000-0000472B0000}"/>
    <cellStyle name="40% - Accent1 8 2 3 4" xfId="15641" xr:uid="{00000000-0005-0000-0000-0000482B0000}"/>
    <cellStyle name="40% - Accent1 8 2 3 5" xfId="19592" xr:uid="{00000000-0005-0000-0000-0000492B0000}"/>
    <cellStyle name="40% - Accent1 8 2 4" xfId="4541" xr:uid="{00000000-0005-0000-0000-00004A2B0000}"/>
    <cellStyle name="40% - Accent1 8 2 4 2" xfId="4542" xr:uid="{00000000-0005-0000-0000-00004B2B0000}"/>
    <cellStyle name="40% - Accent1 8 2 4 2 2" xfId="15645" xr:uid="{00000000-0005-0000-0000-00004C2B0000}"/>
    <cellStyle name="40% - Accent1 8 2 4 2 3" xfId="19596" xr:uid="{00000000-0005-0000-0000-00004D2B0000}"/>
    <cellStyle name="40% - Accent1 8 2 4 3" xfId="4543" xr:uid="{00000000-0005-0000-0000-00004E2B0000}"/>
    <cellStyle name="40% - Accent1 8 2 4 3 2" xfId="15646" xr:uid="{00000000-0005-0000-0000-00004F2B0000}"/>
    <cellStyle name="40% - Accent1 8 2 4 3 3" xfId="19597" xr:uid="{00000000-0005-0000-0000-0000502B0000}"/>
    <cellStyle name="40% - Accent1 8 2 4 4" xfId="15644" xr:uid="{00000000-0005-0000-0000-0000512B0000}"/>
    <cellStyle name="40% - Accent1 8 2 4 5" xfId="19595" xr:uid="{00000000-0005-0000-0000-0000522B0000}"/>
    <cellStyle name="40% - Accent1 8 2 5" xfId="4544" xr:uid="{00000000-0005-0000-0000-0000532B0000}"/>
    <cellStyle name="40% - Accent1 8 2 5 2" xfId="15647" xr:uid="{00000000-0005-0000-0000-0000542B0000}"/>
    <cellStyle name="40% - Accent1 8 2 5 3" xfId="19598" xr:uid="{00000000-0005-0000-0000-0000552B0000}"/>
    <cellStyle name="40% - Accent1 8 2 6" xfId="4545" xr:uid="{00000000-0005-0000-0000-0000562B0000}"/>
    <cellStyle name="40% - Accent1 8 2 6 2" xfId="15648" xr:uid="{00000000-0005-0000-0000-0000572B0000}"/>
    <cellStyle name="40% - Accent1 8 2 6 3" xfId="19599" xr:uid="{00000000-0005-0000-0000-0000582B0000}"/>
    <cellStyle name="40% - Accent1 8 2 7" xfId="15637" xr:uid="{00000000-0005-0000-0000-0000592B0000}"/>
    <cellStyle name="40% - Accent1 8 2 8" xfId="19588" xr:uid="{00000000-0005-0000-0000-00005A2B0000}"/>
    <cellStyle name="40% - Accent1 8 2_Volatility" xfId="4546" xr:uid="{00000000-0005-0000-0000-00005B2B0000}"/>
    <cellStyle name="40% - Accent1 8 3" xfId="4547" xr:uid="{00000000-0005-0000-0000-00005C2B0000}"/>
    <cellStyle name="40% - Accent1 8 3 2" xfId="4548" xr:uid="{00000000-0005-0000-0000-00005D2B0000}"/>
    <cellStyle name="40% - Accent1 8 3 2 2" xfId="4549" xr:uid="{00000000-0005-0000-0000-00005E2B0000}"/>
    <cellStyle name="40% - Accent1 8 3 2 2 2" xfId="15651" xr:uid="{00000000-0005-0000-0000-00005F2B0000}"/>
    <cellStyle name="40% - Accent1 8 3 2 2 3" xfId="19602" xr:uid="{00000000-0005-0000-0000-0000602B0000}"/>
    <cellStyle name="40% - Accent1 8 3 2 3" xfId="4550" xr:uid="{00000000-0005-0000-0000-0000612B0000}"/>
    <cellStyle name="40% - Accent1 8 3 2 3 2" xfId="15652" xr:uid="{00000000-0005-0000-0000-0000622B0000}"/>
    <cellStyle name="40% - Accent1 8 3 2 3 3" xfId="19603" xr:uid="{00000000-0005-0000-0000-0000632B0000}"/>
    <cellStyle name="40% - Accent1 8 3 2 4" xfId="15650" xr:uid="{00000000-0005-0000-0000-0000642B0000}"/>
    <cellStyle name="40% - Accent1 8 3 2 5" xfId="19601" xr:uid="{00000000-0005-0000-0000-0000652B0000}"/>
    <cellStyle name="40% - Accent1 8 3 3" xfId="4551" xr:uid="{00000000-0005-0000-0000-0000662B0000}"/>
    <cellStyle name="40% - Accent1 8 3 3 2" xfId="4552" xr:uid="{00000000-0005-0000-0000-0000672B0000}"/>
    <cellStyle name="40% - Accent1 8 3 3 2 2" xfId="15654" xr:uid="{00000000-0005-0000-0000-0000682B0000}"/>
    <cellStyle name="40% - Accent1 8 3 3 2 3" xfId="19605" xr:uid="{00000000-0005-0000-0000-0000692B0000}"/>
    <cellStyle name="40% - Accent1 8 3 3 3" xfId="4553" xr:uid="{00000000-0005-0000-0000-00006A2B0000}"/>
    <cellStyle name="40% - Accent1 8 3 3 3 2" xfId="15655" xr:uid="{00000000-0005-0000-0000-00006B2B0000}"/>
    <cellStyle name="40% - Accent1 8 3 3 3 3" xfId="19606" xr:uid="{00000000-0005-0000-0000-00006C2B0000}"/>
    <cellStyle name="40% - Accent1 8 3 3 4" xfId="15653" xr:uid="{00000000-0005-0000-0000-00006D2B0000}"/>
    <cellStyle name="40% - Accent1 8 3 3 5" xfId="19604" xr:uid="{00000000-0005-0000-0000-00006E2B0000}"/>
    <cellStyle name="40% - Accent1 8 3 4" xfId="4554" xr:uid="{00000000-0005-0000-0000-00006F2B0000}"/>
    <cellStyle name="40% - Accent1 8 3 4 2" xfId="15656" xr:uid="{00000000-0005-0000-0000-0000702B0000}"/>
    <cellStyle name="40% - Accent1 8 3 4 3" xfId="19607" xr:uid="{00000000-0005-0000-0000-0000712B0000}"/>
    <cellStyle name="40% - Accent1 8 3 5" xfId="4555" xr:uid="{00000000-0005-0000-0000-0000722B0000}"/>
    <cellStyle name="40% - Accent1 8 3 5 2" xfId="15657" xr:uid="{00000000-0005-0000-0000-0000732B0000}"/>
    <cellStyle name="40% - Accent1 8 3 5 3" xfId="19608" xr:uid="{00000000-0005-0000-0000-0000742B0000}"/>
    <cellStyle name="40% - Accent1 8 3 6" xfId="15649" xr:uid="{00000000-0005-0000-0000-0000752B0000}"/>
    <cellStyle name="40% - Accent1 8 3 7" xfId="19600" xr:uid="{00000000-0005-0000-0000-0000762B0000}"/>
    <cellStyle name="40% - Accent1 8 3_Volatility" xfId="4556" xr:uid="{00000000-0005-0000-0000-0000772B0000}"/>
    <cellStyle name="40% - Accent1 8 4" xfId="4557" xr:uid="{00000000-0005-0000-0000-0000782B0000}"/>
    <cellStyle name="40% - Accent1 8 4 2" xfId="4558" xr:uid="{00000000-0005-0000-0000-0000792B0000}"/>
    <cellStyle name="40% - Accent1 8 4 2 2" xfId="15659" xr:uid="{00000000-0005-0000-0000-00007A2B0000}"/>
    <cellStyle name="40% - Accent1 8 4 2 3" xfId="19610" xr:uid="{00000000-0005-0000-0000-00007B2B0000}"/>
    <cellStyle name="40% - Accent1 8 4 3" xfId="4559" xr:uid="{00000000-0005-0000-0000-00007C2B0000}"/>
    <cellStyle name="40% - Accent1 8 4 3 2" xfId="15660" xr:uid="{00000000-0005-0000-0000-00007D2B0000}"/>
    <cellStyle name="40% - Accent1 8 4 3 3" xfId="19611" xr:uid="{00000000-0005-0000-0000-00007E2B0000}"/>
    <cellStyle name="40% - Accent1 8 4 4" xfId="15658" xr:uid="{00000000-0005-0000-0000-00007F2B0000}"/>
    <cellStyle name="40% - Accent1 8 4 5" xfId="19609" xr:uid="{00000000-0005-0000-0000-0000802B0000}"/>
    <cellStyle name="40% - Accent1 8 5" xfId="4560" xr:uid="{00000000-0005-0000-0000-0000812B0000}"/>
    <cellStyle name="40% - Accent1 8 5 2" xfId="4561" xr:uid="{00000000-0005-0000-0000-0000822B0000}"/>
    <cellStyle name="40% - Accent1 8 5 2 2" xfId="15662" xr:uid="{00000000-0005-0000-0000-0000832B0000}"/>
    <cellStyle name="40% - Accent1 8 5 2 3" xfId="19613" xr:uid="{00000000-0005-0000-0000-0000842B0000}"/>
    <cellStyle name="40% - Accent1 8 5 3" xfId="4562" xr:uid="{00000000-0005-0000-0000-0000852B0000}"/>
    <cellStyle name="40% - Accent1 8 5 3 2" xfId="15663" xr:uid="{00000000-0005-0000-0000-0000862B0000}"/>
    <cellStyle name="40% - Accent1 8 5 3 3" xfId="19614" xr:uid="{00000000-0005-0000-0000-0000872B0000}"/>
    <cellStyle name="40% - Accent1 8 5 4" xfId="15661" xr:uid="{00000000-0005-0000-0000-0000882B0000}"/>
    <cellStyle name="40% - Accent1 8 5 5" xfId="19612" xr:uid="{00000000-0005-0000-0000-0000892B0000}"/>
    <cellStyle name="40% - Accent1 8 6" xfId="4563" xr:uid="{00000000-0005-0000-0000-00008A2B0000}"/>
    <cellStyle name="40% - Accent1 8 6 2" xfId="4564" xr:uid="{00000000-0005-0000-0000-00008B2B0000}"/>
    <cellStyle name="40% - Accent1 8 6 2 2" xfId="15665" xr:uid="{00000000-0005-0000-0000-00008C2B0000}"/>
    <cellStyle name="40% - Accent1 8 6 2 3" xfId="19616" xr:uid="{00000000-0005-0000-0000-00008D2B0000}"/>
    <cellStyle name="40% - Accent1 8 6 3" xfId="4565" xr:uid="{00000000-0005-0000-0000-00008E2B0000}"/>
    <cellStyle name="40% - Accent1 8 6 3 2" xfId="15666" xr:uid="{00000000-0005-0000-0000-00008F2B0000}"/>
    <cellStyle name="40% - Accent1 8 6 3 3" xfId="19617" xr:uid="{00000000-0005-0000-0000-0000902B0000}"/>
    <cellStyle name="40% - Accent1 8 6 4" xfId="15664" xr:uid="{00000000-0005-0000-0000-0000912B0000}"/>
    <cellStyle name="40% - Accent1 8 6 5" xfId="19615" xr:uid="{00000000-0005-0000-0000-0000922B0000}"/>
    <cellStyle name="40% - Accent1 8 7" xfId="4566" xr:uid="{00000000-0005-0000-0000-0000932B0000}"/>
    <cellStyle name="40% - Accent1 8 7 2" xfId="15667" xr:uid="{00000000-0005-0000-0000-0000942B0000}"/>
    <cellStyle name="40% - Accent1 8 7 3" xfId="19618" xr:uid="{00000000-0005-0000-0000-0000952B0000}"/>
    <cellStyle name="40% - Accent1 8 8" xfId="4567" xr:uid="{00000000-0005-0000-0000-0000962B0000}"/>
    <cellStyle name="40% - Accent1 8 8 2" xfId="15668" xr:uid="{00000000-0005-0000-0000-0000972B0000}"/>
    <cellStyle name="40% - Accent1 8 8 3" xfId="19619" xr:uid="{00000000-0005-0000-0000-0000982B0000}"/>
    <cellStyle name="40% - Accent1 8 9" xfId="15636" xr:uid="{00000000-0005-0000-0000-0000992B0000}"/>
    <cellStyle name="40% - Accent1 8_Volatility" xfId="4568" xr:uid="{00000000-0005-0000-0000-00009A2B0000}"/>
    <cellStyle name="40% - Accent1 9" xfId="4569" xr:uid="{00000000-0005-0000-0000-00009B2B0000}"/>
    <cellStyle name="40% - Accent1 9 10" xfId="19620" xr:uid="{00000000-0005-0000-0000-00009C2B0000}"/>
    <cellStyle name="40% - Accent1 9 2" xfId="4570" xr:uid="{00000000-0005-0000-0000-00009D2B0000}"/>
    <cellStyle name="40% - Accent1 9 2 2" xfId="4571" xr:uid="{00000000-0005-0000-0000-00009E2B0000}"/>
    <cellStyle name="40% - Accent1 9 2 2 2" xfId="4572" xr:uid="{00000000-0005-0000-0000-00009F2B0000}"/>
    <cellStyle name="40% - Accent1 9 2 2 2 2" xfId="15672" xr:uid="{00000000-0005-0000-0000-0000A02B0000}"/>
    <cellStyle name="40% - Accent1 9 2 2 2 3" xfId="19623" xr:uid="{00000000-0005-0000-0000-0000A12B0000}"/>
    <cellStyle name="40% - Accent1 9 2 2 3" xfId="4573" xr:uid="{00000000-0005-0000-0000-0000A22B0000}"/>
    <cellStyle name="40% - Accent1 9 2 2 3 2" xfId="15673" xr:uid="{00000000-0005-0000-0000-0000A32B0000}"/>
    <cellStyle name="40% - Accent1 9 2 2 3 3" xfId="19624" xr:uid="{00000000-0005-0000-0000-0000A42B0000}"/>
    <cellStyle name="40% - Accent1 9 2 2 4" xfId="15671" xr:uid="{00000000-0005-0000-0000-0000A52B0000}"/>
    <cellStyle name="40% - Accent1 9 2 2 5" xfId="19622" xr:uid="{00000000-0005-0000-0000-0000A62B0000}"/>
    <cellStyle name="40% - Accent1 9 2 3" xfId="4574" xr:uid="{00000000-0005-0000-0000-0000A72B0000}"/>
    <cellStyle name="40% - Accent1 9 2 3 2" xfId="4575" xr:uid="{00000000-0005-0000-0000-0000A82B0000}"/>
    <cellStyle name="40% - Accent1 9 2 3 2 2" xfId="15675" xr:uid="{00000000-0005-0000-0000-0000A92B0000}"/>
    <cellStyle name="40% - Accent1 9 2 3 2 3" xfId="19626" xr:uid="{00000000-0005-0000-0000-0000AA2B0000}"/>
    <cellStyle name="40% - Accent1 9 2 3 3" xfId="4576" xr:uid="{00000000-0005-0000-0000-0000AB2B0000}"/>
    <cellStyle name="40% - Accent1 9 2 3 3 2" xfId="15676" xr:uid="{00000000-0005-0000-0000-0000AC2B0000}"/>
    <cellStyle name="40% - Accent1 9 2 3 3 3" xfId="19627" xr:uid="{00000000-0005-0000-0000-0000AD2B0000}"/>
    <cellStyle name="40% - Accent1 9 2 3 4" xfId="15674" xr:uid="{00000000-0005-0000-0000-0000AE2B0000}"/>
    <cellStyle name="40% - Accent1 9 2 3 5" xfId="19625" xr:uid="{00000000-0005-0000-0000-0000AF2B0000}"/>
    <cellStyle name="40% - Accent1 9 2 4" xfId="4577" xr:uid="{00000000-0005-0000-0000-0000B02B0000}"/>
    <cellStyle name="40% - Accent1 9 2 4 2" xfId="4578" xr:uid="{00000000-0005-0000-0000-0000B12B0000}"/>
    <cellStyle name="40% - Accent1 9 2 4 2 2" xfId="15678" xr:uid="{00000000-0005-0000-0000-0000B22B0000}"/>
    <cellStyle name="40% - Accent1 9 2 4 2 3" xfId="19629" xr:uid="{00000000-0005-0000-0000-0000B32B0000}"/>
    <cellStyle name="40% - Accent1 9 2 4 3" xfId="4579" xr:uid="{00000000-0005-0000-0000-0000B42B0000}"/>
    <cellStyle name="40% - Accent1 9 2 4 3 2" xfId="15679" xr:uid="{00000000-0005-0000-0000-0000B52B0000}"/>
    <cellStyle name="40% - Accent1 9 2 4 3 3" xfId="19630" xr:uid="{00000000-0005-0000-0000-0000B62B0000}"/>
    <cellStyle name="40% - Accent1 9 2 4 4" xfId="15677" xr:uid="{00000000-0005-0000-0000-0000B72B0000}"/>
    <cellStyle name="40% - Accent1 9 2 4 5" xfId="19628" xr:uid="{00000000-0005-0000-0000-0000B82B0000}"/>
    <cellStyle name="40% - Accent1 9 2 5" xfId="4580" xr:uid="{00000000-0005-0000-0000-0000B92B0000}"/>
    <cellStyle name="40% - Accent1 9 2 5 2" xfId="15680" xr:uid="{00000000-0005-0000-0000-0000BA2B0000}"/>
    <cellStyle name="40% - Accent1 9 2 5 3" xfId="19631" xr:uid="{00000000-0005-0000-0000-0000BB2B0000}"/>
    <cellStyle name="40% - Accent1 9 2 6" xfId="4581" xr:uid="{00000000-0005-0000-0000-0000BC2B0000}"/>
    <cellStyle name="40% - Accent1 9 2 6 2" xfId="15681" xr:uid="{00000000-0005-0000-0000-0000BD2B0000}"/>
    <cellStyle name="40% - Accent1 9 2 6 3" xfId="19632" xr:uid="{00000000-0005-0000-0000-0000BE2B0000}"/>
    <cellStyle name="40% - Accent1 9 2 7" xfId="15670" xr:uid="{00000000-0005-0000-0000-0000BF2B0000}"/>
    <cellStyle name="40% - Accent1 9 2 8" xfId="19621" xr:uid="{00000000-0005-0000-0000-0000C02B0000}"/>
    <cellStyle name="40% - Accent1 9 2_Volatility" xfId="4582" xr:uid="{00000000-0005-0000-0000-0000C12B0000}"/>
    <cellStyle name="40% - Accent1 9 3" xfId="4583" xr:uid="{00000000-0005-0000-0000-0000C22B0000}"/>
    <cellStyle name="40% - Accent1 9 3 2" xfId="4584" xr:uid="{00000000-0005-0000-0000-0000C32B0000}"/>
    <cellStyle name="40% - Accent1 9 3 2 2" xfId="4585" xr:uid="{00000000-0005-0000-0000-0000C42B0000}"/>
    <cellStyle name="40% - Accent1 9 3 2 2 2" xfId="15684" xr:uid="{00000000-0005-0000-0000-0000C52B0000}"/>
    <cellStyle name="40% - Accent1 9 3 2 2 3" xfId="19635" xr:uid="{00000000-0005-0000-0000-0000C62B0000}"/>
    <cellStyle name="40% - Accent1 9 3 2 3" xfId="4586" xr:uid="{00000000-0005-0000-0000-0000C72B0000}"/>
    <cellStyle name="40% - Accent1 9 3 2 3 2" xfId="15685" xr:uid="{00000000-0005-0000-0000-0000C82B0000}"/>
    <cellStyle name="40% - Accent1 9 3 2 3 3" xfId="19636" xr:uid="{00000000-0005-0000-0000-0000C92B0000}"/>
    <cellStyle name="40% - Accent1 9 3 2 4" xfId="15683" xr:uid="{00000000-0005-0000-0000-0000CA2B0000}"/>
    <cellStyle name="40% - Accent1 9 3 2 5" xfId="19634" xr:uid="{00000000-0005-0000-0000-0000CB2B0000}"/>
    <cellStyle name="40% - Accent1 9 3 3" xfId="4587" xr:uid="{00000000-0005-0000-0000-0000CC2B0000}"/>
    <cellStyle name="40% - Accent1 9 3 3 2" xfId="4588" xr:uid="{00000000-0005-0000-0000-0000CD2B0000}"/>
    <cellStyle name="40% - Accent1 9 3 3 2 2" xfId="15687" xr:uid="{00000000-0005-0000-0000-0000CE2B0000}"/>
    <cellStyle name="40% - Accent1 9 3 3 2 3" xfId="19638" xr:uid="{00000000-0005-0000-0000-0000CF2B0000}"/>
    <cellStyle name="40% - Accent1 9 3 3 3" xfId="4589" xr:uid="{00000000-0005-0000-0000-0000D02B0000}"/>
    <cellStyle name="40% - Accent1 9 3 3 3 2" xfId="15688" xr:uid="{00000000-0005-0000-0000-0000D12B0000}"/>
    <cellStyle name="40% - Accent1 9 3 3 3 3" xfId="19639" xr:uid="{00000000-0005-0000-0000-0000D22B0000}"/>
    <cellStyle name="40% - Accent1 9 3 3 4" xfId="15686" xr:uid="{00000000-0005-0000-0000-0000D32B0000}"/>
    <cellStyle name="40% - Accent1 9 3 3 5" xfId="19637" xr:uid="{00000000-0005-0000-0000-0000D42B0000}"/>
    <cellStyle name="40% - Accent1 9 3 4" xfId="4590" xr:uid="{00000000-0005-0000-0000-0000D52B0000}"/>
    <cellStyle name="40% - Accent1 9 3 4 2" xfId="15689" xr:uid="{00000000-0005-0000-0000-0000D62B0000}"/>
    <cellStyle name="40% - Accent1 9 3 4 3" xfId="19640" xr:uid="{00000000-0005-0000-0000-0000D72B0000}"/>
    <cellStyle name="40% - Accent1 9 3 5" xfId="4591" xr:uid="{00000000-0005-0000-0000-0000D82B0000}"/>
    <cellStyle name="40% - Accent1 9 3 5 2" xfId="15690" xr:uid="{00000000-0005-0000-0000-0000D92B0000}"/>
    <cellStyle name="40% - Accent1 9 3 5 3" xfId="19641" xr:uid="{00000000-0005-0000-0000-0000DA2B0000}"/>
    <cellStyle name="40% - Accent1 9 3 6" xfId="15682" xr:uid="{00000000-0005-0000-0000-0000DB2B0000}"/>
    <cellStyle name="40% - Accent1 9 3 7" xfId="19633" xr:uid="{00000000-0005-0000-0000-0000DC2B0000}"/>
    <cellStyle name="40% - Accent1 9 3_Volatility" xfId="4592" xr:uid="{00000000-0005-0000-0000-0000DD2B0000}"/>
    <cellStyle name="40% - Accent1 9 4" xfId="4593" xr:uid="{00000000-0005-0000-0000-0000DE2B0000}"/>
    <cellStyle name="40% - Accent1 9 4 2" xfId="4594" xr:uid="{00000000-0005-0000-0000-0000DF2B0000}"/>
    <cellStyle name="40% - Accent1 9 4 2 2" xfId="15692" xr:uid="{00000000-0005-0000-0000-0000E02B0000}"/>
    <cellStyle name="40% - Accent1 9 4 2 3" xfId="19643" xr:uid="{00000000-0005-0000-0000-0000E12B0000}"/>
    <cellStyle name="40% - Accent1 9 4 3" xfId="4595" xr:uid="{00000000-0005-0000-0000-0000E22B0000}"/>
    <cellStyle name="40% - Accent1 9 4 3 2" xfId="15693" xr:uid="{00000000-0005-0000-0000-0000E32B0000}"/>
    <cellStyle name="40% - Accent1 9 4 3 3" xfId="19644" xr:uid="{00000000-0005-0000-0000-0000E42B0000}"/>
    <cellStyle name="40% - Accent1 9 4 4" xfId="15691" xr:uid="{00000000-0005-0000-0000-0000E52B0000}"/>
    <cellStyle name="40% - Accent1 9 4 5" xfId="19642" xr:uid="{00000000-0005-0000-0000-0000E62B0000}"/>
    <cellStyle name="40% - Accent1 9 5" xfId="4596" xr:uid="{00000000-0005-0000-0000-0000E72B0000}"/>
    <cellStyle name="40% - Accent1 9 5 2" xfId="4597" xr:uid="{00000000-0005-0000-0000-0000E82B0000}"/>
    <cellStyle name="40% - Accent1 9 5 2 2" xfId="15695" xr:uid="{00000000-0005-0000-0000-0000E92B0000}"/>
    <cellStyle name="40% - Accent1 9 5 2 3" xfId="19646" xr:uid="{00000000-0005-0000-0000-0000EA2B0000}"/>
    <cellStyle name="40% - Accent1 9 5 3" xfId="4598" xr:uid="{00000000-0005-0000-0000-0000EB2B0000}"/>
    <cellStyle name="40% - Accent1 9 5 3 2" xfId="15696" xr:uid="{00000000-0005-0000-0000-0000EC2B0000}"/>
    <cellStyle name="40% - Accent1 9 5 3 3" xfId="19647" xr:uid="{00000000-0005-0000-0000-0000ED2B0000}"/>
    <cellStyle name="40% - Accent1 9 5 4" xfId="15694" xr:uid="{00000000-0005-0000-0000-0000EE2B0000}"/>
    <cellStyle name="40% - Accent1 9 5 5" xfId="19645" xr:uid="{00000000-0005-0000-0000-0000EF2B0000}"/>
    <cellStyle name="40% - Accent1 9 6" xfId="4599" xr:uid="{00000000-0005-0000-0000-0000F02B0000}"/>
    <cellStyle name="40% - Accent1 9 6 2" xfId="4600" xr:uid="{00000000-0005-0000-0000-0000F12B0000}"/>
    <cellStyle name="40% - Accent1 9 6 2 2" xfId="15698" xr:uid="{00000000-0005-0000-0000-0000F22B0000}"/>
    <cellStyle name="40% - Accent1 9 6 2 3" xfId="19649" xr:uid="{00000000-0005-0000-0000-0000F32B0000}"/>
    <cellStyle name="40% - Accent1 9 6 3" xfId="4601" xr:uid="{00000000-0005-0000-0000-0000F42B0000}"/>
    <cellStyle name="40% - Accent1 9 6 3 2" xfId="15699" xr:uid="{00000000-0005-0000-0000-0000F52B0000}"/>
    <cellStyle name="40% - Accent1 9 6 3 3" xfId="19650" xr:uid="{00000000-0005-0000-0000-0000F62B0000}"/>
    <cellStyle name="40% - Accent1 9 6 4" xfId="15697" xr:uid="{00000000-0005-0000-0000-0000F72B0000}"/>
    <cellStyle name="40% - Accent1 9 6 5" xfId="19648" xr:uid="{00000000-0005-0000-0000-0000F82B0000}"/>
    <cellStyle name="40% - Accent1 9 7" xfId="4602" xr:uid="{00000000-0005-0000-0000-0000F92B0000}"/>
    <cellStyle name="40% - Accent1 9 7 2" xfId="15700" xr:uid="{00000000-0005-0000-0000-0000FA2B0000}"/>
    <cellStyle name="40% - Accent1 9 7 3" xfId="19651" xr:uid="{00000000-0005-0000-0000-0000FB2B0000}"/>
    <cellStyle name="40% - Accent1 9 8" xfId="4603" xr:uid="{00000000-0005-0000-0000-0000FC2B0000}"/>
    <cellStyle name="40% - Accent1 9 8 2" xfId="15701" xr:uid="{00000000-0005-0000-0000-0000FD2B0000}"/>
    <cellStyle name="40% - Accent1 9 8 3" xfId="19652" xr:uid="{00000000-0005-0000-0000-0000FE2B0000}"/>
    <cellStyle name="40% - Accent1 9 9" xfId="15669" xr:uid="{00000000-0005-0000-0000-0000FF2B0000}"/>
    <cellStyle name="40% - Accent1 9_Volatility" xfId="4604" xr:uid="{00000000-0005-0000-0000-0000002C0000}"/>
    <cellStyle name="40% - Accent2 10" xfId="4605" xr:uid="{00000000-0005-0000-0000-0000012C0000}"/>
    <cellStyle name="40% - Accent2 10 10" xfId="19653" xr:uid="{00000000-0005-0000-0000-0000022C0000}"/>
    <cellStyle name="40% - Accent2 10 2" xfId="4606" xr:uid="{00000000-0005-0000-0000-0000032C0000}"/>
    <cellStyle name="40% - Accent2 10 2 2" xfId="4607" xr:uid="{00000000-0005-0000-0000-0000042C0000}"/>
    <cellStyle name="40% - Accent2 10 2 2 2" xfId="4608" xr:uid="{00000000-0005-0000-0000-0000052C0000}"/>
    <cellStyle name="40% - Accent2 10 2 2 2 2" xfId="15705" xr:uid="{00000000-0005-0000-0000-0000062C0000}"/>
    <cellStyle name="40% - Accent2 10 2 2 2 3" xfId="19656" xr:uid="{00000000-0005-0000-0000-0000072C0000}"/>
    <cellStyle name="40% - Accent2 10 2 2 3" xfId="4609" xr:uid="{00000000-0005-0000-0000-0000082C0000}"/>
    <cellStyle name="40% - Accent2 10 2 2 3 2" xfId="15706" xr:uid="{00000000-0005-0000-0000-0000092C0000}"/>
    <cellStyle name="40% - Accent2 10 2 2 3 3" xfId="19657" xr:uid="{00000000-0005-0000-0000-00000A2C0000}"/>
    <cellStyle name="40% - Accent2 10 2 2 4" xfId="15704" xr:uid="{00000000-0005-0000-0000-00000B2C0000}"/>
    <cellStyle name="40% - Accent2 10 2 2 5" xfId="19655" xr:uid="{00000000-0005-0000-0000-00000C2C0000}"/>
    <cellStyle name="40% - Accent2 10 2 3" xfId="4610" xr:uid="{00000000-0005-0000-0000-00000D2C0000}"/>
    <cellStyle name="40% - Accent2 10 2 3 2" xfId="4611" xr:uid="{00000000-0005-0000-0000-00000E2C0000}"/>
    <cellStyle name="40% - Accent2 10 2 3 2 2" xfId="15708" xr:uid="{00000000-0005-0000-0000-00000F2C0000}"/>
    <cellStyle name="40% - Accent2 10 2 3 2 3" xfId="19659" xr:uid="{00000000-0005-0000-0000-0000102C0000}"/>
    <cellStyle name="40% - Accent2 10 2 3 3" xfId="4612" xr:uid="{00000000-0005-0000-0000-0000112C0000}"/>
    <cellStyle name="40% - Accent2 10 2 3 3 2" xfId="15709" xr:uid="{00000000-0005-0000-0000-0000122C0000}"/>
    <cellStyle name="40% - Accent2 10 2 3 3 3" xfId="19660" xr:uid="{00000000-0005-0000-0000-0000132C0000}"/>
    <cellStyle name="40% - Accent2 10 2 3 4" xfId="15707" xr:uid="{00000000-0005-0000-0000-0000142C0000}"/>
    <cellStyle name="40% - Accent2 10 2 3 5" xfId="19658" xr:uid="{00000000-0005-0000-0000-0000152C0000}"/>
    <cellStyle name="40% - Accent2 10 2 4" xfId="4613" xr:uid="{00000000-0005-0000-0000-0000162C0000}"/>
    <cellStyle name="40% - Accent2 10 2 4 2" xfId="4614" xr:uid="{00000000-0005-0000-0000-0000172C0000}"/>
    <cellStyle name="40% - Accent2 10 2 4 2 2" xfId="15711" xr:uid="{00000000-0005-0000-0000-0000182C0000}"/>
    <cellStyle name="40% - Accent2 10 2 4 2 3" xfId="19662" xr:uid="{00000000-0005-0000-0000-0000192C0000}"/>
    <cellStyle name="40% - Accent2 10 2 4 3" xfId="4615" xr:uid="{00000000-0005-0000-0000-00001A2C0000}"/>
    <cellStyle name="40% - Accent2 10 2 4 3 2" xfId="15712" xr:uid="{00000000-0005-0000-0000-00001B2C0000}"/>
    <cellStyle name="40% - Accent2 10 2 4 3 3" xfId="19663" xr:uid="{00000000-0005-0000-0000-00001C2C0000}"/>
    <cellStyle name="40% - Accent2 10 2 4 4" xfId="15710" xr:uid="{00000000-0005-0000-0000-00001D2C0000}"/>
    <cellStyle name="40% - Accent2 10 2 4 5" xfId="19661" xr:uid="{00000000-0005-0000-0000-00001E2C0000}"/>
    <cellStyle name="40% - Accent2 10 2 5" xfId="4616" xr:uid="{00000000-0005-0000-0000-00001F2C0000}"/>
    <cellStyle name="40% - Accent2 10 2 5 2" xfId="15713" xr:uid="{00000000-0005-0000-0000-0000202C0000}"/>
    <cellStyle name="40% - Accent2 10 2 5 3" xfId="19664" xr:uid="{00000000-0005-0000-0000-0000212C0000}"/>
    <cellStyle name="40% - Accent2 10 2 6" xfId="4617" xr:uid="{00000000-0005-0000-0000-0000222C0000}"/>
    <cellStyle name="40% - Accent2 10 2 6 2" xfId="15714" xr:uid="{00000000-0005-0000-0000-0000232C0000}"/>
    <cellStyle name="40% - Accent2 10 2 6 3" xfId="19665" xr:uid="{00000000-0005-0000-0000-0000242C0000}"/>
    <cellStyle name="40% - Accent2 10 2 7" xfId="15703" xr:uid="{00000000-0005-0000-0000-0000252C0000}"/>
    <cellStyle name="40% - Accent2 10 2 8" xfId="19654" xr:uid="{00000000-0005-0000-0000-0000262C0000}"/>
    <cellStyle name="40% - Accent2 10 2_Volatility" xfId="4618" xr:uid="{00000000-0005-0000-0000-0000272C0000}"/>
    <cellStyle name="40% - Accent2 10 3" xfId="4619" xr:uid="{00000000-0005-0000-0000-0000282C0000}"/>
    <cellStyle name="40% - Accent2 10 3 2" xfId="4620" xr:uid="{00000000-0005-0000-0000-0000292C0000}"/>
    <cellStyle name="40% - Accent2 10 3 2 2" xfId="4621" xr:uid="{00000000-0005-0000-0000-00002A2C0000}"/>
    <cellStyle name="40% - Accent2 10 3 2 2 2" xfId="15717" xr:uid="{00000000-0005-0000-0000-00002B2C0000}"/>
    <cellStyle name="40% - Accent2 10 3 2 2 3" xfId="19668" xr:uid="{00000000-0005-0000-0000-00002C2C0000}"/>
    <cellStyle name="40% - Accent2 10 3 2 3" xfId="4622" xr:uid="{00000000-0005-0000-0000-00002D2C0000}"/>
    <cellStyle name="40% - Accent2 10 3 2 3 2" xfId="15718" xr:uid="{00000000-0005-0000-0000-00002E2C0000}"/>
    <cellStyle name="40% - Accent2 10 3 2 3 3" xfId="19669" xr:uid="{00000000-0005-0000-0000-00002F2C0000}"/>
    <cellStyle name="40% - Accent2 10 3 2 4" xfId="15716" xr:uid="{00000000-0005-0000-0000-0000302C0000}"/>
    <cellStyle name="40% - Accent2 10 3 2 5" xfId="19667" xr:uid="{00000000-0005-0000-0000-0000312C0000}"/>
    <cellStyle name="40% - Accent2 10 3 3" xfId="4623" xr:uid="{00000000-0005-0000-0000-0000322C0000}"/>
    <cellStyle name="40% - Accent2 10 3 3 2" xfId="4624" xr:uid="{00000000-0005-0000-0000-0000332C0000}"/>
    <cellStyle name="40% - Accent2 10 3 3 2 2" xfId="15720" xr:uid="{00000000-0005-0000-0000-0000342C0000}"/>
    <cellStyle name="40% - Accent2 10 3 3 2 3" xfId="19671" xr:uid="{00000000-0005-0000-0000-0000352C0000}"/>
    <cellStyle name="40% - Accent2 10 3 3 3" xfId="4625" xr:uid="{00000000-0005-0000-0000-0000362C0000}"/>
    <cellStyle name="40% - Accent2 10 3 3 3 2" xfId="15721" xr:uid="{00000000-0005-0000-0000-0000372C0000}"/>
    <cellStyle name="40% - Accent2 10 3 3 3 3" xfId="19672" xr:uid="{00000000-0005-0000-0000-0000382C0000}"/>
    <cellStyle name="40% - Accent2 10 3 3 4" xfId="15719" xr:uid="{00000000-0005-0000-0000-0000392C0000}"/>
    <cellStyle name="40% - Accent2 10 3 3 5" xfId="19670" xr:uid="{00000000-0005-0000-0000-00003A2C0000}"/>
    <cellStyle name="40% - Accent2 10 3 4" xfId="4626" xr:uid="{00000000-0005-0000-0000-00003B2C0000}"/>
    <cellStyle name="40% - Accent2 10 3 4 2" xfId="15722" xr:uid="{00000000-0005-0000-0000-00003C2C0000}"/>
    <cellStyle name="40% - Accent2 10 3 4 3" xfId="19673" xr:uid="{00000000-0005-0000-0000-00003D2C0000}"/>
    <cellStyle name="40% - Accent2 10 3 5" xfId="4627" xr:uid="{00000000-0005-0000-0000-00003E2C0000}"/>
    <cellStyle name="40% - Accent2 10 3 5 2" xfId="15723" xr:uid="{00000000-0005-0000-0000-00003F2C0000}"/>
    <cellStyle name="40% - Accent2 10 3 5 3" xfId="19674" xr:uid="{00000000-0005-0000-0000-0000402C0000}"/>
    <cellStyle name="40% - Accent2 10 3 6" xfId="15715" xr:uid="{00000000-0005-0000-0000-0000412C0000}"/>
    <cellStyle name="40% - Accent2 10 3 7" xfId="19666" xr:uid="{00000000-0005-0000-0000-0000422C0000}"/>
    <cellStyle name="40% - Accent2 10 3_Volatility" xfId="4628" xr:uid="{00000000-0005-0000-0000-0000432C0000}"/>
    <cellStyle name="40% - Accent2 10 4" xfId="4629" xr:uid="{00000000-0005-0000-0000-0000442C0000}"/>
    <cellStyle name="40% - Accent2 10 4 2" xfId="4630" xr:uid="{00000000-0005-0000-0000-0000452C0000}"/>
    <cellStyle name="40% - Accent2 10 4 2 2" xfId="15725" xr:uid="{00000000-0005-0000-0000-0000462C0000}"/>
    <cellStyle name="40% - Accent2 10 4 2 3" xfId="19676" xr:uid="{00000000-0005-0000-0000-0000472C0000}"/>
    <cellStyle name="40% - Accent2 10 4 3" xfId="4631" xr:uid="{00000000-0005-0000-0000-0000482C0000}"/>
    <cellStyle name="40% - Accent2 10 4 3 2" xfId="15726" xr:uid="{00000000-0005-0000-0000-0000492C0000}"/>
    <cellStyle name="40% - Accent2 10 4 3 3" xfId="19677" xr:uid="{00000000-0005-0000-0000-00004A2C0000}"/>
    <cellStyle name="40% - Accent2 10 4 4" xfId="15724" xr:uid="{00000000-0005-0000-0000-00004B2C0000}"/>
    <cellStyle name="40% - Accent2 10 4 5" xfId="19675" xr:uid="{00000000-0005-0000-0000-00004C2C0000}"/>
    <cellStyle name="40% - Accent2 10 5" xfId="4632" xr:uid="{00000000-0005-0000-0000-00004D2C0000}"/>
    <cellStyle name="40% - Accent2 10 5 2" xfId="4633" xr:uid="{00000000-0005-0000-0000-00004E2C0000}"/>
    <cellStyle name="40% - Accent2 10 5 2 2" xfId="15728" xr:uid="{00000000-0005-0000-0000-00004F2C0000}"/>
    <cellStyle name="40% - Accent2 10 5 2 3" xfId="19679" xr:uid="{00000000-0005-0000-0000-0000502C0000}"/>
    <cellStyle name="40% - Accent2 10 5 3" xfId="4634" xr:uid="{00000000-0005-0000-0000-0000512C0000}"/>
    <cellStyle name="40% - Accent2 10 5 3 2" xfId="15729" xr:uid="{00000000-0005-0000-0000-0000522C0000}"/>
    <cellStyle name="40% - Accent2 10 5 3 3" xfId="19680" xr:uid="{00000000-0005-0000-0000-0000532C0000}"/>
    <cellStyle name="40% - Accent2 10 5 4" xfId="15727" xr:uid="{00000000-0005-0000-0000-0000542C0000}"/>
    <cellStyle name="40% - Accent2 10 5 5" xfId="19678" xr:uid="{00000000-0005-0000-0000-0000552C0000}"/>
    <cellStyle name="40% - Accent2 10 6" xfId="4635" xr:uid="{00000000-0005-0000-0000-0000562C0000}"/>
    <cellStyle name="40% - Accent2 10 6 2" xfId="4636" xr:uid="{00000000-0005-0000-0000-0000572C0000}"/>
    <cellStyle name="40% - Accent2 10 6 2 2" xfId="15731" xr:uid="{00000000-0005-0000-0000-0000582C0000}"/>
    <cellStyle name="40% - Accent2 10 6 2 3" xfId="19682" xr:uid="{00000000-0005-0000-0000-0000592C0000}"/>
    <cellStyle name="40% - Accent2 10 6 3" xfId="4637" xr:uid="{00000000-0005-0000-0000-00005A2C0000}"/>
    <cellStyle name="40% - Accent2 10 6 3 2" xfId="15732" xr:uid="{00000000-0005-0000-0000-00005B2C0000}"/>
    <cellStyle name="40% - Accent2 10 6 3 3" xfId="19683" xr:uid="{00000000-0005-0000-0000-00005C2C0000}"/>
    <cellStyle name="40% - Accent2 10 6 4" xfId="15730" xr:uid="{00000000-0005-0000-0000-00005D2C0000}"/>
    <cellStyle name="40% - Accent2 10 6 5" xfId="19681" xr:uid="{00000000-0005-0000-0000-00005E2C0000}"/>
    <cellStyle name="40% - Accent2 10 7" xfId="4638" xr:uid="{00000000-0005-0000-0000-00005F2C0000}"/>
    <cellStyle name="40% - Accent2 10 7 2" xfId="15733" xr:uid="{00000000-0005-0000-0000-0000602C0000}"/>
    <cellStyle name="40% - Accent2 10 7 3" xfId="19684" xr:uid="{00000000-0005-0000-0000-0000612C0000}"/>
    <cellStyle name="40% - Accent2 10 8" xfId="4639" xr:uid="{00000000-0005-0000-0000-0000622C0000}"/>
    <cellStyle name="40% - Accent2 10 8 2" xfId="15734" xr:uid="{00000000-0005-0000-0000-0000632C0000}"/>
    <cellStyle name="40% - Accent2 10 8 3" xfId="19685" xr:uid="{00000000-0005-0000-0000-0000642C0000}"/>
    <cellStyle name="40% - Accent2 10 9" xfId="15702" xr:uid="{00000000-0005-0000-0000-0000652C0000}"/>
    <cellStyle name="40% - Accent2 10_Volatility" xfId="4640" xr:uid="{00000000-0005-0000-0000-0000662C0000}"/>
    <cellStyle name="40% - Accent2 11" xfId="4641" xr:uid="{00000000-0005-0000-0000-0000672C0000}"/>
    <cellStyle name="40% - Accent2 11 10" xfId="19686" xr:uid="{00000000-0005-0000-0000-0000682C0000}"/>
    <cellStyle name="40% - Accent2 11 2" xfId="4642" xr:uid="{00000000-0005-0000-0000-0000692C0000}"/>
    <cellStyle name="40% - Accent2 11 2 2" xfId="4643" xr:uid="{00000000-0005-0000-0000-00006A2C0000}"/>
    <cellStyle name="40% - Accent2 11 2 2 2" xfId="4644" xr:uid="{00000000-0005-0000-0000-00006B2C0000}"/>
    <cellStyle name="40% - Accent2 11 2 2 2 2" xfId="15738" xr:uid="{00000000-0005-0000-0000-00006C2C0000}"/>
    <cellStyle name="40% - Accent2 11 2 2 2 3" xfId="19689" xr:uid="{00000000-0005-0000-0000-00006D2C0000}"/>
    <cellStyle name="40% - Accent2 11 2 2 3" xfId="4645" xr:uid="{00000000-0005-0000-0000-00006E2C0000}"/>
    <cellStyle name="40% - Accent2 11 2 2 3 2" xfId="15739" xr:uid="{00000000-0005-0000-0000-00006F2C0000}"/>
    <cellStyle name="40% - Accent2 11 2 2 3 3" xfId="19690" xr:uid="{00000000-0005-0000-0000-0000702C0000}"/>
    <cellStyle name="40% - Accent2 11 2 2 4" xfId="15737" xr:uid="{00000000-0005-0000-0000-0000712C0000}"/>
    <cellStyle name="40% - Accent2 11 2 2 5" xfId="19688" xr:uid="{00000000-0005-0000-0000-0000722C0000}"/>
    <cellStyle name="40% - Accent2 11 2 3" xfId="4646" xr:uid="{00000000-0005-0000-0000-0000732C0000}"/>
    <cellStyle name="40% - Accent2 11 2 3 2" xfId="4647" xr:uid="{00000000-0005-0000-0000-0000742C0000}"/>
    <cellStyle name="40% - Accent2 11 2 3 2 2" xfId="15741" xr:uid="{00000000-0005-0000-0000-0000752C0000}"/>
    <cellStyle name="40% - Accent2 11 2 3 2 3" xfId="19692" xr:uid="{00000000-0005-0000-0000-0000762C0000}"/>
    <cellStyle name="40% - Accent2 11 2 3 3" xfId="4648" xr:uid="{00000000-0005-0000-0000-0000772C0000}"/>
    <cellStyle name="40% - Accent2 11 2 3 3 2" xfId="15742" xr:uid="{00000000-0005-0000-0000-0000782C0000}"/>
    <cellStyle name="40% - Accent2 11 2 3 3 3" xfId="19693" xr:uid="{00000000-0005-0000-0000-0000792C0000}"/>
    <cellStyle name="40% - Accent2 11 2 3 4" xfId="15740" xr:uid="{00000000-0005-0000-0000-00007A2C0000}"/>
    <cellStyle name="40% - Accent2 11 2 3 5" xfId="19691" xr:uid="{00000000-0005-0000-0000-00007B2C0000}"/>
    <cellStyle name="40% - Accent2 11 2 4" xfId="4649" xr:uid="{00000000-0005-0000-0000-00007C2C0000}"/>
    <cellStyle name="40% - Accent2 11 2 4 2" xfId="4650" xr:uid="{00000000-0005-0000-0000-00007D2C0000}"/>
    <cellStyle name="40% - Accent2 11 2 4 2 2" xfId="15744" xr:uid="{00000000-0005-0000-0000-00007E2C0000}"/>
    <cellStyle name="40% - Accent2 11 2 4 2 3" xfId="19695" xr:uid="{00000000-0005-0000-0000-00007F2C0000}"/>
    <cellStyle name="40% - Accent2 11 2 4 3" xfId="4651" xr:uid="{00000000-0005-0000-0000-0000802C0000}"/>
    <cellStyle name="40% - Accent2 11 2 4 3 2" xfId="15745" xr:uid="{00000000-0005-0000-0000-0000812C0000}"/>
    <cellStyle name="40% - Accent2 11 2 4 3 3" xfId="19696" xr:uid="{00000000-0005-0000-0000-0000822C0000}"/>
    <cellStyle name="40% - Accent2 11 2 4 4" xfId="15743" xr:uid="{00000000-0005-0000-0000-0000832C0000}"/>
    <cellStyle name="40% - Accent2 11 2 4 5" xfId="19694" xr:uid="{00000000-0005-0000-0000-0000842C0000}"/>
    <cellStyle name="40% - Accent2 11 2 5" xfId="4652" xr:uid="{00000000-0005-0000-0000-0000852C0000}"/>
    <cellStyle name="40% - Accent2 11 2 5 2" xfId="15746" xr:uid="{00000000-0005-0000-0000-0000862C0000}"/>
    <cellStyle name="40% - Accent2 11 2 5 3" xfId="19697" xr:uid="{00000000-0005-0000-0000-0000872C0000}"/>
    <cellStyle name="40% - Accent2 11 2 6" xfId="4653" xr:uid="{00000000-0005-0000-0000-0000882C0000}"/>
    <cellStyle name="40% - Accent2 11 2 6 2" xfId="15747" xr:uid="{00000000-0005-0000-0000-0000892C0000}"/>
    <cellStyle name="40% - Accent2 11 2 6 3" xfId="19698" xr:uid="{00000000-0005-0000-0000-00008A2C0000}"/>
    <cellStyle name="40% - Accent2 11 2 7" xfId="15736" xr:uid="{00000000-0005-0000-0000-00008B2C0000}"/>
    <cellStyle name="40% - Accent2 11 2 8" xfId="19687" xr:uid="{00000000-0005-0000-0000-00008C2C0000}"/>
    <cellStyle name="40% - Accent2 11 2_Volatility" xfId="4654" xr:uid="{00000000-0005-0000-0000-00008D2C0000}"/>
    <cellStyle name="40% - Accent2 11 3" xfId="4655" xr:uid="{00000000-0005-0000-0000-00008E2C0000}"/>
    <cellStyle name="40% - Accent2 11 3 2" xfId="4656" xr:uid="{00000000-0005-0000-0000-00008F2C0000}"/>
    <cellStyle name="40% - Accent2 11 3 2 2" xfId="4657" xr:uid="{00000000-0005-0000-0000-0000902C0000}"/>
    <cellStyle name="40% - Accent2 11 3 2 2 2" xfId="15750" xr:uid="{00000000-0005-0000-0000-0000912C0000}"/>
    <cellStyle name="40% - Accent2 11 3 2 2 3" xfId="19701" xr:uid="{00000000-0005-0000-0000-0000922C0000}"/>
    <cellStyle name="40% - Accent2 11 3 2 3" xfId="4658" xr:uid="{00000000-0005-0000-0000-0000932C0000}"/>
    <cellStyle name="40% - Accent2 11 3 2 3 2" xfId="15751" xr:uid="{00000000-0005-0000-0000-0000942C0000}"/>
    <cellStyle name="40% - Accent2 11 3 2 3 3" xfId="19702" xr:uid="{00000000-0005-0000-0000-0000952C0000}"/>
    <cellStyle name="40% - Accent2 11 3 2 4" xfId="15749" xr:uid="{00000000-0005-0000-0000-0000962C0000}"/>
    <cellStyle name="40% - Accent2 11 3 2 5" xfId="19700" xr:uid="{00000000-0005-0000-0000-0000972C0000}"/>
    <cellStyle name="40% - Accent2 11 3 3" xfId="4659" xr:uid="{00000000-0005-0000-0000-0000982C0000}"/>
    <cellStyle name="40% - Accent2 11 3 3 2" xfId="4660" xr:uid="{00000000-0005-0000-0000-0000992C0000}"/>
    <cellStyle name="40% - Accent2 11 3 3 2 2" xfId="15753" xr:uid="{00000000-0005-0000-0000-00009A2C0000}"/>
    <cellStyle name="40% - Accent2 11 3 3 2 3" xfId="19704" xr:uid="{00000000-0005-0000-0000-00009B2C0000}"/>
    <cellStyle name="40% - Accent2 11 3 3 3" xfId="4661" xr:uid="{00000000-0005-0000-0000-00009C2C0000}"/>
    <cellStyle name="40% - Accent2 11 3 3 3 2" xfId="15754" xr:uid="{00000000-0005-0000-0000-00009D2C0000}"/>
    <cellStyle name="40% - Accent2 11 3 3 3 3" xfId="19705" xr:uid="{00000000-0005-0000-0000-00009E2C0000}"/>
    <cellStyle name="40% - Accent2 11 3 3 4" xfId="15752" xr:uid="{00000000-0005-0000-0000-00009F2C0000}"/>
    <cellStyle name="40% - Accent2 11 3 3 5" xfId="19703" xr:uid="{00000000-0005-0000-0000-0000A02C0000}"/>
    <cellStyle name="40% - Accent2 11 3 4" xfId="4662" xr:uid="{00000000-0005-0000-0000-0000A12C0000}"/>
    <cellStyle name="40% - Accent2 11 3 4 2" xfId="15755" xr:uid="{00000000-0005-0000-0000-0000A22C0000}"/>
    <cellStyle name="40% - Accent2 11 3 4 3" xfId="19706" xr:uid="{00000000-0005-0000-0000-0000A32C0000}"/>
    <cellStyle name="40% - Accent2 11 3 5" xfId="4663" xr:uid="{00000000-0005-0000-0000-0000A42C0000}"/>
    <cellStyle name="40% - Accent2 11 3 5 2" xfId="15756" xr:uid="{00000000-0005-0000-0000-0000A52C0000}"/>
    <cellStyle name="40% - Accent2 11 3 5 3" xfId="19707" xr:uid="{00000000-0005-0000-0000-0000A62C0000}"/>
    <cellStyle name="40% - Accent2 11 3 6" xfId="15748" xr:uid="{00000000-0005-0000-0000-0000A72C0000}"/>
    <cellStyle name="40% - Accent2 11 3 7" xfId="19699" xr:uid="{00000000-0005-0000-0000-0000A82C0000}"/>
    <cellStyle name="40% - Accent2 11 3_Volatility" xfId="4664" xr:uid="{00000000-0005-0000-0000-0000A92C0000}"/>
    <cellStyle name="40% - Accent2 11 4" xfId="4665" xr:uid="{00000000-0005-0000-0000-0000AA2C0000}"/>
    <cellStyle name="40% - Accent2 11 4 2" xfId="4666" xr:uid="{00000000-0005-0000-0000-0000AB2C0000}"/>
    <cellStyle name="40% - Accent2 11 4 2 2" xfId="15758" xr:uid="{00000000-0005-0000-0000-0000AC2C0000}"/>
    <cellStyle name="40% - Accent2 11 4 2 3" xfId="19709" xr:uid="{00000000-0005-0000-0000-0000AD2C0000}"/>
    <cellStyle name="40% - Accent2 11 4 3" xfId="4667" xr:uid="{00000000-0005-0000-0000-0000AE2C0000}"/>
    <cellStyle name="40% - Accent2 11 4 3 2" xfId="15759" xr:uid="{00000000-0005-0000-0000-0000AF2C0000}"/>
    <cellStyle name="40% - Accent2 11 4 3 3" xfId="19710" xr:uid="{00000000-0005-0000-0000-0000B02C0000}"/>
    <cellStyle name="40% - Accent2 11 4 4" xfId="15757" xr:uid="{00000000-0005-0000-0000-0000B12C0000}"/>
    <cellStyle name="40% - Accent2 11 4 5" xfId="19708" xr:uid="{00000000-0005-0000-0000-0000B22C0000}"/>
    <cellStyle name="40% - Accent2 11 5" xfId="4668" xr:uid="{00000000-0005-0000-0000-0000B32C0000}"/>
    <cellStyle name="40% - Accent2 11 5 2" xfId="4669" xr:uid="{00000000-0005-0000-0000-0000B42C0000}"/>
    <cellStyle name="40% - Accent2 11 5 2 2" xfId="15761" xr:uid="{00000000-0005-0000-0000-0000B52C0000}"/>
    <cellStyle name="40% - Accent2 11 5 2 3" xfId="19712" xr:uid="{00000000-0005-0000-0000-0000B62C0000}"/>
    <cellStyle name="40% - Accent2 11 5 3" xfId="4670" xr:uid="{00000000-0005-0000-0000-0000B72C0000}"/>
    <cellStyle name="40% - Accent2 11 5 3 2" xfId="15762" xr:uid="{00000000-0005-0000-0000-0000B82C0000}"/>
    <cellStyle name="40% - Accent2 11 5 3 3" xfId="19713" xr:uid="{00000000-0005-0000-0000-0000B92C0000}"/>
    <cellStyle name="40% - Accent2 11 5 4" xfId="15760" xr:uid="{00000000-0005-0000-0000-0000BA2C0000}"/>
    <cellStyle name="40% - Accent2 11 5 5" xfId="19711" xr:uid="{00000000-0005-0000-0000-0000BB2C0000}"/>
    <cellStyle name="40% - Accent2 11 6" xfId="4671" xr:uid="{00000000-0005-0000-0000-0000BC2C0000}"/>
    <cellStyle name="40% - Accent2 11 6 2" xfId="4672" xr:uid="{00000000-0005-0000-0000-0000BD2C0000}"/>
    <cellStyle name="40% - Accent2 11 6 2 2" xfId="15764" xr:uid="{00000000-0005-0000-0000-0000BE2C0000}"/>
    <cellStyle name="40% - Accent2 11 6 2 3" xfId="19715" xr:uid="{00000000-0005-0000-0000-0000BF2C0000}"/>
    <cellStyle name="40% - Accent2 11 6 3" xfId="4673" xr:uid="{00000000-0005-0000-0000-0000C02C0000}"/>
    <cellStyle name="40% - Accent2 11 6 3 2" xfId="15765" xr:uid="{00000000-0005-0000-0000-0000C12C0000}"/>
    <cellStyle name="40% - Accent2 11 6 3 3" xfId="19716" xr:uid="{00000000-0005-0000-0000-0000C22C0000}"/>
    <cellStyle name="40% - Accent2 11 6 4" xfId="15763" xr:uid="{00000000-0005-0000-0000-0000C32C0000}"/>
    <cellStyle name="40% - Accent2 11 6 5" xfId="19714" xr:uid="{00000000-0005-0000-0000-0000C42C0000}"/>
    <cellStyle name="40% - Accent2 11 7" xfId="4674" xr:uid="{00000000-0005-0000-0000-0000C52C0000}"/>
    <cellStyle name="40% - Accent2 11 7 2" xfId="15766" xr:uid="{00000000-0005-0000-0000-0000C62C0000}"/>
    <cellStyle name="40% - Accent2 11 7 3" xfId="19717" xr:uid="{00000000-0005-0000-0000-0000C72C0000}"/>
    <cellStyle name="40% - Accent2 11 8" xfId="4675" xr:uid="{00000000-0005-0000-0000-0000C82C0000}"/>
    <cellStyle name="40% - Accent2 11 8 2" xfId="15767" xr:uid="{00000000-0005-0000-0000-0000C92C0000}"/>
    <cellStyle name="40% - Accent2 11 8 3" xfId="19718" xr:uid="{00000000-0005-0000-0000-0000CA2C0000}"/>
    <cellStyle name="40% - Accent2 11 9" xfId="15735" xr:uid="{00000000-0005-0000-0000-0000CB2C0000}"/>
    <cellStyle name="40% - Accent2 11_Volatility" xfId="4676" xr:uid="{00000000-0005-0000-0000-0000CC2C0000}"/>
    <cellStyle name="40% - Accent2 12" xfId="4677" xr:uid="{00000000-0005-0000-0000-0000CD2C0000}"/>
    <cellStyle name="40% - Accent2 12 10" xfId="19719" xr:uid="{00000000-0005-0000-0000-0000CE2C0000}"/>
    <cellStyle name="40% - Accent2 12 2" xfId="4678" xr:uid="{00000000-0005-0000-0000-0000CF2C0000}"/>
    <cellStyle name="40% - Accent2 12 2 2" xfId="4679" xr:uid="{00000000-0005-0000-0000-0000D02C0000}"/>
    <cellStyle name="40% - Accent2 12 2 2 2" xfId="4680" xr:uid="{00000000-0005-0000-0000-0000D12C0000}"/>
    <cellStyle name="40% - Accent2 12 2 2 2 2" xfId="15771" xr:uid="{00000000-0005-0000-0000-0000D22C0000}"/>
    <cellStyle name="40% - Accent2 12 2 2 2 3" xfId="19722" xr:uid="{00000000-0005-0000-0000-0000D32C0000}"/>
    <cellStyle name="40% - Accent2 12 2 2 3" xfId="4681" xr:uid="{00000000-0005-0000-0000-0000D42C0000}"/>
    <cellStyle name="40% - Accent2 12 2 2 3 2" xfId="15772" xr:uid="{00000000-0005-0000-0000-0000D52C0000}"/>
    <cellStyle name="40% - Accent2 12 2 2 3 3" xfId="19723" xr:uid="{00000000-0005-0000-0000-0000D62C0000}"/>
    <cellStyle name="40% - Accent2 12 2 2 4" xfId="15770" xr:uid="{00000000-0005-0000-0000-0000D72C0000}"/>
    <cellStyle name="40% - Accent2 12 2 2 5" xfId="19721" xr:uid="{00000000-0005-0000-0000-0000D82C0000}"/>
    <cellStyle name="40% - Accent2 12 2 3" xfId="4682" xr:uid="{00000000-0005-0000-0000-0000D92C0000}"/>
    <cellStyle name="40% - Accent2 12 2 3 2" xfId="4683" xr:uid="{00000000-0005-0000-0000-0000DA2C0000}"/>
    <cellStyle name="40% - Accent2 12 2 3 2 2" xfId="15774" xr:uid="{00000000-0005-0000-0000-0000DB2C0000}"/>
    <cellStyle name="40% - Accent2 12 2 3 2 3" xfId="19725" xr:uid="{00000000-0005-0000-0000-0000DC2C0000}"/>
    <cellStyle name="40% - Accent2 12 2 3 3" xfId="4684" xr:uid="{00000000-0005-0000-0000-0000DD2C0000}"/>
    <cellStyle name="40% - Accent2 12 2 3 3 2" xfId="15775" xr:uid="{00000000-0005-0000-0000-0000DE2C0000}"/>
    <cellStyle name="40% - Accent2 12 2 3 3 3" xfId="19726" xr:uid="{00000000-0005-0000-0000-0000DF2C0000}"/>
    <cellStyle name="40% - Accent2 12 2 3 4" xfId="15773" xr:uid="{00000000-0005-0000-0000-0000E02C0000}"/>
    <cellStyle name="40% - Accent2 12 2 3 5" xfId="19724" xr:uid="{00000000-0005-0000-0000-0000E12C0000}"/>
    <cellStyle name="40% - Accent2 12 2 4" xfId="4685" xr:uid="{00000000-0005-0000-0000-0000E22C0000}"/>
    <cellStyle name="40% - Accent2 12 2 4 2" xfId="4686" xr:uid="{00000000-0005-0000-0000-0000E32C0000}"/>
    <cellStyle name="40% - Accent2 12 2 4 2 2" xfId="15777" xr:uid="{00000000-0005-0000-0000-0000E42C0000}"/>
    <cellStyle name="40% - Accent2 12 2 4 2 3" xfId="19728" xr:uid="{00000000-0005-0000-0000-0000E52C0000}"/>
    <cellStyle name="40% - Accent2 12 2 4 3" xfId="4687" xr:uid="{00000000-0005-0000-0000-0000E62C0000}"/>
    <cellStyle name="40% - Accent2 12 2 4 3 2" xfId="15778" xr:uid="{00000000-0005-0000-0000-0000E72C0000}"/>
    <cellStyle name="40% - Accent2 12 2 4 3 3" xfId="19729" xr:uid="{00000000-0005-0000-0000-0000E82C0000}"/>
    <cellStyle name="40% - Accent2 12 2 4 4" xfId="15776" xr:uid="{00000000-0005-0000-0000-0000E92C0000}"/>
    <cellStyle name="40% - Accent2 12 2 4 5" xfId="19727" xr:uid="{00000000-0005-0000-0000-0000EA2C0000}"/>
    <cellStyle name="40% - Accent2 12 2 5" xfId="4688" xr:uid="{00000000-0005-0000-0000-0000EB2C0000}"/>
    <cellStyle name="40% - Accent2 12 2 5 2" xfId="15779" xr:uid="{00000000-0005-0000-0000-0000EC2C0000}"/>
    <cellStyle name="40% - Accent2 12 2 5 3" xfId="19730" xr:uid="{00000000-0005-0000-0000-0000ED2C0000}"/>
    <cellStyle name="40% - Accent2 12 2 6" xfId="4689" xr:uid="{00000000-0005-0000-0000-0000EE2C0000}"/>
    <cellStyle name="40% - Accent2 12 2 6 2" xfId="15780" xr:uid="{00000000-0005-0000-0000-0000EF2C0000}"/>
    <cellStyle name="40% - Accent2 12 2 6 3" xfId="19731" xr:uid="{00000000-0005-0000-0000-0000F02C0000}"/>
    <cellStyle name="40% - Accent2 12 2 7" xfId="15769" xr:uid="{00000000-0005-0000-0000-0000F12C0000}"/>
    <cellStyle name="40% - Accent2 12 2 8" xfId="19720" xr:uid="{00000000-0005-0000-0000-0000F22C0000}"/>
    <cellStyle name="40% - Accent2 12 2_Volatility" xfId="4690" xr:uid="{00000000-0005-0000-0000-0000F32C0000}"/>
    <cellStyle name="40% - Accent2 12 3" xfId="4691" xr:uid="{00000000-0005-0000-0000-0000F42C0000}"/>
    <cellStyle name="40% - Accent2 12 3 2" xfId="4692" xr:uid="{00000000-0005-0000-0000-0000F52C0000}"/>
    <cellStyle name="40% - Accent2 12 3 2 2" xfId="4693" xr:uid="{00000000-0005-0000-0000-0000F62C0000}"/>
    <cellStyle name="40% - Accent2 12 3 2 2 2" xfId="15783" xr:uid="{00000000-0005-0000-0000-0000F72C0000}"/>
    <cellStyle name="40% - Accent2 12 3 2 2 3" xfId="19734" xr:uid="{00000000-0005-0000-0000-0000F82C0000}"/>
    <cellStyle name="40% - Accent2 12 3 2 3" xfId="4694" xr:uid="{00000000-0005-0000-0000-0000F92C0000}"/>
    <cellStyle name="40% - Accent2 12 3 2 3 2" xfId="15784" xr:uid="{00000000-0005-0000-0000-0000FA2C0000}"/>
    <cellStyle name="40% - Accent2 12 3 2 3 3" xfId="19735" xr:uid="{00000000-0005-0000-0000-0000FB2C0000}"/>
    <cellStyle name="40% - Accent2 12 3 2 4" xfId="15782" xr:uid="{00000000-0005-0000-0000-0000FC2C0000}"/>
    <cellStyle name="40% - Accent2 12 3 2 5" xfId="19733" xr:uid="{00000000-0005-0000-0000-0000FD2C0000}"/>
    <cellStyle name="40% - Accent2 12 3 3" xfId="4695" xr:uid="{00000000-0005-0000-0000-0000FE2C0000}"/>
    <cellStyle name="40% - Accent2 12 3 3 2" xfId="4696" xr:uid="{00000000-0005-0000-0000-0000FF2C0000}"/>
    <cellStyle name="40% - Accent2 12 3 3 2 2" xfId="15786" xr:uid="{00000000-0005-0000-0000-0000002D0000}"/>
    <cellStyle name="40% - Accent2 12 3 3 2 3" xfId="19737" xr:uid="{00000000-0005-0000-0000-0000012D0000}"/>
    <cellStyle name="40% - Accent2 12 3 3 3" xfId="4697" xr:uid="{00000000-0005-0000-0000-0000022D0000}"/>
    <cellStyle name="40% - Accent2 12 3 3 3 2" xfId="15787" xr:uid="{00000000-0005-0000-0000-0000032D0000}"/>
    <cellStyle name="40% - Accent2 12 3 3 3 3" xfId="19738" xr:uid="{00000000-0005-0000-0000-0000042D0000}"/>
    <cellStyle name="40% - Accent2 12 3 3 4" xfId="15785" xr:uid="{00000000-0005-0000-0000-0000052D0000}"/>
    <cellStyle name="40% - Accent2 12 3 3 5" xfId="19736" xr:uid="{00000000-0005-0000-0000-0000062D0000}"/>
    <cellStyle name="40% - Accent2 12 3 4" xfId="4698" xr:uid="{00000000-0005-0000-0000-0000072D0000}"/>
    <cellStyle name="40% - Accent2 12 3 4 2" xfId="15788" xr:uid="{00000000-0005-0000-0000-0000082D0000}"/>
    <cellStyle name="40% - Accent2 12 3 4 3" xfId="19739" xr:uid="{00000000-0005-0000-0000-0000092D0000}"/>
    <cellStyle name="40% - Accent2 12 3 5" xfId="4699" xr:uid="{00000000-0005-0000-0000-00000A2D0000}"/>
    <cellStyle name="40% - Accent2 12 3 5 2" xfId="15789" xr:uid="{00000000-0005-0000-0000-00000B2D0000}"/>
    <cellStyle name="40% - Accent2 12 3 5 3" xfId="19740" xr:uid="{00000000-0005-0000-0000-00000C2D0000}"/>
    <cellStyle name="40% - Accent2 12 3 6" xfId="15781" xr:uid="{00000000-0005-0000-0000-00000D2D0000}"/>
    <cellStyle name="40% - Accent2 12 3 7" xfId="19732" xr:uid="{00000000-0005-0000-0000-00000E2D0000}"/>
    <cellStyle name="40% - Accent2 12 3_Volatility" xfId="4700" xr:uid="{00000000-0005-0000-0000-00000F2D0000}"/>
    <cellStyle name="40% - Accent2 12 4" xfId="4701" xr:uid="{00000000-0005-0000-0000-0000102D0000}"/>
    <cellStyle name="40% - Accent2 12 4 2" xfId="4702" xr:uid="{00000000-0005-0000-0000-0000112D0000}"/>
    <cellStyle name="40% - Accent2 12 4 2 2" xfId="15791" xr:uid="{00000000-0005-0000-0000-0000122D0000}"/>
    <cellStyle name="40% - Accent2 12 4 2 3" xfId="19742" xr:uid="{00000000-0005-0000-0000-0000132D0000}"/>
    <cellStyle name="40% - Accent2 12 4 3" xfId="4703" xr:uid="{00000000-0005-0000-0000-0000142D0000}"/>
    <cellStyle name="40% - Accent2 12 4 3 2" xfId="15792" xr:uid="{00000000-0005-0000-0000-0000152D0000}"/>
    <cellStyle name="40% - Accent2 12 4 3 3" xfId="19743" xr:uid="{00000000-0005-0000-0000-0000162D0000}"/>
    <cellStyle name="40% - Accent2 12 4 4" xfId="15790" xr:uid="{00000000-0005-0000-0000-0000172D0000}"/>
    <cellStyle name="40% - Accent2 12 4 5" xfId="19741" xr:uid="{00000000-0005-0000-0000-0000182D0000}"/>
    <cellStyle name="40% - Accent2 12 5" xfId="4704" xr:uid="{00000000-0005-0000-0000-0000192D0000}"/>
    <cellStyle name="40% - Accent2 12 5 2" xfId="4705" xr:uid="{00000000-0005-0000-0000-00001A2D0000}"/>
    <cellStyle name="40% - Accent2 12 5 2 2" xfId="15794" xr:uid="{00000000-0005-0000-0000-00001B2D0000}"/>
    <cellStyle name="40% - Accent2 12 5 2 3" xfId="19745" xr:uid="{00000000-0005-0000-0000-00001C2D0000}"/>
    <cellStyle name="40% - Accent2 12 5 3" xfId="4706" xr:uid="{00000000-0005-0000-0000-00001D2D0000}"/>
    <cellStyle name="40% - Accent2 12 5 3 2" xfId="15795" xr:uid="{00000000-0005-0000-0000-00001E2D0000}"/>
    <cellStyle name="40% - Accent2 12 5 3 3" xfId="19746" xr:uid="{00000000-0005-0000-0000-00001F2D0000}"/>
    <cellStyle name="40% - Accent2 12 5 4" xfId="15793" xr:uid="{00000000-0005-0000-0000-0000202D0000}"/>
    <cellStyle name="40% - Accent2 12 5 5" xfId="19744" xr:uid="{00000000-0005-0000-0000-0000212D0000}"/>
    <cellStyle name="40% - Accent2 12 6" xfId="4707" xr:uid="{00000000-0005-0000-0000-0000222D0000}"/>
    <cellStyle name="40% - Accent2 12 6 2" xfId="4708" xr:uid="{00000000-0005-0000-0000-0000232D0000}"/>
    <cellStyle name="40% - Accent2 12 6 2 2" xfId="15797" xr:uid="{00000000-0005-0000-0000-0000242D0000}"/>
    <cellStyle name="40% - Accent2 12 6 2 3" xfId="19748" xr:uid="{00000000-0005-0000-0000-0000252D0000}"/>
    <cellStyle name="40% - Accent2 12 6 3" xfId="4709" xr:uid="{00000000-0005-0000-0000-0000262D0000}"/>
    <cellStyle name="40% - Accent2 12 6 3 2" xfId="15798" xr:uid="{00000000-0005-0000-0000-0000272D0000}"/>
    <cellStyle name="40% - Accent2 12 6 3 3" xfId="19749" xr:uid="{00000000-0005-0000-0000-0000282D0000}"/>
    <cellStyle name="40% - Accent2 12 6 4" xfId="15796" xr:uid="{00000000-0005-0000-0000-0000292D0000}"/>
    <cellStyle name="40% - Accent2 12 6 5" xfId="19747" xr:uid="{00000000-0005-0000-0000-00002A2D0000}"/>
    <cellStyle name="40% - Accent2 12 7" xfId="4710" xr:uid="{00000000-0005-0000-0000-00002B2D0000}"/>
    <cellStyle name="40% - Accent2 12 7 2" xfId="15799" xr:uid="{00000000-0005-0000-0000-00002C2D0000}"/>
    <cellStyle name="40% - Accent2 12 7 3" xfId="19750" xr:uid="{00000000-0005-0000-0000-00002D2D0000}"/>
    <cellStyle name="40% - Accent2 12 8" xfId="4711" xr:uid="{00000000-0005-0000-0000-00002E2D0000}"/>
    <cellStyle name="40% - Accent2 12 8 2" xfId="15800" xr:uid="{00000000-0005-0000-0000-00002F2D0000}"/>
    <cellStyle name="40% - Accent2 12 8 3" xfId="19751" xr:uid="{00000000-0005-0000-0000-0000302D0000}"/>
    <cellStyle name="40% - Accent2 12 9" xfId="15768" xr:uid="{00000000-0005-0000-0000-0000312D0000}"/>
    <cellStyle name="40% - Accent2 12_Volatility" xfId="4712" xr:uid="{00000000-0005-0000-0000-0000322D0000}"/>
    <cellStyle name="40% - Accent2 13" xfId="4713" xr:uid="{00000000-0005-0000-0000-0000332D0000}"/>
    <cellStyle name="40% - Accent2 13 10" xfId="19752" xr:uid="{00000000-0005-0000-0000-0000342D0000}"/>
    <cellStyle name="40% - Accent2 13 2" xfId="4714" xr:uid="{00000000-0005-0000-0000-0000352D0000}"/>
    <cellStyle name="40% - Accent2 13 2 2" xfId="4715" xr:uid="{00000000-0005-0000-0000-0000362D0000}"/>
    <cellStyle name="40% - Accent2 13 2 2 2" xfId="4716" xr:uid="{00000000-0005-0000-0000-0000372D0000}"/>
    <cellStyle name="40% - Accent2 13 2 2 2 2" xfId="15804" xr:uid="{00000000-0005-0000-0000-0000382D0000}"/>
    <cellStyle name="40% - Accent2 13 2 2 2 3" xfId="19755" xr:uid="{00000000-0005-0000-0000-0000392D0000}"/>
    <cellStyle name="40% - Accent2 13 2 2 3" xfId="4717" xr:uid="{00000000-0005-0000-0000-00003A2D0000}"/>
    <cellStyle name="40% - Accent2 13 2 2 3 2" xfId="15805" xr:uid="{00000000-0005-0000-0000-00003B2D0000}"/>
    <cellStyle name="40% - Accent2 13 2 2 3 3" xfId="19756" xr:uid="{00000000-0005-0000-0000-00003C2D0000}"/>
    <cellStyle name="40% - Accent2 13 2 2 4" xfId="15803" xr:uid="{00000000-0005-0000-0000-00003D2D0000}"/>
    <cellStyle name="40% - Accent2 13 2 2 5" xfId="19754" xr:uid="{00000000-0005-0000-0000-00003E2D0000}"/>
    <cellStyle name="40% - Accent2 13 2 3" xfId="4718" xr:uid="{00000000-0005-0000-0000-00003F2D0000}"/>
    <cellStyle name="40% - Accent2 13 2 3 2" xfId="4719" xr:uid="{00000000-0005-0000-0000-0000402D0000}"/>
    <cellStyle name="40% - Accent2 13 2 3 2 2" xfId="15807" xr:uid="{00000000-0005-0000-0000-0000412D0000}"/>
    <cellStyle name="40% - Accent2 13 2 3 2 3" xfId="19758" xr:uid="{00000000-0005-0000-0000-0000422D0000}"/>
    <cellStyle name="40% - Accent2 13 2 3 3" xfId="4720" xr:uid="{00000000-0005-0000-0000-0000432D0000}"/>
    <cellStyle name="40% - Accent2 13 2 3 3 2" xfId="15808" xr:uid="{00000000-0005-0000-0000-0000442D0000}"/>
    <cellStyle name="40% - Accent2 13 2 3 3 3" xfId="19759" xr:uid="{00000000-0005-0000-0000-0000452D0000}"/>
    <cellStyle name="40% - Accent2 13 2 3 4" xfId="15806" xr:uid="{00000000-0005-0000-0000-0000462D0000}"/>
    <cellStyle name="40% - Accent2 13 2 3 5" xfId="19757" xr:uid="{00000000-0005-0000-0000-0000472D0000}"/>
    <cellStyle name="40% - Accent2 13 2 4" xfId="4721" xr:uid="{00000000-0005-0000-0000-0000482D0000}"/>
    <cellStyle name="40% - Accent2 13 2 4 2" xfId="4722" xr:uid="{00000000-0005-0000-0000-0000492D0000}"/>
    <cellStyle name="40% - Accent2 13 2 4 2 2" xfId="15810" xr:uid="{00000000-0005-0000-0000-00004A2D0000}"/>
    <cellStyle name="40% - Accent2 13 2 4 2 3" xfId="19761" xr:uid="{00000000-0005-0000-0000-00004B2D0000}"/>
    <cellStyle name="40% - Accent2 13 2 4 3" xfId="4723" xr:uid="{00000000-0005-0000-0000-00004C2D0000}"/>
    <cellStyle name="40% - Accent2 13 2 4 3 2" xfId="15811" xr:uid="{00000000-0005-0000-0000-00004D2D0000}"/>
    <cellStyle name="40% - Accent2 13 2 4 3 3" xfId="19762" xr:uid="{00000000-0005-0000-0000-00004E2D0000}"/>
    <cellStyle name="40% - Accent2 13 2 4 4" xfId="15809" xr:uid="{00000000-0005-0000-0000-00004F2D0000}"/>
    <cellStyle name="40% - Accent2 13 2 4 5" xfId="19760" xr:uid="{00000000-0005-0000-0000-0000502D0000}"/>
    <cellStyle name="40% - Accent2 13 2 5" xfId="4724" xr:uid="{00000000-0005-0000-0000-0000512D0000}"/>
    <cellStyle name="40% - Accent2 13 2 5 2" xfId="15812" xr:uid="{00000000-0005-0000-0000-0000522D0000}"/>
    <cellStyle name="40% - Accent2 13 2 5 3" xfId="19763" xr:uid="{00000000-0005-0000-0000-0000532D0000}"/>
    <cellStyle name="40% - Accent2 13 2 6" xfId="4725" xr:uid="{00000000-0005-0000-0000-0000542D0000}"/>
    <cellStyle name="40% - Accent2 13 2 6 2" xfId="15813" xr:uid="{00000000-0005-0000-0000-0000552D0000}"/>
    <cellStyle name="40% - Accent2 13 2 6 3" xfId="19764" xr:uid="{00000000-0005-0000-0000-0000562D0000}"/>
    <cellStyle name="40% - Accent2 13 2 7" xfId="15802" xr:uid="{00000000-0005-0000-0000-0000572D0000}"/>
    <cellStyle name="40% - Accent2 13 2 8" xfId="19753" xr:uid="{00000000-0005-0000-0000-0000582D0000}"/>
    <cellStyle name="40% - Accent2 13 2_Volatility" xfId="4726" xr:uid="{00000000-0005-0000-0000-0000592D0000}"/>
    <cellStyle name="40% - Accent2 13 3" xfId="4727" xr:uid="{00000000-0005-0000-0000-00005A2D0000}"/>
    <cellStyle name="40% - Accent2 13 3 2" xfId="4728" xr:uid="{00000000-0005-0000-0000-00005B2D0000}"/>
    <cellStyle name="40% - Accent2 13 3 2 2" xfId="4729" xr:uid="{00000000-0005-0000-0000-00005C2D0000}"/>
    <cellStyle name="40% - Accent2 13 3 2 2 2" xfId="15816" xr:uid="{00000000-0005-0000-0000-00005D2D0000}"/>
    <cellStyle name="40% - Accent2 13 3 2 2 3" xfId="19767" xr:uid="{00000000-0005-0000-0000-00005E2D0000}"/>
    <cellStyle name="40% - Accent2 13 3 2 3" xfId="4730" xr:uid="{00000000-0005-0000-0000-00005F2D0000}"/>
    <cellStyle name="40% - Accent2 13 3 2 3 2" xfId="15817" xr:uid="{00000000-0005-0000-0000-0000602D0000}"/>
    <cellStyle name="40% - Accent2 13 3 2 3 3" xfId="19768" xr:uid="{00000000-0005-0000-0000-0000612D0000}"/>
    <cellStyle name="40% - Accent2 13 3 2 4" xfId="15815" xr:uid="{00000000-0005-0000-0000-0000622D0000}"/>
    <cellStyle name="40% - Accent2 13 3 2 5" xfId="19766" xr:uid="{00000000-0005-0000-0000-0000632D0000}"/>
    <cellStyle name="40% - Accent2 13 3 3" xfId="4731" xr:uid="{00000000-0005-0000-0000-0000642D0000}"/>
    <cellStyle name="40% - Accent2 13 3 3 2" xfId="4732" xr:uid="{00000000-0005-0000-0000-0000652D0000}"/>
    <cellStyle name="40% - Accent2 13 3 3 2 2" xfId="15819" xr:uid="{00000000-0005-0000-0000-0000662D0000}"/>
    <cellStyle name="40% - Accent2 13 3 3 2 3" xfId="19770" xr:uid="{00000000-0005-0000-0000-0000672D0000}"/>
    <cellStyle name="40% - Accent2 13 3 3 3" xfId="4733" xr:uid="{00000000-0005-0000-0000-0000682D0000}"/>
    <cellStyle name="40% - Accent2 13 3 3 3 2" xfId="15820" xr:uid="{00000000-0005-0000-0000-0000692D0000}"/>
    <cellStyle name="40% - Accent2 13 3 3 3 3" xfId="19771" xr:uid="{00000000-0005-0000-0000-00006A2D0000}"/>
    <cellStyle name="40% - Accent2 13 3 3 4" xfId="15818" xr:uid="{00000000-0005-0000-0000-00006B2D0000}"/>
    <cellStyle name="40% - Accent2 13 3 3 5" xfId="19769" xr:uid="{00000000-0005-0000-0000-00006C2D0000}"/>
    <cellStyle name="40% - Accent2 13 3 4" xfId="4734" xr:uid="{00000000-0005-0000-0000-00006D2D0000}"/>
    <cellStyle name="40% - Accent2 13 3 4 2" xfId="15821" xr:uid="{00000000-0005-0000-0000-00006E2D0000}"/>
    <cellStyle name="40% - Accent2 13 3 4 3" xfId="19772" xr:uid="{00000000-0005-0000-0000-00006F2D0000}"/>
    <cellStyle name="40% - Accent2 13 3 5" xfId="4735" xr:uid="{00000000-0005-0000-0000-0000702D0000}"/>
    <cellStyle name="40% - Accent2 13 3 5 2" xfId="15822" xr:uid="{00000000-0005-0000-0000-0000712D0000}"/>
    <cellStyle name="40% - Accent2 13 3 5 3" xfId="19773" xr:uid="{00000000-0005-0000-0000-0000722D0000}"/>
    <cellStyle name="40% - Accent2 13 3 6" xfId="15814" xr:uid="{00000000-0005-0000-0000-0000732D0000}"/>
    <cellStyle name="40% - Accent2 13 3 7" xfId="19765" xr:uid="{00000000-0005-0000-0000-0000742D0000}"/>
    <cellStyle name="40% - Accent2 13 3_Volatility" xfId="4736" xr:uid="{00000000-0005-0000-0000-0000752D0000}"/>
    <cellStyle name="40% - Accent2 13 4" xfId="4737" xr:uid="{00000000-0005-0000-0000-0000762D0000}"/>
    <cellStyle name="40% - Accent2 13 4 2" xfId="4738" xr:uid="{00000000-0005-0000-0000-0000772D0000}"/>
    <cellStyle name="40% - Accent2 13 4 2 2" xfId="15824" xr:uid="{00000000-0005-0000-0000-0000782D0000}"/>
    <cellStyle name="40% - Accent2 13 4 2 3" xfId="19775" xr:uid="{00000000-0005-0000-0000-0000792D0000}"/>
    <cellStyle name="40% - Accent2 13 4 3" xfId="4739" xr:uid="{00000000-0005-0000-0000-00007A2D0000}"/>
    <cellStyle name="40% - Accent2 13 4 3 2" xfId="15825" xr:uid="{00000000-0005-0000-0000-00007B2D0000}"/>
    <cellStyle name="40% - Accent2 13 4 3 3" xfId="19776" xr:uid="{00000000-0005-0000-0000-00007C2D0000}"/>
    <cellStyle name="40% - Accent2 13 4 4" xfId="15823" xr:uid="{00000000-0005-0000-0000-00007D2D0000}"/>
    <cellStyle name="40% - Accent2 13 4 5" xfId="19774" xr:uid="{00000000-0005-0000-0000-00007E2D0000}"/>
    <cellStyle name="40% - Accent2 13 5" xfId="4740" xr:uid="{00000000-0005-0000-0000-00007F2D0000}"/>
    <cellStyle name="40% - Accent2 13 5 2" xfId="4741" xr:uid="{00000000-0005-0000-0000-0000802D0000}"/>
    <cellStyle name="40% - Accent2 13 5 2 2" xfId="15827" xr:uid="{00000000-0005-0000-0000-0000812D0000}"/>
    <cellStyle name="40% - Accent2 13 5 2 3" xfId="19778" xr:uid="{00000000-0005-0000-0000-0000822D0000}"/>
    <cellStyle name="40% - Accent2 13 5 3" xfId="4742" xr:uid="{00000000-0005-0000-0000-0000832D0000}"/>
    <cellStyle name="40% - Accent2 13 5 3 2" xfId="15828" xr:uid="{00000000-0005-0000-0000-0000842D0000}"/>
    <cellStyle name="40% - Accent2 13 5 3 3" xfId="19779" xr:uid="{00000000-0005-0000-0000-0000852D0000}"/>
    <cellStyle name="40% - Accent2 13 5 4" xfId="15826" xr:uid="{00000000-0005-0000-0000-0000862D0000}"/>
    <cellStyle name="40% - Accent2 13 5 5" xfId="19777" xr:uid="{00000000-0005-0000-0000-0000872D0000}"/>
    <cellStyle name="40% - Accent2 13 6" xfId="4743" xr:uid="{00000000-0005-0000-0000-0000882D0000}"/>
    <cellStyle name="40% - Accent2 13 6 2" xfId="4744" xr:uid="{00000000-0005-0000-0000-0000892D0000}"/>
    <cellStyle name="40% - Accent2 13 6 2 2" xfId="15830" xr:uid="{00000000-0005-0000-0000-00008A2D0000}"/>
    <cellStyle name="40% - Accent2 13 6 2 3" xfId="19781" xr:uid="{00000000-0005-0000-0000-00008B2D0000}"/>
    <cellStyle name="40% - Accent2 13 6 3" xfId="4745" xr:uid="{00000000-0005-0000-0000-00008C2D0000}"/>
    <cellStyle name="40% - Accent2 13 6 3 2" xfId="15831" xr:uid="{00000000-0005-0000-0000-00008D2D0000}"/>
    <cellStyle name="40% - Accent2 13 6 3 3" xfId="19782" xr:uid="{00000000-0005-0000-0000-00008E2D0000}"/>
    <cellStyle name="40% - Accent2 13 6 4" xfId="15829" xr:uid="{00000000-0005-0000-0000-00008F2D0000}"/>
    <cellStyle name="40% - Accent2 13 6 5" xfId="19780" xr:uid="{00000000-0005-0000-0000-0000902D0000}"/>
    <cellStyle name="40% - Accent2 13 7" xfId="4746" xr:uid="{00000000-0005-0000-0000-0000912D0000}"/>
    <cellStyle name="40% - Accent2 13 7 2" xfId="15832" xr:uid="{00000000-0005-0000-0000-0000922D0000}"/>
    <cellStyle name="40% - Accent2 13 7 3" xfId="19783" xr:uid="{00000000-0005-0000-0000-0000932D0000}"/>
    <cellStyle name="40% - Accent2 13 8" xfId="4747" xr:uid="{00000000-0005-0000-0000-0000942D0000}"/>
    <cellStyle name="40% - Accent2 13 8 2" xfId="15833" xr:uid="{00000000-0005-0000-0000-0000952D0000}"/>
    <cellStyle name="40% - Accent2 13 8 3" xfId="19784" xr:uid="{00000000-0005-0000-0000-0000962D0000}"/>
    <cellStyle name="40% - Accent2 13 9" xfId="15801" xr:uid="{00000000-0005-0000-0000-0000972D0000}"/>
    <cellStyle name="40% - Accent2 13_Volatility" xfId="4748" xr:uid="{00000000-0005-0000-0000-0000982D0000}"/>
    <cellStyle name="40% - Accent2 14" xfId="4749" xr:uid="{00000000-0005-0000-0000-0000992D0000}"/>
    <cellStyle name="40% - Accent2 14 10" xfId="19785" xr:uid="{00000000-0005-0000-0000-00009A2D0000}"/>
    <cellStyle name="40% - Accent2 14 2" xfId="4750" xr:uid="{00000000-0005-0000-0000-00009B2D0000}"/>
    <cellStyle name="40% - Accent2 14 2 2" xfId="4751" xr:uid="{00000000-0005-0000-0000-00009C2D0000}"/>
    <cellStyle name="40% - Accent2 14 2 2 2" xfId="4752" xr:uid="{00000000-0005-0000-0000-00009D2D0000}"/>
    <cellStyle name="40% - Accent2 14 2 2 2 2" xfId="15837" xr:uid="{00000000-0005-0000-0000-00009E2D0000}"/>
    <cellStyle name="40% - Accent2 14 2 2 2 3" xfId="19788" xr:uid="{00000000-0005-0000-0000-00009F2D0000}"/>
    <cellStyle name="40% - Accent2 14 2 2 3" xfId="4753" xr:uid="{00000000-0005-0000-0000-0000A02D0000}"/>
    <cellStyle name="40% - Accent2 14 2 2 3 2" xfId="15838" xr:uid="{00000000-0005-0000-0000-0000A12D0000}"/>
    <cellStyle name="40% - Accent2 14 2 2 3 3" xfId="19789" xr:uid="{00000000-0005-0000-0000-0000A22D0000}"/>
    <cellStyle name="40% - Accent2 14 2 2 4" xfId="15836" xr:uid="{00000000-0005-0000-0000-0000A32D0000}"/>
    <cellStyle name="40% - Accent2 14 2 2 5" xfId="19787" xr:uid="{00000000-0005-0000-0000-0000A42D0000}"/>
    <cellStyle name="40% - Accent2 14 2 3" xfId="4754" xr:uid="{00000000-0005-0000-0000-0000A52D0000}"/>
    <cellStyle name="40% - Accent2 14 2 3 2" xfId="4755" xr:uid="{00000000-0005-0000-0000-0000A62D0000}"/>
    <cellStyle name="40% - Accent2 14 2 3 2 2" xfId="15840" xr:uid="{00000000-0005-0000-0000-0000A72D0000}"/>
    <cellStyle name="40% - Accent2 14 2 3 2 3" xfId="19791" xr:uid="{00000000-0005-0000-0000-0000A82D0000}"/>
    <cellStyle name="40% - Accent2 14 2 3 3" xfId="4756" xr:uid="{00000000-0005-0000-0000-0000A92D0000}"/>
    <cellStyle name="40% - Accent2 14 2 3 3 2" xfId="15841" xr:uid="{00000000-0005-0000-0000-0000AA2D0000}"/>
    <cellStyle name="40% - Accent2 14 2 3 3 3" xfId="19792" xr:uid="{00000000-0005-0000-0000-0000AB2D0000}"/>
    <cellStyle name="40% - Accent2 14 2 3 4" xfId="15839" xr:uid="{00000000-0005-0000-0000-0000AC2D0000}"/>
    <cellStyle name="40% - Accent2 14 2 3 5" xfId="19790" xr:uid="{00000000-0005-0000-0000-0000AD2D0000}"/>
    <cellStyle name="40% - Accent2 14 2 4" xfId="4757" xr:uid="{00000000-0005-0000-0000-0000AE2D0000}"/>
    <cellStyle name="40% - Accent2 14 2 4 2" xfId="4758" xr:uid="{00000000-0005-0000-0000-0000AF2D0000}"/>
    <cellStyle name="40% - Accent2 14 2 4 2 2" xfId="15843" xr:uid="{00000000-0005-0000-0000-0000B02D0000}"/>
    <cellStyle name="40% - Accent2 14 2 4 2 3" xfId="19794" xr:uid="{00000000-0005-0000-0000-0000B12D0000}"/>
    <cellStyle name="40% - Accent2 14 2 4 3" xfId="4759" xr:uid="{00000000-0005-0000-0000-0000B22D0000}"/>
    <cellStyle name="40% - Accent2 14 2 4 3 2" xfId="15844" xr:uid="{00000000-0005-0000-0000-0000B32D0000}"/>
    <cellStyle name="40% - Accent2 14 2 4 3 3" xfId="19795" xr:uid="{00000000-0005-0000-0000-0000B42D0000}"/>
    <cellStyle name="40% - Accent2 14 2 4 4" xfId="15842" xr:uid="{00000000-0005-0000-0000-0000B52D0000}"/>
    <cellStyle name="40% - Accent2 14 2 4 5" xfId="19793" xr:uid="{00000000-0005-0000-0000-0000B62D0000}"/>
    <cellStyle name="40% - Accent2 14 2 5" xfId="4760" xr:uid="{00000000-0005-0000-0000-0000B72D0000}"/>
    <cellStyle name="40% - Accent2 14 2 5 2" xfId="15845" xr:uid="{00000000-0005-0000-0000-0000B82D0000}"/>
    <cellStyle name="40% - Accent2 14 2 5 3" xfId="19796" xr:uid="{00000000-0005-0000-0000-0000B92D0000}"/>
    <cellStyle name="40% - Accent2 14 2 6" xfId="4761" xr:uid="{00000000-0005-0000-0000-0000BA2D0000}"/>
    <cellStyle name="40% - Accent2 14 2 6 2" xfId="15846" xr:uid="{00000000-0005-0000-0000-0000BB2D0000}"/>
    <cellStyle name="40% - Accent2 14 2 6 3" xfId="19797" xr:uid="{00000000-0005-0000-0000-0000BC2D0000}"/>
    <cellStyle name="40% - Accent2 14 2 7" xfId="15835" xr:uid="{00000000-0005-0000-0000-0000BD2D0000}"/>
    <cellStyle name="40% - Accent2 14 2 8" xfId="19786" xr:uid="{00000000-0005-0000-0000-0000BE2D0000}"/>
    <cellStyle name="40% - Accent2 14 2_Volatility" xfId="4762" xr:uid="{00000000-0005-0000-0000-0000BF2D0000}"/>
    <cellStyle name="40% - Accent2 14 3" xfId="4763" xr:uid="{00000000-0005-0000-0000-0000C02D0000}"/>
    <cellStyle name="40% - Accent2 14 3 2" xfId="4764" xr:uid="{00000000-0005-0000-0000-0000C12D0000}"/>
    <cellStyle name="40% - Accent2 14 3 2 2" xfId="4765" xr:uid="{00000000-0005-0000-0000-0000C22D0000}"/>
    <cellStyle name="40% - Accent2 14 3 2 2 2" xfId="15849" xr:uid="{00000000-0005-0000-0000-0000C32D0000}"/>
    <cellStyle name="40% - Accent2 14 3 2 2 3" xfId="19800" xr:uid="{00000000-0005-0000-0000-0000C42D0000}"/>
    <cellStyle name="40% - Accent2 14 3 2 3" xfId="4766" xr:uid="{00000000-0005-0000-0000-0000C52D0000}"/>
    <cellStyle name="40% - Accent2 14 3 2 3 2" xfId="15850" xr:uid="{00000000-0005-0000-0000-0000C62D0000}"/>
    <cellStyle name="40% - Accent2 14 3 2 3 3" xfId="19801" xr:uid="{00000000-0005-0000-0000-0000C72D0000}"/>
    <cellStyle name="40% - Accent2 14 3 2 4" xfId="15848" xr:uid="{00000000-0005-0000-0000-0000C82D0000}"/>
    <cellStyle name="40% - Accent2 14 3 2 5" xfId="19799" xr:uid="{00000000-0005-0000-0000-0000C92D0000}"/>
    <cellStyle name="40% - Accent2 14 3 3" xfId="4767" xr:uid="{00000000-0005-0000-0000-0000CA2D0000}"/>
    <cellStyle name="40% - Accent2 14 3 3 2" xfId="4768" xr:uid="{00000000-0005-0000-0000-0000CB2D0000}"/>
    <cellStyle name="40% - Accent2 14 3 3 2 2" xfId="15852" xr:uid="{00000000-0005-0000-0000-0000CC2D0000}"/>
    <cellStyle name="40% - Accent2 14 3 3 2 3" xfId="19803" xr:uid="{00000000-0005-0000-0000-0000CD2D0000}"/>
    <cellStyle name="40% - Accent2 14 3 3 3" xfId="4769" xr:uid="{00000000-0005-0000-0000-0000CE2D0000}"/>
    <cellStyle name="40% - Accent2 14 3 3 3 2" xfId="15853" xr:uid="{00000000-0005-0000-0000-0000CF2D0000}"/>
    <cellStyle name="40% - Accent2 14 3 3 3 3" xfId="19804" xr:uid="{00000000-0005-0000-0000-0000D02D0000}"/>
    <cellStyle name="40% - Accent2 14 3 3 4" xfId="15851" xr:uid="{00000000-0005-0000-0000-0000D12D0000}"/>
    <cellStyle name="40% - Accent2 14 3 3 5" xfId="19802" xr:uid="{00000000-0005-0000-0000-0000D22D0000}"/>
    <cellStyle name="40% - Accent2 14 3 4" xfId="4770" xr:uid="{00000000-0005-0000-0000-0000D32D0000}"/>
    <cellStyle name="40% - Accent2 14 3 4 2" xfId="15854" xr:uid="{00000000-0005-0000-0000-0000D42D0000}"/>
    <cellStyle name="40% - Accent2 14 3 4 3" xfId="19805" xr:uid="{00000000-0005-0000-0000-0000D52D0000}"/>
    <cellStyle name="40% - Accent2 14 3 5" xfId="4771" xr:uid="{00000000-0005-0000-0000-0000D62D0000}"/>
    <cellStyle name="40% - Accent2 14 3 5 2" xfId="15855" xr:uid="{00000000-0005-0000-0000-0000D72D0000}"/>
    <cellStyle name="40% - Accent2 14 3 5 3" xfId="19806" xr:uid="{00000000-0005-0000-0000-0000D82D0000}"/>
    <cellStyle name="40% - Accent2 14 3 6" xfId="15847" xr:uid="{00000000-0005-0000-0000-0000D92D0000}"/>
    <cellStyle name="40% - Accent2 14 3 7" xfId="19798" xr:uid="{00000000-0005-0000-0000-0000DA2D0000}"/>
    <cellStyle name="40% - Accent2 14 3_Volatility" xfId="4772" xr:uid="{00000000-0005-0000-0000-0000DB2D0000}"/>
    <cellStyle name="40% - Accent2 14 4" xfId="4773" xr:uid="{00000000-0005-0000-0000-0000DC2D0000}"/>
    <cellStyle name="40% - Accent2 14 4 2" xfId="4774" xr:uid="{00000000-0005-0000-0000-0000DD2D0000}"/>
    <cellStyle name="40% - Accent2 14 4 2 2" xfId="15857" xr:uid="{00000000-0005-0000-0000-0000DE2D0000}"/>
    <cellStyle name="40% - Accent2 14 4 2 3" xfId="19808" xr:uid="{00000000-0005-0000-0000-0000DF2D0000}"/>
    <cellStyle name="40% - Accent2 14 4 3" xfId="4775" xr:uid="{00000000-0005-0000-0000-0000E02D0000}"/>
    <cellStyle name="40% - Accent2 14 4 3 2" xfId="15858" xr:uid="{00000000-0005-0000-0000-0000E12D0000}"/>
    <cellStyle name="40% - Accent2 14 4 3 3" xfId="19809" xr:uid="{00000000-0005-0000-0000-0000E22D0000}"/>
    <cellStyle name="40% - Accent2 14 4 4" xfId="15856" xr:uid="{00000000-0005-0000-0000-0000E32D0000}"/>
    <cellStyle name="40% - Accent2 14 4 5" xfId="19807" xr:uid="{00000000-0005-0000-0000-0000E42D0000}"/>
    <cellStyle name="40% - Accent2 14 5" xfId="4776" xr:uid="{00000000-0005-0000-0000-0000E52D0000}"/>
    <cellStyle name="40% - Accent2 14 5 2" xfId="4777" xr:uid="{00000000-0005-0000-0000-0000E62D0000}"/>
    <cellStyle name="40% - Accent2 14 5 2 2" xfId="15860" xr:uid="{00000000-0005-0000-0000-0000E72D0000}"/>
    <cellStyle name="40% - Accent2 14 5 2 3" xfId="19811" xr:uid="{00000000-0005-0000-0000-0000E82D0000}"/>
    <cellStyle name="40% - Accent2 14 5 3" xfId="4778" xr:uid="{00000000-0005-0000-0000-0000E92D0000}"/>
    <cellStyle name="40% - Accent2 14 5 3 2" xfId="15861" xr:uid="{00000000-0005-0000-0000-0000EA2D0000}"/>
    <cellStyle name="40% - Accent2 14 5 3 3" xfId="19812" xr:uid="{00000000-0005-0000-0000-0000EB2D0000}"/>
    <cellStyle name="40% - Accent2 14 5 4" xfId="15859" xr:uid="{00000000-0005-0000-0000-0000EC2D0000}"/>
    <cellStyle name="40% - Accent2 14 5 5" xfId="19810" xr:uid="{00000000-0005-0000-0000-0000ED2D0000}"/>
    <cellStyle name="40% - Accent2 14 6" xfId="4779" xr:uid="{00000000-0005-0000-0000-0000EE2D0000}"/>
    <cellStyle name="40% - Accent2 14 6 2" xfId="4780" xr:uid="{00000000-0005-0000-0000-0000EF2D0000}"/>
    <cellStyle name="40% - Accent2 14 6 2 2" xfId="15863" xr:uid="{00000000-0005-0000-0000-0000F02D0000}"/>
    <cellStyle name="40% - Accent2 14 6 2 3" xfId="19814" xr:uid="{00000000-0005-0000-0000-0000F12D0000}"/>
    <cellStyle name="40% - Accent2 14 6 3" xfId="4781" xr:uid="{00000000-0005-0000-0000-0000F22D0000}"/>
    <cellStyle name="40% - Accent2 14 6 3 2" xfId="15864" xr:uid="{00000000-0005-0000-0000-0000F32D0000}"/>
    <cellStyle name="40% - Accent2 14 6 3 3" xfId="19815" xr:uid="{00000000-0005-0000-0000-0000F42D0000}"/>
    <cellStyle name="40% - Accent2 14 6 4" xfId="15862" xr:uid="{00000000-0005-0000-0000-0000F52D0000}"/>
    <cellStyle name="40% - Accent2 14 6 5" xfId="19813" xr:uid="{00000000-0005-0000-0000-0000F62D0000}"/>
    <cellStyle name="40% - Accent2 14 7" xfId="4782" xr:uid="{00000000-0005-0000-0000-0000F72D0000}"/>
    <cellStyle name="40% - Accent2 14 7 2" xfId="15865" xr:uid="{00000000-0005-0000-0000-0000F82D0000}"/>
    <cellStyle name="40% - Accent2 14 7 3" xfId="19816" xr:uid="{00000000-0005-0000-0000-0000F92D0000}"/>
    <cellStyle name="40% - Accent2 14 8" xfId="4783" xr:uid="{00000000-0005-0000-0000-0000FA2D0000}"/>
    <cellStyle name="40% - Accent2 14 8 2" xfId="15866" xr:uid="{00000000-0005-0000-0000-0000FB2D0000}"/>
    <cellStyle name="40% - Accent2 14 8 3" xfId="19817" xr:uid="{00000000-0005-0000-0000-0000FC2D0000}"/>
    <cellStyle name="40% - Accent2 14 9" xfId="15834" xr:uid="{00000000-0005-0000-0000-0000FD2D0000}"/>
    <cellStyle name="40% - Accent2 14_Volatility" xfId="4784" xr:uid="{00000000-0005-0000-0000-0000FE2D0000}"/>
    <cellStyle name="40% - Accent2 15" xfId="4785" xr:uid="{00000000-0005-0000-0000-0000FF2D0000}"/>
    <cellStyle name="40% - Accent2 15 10" xfId="19818" xr:uid="{00000000-0005-0000-0000-0000002E0000}"/>
    <cellStyle name="40% - Accent2 15 2" xfId="4786" xr:uid="{00000000-0005-0000-0000-0000012E0000}"/>
    <cellStyle name="40% - Accent2 15 2 2" xfId="4787" xr:uid="{00000000-0005-0000-0000-0000022E0000}"/>
    <cellStyle name="40% - Accent2 15 2 2 2" xfId="4788" xr:uid="{00000000-0005-0000-0000-0000032E0000}"/>
    <cellStyle name="40% - Accent2 15 2 2 2 2" xfId="15870" xr:uid="{00000000-0005-0000-0000-0000042E0000}"/>
    <cellStyle name="40% - Accent2 15 2 2 2 3" xfId="19821" xr:uid="{00000000-0005-0000-0000-0000052E0000}"/>
    <cellStyle name="40% - Accent2 15 2 2 3" xfId="4789" xr:uid="{00000000-0005-0000-0000-0000062E0000}"/>
    <cellStyle name="40% - Accent2 15 2 2 3 2" xfId="15871" xr:uid="{00000000-0005-0000-0000-0000072E0000}"/>
    <cellStyle name="40% - Accent2 15 2 2 3 3" xfId="19822" xr:uid="{00000000-0005-0000-0000-0000082E0000}"/>
    <cellStyle name="40% - Accent2 15 2 2 4" xfId="15869" xr:uid="{00000000-0005-0000-0000-0000092E0000}"/>
    <cellStyle name="40% - Accent2 15 2 2 5" xfId="19820" xr:uid="{00000000-0005-0000-0000-00000A2E0000}"/>
    <cellStyle name="40% - Accent2 15 2 3" xfId="4790" xr:uid="{00000000-0005-0000-0000-00000B2E0000}"/>
    <cellStyle name="40% - Accent2 15 2 3 2" xfId="4791" xr:uid="{00000000-0005-0000-0000-00000C2E0000}"/>
    <cellStyle name="40% - Accent2 15 2 3 2 2" xfId="15873" xr:uid="{00000000-0005-0000-0000-00000D2E0000}"/>
    <cellStyle name="40% - Accent2 15 2 3 2 3" xfId="19824" xr:uid="{00000000-0005-0000-0000-00000E2E0000}"/>
    <cellStyle name="40% - Accent2 15 2 3 3" xfId="4792" xr:uid="{00000000-0005-0000-0000-00000F2E0000}"/>
    <cellStyle name="40% - Accent2 15 2 3 3 2" xfId="15874" xr:uid="{00000000-0005-0000-0000-0000102E0000}"/>
    <cellStyle name="40% - Accent2 15 2 3 3 3" xfId="19825" xr:uid="{00000000-0005-0000-0000-0000112E0000}"/>
    <cellStyle name="40% - Accent2 15 2 3 4" xfId="15872" xr:uid="{00000000-0005-0000-0000-0000122E0000}"/>
    <cellStyle name="40% - Accent2 15 2 3 5" xfId="19823" xr:uid="{00000000-0005-0000-0000-0000132E0000}"/>
    <cellStyle name="40% - Accent2 15 2 4" xfId="4793" xr:uid="{00000000-0005-0000-0000-0000142E0000}"/>
    <cellStyle name="40% - Accent2 15 2 4 2" xfId="4794" xr:uid="{00000000-0005-0000-0000-0000152E0000}"/>
    <cellStyle name="40% - Accent2 15 2 4 2 2" xfId="15876" xr:uid="{00000000-0005-0000-0000-0000162E0000}"/>
    <cellStyle name="40% - Accent2 15 2 4 2 3" xfId="19827" xr:uid="{00000000-0005-0000-0000-0000172E0000}"/>
    <cellStyle name="40% - Accent2 15 2 4 3" xfId="4795" xr:uid="{00000000-0005-0000-0000-0000182E0000}"/>
    <cellStyle name="40% - Accent2 15 2 4 3 2" xfId="15877" xr:uid="{00000000-0005-0000-0000-0000192E0000}"/>
    <cellStyle name="40% - Accent2 15 2 4 3 3" xfId="19828" xr:uid="{00000000-0005-0000-0000-00001A2E0000}"/>
    <cellStyle name="40% - Accent2 15 2 4 4" xfId="15875" xr:uid="{00000000-0005-0000-0000-00001B2E0000}"/>
    <cellStyle name="40% - Accent2 15 2 4 5" xfId="19826" xr:uid="{00000000-0005-0000-0000-00001C2E0000}"/>
    <cellStyle name="40% - Accent2 15 2 5" xfId="4796" xr:uid="{00000000-0005-0000-0000-00001D2E0000}"/>
    <cellStyle name="40% - Accent2 15 2 5 2" xfId="15878" xr:uid="{00000000-0005-0000-0000-00001E2E0000}"/>
    <cellStyle name="40% - Accent2 15 2 5 3" xfId="19829" xr:uid="{00000000-0005-0000-0000-00001F2E0000}"/>
    <cellStyle name="40% - Accent2 15 2 6" xfId="4797" xr:uid="{00000000-0005-0000-0000-0000202E0000}"/>
    <cellStyle name="40% - Accent2 15 2 6 2" xfId="15879" xr:uid="{00000000-0005-0000-0000-0000212E0000}"/>
    <cellStyle name="40% - Accent2 15 2 6 3" xfId="19830" xr:uid="{00000000-0005-0000-0000-0000222E0000}"/>
    <cellStyle name="40% - Accent2 15 2 7" xfId="15868" xr:uid="{00000000-0005-0000-0000-0000232E0000}"/>
    <cellStyle name="40% - Accent2 15 2 8" xfId="19819" xr:uid="{00000000-0005-0000-0000-0000242E0000}"/>
    <cellStyle name="40% - Accent2 15 2_Volatility" xfId="4798" xr:uid="{00000000-0005-0000-0000-0000252E0000}"/>
    <cellStyle name="40% - Accent2 15 3" xfId="4799" xr:uid="{00000000-0005-0000-0000-0000262E0000}"/>
    <cellStyle name="40% - Accent2 15 3 2" xfId="4800" xr:uid="{00000000-0005-0000-0000-0000272E0000}"/>
    <cellStyle name="40% - Accent2 15 3 2 2" xfId="4801" xr:uid="{00000000-0005-0000-0000-0000282E0000}"/>
    <cellStyle name="40% - Accent2 15 3 2 2 2" xfId="15882" xr:uid="{00000000-0005-0000-0000-0000292E0000}"/>
    <cellStyle name="40% - Accent2 15 3 2 2 3" xfId="19833" xr:uid="{00000000-0005-0000-0000-00002A2E0000}"/>
    <cellStyle name="40% - Accent2 15 3 2 3" xfId="4802" xr:uid="{00000000-0005-0000-0000-00002B2E0000}"/>
    <cellStyle name="40% - Accent2 15 3 2 3 2" xfId="15883" xr:uid="{00000000-0005-0000-0000-00002C2E0000}"/>
    <cellStyle name="40% - Accent2 15 3 2 3 3" xfId="19834" xr:uid="{00000000-0005-0000-0000-00002D2E0000}"/>
    <cellStyle name="40% - Accent2 15 3 2 4" xfId="15881" xr:uid="{00000000-0005-0000-0000-00002E2E0000}"/>
    <cellStyle name="40% - Accent2 15 3 2 5" xfId="19832" xr:uid="{00000000-0005-0000-0000-00002F2E0000}"/>
    <cellStyle name="40% - Accent2 15 3 3" xfId="4803" xr:uid="{00000000-0005-0000-0000-0000302E0000}"/>
    <cellStyle name="40% - Accent2 15 3 3 2" xfId="4804" xr:uid="{00000000-0005-0000-0000-0000312E0000}"/>
    <cellStyle name="40% - Accent2 15 3 3 2 2" xfId="15885" xr:uid="{00000000-0005-0000-0000-0000322E0000}"/>
    <cellStyle name="40% - Accent2 15 3 3 2 3" xfId="19836" xr:uid="{00000000-0005-0000-0000-0000332E0000}"/>
    <cellStyle name="40% - Accent2 15 3 3 3" xfId="4805" xr:uid="{00000000-0005-0000-0000-0000342E0000}"/>
    <cellStyle name="40% - Accent2 15 3 3 3 2" xfId="15886" xr:uid="{00000000-0005-0000-0000-0000352E0000}"/>
    <cellStyle name="40% - Accent2 15 3 3 3 3" xfId="19837" xr:uid="{00000000-0005-0000-0000-0000362E0000}"/>
    <cellStyle name="40% - Accent2 15 3 3 4" xfId="15884" xr:uid="{00000000-0005-0000-0000-0000372E0000}"/>
    <cellStyle name="40% - Accent2 15 3 3 5" xfId="19835" xr:uid="{00000000-0005-0000-0000-0000382E0000}"/>
    <cellStyle name="40% - Accent2 15 3 4" xfId="4806" xr:uid="{00000000-0005-0000-0000-0000392E0000}"/>
    <cellStyle name="40% - Accent2 15 3 4 2" xfId="15887" xr:uid="{00000000-0005-0000-0000-00003A2E0000}"/>
    <cellStyle name="40% - Accent2 15 3 4 3" xfId="19838" xr:uid="{00000000-0005-0000-0000-00003B2E0000}"/>
    <cellStyle name="40% - Accent2 15 3 5" xfId="4807" xr:uid="{00000000-0005-0000-0000-00003C2E0000}"/>
    <cellStyle name="40% - Accent2 15 3 5 2" xfId="15888" xr:uid="{00000000-0005-0000-0000-00003D2E0000}"/>
    <cellStyle name="40% - Accent2 15 3 5 3" xfId="19839" xr:uid="{00000000-0005-0000-0000-00003E2E0000}"/>
    <cellStyle name="40% - Accent2 15 3 6" xfId="15880" xr:uid="{00000000-0005-0000-0000-00003F2E0000}"/>
    <cellStyle name="40% - Accent2 15 3 7" xfId="19831" xr:uid="{00000000-0005-0000-0000-0000402E0000}"/>
    <cellStyle name="40% - Accent2 15 3_Volatility" xfId="4808" xr:uid="{00000000-0005-0000-0000-0000412E0000}"/>
    <cellStyle name="40% - Accent2 15 4" xfId="4809" xr:uid="{00000000-0005-0000-0000-0000422E0000}"/>
    <cellStyle name="40% - Accent2 15 4 2" xfId="4810" xr:uid="{00000000-0005-0000-0000-0000432E0000}"/>
    <cellStyle name="40% - Accent2 15 4 2 2" xfId="15890" xr:uid="{00000000-0005-0000-0000-0000442E0000}"/>
    <cellStyle name="40% - Accent2 15 4 2 3" xfId="19841" xr:uid="{00000000-0005-0000-0000-0000452E0000}"/>
    <cellStyle name="40% - Accent2 15 4 3" xfId="4811" xr:uid="{00000000-0005-0000-0000-0000462E0000}"/>
    <cellStyle name="40% - Accent2 15 4 3 2" xfId="15891" xr:uid="{00000000-0005-0000-0000-0000472E0000}"/>
    <cellStyle name="40% - Accent2 15 4 3 3" xfId="19842" xr:uid="{00000000-0005-0000-0000-0000482E0000}"/>
    <cellStyle name="40% - Accent2 15 4 4" xfId="15889" xr:uid="{00000000-0005-0000-0000-0000492E0000}"/>
    <cellStyle name="40% - Accent2 15 4 5" xfId="19840" xr:uid="{00000000-0005-0000-0000-00004A2E0000}"/>
    <cellStyle name="40% - Accent2 15 5" xfId="4812" xr:uid="{00000000-0005-0000-0000-00004B2E0000}"/>
    <cellStyle name="40% - Accent2 15 5 2" xfId="4813" xr:uid="{00000000-0005-0000-0000-00004C2E0000}"/>
    <cellStyle name="40% - Accent2 15 5 2 2" xfId="15893" xr:uid="{00000000-0005-0000-0000-00004D2E0000}"/>
    <cellStyle name="40% - Accent2 15 5 2 3" xfId="19844" xr:uid="{00000000-0005-0000-0000-00004E2E0000}"/>
    <cellStyle name="40% - Accent2 15 5 3" xfId="4814" xr:uid="{00000000-0005-0000-0000-00004F2E0000}"/>
    <cellStyle name="40% - Accent2 15 5 3 2" xfId="15894" xr:uid="{00000000-0005-0000-0000-0000502E0000}"/>
    <cellStyle name="40% - Accent2 15 5 3 3" xfId="19845" xr:uid="{00000000-0005-0000-0000-0000512E0000}"/>
    <cellStyle name="40% - Accent2 15 5 4" xfId="15892" xr:uid="{00000000-0005-0000-0000-0000522E0000}"/>
    <cellStyle name="40% - Accent2 15 5 5" xfId="19843" xr:uid="{00000000-0005-0000-0000-0000532E0000}"/>
    <cellStyle name="40% - Accent2 15 6" xfId="4815" xr:uid="{00000000-0005-0000-0000-0000542E0000}"/>
    <cellStyle name="40% - Accent2 15 6 2" xfId="4816" xr:uid="{00000000-0005-0000-0000-0000552E0000}"/>
    <cellStyle name="40% - Accent2 15 6 2 2" xfId="15896" xr:uid="{00000000-0005-0000-0000-0000562E0000}"/>
    <cellStyle name="40% - Accent2 15 6 2 3" xfId="19847" xr:uid="{00000000-0005-0000-0000-0000572E0000}"/>
    <cellStyle name="40% - Accent2 15 6 3" xfId="4817" xr:uid="{00000000-0005-0000-0000-0000582E0000}"/>
    <cellStyle name="40% - Accent2 15 6 3 2" xfId="15897" xr:uid="{00000000-0005-0000-0000-0000592E0000}"/>
    <cellStyle name="40% - Accent2 15 6 3 3" xfId="19848" xr:uid="{00000000-0005-0000-0000-00005A2E0000}"/>
    <cellStyle name="40% - Accent2 15 6 4" xfId="15895" xr:uid="{00000000-0005-0000-0000-00005B2E0000}"/>
    <cellStyle name="40% - Accent2 15 6 5" xfId="19846" xr:uid="{00000000-0005-0000-0000-00005C2E0000}"/>
    <cellStyle name="40% - Accent2 15 7" xfId="4818" xr:uid="{00000000-0005-0000-0000-00005D2E0000}"/>
    <cellStyle name="40% - Accent2 15 7 2" xfId="15898" xr:uid="{00000000-0005-0000-0000-00005E2E0000}"/>
    <cellStyle name="40% - Accent2 15 7 3" xfId="19849" xr:uid="{00000000-0005-0000-0000-00005F2E0000}"/>
    <cellStyle name="40% - Accent2 15 8" xfId="4819" xr:uid="{00000000-0005-0000-0000-0000602E0000}"/>
    <cellStyle name="40% - Accent2 15 8 2" xfId="15899" xr:uid="{00000000-0005-0000-0000-0000612E0000}"/>
    <cellStyle name="40% - Accent2 15 8 3" xfId="19850" xr:uid="{00000000-0005-0000-0000-0000622E0000}"/>
    <cellStyle name="40% - Accent2 15 9" xfId="15867" xr:uid="{00000000-0005-0000-0000-0000632E0000}"/>
    <cellStyle name="40% - Accent2 15_Volatility" xfId="4820" xr:uid="{00000000-0005-0000-0000-0000642E0000}"/>
    <cellStyle name="40% - Accent2 16" xfId="4821" xr:uid="{00000000-0005-0000-0000-0000652E0000}"/>
    <cellStyle name="40% - Accent2 16 2" xfId="15900" xr:uid="{00000000-0005-0000-0000-0000662E0000}"/>
    <cellStyle name="40% - Accent2 16 3" xfId="19851" xr:uid="{00000000-0005-0000-0000-0000672E0000}"/>
    <cellStyle name="40% - Accent2 17" xfId="4822" xr:uid="{00000000-0005-0000-0000-0000682E0000}"/>
    <cellStyle name="40% - Accent2 17 2" xfId="15901" xr:uid="{00000000-0005-0000-0000-0000692E0000}"/>
    <cellStyle name="40% - Accent2 17 3" xfId="19852" xr:uid="{00000000-0005-0000-0000-00006A2E0000}"/>
    <cellStyle name="40% - Accent2 18" xfId="4823" xr:uid="{00000000-0005-0000-0000-00006B2E0000}"/>
    <cellStyle name="40% - Accent2 18 2" xfId="15902" xr:uid="{00000000-0005-0000-0000-00006C2E0000}"/>
    <cellStyle name="40% - Accent2 18 3" xfId="19853" xr:uid="{00000000-0005-0000-0000-00006D2E0000}"/>
    <cellStyle name="40% - Accent2 19" xfId="4824" xr:uid="{00000000-0005-0000-0000-00006E2E0000}"/>
    <cellStyle name="40% - Accent2 19 2" xfId="15903" xr:uid="{00000000-0005-0000-0000-00006F2E0000}"/>
    <cellStyle name="40% - Accent2 19 3" xfId="19854" xr:uid="{00000000-0005-0000-0000-0000702E0000}"/>
    <cellStyle name="40% - Accent2 2" xfId="4825" xr:uid="{00000000-0005-0000-0000-0000712E0000}"/>
    <cellStyle name="40% - Accent2 2 10" xfId="19855" xr:uid="{00000000-0005-0000-0000-0000722E0000}"/>
    <cellStyle name="40% - Accent2 2 2" xfId="4826" xr:uid="{00000000-0005-0000-0000-0000732E0000}"/>
    <cellStyle name="40% - Accent2 2 2 2" xfId="4827" xr:uid="{00000000-0005-0000-0000-0000742E0000}"/>
    <cellStyle name="40% - Accent2 2 2 2 2" xfId="4828" xr:uid="{00000000-0005-0000-0000-0000752E0000}"/>
    <cellStyle name="40% - Accent2 2 2 2 2 2" xfId="15907" xr:uid="{00000000-0005-0000-0000-0000762E0000}"/>
    <cellStyle name="40% - Accent2 2 2 2 2 3" xfId="19858" xr:uid="{00000000-0005-0000-0000-0000772E0000}"/>
    <cellStyle name="40% - Accent2 2 2 2 3" xfId="4829" xr:uid="{00000000-0005-0000-0000-0000782E0000}"/>
    <cellStyle name="40% - Accent2 2 2 2 3 2" xfId="15908" xr:uid="{00000000-0005-0000-0000-0000792E0000}"/>
    <cellStyle name="40% - Accent2 2 2 2 3 3" xfId="19859" xr:uid="{00000000-0005-0000-0000-00007A2E0000}"/>
    <cellStyle name="40% - Accent2 2 2 2 4" xfId="15906" xr:uid="{00000000-0005-0000-0000-00007B2E0000}"/>
    <cellStyle name="40% - Accent2 2 2 2 5" xfId="19857" xr:uid="{00000000-0005-0000-0000-00007C2E0000}"/>
    <cellStyle name="40% - Accent2 2 2 3" xfId="4830" xr:uid="{00000000-0005-0000-0000-00007D2E0000}"/>
    <cellStyle name="40% - Accent2 2 2 3 2" xfId="4831" xr:uid="{00000000-0005-0000-0000-00007E2E0000}"/>
    <cellStyle name="40% - Accent2 2 2 3 2 2" xfId="15910" xr:uid="{00000000-0005-0000-0000-00007F2E0000}"/>
    <cellStyle name="40% - Accent2 2 2 3 2 3" xfId="19861" xr:uid="{00000000-0005-0000-0000-0000802E0000}"/>
    <cellStyle name="40% - Accent2 2 2 3 3" xfId="4832" xr:uid="{00000000-0005-0000-0000-0000812E0000}"/>
    <cellStyle name="40% - Accent2 2 2 3 3 2" xfId="15911" xr:uid="{00000000-0005-0000-0000-0000822E0000}"/>
    <cellStyle name="40% - Accent2 2 2 3 3 3" xfId="19862" xr:uid="{00000000-0005-0000-0000-0000832E0000}"/>
    <cellStyle name="40% - Accent2 2 2 3 4" xfId="15909" xr:uid="{00000000-0005-0000-0000-0000842E0000}"/>
    <cellStyle name="40% - Accent2 2 2 3 5" xfId="19860" xr:uid="{00000000-0005-0000-0000-0000852E0000}"/>
    <cellStyle name="40% - Accent2 2 2 4" xfId="4833" xr:uid="{00000000-0005-0000-0000-0000862E0000}"/>
    <cellStyle name="40% - Accent2 2 2 4 2" xfId="4834" xr:uid="{00000000-0005-0000-0000-0000872E0000}"/>
    <cellStyle name="40% - Accent2 2 2 4 2 2" xfId="15913" xr:uid="{00000000-0005-0000-0000-0000882E0000}"/>
    <cellStyle name="40% - Accent2 2 2 4 2 3" xfId="19864" xr:uid="{00000000-0005-0000-0000-0000892E0000}"/>
    <cellStyle name="40% - Accent2 2 2 4 3" xfId="4835" xr:uid="{00000000-0005-0000-0000-00008A2E0000}"/>
    <cellStyle name="40% - Accent2 2 2 4 3 2" xfId="15914" xr:uid="{00000000-0005-0000-0000-00008B2E0000}"/>
    <cellStyle name="40% - Accent2 2 2 4 3 3" xfId="19865" xr:uid="{00000000-0005-0000-0000-00008C2E0000}"/>
    <cellStyle name="40% - Accent2 2 2 4 4" xfId="15912" xr:uid="{00000000-0005-0000-0000-00008D2E0000}"/>
    <cellStyle name="40% - Accent2 2 2 4 5" xfId="19863" xr:uid="{00000000-0005-0000-0000-00008E2E0000}"/>
    <cellStyle name="40% - Accent2 2 2 5" xfId="4836" xr:uid="{00000000-0005-0000-0000-00008F2E0000}"/>
    <cellStyle name="40% - Accent2 2 2 5 2" xfId="15915" xr:uid="{00000000-0005-0000-0000-0000902E0000}"/>
    <cellStyle name="40% - Accent2 2 2 5 3" xfId="19866" xr:uid="{00000000-0005-0000-0000-0000912E0000}"/>
    <cellStyle name="40% - Accent2 2 2 6" xfId="4837" xr:uid="{00000000-0005-0000-0000-0000922E0000}"/>
    <cellStyle name="40% - Accent2 2 2 6 2" xfId="15916" xr:uid="{00000000-0005-0000-0000-0000932E0000}"/>
    <cellStyle name="40% - Accent2 2 2 6 3" xfId="19867" xr:uid="{00000000-0005-0000-0000-0000942E0000}"/>
    <cellStyle name="40% - Accent2 2 2 7" xfId="15905" xr:uid="{00000000-0005-0000-0000-0000952E0000}"/>
    <cellStyle name="40% - Accent2 2 2 8" xfId="19856" xr:uid="{00000000-0005-0000-0000-0000962E0000}"/>
    <cellStyle name="40% - Accent2 2 2_Volatility" xfId="4838" xr:uid="{00000000-0005-0000-0000-0000972E0000}"/>
    <cellStyle name="40% - Accent2 2 3" xfId="4839" xr:uid="{00000000-0005-0000-0000-0000982E0000}"/>
    <cellStyle name="40% - Accent2 2 3 2" xfId="4840" xr:uid="{00000000-0005-0000-0000-0000992E0000}"/>
    <cellStyle name="40% - Accent2 2 3 2 2" xfId="4841" xr:uid="{00000000-0005-0000-0000-00009A2E0000}"/>
    <cellStyle name="40% - Accent2 2 3 2 2 2" xfId="15919" xr:uid="{00000000-0005-0000-0000-00009B2E0000}"/>
    <cellStyle name="40% - Accent2 2 3 2 2 3" xfId="19870" xr:uid="{00000000-0005-0000-0000-00009C2E0000}"/>
    <cellStyle name="40% - Accent2 2 3 2 3" xfId="4842" xr:uid="{00000000-0005-0000-0000-00009D2E0000}"/>
    <cellStyle name="40% - Accent2 2 3 2 3 2" xfId="15920" xr:uid="{00000000-0005-0000-0000-00009E2E0000}"/>
    <cellStyle name="40% - Accent2 2 3 2 3 3" xfId="19871" xr:uid="{00000000-0005-0000-0000-00009F2E0000}"/>
    <cellStyle name="40% - Accent2 2 3 2 4" xfId="15918" xr:uid="{00000000-0005-0000-0000-0000A02E0000}"/>
    <cellStyle name="40% - Accent2 2 3 2 5" xfId="19869" xr:uid="{00000000-0005-0000-0000-0000A12E0000}"/>
    <cellStyle name="40% - Accent2 2 3 3" xfId="4843" xr:uid="{00000000-0005-0000-0000-0000A22E0000}"/>
    <cellStyle name="40% - Accent2 2 3 3 2" xfId="4844" xr:uid="{00000000-0005-0000-0000-0000A32E0000}"/>
    <cellStyle name="40% - Accent2 2 3 3 2 2" xfId="15922" xr:uid="{00000000-0005-0000-0000-0000A42E0000}"/>
    <cellStyle name="40% - Accent2 2 3 3 2 3" xfId="19873" xr:uid="{00000000-0005-0000-0000-0000A52E0000}"/>
    <cellStyle name="40% - Accent2 2 3 3 3" xfId="4845" xr:uid="{00000000-0005-0000-0000-0000A62E0000}"/>
    <cellStyle name="40% - Accent2 2 3 3 3 2" xfId="15923" xr:uid="{00000000-0005-0000-0000-0000A72E0000}"/>
    <cellStyle name="40% - Accent2 2 3 3 3 3" xfId="19874" xr:uid="{00000000-0005-0000-0000-0000A82E0000}"/>
    <cellStyle name="40% - Accent2 2 3 3 4" xfId="15921" xr:uid="{00000000-0005-0000-0000-0000A92E0000}"/>
    <cellStyle name="40% - Accent2 2 3 3 5" xfId="19872" xr:uid="{00000000-0005-0000-0000-0000AA2E0000}"/>
    <cellStyle name="40% - Accent2 2 3 4" xfId="4846" xr:uid="{00000000-0005-0000-0000-0000AB2E0000}"/>
    <cellStyle name="40% - Accent2 2 3 4 2" xfId="15924" xr:uid="{00000000-0005-0000-0000-0000AC2E0000}"/>
    <cellStyle name="40% - Accent2 2 3 4 3" xfId="19875" xr:uid="{00000000-0005-0000-0000-0000AD2E0000}"/>
    <cellStyle name="40% - Accent2 2 3 5" xfId="4847" xr:uid="{00000000-0005-0000-0000-0000AE2E0000}"/>
    <cellStyle name="40% - Accent2 2 3 5 2" xfId="15925" xr:uid="{00000000-0005-0000-0000-0000AF2E0000}"/>
    <cellStyle name="40% - Accent2 2 3 5 3" xfId="19876" xr:uid="{00000000-0005-0000-0000-0000B02E0000}"/>
    <cellStyle name="40% - Accent2 2 3 6" xfId="15917" xr:uid="{00000000-0005-0000-0000-0000B12E0000}"/>
    <cellStyle name="40% - Accent2 2 3 7" xfId="19868" xr:uid="{00000000-0005-0000-0000-0000B22E0000}"/>
    <cellStyle name="40% - Accent2 2 3_Volatility" xfId="4848" xr:uid="{00000000-0005-0000-0000-0000B32E0000}"/>
    <cellStyle name="40% - Accent2 2 4" xfId="4849" xr:uid="{00000000-0005-0000-0000-0000B42E0000}"/>
    <cellStyle name="40% - Accent2 2 4 2" xfId="4850" xr:uid="{00000000-0005-0000-0000-0000B52E0000}"/>
    <cellStyle name="40% - Accent2 2 4 2 2" xfId="15927" xr:uid="{00000000-0005-0000-0000-0000B62E0000}"/>
    <cellStyle name="40% - Accent2 2 4 2 3" xfId="19878" xr:uid="{00000000-0005-0000-0000-0000B72E0000}"/>
    <cellStyle name="40% - Accent2 2 4 3" xfId="4851" xr:uid="{00000000-0005-0000-0000-0000B82E0000}"/>
    <cellStyle name="40% - Accent2 2 4 3 2" xfId="15928" xr:uid="{00000000-0005-0000-0000-0000B92E0000}"/>
    <cellStyle name="40% - Accent2 2 4 3 3" xfId="19879" xr:uid="{00000000-0005-0000-0000-0000BA2E0000}"/>
    <cellStyle name="40% - Accent2 2 4 4" xfId="15926" xr:uid="{00000000-0005-0000-0000-0000BB2E0000}"/>
    <cellStyle name="40% - Accent2 2 4 5" xfId="19877" xr:uid="{00000000-0005-0000-0000-0000BC2E0000}"/>
    <cellStyle name="40% - Accent2 2 5" xfId="4852" xr:uid="{00000000-0005-0000-0000-0000BD2E0000}"/>
    <cellStyle name="40% - Accent2 2 5 2" xfId="4853" xr:uid="{00000000-0005-0000-0000-0000BE2E0000}"/>
    <cellStyle name="40% - Accent2 2 5 2 2" xfId="15930" xr:uid="{00000000-0005-0000-0000-0000BF2E0000}"/>
    <cellStyle name="40% - Accent2 2 5 2 3" xfId="19881" xr:uid="{00000000-0005-0000-0000-0000C02E0000}"/>
    <cellStyle name="40% - Accent2 2 5 3" xfId="4854" xr:uid="{00000000-0005-0000-0000-0000C12E0000}"/>
    <cellStyle name="40% - Accent2 2 5 3 2" xfId="15931" xr:uid="{00000000-0005-0000-0000-0000C22E0000}"/>
    <cellStyle name="40% - Accent2 2 5 3 3" xfId="19882" xr:uid="{00000000-0005-0000-0000-0000C32E0000}"/>
    <cellStyle name="40% - Accent2 2 5 4" xfId="15929" xr:uid="{00000000-0005-0000-0000-0000C42E0000}"/>
    <cellStyle name="40% - Accent2 2 5 5" xfId="19880" xr:uid="{00000000-0005-0000-0000-0000C52E0000}"/>
    <cellStyle name="40% - Accent2 2 6" xfId="4855" xr:uid="{00000000-0005-0000-0000-0000C62E0000}"/>
    <cellStyle name="40% - Accent2 2 6 2" xfId="4856" xr:uid="{00000000-0005-0000-0000-0000C72E0000}"/>
    <cellStyle name="40% - Accent2 2 6 3" xfId="4857" xr:uid="{00000000-0005-0000-0000-0000C82E0000}"/>
    <cellStyle name="40% - Accent2 2 6 4" xfId="15932" xr:uid="{00000000-0005-0000-0000-0000C92E0000}"/>
    <cellStyle name="40% - Accent2 2 6 5" xfId="19883" xr:uid="{00000000-0005-0000-0000-0000CA2E0000}"/>
    <cellStyle name="40% - Accent2 2 7" xfId="4858" xr:uid="{00000000-0005-0000-0000-0000CB2E0000}"/>
    <cellStyle name="40% - Accent2 2 8" xfId="4859" xr:uid="{00000000-0005-0000-0000-0000CC2E0000}"/>
    <cellStyle name="40% - Accent2 2 9" xfId="15904" xr:uid="{00000000-0005-0000-0000-0000CD2E0000}"/>
    <cellStyle name="40% - Accent2 2_Volatility" xfId="4860" xr:uid="{00000000-0005-0000-0000-0000CE2E0000}"/>
    <cellStyle name="40% - Accent2 3" xfId="4861" xr:uid="{00000000-0005-0000-0000-0000CF2E0000}"/>
    <cellStyle name="40% - Accent2 3 2" xfId="4862" xr:uid="{00000000-0005-0000-0000-0000D02E0000}"/>
    <cellStyle name="40% - Accent2 3 2 2" xfId="4863" xr:uid="{00000000-0005-0000-0000-0000D12E0000}"/>
    <cellStyle name="40% - Accent2 3 2 2 2" xfId="4864" xr:uid="{00000000-0005-0000-0000-0000D22E0000}"/>
    <cellStyle name="40% - Accent2 3 2 2 3" xfId="4865" xr:uid="{00000000-0005-0000-0000-0000D32E0000}"/>
    <cellStyle name="40% - Accent2 3 2 3" xfId="4866" xr:uid="{00000000-0005-0000-0000-0000D42E0000}"/>
    <cellStyle name="40% - Accent2 3 2 3 2" xfId="4867" xr:uid="{00000000-0005-0000-0000-0000D52E0000}"/>
    <cellStyle name="40% - Accent2 3 2 3 3" xfId="4868" xr:uid="{00000000-0005-0000-0000-0000D62E0000}"/>
    <cellStyle name="40% - Accent2 3 2 4" xfId="4869" xr:uid="{00000000-0005-0000-0000-0000D72E0000}"/>
    <cellStyle name="40% - Accent2 3 2 4 2" xfId="4870" xr:uid="{00000000-0005-0000-0000-0000D82E0000}"/>
    <cellStyle name="40% - Accent2 3 2 4 3" xfId="4871" xr:uid="{00000000-0005-0000-0000-0000D92E0000}"/>
    <cellStyle name="40% - Accent2 3 2 5" xfId="4872" xr:uid="{00000000-0005-0000-0000-0000DA2E0000}"/>
    <cellStyle name="40% - Accent2 3 2 6" xfId="4873" xr:uid="{00000000-0005-0000-0000-0000DB2E0000}"/>
    <cellStyle name="40% - Accent2 3 2_Volatility" xfId="4874" xr:uid="{00000000-0005-0000-0000-0000DC2E0000}"/>
    <cellStyle name="40% - Accent2 3 3" xfId="4875" xr:uid="{00000000-0005-0000-0000-0000DD2E0000}"/>
    <cellStyle name="40% - Accent2 3 3 2" xfId="4876" xr:uid="{00000000-0005-0000-0000-0000DE2E0000}"/>
    <cellStyle name="40% - Accent2 3 3 2 2" xfId="4877" xr:uid="{00000000-0005-0000-0000-0000DF2E0000}"/>
    <cellStyle name="40% - Accent2 3 3 2 3" xfId="4878" xr:uid="{00000000-0005-0000-0000-0000E02E0000}"/>
    <cellStyle name="40% - Accent2 3 3 3" xfId="4879" xr:uid="{00000000-0005-0000-0000-0000E12E0000}"/>
    <cellStyle name="40% - Accent2 3 3 3 2" xfId="4880" xr:uid="{00000000-0005-0000-0000-0000E22E0000}"/>
    <cellStyle name="40% - Accent2 3 3 3 3" xfId="4881" xr:uid="{00000000-0005-0000-0000-0000E32E0000}"/>
    <cellStyle name="40% - Accent2 3 3 4" xfId="4882" xr:uid="{00000000-0005-0000-0000-0000E42E0000}"/>
    <cellStyle name="40% - Accent2 3 3 5" xfId="4883" xr:uid="{00000000-0005-0000-0000-0000E52E0000}"/>
    <cellStyle name="40% - Accent2 3 3_Volatility" xfId="4884" xr:uid="{00000000-0005-0000-0000-0000E62E0000}"/>
    <cellStyle name="40% - Accent2 3 4" xfId="4885" xr:uid="{00000000-0005-0000-0000-0000E72E0000}"/>
    <cellStyle name="40% - Accent2 3 4 2" xfId="4886" xr:uid="{00000000-0005-0000-0000-0000E82E0000}"/>
    <cellStyle name="40% - Accent2 3 4 3" xfId="4887" xr:uid="{00000000-0005-0000-0000-0000E92E0000}"/>
    <cellStyle name="40% - Accent2 3 5" xfId="4888" xr:uid="{00000000-0005-0000-0000-0000EA2E0000}"/>
    <cellStyle name="40% - Accent2 3 5 2" xfId="4889" xr:uid="{00000000-0005-0000-0000-0000EB2E0000}"/>
    <cellStyle name="40% - Accent2 3 5 3" xfId="4890" xr:uid="{00000000-0005-0000-0000-0000EC2E0000}"/>
    <cellStyle name="40% - Accent2 3 6" xfId="4891" xr:uid="{00000000-0005-0000-0000-0000ED2E0000}"/>
    <cellStyle name="40% - Accent2 3 6 2" xfId="4892" xr:uid="{00000000-0005-0000-0000-0000EE2E0000}"/>
    <cellStyle name="40% - Accent2 3 6 3" xfId="4893" xr:uid="{00000000-0005-0000-0000-0000EF2E0000}"/>
    <cellStyle name="40% - Accent2 3 7" xfId="4894" xr:uid="{00000000-0005-0000-0000-0000F02E0000}"/>
    <cellStyle name="40% - Accent2 3 8" xfId="4895" xr:uid="{00000000-0005-0000-0000-0000F12E0000}"/>
    <cellStyle name="40% - Accent2 3_Volatility" xfId="4896" xr:uid="{00000000-0005-0000-0000-0000F22E0000}"/>
    <cellStyle name="40% - Accent2 4" xfId="4897" xr:uid="{00000000-0005-0000-0000-0000F32E0000}"/>
    <cellStyle name="40% - Accent2 4 2" xfId="4898" xr:uid="{00000000-0005-0000-0000-0000F42E0000}"/>
    <cellStyle name="40% - Accent2 4 2 2" xfId="4899" xr:uid="{00000000-0005-0000-0000-0000F52E0000}"/>
    <cellStyle name="40% - Accent2 4 2 2 2" xfId="4900" xr:uid="{00000000-0005-0000-0000-0000F62E0000}"/>
    <cellStyle name="40% - Accent2 4 2 2 3" xfId="4901" xr:uid="{00000000-0005-0000-0000-0000F72E0000}"/>
    <cellStyle name="40% - Accent2 4 2 3" xfId="4902" xr:uid="{00000000-0005-0000-0000-0000F82E0000}"/>
    <cellStyle name="40% - Accent2 4 2 3 2" xfId="4903" xr:uid="{00000000-0005-0000-0000-0000F92E0000}"/>
    <cellStyle name="40% - Accent2 4 2 3 3" xfId="4904" xr:uid="{00000000-0005-0000-0000-0000FA2E0000}"/>
    <cellStyle name="40% - Accent2 4 2 4" xfId="4905" xr:uid="{00000000-0005-0000-0000-0000FB2E0000}"/>
    <cellStyle name="40% - Accent2 4 2 4 2" xfId="4906" xr:uid="{00000000-0005-0000-0000-0000FC2E0000}"/>
    <cellStyle name="40% - Accent2 4 2 4 3" xfId="4907" xr:uid="{00000000-0005-0000-0000-0000FD2E0000}"/>
    <cellStyle name="40% - Accent2 4 2 5" xfId="4908" xr:uid="{00000000-0005-0000-0000-0000FE2E0000}"/>
    <cellStyle name="40% - Accent2 4 2 6" xfId="4909" xr:uid="{00000000-0005-0000-0000-0000FF2E0000}"/>
    <cellStyle name="40% - Accent2 4 2_Volatility" xfId="4910" xr:uid="{00000000-0005-0000-0000-0000002F0000}"/>
    <cellStyle name="40% - Accent2 4 3" xfId="4911" xr:uid="{00000000-0005-0000-0000-0000012F0000}"/>
    <cellStyle name="40% - Accent2 4 3 2" xfId="4912" xr:uid="{00000000-0005-0000-0000-0000022F0000}"/>
    <cellStyle name="40% - Accent2 4 3 2 2" xfId="4913" xr:uid="{00000000-0005-0000-0000-0000032F0000}"/>
    <cellStyle name="40% - Accent2 4 3 2 3" xfId="4914" xr:uid="{00000000-0005-0000-0000-0000042F0000}"/>
    <cellStyle name="40% - Accent2 4 3 3" xfId="4915" xr:uid="{00000000-0005-0000-0000-0000052F0000}"/>
    <cellStyle name="40% - Accent2 4 3 3 2" xfId="4916" xr:uid="{00000000-0005-0000-0000-0000062F0000}"/>
    <cellStyle name="40% - Accent2 4 3 3 3" xfId="4917" xr:uid="{00000000-0005-0000-0000-0000072F0000}"/>
    <cellStyle name="40% - Accent2 4 3 4" xfId="4918" xr:uid="{00000000-0005-0000-0000-0000082F0000}"/>
    <cellStyle name="40% - Accent2 4 3 5" xfId="4919" xr:uid="{00000000-0005-0000-0000-0000092F0000}"/>
    <cellStyle name="40% - Accent2 4 3_Volatility" xfId="4920" xr:uid="{00000000-0005-0000-0000-00000A2F0000}"/>
    <cellStyle name="40% - Accent2 4 4" xfId="4921" xr:uid="{00000000-0005-0000-0000-00000B2F0000}"/>
    <cellStyle name="40% - Accent2 4 4 2" xfId="4922" xr:uid="{00000000-0005-0000-0000-00000C2F0000}"/>
    <cellStyle name="40% - Accent2 4 4 3" xfId="4923" xr:uid="{00000000-0005-0000-0000-00000D2F0000}"/>
    <cellStyle name="40% - Accent2 4 5" xfId="4924" xr:uid="{00000000-0005-0000-0000-00000E2F0000}"/>
    <cellStyle name="40% - Accent2 4 5 2" xfId="4925" xr:uid="{00000000-0005-0000-0000-00000F2F0000}"/>
    <cellStyle name="40% - Accent2 4 5 3" xfId="4926" xr:uid="{00000000-0005-0000-0000-0000102F0000}"/>
    <cellStyle name="40% - Accent2 4 6" xfId="4927" xr:uid="{00000000-0005-0000-0000-0000112F0000}"/>
    <cellStyle name="40% - Accent2 4 6 2" xfId="4928" xr:uid="{00000000-0005-0000-0000-0000122F0000}"/>
    <cellStyle name="40% - Accent2 4 6 3" xfId="4929" xr:uid="{00000000-0005-0000-0000-0000132F0000}"/>
    <cellStyle name="40% - Accent2 4 7" xfId="4930" xr:uid="{00000000-0005-0000-0000-0000142F0000}"/>
    <cellStyle name="40% - Accent2 4 8" xfId="4931" xr:uid="{00000000-0005-0000-0000-0000152F0000}"/>
    <cellStyle name="40% - Accent2 4_Volatility" xfId="4932" xr:uid="{00000000-0005-0000-0000-0000162F0000}"/>
    <cellStyle name="40% - Accent2 5" xfId="4933" xr:uid="{00000000-0005-0000-0000-0000172F0000}"/>
    <cellStyle name="40% - Accent2 5 2" xfId="4934" xr:uid="{00000000-0005-0000-0000-0000182F0000}"/>
    <cellStyle name="40% - Accent2 5 2 2" xfId="4935" xr:uid="{00000000-0005-0000-0000-0000192F0000}"/>
    <cellStyle name="40% - Accent2 5 2 2 2" xfId="4936" xr:uid="{00000000-0005-0000-0000-00001A2F0000}"/>
    <cellStyle name="40% - Accent2 5 2 2 3" xfId="4937" xr:uid="{00000000-0005-0000-0000-00001B2F0000}"/>
    <cellStyle name="40% - Accent2 5 2 3" xfId="4938" xr:uid="{00000000-0005-0000-0000-00001C2F0000}"/>
    <cellStyle name="40% - Accent2 5 2 3 2" xfId="4939" xr:uid="{00000000-0005-0000-0000-00001D2F0000}"/>
    <cellStyle name="40% - Accent2 5 2 3 3" xfId="4940" xr:uid="{00000000-0005-0000-0000-00001E2F0000}"/>
    <cellStyle name="40% - Accent2 5 2 4" xfId="4941" xr:uid="{00000000-0005-0000-0000-00001F2F0000}"/>
    <cellStyle name="40% - Accent2 5 2 4 2" xfId="4942" xr:uid="{00000000-0005-0000-0000-0000202F0000}"/>
    <cellStyle name="40% - Accent2 5 2 4 3" xfId="4943" xr:uid="{00000000-0005-0000-0000-0000212F0000}"/>
    <cellStyle name="40% - Accent2 5 2 5" xfId="4944" xr:uid="{00000000-0005-0000-0000-0000222F0000}"/>
    <cellStyle name="40% - Accent2 5 2 6" xfId="4945" xr:uid="{00000000-0005-0000-0000-0000232F0000}"/>
    <cellStyle name="40% - Accent2 5 2_Volatility" xfId="4946" xr:uid="{00000000-0005-0000-0000-0000242F0000}"/>
    <cellStyle name="40% - Accent2 5 3" xfId="4947" xr:uid="{00000000-0005-0000-0000-0000252F0000}"/>
    <cellStyle name="40% - Accent2 5 3 2" xfId="4948" xr:uid="{00000000-0005-0000-0000-0000262F0000}"/>
    <cellStyle name="40% - Accent2 5 3 2 2" xfId="4949" xr:uid="{00000000-0005-0000-0000-0000272F0000}"/>
    <cellStyle name="40% - Accent2 5 3 2 3" xfId="4950" xr:uid="{00000000-0005-0000-0000-0000282F0000}"/>
    <cellStyle name="40% - Accent2 5 3 3" xfId="4951" xr:uid="{00000000-0005-0000-0000-0000292F0000}"/>
    <cellStyle name="40% - Accent2 5 3 3 2" xfId="4952" xr:uid="{00000000-0005-0000-0000-00002A2F0000}"/>
    <cellStyle name="40% - Accent2 5 3 3 3" xfId="4953" xr:uid="{00000000-0005-0000-0000-00002B2F0000}"/>
    <cellStyle name="40% - Accent2 5 3 4" xfId="4954" xr:uid="{00000000-0005-0000-0000-00002C2F0000}"/>
    <cellStyle name="40% - Accent2 5 3 5" xfId="4955" xr:uid="{00000000-0005-0000-0000-00002D2F0000}"/>
    <cellStyle name="40% - Accent2 5 3_Volatility" xfId="4956" xr:uid="{00000000-0005-0000-0000-00002E2F0000}"/>
    <cellStyle name="40% - Accent2 5 4" xfId="4957" xr:uid="{00000000-0005-0000-0000-00002F2F0000}"/>
    <cellStyle name="40% - Accent2 5 4 2" xfId="4958" xr:uid="{00000000-0005-0000-0000-0000302F0000}"/>
    <cellStyle name="40% - Accent2 5 4 3" xfId="4959" xr:uid="{00000000-0005-0000-0000-0000312F0000}"/>
    <cellStyle name="40% - Accent2 5 5" xfId="4960" xr:uid="{00000000-0005-0000-0000-0000322F0000}"/>
    <cellStyle name="40% - Accent2 5 5 2" xfId="4961" xr:uid="{00000000-0005-0000-0000-0000332F0000}"/>
    <cellStyle name="40% - Accent2 5 5 3" xfId="4962" xr:uid="{00000000-0005-0000-0000-0000342F0000}"/>
    <cellStyle name="40% - Accent2 5 6" xfId="4963" xr:uid="{00000000-0005-0000-0000-0000352F0000}"/>
    <cellStyle name="40% - Accent2 5 6 2" xfId="4964" xr:uid="{00000000-0005-0000-0000-0000362F0000}"/>
    <cellStyle name="40% - Accent2 5 6 3" xfId="4965" xr:uid="{00000000-0005-0000-0000-0000372F0000}"/>
    <cellStyle name="40% - Accent2 5 7" xfId="4966" xr:uid="{00000000-0005-0000-0000-0000382F0000}"/>
    <cellStyle name="40% - Accent2 5 8" xfId="4967" xr:uid="{00000000-0005-0000-0000-0000392F0000}"/>
    <cellStyle name="40% - Accent2 5_Volatility" xfId="4968" xr:uid="{00000000-0005-0000-0000-00003A2F0000}"/>
    <cellStyle name="40% - Accent2 6" xfId="4969" xr:uid="{00000000-0005-0000-0000-00003B2F0000}"/>
    <cellStyle name="40% - Accent2 6 2" xfId="4970" xr:uid="{00000000-0005-0000-0000-00003C2F0000}"/>
    <cellStyle name="40% - Accent2 6 2 2" xfId="4971" xr:uid="{00000000-0005-0000-0000-00003D2F0000}"/>
    <cellStyle name="40% - Accent2 6 2 2 2" xfId="4972" xr:uid="{00000000-0005-0000-0000-00003E2F0000}"/>
    <cellStyle name="40% - Accent2 6 2 2 3" xfId="4973" xr:uid="{00000000-0005-0000-0000-00003F2F0000}"/>
    <cellStyle name="40% - Accent2 6 2 3" xfId="4974" xr:uid="{00000000-0005-0000-0000-0000402F0000}"/>
    <cellStyle name="40% - Accent2 6 2 3 2" xfId="4975" xr:uid="{00000000-0005-0000-0000-0000412F0000}"/>
    <cellStyle name="40% - Accent2 6 2 3 3" xfId="4976" xr:uid="{00000000-0005-0000-0000-0000422F0000}"/>
    <cellStyle name="40% - Accent2 6 2 4" xfId="4977" xr:uid="{00000000-0005-0000-0000-0000432F0000}"/>
    <cellStyle name="40% - Accent2 6 2 4 2" xfId="4978" xr:uid="{00000000-0005-0000-0000-0000442F0000}"/>
    <cellStyle name="40% - Accent2 6 2 4 3" xfId="4979" xr:uid="{00000000-0005-0000-0000-0000452F0000}"/>
    <cellStyle name="40% - Accent2 6 2 5" xfId="4980" xr:uid="{00000000-0005-0000-0000-0000462F0000}"/>
    <cellStyle name="40% - Accent2 6 2 6" xfId="4981" xr:uid="{00000000-0005-0000-0000-0000472F0000}"/>
    <cellStyle name="40% - Accent2 6 2_Volatility" xfId="4982" xr:uid="{00000000-0005-0000-0000-0000482F0000}"/>
    <cellStyle name="40% - Accent2 6 3" xfId="4983" xr:uid="{00000000-0005-0000-0000-0000492F0000}"/>
    <cellStyle name="40% - Accent2 6 3 2" xfId="4984" xr:uid="{00000000-0005-0000-0000-00004A2F0000}"/>
    <cellStyle name="40% - Accent2 6 3 2 2" xfId="4985" xr:uid="{00000000-0005-0000-0000-00004B2F0000}"/>
    <cellStyle name="40% - Accent2 6 3 2 3" xfId="4986" xr:uid="{00000000-0005-0000-0000-00004C2F0000}"/>
    <cellStyle name="40% - Accent2 6 3 3" xfId="4987" xr:uid="{00000000-0005-0000-0000-00004D2F0000}"/>
    <cellStyle name="40% - Accent2 6 3 3 2" xfId="4988" xr:uid="{00000000-0005-0000-0000-00004E2F0000}"/>
    <cellStyle name="40% - Accent2 6 3 3 3" xfId="4989" xr:uid="{00000000-0005-0000-0000-00004F2F0000}"/>
    <cellStyle name="40% - Accent2 6 3 4" xfId="4990" xr:uid="{00000000-0005-0000-0000-0000502F0000}"/>
    <cellStyle name="40% - Accent2 6 3 5" xfId="4991" xr:uid="{00000000-0005-0000-0000-0000512F0000}"/>
    <cellStyle name="40% - Accent2 6 3_Volatility" xfId="4992" xr:uid="{00000000-0005-0000-0000-0000522F0000}"/>
    <cellStyle name="40% - Accent2 6 4" xfId="4993" xr:uid="{00000000-0005-0000-0000-0000532F0000}"/>
    <cellStyle name="40% - Accent2 6 4 2" xfId="4994" xr:uid="{00000000-0005-0000-0000-0000542F0000}"/>
    <cellStyle name="40% - Accent2 6 4 3" xfId="4995" xr:uid="{00000000-0005-0000-0000-0000552F0000}"/>
    <cellStyle name="40% - Accent2 6 5" xfId="4996" xr:uid="{00000000-0005-0000-0000-0000562F0000}"/>
    <cellStyle name="40% - Accent2 6 5 2" xfId="4997" xr:uid="{00000000-0005-0000-0000-0000572F0000}"/>
    <cellStyle name="40% - Accent2 6 5 3" xfId="4998" xr:uid="{00000000-0005-0000-0000-0000582F0000}"/>
    <cellStyle name="40% - Accent2 6 6" xfId="4999" xr:uid="{00000000-0005-0000-0000-0000592F0000}"/>
    <cellStyle name="40% - Accent2 6 6 2" xfId="5000" xr:uid="{00000000-0005-0000-0000-00005A2F0000}"/>
    <cellStyle name="40% - Accent2 6 6 3" xfId="5001" xr:uid="{00000000-0005-0000-0000-00005B2F0000}"/>
    <cellStyle name="40% - Accent2 6 7" xfId="5002" xr:uid="{00000000-0005-0000-0000-00005C2F0000}"/>
    <cellStyle name="40% - Accent2 6 8" xfId="5003" xr:uid="{00000000-0005-0000-0000-00005D2F0000}"/>
    <cellStyle name="40% - Accent2 6_Volatility" xfId="5004" xr:uid="{00000000-0005-0000-0000-00005E2F0000}"/>
    <cellStyle name="40% - Accent2 7" xfId="5005" xr:uid="{00000000-0005-0000-0000-00005F2F0000}"/>
    <cellStyle name="40% - Accent2 7 2" xfId="5006" xr:uid="{00000000-0005-0000-0000-0000602F0000}"/>
    <cellStyle name="40% - Accent2 7 2 2" xfId="5007" xr:uid="{00000000-0005-0000-0000-0000612F0000}"/>
    <cellStyle name="40% - Accent2 7 2 2 2" xfId="5008" xr:uid="{00000000-0005-0000-0000-0000622F0000}"/>
    <cellStyle name="40% - Accent2 7 2 2 3" xfId="5009" xr:uid="{00000000-0005-0000-0000-0000632F0000}"/>
    <cellStyle name="40% - Accent2 7 2 3" xfId="5010" xr:uid="{00000000-0005-0000-0000-0000642F0000}"/>
    <cellStyle name="40% - Accent2 7 2 3 2" xfId="5011" xr:uid="{00000000-0005-0000-0000-0000652F0000}"/>
    <cellStyle name="40% - Accent2 7 2 3 3" xfId="5012" xr:uid="{00000000-0005-0000-0000-0000662F0000}"/>
    <cellStyle name="40% - Accent2 7 2 4" xfId="5013" xr:uid="{00000000-0005-0000-0000-0000672F0000}"/>
    <cellStyle name="40% - Accent2 7 2 4 2" xfId="5014" xr:uid="{00000000-0005-0000-0000-0000682F0000}"/>
    <cellStyle name="40% - Accent2 7 2 4 3" xfId="5015" xr:uid="{00000000-0005-0000-0000-0000692F0000}"/>
    <cellStyle name="40% - Accent2 7 2 5" xfId="5016" xr:uid="{00000000-0005-0000-0000-00006A2F0000}"/>
    <cellStyle name="40% - Accent2 7 2 6" xfId="5017" xr:uid="{00000000-0005-0000-0000-00006B2F0000}"/>
    <cellStyle name="40% - Accent2 7 2_Volatility" xfId="5018" xr:uid="{00000000-0005-0000-0000-00006C2F0000}"/>
    <cellStyle name="40% - Accent2 7 3" xfId="5019" xr:uid="{00000000-0005-0000-0000-00006D2F0000}"/>
    <cellStyle name="40% - Accent2 7 3 2" xfId="5020" xr:uid="{00000000-0005-0000-0000-00006E2F0000}"/>
    <cellStyle name="40% - Accent2 7 3 2 2" xfId="5021" xr:uid="{00000000-0005-0000-0000-00006F2F0000}"/>
    <cellStyle name="40% - Accent2 7 3 2 3" xfId="5022" xr:uid="{00000000-0005-0000-0000-0000702F0000}"/>
    <cellStyle name="40% - Accent2 7 3 3" xfId="5023" xr:uid="{00000000-0005-0000-0000-0000712F0000}"/>
    <cellStyle name="40% - Accent2 7 3 3 2" xfId="5024" xr:uid="{00000000-0005-0000-0000-0000722F0000}"/>
    <cellStyle name="40% - Accent2 7 3 3 3" xfId="5025" xr:uid="{00000000-0005-0000-0000-0000732F0000}"/>
    <cellStyle name="40% - Accent2 7 3 4" xfId="5026" xr:uid="{00000000-0005-0000-0000-0000742F0000}"/>
    <cellStyle name="40% - Accent2 7 3 5" xfId="5027" xr:uid="{00000000-0005-0000-0000-0000752F0000}"/>
    <cellStyle name="40% - Accent2 7 3_Volatility" xfId="5028" xr:uid="{00000000-0005-0000-0000-0000762F0000}"/>
    <cellStyle name="40% - Accent2 7 4" xfId="5029" xr:uid="{00000000-0005-0000-0000-0000772F0000}"/>
    <cellStyle name="40% - Accent2 7 4 2" xfId="5030" xr:uid="{00000000-0005-0000-0000-0000782F0000}"/>
    <cellStyle name="40% - Accent2 7 4 3" xfId="5031" xr:uid="{00000000-0005-0000-0000-0000792F0000}"/>
    <cellStyle name="40% - Accent2 7 5" xfId="5032" xr:uid="{00000000-0005-0000-0000-00007A2F0000}"/>
    <cellStyle name="40% - Accent2 7 5 2" xfId="5033" xr:uid="{00000000-0005-0000-0000-00007B2F0000}"/>
    <cellStyle name="40% - Accent2 7 5 3" xfId="5034" xr:uid="{00000000-0005-0000-0000-00007C2F0000}"/>
    <cellStyle name="40% - Accent2 7 6" xfId="5035" xr:uid="{00000000-0005-0000-0000-00007D2F0000}"/>
    <cellStyle name="40% - Accent2 7 6 2" xfId="5036" xr:uid="{00000000-0005-0000-0000-00007E2F0000}"/>
    <cellStyle name="40% - Accent2 7 6 3" xfId="5037" xr:uid="{00000000-0005-0000-0000-00007F2F0000}"/>
    <cellStyle name="40% - Accent2 7 7" xfId="5038" xr:uid="{00000000-0005-0000-0000-0000802F0000}"/>
    <cellStyle name="40% - Accent2 7 8" xfId="5039" xr:uid="{00000000-0005-0000-0000-0000812F0000}"/>
    <cellStyle name="40% - Accent2 7_Volatility" xfId="5040" xr:uid="{00000000-0005-0000-0000-0000822F0000}"/>
    <cellStyle name="40% - Accent2 8" xfId="5041" xr:uid="{00000000-0005-0000-0000-0000832F0000}"/>
    <cellStyle name="40% - Accent2 8 2" xfId="5042" xr:uid="{00000000-0005-0000-0000-0000842F0000}"/>
    <cellStyle name="40% - Accent2 8 2 2" xfId="5043" xr:uid="{00000000-0005-0000-0000-0000852F0000}"/>
    <cellStyle name="40% - Accent2 8 2 2 2" xfId="5044" xr:uid="{00000000-0005-0000-0000-0000862F0000}"/>
    <cellStyle name="40% - Accent2 8 2 2 3" xfId="5045" xr:uid="{00000000-0005-0000-0000-0000872F0000}"/>
    <cellStyle name="40% - Accent2 8 2 3" xfId="5046" xr:uid="{00000000-0005-0000-0000-0000882F0000}"/>
    <cellStyle name="40% - Accent2 8 2 3 2" xfId="5047" xr:uid="{00000000-0005-0000-0000-0000892F0000}"/>
    <cellStyle name="40% - Accent2 8 2 3 3" xfId="5048" xr:uid="{00000000-0005-0000-0000-00008A2F0000}"/>
    <cellStyle name="40% - Accent2 8 2 4" xfId="5049" xr:uid="{00000000-0005-0000-0000-00008B2F0000}"/>
    <cellStyle name="40% - Accent2 8 2 4 2" xfId="5050" xr:uid="{00000000-0005-0000-0000-00008C2F0000}"/>
    <cellStyle name="40% - Accent2 8 2 4 3" xfId="5051" xr:uid="{00000000-0005-0000-0000-00008D2F0000}"/>
    <cellStyle name="40% - Accent2 8 2 5" xfId="5052" xr:uid="{00000000-0005-0000-0000-00008E2F0000}"/>
    <cellStyle name="40% - Accent2 8 2 6" xfId="5053" xr:uid="{00000000-0005-0000-0000-00008F2F0000}"/>
    <cellStyle name="40% - Accent2 8 2_Volatility" xfId="5054" xr:uid="{00000000-0005-0000-0000-0000902F0000}"/>
    <cellStyle name="40% - Accent2 8 3" xfId="5055" xr:uid="{00000000-0005-0000-0000-0000912F0000}"/>
    <cellStyle name="40% - Accent2 8 3 2" xfId="5056" xr:uid="{00000000-0005-0000-0000-0000922F0000}"/>
    <cellStyle name="40% - Accent2 8 3 2 2" xfId="5057" xr:uid="{00000000-0005-0000-0000-0000932F0000}"/>
    <cellStyle name="40% - Accent2 8 3 2 3" xfId="5058" xr:uid="{00000000-0005-0000-0000-0000942F0000}"/>
    <cellStyle name="40% - Accent2 8 3 3" xfId="5059" xr:uid="{00000000-0005-0000-0000-0000952F0000}"/>
    <cellStyle name="40% - Accent2 8 3 3 2" xfId="5060" xr:uid="{00000000-0005-0000-0000-0000962F0000}"/>
    <cellStyle name="40% - Accent2 8 3 3 3" xfId="5061" xr:uid="{00000000-0005-0000-0000-0000972F0000}"/>
    <cellStyle name="40% - Accent2 8 3 4" xfId="5062" xr:uid="{00000000-0005-0000-0000-0000982F0000}"/>
    <cellStyle name="40% - Accent2 8 3 5" xfId="5063" xr:uid="{00000000-0005-0000-0000-0000992F0000}"/>
    <cellStyle name="40% - Accent2 8 3_Volatility" xfId="5064" xr:uid="{00000000-0005-0000-0000-00009A2F0000}"/>
    <cellStyle name="40% - Accent2 8 4" xfId="5065" xr:uid="{00000000-0005-0000-0000-00009B2F0000}"/>
    <cellStyle name="40% - Accent2 8 4 2" xfId="5066" xr:uid="{00000000-0005-0000-0000-00009C2F0000}"/>
    <cellStyle name="40% - Accent2 8 4 3" xfId="5067" xr:uid="{00000000-0005-0000-0000-00009D2F0000}"/>
    <cellStyle name="40% - Accent2 8 5" xfId="5068" xr:uid="{00000000-0005-0000-0000-00009E2F0000}"/>
    <cellStyle name="40% - Accent2 8 5 2" xfId="5069" xr:uid="{00000000-0005-0000-0000-00009F2F0000}"/>
    <cellStyle name="40% - Accent2 8 5 3" xfId="5070" xr:uid="{00000000-0005-0000-0000-0000A02F0000}"/>
    <cellStyle name="40% - Accent2 8 6" xfId="5071" xr:uid="{00000000-0005-0000-0000-0000A12F0000}"/>
    <cellStyle name="40% - Accent2 8 6 2" xfId="5072" xr:uid="{00000000-0005-0000-0000-0000A22F0000}"/>
    <cellStyle name="40% - Accent2 8 6 3" xfId="5073" xr:uid="{00000000-0005-0000-0000-0000A32F0000}"/>
    <cellStyle name="40% - Accent2 8 7" xfId="5074" xr:uid="{00000000-0005-0000-0000-0000A42F0000}"/>
    <cellStyle name="40% - Accent2 8 8" xfId="5075" xr:uid="{00000000-0005-0000-0000-0000A52F0000}"/>
    <cellStyle name="40% - Accent2 8_Volatility" xfId="5076" xr:uid="{00000000-0005-0000-0000-0000A62F0000}"/>
    <cellStyle name="40% - Accent2 9" xfId="5077" xr:uid="{00000000-0005-0000-0000-0000A72F0000}"/>
    <cellStyle name="40% - Accent2 9 2" xfId="5078" xr:uid="{00000000-0005-0000-0000-0000A82F0000}"/>
    <cellStyle name="40% - Accent2 9 2 2" xfId="5079" xr:uid="{00000000-0005-0000-0000-0000A92F0000}"/>
    <cellStyle name="40% - Accent2 9 2 2 2" xfId="5080" xr:uid="{00000000-0005-0000-0000-0000AA2F0000}"/>
    <cellStyle name="40% - Accent2 9 2 2 3" xfId="5081" xr:uid="{00000000-0005-0000-0000-0000AB2F0000}"/>
    <cellStyle name="40% - Accent2 9 2 3" xfId="5082" xr:uid="{00000000-0005-0000-0000-0000AC2F0000}"/>
    <cellStyle name="40% - Accent2 9 2 3 2" xfId="5083" xr:uid="{00000000-0005-0000-0000-0000AD2F0000}"/>
    <cellStyle name="40% - Accent2 9 2 3 3" xfId="5084" xr:uid="{00000000-0005-0000-0000-0000AE2F0000}"/>
    <cellStyle name="40% - Accent2 9 2 4" xfId="5085" xr:uid="{00000000-0005-0000-0000-0000AF2F0000}"/>
    <cellStyle name="40% - Accent2 9 2 4 2" xfId="5086" xr:uid="{00000000-0005-0000-0000-0000B02F0000}"/>
    <cellStyle name="40% - Accent2 9 2 4 3" xfId="5087" xr:uid="{00000000-0005-0000-0000-0000B12F0000}"/>
    <cellStyle name="40% - Accent2 9 2 5" xfId="5088" xr:uid="{00000000-0005-0000-0000-0000B22F0000}"/>
    <cellStyle name="40% - Accent2 9 2 6" xfId="5089" xr:uid="{00000000-0005-0000-0000-0000B32F0000}"/>
    <cellStyle name="40% - Accent2 9 2_Volatility" xfId="5090" xr:uid="{00000000-0005-0000-0000-0000B42F0000}"/>
    <cellStyle name="40% - Accent2 9 3" xfId="5091" xr:uid="{00000000-0005-0000-0000-0000B52F0000}"/>
    <cellStyle name="40% - Accent2 9 3 2" xfId="5092" xr:uid="{00000000-0005-0000-0000-0000B62F0000}"/>
    <cellStyle name="40% - Accent2 9 3 2 2" xfId="5093" xr:uid="{00000000-0005-0000-0000-0000B72F0000}"/>
    <cellStyle name="40% - Accent2 9 3 2 3" xfId="5094" xr:uid="{00000000-0005-0000-0000-0000B82F0000}"/>
    <cellStyle name="40% - Accent2 9 3 3" xfId="5095" xr:uid="{00000000-0005-0000-0000-0000B92F0000}"/>
    <cellStyle name="40% - Accent2 9 3 3 2" xfId="5096" xr:uid="{00000000-0005-0000-0000-0000BA2F0000}"/>
    <cellStyle name="40% - Accent2 9 3 3 3" xfId="5097" xr:uid="{00000000-0005-0000-0000-0000BB2F0000}"/>
    <cellStyle name="40% - Accent2 9 3 4" xfId="5098" xr:uid="{00000000-0005-0000-0000-0000BC2F0000}"/>
    <cellStyle name="40% - Accent2 9 3 5" xfId="5099" xr:uid="{00000000-0005-0000-0000-0000BD2F0000}"/>
    <cellStyle name="40% - Accent2 9 3_Volatility" xfId="5100" xr:uid="{00000000-0005-0000-0000-0000BE2F0000}"/>
    <cellStyle name="40% - Accent2 9 4" xfId="5101" xr:uid="{00000000-0005-0000-0000-0000BF2F0000}"/>
    <cellStyle name="40% - Accent2 9 4 2" xfId="5102" xr:uid="{00000000-0005-0000-0000-0000C02F0000}"/>
    <cellStyle name="40% - Accent2 9 4 3" xfId="5103" xr:uid="{00000000-0005-0000-0000-0000C12F0000}"/>
    <cellStyle name="40% - Accent2 9 5" xfId="5104" xr:uid="{00000000-0005-0000-0000-0000C22F0000}"/>
    <cellStyle name="40% - Accent2 9 5 2" xfId="5105" xr:uid="{00000000-0005-0000-0000-0000C32F0000}"/>
    <cellStyle name="40% - Accent2 9 5 3" xfId="5106" xr:uid="{00000000-0005-0000-0000-0000C42F0000}"/>
    <cellStyle name="40% - Accent2 9 6" xfId="5107" xr:uid="{00000000-0005-0000-0000-0000C52F0000}"/>
    <cellStyle name="40% - Accent2 9 6 2" xfId="5108" xr:uid="{00000000-0005-0000-0000-0000C62F0000}"/>
    <cellStyle name="40% - Accent2 9 6 3" xfId="5109" xr:uid="{00000000-0005-0000-0000-0000C72F0000}"/>
    <cellStyle name="40% - Accent2 9 7" xfId="5110" xr:uid="{00000000-0005-0000-0000-0000C82F0000}"/>
    <cellStyle name="40% - Accent2 9 8" xfId="5111" xr:uid="{00000000-0005-0000-0000-0000C92F0000}"/>
    <cellStyle name="40% - Accent2 9_Volatility" xfId="5112" xr:uid="{00000000-0005-0000-0000-0000CA2F0000}"/>
    <cellStyle name="40% - Accent3 10" xfId="5113" xr:uid="{00000000-0005-0000-0000-0000CB2F0000}"/>
    <cellStyle name="40% - Accent3 10 2" xfId="5114" xr:uid="{00000000-0005-0000-0000-0000CC2F0000}"/>
    <cellStyle name="40% - Accent3 10 2 2" xfId="5115" xr:uid="{00000000-0005-0000-0000-0000CD2F0000}"/>
    <cellStyle name="40% - Accent3 10 2 2 2" xfId="5116" xr:uid="{00000000-0005-0000-0000-0000CE2F0000}"/>
    <cellStyle name="40% - Accent3 10 2 2 3" xfId="5117" xr:uid="{00000000-0005-0000-0000-0000CF2F0000}"/>
    <cellStyle name="40% - Accent3 10 2 3" xfId="5118" xr:uid="{00000000-0005-0000-0000-0000D02F0000}"/>
    <cellStyle name="40% - Accent3 10 2 3 2" xfId="5119" xr:uid="{00000000-0005-0000-0000-0000D12F0000}"/>
    <cellStyle name="40% - Accent3 10 2 3 3" xfId="5120" xr:uid="{00000000-0005-0000-0000-0000D22F0000}"/>
    <cellStyle name="40% - Accent3 10 2 4" xfId="5121" xr:uid="{00000000-0005-0000-0000-0000D32F0000}"/>
    <cellStyle name="40% - Accent3 10 2 4 2" xfId="5122" xr:uid="{00000000-0005-0000-0000-0000D42F0000}"/>
    <cellStyle name="40% - Accent3 10 2 4 3" xfId="5123" xr:uid="{00000000-0005-0000-0000-0000D52F0000}"/>
    <cellStyle name="40% - Accent3 10 2 5" xfId="5124" xr:uid="{00000000-0005-0000-0000-0000D62F0000}"/>
    <cellStyle name="40% - Accent3 10 2 6" xfId="5125" xr:uid="{00000000-0005-0000-0000-0000D72F0000}"/>
    <cellStyle name="40% - Accent3 10 2_Volatility" xfId="5126" xr:uid="{00000000-0005-0000-0000-0000D82F0000}"/>
    <cellStyle name="40% - Accent3 10 3" xfId="5127" xr:uid="{00000000-0005-0000-0000-0000D92F0000}"/>
    <cellStyle name="40% - Accent3 10 3 2" xfId="5128" xr:uid="{00000000-0005-0000-0000-0000DA2F0000}"/>
    <cellStyle name="40% - Accent3 10 3 2 2" xfId="5129" xr:uid="{00000000-0005-0000-0000-0000DB2F0000}"/>
    <cellStyle name="40% - Accent3 10 3 2 3" xfId="5130" xr:uid="{00000000-0005-0000-0000-0000DC2F0000}"/>
    <cellStyle name="40% - Accent3 10 3 3" xfId="5131" xr:uid="{00000000-0005-0000-0000-0000DD2F0000}"/>
    <cellStyle name="40% - Accent3 10 3 3 2" xfId="5132" xr:uid="{00000000-0005-0000-0000-0000DE2F0000}"/>
    <cellStyle name="40% - Accent3 10 3 3 3" xfId="5133" xr:uid="{00000000-0005-0000-0000-0000DF2F0000}"/>
    <cellStyle name="40% - Accent3 10 3 4" xfId="5134" xr:uid="{00000000-0005-0000-0000-0000E02F0000}"/>
    <cellStyle name="40% - Accent3 10 3 5" xfId="5135" xr:uid="{00000000-0005-0000-0000-0000E12F0000}"/>
    <cellStyle name="40% - Accent3 10 3_Volatility" xfId="5136" xr:uid="{00000000-0005-0000-0000-0000E22F0000}"/>
    <cellStyle name="40% - Accent3 10 4" xfId="5137" xr:uid="{00000000-0005-0000-0000-0000E32F0000}"/>
    <cellStyle name="40% - Accent3 10 4 2" xfId="5138" xr:uid="{00000000-0005-0000-0000-0000E42F0000}"/>
    <cellStyle name="40% - Accent3 10 4 3" xfId="5139" xr:uid="{00000000-0005-0000-0000-0000E52F0000}"/>
    <cellStyle name="40% - Accent3 10 5" xfId="5140" xr:uid="{00000000-0005-0000-0000-0000E62F0000}"/>
    <cellStyle name="40% - Accent3 10 5 2" xfId="5141" xr:uid="{00000000-0005-0000-0000-0000E72F0000}"/>
    <cellStyle name="40% - Accent3 10 5 3" xfId="5142" xr:uid="{00000000-0005-0000-0000-0000E82F0000}"/>
    <cellStyle name="40% - Accent3 10 6" xfId="5143" xr:uid="{00000000-0005-0000-0000-0000E92F0000}"/>
    <cellStyle name="40% - Accent3 10 6 2" xfId="5144" xr:uid="{00000000-0005-0000-0000-0000EA2F0000}"/>
    <cellStyle name="40% - Accent3 10 6 3" xfId="5145" xr:uid="{00000000-0005-0000-0000-0000EB2F0000}"/>
    <cellStyle name="40% - Accent3 10 7" xfId="5146" xr:uid="{00000000-0005-0000-0000-0000EC2F0000}"/>
    <cellStyle name="40% - Accent3 10 8" xfId="5147" xr:uid="{00000000-0005-0000-0000-0000ED2F0000}"/>
    <cellStyle name="40% - Accent3 10_Volatility" xfId="5148" xr:uid="{00000000-0005-0000-0000-0000EE2F0000}"/>
    <cellStyle name="40% - Accent3 11" xfId="5149" xr:uid="{00000000-0005-0000-0000-0000EF2F0000}"/>
    <cellStyle name="40% - Accent3 11 2" xfId="5150" xr:uid="{00000000-0005-0000-0000-0000F02F0000}"/>
    <cellStyle name="40% - Accent3 11 2 2" xfId="5151" xr:uid="{00000000-0005-0000-0000-0000F12F0000}"/>
    <cellStyle name="40% - Accent3 11 2 2 2" xfId="5152" xr:uid="{00000000-0005-0000-0000-0000F22F0000}"/>
    <cellStyle name="40% - Accent3 11 2 2 3" xfId="5153" xr:uid="{00000000-0005-0000-0000-0000F32F0000}"/>
    <cellStyle name="40% - Accent3 11 2 3" xfId="5154" xr:uid="{00000000-0005-0000-0000-0000F42F0000}"/>
    <cellStyle name="40% - Accent3 11 2 3 2" xfId="5155" xr:uid="{00000000-0005-0000-0000-0000F52F0000}"/>
    <cellStyle name="40% - Accent3 11 2 3 3" xfId="5156" xr:uid="{00000000-0005-0000-0000-0000F62F0000}"/>
    <cellStyle name="40% - Accent3 11 2 4" xfId="5157" xr:uid="{00000000-0005-0000-0000-0000F72F0000}"/>
    <cellStyle name="40% - Accent3 11 2 4 2" xfId="5158" xr:uid="{00000000-0005-0000-0000-0000F82F0000}"/>
    <cellStyle name="40% - Accent3 11 2 4 3" xfId="5159" xr:uid="{00000000-0005-0000-0000-0000F92F0000}"/>
    <cellStyle name="40% - Accent3 11 2 5" xfId="5160" xr:uid="{00000000-0005-0000-0000-0000FA2F0000}"/>
    <cellStyle name="40% - Accent3 11 2 6" xfId="5161" xr:uid="{00000000-0005-0000-0000-0000FB2F0000}"/>
    <cellStyle name="40% - Accent3 11 2_Volatility" xfId="5162" xr:uid="{00000000-0005-0000-0000-0000FC2F0000}"/>
    <cellStyle name="40% - Accent3 11 3" xfId="5163" xr:uid="{00000000-0005-0000-0000-0000FD2F0000}"/>
    <cellStyle name="40% - Accent3 11 3 2" xfId="5164" xr:uid="{00000000-0005-0000-0000-0000FE2F0000}"/>
    <cellStyle name="40% - Accent3 11 3 2 2" xfId="5165" xr:uid="{00000000-0005-0000-0000-0000FF2F0000}"/>
    <cellStyle name="40% - Accent3 11 3 2 3" xfId="5166" xr:uid="{00000000-0005-0000-0000-000000300000}"/>
    <cellStyle name="40% - Accent3 11 3 3" xfId="5167" xr:uid="{00000000-0005-0000-0000-000001300000}"/>
    <cellStyle name="40% - Accent3 11 3 3 2" xfId="5168" xr:uid="{00000000-0005-0000-0000-000002300000}"/>
    <cellStyle name="40% - Accent3 11 3 3 3" xfId="5169" xr:uid="{00000000-0005-0000-0000-000003300000}"/>
    <cellStyle name="40% - Accent3 11 3 4" xfId="5170" xr:uid="{00000000-0005-0000-0000-000004300000}"/>
    <cellStyle name="40% - Accent3 11 3 5" xfId="5171" xr:uid="{00000000-0005-0000-0000-000005300000}"/>
    <cellStyle name="40% - Accent3 11 3_Volatility" xfId="5172" xr:uid="{00000000-0005-0000-0000-000006300000}"/>
    <cellStyle name="40% - Accent3 11 4" xfId="5173" xr:uid="{00000000-0005-0000-0000-000007300000}"/>
    <cellStyle name="40% - Accent3 11 4 2" xfId="5174" xr:uid="{00000000-0005-0000-0000-000008300000}"/>
    <cellStyle name="40% - Accent3 11 4 3" xfId="5175" xr:uid="{00000000-0005-0000-0000-000009300000}"/>
    <cellStyle name="40% - Accent3 11 5" xfId="5176" xr:uid="{00000000-0005-0000-0000-00000A300000}"/>
    <cellStyle name="40% - Accent3 11 5 2" xfId="5177" xr:uid="{00000000-0005-0000-0000-00000B300000}"/>
    <cellStyle name="40% - Accent3 11 5 3" xfId="5178" xr:uid="{00000000-0005-0000-0000-00000C300000}"/>
    <cellStyle name="40% - Accent3 11 6" xfId="5179" xr:uid="{00000000-0005-0000-0000-00000D300000}"/>
    <cellStyle name="40% - Accent3 11 6 2" xfId="5180" xr:uid="{00000000-0005-0000-0000-00000E300000}"/>
    <cellStyle name="40% - Accent3 11 6 3" xfId="5181" xr:uid="{00000000-0005-0000-0000-00000F300000}"/>
    <cellStyle name="40% - Accent3 11 7" xfId="5182" xr:uid="{00000000-0005-0000-0000-000010300000}"/>
    <cellStyle name="40% - Accent3 11 8" xfId="5183" xr:uid="{00000000-0005-0000-0000-000011300000}"/>
    <cellStyle name="40% - Accent3 11_Volatility" xfId="5184" xr:uid="{00000000-0005-0000-0000-000012300000}"/>
    <cellStyle name="40% - Accent3 12" xfId="5185" xr:uid="{00000000-0005-0000-0000-000013300000}"/>
    <cellStyle name="40% - Accent3 12 2" xfId="5186" xr:uid="{00000000-0005-0000-0000-000014300000}"/>
    <cellStyle name="40% - Accent3 12 2 2" xfId="5187" xr:uid="{00000000-0005-0000-0000-000015300000}"/>
    <cellStyle name="40% - Accent3 12 2 2 2" xfId="5188" xr:uid="{00000000-0005-0000-0000-000016300000}"/>
    <cellStyle name="40% - Accent3 12 2 2 3" xfId="5189" xr:uid="{00000000-0005-0000-0000-000017300000}"/>
    <cellStyle name="40% - Accent3 12 2 3" xfId="5190" xr:uid="{00000000-0005-0000-0000-000018300000}"/>
    <cellStyle name="40% - Accent3 12 2 3 2" xfId="5191" xr:uid="{00000000-0005-0000-0000-000019300000}"/>
    <cellStyle name="40% - Accent3 12 2 3 3" xfId="5192" xr:uid="{00000000-0005-0000-0000-00001A300000}"/>
    <cellStyle name="40% - Accent3 12 2 4" xfId="5193" xr:uid="{00000000-0005-0000-0000-00001B300000}"/>
    <cellStyle name="40% - Accent3 12 2 4 2" xfId="5194" xr:uid="{00000000-0005-0000-0000-00001C300000}"/>
    <cellStyle name="40% - Accent3 12 2 4 3" xfId="5195" xr:uid="{00000000-0005-0000-0000-00001D300000}"/>
    <cellStyle name="40% - Accent3 12 2 5" xfId="5196" xr:uid="{00000000-0005-0000-0000-00001E300000}"/>
    <cellStyle name="40% - Accent3 12 2 6" xfId="5197" xr:uid="{00000000-0005-0000-0000-00001F300000}"/>
    <cellStyle name="40% - Accent3 12 2_Volatility" xfId="5198" xr:uid="{00000000-0005-0000-0000-000020300000}"/>
    <cellStyle name="40% - Accent3 12 3" xfId="5199" xr:uid="{00000000-0005-0000-0000-000021300000}"/>
    <cellStyle name="40% - Accent3 12 3 2" xfId="5200" xr:uid="{00000000-0005-0000-0000-000022300000}"/>
    <cellStyle name="40% - Accent3 12 3 2 2" xfId="5201" xr:uid="{00000000-0005-0000-0000-000023300000}"/>
    <cellStyle name="40% - Accent3 12 3 2 3" xfId="5202" xr:uid="{00000000-0005-0000-0000-000024300000}"/>
    <cellStyle name="40% - Accent3 12 3 3" xfId="5203" xr:uid="{00000000-0005-0000-0000-000025300000}"/>
    <cellStyle name="40% - Accent3 12 3 3 2" xfId="5204" xr:uid="{00000000-0005-0000-0000-000026300000}"/>
    <cellStyle name="40% - Accent3 12 3 3 3" xfId="5205" xr:uid="{00000000-0005-0000-0000-000027300000}"/>
    <cellStyle name="40% - Accent3 12 3 4" xfId="5206" xr:uid="{00000000-0005-0000-0000-000028300000}"/>
    <cellStyle name="40% - Accent3 12 3 5" xfId="5207" xr:uid="{00000000-0005-0000-0000-000029300000}"/>
    <cellStyle name="40% - Accent3 12 3_Volatility" xfId="5208" xr:uid="{00000000-0005-0000-0000-00002A300000}"/>
    <cellStyle name="40% - Accent3 12 4" xfId="5209" xr:uid="{00000000-0005-0000-0000-00002B300000}"/>
    <cellStyle name="40% - Accent3 12 4 2" xfId="5210" xr:uid="{00000000-0005-0000-0000-00002C300000}"/>
    <cellStyle name="40% - Accent3 12 4 3" xfId="5211" xr:uid="{00000000-0005-0000-0000-00002D300000}"/>
    <cellStyle name="40% - Accent3 12 5" xfId="5212" xr:uid="{00000000-0005-0000-0000-00002E300000}"/>
    <cellStyle name="40% - Accent3 12 5 2" xfId="5213" xr:uid="{00000000-0005-0000-0000-00002F300000}"/>
    <cellStyle name="40% - Accent3 12 5 3" xfId="5214" xr:uid="{00000000-0005-0000-0000-000030300000}"/>
    <cellStyle name="40% - Accent3 12 6" xfId="5215" xr:uid="{00000000-0005-0000-0000-000031300000}"/>
    <cellStyle name="40% - Accent3 12 6 2" xfId="5216" xr:uid="{00000000-0005-0000-0000-000032300000}"/>
    <cellStyle name="40% - Accent3 12 6 3" xfId="5217" xr:uid="{00000000-0005-0000-0000-000033300000}"/>
    <cellStyle name="40% - Accent3 12 7" xfId="5218" xr:uid="{00000000-0005-0000-0000-000034300000}"/>
    <cellStyle name="40% - Accent3 12 8" xfId="5219" xr:uid="{00000000-0005-0000-0000-000035300000}"/>
    <cellStyle name="40% - Accent3 12_Volatility" xfId="5220" xr:uid="{00000000-0005-0000-0000-000036300000}"/>
    <cellStyle name="40% - Accent3 13" xfId="5221" xr:uid="{00000000-0005-0000-0000-000037300000}"/>
    <cellStyle name="40% - Accent3 13 2" xfId="5222" xr:uid="{00000000-0005-0000-0000-000038300000}"/>
    <cellStyle name="40% - Accent3 13 2 2" xfId="5223" xr:uid="{00000000-0005-0000-0000-000039300000}"/>
    <cellStyle name="40% - Accent3 13 2 2 2" xfId="5224" xr:uid="{00000000-0005-0000-0000-00003A300000}"/>
    <cellStyle name="40% - Accent3 13 2 2 3" xfId="5225" xr:uid="{00000000-0005-0000-0000-00003B300000}"/>
    <cellStyle name="40% - Accent3 13 2 3" xfId="5226" xr:uid="{00000000-0005-0000-0000-00003C300000}"/>
    <cellStyle name="40% - Accent3 13 2 3 2" xfId="5227" xr:uid="{00000000-0005-0000-0000-00003D300000}"/>
    <cellStyle name="40% - Accent3 13 2 3 3" xfId="5228" xr:uid="{00000000-0005-0000-0000-00003E300000}"/>
    <cellStyle name="40% - Accent3 13 2 4" xfId="5229" xr:uid="{00000000-0005-0000-0000-00003F300000}"/>
    <cellStyle name="40% - Accent3 13 2 4 2" xfId="5230" xr:uid="{00000000-0005-0000-0000-000040300000}"/>
    <cellStyle name="40% - Accent3 13 2 4 3" xfId="5231" xr:uid="{00000000-0005-0000-0000-000041300000}"/>
    <cellStyle name="40% - Accent3 13 2 5" xfId="5232" xr:uid="{00000000-0005-0000-0000-000042300000}"/>
    <cellStyle name="40% - Accent3 13 2 6" xfId="5233" xr:uid="{00000000-0005-0000-0000-000043300000}"/>
    <cellStyle name="40% - Accent3 13 2_Volatility" xfId="5234" xr:uid="{00000000-0005-0000-0000-000044300000}"/>
    <cellStyle name="40% - Accent3 13 3" xfId="5235" xr:uid="{00000000-0005-0000-0000-000045300000}"/>
    <cellStyle name="40% - Accent3 13 3 2" xfId="5236" xr:uid="{00000000-0005-0000-0000-000046300000}"/>
    <cellStyle name="40% - Accent3 13 3 2 2" xfId="5237" xr:uid="{00000000-0005-0000-0000-000047300000}"/>
    <cellStyle name="40% - Accent3 13 3 2 3" xfId="5238" xr:uid="{00000000-0005-0000-0000-000048300000}"/>
    <cellStyle name="40% - Accent3 13 3 3" xfId="5239" xr:uid="{00000000-0005-0000-0000-000049300000}"/>
    <cellStyle name="40% - Accent3 13 3 3 2" xfId="5240" xr:uid="{00000000-0005-0000-0000-00004A300000}"/>
    <cellStyle name="40% - Accent3 13 3 3 3" xfId="5241" xr:uid="{00000000-0005-0000-0000-00004B300000}"/>
    <cellStyle name="40% - Accent3 13 3 4" xfId="5242" xr:uid="{00000000-0005-0000-0000-00004C300000}"/>
    <cellStyle name="40% - Accent3 13 3 5" xfId="5243" xr:uid="{00000000-0005-0000-0000-00004D300000}"/>
    <cellStyle name="40% - Accent3 13 3_Volatility" xfId="5244" xr:uid="{00000000-0005-0000-0000-00004E300000}"/>
    <cellStyle name="40% - Accent3 13 4" xfId="5245" xr:uid="{00000000-0005-0000-0000-00004F300000}"/>
    <cellStyle name="40% - Accent3 13 4 2" xfId="5246" xr:uid="{00000000-0005-0000-0000-000050300000}"/>
    <cellStyle name="40% - Accent3 13 4 3" xfId="5247" xr:uid="{00000000-0005-0000-0000-000051300000}"/>
    <cellStyle name="40% - Accent3 13 5" xfId="5248" xr:uid="{00000000-0005-0000-0000-000052300000}"/>
    <cellStyle name="40% - Accent3 13 5 2" xfId="5249" xr:uid="{00000000-0005-0000-0000-000053300000}"/>
    <cellStyle name="40% - Accent3 13 5 3" xfId="5250" xr:uid="{00000000-0005-0000-0000-000054300000}"/>
    <cellStyle name="40% - Accent3 13 6" xfId="5251" xr:uid="{00000000-0005-0000-0000-000055300000}"/>
    <cellStyle name="40% - Accent3 13 6 2" xfId="5252" xr:uid="{00000000-0005-0000-0000-000056300000}"/>
    <cellStyle name="40% - Accent3 13 6 3" xfId="5253" xr:uid="{00000000-0005-0000-0000-000057300000}"/>
    <cellStyle name="40% - Accent3 13 7" xfId="5254" xr:uid="{00000000-0005-0000-0000-000058300000}"/>
    <cellStyle name="40% - Accent3 13 8" xfId="5255" xr:uid="{00000000-0005-0000-0000-000059300000}"/>
    <cellStyle name="40% - Accent3 13_Volatility" xfId="5256" xr:uid="{00000000-0005-0000-0000-00005A300000}"/>
    <cellStyle name="40% - Accent3 14" xfId="5257" xr:uid="{00000000-0005-0000-0000-00005B300000}"/>
    <cellStyle name="40% - Accent3 14 2" xfId="5258" xr:uid="{00000000-0005-0000-0000-00005C300000}"/>
    <cellStyle name="40% - Accent3 14 2 2" xfId="5259" xr:uid="{00000000-0005-0000-0000-00005D300000}"/>
    <cellStyle name="40% - Accent3 14 2 2 2" xfId="5260" xr:uid="{00000000-0005-0000-0000-00005E300000}"/>
    <cellStyle name="40% - Accent3 14 2 2 3" xfId="5261" xr:uid="{00000000-0005-0000-0000-00005F300000}"/>
    <cellStyle name="40% - Accent3 14 2 3" xfId="5262" xr:uid="{00000000-0005-0000-0000-000060300000}"/>
    <cellStyle name="40% - Accent3 14 2 3 2" xfId="5263" xr:uid="{00000000-0005-0000-0000-000061300000}"/>
    <cellStyle name="40% - Accent3 14 2 3 3" xfId="5264" xr:uid="{00000000-0005-0000-0000-000062300000}"/>
    <cellStyle name="40% - Accent3 14 2 4" xfId="5265" xr:uid="{00000000-0005-0000-0000-000063300000}"/>
    <cellStyle name="40% - Accent3 14 2 4 2" xfId="5266" xr:uid="{00000000-0005-0000-0000-000064300000}"/>
    <cellStyle name="40% - Accent3 14 2 4 3" xfId="5267" xr:uid="{00000000-0005-0000-0000-000065300000}"/>
    <cellStyle name="40% - Accent3 14 2 5" xfId="5268" xr:uid="{00000000-0005-0000-0000-000066300000}"/>
    <cellStyle name="40% - Accent3 14 2 6" xfId="5269" xr:uid="{00000000-0005-0000-0000-000067300000}"/>
    <cellStyle name="40% - Accent3 14 2_Volatility" xfId="5270" xr:uid="{00000000-0005-0000-0000-000068300000}"/>
    <cellStyle name="40% - Accent3 14 3" xfId="5271" xr:uid="{00000000-0005-0000-0000-000069300000}"/>
    <cellStyle name="40% - Accent3 14 3 2" xfId="5272" xr:uid="{00000000-0005-0000-0000-00006A300000}"/>
    <cellStyle name="40% - Accent3 14 3 2 2" xfId="5273" xr:uid="{00000000-0005-0000-0000-00006B300000}"/>
    <cellStyle name="40% - Accent3 14 3 2 3" xfId="5274" xr:uid="{00000000-0005-0000-0000-00006C300000}"/>
    <cellStyle name="40% - Accent3 14 3 3" xfId="5275" xr:uid="{00000000-0005-0000-0000-00006D300000}"/>
    <cellStyle name="40% - Accent3 14 3 3 2" xfId="5276" xr:uid="{00000000-0005-0000-0000-00006E300000}"/>
    <cellStyle name="40% - Accent3 14 3 3 3" xfId="5277" xr:uid="{00000000-0005-0000-0000-00006F300000}"/>
    <cellStyle name="40% - Accent3 14 3 4" xfId="5278" xr:uid="{00000000-0005-0000-0000-000070300000}"/>
    <cellStyle name="40% - Accent3 14 3 5" xfId="5279" xr:uid="{00000000-0005-0000-0000-000071300000}"/>
    <cellStyle name="40% - Accent3 14 3_Volatility" xfId="5280" xr:uid="{00000000-0005-0000-0000-000072300000}"/>
    <cellStyle name="40% - Accent3 14 4" xfId="5281" xr:uid="{00000000-0005-0000-0000-000073300000}"/>
    <cellStyle name="40% - Accent3 14 4 2" xfId="5282" xr:uid="{00000000-0005-0000-0000-000074300000}"/>
    <cellStyle name="40% - Accent3 14 4 3" xfId="5283" xr:uid="{00000000-0005-0000-0000-000075300000}"/>
    <cellStyle name="40% - Accent3 14 5" xfId="5284" xr:uid="{00000000-0005-0000-0000-000076300000}"/>
    <cellStyle name="40% - Accent3 14 5 2" xfId="5285" xr:uid="{00000000-0005-0000-0000-000077300000}"/>
    <cellStyle name="40% - Accent3 14 5 3" xfId="5286" xr:uid="{00000000-0005-0000-0000-000078300000}"/>
    <cellStyle name="40% - Accent3 14 6" xfId="5287" xr:uid="{00000000-0005-0000-0000-000079300000}"/>
    <cellStyle name="40% - Accent3 14 6 2" xfId="5288" xr:uid="{00000000-0005-0000-0000-00007A300000}"/>
    <cellStyle name="40% - Accent3 14 6 3" xfId="5289" xr:uid="{00000000-0005-0000-0000-00007B300000}"/>
    <cellStyle name="40% - Accent3 14 7" xfId="5290" xr:uid="{00000000-0005-0000-0000-00007C300000}"/>
    <cellStyle name="40% - Accent3 14 8" xfId="5291" xr:uid="{00000000-0005-0000-0000-00007D300000}"/>
    <cellStyle name="40% - Accent3 14_Volatility" xfId="5292" xr:uid="{00000000-0005-0000-0000-00007E300000}"/>
    <cellStyle name="40% - Accent3 15" xfId="5293" xr:uid="{00000000-0005-0000-0000-00007F300000}"/>
    <cellStyle name="40% - Accent3 15 2" xfId="5294" xr:uid="{00000000-0005-0000-0000-000080300000}"/>
    <cellStyle name="40% - Accent3 15 2 2" xfId="5295" xr:uid="{00000000-0005-0000-0000-000081300000}"/>
    <cellStyle name="40% - Accent3 15 2 2 2" xfId="5296" xr:uid="{00000000-0005-0000-0000-000082300000}"/>
    <cellStyle name="40% - Accent3 15 2 2 3" xfId="5297" xr:uid="{00000000-0005-0000-0000-000083300000}"/>
    <cellStyle name="40% - Accent3 15 2 3" xfId="5298" xr:uid="{00000000-0005-0000-0000-000084300000}"/>
    <cellStyle name="40% - Accent3 15 2 3 2" xfId="5299" xr:uid="{00000000-0005-0000-0000-000085300000}"/>
    <cellStyle name="40% - Accent3 15 2 3 3" xfId="5300" xr:uid="{00000000-0005-0000-0000-000086300000}"/>
    <cellStyle name="40% - Accent3 15 2 4" xfId="5301" xr:uid="{00000000-0005-0000-0000-000087300000}"/>
    <cellStyle name="40% - Accent3 15 2 4 2" xfId="5302" xr:uid="{00000000-0005-0000-0000-000088300000}"/>
    <cellStyle name="40% - Accent3 15 2 4 3" xfId="5303" xr:uid="{00000000-0005-0000-0000-000089300000}"/>
    <cellStyle name="40% - Accent3 15 2 5" xfId="5304" xr:uid="{00000000-0005-0000-0000-00008A300000}"/>
    <cellStyle name="40% - Accent3 15 2 6" xfId="5305" xr:uid="{00000000-0005-0000-0000-00008B300000}"/>
    <cellStyle name="40% - Accent3 15 2_Volatility" xfId="5306" xr:uid="{00000000-0005-0000-0000-00008C300000}"/>
    <cellStyle name="40% - Accent3 15 3" xfId="5307" xr:uid="{00000000-0005-0000-0000-00008D300000}"/>
    <cellStyle name="40% - Accent3 15 3 2" xfId="5308" xr:uid="{00000000-0005-0000-0000-00008E300000}"/>
    <cellStyle name="40% - Accent3 15 3 2 2" xfId="5309" xr:uid="{00000000-0005-0000-0000-00008F300000}"/>
    <cellStyle name="40% - Accent3 15 3 2 3" xfId="5310" xr:uid="{00000000-0005-0000-0000-000090300000}"/>
    <cellStyle name="40% - Accent3 15 3 3" xfId="5311" xr:uid="{00000000-0005-0000-0000-000091300000}"/>
    <cellStyle name="40% - Accent3 15 3 3 2" xfId="5312" xr:uid="{00000000-0005-0000-0000-000092300000}"/>
    <cellStyle name="40% - Accent3 15 3 3 3" xfId="5313" xr:uid="{00000000-0005-0000-0000-000093300000}"/>
    <cellStyle name="40% - Accent3 15 3 4" xfId="5314" xr:uid="{00000000-0005-0000-0000-000094300000}"/>
    <cellStyle name="40% - Accent3 15 3 5" xfId="5315" xr:uid="{00000000-0005-0000-0000-000095300000}"/>
    <cellStyle name="40% - Accent3 15 3_Volatility" xfId="5316" xr:uid="{00000000-0005-0000-0000-000096300000}"/>
    <cellStyle name="40% - Accent3 15 4" xfId="5317" xr:uid="{00000000-0005-0000-0000-000097300000}"/>
    <cellStyle name="40% - Accent3 15 4 2" xfId="5318" xr:uid="{00000000-0005-0000-0000-000098300000}"/>
    <cellStyle name="40% - Accent3 15 4 3" xfId="5319" xr:uid="{00000000-0005-0000-0000-000099300000}"/>
    <cellStyle name="40% - Accent3 15 5" xfId="5320" xr:uid="{00000000-0005-0000-0000-00009A300000}"/>
    <cellStyle name="40% - Accent3 15 5 2" xfId="5321" xr:uid="{00000000-0005-0000-0000-00009B300000}"/>
    <cellStyle name="40% - Accent3 15 5 3" xfId="5322" xr:uid="{00000000-0005-0000-0000-00009C300000}"/>
    <cellStyle name="40% - Accent3 15 6" xfId="5323" xr:uid="{00000000-0005-0000-0000-00009D300000}"/>
    <cellStyle name="40% - Accent3 15 6 2" xfId="5324" xr:uid="{00000000-0005-0000-0000-00009E300000}"/>
    <cellStyle name="40% - Accent3 15 6 3" xfId="5325" xr:uid="{00000000-0005-0000-0000-00009F300000}"/>
    <cellStyle name="40% - Accent3 15 7" xfId="5326" xr:uid="{00000000-0005-0000-0000-0000A0300000}"/>
    <cellStyle name="40% - Accent3 15 8" xfId="5327" xr:uid="{00000000-0005-0000-0000-0000A1300000}"/>
    <cellStyle name="40% - Accent3 15_Volatility" xfId="5328" xr:uid="{00000000-0005-0000-0000-0000A2300000}"/>
    <cellStyle name="40% - Accent3 16" xfId="5329" xr:uid="{00000000-0005-0000-0000-0000A3300000}"/>
    <cellStyle name="40% - Accent3 16 2" xfId="15933" xr:uid="{00000000-0005-0000-0000-0000A4300000}"/>
    <cellStyle name="40% - Accent3 16 3" xfId="19884" xr:uid="{00000000-0005-0000-0000-0000A5300000}"/>
    <cellStyle name="40% - Accent3 17" xfId="5330" xr:uid="{00000000-0005-0000-0000-0000A6300000}"/>
    <cellStyle name="40% - Accent3 17 2" xfId="15934" xr:uid="{00000000-0005-0000-0000-0000A7300000}"/>
    <cellStyle name="40% - Accent3 17 3" xfId="19885" xr:uid="{00000000-0005-0000-0000-0000A8300000}"/>
    <cellStyle name="40% - Accent3 18" xfId="5331" xr:uid="{00000000-0005-0000-0000-0000A9300000}"/>
    <cellStyle name="40% - Accent3 18 2" xfId="15935" xr:uid="{00000000-0005-0000-0000-0000AA300000}"/>
    <cellStyle name="40% - Accent3 18 3" xfId="19886" xr:uid="{00000000-0005-0000-0000-0000AB300000}"/>
    <cellStyle name="40% - Accent3 19" xfId="5332" xr:uid="{00000000-0005-0000-0000-0000AC300000}"/>
    <cellStyle name="40% - Accent3 19 2" xfId="15936" xr:uid="{00000000-0005-0000-0000-0000AD300000}"/>
    <cellStyle name="40% - Accent3 19 3" xfId="19887" xr:uid="{00000000-0005-0000-0000-0000AE300000}"/>
    <cellStyle name="40% - Accent3 2" xfId="5333" xr:uid="{00000000-0005-0000-0000-0000AF300000}"/>
    <cellStyle name="40% - Accent3 2 2" xfId="5334" xr:uid="{00000000-0005-0000-0000-0000B0300000}"/>
    <cellStyle name="40% - Accent3 2 2 2" xfId="5335" xr:uid="{00000000-0005-0000-0000-0000B1300000}"/>
    <cellStyle name="40% - Accent3 2 2 2 2" xfId="5336" xr:uid="{00000000-0005-0000-0000-0000B2300000}"/>
    <cellStyle name="40% - Accent3 2 2 2 3" xfId="5337" xr:uid="{00000000-0005-0000-0000-0000B3300000}"/>
    <cellStyle name="40% - Accent3 2 2 3" xfId="5338" xr:uid="{00000000-0005-0000-0000-0000B4300000}"/>
    <cellStyle name="40% - Accent3 2 2 3 2" xfId="5339" xr:uid="{00000000-0005-0000-0000-0000B5300000}"/>
    <cellStyle name="40% - Accent3 2 2 3 3" xfId="5340" xr:uid="{00000000-0005-0000-0000-0000B6300000}"/>
    <cellStyle name="40% - Accent3 2 2 4" xfId="5341" xr:uid="{00000000-0005-0000-0000-0000B7300000}"/>
    <cellStyle name="40% - Accent3 2 2 4 2" xfId="5342" xr:uid="{00000000-0005-0000-0000-0000B8300000}"/>
    <cellStyle name="40% - Accent3 2 2 4 3" xfId="5343" xr:uid="{00000000-0005-0000-0000-0000B9300000}"/>
    <cellStyle name="40% - Accent3 2 2 5" xfId="5344" xr:uid="{00000000-0005-0000-0000-0000BA300000}"/>
    <cellStyle name="40% - Accent3 2 2 6" xfId="5345" xr:uid="{00000000-0005-0000-0000-0000BB300000}"/>
    <cellStyle name="40% - Accent3 2 2_Volatility" xfId="5346" xr:uid="{00000000-0005-0000-0000-0000BC300000}"/>
    <cellStyle name="40% - Accent3 2 3" xfId="5347" xr:uid="{00000000-0005-0000-0000-0000BD300000}"/>
    <cellStyle name="40% - Accent3 2 3 2" xfId="5348" xr:uid="{00000000-0005-0000-0000-0000BE300000}"/>
    <cellStyle name="40% - Accent3 2 3 2 2" xfId="5349" xr:uid="{00000000-0005-0000-0000-0000BF300000}"/>
    <cellStyle name="40% - Accent3 2 3 2 3" xfId="5350" xr:uid="{00000000-0005-0000-0000-0000C0300000}"/>
    <cellStyle name="40% - Accent3 2 3 3" xfId="5351" xr:uid="{00000000-0005-0000-0000-0000C1300000}"/>
    <cellStyle name="40% - Accent3 2 3 3 2" xfId="5352" xr:uid="{00000000-0005-0000-0000-0000C2300000}"/>
    <cellStyle name="40% - Accent3 2 3 3 3" xfId="5353" xr:uid="{00000000-0005-0000-0000-0000C3300000}"/>
    <cellStyle name="40% - Accent3 2 3 4" xfId="5354" xr:uid="{00000000-0005-0000-0000-0000C4300000}"/>
    <cellStyle name="40% - Accent3 2 3 5" xfId="5355" xr:uid="{00000000-0005-0000-0000-0000C5300000}"/>
    <cellStyle name="40% - Accent3 2 3_Volatility" xfId="5356" xr:uid="{00000000-0005-0000-0000-0000C6300000}"/>
    <cellStyle name="40% - Accent3 2 4" xfId="5357" xr:uid="{00000000-0005-0000-0000-0000C7300000}"/>
    <cellStyle name="40% - Accent3 2 4 2" xfId="5358" xr:uid="{00000000-0005-0000-0000-0000C8300000}"/>
    <cellStyle name="40% - Accent3 2 4 3" xfId="5359" xr:uid="{00000000-0005-0000-0000-0000C9300000}"/>
    <cellStyle name="40% - Accent3 2 5" xfId="5360" xr:uid="{00000000-0005-0000-0000-0000CA300000}"/>
    <cellStyle name="40% - Accent3 2 5 2" xfId="5361" xr:uid="{00000000-0005-0000-0000-0000CB300000}"/>
    <cellStyle name="40% - Accent3 2 5 3" xfId="5362" xr:uid="{00000000-0005-0000-0000-0000CC300000}"/>
    <cellStyle name="40% - Accent3 2 6" xfId="5363" xr:uid="{00000000-0005-0000-0000-0000CD300000}"/>
    <cellStyle name="40% - Accent3 2 6 2" xfId="5364" xr:uid="{00000000-0005-0000-0000-0000CE300000}"/>
    <cellStyle name="40% - Accent3 2 6 3" xfId="5365" xr:uid="{00000000-0005-0000-0000-0000CF300000}"/>
    <cellStyle name="40% - Accent3 2 7" xfId="5366" xr:uid="{00000000-0005-0000-0000-0000D0300000}"/>
    <cellStyle name="40% - Accent3 2 8" xfId="5367" xr:uid="{00000000-0005-0000-0000-0000D1300000}"/>
    <cellStyle name="40% - Accent3 2_Volatility" xfId="5368" xr:uid="{00000000-0005-0000-0000-0000D2300000}"/>
    <cellStyle name="40% - Accent3 3" xfId="5369" xr:uid="{00000000-0005-0000-0000-0000D3300000}"/>
    <cellStyle name="40% - Accent3 3 2" xfId="5370" xr:uid="{00000000-0005-0000-0000-0000D4300000}"/>
    <cellStyle name="40% - Accent3 3 2 2" xfId="5371" xr:uid="{00000000-0005-0000-0000-0000D5300000}"/>
    <cellStyle name="40% - Accent3 3 2 2 2" xfId="5372" xr:uid="{00000000-0005-0000-0000-0000D6300000}"/>
    <cellStyle name="40% - Accent3 3 2 2 3" xfId="5373" xr:uid="{00000000-0005-0000-0000-0000D7300000}"/>
    <cellStyle name="40% - Accent3 3 2 3" xfId="5374" xr:uid="{00000000-0005-0000-0000-0000D8300000}"/>
    <cellStyle name="40% - Accent3 3 2 3 2" xfId="5375" xr:uid="{00000000-0005-0000-0000-0000D9300000}"/>
    <cellStyle name="40% - Accent3 3 2 3 3" xfId="5376" xr:uid="{00000000-0005-0000-0000-0000DA300000}"/>
    <cellStyle name="40% - Accent3 3 2 4" xfId="5377" xr:uid="{00000000-0005-0000-0000-0000DB300000}"/>
    <cellStyle name="40% - Accent3 3 2 4 2" xfId="5378" xr:uid="{00000000-0005-0000-0000-0000DC300000}"/>
    <cellStyle name="40% - Accent3 3 2 4 3" xfId="5379" xr:uid="{00000000-0005-0000-0000-0000DD300000}"/>
    <cellStyle name="40% - Accent3 3 2 5" xfId="5380" xr:uid="{00000000-0005-0000-0000-0000DE300000}"/>
    <cellStyle name="40% - Accent3 3 2 6" xfId="5381" xr:uid="{00000000-0005-0000-0000-0000DF300000}"/>
    <cellStyle name="40% - Accent3 3 2_Volatility" xfId="5382" xr:uid="{00000000-0005-0000-0000-0000E0300000}"/>
    <cellStyle name="40% - Accent3 3 3" xfId="5383" xr:uid="{00000000-0005-0000-0000-0000E1300000}"/>
    <cellStyle name="40% - Accent3 3 3 2" xfId="5384" xr:uid="{00000000-0005-0000-0000-0000E2300000}"/>
    <cellStyle name="40% - Accent3 3 3 2 2" xfId="5385" xr:uid="{00000000-0005-0000-0000-0000E3300000}"/>
    <cellStyle name="40% - Accent3 3 3 2 3" xfId="5386" xr:uid="{00000000-0005-0000-0000-0000E4300000}"/>
    <cellStyle name="40% - Accent3 3 3 3" xfId="5387" xr:uid="{00000000-0005-0000-0000-0000E5300000}"/>
    <cellStyle name="40% - Accent3 3 3 3 2" xfId="5388" xr:uid="{00000000-0005-0000-0000-0000E6300000}"/>
    <cellStyle name="40% - Accent3 3 3 3 3" xfId="5389" xr:uid="{00000000-0005-0000-0000-0000E7300000}"/>
    <cellStyle name="40% - Accent3 3 3 4" xfId="5390" xr:uid="{00000000-0005-0000-0000-0000E8300000}"/>
    <cellStyle name="40% - Accent3 3 3 5" xfId="5391" xr:uid="{00000000-0005-0000-0000-0000E9300000}"/>
    <cellStyle name="40% - Accent3 3 3_Volatility" xfId="5392" xr:uid="{00000000-0005-0000-0000-0000EA300000}"/>
    <cellStyle name="40% - Accent3 3 4" xfId="5393" xr:uid="{00000000-0005-0000-0000-0000EB300000}"/>
    <cellStyle name="40% - Accent3 3 4 2" xfId="5394" xr:uid="{00000000-0005-0000-0000-0000EC300000}"/>
    <cellStyle name="40% - Accent3 3 4 3" xfId="5395" xr:uid="{00000000-0005-0000-0000-0000ED300000}"/>
    <cellStyle name="40% - Accent3 3 5" xfId="5396" xr:uid="{00000000-0005-0000-0000-0000EE300000}"/>
    <cellStyle name="40% - Accent3 3 5 2" xfId="5397" xr:uid="{00000000-0005-0000-0000-0000EF300000}"/>
    <cellStyle name="40% - Accent3 3 5 3" xfId="5398" xr:uid="{00000000-0005-0000-0000-0000F0300000}"/>
    <cellStyle name="40% - Accent3 3 6" xfId="5399" xr:uid="{00000000-0005-0000-0000-0000F1300000}"/>
    <cellStyle name="40% - Accent3 3 6 2" xfId="5400" xr:uid="{00000000-0005-0000-0000-0000F2300000}"/>
    <cellStyle name="40% - Accent3 3 6 3" xfId="5401" xr:uid="{00000000-0005-0000-0000-0000F3300000}"/>
    <cellStyle name="40% - Accent3 3 7" xfId="5402" xr:uid="{00000000-0005-0000-0000-0000F4300000}"/>
    <cellStyle name="40% - Accent3 3 8" xfId="5403" xr:uid="{00000000-0005-0000-0000-0000F5300000}"/>
    <cellStyle name="40% - Accent3 3_Volatility" xfId="5404" xr:uid="{00000000-0005-0000-0000-0000F6300000}"/>
    <cellStyle name="40% - Accent3 4" xfId="5405" xr:uid="{00000000-0005-0000-0000-0000F7300000}"/>
    <cellStyle name="40% - Accent3 4 2" xfId="5406" xr:uid="{00000000-0005-0000-0000-0000F8300000}"/>
    <cellStyle name="40% - Accent3 4 2 2" xfId="5407" xr:uid="{00000000-0005-0000-0000-0000F9300000}"/>
    <cellStyle name="40% - Accent3 4 2 2 2" xfId="5408" xr:uid="{00000000-0005-0000-0000-0000FA300000}"/>
    <cellStyle name="40% - Accent3 4 2 2 3" xfId="5409" xr:uid="{00000000-0005-0000-0000-0000FB300000}"/>
    <cellStyle name="40% - Accent3 4 2 3" xfId="5410" xr:uid="{00000000-0005-0000-0000-0000FC300000}"/>
    <cellStyle name="40% - Accent3 4 2 3 2" xfId="5411" xr:uid="{00000000-0005-0000-0000-0000FD300000}"/>
    <cellStyle name="40% - Accent3 4 2 3 3" xfId="5412" xr:uid="{00000000-0005-0000-0000-0000FE300000}"/>
    <cellStyle name="40% - Accent3 4 2 4" xfId="5413" xr:uid="{00000000-0005-0000-0000-0000FF300000}"/>
    <cellStyle name="40% - Accent3 4 2 4 2" xfId="5414" xr:uid="{00000000-0005-0000-0000-000000310000}"/>
    <cellStyle name="40% - Accent3 4 2 4 3" xfId="5415" xr:uid="{00000000-0005-0000-0000-000001310000}"/>
    <cellStyle name="40% - Accent3 4 2 5" xfId="5416" xr:uid="{00000000-0005-0000-0000-000002310000}"/>
    <cellStyle name="40% - Accent3 4 2 6" xfId="5417" xr:uid="{00000000-0005-0000-0000-000003310000}"/>
    <cellStyle name="40% - Accent3 4 2_Volatility" xfId="5418" xr:uid="{00000000-0005-0000-0000-000004310000}"/>
    <cellStyle name="40% - Accent3 4 3" xfId="5419" xr:uid="{00000000-0005-0000-0000-000005310000}"/>
    <cellStyle name="40% - Accent3 4 3 2" xfId="5420" xr:uid="{00000000-0005-0000-0000-000006310000}"/>
    <cellStyle name="40% - Accent3 4 3 2 2" xfId="5421" xr:uid="{00000000-0005-0000-0000-000007310000}"/>
    <cellStyle name="40% - Accent3 4 3 2 3" xfId="5422" xr:uid="{00000000-0005-0000-0000-000008310000}"/>
    <cellStyle name="40% - Accent3 4 3 3" xfId="5423" xr:uid="{00000000-0005-0000-0000-000009310000}"/>
    <cellStyle name="40% - Accent3 4 3 3 2" xfId="5424" xr:uid="{00000000-0005-0000-0000-00000A310000}"/>
    <cellStyle name="40% - Accent3 4 3 3 3" xfId="5425" xr:uid="{00000000-0005-0000-0000-00000B310000}"/>
    <cellStyle name="40% - Accent3 4 3 4" xfId="5426" xr:uid="{00000000-0005-0000-0000-00000C310000}"/>
    <cellStyle name="40% - Accent3 4 3 5" xfId="5427" xr:uid="{00000000-0005-0000-0000-00000D310000}"/>
    <cellStyle name="40% - Accent3 4 3_Volatility" xfId="5428" xr:uid="{00000000-0005-0000-0000-00000E310000}"/>
    <cellStyle name="40% - Accent3 4 4" xfId="5429" xr:uid="{00000000-0005-0000-0000-00000F310000}"/>
    <cellStyle name="40% - Accent3 4 4 2" xfId="5430" xr:uid="{00000000-0005-0000-0000-000010310000}"/>
    <cellStyle name="40% - Accent3 4 4 3" xfId="5431" xr:uid="{00000000-0005-0000-0000-000011310000}"/>
    <cellStyle name="40% - Accent3 4 5" xfId="5432" xr:uid="{00000000-0005-0000-0000-000012310000}"/>
    <cellStyle name="40% - Accent3 4 5 2" xfId="5433" xr:uid="{00000000-0005-0000-0000-000013310000}"/>
    <cellStyle name="40% - Accent3 4 5 3" xfId="5434" xr:uid="{00000000-0005-0000-0000-000014310000}"/>
    <cellStyle name="40% - Accent3 4 6" xfId="5435" xr:uid="{00000000-0005-0000-0000-000015310000}"/>
    <cellStyle name="40% - Accent3 4 6 2" xfId="5436" xr:uid="{00000000-0005-0000-0000-000016310000}"/>
    <cellStyle name="40% - Accent3 4 6 3" xfId="5437" xr:uid="{00000000-0005-0000-0000-000017310000}"/>
    <cellStyle name="40% - Accent3 4 7" xfId="5438" xr:uid="{00000000-0005-0000-0000-000018310000}"/>
    <cellStyle name="40% - Accent3 4 8" xfId="5439" xr:uid="{00000000-0005-0000-0000-000019310000}"/>
    <cellStyle name="40% - Accent3 4_Volatility" xfId="5440" xr:uid="{00000000-0005-0000-0000-00001A310000}"/>
    <cellStyle name="40% - Accent3 5" xfId="5441" xr:uid="{00000000-0005-0000-0000-00001B310000}"/>
    <cellStyle name="40% - Accent3 5 2" xfId="5442" xr:uid="{00000000-0005-0000-0000-00001C310000}"/>
    <cellStyle name="40% - Accent3 5 2 2" xfId="5443" xr:uid="{00000000-0005-0000-0000-00001D310000}"/>
    <cellStyle name="40% - Accent3 5 2 2 2" xfId="5444" xr:uid="{00000000-0005-0000-0000-00001E310000}"/>
    <cellStyle name="40% - Accent3 5 2 2 3" xfId="5445" xr:uid="{00000000-0005-0000-0000-00001F310000}"/>
    <cellStyle name="40% - Accent3 5 2 3" xfId="5446" xr:uid="{00000000-0005-0000-0000-000020310000}"/>
    <cellStyle name="40% - Accent3 5 2 3 2" xfId="5447" xr:uid="{00000000-0005-0000-0000-000021310000}"/>
    <cellStyle name="40% - Accent3 5 2 3 3" xfId="5448" xr:uid="{00000000-0005-0000-0000-000022310000}"/>
    <cellStyle name="40% - Accent3 5 2 4" xfId="5449" xr:uid="{00000000-0005-0000-0000-000023310000}"/>
    <cellStyle name="40% - Accent3 5 2 4 2" xfId="5450" xr:uid="{00000000-0005-0000-0000-000024310000}"/>
    <cellStyle name="40% - Accent3 5 2 4 3" xfId="5451" xr:uid="{00000000-0005-0000-0000-000025310000}"/>
    <cellStyle name="40% - Accent3 5 2 5" xfId="5452" xr:uid="{00000000-0005-0000-0000-000026310000}"/>
    <cellStyle name="40% - Accent3 5 2 6" xfId="5453" xr:uid="{00000000-0005-0000-0000-000027310000}"/>
    <cellStyle name="40% - Accent3 5 2_Volatility" xfId="5454" xr:uid="{00000000-0005-0000-0000-000028310000}"/>
    <cellStyle name="40% - Accent3 5 3" xfId="5455" xr:uid="{00000000-0005-0000-0000-000029310000}"/>
    <cellStyle name="40% - Accent3 5 3 2" xfId="5456" xr:uid="{00000000-0005-0000-0000-00002A310000}"/>
    <cellStyle name="40% - Accent3 5 3 2 2" xfId="5457" xr:uid="{00000000-0005-0000-0000-00002B310000}"/>
    <cellStyle name="40% - Accent3 5 3 2 3" xfId="5458" xr:uid="{00000000-0005-0000-0000-00002C310000}"/>
    <cellStyle name="40% - Accent3 5 3 3" xfId="5459" xr:uid="{00000000-0005-0000-0000-00002D310000}"/>
    <cellStyle name="40% - Accent3 5 3 3 2" xfId="5460" xr:uid="{00000000-0005-0000-0000-00002E310000}"/>
    <cellStyle name="40% - Accent3 5 3 3 3" xfId="5461" xr:uid="{00000000-0005-0000-0000-00002F310000}"/>
    <cellStyle name="40% - Accent3 5 3 4" xfId="5462" xr:uid="{00000000-0005-0000-0000-000030310000}"/>
    <cellStyle name="40% - Accent3 5 3 5" xfId="5463" xr:uid="{00000000-0005-0000-0000-000031310000}"/>
    <cellStyle name="40% - Accent3 5 3_Volatility" xfId="5464" xr:uid="{00000000-0005-0000-0000-000032310000}"/>
    <cellStyle name="40% - Accent3 5 4" xfId="5465" xr:uid="{00000000-0005-0000-0000-000033310000}"/>
    <cellStyle name="40% - Accent3 5 4 2" xfId="5466" xr:uid="{00000000-0005-0000-0000-000034310000}"/>
    <cellStyle name="40% - Accent3 5 4 3" xfId="5467" xr:uid="{00000000-0005-0000-0000-000035310000}"/>
    <cellStyle name="40% - Accent3 5 5" xfId="5468" xr:uid="{00000000-0005-0000-0000-000036310000}"/>
    <cellStyle name="40% - Accent3 5 5 2" xfId="5469" xr:uid="{00000000-0005-0000-0000-000037310000}"/>
    <cellStyle name="40% - Accent3 5 5 3" xfId="5470" xr:uid="{00000000-0005-0000-0000-000038310000}"/>
    <cellStyle name="40% - Accent3 5 6" xfId="5471" xr:uid="{00000000-0005-0000-0000-000039310000}"/>
    <cellStyle name="40% - Accent3 5 6 2" xfId="5472" xr:uid="{00000000-0005-0000-0000-00003A310000}"/>
    <cellStyle name="40% - Accent3 5 6 3" xfId="5473" xr:uid="{00000000-0005-0000-0000-00003B310000}"/>
    <cellStyle name="40% - Accent3 5 7" xfId="5474" xr:uid="{00000000-0005-0000-0000-00003C310000}"/>
    <cellStyle name="40% - Accent3 5 8" xfId="5475" xr:uid="{00000000-0005-0000-0000-00003D310000}"/>
    <cellStyle name="40% - Accent3 5_Volatility" xfId="5476" xr:uid="{00000000-0005-0000-0000-00003E310000}"/>
    <cellStyle name="40% - Accent3 6" xfId="5477" xr:uid="{00000000-0005-0000-0000-00003F310000}"/>
    <cellStyle name="40% - Accent3 6 2" xfId="5478" xr:uid="{00000000-0005-0000-0000-000040310000}"/>
    <cellStyle name="40% - Accent3 6 2 2" xfId="5479" xr:uid="{00000000-0005-0000-0000-000041310000}"/>
    <cellStyle name="40% - Accent3 6 2 2 2" xfId="5480" xr:uid="{00000000-0005-0000-0000-000042310000}"/>
    <cellStyle name="40% - Accent3 6 2 2 3" xfId="5481" xr:uid="{00000000-0005-0000-0000-000043310000}"/>
    <cellStyle name="40% - Accent3 6 2 3" xfId="5482" xr:uid="{00000000-0005-0000-0000-000044310000}"/>
    <cellStyle name="40% - Accent3 6 2 3 2" xfId="5483" xr:uid="{00000000-0005-0000-0000-000045310000}"/>
    <cellStyle name="40% - Accent3 6 2 3 3" xfId="5484" xr:uid="{00000000-0005-0000-0000-000046310000}"/>
    <cellStyle name="40% - Accent3 6 2 4" xfId="5485" xr:uid="{00000000-0005-0000-0000-000047310000}"/>
    <cellStyle name="40% - Accent3 6 2 4 2" xfId="5486" xr:uid="{00000000-0005-0000-0000-000048310000}"/>
    <cellStyle name="40% - Accent3 6 2 4 3" xfId="5487" xr:uid="{00000000-0005-0000-0000-000049310000}"/>
    <cellStyle name="40% - Accent3 6 2 5" xfId="5488" xr:uid="{00000000-0005-0000-0000-00004A310000}"/>
    <cellStyle name="40% - Accent3 6 2 6" xfId="5489" xr:uid="{00000000-0005-0000-0000-00004B310000}"/>
    <cellStyle name="40% - Accent3 6 2_Volatility" xfId="5490" xr:uid="{00000000-0005-0000-0000-00004C310000}"/>
    <cellStyle name="40% - Accent3 6 3" xfId="5491" xr:uid="{00000000-0005-0000-0000-00004D310000}"/>
    <cellStyle name="40% - Accent3 6 3 2" xfId="5492" xr:uid="{00000000-0005-0000-0000-00004E310000}"/>
    <cellStyle name="40% - Accent3 6 3 2 2" xfId="5493" xr:uid="{00000000-0005-0000-0000-00004F310000}"/>
    <cellStyle name="40% - Accent3 6 3 2 3" xfId="5494" xr:uid="{00000000-0005-0000-0000-000050310000}"/>
    <cellStyle name="40% - Accent3 6 3 3" xfId="5495" xr:uid="{00000000-0005-0000-0000-000051310000}"/>
    <cellStyle name="40% - Accent3 6 3 3 2" xfId="5496" xr:uid="{00000000-0005-0000-0000-000052310000}"/>
    <cellStyle name="40% - Accent3 6 3 3 3" xfId="5497" xr:uid="{00000000-0005-0000-0000-000053310000}"/>
    <cellStyle name="40% - Accent3 6 3 4" xfId="5498" xr:uid="{00000000-0005-0000-0000-000054310000}"/>
    <cellStyle name="40% - Accent3 6 3 5" xfId="5499" xr:uid="{00000000-0005-0000-0000-000055310000}"/>
    <cellStyle name="40% - Accent3 6 3_Volatility" xfId="5500" xr:uid="{00000000-0005-0000-0000-000056310000}"/>
    <cellStyle name="40% - Accent3 6 4" xfId="5501" xr:uid="{00000000-0005-0000-0000-000057310000}"/>
    <cellStyle name="40% - Accent3 6 4 2" xfId="5502" xr:uid="{00000000-0005-0000-0000-000058310000}"/>
    <cellStyle name="40% - Accent3 6 4 3" xfId="5503" xr:uid="{00000000-0005-0000-0000-000059310000}"/>
    <cellStyle name="40% - Accent3 6 5" xfId="5504" xr:uid="{00000000-0005-0000-0000-00005A310000}"/>
    <cellStyle name="40% - Accent3 6 5 2" xfId="5505" xr:uid="{00000000-0005-0000-0000-00005B310000}"/>
    <cellStyle name="40% - Accent3 6 5 3" xfId="5506" xr:uid="{00000000-0005-0000-0000-00005C310000}"/>
    <cellStyle name="40% - Accent3 6 6" xfId="5507" xr:uid="{00000000-0005-0000-0000-00005D310000}"/>
    <cellStyle name="40% - Accent3 6 6 2" xfId="5508" xr:uid="{00000000-0005-0000-0000-00005E310000}"/>
    <cellStyle name="40% - Accent3 6 6 3" xfId="5509" xr:uid="{00000000-0005-0000-0000-00005F310000}"/>
    <cellStyle name="40% - Accent3 6 7" xfId="5510" xr:uid="{00000000-0005-0000-0000-000060310000}"/>
    <cellStyle name="40% - Accent3 6 8" xfId="5511" xr:uid="{00000000-0005-0000-0000-000061310000}"/>
    <cellStyle name="40% - Accent3 6_Volatility" xfId="5512" xr:uid="{00000000-0005-0000-0000-000062310000}"/>
    <cellStyle name="40% - Accent3 7" xfId="5513" xr:uid="{00000000-0005-0000-0000-000063310000}"/>
    <cellStyle name="40% - Accent3 7 2" xfId="5514" xr:uid="{00000000-0005-0000-0000-000064310000}"/>
    <cellStyle name="40% - Accent3 7 2 2" xfId="5515" xr:uid="{00000000-0005-0000-0000-000065310000}"/>
    <cellStyle name="40% - Accent3 7 2 2 2" xfId="5516" xr:uid="{00000000-0005-0000-0000-000066310000}"/>
    <cellStyle name="40% - Accent3 7 2 2 3" xfId="5517" xr:uid="{00000000-0005-0000-0000-000067310000}"/>
    <cellStyle name="40% - Accent3 7 2 3" xfId="5518" xr:uid="{00000000-0005-0000-0000-000068310000}"/>
    <cellStyle name="40% - Accent3 7 2 3 2" xfId="5519" xr:uid="{00000000-0005-0000-0000-000069310000}"/>
    <cellStyle name="40% - Accent3 7 2 3 3" xfId="5520" xr:uid="{00000000-0005-0000-0000-00006A310000}"/>
    <cellStyle name="40% - Accent3 7 2 4" xfId="5521" xr:uid="{00000000-0005-0000-0000-00006B310000}"/>
    <cellStyle name="40% - Accent3 7 2 4 2" xfId="5522" xr:uid="{00000000-0005-0000-0000-00006C310000}"/>
    <cellStyle name="40% - Accent3 7 2 4 3" xfId="5523" xr:uid="{00000000-0005-0000-0000-00006D310000}"/>
    <cellStyle name="40% - Accent3 7 2 5" xfId="5524" xr:uid="{00000000-0005-0000-0000-00006E310000}"/>
    <cellStyle name="40% - Accent3 7 2 6" xfId="5525" xr:uid="{00000000-0005-0000-0000-00006F310000}"/>
    <cellStyle name="40% - Accent3 7 2_Volatility" xfId="5526" xr:uid="{00000000-0005-0000-0000-000070310000}"/>
    <cellStyle name="40% - Accent3 7 3" xfId="5527" xr:uid="{00000000-0005-0000-0000-000071310000}"/>
    <cellStyle name="40% - Accent3 7 3 2" xfId="5528" xr:uid="{00000000-0005-0000-0000-000072310000}"/>
    <cellStyle name="40% - Accent3 7 3 2 2" xfId="5529" xr:uid="{00000000-0005-0000-0000-000073310000}"/>
    <cellStyle name="40% - Accent3 7 3 2 3" xfId="5530" xr:uid="{00000000-0005-0000-0000-000074310000}"/>
    <cellStyle name="40% - Accent3 7 3 3" xfId="5531" xr:uid="{00000000-0005-0000-0000-000075310000}"/>
    <cellStyle name="40% - Accent3 7 3 3 2" xfId="5532" xr:uid="{00000000-0005-0000-0000-000076310000}"/>
    <cellStyle name="40% - Accent3 7 3 3 3" xfId="5533" xr:uid="{00000000-0005-0000-0000-000077310000}"/>
    <cellStyle name="40% - Accent3 7 3 4" xfId="5534" xr:uid="{00000000-0005-0000-0000-000078310000}"/>
    <cellStyle name="40% - Accent3 7 3 5" xfId="5535" xr:uid="{00000000-0005-0000-0000-000079310000}"/>
    <cellStyle name="40% - Accent3 7 3_Volatility" xfId="5536" xr:uid="{00000000-0005-0000-0000-00007A310000}"/>
    <cellStyle name="40% - Accent3 7 4" xfId="5537" xr:uid="{00000000-0005-0000-0000-00007B310000}"/>
    <cellStyle name="40% - Accent3 7 4 2" xfId="5538" xr:uid="{00000000-0005-0000-0000-00007C310000}"/>
    <cellStyle name="40% - Accent3 7 4 3" xfId="5539" xr:uid="{00000000-0005-0000-0000-00007D310000}"/>
    <cellStyle name="40% - Accent3 7 5" xfId="5540" xr:uid="{00000000-0005-0000-0000-00007E310000}"/>
    <cellStyle name="40% - Accent3 7 5 2" xfId="5541" xr:uid="{00000000-0005-0000-0000-00007F310000}"/>
    <cellStyle name="40% - Accent3 7 5 3" xfId="5542" xr:uid="{00000000-0005-0000-0000-000080310000}"/>
    <cellStyle name="40% - Accent3 7 6" xfId="5543" xr:uid="{00000000-0005-0000-0000-000081310000}"/>
    <cellStyle name="40% - Accent3 7 6 2" xfId="5544" xr:uid="{00000000-0005-0000-0000-000082310000}"/>
    <cellStyle name="40% - Accent3 7 6 3" xfId="5545" xr:uid="{00000000-0005-0000-0000-000083310000}"/>
    <cellStyle name="40% - Accent3 7 7" xfId="5546" xr:uid="{00000000-0005-0000-0000-000084310000}"/>
    <cellStyle name="40% - Accent3 7 8" xfId="5547" xr:uid="{00000000-0005-0000-0000-000085310000}"/>
    <cellStyle name="40% - Accent3 7_Volatility" xfId="5548" xr:uid="{00000000-0005-0000-0000-000086310000}"/>
    <cellStyle name="40% - Accent3 8" xfId="5549" xr:uid="{00000000-0005-0000-0000-000087310000}"/>
    <cellStyle name="40% - Accent3 8 2" xfId="5550" xr:uid="{00000000-0005-0000-0000-000088310000}"/>
    <cellStyle name="40% - Accent3 8 2 2" xfId="5551" xr:uid="{00000000-0005-0000-0000-000089310000}"/>
    <cellStyle name="40% - Accent3 8 2 2 2" xfId="5552" xr:uid="{00000000-0005-0000-0000-00008A310000}"/>
    <cellStyle name="40% - Accent3 8 2 2 3" xfId="5553" xr:uid="{00000000-0005-0000-0000-00008B310000}"/>
    <cellStyle name="40% - Accent3 8 2 3" xfId="5554" xr:uid="{00000000-0005-0000-0000-00008C310000}"/>
    <cellStyle name="40% - Accent3 8 2 3 2" xfId="5555" xr:uid="{00000000-0005-0000-0000-00008D310000}"/>
    <cellStyle name="40% - Accent3 8 2 3 3" xfId="5556" xr:uid="{00000000-0005-0000-0000-00008E310000}"/>
    <cellStyle name="40% - Accent3 8 2 4" xfId="5557" xr:uid="{00000000-0005-0000-0000-00008F310000}"/>
    <cellStyle name="40% - Accent3 8 2 4 2" xfId="5558" xr:uid="{00000000-0005-0000-0000-000090310000}"/>
    <cellStyle name="40% - Accent3 8 2 4 3" xfId="5559" xr:uid="{00000000-0005-0000-0000-000091310000}"/>
    <cellStyle name="40% - Accent3 8 2 5" xfId="5560" xr:uid="{00000000-0005-0000-0000-000092310000}"/>
    <cellStyle name="40% - Accent3 8 2 6" xfId="5561" xr:uid="{00000000-0005-0000-0000-000093310000}"/>
    <cellStyle name="40% - Accent3 8 2_Volatility" xfId="5562" xr:uid="{00000000-0005-0000-0000-000094310000}"/>
    <cellStyle name="40% - Accent3 8 3" xfId="5563" xr:uid="{00000000-0005-0000-0000-000095310000}"/>
    <cellStyle name="40% - Accent3 8 3 2" xfId="5564" xr:uid="{00000000-0005-0000-0000-000096310000}"/>
    <cellStyle name="40% - Accent3 8 3 2 2" xfId="5565" xr:uid="{00000000-0005-0000-0000-000097310000}"/>
    <cellStyle name="40% - Accent3 8 3 2 3" xfId="5566" xr:uid="{00000000-0005-0000-0000-000098310000}"/>
    <cellStyle name="40% - Accent3 8 3 3" xfId="5567" xr:uid="{00000000-0005-0000-0000-000099310000}"/>
    <cellStyle name="40% - Accent3 8 3 3 2" xfId="5568" xr:uid="{00000000-0005-0000-0000-00009A310000}"/>
    <cellStyle name="40% - Accent3 8 3 3 3" xfId="5569" xr:uid="{00000000-0005-0000-0000-00009B310000}"/>
    <cellStyle name="40% - Accent3 8 3 4" xfId="5570" xr:uid="{00000000-0005-0000-0000-00009C310000}"/>
    <cellStyle name="40% - Accent3 8 3 5" xfId="5571" xr:uid="{00000000-0005-0000-0000-00009D310000}"/>
    <cellStyle name="40% - Accent3 8 3_Volatility" xfId="5572" xr:uid="{00000000-0005-0000-0000-00009E310000}"/>
    <cellStyle name="40% - Accent3 8 4" xfId="5573" xr:uid="{00000000-0005-0000-0000-00009F310000}"/>
    <cellStyle name="40% - Accent3 8 4 2" xfId="5574" xr:uid="{00000000-0005-0000-0000-0000A0310000}"/>
    <cellStyle name="40% - Accent3 8 4 3" xfId="5575" xr:uid="{00000000-0005-0000-0000-0000A1310000}"/>
    <cellStyle name="40% - Accent3 8 5" xfId="5576" xr:uid="{00000000-0005-0000-0000-0000A2310000}"/>
    <cellStyle name="40% - Accent3 8 5 2" xfId="5577" xr:uid="{00000000-0005-0000-0000-0000A3310000}"/>
    <cellStyle name="40% - Accent3 8 5 3" xfId="5578" xr:uid="{00000000-0005-0000-0000-0000A4310000}"/>
    <cellStyle name="40% - Accent3 8 6" xfId="5579" xr:uid="{00000000-0005-0000-0000-0000A5310000}"/>
    <cellStyle name="40% - Accent3 8 6 2" xfId="5580" xr:uid="{00000000-0005-0000-0000-0000A6310000}"/>
    <cellStyle name="40% - Accent3 8 6 3" xfId="5581" xr:uid="{00000000-0005-0000-0000-0000A7310000}"/>
    <cellStyle name="40% - Accent3 8 7" xfId="5582" xr:uid="{00000000-0005-0000-0000-0000A8310000}"/>
    <cellStyle name="40% - Accent3 8 8" xfId="5583" xr:uid="{00000000-0005-0000-0000-0000A9310000}"/>
    <cellStyle name="40% - Accent3 8_Volatility" xfId="5584" xr:uid="{00000000-0005-0000-0000-0000AA310000}"/>
    <cellStyle name="40% - Accent3 9" xfId="5585" xr:uid="{00000000-0005-0000-0000-0000AB310000}"/>
    <cellStyle name="40% - Accent3 9 2" xfId="5586" xr:uid="{00000000-0005-0000-0000-0000AC310000}"/>
    <cellStyle name="40% - Accent3 9 2 2" xfId="5587" xr:uid="{00000000-0005-0000-0000-0000AD310000}"/>
    <cellStyle name="40% - Accent3 9 2 2 2" xfId="5588" xr:uid="{00000000-0005-0000-0000-0000AE310000}"/>
    <cellStyle name="40% - Accent3 9 2 2 3" xfId="5589" xr:uid="{00000000-0005-0000-0000-0000AF310000}"/>
    <cellStyle name="40% - Accent3 9 2 3" xfId="5590" xr:uid="{00000000-0005-0000-0000-0000B0310000}"/>
    <cellStyle name="40% - Accent3 9 2 3 2" xfId="5591" xr:uid="{00000000-0005-0000-0000-0000B1310000}"/>
    <cellStyle name="40% - Accent3 9 2 3 3" xfId="5592" xr:uid="{00000000-0005-0000-0000-0000B2310000}"/>
    <cellStyle name="40% - Accent3 9 2 4" xfId="5593" xr:uid="{00000000-0005-0000-0000-0000B3310000}"/>
    <cellStyle name="40% - Accent3 9 2 4 2" xfId="5594" xr:uid="{00000000-0005-0000-0000-0000B4310000}"/>
    <cellStyle name="40% - Accent3 9 2 4 3" xfId="5595" xr:uid="{00000000-0005-0000-0000-0000B5310000}"/>
    <cellStyle name="40% - Accent3 9 2 5" xfId="5596" xr:uid="{00000000-0005-0000-0000-0000B6310000}"/>
    <cellStyle name="40% - Accent3 9 2 6" xfId="5597" xr:uid="{00000000-0005-0000-0000-0000B7310000}"/>
    <cellStyle name="40% - Accent3 9 2_Volatility" xfId="5598" xr:uid="{00000000-0005-0000-0000-0000B8310000}"/>
    <cellStyle name="40% - Accent3 9 3" xfId="5599" xr:uid="{00000000-0005-0000-0000-0000B9310000}"/>
    <cellStyle name="40% - Accent3 9 3 2" xfId="5600" xr:uid="{00000000-0005-0000-0000-0000BA310000}"/>
    <cellStyle name="40% - Accent3 9 3 2 2" xfId="5601" xr:uid="{00000000-0005-0000-0000-0000BB310000}"/>
    <cellStyle name="40% - Accent3 9 3 2 3" xfId="5602" xr:uid="{00000000-0005-0000-0000-0000BC310000}"/>
    <cellStyle name="40% - Accent3 9 3 3" xfId="5603" xr:uid="{00000000-0005-0000-0000-0000BD310000}"/>
    <cellStyle name="40% - Accent3 9 3 3 2" xfId="5604" xr:uid="{00000000-0005-0000-0000-0000BE310000}"/>
    <cellStyle name="40% - Accent3 9 3 3 3" xfId="5605" xr:uid="{00000000-0005-0000-0000-0000BF310000}"/>
    <cellStyle name="40% - Accent3 9 3 4" xfId="5606" xr:uid="{00000000-0005-0000-0000-0000C0310000}"/>
    <cellStyle name="40% - Accent3 9 3 5" xfId="5607" xr:uid="{00000000-0005-0000-0000-0000C1310000}"/>
    <cellStyle name="40% - Accent3 9 3_Volatility" xfId="5608" xr:uid="{00000000-0005-0000-0000-0000C2310000}"/>
    <cellStyle name="40% - Accent3 9 4" xfId="5609" xr:uid="{00000000-0005-0000-0000-0000C3310000}"/>
    <cellStyle name="40% - Accent3 9 4 2" xfId="5610" xr:uid="{00000000-0005-0000-0000-0000C4310000}"/>
    <cellStyle name="40% - Accent3 9 4 3" xfId="5611" xr:uid="{00000000-0005-0000-0000-0000C5310000}"/>
    <cellStyle name="40% - Accent3 9 5" xfId="5612" xr:uid="{00000000-0005-0000-0000-0000C6310000}"/>
    <cellStyle name="40% - Accent3 9 5 2" xfId="5613" xr:uid="{00000000-0005-0000-0000-0000C7310000}"/>
    <cellStyle name="40% - Accent3 9 5 3" xfId="5614" xr:uid="{00000000-0005-0000-0000-0000C8310000}"/>
    <cellStyle name="40% - Accent3 9 6" xfId="5615" xr:uid="{00000000-0005-0000-0000-0000C9310000}"/>
    <cellStyle name="40% - Accent3 9 6 2" xfId="5616" xr:uid="{00000000-0005-0000-0000-0000CA310000}"/>
    <cellStyle name="40% - Accent3 9 6 3" xfId="5617" xr:uid="{00000000-0005-0000-0000-0000CB310000}"/>
    <cellStyle name="40% - Accent3 9 7" xfId="5618" xr:uid="{00000000-0005-0000-0000-0000CC310000}"/>
    <cellStyle name="40% - Accent3 9 8" xfId="5619" xr:uid="{00000000-0005-0000-0000-0000CD310000}"/>
    <cellStyle name="40% - Accent3 9_Volatility" xfId="5620" xr:uid="{00000000-0005-0000-0000-0000CE310000}"/>
    <cellStyle name="40% - Accent4 10" xfId="5621" xr:uid="{00000000-0005-0000-0000-0000CF310000}"/>
    <cellStyle name="40% - Accent4 10 2" xfId="5622" xr:uid="{00000000-0005-0000-0000-0000D0310000}"/>
    <cellStyle name="40% - Accent4 10 2 2" xfId="5623" xr:uid="{00000000-0005-0000-0000-0000D1310000}"/>
    <cellStyle name="40% - Accent4 10 2 2 2" xfId="5624" xr:uid="{00000000-0005-0000-0000-0000D2310000}"/>
    <cellStyle name="40% - Accent4 10 2 2 3" xfId="5625" xr:uid="{00000000-0005-0000-0000-0000D3310000}"/>
    <cellStyle name="40% - Accent4 10 2 3" xfId="5626" xr:uid="{00000000-0005-0000-0000-0000D4310000}"/>
    <cellStyle name="40% - Accent4 10 2 3 2" xfId="5627" xr:uid="{00000000-0005-0000-0000-0000D5310000}"/>
    <cellStyle name="40% - Accent4 10 2 3 3" xfId="5628" xr:uid="{00000000-0005-0000-0000-0000D6310000}"/>
    <cellStyle name="40% - Accent4 10 2 4" xfId="5629" xr:uid="{00000000-0005-0000-0000-0000D7310000}"/>
    <cellStyle name="40% - Accent4 10 2 4 2" xfId="5630" xr:uid="{00000000-0005-0000-0000-0000D8310000}"/>
    <cellStyle name="40% - Accent4 10 2 4 3" xfId="5631" xr:uid="{00000000-0005-0000-0000-0000D9310000}"/>
    <cellStyle name="40% - Accent4 10 2 5" xfId="5632" xr:uid="{00000000-0005-0000-0000-0000DA310000}"/>
    <cellStyle name="40% - Accent4 10 2 6" xfId="5633" xr:uid="{00000000-0005-0000-0000-0000DB310000}"/>
    <cellStyle name="40% - Accent4 10 2_Volatility" xfId="5634" xr:uid="{00000000-0005-0000-0000-0000DC310000}"/>
    <cellStyle name="40% - Accent4 10 3" xfId="5635" xr:uid="{00000000-0005-0000-0000-0000DD310000}"/>
    <cellStyle name="40% - Accent4 10 3 2" xfId="5636" xr:uid="{00000000-0005-0000-0000-0000DE310000}"/>
    <cellStyle name="40% - Accent4 10 3 2 2" xfId="5637" xr:uid="{00000000-0005-0000-0000-0000DF310000}"/>
    <cellStyle name="40% - Accent4 10 3 2 3" xfId="5638" xr:uid="{00000000-0005-0000-0000-0000E0310000}"/>
    <cellStyle name="40% - Accent4 10 3 3" xfId="5639" xr:uid="{00000000-0005-0000-0000-0000E1310000}"/>
    <cellStyle name="40% - Accent4 10 3 3 2" xfId="5640" xr:uid="{00000000-0005-0000-0000-0000E2310000}"/>
    <cellStyle name="40% - Accent4 10 3 3 3" xfId="5641" xr:uid="{00000000-0005-0000-0000-0000E3310000}"/>
    <cellStyle name="40% - Accent4 10 3 4" xfId="5642" xr:uid="{00000000-0005-0000-0000-0000E4310000}"/>
    <cellStyle name="40% - Accent4 10 3 5" xfId="5643" xr:uid="{00000000-0005-0000-0000-0000E5310000}"/>
    <cellStyle name="40% - Accent4 10 3_Volatility" xfId="5644" xr:uid="{00000000-0005-0000-0000-0000E6310000}"/>
    <cellStyle name="40% - Accent4 10 4" xfId="5645" xr:uid="{00000000-0005-0000-0000-0000E7310000}"/>
    <cellStyle name="40% - Accent4 10 4 2" xfId="5646" xr:uid="{00000000-0005-0000-0000-0000E8310000}"/>
    <cellStyle name="40% - Accent4 10 4 3" xfId="5647" xr:uid="{00000000-0005-0000-0000-0000E9310000}"/>
    <cellStyle name="40% - Accent4 10 5" xfId="5648" xr:uid="{00000000-0005-0000-0000-0000EA310000}"/>
    <cellStyle name="40% - Accent4 10 5 2" xfId="5649" xr:uid="{00000000-0005-0000-0000-0000EB310000}"/>
    <cellStyle name="40% - Accent4 10 5 3" xfId="5650" xr:uid="{00000000-0005-0000-0000-0000EC310000}"/>
    <cellStyle name="40% - Accent4 10 6" xfId="5651" xr:uid="{00000000-0005-0000-0000-0000ED310000}"/>
    <cellStyle name="40% - Accent4 10 6 2" xfId="5652" xr:uid="{00000000-0005-0000-0000-0000EE310000}"/>
    <cellStyle name="40% - Accent4 10 6 3" xfId="5653" xr:uid="{00000000-0005-0000-0000-0000EF310000}"/>
    <cellStyle name="40% - Accent4 10 7" xfId="5654" xr:uid="{00000000-0005-0000-0000-0000F0310000}"/>
    <cellStyle name="40% - Accent4 10 8" xfId="5655" xr:uid="{00000000-0005-0000-0000-0000F1310000}"/>
    <cellStyle name="40% - Accent4 10_Volatility" xfId="5656" xr:uid="{00000000-0005-0000-0000-0000F2310000}"/>
    <cellStyle name="40% - Accent4 11" xfId="5657" xr:uid="{00000000-0005-0000-0000-0000F3310000}"/>
    <cellStyle name="40% - Accent4 11 2" xfId="5658" xr:uid="{00000000-0005-0000-0000-0000F4310000}"/>
    <cellStyle name="40% - Accent4 11 2 2" xfId="5659" xr:uid="{00000000-0005-0000-0000-0000F5310000}"/>
    <cellStyle name="40% - Accent4 11 2 2 2" xfId="5660" xr:uid="{00000000-0005-0000-0000-0000F6310000}"/>
    <cellStyle name="40% - Accent4 11 2 2 3" xfId="5661" xr:uid="{00000000-0005-0000-0000-0000F7310000}"/>
    <cellStyle name="40% - Accent4 11 2 3" xfId="5662" xr:uid="{00000000-0005-0000-0000-0000F8310000}"/>
    <cellStyle name="40% - Accent4 11 2 3 2" xfId="5663" xr:uid="{00000000-0005-0000-0000-0000F9310000}"/>
    <cellStyle name="40% - Accent4 11 2 3 3" xfId="5664" xr:uid="{00000000-0005-0000-0000-0000FA310000}"/>
    <cellStyle name="40% - Accent4 11 2 4" xfId="5665" xr:uid="{00000000-0005-0000-0000-0000FB310000}"/>
    <cellStyle name="40% - Accent4 11 2 4 2" xfId="5666" xr:uid="{00000000-0005-0000-0000-0000FC310000}"/>
    <cellStyle name="40% - Accent4 11 2 4 3" xfId="5667" xr:uid="{00000000-0005-0000-0000-0000FD310000}"/>
    <cellStyle name="40% - Accent4 11 2 5" xfId="5668" xr:uid="{00000000-0005-0000-0000-0000FE310000}"/>
    <cellStyle name="40% - Accent4 11 2 6" xfId="5669" xr:uid="{00000000-0005-0000-0000-0000FF310000}"/>
    <cellStyle name="40% - Accent4 11 2_Volatility" xfId="5670" xr:uid="{00000000-0005-0000-0000-000000320000}"/>
    <cellStyle name="40% - Accent4 11 3" xfId="5671" xr:uid="{00000000-0005-0000-0000-000001320000}"/>
    <cellStyle name="40% - Accent4 11 3 2" xfId="5672" xr:uid="{00000000-0005-0000-0000-000002320000}"/>
    <cellStyle name="40% - Accent4 11 3 2 2" xfId="5673" xr:uid="{00000000-0005-0000-0000-000003320000}"/>
    <cellStyle name="40% - Accent4 11 3 2 3" xfId="5674" xr:uid="{00000000-0005-0000-0000-000004320000}"/>
    <cellStyle name="40% - Accent4 11 3 3" xfId="5675" xr:uid="{00000000-0005-0000-0000-000005320000}"/>
    <cellStyle name="40% - Accent4 11 3 3 2" xfId="5676" xr:uid="{00000000-0005-0000-0000-000006320000}"/>
    <cellStyle name="40% - Accent4 11 3 3 3" xfId="5677" xr:uid="{00000000-0005-0000-0000-000007320000}"/>
    <cellStyle name="40% - Accent4 11 3 4" xfId="5678" xr:uid="{00000000-0005-0000-0000-000008320000}"/>
    <cellStyle name="40% - Accent4 11 3 5" xfId="5679" xr:uid="{00000000-0005-0000-0000-000009320000}"/>
    <cellStyle name="40% - Accent4 11 3_Volatility" xfId="5680" xr:uid="{00000000-0005-0000-0000-00000A320000}"/>
    <cellStyle name="40% - Accent4 11 4" xfId="5681" xr:uid="{00000000-0005-0000-0000-00000B320000}"/>
    <cellStyle name="40% - Accent4 11 4 2" xfId="5682" xr:uid="{00000000-0005-0000-0000-00000C320000}"/>
    <cellStyle name="40% - Accent4 11 4 3" xfId="5683" xr:uid="{00000000-0005-0000-0000-00000D320000}"/>
    <cellStyle name="40% - Accent4 11 5" xfId="5684" xr:uid="{00000000-0005-0000-0000-00000E320000}"/>
    <cellStyle name="40% - Accent4 11 5 2" xfId="5685" xr:uid="{00000000-0005-0000-0000-00000F320000}"/>
    <cellStyle name="40% - Accent4 11 5 3" xfId="5686" xr:uid="{00000000-0005-0000-0000-000010320000}"/>
    <cellStyle name="40% - Accent4 11 6" xfId="5687" xr:uid="{00000000-0005-0000-0000-000011320000}"/>
    <cellStyle name="40% - Accent4 11 6 2" xfId="5688" xr:uid="{00000000-0005-0000-0000-000012320000}"/>
    <cellStyle name="40% - Accent4 11 6 3" xfId="5689" xr:uid="{00000000-0005-0000-0000-000013320000}"/>
    <cellStyle name="40% - Accent4 11 7" xfId="5690" xr:uid="{00000000-0005-0000-0000-000014320000}"/>
    <cellStyle name="40% - Accent4 11 8" xfId="5691" xr:uid="{00000000-0005-0000-0000-000015320000}"/>
    <cellStyle name="40% - Accent4 11_Volatility" xfId="5692" xr:uid="{00000000-0005-0000-0000-000016320000}"/>
    <cellStyle name="40% - Accent4 12" xfId="5693" xr:uid="{00000000-0005-0000-0000-000017320000}"/>
    <cellStyle name="40% - Accent4 12 2" xfId="5694" xr:uid="{00000000-0005-0000-0000-000018320000}"/>
    <cellStyle name="40% - Accent4 12 2 2" xfId="5695" xr:uid="{00000000-0005-0000-0000-000019320000}"/>
    <cellStyle name="40% - Accent4 12 2 2 2" xfId="5696" xr:uid="{00000000-0005-0000-0000-00001A320000}"/>
    <cellStyle name="40% - Accent4 12 2 2 3" xfId="5697" xr:uid="{00000000-0005-0000-0000-00001B320000}"/>
    <cellStyle name="40% - Accent4 12 2 3" xfId="5698" xr:uid="{00000000-0005-0000-0000-00001C320000}"/>
    <cellStyle name="40% - Accent4 12 2 3 2" xfId="5699" xr:uid="{00000000-0005-0000-0000-00001D320000}"/>
    <cellStyle name="40% - Accent4 12 2 3 3" xfId="5700" xr:uid="{00000000-0005-0000-0000-00001E320000}"/>
    <cellStyle name="40% - Accent4 12 2 4" xfId="5701" xr:uid="{00000000-0005-0000-0000-00001F320000}"/>
    <cellStyle name="40% - Accent4 12 2 4 2" xfId="5702" xr:uid="{00000000-0005-0000-0000-000020320000}"/>
    <cellStyle name="40% - Accent4 12 2 4 3" xfId="5703" xr:uid="{00000000-0005-0000-0000-000021320000}"/>
    <cellStyle name="40% - Accent4 12 2 5" xfId="5704" xr:uid="{00000000-0005-0000-0000-000022320000}"/>
    <cellStyle name="40% - Accent4 12 2 6" xfId="5705" xr:uid="{00000000-0005-0000-0000-000023320000}"/>
    <cellStyle name="40% - Accent4 12 2_Volatility" xfId="5706" xr:uid="{00000000-0005-0000-0000-000024320000}"/>
    <cellStyle name="40% - Accent4 12 3" xfId="5707" xr:uid="{00000000-0005-0000-0000-000025320000}"/>
    <cellStyle name="40% - Accent4 12 3 2" xfId="5708" xr:uid="{00000000-0005-0000-0000-000026320000}"/>
    <cellStyle name="40% - Accent4 12 3 2 2" xfId="5709" xr:uid="{00000000-0005-0000-0000-000027320000}"/>
    <cellStyle name="40% - Accent4 12 3 2 3" xfId="5710" xr:uid="{00000000-0005-0000-0000-000028320000}"/>
    <cellStyle name="40% - Accent4 12 3 3" xfId="5711" xr:uid="{00000000-0005-0000-0000-000029320000}"/>
    <cellStyle name="40% - Accent4 12 3 3 2" xfId="5712" xr:uid="{00000000-0005-0000-0000-00002A320000}"/>
    <cellStyle name="40% - Accent4 12 3 3 3" xfId="5713" xr:uid="{00000000-0005-0000-0000-00002B320000}"/>
    <cellStyle name="40% - Accent4 12 3 4" xfId="5714" xr:uid="{00000000-0005-0000-0000-00002C320000}"/>
    <cellStyle name="40% - Accent4 12 3 5" xfId="5715" xr:uid="{00000000-0005-0000-0000-00002D320000}"/>
    <cellStyle name="40% - Accent4 12 3_Volatility" xfId="5716" xr:uid="{00000000-0005-0000-0000-00002E320000}"/>
    <cellStyle name="40% - Accent4 12 4" xfId="5717" xr:uid="{00000000-0005-0000-0000-00002F320000}"/>
    <cellStyle name="40% - Accent4 12 4 2" xfId="5718" xr:uid="{00000000-0005-0000-0000-000030320000}"/>
    <cellStyle name="40% - Accent4 12 4 3" xfId="5719" xr:uid="{00000000-0005-0000-0000-000031320000}"/>
    <cellStyle name="40% - Accent4 12 5" xfId="5720" xr:uid="{00000000-0005-0000-0000-000032320000}"/>
    <cellStyle name="40% - Accent4 12 5 2" xfId="5721" xr:uid="{00000000-0005-0000-0000-000033320000}"/>
    <cellStyle name="40% - Accent4 12 5 3" xfId="5722" xr:uid="{00000000-0005-0000-0000-000034320000}"/>
    <cellStyle name="40% - Accent4 12 6" xfId="5723" xr:uid="{00000000-0005-0000-0000-000035320000}"/>
    <cellStyle name="40% - Accent4 12 6 2" xfId="5724" xr:uid="{00000000-0005-0000-0000-000036320000}"/>
    <cellStyle name="40% - Accent4 12 6 3" xfId="5725" xr:uid="{00000000-0005-0000-0000-000037320000}"/>
    <cellStyle name="40% - Accent4 12 7" xfId="5726" xr:uid="{00000000-0005-0000-0000-000038320000}"/>
    <cellStyle name="40% - Accent4 12 8" xfId="5727" xr:uid="{00000000-0005-0000-0000-000039320000}"/>
    <cellStyle name="40% - Accent4 12_Volatility" xfId="5728" xr:uid="{00000000-0005-0000-0000-00003A320000}"/>
    <cellStyle name="40% - Accent4 13" xfId="5729" xr:uid="{00000000-0005-0000-0000-00003B320000}"/>
    <cellStyle name="40% - Accent4 13 2" xfId="5730" xr:uid="{00000000-0005-0000-0000-00003C320000}"/>
    <cellStyle name="40% - Accent4 13 2 2" xfId="5731" xr:uid="{00000000-0005-0000-0000-00003D320000}"/>
    <cellStyle name="40% - Accent4 13 2 2 2" xfId="5732" xr:uid="{00000000-0005-0000-0000-00003E320000}"/>
    <cellStyle name="40% - Accent4 13 2 2 3" xfId="5733" xr:uid="{00000000-0005-0000-0000-00003F320000}"/>
    <cellStyle name="40% - Accent4 13 2 3" xfId="5734" xr:uid="{00000000-0005-0000-0000-000040320000}"/>
    <cellStyle name="40% - Accent4 13 2 3 2" xfId="5735" xr:uid="{00000000-0005-0000-0000-000041320000}"/>
    <cellStyle name="40% - Accent4 13 2 3 3" xfId="5736" xr:uid="{00000000-0005-0000-0000-000042320000}"/>
    <cellStyle name="40% - Accent4 13 2 4" xfId="5737" xr:uid="{00000000-0005-0000-0000-000043320000}"/>
    <cellStyle name="40% - Accent4 13 2 4 2" xfId="5738" xr:uid="{00000000-0005-0000-0000-000044320000}"/>
    <cellStyle name="40% - Accent4 13 2 4 3" xfId="5739" xr:uid="{00000000-0005-0000-0000-000045320000}"/>
    <cellStyle name="40% - Accent4 13 2 5" xfId="5740" xr:uid="{00000000-0005-0000-0000-000046320000}"/>
    <cellStyle name="40% - Accent4 13 2 6" xfId="5741" xr:uid="{00000000-0005-0000-0000-000047320000}"/>
    <cellStyle name="40% - Accent4 13 2_Volatility" xfId="5742" xr:uid="{00000000-0005-0000-0000-000048320000}"/>
    <cellStyle name="40% - Accent4 13 3" xfId="5743" xr:uid="{00000000-0005-0000-0000-000049320000}"/>
    <cellStyle name="40% - Accent4 13 3 2" xfId="5744" xr:uid="{00000000-0005-0000-0000-00004A320000}"/>
    <cellStyle name="40% - Accent4 13 3 2 2" xfId="5745" xr:uid="{00000000-0005-0000-0000-00004B320000}"/>
    <cellStyle name="40% - Accent4 13 3 2 3" xfId="5746" xr:uid="{00000000-0005-0000-0000-00004C320000}"/>
    <cellStyle name="40% - Accent4 13 3 3" xfId="5747" xr:uid="{00000000-0005-0000-0000-00004D320000}"/>
    <cellStyle name="40% - Accent4 13 3 3 2" xfId="5748" xr:uid="{00000000-0005-0000-0000-00004E320000}"/>
    <cellStyle name="40% - Accent4 13 3 3 3" xfId="5749" xr:uid="{00000000-0005-0000-0000-00004F320000}"/>
    <cellStyle name="40% - Accent4 13 3 4" xfId="5750" xr:uid="{00000000-0005-0000-0000-000050320000}"/>
    <cellStyle name="40% - Accent4 13 3 5" xfId="5751" xr:uid="{00000000-0005-0000-0000-000051320000}"/>
    <cellStyle name="40% - Accent4 13 3_Volatility" xfId="5752" xr:uid="{00000000-0005-0000-0000-000052320000}"/>
    <cellStyle name="40% - Accent4 13 4" xfId="5753" xr:uid="{00000000-0005-0000-0000-000053320000}"/>
    <cellStyle name="40% - Accent4 13 4 2" xfId="5754" xr:uid="{00000000-0005-0000-0000-000054320000}"/>
    <cellStyle name="40% - Accent4 13 4 3" xfId="5755" xr:uid="{00000000-0005-0000-0000-000055320000}"/>
    <cellStyle name="40% - Accent4 13 5" xfId="5756" xr:uid="{00000000-0005-0000-0000-000056320000}"/>
    <cellStyle name="40% - Accent4 13 5 2" xfId="5757" xr:uid="{00000000-0005-0000-0000-000057320000}"/>
    <cellStyle name="40% - Accent4 13 5 3" xfId="5758" xr:uid="{00000000-0005-0000-0000-000058320000}"/>
    <cellStyle name="40% - Accent4 13 6" xfId="5759" xr:uid="{00000000-0005-0000-0000-000059320000}"/>
    <cellStyle name="40% - Accent4 13 6 2" xfId="5760" xr:uid="{00000000-0005-0000-0000-00005A320000}"/>
    <cellStyle name="40% - Accent4 13 6 3" xfId="5761" xr:uid="{00000000-0005-0000-0000-00005B320000}"/>
    <cellStyle name="40% - Accent4 13 7" xfId="5762" xr:uid="{00000000-0005-0000-0000-00005C320000}"/>
    <cellStyle name="40% - Accent4 13 8" xfId="5763" xr:uid="{00000000-0005-0000-0000-00005D320000}"/>
    <cellStyle name="40% - Accent4 13_Volatility" xfId="5764" xr:uid="{00000000-0005-0000-0000-00005E320000}"/>
    <cellStyle name="40% - Accent4 14" xfId="5765" xr:uid="{00000000-0005-0000-0000-00005F320000}"/>
    <cellStyle name="40% - Accent4 14 2" xfId="5766" xr:uid="{00000000-0005-0000-0000-000060320000}"/>
    <cellStyle name="40% - Accent4 14 2 2" xfId="5767" xr:uid="{00000000-0005-0000-0000-000061320000}"/>
    <cellStyle name="40% - Accent4 14 2 2 2" xfId="5768" xr:uid="{00000000-0005-0000-0000-000062320000}"/>
    <cellStyle name="40% - Accent4 14 2 2 3" xfId="5769" xr:uid="{00000000-0005-0000-0000-000063320000}"/>
    <cellStyle name="40% - Accent4 14 2 3" xfId="5770" xr:uid="{00000000-0005-0000-0000-000064320000}"/>
    <cellStyle name="40% - Accent4 14 2 3 2" xfId="5771" xr:uid="{00000000-0005-0000-0000-000065320000}"/>
    <cellStyle name="40% - Accent4 14 2 3 3" xfId="5772" xr:uid="{00000000-0005-0000-0000-000066320000}"/>
    <cellStyle name="40% - Accent4 14 2 4" xfId="5773" xr:uid="{00000000-0005-0000-0000-000067320000}"/>
    <cellStyle name="40% - Accent4 14 2 4 2" xfId="5774" xr:uid="{00000000-0005-0000-0000-000068320000}"/>
    <cellStyle name="40% - Accent4 14 2 4 3" xfId="5775" xr:uid="{00000000-0005-0000-0000-000069320000}"/>
    <cellStyle name="40% - Accent4 14 2 5" xfId="5776" xr:uid="{00000000-0005-0000-0000-00006A320000}"/>
    <cellStyle name="40% - Accent4 14 2 6" xfId="5777" xr:uid="{00000000-0005-0000-0000-00006B320000}"/>
    <cellStyle name="40% - Accent4 14 2_Volatility" xfId="5778" xr:uid="{00000000-0005-0000-0000-00006C320000}"/>
    <cellStyle name="40% - Accent4 14 3" xfId="5779" xr:uid="{00000000-0005-0000-0000-00006D320000}"/>
    <cellStyle name="40% - Accent4 14 3 2" xfId="5780" xr:uid="{00000000-0005-0000-0000-00006E320000}"/>
    <cellStyle name="40% - Accent4 14 3 2 2" xfId="5781" xr:uid="{00000000-0005-0000-0000-00006F320000}"/>
    <cellStyle name="40% - Accent4 14 3 2 3" xfId="5782" xr:uid="{00000000-0005-0000-0000-000070320000}"/>
    <cellStyle name="40% - Accent4 14 3 3" xfId="5783" xr:uid="{00000000-0005-0000-0000-000071320000}"/>
    <cellStyle name="40% - Accent4 14 3 3 2" xfId="5784" xr:uid="{00000000-0005-0000-0000-000072320000}"/>
    <cellStyle name="40% - Accent4 14 3 3 3" xfId="5785" xr:uid="{00000000-0005-0000-0000-000073320000}"/>
    <cellStyle name="40% - Accent4 14 3 4" xfId="5786" xr:uid="{00000000-0005-0000-0000-000074320000}"/>
    <cellStyle name="40% - Accent4 14 3 5" xfId="5787" xr:uid="{00000000-0005-0000-0000-000075320000}"/>
    <cellStyle name="40% - Accent4 14 3_Volatility" xfId="5788" xr:uid="{00000000-0005-0000-0000-000076320000}"/>
    <cellStyle name="40% - Accent4 14 4" xfId="5789" xr:uid="{00000000-0005-0000-0000-000077320000}"/>
    <cellStyle name="40% - Accent4 14 4 2" xfId="5790" xr:uid="{00000000-0005-0000-0000-000078320000}"/>
    <cellStyle name="40% - Accent4 14 4 3" xfId="5791" xr:uid="{00000000-0005-0000-0000-000079320000}"/>
    <cellStyle name="40% - Accent4 14 5" xfId="5792" xr:uid="{00000000-0005-0000-0000-00007A320000}"/>
    <cellStyle name="40% - Accent4 14 5 2" xfId="5793" xr:uid="{00000000-0005-0000-0000-00007B320000}"/>
    <cellStyle name="40% - Accent4 14 5 3" xfId="5794" xr:uid="{00000000-0005-0000-0000-00007C320000}"/>
    <cellStyle name="40% - Accent4 14 6" xfId="5795" xr:uid="{00000000-0005-0000-0000-00007D320000}"/>
    <cellStyle name="40% - Accent4 14 6 2" xfId="5796" xr:uid="{00000000-0005-0000-0000-00007E320000}"/>
    <cellStyle name="40% - Accent4 14 6 3" xfId="5797" xr:uid="{00000000-0005-0000-0000-00007F320000}"/>
    <cellStyle name="40% - Accent4 14 7" xfId="5798" xr:uid="{00000000-0005-0000-0000-000080320000}"/>
    <cellStyle name="40% - Accent4 14 8" xfId="5799" xr:uid="{00000000-0005-0000-0000-000081320000}"/>
    <cellStyle name="40% - Accent4 14_Volatility" xfId="5800" xr:uid="{00000000-0005-0000-0000-000082320000}"/>
    <cellStyle name="40% - Accent4 15" xfId="5801" xr:uid="{00000000-0005-0000-0000-000083320000}"/>
    <cellStyle name="40% - Accent4 15 2" xfId="5802" xr:uid="{00000000-0005-0000-0000-000084320000}"/>
    <cellStyle name="40% - Accent4 15 2 2" xfId="5803" xr:uid="{00000000-0005-0000-0000-000085320000}"/>
    <cellStyle name="40% - Accent4 15 2 2 2" xfId="5804" xr:uid="{00000000-0005-0000-0000-000086320000}"/>
    <cellStyle name="40% - Accent4 15 2 2 3" xfId="5805" xr:uid="{00000000-0005-0000-0000-000087320000}"/>
    <cellStyle name="40% - Accent4 15 2 3" xfId="5806" xr:uid="{00000000-0005-0000-0000-000088320000}"/>
    <cellStyle name="40% - Accent4 15 2 3 2" xfId="5807" xr:uid="{00000000-0005-0000-0000-000089320000}"/>
    <cellStyle name="40% - Accent4 15 2 3 3" xfId="5808" xr:uid="{00000000-0005-0000-0000-00008A320000}"/>
    <cellStyle name="40% - Accent4 15 2 4" xfId="5809" xr:uid="{00000000-0005-0000-0000-00008B320000}"/>
    <cellStyle name="40% - Accent4 15 2 4 2" xfId="5810" xr:uid="{00000000-0005-0000-0000-00008C320000}"/>
    <cellStyle name="40% - Accent4 15 2 4 3" xfId="5811" xr:uid="{00000000-0005-0000-0000-00008D320000}"/>
    <cellStyle name="40% - Accent4 15 2 5" xfId="5812" xr:uid="{00000000-0005-0000-0000-00008E320000}"/>
    <cellStyle name="40% - Accent4 15 2 6" xfId="5813" xr:uid="{00000000-0005-0000-0000-00008F320000}"/>
    <cellStyle name="40% - Accent4 15 2_Volatility" xfId="5814" xr:uid="{00000000-0005-0000-0000-000090320000}"/>
    <cellStyle name="40% - Accent4 15 3" xfId="5815" xr:uid="{00000000-0005-0000-0000-000091320000}"/>
    <cellStyle name="40% - Accent4 15 3 2" xfId="5816" xr:uid="{00000000-0005-0000-0000-000092320000}"/>
    <cellStyle name="40% - Accent4 15 3 2 2" xfId="5817" xr:uid="{00000000-0005-0000-0000-000093320000}"/>
    <cellStyle name="40% - Accent4 15 3 2 3" xfId="5818" xr:uid="{00000000-0005-0000-0000-000094320000}"/>
    <cellStyle name="40% - Accent4 15 3 3" xfId="5819" xr:uid="{00000000-0005-0000-0000-000095320000}"/>
    <cellStyle name="40% - Accent4 15 3 3 2" xfId="5820" xr:uid="{00000000-0005-0000-0000-000096320000}"/>
    <cellStyle name="40% - Accent4 15 3 3 3" xfId="5821" xr:uid="{00000000-0005-0000-0000-000097320000}"/>
    <cellStyle name="40% - Accent4 15 3 4" xfId="5822" xr:uid="{00000000-0005-0000-0000-000098320000}"/>
    <cellStyle name="40% - Accent4 15 3 5" xfId="5823" xr:uid="{00000000-0005-0000-0000-000099320000}"/>
    <cellStyle name="40% - Accent4 15 3_Volatility" xfId="5824" xr:uid="{00000000-0005-0000-0000-00009A320000}"/>
    <cellStyle name="40% - Accent4 15 4" xfId="5825" xr:uid="{00000000-0005-0000-0000-00009B320000}"/>
    <cellStyle name="40% - Accent4 15 4 2" xfId="5826" xr:uid="{00000000-0005-0000-0000-00009C320000}"/>
    <cellStyle name="40% - Accent4 15 4 3" xfId="5827" xr:uid="{00000000-0005-0000-0000-00009D320000}"/>
    <cellStyle name="40% - Accent4 15 5" xfId="5828" xr:uid="{00000000-0005-0000-0000-00009E320000}"/>
    <cellStyle name="40% - Accent4 15 5 2" xfId="5829" xr:uid="{00000000-0005-0000-0000-00009F320000}"/>
    <cellStyle name="40% - Accent4 15 5 3" xfId="5830" xr:uid="{00000000-0005-0000-0000-0000A0320000}"/>
    <cellStyle name="40% - Accent4 15 6" xfId="5831" xr:uid="{00000000-0005-0000-0000-0000A1320000}"/>
    <cellStyle name="40% - Accent4 15 6 2" xfId="5832" xr:uid="{00000000-0005-0000-0000-0000A2320000}"/>
    <cellStyle name="40% - Accent4 15 6 3" xfId="5833" xr:uid="{00000000-0005-0000-0000-0000A3320000}"/>
    <cellStyle name="40% - Accent4 15 7" xfId="5834" xr:uid="{00000000-0005-0000-0000-0000A4320000}"/>
    <cellStyle name="40% - Accent4 15 8" xfId="5835" xr:uid="{00000000-0005-0000-0000-0000A5320000}"/>
    <cellStyle name="40% - Accent4 15_Volatility" xfId="5836" xr:uid="{00000000-0005-0000-0000-0000A6320000}"/>
    <cellStyle name="40% - Accent4 16" xfId="5837" xr:uid="{00000000-0005-0000-0000-0000A7320000}"/>
    <cellStyle name="40% - Accent4 16 2" xfId="15937" xr:uid="{00000000-0005-0000-0000-0000A8320000}"/>
    <cellStyle name="40% - Accent4 16 3" xfId="19888" xr:uid="{00000000-0005-0000-0000-0000A9320000}"/>
    <cellStyle name="40% - Accent4 17" xfId="5838" xr:uid="{00000000-0005-0000-0000-0000AA320000}"/>
    <cellStyle name="40% - Accent4 17 2" xfId="15938" xr:uid="{00000000-0005-0000-0000-0000AB320000}"/>
    <cellStyle name="40% - Accent4 17 3" xfId="19889" xr:uid="{00000000-0005-0000-0000-0000AC320000}"/>
    <cellStyle name="40% - Accent4 18" xfId="5839" xr:uid="{00000000-0005-0000-0000-0000AD320000}"/>
    <cellStyle name="40% - Accent4 18 2" xfId="15939" xr:uid="{00000000-0005-0000-0000-0000AE320000}"/>
    <cellStyle name="40% - Accent4 18 3" xfId="19890" xr:uid="{00000000-0005-0000-0000-0000AF320000}"/>
    <cellStyle name="40% - Accent4 19" xfId="5840" xr:uid="{00000000-0005-0000-0000-0000B0320000}"/>
    <cellStyle name="40% - Accent4 19 2" xfId="15940" xr:uid="{00000000-0005-0000-0000-0000B1320000}"/>
    <cellStyle name="40% - Accent4 19 3" xfId="19891" xr:uid="{00000000-0005-0000-0000-0000B2320000}"/>
    <cellStyle name="40% - Accent4 2" xfId="5841" xr:uid="{00000000-0005-0000-0000-0000B3320000}"/>
    <cellStyle name="40% - Accent4 2 2" xfId="5842" xr:uid="{00000000-0005-0000-0000-0000B4320000}"/>
    <cellStyle name="40% - Accent4 2 2 2" xfId="5843" xr:uid="{00000000-0005-0000-0000-0000B5320000}"/>
    <cellStyle name="40% - Accent4 2 2 2 2" xfId="5844" xr:uid="{00000000-0005-0000-0000-0000B6320000}"/>
    <cellStyle name="40% - Accent4 2 2 2 3" xfId="5845" xr:uid="{00000000-0005-0000-0000-0000B7320000}"/>
    <cellStyle name="40% - Accent4 2 2 3" xfId="5846" xr:uid="{00000000-0005-0000-0000-0000B8320000}"/>
    <cellStyle name="40% - Accent4 2 2 3 2" xfId="5847" xr:uid="{00000000-0005-0000-0000-0000B9320000}"/>
    <cellStyle name="40% - Accent4 2 2 3 3" xfId="5848" xr:uid="{00000000-0005-0000-0000-0000BA320000}"/>
    <cellStyle name="40% - Accent4 2 2 4" xfId="5849" xr:uid="{00000000-0005-0000-0000-0000BB320000}"/>
    <cellStyle name="40% - Accent4 2 2 4 2" xfId="5850" xr:uid="{00000000-0005-0000-0000-0000BC320000}"/>
    <cellStyle name="40% - Accent4 2 2 4 3" xfId="5851" xr:uid="{00000000-0005-0000-0000-0000BD320000}"/>
    <cellStyle name="40% - Accent4 2 2 5" xfId="5852" xr:uid="{00000000-0005-0000-0000-0000BE320000}"/>
    <cellStyle name="40% - Accent4 2 2 6" xfId="5853" xr:uid="{00000000-0005-0000-0000-0000BF320000}"/>
    <cellStyle name="40% - Accent4 2 2_Volatility" xfId="5854" xr:uid="{00000000-0005-0000-0000-0000C0320000}"/>
    <cellStyle name="40% - Accent4 2 3" xfId="5855" xr:uid="{00000000-0005-0000-0000-0000C1320000}"/>
    <cellStyle name="40% - Accent4 2 3 2" xfId="5856" xr:uid="{00000000-0005-0000-0000-0000C2320000}"/>
    <cellStyle name="40% - Accent4 2 3 2 2" xfId="5857" xr:uid="{00000000-0005-0000-0000-0000C3320000}"/>
    <cellStyle name="40% - Accent4 2 3 2 3" xfId="5858" xr:uid="{00000000-0005-0000-0000-0000C4320000}"/>
    <cellStyle name="40% - Accent4 2 3 3" xfId="5859" xr:uid="{00000000-0005-0000-0000-0000C5320000}"/>
    <cellStyle name="40% - Accent4 2 3 3 2" xfId="5860" xr:uid="{00000000-0005-0000-0000-0000C6320000}"/>
    <cellStyle name="40% - Accent4 2 3 3 3" xfId="5861" xr:uid="{00000000-0005-0000-0000-0000C7320000}"/>
    <cellStyle name="40% - Accent4 2 3 4" xfId="5862" xr:uid="{00000000-0005-0000-0000-0000C8320000}"/>
    <cellStyle name="40% - Accent4 2 3 5" xfId="5863" xr:uid="{00000000-0005-0000-0000-0000C9320000}"/>
    <cellStyle name="40% - Accent4 2 3_Volatility" xfId="5864" xr:uid="{00000000-0005-0000-0000-0000CA320000}"/>
    <cellStyle name="40% - Accent4 2 4" xfId="5865" xr:uid="{00000000-0005-0000-0000-0000CB320000}"/>
    <cellStyle name="40% - Accent4 2 4 2" xfId="5866" xr:uid="{00000000-0005-0000-0000-0000CC320000}"/>
    <cellStyle name="40% - Accent4 2 4 3" xfId="5867" xr:uid="{00000000-0005-0000-0000-0000CD320000}"/>
    <cellStyle name="40% - Accent4 2 5" xfId="5868" xr:uid="{00000000-0005-0000-0000-0000CE320000}"/>
    <cellStyle name="40% - Accent4 2 5 2" xfId="5869" xr:uid="{00000000-0005-0000-0000-0000CF320000}"/>
    <cellStyle name="40% - Accent4 2 5 3" xfId="5870" xr:uid="{00000000-0005-0000-0000-0000D0320000}"/>
    <cellStyle name="40% - Accent4 2 6" xfId="5871" xr:uid="{00000000-0005-0000-0000-0000D1320000}"/>
    <cellStyle name="40% - Accent4 2 6 2" xfId="5872" xr:uid="{00000000-0005-0000-0000-0000D2320000}"/>
    <cellStyle name="40% - Accent4 2 6 3" xfId="5873" xr:uid="{00000000-0005-0000-0000-0000D3320000}"/>
    <cellStyle name="40% - Accent4 2 7" xfId="5874" xr:uid="{00000000-0005-0000-0000-0000D4320000}"/>
    <cellStyle name="40% - Accent4 2 8" xfId="5875" xr:uid="{00000000-0005-0000-0000-0000D5320000}"/>
    <cellStyle name="40% - Accent4 2_Volatility" xfId="5876" xr:uid="{00000000-0005-0000-0000-0000D6320000}"/>
    <cellStyle name="40% - Accent4 3" xfId="5877" xr:uid="{00000000-0005-0000-0000-0000D7320000}"/>
    <cellStyle name="40% - Accent4 3 2" xfId="5878" xr:uid="{00000000-0005-0000-0000-0000D8320000}"/>
    <cellStyle name="40% - Accent4 3 2 2" xfId="5879" xr:uid="{00000000-0005-0000-0000-0000D9320000}"/>
    <cellStyle name="40% - Accent4 3 2 2 2" xfId="5880" xr:uid="{00000000-0005-0000-0000-0000DA320000}"/>
    <cellStyle name="40% - Accent4 3 2 2 3" xfId="5881" xr:uid="{00000000-0005-0000-0000-0000DB320000}"/>
    <cellStyle name="40% - Accent4 3 2 3" xfId="5882" xr:uid="{00000000-0005-0000-0000-0000DC320000}"/>
    <cellStyle name="40% - Accent4 3 2 3 2" xfId="5883" xr:uid="{00000000-0005-0000-0000-0000DD320000}"/>
    <cellStyle name="40% - Accent4 3 2 3 3" xfId="5884" xr:uid="{00000000-0005-0000-0000-0000DE320000}"/>
    <cellStyle name="40% - Accent4 3 2 4" xfId="5885" xr:uid="{00000000-0005-0000-0000-0000DF320000}"/>
    <cellStyle name="40% - Accent4 3 2 4 2" xfId="5886" xr:uid="{00000000-0005-0000-0000-0000E0320000}"/>
    <cellStyle name="40% - Accent4 3 2 4 3" xfId="5887" xr:uid="{00000000-0005-0000-0000-0000E1320000}"/>
    <cellStyle name="40% - Accent4 3 2 5" xfId="5888" xr:uid="{00000000-0005-0000-0000-0000E2320000}"/>
    <cellStyle name="40% - Accent4 3 2 6" xfId="5889" xr:uid="{00000000-0005-0000-0000-0000E3320000}"/>
    <cellStyle name="40% - Accent4 3 2_Volatility" xfId="5890" xr:uid="{00000000-0005-0000-0000-0000E4320000}"/>
    <cellStyle name="40% - Accent4 3 3" xfId="5891" xr:uid="{00000000-0005-0000-0000-0000E5320000}"/>
    <cellStyle name="40% - Accent4 3 3 2" xfId="5892" xr:uid="{00000000-0005-0000-0000-0000E6320000}"/>
    <cellStyle name="40% - Accent4 3 3 2 2" xfId="5893" xr:uid="{00000000-0005-0000-0000-0000E7320000}"/>
    <cellStyle name="40% - Accent4 3 3 2 3" xfId="5894" xr:uid="{00000000-0005-0000-0000-0000E8320000}"/>
    <cellStyle name="40% - Accent4 3 3 3" xfId="5895" xr:uid="{00000000-0005-0000-0000-0000E9320000}"/>
    <cellStyle name="40% - Accent4 3 3 3 2" xfId="5896" xr:uid="{00000000-0005-0000-0000-0000EA320000}"/>
    <cellStyle name="40% - Accent4 3 3 3 3" xfId="5897" xr:uid="{00000000-0005-0000-0000-0000EB320000}"/>
    <cellStyle name="40% - Accent4 3 3 4" xfId="5898" xr:uid="{00000000-0005-0000-0000-0000EC320000}"/>
    <cellStyle name="40% - Accent4 3 3 5" xfId="5899" xr:uid="{00000000-0005-0000-0000-0000ED320000}"/>
    <cellStyle name="40% - Accent4 3 3_Volatility" xfId="5900" xr:uid="{00000000-0005-0000-0000-0000EE320000}"/>
    <cellStyle name="40% - Accent4 3 4" xfId="5901" xr:uid="{00000000-0005-0000-0000-0000EF320000}"/>
    <cellStyle name="40% - Accent4 3 4 2" xfId="5902" xr:uid="{00000000-0005-0000-0000-0000F0320000}"/>
    <cellStyle name="40% - Accent4 3 4 3" xfId="5903" xr:uid="{00000000-0005-0000-0000-0000F1320000}"/>
    <cellStyle name="40% - Accent4 3 5" xfId="5904" xr:uid="{00000000-0005-0000-0000-0000F2320000}"/>
    <cellStyle name="40% - Accent4 3 5 2" xfId="5905" xr:uid="{00000000-0005-0000-0000-0000F3320000}"/>
    <cellStyle name="40% - Accent4 3 5 3" xfId="5906" xr:uid="{00000000-0005-0000-0000-0000F4320000}"/>
    <cellStyle name="40% - Accent4 3 6" xfId="5907" xr:uid="{00000000-0005-0000-0000-0000F5320000}"/>
    <cellStyle name="40% - Accent4 3 6 2" xfId="5908" xr:uid="{00000000-0005-0000-0000-0000F6320000}"/>
    <cellStyle name="40% - Accent4 3 6 3" xfId="5909" xr:uid="{00000000-0005-0000-0000-0000F7320000}"/>
    <cellStyle name="40% - Accent4 3 7" xfId="5910" xr:uid="{00000000-0005-0000-0000-0000F8320000}"/>
    <cellStyle name="40% - Accent4 3 8" xfId="5911" xr:uid="{00000000-0005-0000-0000-0000F9320000}"/>
    <cellStyle name="40% - Accent4 3_Volatility" xfId="5912" xr:uid="{00000000-0005-0000-0000-0000FA320000}"/>
    <cellStyle name="40% - Accent4 4" xfId="5913" xr:uid="{00000000-0005-0000-0000-0000FB320000}"/>
    <cellStyle name="40% - Accent4 4 2" xfId="5914" xr:uid="{00000000-0005-0000-0000-0000FC320000}"/>
    <cellStyle name="40% - Accent4 4 2 2" xfId="5915" xr:uid="{00000000-0005-0000-0000-0000FD320000}"/>
    <cellStyle name="40% - Accent4 4 2 2 2" xfId="5916" xr:uid="{00000000-0005-0000-0000-0000FE320000}"/>
    <cellStyle name="40% - Accent4 4 2 2 3" xfId="5917" xr:uid="{00000000-0005-0000-0000-0000FF320000}"/>
    <cellStyle name="40% - Accent4 4 2 3" xfId="5918" xr:uid="{00000000-0005-0000-0000-000000330000}"/>
    <cellStyle name="40% - Accent4 4 2 3 2" xfId="5919" xr:uid="{00000000-0005-0000-0000-000001330000}"/>
    <cellStyle name="40% - Accent4 4 2 3 3" xfId="5920" xr:uid="{00000000-0005-0000-0000-000002330000}"/>
    <cellStyle name="40% - Accent4 4 2 4" xfId="5921" xr:uid="{00000000-0005-0000-0000-000003330000}"/>
    <cellStyle name="40% - Accent4 4 2 4 2" xfId="5922" xr:uid="{00000000-0005-0000-0000-000004330000}"/>
    <cellStyle name="40% - Accent4 4 2 4 3" xfId="5923" xr:uid="{00000000-0005-0000-0000-000005330000}"/>
    <cellStyle name="40% - Accent4 4 2 5" xfId="5924" xr:uid="{00000000-0005-0000-0000-000006330000}"/>
    <cellStyle name="40% - Accent4 4 2 6" xfId="5925" xr:uid="{00000000-0005-0000-0000-000007330000}"/>
    <cellStyle name="40% - Accent4 4 2_Volatility" xfId="5926" xr:uid="{00000000-0005-0000-0000-000008330000}"/>
    <cellStyle name="40% - Accent4 4 3" xfId="5927" xr:uid="{00000000-0005-0000-0000-000009330000}"/>
    <cellStyle name="40% - Accent4 4 3 2" xfId="5928" xr:uid="{00000000-0005-0000-0000-00000A330000}"/>
    <cellStyle name="40% - Accent4 4 3 2 2" xfId="5929" xr:uid="{00000000-0005-0000-0000-00000B330000}"/>
    <cellStyle name="40% - Accent4 4 3 2 3" xfId="5930" xr:uid="{00000000-0005-0000-0000-00000C330000}"/>
    <cellStyle name="40% - Accent4 4 3 3" xfId="5931" xr:uid="{00000000-0005-0000-0000-00000D330000}"/>
    <cellStyle name="40% - Accent4 4 3 3 2" xfId="5932" xr:uid="{00000000-0005-0000-0000-00000E330000}"/>
    <cellStyle name="40% - Accent4 4 3 3 3" xfId="5933" xr:uid="{00000000-0005-0000-0000-00000F330000}"/>
    <cellStyle name="40% - Accent4 4 3 4" xfId="5934" xr:uid="{00000000-0005-0000-0000-000010330000}"/>
    <cellStyle name="40% - Accent4 4 3 5" xfId="5935" xr:uid="{00000000-0005-0000-0000-000011330000}"/>
    <cellStyle name="40% - Accent4 4 3_Volatility" xfId="5936" xr:uid="{00000000-0005-0000-0000-000012330000}"/>
    <cellStyle name="40% - Accent4 4 4" xfId="5937" xr:uid="{00000000-0005-0000-0000-000013330000}"/>
    <cellStyle name="40% - Accent4 4 4 2" xfId="5938" xr:uid="{00000000-0005-0000-0000-000014330000}"/>
    <cellStyle name="40% - Accent4 4 4 3" xfId="5939" xr:uid="{00000000-0005-0000-0000-000015330000}"/>
    <cellStyle name="40% - Accent4 4 5" xfId="5940" xr:uid="{00000000-0005-0000-0000-000016330000}"/>
    <cellStyle name="40% - Accent4 4 5 2" xfId="5941" xr:uid="{00000000-0005-0000-0000-000017330000}"/>
    <cellStyle name="40% - Accent4 4 5 3" xfId="5942" xr:uid="{00000000-0005-0000-0000-000018330000}"/>
    <cellStyle name="40% - Accent4 4 6" xfId="5943" xr:uid="{00000000-0005-0000-0000-000019330000}"/>
    <cellStyle name="40% - Accent4 4 6 2" xfId="5944" xr:uid="{00000000-0005-0000-0000-00001A330000}"/>
    <cellStyle name="40% - Accent4 4 6 3" xfId="5945" xr:uid="{00000000-0005-0000-0000-00001B330000}"/>
    <cellStyle name="40% - Accent4 4 7" xfId="5946" xr:uid="{00000000-0005-0000-0000-00001C330000}"/>
    <cellStyle name="40% - Accent4 4 8" xfId="5947" xr:uid="{00000000-0005-0000-0000-00001D330000}"/>
    <cellStyle name="40% - Accent4 4_Volatility" xfId="5948" xr:uid="{00000000-0005-0000-0000-00001E330000}"/>
    <cellStyle name="40% - Accent4 5" xfId="5949" xr:uid="{00000000-0005-0000-0000-00001F330000}"/>
    <cellStyle name="40% - Accent4 5 2" xfId="5950" xr:uid="{00000000-0005-0000-0000-000020330000}"/>
    <cellStyle name="40% - Accent4 5 2 2" xfId="5951" xr:uid="{00000000-0005-0000-0000-000021330000}"/>
    <cellStyle name="40% - Accent4 5 2 2 2" xfId="5952" xr:uid="{00000000-0005-0000-0000-000022330000}"/>
    <cellStyle name="40% - Accent4 5 2 2 3" xfId="5953" xr:uid="{00000000-0005-0000-0000-000023330000}"/>
    <cellStyle name="40% - Accent4 5 2 3" xfId="5954" xr:uid="{00000000-0005-0000-0000-000024330000}"/>
    <cellStyle name="40% - Accent4 5 2 3 2" xfId="5955" xr:uid="{00000000-0005-0000-0000-000025330000}"/>
    <cellStyle name="40% - Accent4 5 2 3 3" xfId="5956" xr:uid="{00000000-0005-0000-0000-000026330000}"/>
    <cellStyle name="40% - Accent4 5 2 4" xfId="5957" xr:uid="{00000000-0005-0000-0000-000027330000}"/>
    <cellStyle name="40% - Accent4 5 2 4 2" xfId="5958" xr:uid="{00000000-0005-0000-0000-000028330000}"/>
    <cellStyle name="40% - Accent4 5 2 4 3" xfId="5959" xr:uid="{00000000-0005-0000-0000-000029330000}"/>
    <cellStyle name="40% - Accent4 5 2 5" xfId="5960" xr:uid="{00000000-0005-0000-0000-00002A330000}"/>
    <cellStyle name="40% - Accent4 5 2 6" xfId="5961" xr:uid="{00000000-0005-0000-0000-00002B330000}"/>
    <cellStyle name="40% - Accent4 5 2_Volatility" xfId="5962" xr:uid="{00000000-0005-0000-0000-00002C330000}"/>
    <cellStyle name="40% - Accent4 5 3" xfId="5963" xr:uid="{00000000-0005-0000-0000-00002D330000}"/>
    <cellStyle name="40% - Accent4 5 3 2" xfId="5964" xr:uid="{00000000-0005-0000-0000-00002E330000}"/>
    <cellStyle name="40% - Accent4 5 3 2 2" xfId="5965" xr:uid="{00000000-0005-0000-0000-00002F330000}"/>
    <cellStyle name="40% - Accent4 5 3 2 3" xfId="5966" xr:uid="{00000000-0005-0000-0000-000030330000}"/>
    <cellStyle name="40% - Accent4 5 3 3" xfId="5967" xr:uid="{00000000-0005-0000-0000-000031330000}"/>
    <cellStyle name="40% - Accent4 5 3 3 2" xfId="5968" xr:uid="{00000000-0005-0000-0000-000032330000}"/>
    <cellStyle name="40% - Accent4 5 3 3 3" xfId="5969" xr:uid="{00000000-0005-0000-0000-000033330000}"/>
    <cellStyle name="40% - Accent4 5 3 4" xfId="5970" xr:uid="{00000000-0005-0000-0000-000034330000}"/>
    <cellStyle name="40% - Accent4 5 3 5" xfId="5971" xr:uid="{00000000-0005-0000-0000-000035330000}"/>
    <cellStyle name="40% - Accent4 5 3_Volatility" xfId="5972" xr:uid="{00000000-0005-0000-0000-000036330000}"/>
    <cellStyle name="40% - Accent4 5 4" xfId="5973" xr:uid="{00000000-0005-0000-0000-000037330000}"/>
    <cellStyle name="40% - Accent4 5 4 2" xfId="5974" xr:uid="{00000000-0005-0000-0000-000038330000}"/>
    <cellStyle name="40% - Accent4 5 4 3" xfId="5975" xr:uid="{00000000-0005-0000-0000-000039330000}"/>
    <cellStyle name="40% - Accent4 5 5" xfId="5976" xr:uid="{00000000-0005-0000-0000-00003A330000}"/>
    <cellStyle name="40% - Accent4 5 5 2" xfId="5977" xr:uid="{00000000-0005-0000-0000-00003B330000}"/>
    <cellStyle name="40% - Accent4 5 5 3" xfId="5978" xr:uid="{00000000-0005-0000-0000-00003C330000}"/>
    <cellStyle name="40% - Accent4 5 6" xfId="5979" xr:uid="{00000000-0005-0000-0000-00003D330000}"/>
    <cellStyle name="40% - Accent4 5 6 2" xfId="5980" xr:uid="{00000000-0005-0000-0000-00003E330000}"/>
    <cellStyle name="40% - Accent4 5 6 3" xfId="5981" xr:uid="{00000000-0005-0000-0000-00003F330000}"/>
    <cellStyle name="40% - Accent4 5 7" xfId="5982" xr:uid="{00000000-0005-0000-0000-000040330000}"/>
    <cellStyle name="40% - Accent4 5 8" xfId="5983" xr:uid="{00000000-0005-0000-0000-000041330000}"/>
    <cellStyle name="40% - Accent4 5_Volatility" xfId="5984" xr:uid="{00000000-0005-0000-0000-000042330000}"/>
    <cellStyle name="40% - Accent4 6" xfId="5985" xr:uid="{00000000-0005-0000-0000-000043330000}"/>
    <cellStyle name="40% - Accent4 6 2" xfId="5986" xr:uid="{00000000-0005-0000-0000-000044330000}"/>
    <cellStyle name="40% - Accent4 6 2 2" xfId="5987" xr:uid="{00000000-0005-0000-0000-000045330000}"/>
    <cellStyle name="40% - Accent4 6 2 2 2" xfId="5988" xr:uid="{00000000-0005-0000-0000-000046330000}"/>
    <cellStyle name="40% - Accent4 6 2 2 3" xfId="5989" xr:uid="{00000000-0005-0000-0000-000047330000}"/>
    <cellStyle name="40% - Accent4 6 2 3" xfId="5990" xr:uid="{00000000-0005-0000-0000-000048330000}"/>
    <cellStyle name="40% - Accent4 6 2 3 2" xfId="5991" xr:uid="{00000000-0005-0000-0000-000049330000}"/>
    <cellStyle name="40% - Accent4 6 2 3 3" xfId="5992" xr:uid="{00000000-0005-0000-0000-00004A330000}"/>
    <cellStyle name="40% - Accent4 6 2 4" xfId="5993" xr:uid="{00000000-0005-0000-0000-00004B330000}"/>
    <cellStyle name="40% - Accent4 6 2 4 2" xfId="5994" xr:uid="{00000000-0005-0000-0000-00004C330000}"/>
    <cellStyle name="40% - Accent4 6 2 4 3" xfId="5995" xr:uid="{00000000-0005-0000-0000-00004D330000}"/>
    <cellStyle name="40% - Accent4 6 2 5" xfId="5996" xr:uid="{00000000-0005-0000-0000-00004E330000}"/>
    <cellStyle name="40% - Accent4 6 2 6" xfId="5997" xr:uid="{00000000-0005-0000-0000-00004F330000}"/>
    <cellStyle name="40% - Accent4 6 2_Volatility" xfId="5998" xr:uid="{00000000-0005-0000-0000-000050330000}"/>
    <cellStyle name="40% - Accent4 6 3" xfId="5999" xr:uid="{00000000-0005-0000-0000-000051330000}"/>
    <cellStyle name="40% - Accent4 6 3 2" xfId="6000" xr:uid="{00000000-0005-0000-0000-000052330000}"/>
    <cellStyle name="40% - Accent4 6 3 2 2" xfId="6001" xr:uid="{00000000-0005-0000-0000-000053330000}"/>
    <cellStyle name="40% - Accent4 6 3 2 3" xfId="6002" xr:uid="{00000000-0005-0000-0000-000054330000}"/>
    <cellStyle name="40% - Accent4 6 3 3" xfId="6003" xr:uid="{00000000-0005-0000-0000-000055330000}"/>
    <cellStyle name="40% - Accent4 6 3 3 2" xfId="6004" xr:uid="{00000000-0005-0000-0000-000056330000}"/>
    <cellStyle name="40% - Accent4 6 3 3 3" xfId="6005" xr:uid="{00000000-0005-0000-0000-000057330000}"/>
    <cellStyle name="40% - Accent4 6 3 4" xfId="6006" xr:uid="{00000000-0005-0000-0000-000058330000}"/>
    <cellStyle name="40% - Accent4 6 3 5" xfId="6007" xr:uid="{00000000-0005-0000-0000-000059330000}"/>
    <cellStyle name="40% - Accent4 6 3_Volatility" xfId="6008" xr:uid="{00000000-0005-0000-0000-00005A330000}"/>
    <cellStyle name="40% - Accent4 6 4" xfId="6009" xr:uid="{00000000-0005-0000-0000-00005B330000}"/>
    <cellStyle name="40% - Accent4 6 4 2" xfId="6010" xr:uid="{00000000-0005-0000-0000-00005C330000}"/>
    <cellStyle name="40% - Accent4 6 4 3" xfId="6011" xr:uid="{00000000-0005-0000-0000-00005D330000}"/>
    <cellStyle name="40% - Accent4 6 5" xfId="6012" xr:uid="{00000000-0005-0000-0000-00005E330000}"/>
    <cellStyle name="40% - Accent4 6 5 2" xfId="6013" xr:uid="{00000000-0005-0000-0000-00005F330000}"/>
    <cellStyle name="40% - Accent4 6 5 3" xfId="6014" xr:uid="{00000000-0005-0000-0000-000060330000}"/>
    <cellStyle name="40% - Accent4 6 6" xfId="6015" xr:uid="{00000000-0005-0000-0000-000061330000}"/>
    <cellStyle name="40% - Accent4 6 6 2" xfId="6016" xr:uid="{00000000-0005-0000-0000-000062330000}"/>
    <cellStyle name="40% - Accent4 6 6 3" xfId="6017" xr:uid="{00000000-0005-0000-0000-000063330000}"/>
    <cellStyle name="40% - Accent4 6 7" xfId="6018" xr:uid="{00000000-0005-0000-0000-000064330000}"/>
    <cellStyle name="40% - Accent4 6 8" xfId="6019" xr:uid="{00000000-0005-0000-0000-000065330000}"/>
    <cellStyle name="40% - Accent4 6_Volatility" xfId="6020" xr:uid="{00000000-0005-0000-0000-000066330000}"/>
    <cellStyle name="40% - Accent4 7" xfId="6021" xr:uid="{00000000-0005-0000-0000-000067330000}"/>
    <cellStyle name="40% - Accent4 7 2" xfId="6022" xr:uid="{00000000-0005-0000-0000-000068330000}"/>
    <cellStyle name="40% - Accent4 7 2 2" xfId="6023" xr:uid="{00000000-0005-0000-0000-000069330000}"/>
    <cellStyle name="40% - Accent4 7 2 2 2" xfId="6024" xr:uid="{00000000-0005-0000-0000-00006A330000}"/>
    <cellStyle name="40% - Accent4 7 2 2 3" xfId="6025" xr:uid="{00000000-0005-0000-0000-00006B330000}"/>
    <cellStyle name="40% - Accent4 7 2 3" xfId="6026" xr:uid="{00000000-0005-0000-0000-00006C330000}"/>
    <cellStyle name="40% - Accent4 7 2 3 2" xfId="6027" xr:uid="{00000000-0005-0000-0000-00006D330000}"/>
    <cellStyle name="40% - Accent4 7 2 3 3" xfId="6028" xr:uid="{00000000-0005-0000-0000-00006E330000}"/>
    <cellStyle name="40% - Accent4 7 2 4" xfId="6029" xr:uid="{00000000-0005-0000-0000-00006F330000}"/>
    <cellStyle name="40% - Accent4 7 2 4 2" xfId="6030" xr:uid="{00000000-0005-0000-0000-000070330000}"/>
    <cellStyle name="40% - Accent4 7 2 4 3" xfId="6031" xr:uid="{00000000-0005-0000-0000-000071330000}"/>
    <cellStyle name="40% - Accent4 7 2 5" xfId="6032" xr:uid="{00000000-0005-0000-0000-000072330000}"/>
    <cellStyle name="40% - Accent4 7 2 6" xfId="6033" xr:uid="{00000000-0005-0000-0000-000073330000}"/>
    <cellStyle name="40% - Accent4 7 2_Volatility" xfId="6034" xr:uid="{00000000-0005-0000-0000-000074330000}"/>
    <cellStyle name="40% - Accent4 7 3" xfId="6035" xr:uid="{00000000-0005-0000-0000-000075330000}"/>
    <cellStyle name="40% - Accent4 7 3 2" xfId="6036" xr:uid="{00000000-0005-0000-0000-000076330000}"/>
    <cellStyle name="40% - Accent4 7 3 2 2" xfId="6037" xr:uid="{00000000-0005-0000-0000-000077330000}"/>
    <cellStyle name="40% - Accent4 7 3 2 3" xfId="6038" xr:uid="{00000000-0005-0000-0000-000078330000}"/>
    <cellStyle name="40% - Accent4 7 3 3" xfId="6039" xr:uid="{00000000-0005-0000-0000-000079330000}"/>
    <cellStyle name="40% - Accent4 7 3 3 2" xfId="6040" xr:uid="{00000000-0005-0000-0000-00007A330000}"/>
    <cellStyle name="40% - Accent4 7 3 3 3" xfId="6041" xr:uid="{00000000-0005-0000-0000-00007B330000}"/>
    <cellStyle name="40% - Accent4 7 3 4" xfId="6042" xr:uid="{00000000-0005-0000-0000-00007C330000}"/>
    <cellStyle name="40% - Accent4 7 3 5" xfId="6043" xr:uid="{00000000-0005-0000-0000-00007D330000}"/>
    <cellStyle name="40% - Accent4 7 3_Volatility" xfId="6044" xr:uid="{00000000-0005-0000-0000-00007E330000}"/>
    <cellStyle name="40% - Accent4 7 4" xfId="6045" xr:uid="{00000000-0005-0000-0000-00007F330000}"/>
    <cellStyle name="40% - Accent4 7 4 2" xfId="6046" xr:uid="{00000000-0005-0000-0000-000080330000}"/>
    <cellStyle name="40% - Accent4 7 4 3" xfId="6047" xr:uid="{00000000-0005-0000-0000-000081330000}"/>
    <cellStyle name="40% - Accent4 7 5" xfId="6048" xr:uid="{00000000-0005-0000-0000-000082330000}"/>
    <cellStyle name="40% - Accent4 7 5 2" xfId="6049" xr:uid="{00000000-0005-0000-0000-000083330000}"/>
    <cellStyle name="40% - Accent4 7 5 3" xfId="6050" xr:uid="{00000000-0005-0000-0000-000084330000}"/>
    <cellStyle name="40% - Accent4 7 6" xfId="6051" xr:uid="{00000000-0005-0000-0000-000085330000}"/>
    <cellStyle name="40% - Accent4 7 6 2" xfId="6052" xr:uid="{00000000-0005-0000-0000-000086330000}"/>
    <cellStyle name="40% - Accent4 7 6 3" xfId="6053" xr:uid="{00000000-0005-0000-0000-000087330000}"/>
    <cellStyle name="40% - Accent4 7 7" xfId="6054" xr:uid="{00000000-0005-0000-0000-000088330000}"/>
    <cellStyle name="40% - Accent4 7 8" xfId="6055" xr:uid="{00000000-0005-0000-0000-000089330000}"/>
    <cellStyle name="40% - Accent4 7_Volatility" xfId="6056" xr:uid="{00000000-0005-0000-0000-00008A330000}"/>
    <cellStyle name="40% - Accent4 8" xfId="6057" xr:uid="{00000000-0005-0000-0000-00008B330000}"/>
    <cellStyle name="40% - Accent4 8 2" xfId="6058" xr:uid="{00000000-0005-0000-0000-00008C330000}"/>
    <cellStyle name="40% - Accent4 8 2 2" xfId="6059" xr:uid="{00000000-0005-0000-0000-00008D330000}"/>
    <cellStyle name="40% - Accent4 8 2 2 2" xfId="6060" xr:uid="{00000000-0005-0000-0000-00008E330000}"/>
    <cellStyle name="40% - Accent4 8 2 2 3" xfId="6061" xr:uid="{00000000-0005-0000-0000-00008F330000}"/>
    <cellStyle name="40% - Accent4 8 2 3" xfId="6062" xr:uid="{00000000-0005-0000-0000-000090330000}"/>
    <cellStyle name="40% - Accent4 8 2 3 2" xfId="6063" xr:uid="{00000000-0005-0000-0000-000091330000}"/>
    <cellStyle name="40% - Accent4 8 2 3 3" xfId="6064" xr:uid="{00000000-0005-0000-0000-000092330000}"/>
    <cellStyle name="40% - Accent4 8 2 4" xfId="6065" xr:uid="{00000000-0005-0000-0000-000093330000}"/>
    <cellStyle name="40% - Accent4 8 2 4 2" xfId="6066" xr:uid="{00000000-0005-0000-0000-000094330000}"/>
    <cellStyle name="40% - Accent4 8 2 4 3" xfId="6067" xr:uid="{00000000-0005-0000-0000-000095330000}"/>
    <cellStyle name="40% - Accent4 8 2 5" xfId="6068" xr:uid="{00000000-0005-0000-0000-000096330000}"/>
    <cellStyle name="40% - Accent4 8 2 6" xfId="6069" xr:uid="{00000000-0005-0000-0000-000097330000}"/>
    <cellStyle name="40% - Accent4 8 2_Volatility" xfId="6070" xr:uid="{00000000-0005-0000-0000-000098330000}"/>
    <cellStyle name="40% - Accent4 8 3" xfId="6071" xr:uid="{00000000-0005-0000-0000-000099330000}"/>
    <cellStyle name="40% - Accent4 8 3 2" xfId="6072" xr:uid="{00000000-0005-0000-0000-00009A330000}"/>
    <cellStyle name="40% - Accent4 8 3 2 2" xfId="6073" xr:uid="{00000000-0005-0000-0000-00009B330000}"/>
    <cellStyle name="40% - Accent4 8 3 2 3" xfId="6074" xr:uid="{00000000-0005-0000-0000-00009C330000}"/>
    <cellStyle name="40% - Accent4 8 3 3" xfId="6075" xr:uid="{00000000-0005-0000-0000-00009D330000}"/>
    <cellStyle name="40% - Accent4 8 3 3 2" xfId="6076" xr:uid="{00000000-0005-0000-0000-00009E330000}"/>
    <cellStyle name="40% - Accent4 8 3 3 3" xfId="6077" xr:uid="{00000000-0005-0000-0000-00009F330000}"/>
    <cellStyle name="40% - Accent4 8 3 4" xfId="6078" xr:uid="{00000000-0005-0000-0000-0000A0330000}"/>
    <cellStyle name="40% - Accent4 8 3 5" xfId="6079" xr:uid="{00000000-0005-0000-0000-0000A1330000}"/>
    <cellStyle name="40% - Accent4 8 3_Volatility" xfId="6080" xr:uid="{00000000-0005-0000-0000-0000A2330000}"/>
    <cellStyle name="40% - Accent4 8 4" xfId="6081" xr:uid="{00000000-0005-0000-0000-0000A3330000}"/>
    <cellStyle name="40% - Accent4 8 4 2" xfId="6082" xr:uid="{00000000-0005-0000-0000-0000A4330000}"/>
    <cellStyle name="40% - Accent4 8 4 3" xfId="6083" xr:uid="{00000000-0005-0000-0000-0000A5330000}"/>
    <cellStyle name="40% - Accent4 8 5" xfId="6084" xr:uid="{00000000-0005-0000-0000-0000A6330000}"/>
    <cellStyle name="40% - Accent4 8 5 2" xfId="6085" xr:uid="{00000000-0005-0000-0000-0000A7330000}"/>
    <cellStyle name="40% - Accent4 8 5 3" xfId="6086" xr:uid="{00000000-0005-0000-0000-0000A8330000}"/>
    <cellStyle name="40% - Accent4 8 6" xfId="6087" xr:uid="{00000000-0005-0000-0000-0000A9330000}"/>
    <cellStyle name="40% - Accent4 8 6 2" xfId="6088" xr:uid="{00000000-0005-0000-0000-0000AA330000}"/>
    <cellStyle name="40% - Accent4 8 6 3" xfId="6089" xr:uid="{00000000-0005-0000-0000-0000AB330000}"/>
    <cellStyle name="40% - Accent4 8 7" xfId="6090" xr:uid="{00000000-0005-0000-0000-0000AC330000}"/>
    <cellStyle name="40% - Accent4 8 8" xfId="6091" xr:uid="{00000000-0005-0000-0000-0000AD330000}"/>
    <cellStyle name="40% - Accent4 8_Volatility" xfId="6092" xr:uid="{00000000-0005-0000-0000-0000AE330000}"/>
    <cellStyle name="40% - Accent4 9" xfId="6093" xr:uid="{00000000-0005-0000-0000-0000AF330000}"/>
    <cellStyle name="40% - Accent4 9 2" xfId="6094" xr:uid="{00000000-0005-0000-0000-0000B0330000}"/>
    <cellStyle name="40% - Accent4 9 2 2" xfId="6095" xr:uid="{00000000-0005-0000-0000-0000B1330000}"/>
    <cellStyle name="40% - Accent4 9 2 2 2" xfId="6096" xr:uid="{00000000-0005-0000-0000-0000B2330000}"/>
    <cellStyle name="40% - Accent4 9 2 2 3" xfId="6097" xr:uid="{00000000-0005-0000-0000-0000B3330000}"/>
    <cellStyle name="40% - Accent4 9 2 3" xfId="6098" xr:uid="{00000000-0005-0000-0000-0000B4330000}"/>
    <cellStyle name="40% - Accent4 9 2 3 2" xfId="6099" xr:uid="{00000000-0005-0000-0000-0000B5330000}"/>
    <cellStyle name="40% - Accent4 9 2 3 3" xfId="6100" xr:uid="{00000000-0005-0000-0000-0000B6330000}"/>
    <cellStyle name="40% - Accent4 9 2 4" xfId="6101" xr:uid="{00000000-0005-0000-0000-0000B7330000}"/>
    <cellStyle name="40% - Accent4 9 2 4 2" xfId="6102" xr:uid="{00000000-0005-0000-0000-0000B8330000}"/>
    <cellStyle name="40% - Accent4 9 2 4 3" xfId="6103" xr:uid="{00000000-0005-0000-0000-0000B9330000}"/>
    <cellStyle name="40% - Accent4 9 2 5" xfId="6104" xr:uid="{00000000-0005-0000-0000-0000BA330000}"/>
    <cellStyle name="40% - Accent4 9 2 6" xfId="6105" xr:uid="{00000000-0005-0000-0000-0000BB330000}"/>
    <cellStyle name="40% - Accent4 9 2_Volatility" xfId="6106" xr:uid="{00000000-0005-0000-0000-0000BC330000}"/>
    <cellStyle name="40% - Accent4 9 3" xfId="6107" xr:uid="{00000000-0005-0000-0000-0000BD330000}"/>
    <cellStyle name="40% - Accent4 9 3 2" xfId="6108" xr:uid="{00000000-0005-0000-0000-0000BE330000}"/>
    <cellStyle name="40% - Accent4 9 3 2 2" xfId="6109" xr:uid="{00000000-0005-0000-0000-0000BF330000}"/>
    <cellStyle name="40% - Accent4 9 3 2 3" xfId="6110" xr:uid="{00000000-0005-0000-0000-0000C0330000}"/>
    <cellStyle name="40% - Accent4 9 3 3" xfId="6111" xr:uid="{00000000-0005-0000-0000-0000C1330000}"/>
    <cellStyle name="40% - Accent4 9 3 3 2" xfId="6112" xr:uid="{00000000-0005-0000-0000-0000C2330000}"/>
    <cellStyle name="40% - Accent4 9 3 3 3" xfId="6113" xr:uid="{00000000-0005-0000-0000-0000C3330000}"/>
    <cellStyle name="40% - Accent4 9 3 4" xfId="6114" xr:uid="{00000000-0005-0000-0000-0000C4330000}"/>
    <cellStyle name="40% - Accent4 9 3 5" xfId="6115" xr:uid="{00000000-0005-0000-0000-0000C5330000}"/>
    <cellStyle name="40% - Accent4 9 3_Volatility" xfId="6116" xr:uid="{00000000-0005-0000-0000-0000C6330000}"/>
    <cellStyle name="40% - Accent4 9 4" xfId="6117" xr:uid="{00000000-0005-0000-0000-0000C7330000}"/>
    <cellStyle name="40% - Accent4 9 4 2" xfId="6118" xr:uid="{00000000-0005-0000-0000-0000C8330000}"/>
    <cellStyle name="40% - Accent4 9 4 3" xfId="6119" xr:uid="{00000000-0005-0000-0000-0000C9330000}"/>
    <cellStyle name="40% - Accent4 9 5" xfId="6120" xr:uid="{00000000-0005-0000-0000-0000CA330000}"/>
    <cellStyle name="40% - Accent4 9 5 2" xfId="6121" xr:uid="{00000000-0005-0000-0000-0000CB330000}"/>
    <cellStyle name="40% - Accent4 9 5 3" xfId="6122" xr:uid="{00000000-0005-0000-0000-0000CC330000}"/>
    <cellStyle name="40% - Accent4 9 6" xfId="6123" xr:uid="{00000000-0005-0000-0000-0000CD330000}"/>
    <cellStyle name="40% - Accent4 9 6 2" xfId="6124" xr:uid="{00000000-0005-0000-0000-0000CE330000}"/>
    <cellStyle name="40% - Accent4 9 6 3" xfId="6125" xr:uid="{00000000-0005-0000-0000-0000CF330000}"/>
    <cellStyle name="40% - Accent4 9 7" xfId="6126" xr:uid="{00000000-0005-0000-0000-0000D0330000}"/>
    <cellStyle name="40% - Accent4 9 8" xfId="6127" xr:uid="{00000000-0005-0000-0000-0000D1330000}"/>
    <cellStyle name="40% - Accent4 9_Volatility" xfId="6128" xr:uid="{00000000-0005-0000-0000-0000D2330000}"/>
    <cellStyle name="40% - Accent5 10" xfId="6129" xr:uid="{00000000-0005-0000-0000-0000D3330000}"/>
    <cellStyle name="40% - Accent5 10 2" xfId="6130" xr:uid="{00000000-0005-0000-0000-0000D4330000}"/>
    <cellStyle name="40% - Accent5 10 2 2" xfId="6131" xr:uid="{00000000-0005-0000-0000-0000D5330000}"/>
    <cellStyle name="40% - Accent5 10 2 2 2" xfId="6132" xr:uid="{00000000-0005-0000-0000-0000D6330000}"/>
    <cellStyle name="40% - Accent5 10 2 2 3" xfId="6133" xr:uid="{00000000-0005-0000-0000-0000D7330000}"/>
    <cellStyle name="40% - Accent5 10 2 3" xfId="6134" xr:uid="{00000000-0005-0000-0000-0000D8330000}"/>
    <cellStyle name="40% - Accent5 10 2 3 2" xfId="6135" xr:uid="{00000000-0005-0000-0000-0000D9330000}"/>
    <cellStyle name="40% - Accent5 10 2 3 3" xfId="6136" xr:uid="{00000000-0005-0000-0000-0000DA330000}"/>
    <cellStyle name="40% - Accent5 10 2 4" xfId="6137" xr:uid="{00000000-0005-0000-0000-0000DB330000}"/>
    <cellStyle name="40% - Accent5 10 2 4 2" xfId="6138" xr:uid="{00000000-0005-0000-0000-0000DC330000}"/>
    <cellStyle name="40% - Accent5 10 2 4 3" xfId="6139" xr:uid="{00000000-0005-0000-0000-0000DD330000}"/>
    <cellStyle name="40% - Accent5 10 2 5" xfId="6140" xr:uid="{00000000-0005-0000-0000-0000DE330000}"/>
    <cellStyle name="40% - Accent5 10 2 6" xfId="6141" xr:uid="{00000000-0005-0000-0000-0000DF330000}"/>
    <cellStyle name="40% - Accent5 10 2_Volatility" xfId="6142" xr:uid="{00000000-0005-0000-0000-0000E0330000}"/>
    <cellStyle name="40% - Accent5 10 3" xfId="6143" xr:uid="{00000000-0005-0000-0000-0000E1330000}"/>
    <cellStyle name="40% - Accent5 10 3 2" xfId="6144" xr:uid="{00000000-0005-0000-0000-0000E2330000}"/>
    <cellStyle name="40% - Accent5 10 3 2 2" xfId="6145" xr:uid="{00000000-0005-0000-0000-0000E3330000}"/>
    <cellStyle name="40% - Accent5 10 3 2 3" xfId="6146" xr:uid="{00000000-0005-0000-0000-0000E4330000}"/>
    <cellStyle name="40% - Accent5 10 3 3" xfId="6147" xr:uid="{00000000-0005-0000-0000-0000E5330000}"/>
    <cellStyle name="40% - Accent5 10 3 3 2" xfId="6148" xr:uid="{00000000-0005-0000-0000-0000E6330000}"/>
    <cellStyle name="40% - Accent5 10 3 3 3" xfId="6149" xr:uid="{00000000-0005-0000-0000-0000E7330000}"/>
    <cellStyle name="40% - Accent5 10 3 4" xfId="6150" xr:uid="{00000000-0005-0000-0000-0000E8330000}"/>
    <cellStyle name="40% - Accent5 10 3 5" xfId="6151" xr:uid="{00000000-0005-0000-0000-0000E9330000}"/>
    <cellStyle name="40% - Accent5 10 3_Volatility" xfId="6152" xr:uid="{00000000-0005-0000-0000-0000EA330000}"/>
    <cellStyle name="40% - Accent5 10 4" xfId="6153" xr:uid="{00000000-0005-0000-0000-0000EB330000}"/>
    <cellStyle name="40% - Accent5 10 4 2" xfId="6154" xr:uid="{00000000-0005-0000-0000-0000EC330000}"/>
    <cellStyle name="40% - Accent5 10 4 3" xfId="6155" xr:uid="{00000000-0005-0000-0000-0000ED330000}"/>
    <cellStyle name="40% - Accent5 10 5" xfId="6156" xr:uid="{00000000-0005-0000-0000-0000EE330000}"/>
    <cellStyle name="40% - Accent5 10 5 2" xfId="6157" xr:uid="{00000000-0005-0000-0000-0000EF330000}"/>
    <cellStyle name="40% - Accent5 10 5 3" xfId="6158" xr:uid="{00000000-0005-0000-0000-0000F0330000}"/>
    <cellStyle name="40% - Accent5 10 6" xfId="6159" xr:uid="{00000000-0005-0000-0000-0000F1330000}"/>
    <cellStyle name="40% - Accent5 10 6 2" xfId="6160" xr:uid="{00000000-0005-0000-0000-0000F2330000}"/>
    <cellStyle name="40% - Accent5 10 6 3" xfId="6161" xr:uid="{00000000-0005-0000-0000-0000F3330000}"/>
    <cellStyle name="40% - Accent5 10 7" xfId="6162" xr:uid="{00000000-0005-0000-0000-0000F4330000}"/>
    <cellStyle name="40% - Accent5 10 8" xfId="6163" xr:uid="{00000000-0005-0000-0000-0000F5330000}"/>
    <cellStyle name="40% - Accent5 10_Volatility" xfId="6164" xr:uid="{00000000-0005-0000-0000-0000F6330000}"/>
    <cellStyle name="40% - Accent5 11" xfId="6165" xr:uid="{00000000-0005-0000-0000-0000F7330000}"/>
    <cellStyle name="40% - Accent5 11 2" xfId="6166" xr:uid="{00000000-0005-0000-0000-0000F8330000}"/>
    <cellStyle name="40% - Accent5 11 2 2" xfId="6167" xr:uid="{00000000-0005-0000-0000-0000F9330000}"/>
    <cellStyle name="40% - Accent5 11 2 2 2" xfId="6168" xr:uid="{00000000-0005-0000-0000-0000FA330000}"/>
    <cellStyle name="40% - Accent5 11 2 2 3" xfId="6169" xr:uid="{00000000-0005-0000-0000-0000FB330000}"/>
    <cellStyle name="40% - Accent5 11 2 3" xfId="6170" xr:uid="{00000000-0005-0000-0000-0000FC330000}"/>
    <cellStyle name="40% - Accent5 11 2 3 2" xfId="6171" xr:uid="{00000000-0005-0000-0000-0000FD330000}"/>
    <cellStyle name="40% - Accent5 11 2 3 3" xfId="6172" xr:uid="{00000000-0005-0000-0000-0000FE330000}"/>
    <cellStyle name="40% - Accent5 11 2 4" xfId="6173" xr:uid="{00000000-0005-0000-0000-0000FF330000}"/>
    <cellStyle name="40% - Accent5 11 2 4 2" xfId="6174" xr:uid="{00000000-0005-0000-0000-000000340000}"/>
    <cellStyle name="40% - Accent5 11 2 4 3" xfId="6175" xr:uid="{00000000-0005-0000-0000-000001340000}"/>
    <cellStyle name="40% - Accent5 11 2 5" xfId="6176" xr:uid="{00000000-0005-0000-0000-000002340000}"/>
    <cellStyle name="40% - Accent5 11 2 6" xfId="6177" xr:uid="{00000000-0005-0000-0000-000003340000}"/>
    <cellStyle name="40% - Accent5 11 2_Volatility" xfId="6178" xr:uid="{00000000-0005-0000-0000-000004340000}"/>
    <cellStyle name="40% - Accent5 11 3" xfId="6179" xr:uid="{00000000-0005-0000-0000-000005340000}"/>
    <cellStyle name="40% - Accent5 11 3 2" xfId="6180" xr:uid="{00000000-0005-0000-0000-000006340000}"/>
    <cellStyle name="40% - Accent5 11 3 2 2" xfId="6181" xr:uid="{00000000-0005-0000-0000-000007340000}"/>
    <cellStyle name="40% - Accent5 11 3 2 3" xfId="6182" xr:uid="{00000000-0005-0000-0000-000008340000}"/>
    <cellStyle name="40% - Accent5 11 3 3" xfId="6183" xr:uid="{00000000-0005-0000-0000-000009340000}"/>
    <cellStyle name="40% - Accent5 11 3 3 2" xfId="6184" xr:uid="{00000000-0005-0000-0000-00000A340000}"/>
    <cellStyle name="40% - Accent5 11 3 3 3" xfId="6185" xr:uid="{00000000-0005-0000-0000-00000B340000}"/>
    <cellStyle name="40% - Accent5 11 3 4" xfId="6186" xr:uid="{00000000-0005-0000-0000-00000C340000}"/>
    <cellStyle name="40% - Accent5 11 3 5" xfId="6187" xr:uid="{00000000-0005-0000-0000-00000D340000}"/>
    <cellStyle name="40% - Accent5 11 3_Volatility" xfId="6188" xr:uid="{00000000-0005-0000-0000-00000E340000}"/>
    <cellStyle name="40% - Accent5 11 4" xfId="6189" xr:uid="{00000000-0005-0000-0000-00000F340000}"/>
    <cellStyle name="40% - Accent5 11 4 2" xfId="6190" xr:uid="{00000000-0005-0000-0000-000010340000}"/>
    <cellStyle name="40% - Accent5 11 4 3" xfId="6191" xr:uid="{00000000-0005-0000-0000-000011340000}"/>
    <cellStyle name="40% - Accent5 11 5" xfId="6192" xr:uid="{00000000-0005-0000-0000-000012340000}"/>
    <cellStyle name="40% - Accent5 11 5 2" xfId="6193" xr:uid="{00000000-0005-0000-0000-000013340000}"/>
    <cellStyle name="40% - Accent5 11 5 3" xfId="6194" xr:uid="{00000000-0005-0000-0000-000014340000}"/>
    <cellStyle name="40% - Accent5 11 6" xfId="6195" xr:uid="{00000000-0005-0000-0000-000015340000}"/>
    <cellStyle name="40% - Accent5 11 6 2" xfId="6196" xr:uid="{00000000-0005-0000-0000-000016340000}"/>
    <cellStyle name="40% - Accent5 11 6 3" xfId="6197" xr:uid="{00000000-0005-0000-0000-000017340000}"/>
    <cellStyle name="40% - Accent5 11 7" xfId="6198" xr:uid="{00000000-0005-0000-0000-000018340000}"/>
    <cellStyle name="40% - Accent5 11 8" xfId="6199" xr:uid="{00000000-0005-0000-0000-000019340000}"/>
    <cellStyle name="40% - Accent5 11_Volatility" xfId="6200" xr:uid="{00000000-0005-0000-0000-00001A340000}"/>
    <cellStyle name="40% - Accent5 12" xfId="6201" xr:uid="{00000000-0005-0000-0000-00001B340000}"/>
    <cellStyle name="40% - Accent5 12 2" xfId="6202" xr:uid="{00000000-0005-0000-0000-00001C340000}"/>
    <cellStyle name="40% - Accent5 12 2 2" xfId="6203" xr:uid="{00000000-0005-0000-0000-00001D340000}"/>
    <cellStyle name="40% - Accent5 12 2 2 2" xfId="6204" xr:uid="{00000000-0005-0000-0000-00001E340000}"/>
    <cellStyle name="40% - Accent5 12 2 2 3" xfId="6205" xr:uid="{00000000-0005-0000-0000-00001F340000}"/>
    <cellStyle name="40% - Accent5 12 2 3" xfId="6206" xr:uid="{00000000-0005-0000-0000-000020340000}"/>
    <cellStyle name="40% - Accent5 12 2 3 2" xfId="6207" xr:uid="{00000000-0005-0000-0000-000021340000}"/>
    <cellStyle name="40% - Accent5 12 2 3 3" xfId="6208" xr:uid="{00000000-0005-0000-0000-000022340000}"/>
    <cellStyle name="40% - Accent5 12 2 4" xfId="6209" xr:uid="{00000000-0005-0000-0000-000023340000}"/>
    <cellStyle name="40% - Accent5 12 2 4 2" xfId="6210" xr:uid="{00000000-0005-0000-0000-000024340000}"/>
    <cellStyle name="40% - Accent5 12 2 4 3" xfId="6211" xr:uid="{00000000-0005-0000-0000-000025340000}"/>
    <cellStyle name="40% - Accent5 12 2 5" xfId="6212" xr:uid="{00000000-0005-0000-0000-000026340000}"/>
    <cellStyle name="40% - Accent5 12 2 6" xfId="6213" xr:uid="{00000000-0005-0000-0000-000027340000}"/>
    <cellStyle name="40% - Accent5 12 2_Volatility" xfId="6214" xr:uid="{00000000-0005-0000-0000-000028340000}"/>
    <cellStyle name="40% - Accent5 12 3" xfId="6215" xr:uid="{00000000-0005-0000-0000-000029340000}"/>
    <cellStyle name="40% - Accent5 12 3 2" xfId="6216" xr:uid="{00000000-0005-0000-0000-00002A340000}"/>
    <cellStyle name="40% - Accent5 12 3 2 2" xfId="6217" xr:uid="{00000000-0005-0000-0000-00002B340000}"/>
    <cellStyle name="40% - Accent5 12 3 2 3" xfId="6218" xr:uid="{00000000-0005-0000-0000-00002C340000}"/>
    <cellStyle name="40% - Accent5 12 3 3" xfId="6219" xr:uid="{00000000-0005-0000-0000-00002D340000}"/>
    <cellStyle name="40% - Accent5 12 3 3 2" xfId="6220" xr:uid="{00000000-0005-0000-0000-00002E340000}"/>
    <cellStyle name="40% - Accent5 12 3 3 3" xfId="6221" xr:uid="{00000000-0005-0000-0000-00002F340000}"/>
    <cellStyle name="40% - Accent5 12 3 4" xfId="6222" xr:uid="{00000000-0005-0000-0000-000030340000}"/>
    <cellStyle name="40% - Accent5 12 3 5" xfId="6223" xr:uid="{00000000-0005-0000-0000-000031340000}"/>
    <cellStyle name="40% - Accent5 12 3_Volatility" xfId="6224" xr:uid="{00000000-0005-0000-0000-000032340000}"/>
    <cellStyle name="40% - Accent5 12 4" xfId="6225" xr:uid="{00000000-0005-0000-0000-000033340000}"/>
    <cellStyle name="40% - Accent5 12 4 2" xfId="6226" xr:uid="{00000000-0005-0000-0000-000034340000}"/>
    <cellStyle name="40% - Accent5 12 4 3" xfId="6227" xr:uid="{00000000-0005-0000-0000-000035340000}"/>
    <cellStyle name="40% - Accent5 12 5" xfId="6228" xr:uid="{00000000-0005-0000-0000-000036340000}"/>
    <cellStyle name="40% - Accent5 12 5 2" xfId="6229" xr:uid="{00000000-0005-0000-0000-000037340000}"/>
    <cellStyle name="40% - Accent5 12 5 3" xfId="6230" xr:uid="{00000000-0005-0000-0000-000038340000}"/>
    <cellStyle name="40% - Accent5 12 6" xfId="6231" xr:uid="{00000000-0005-0000-0000-000039340000}"/>
    <cellStyle name="40% - Accent5 12 6 2" xfId="6232" xr:uid="{00000000-0005-0000-0000-00003A340000}"/>
    <cellStyle name="40% - Accent5 12 6 3" xfId="6233" xr:uid="{00000000-0005-0000-0000-00003B340000}"/>
    <cellStyle name="40% - Accent5 12 7" xfId="6234" xr:uid="{00000000-0005-0000-0000-00003C340000}"/>
    <cellStyle name="40% - Accent5 12 8" xfId="6235" xr:uid="{00000000-0005-0000-0000-00003D340000}"/>
    <cellStyle name="40% - Accent5 12_Volatility" xfId="6236" xr:uid="{00000000-0005-0000-0000-00003E340000}"/>
    <cellStyle name="40% - Accent5 13" xfId="6237" xr:uid="{00000000-0005-0000-0000-00003F340000}"/>
    <cellStyle name="40% - Accent5 13 2" xfId="6238" xr:uid="{00000000-0005-0000-0000-000040340000}"/>
    <cellStyle name="40% - Accent5 13 2 2" xfId="6239" xr:uid="{00000000-0005-0000-0000-000041340000}"/>
    <cellStyle name="40% - Accent5 13 2 2 2" xfId="6240" xr:uid="{00000000-0005-0000-0000-000042340000}"/>
    <cellStyle name="40% - Accent5 13 2 2 3" xfId="6241" xr:uid="{00000000-0005-0000-0000-000043340000}"/>
    <cellStyle name="40% - Accent5 13 2 3" xfId="6242" xr:uid="{00000000-0005-0000-0000-000044340000}"/>
    <cellStyle name="40% - Accent5 13 2 3 2" xfId="6243" xr:uid="{00000000-0005-0000-0000-000045340000}"/>
    <cellStyle name="40% - Accent5 13 2 3 3" xfId="6244" xr:uid="{00000000-0005-0000-0000-000046340000}"/>
    <cellStyle name="40% - Accent5 13 2 4" xfId="6245" xr:uid="{00000000-0005-0000-0000-000047340000}"/>
    <cellStyle name="40% - Accent5 13 2 4 2" xfId="6246" xr:uid="{00000000-0005-0000-0000-000048340000}"/>
    <cellStyle name="40% - Accent5 13 2 4 3" xfId="6247" xr:uid="{00000000-0005-0000-0000-000049340000}"/>
    <cellStyle name="40% - Accent5 13 2 5" xfId="6248" xr:uid="{00000000-0005-0000-0000-00004A340000}"/>
    <cellStyle name="40% - Accent5 13 2 6" xfId="6249" xr:uid="{00000000-0005-0000-0000-00004B340000}"/>
    <cellStyle name="40% - Accent5 13 2_Volatility" xfId="6250" xr:uid="{00000000-0005-0000-0000-00004C340000}"/>
    <cellStyle name="40% - Accent5 13 3" xfId="6251" xr:uid="{00000000-0005-0000-0000-00004D340000}"/>
    <cellStyle name="40% - Accent5 13 3 2" xfId="6252" xr:uid="{00000000-0005-0000-0000-00004E340000}"/>
    <cellStyle name="40% - Accent5 13 3 2 2" xfId="6253" xr:uid="{00000000-0005-0000-0000-00004F340000}"/>
    <cellStyle name="40% - Accent5 13 3 2 3" xfId="6254" xr:uid="{00000000-0005-0000-0000-000050340000}"/>
    <cellStyle name="40% - Accent5 13 3 3" xfId="6255" xr:uid="{00000000-0005-0000-0000-000051340000}"/>
    <cellStyle name="40% - Accent5 13 3 3 2" xfId="6256" xr:uid="{00000000-0005-0000-0000-000052340000}"/>
    <cellStyle name="40% - Accent5 13 3 3 3" xfId="6257" xr:uid="{00000000-0005-0000-0000-000053340000}"/>
    <cellStyle name="40% - Accent5 13 3 4" xfId="6258" xr:uid="{00000000-0005-0000-0000-000054340000}"/>
    <cellStyle name="40% - Accent5 13 3 5" xfId="6259" xr:uid="{00000000-0005-0000-0000-000055340000}"/>
    <cellStyle name="40% - Accent5 13 3_Volatility" xfId="6260" xr:uid="{00000000-0005-0000-0000-000056340000}"/>
    <cellStyle name="40% - Accent5 13 4" xfId="6261" xr:uid="{00000000-0005-0000-0000-000057340000}"/>
    <cellStyle name="40% - Accent5 13 4 2" xfId="6262" xr:uid="{00000000-0005-0000-0000-000058340000}"/>
    <cellStyle name="40% - Accent5 13 4 3" xfId="6263" xr:uid="{00000000-0005-0000-0000-000059340000}"/>
    <cellStyle name="40% - Accent5 13 5" xfId="6264" xr:uid="{00000000-0005-0000-0000-00005A340000}"/>
    <cellStyle name="40% - Accent5 13 5 2" xfId="6265" xr:uid="{00000000-0005-0000-0000-00005B340000}"/>
    <cellStyle name="40% - Accent5 13 5 3" xfId="6266" xr:uid="{00000000-0005-0000-0000-00005C340000}"/>
    <cellStyle name="40% - Accent5 13 6" xfId="6267" xr:uid="{00000000-0005-0000-0000-00005D340000}"/>
    <cellStyle name="40% - Accent5 13 6 2" xfId="6268" xr:uid="{00000000-0005-0000-0000-00005E340000}"/>
    <cellStyle name="40% - Accent5 13 6 3" xfId="6269" xr:uid="{00000000-0005-0000-0000-00005F340000}"/>
    <cellStyle name="40% - Accent5 13 7" xfId="6270" xr:uid="{00000000-0005-0000-0000-000060340000}"/>
    <cellStyle name="40% - Accent5 13 8" xfId="6271" xr:uid="{00000000-0005-0000-0000-000061340000}"/>
    <cellStyle name="40% - Accent5 13_Volatility" xfId="6272" xr:uid="{00000000-0005-0000-0000-000062340000}"/>
    <cellStyle name="40% - Accent5 14" xfId="6273" xr:uid="{00000000-0005-0000-0000-000063340000}"/>
    <cellStyle name="40% - Accent5 14 2" xfId="6274" xr:uid="{00000000-0005-0000-0000-000064340000}"/>
    <cellStyle name="40% - Accent5 14 2 2" xfId="6275" xr:uid="{00000000-0005-0000-0000-000065340000}"/>
    <cellStyle name="40% - Accent5 14 2 2 2" xfId="6276" xr:uid="{00000000-0005-0000-0000-000066340000}"/>
    <cellStyle name="40% - Accent5 14 2 2 3" xfId="6277" xr:uid="{00000000-0005-0000-0000-000067340000}"/>
    <cellStyle name="40% - Accent5 14 2 3" xfId="6278" xr:uid="{00000000-0005-0000-0000-000068340000}"/>
    <cellStyle name="40% - Accent5 14 2 3 2" xfId="6279" xr:uid="{00000000-0005-0000-0000-000069340000}"/>
    <cellStyle name="40% - Accent5 14 2 3 3" xfId="6280" xr:uid="{00000000-0005-0000-0000-00006A340000}"/>
    <cellStyle name="40% - Accent5 14 2 4" xfId="6281" xr:uid="{00000000-0005-0000-0000-00006B340000}"/>
    <cellStyle name="40% - Accent5 14 2 4 2" xfId="6282" xr:uid="{00000000-0005-0000-0000-00006C340000}"/>
    <cellStyle name="40% - Accent5 14 2 4 3" xfId="6283" xr:uid="{00000000-0005-0000-0000-00006D340000}"/>
    <cellStyle name="40% - Accent5 14 2 5" xfId="6284" xr:uid="{00000000-0005-0000-0000-00006E340000}"/>
    <cellStyle name="40% - Accent5 14 2 6" xfId="6285" xr:uid="{00000000-0005-0000-0000-00006F340000}"/>
    <cellStyle name="40% - Accent5 14 2_Volatility" xfId="6286" xr:uid="{00000000-0005-0000-0000-000070340000}"/>
    <cellStyle name="40% - Accent5 14 3" xfId="6287" xr:uid="{00000000-0005-0000-0000-000071340000}"/>
    <cellStyle name="40% - Accent5 14 3 2" xfId="6288" xr:uid="{00000000-0005-0000-0000-000072340000}"/>
    <cellStyle name="40% - Accent5 14 3 2 2" xfId="6289" xr:uid="{00000000-0005-0000-0000-000073340000}"/>
    <cellStyle name="40% - Accent5 14 3 2 3" xfId="6290" xr:uid="{00000000-0005-0000-0000-000074340000}"/>
    <cellStyle name="40% - Accent5 14 3 3" xfId="6291" xr:uid="{00000000-0005-0000-0000-000075340000}"/>
    <cellStyle name="40% - Accent5 14 3 3 2" xfId="6292" xr:uid="{00000000-0005-0000-0000-000076340000}"/>
    <cellStyle name="40% - Accent5 14 3 3 3" xfId="6293" xr:uid="{00000000-0005-0000-0000-000077340000}"/>
    <cellStyle name="40% - Accent5 14 3 4" xfId="6294" xr:uid="{00000000-0005-0000-0000-000078340000}"/>
    <cellStyle name="40% - Accent5 14 3 5" xfId="6295" xr:uid="{00000000-0005-0000-0000-000079340000}"/>
    <cellStyle name="40% - Accent5 14 3_Volatility" xfId="6296" xr:uid="{00000000-0005-0000-0000-00007A340000}"/>
    <cellStyle name="40% - Accent5 14 4" xfId="6297" xr:uid="{00000000-0005-0000-0000-00007B340000}"/>
    <cellStyle name="40% - Accent5 14 4 2" xfId="6298" xr:uid="{00000000-0005-0000-0000-00007C340000}"/>
    <cellStyle name="40% - Accent5 14 4 3" xfId="6299" xr:uid="{00000000-0005-0000-0000-00007D340000}"/>
    <cellStyle name="40% - Accent5 14 5" xfId="6300" xr:uid="{00000000-0005-0000-0000-00007E340000}"/>
    <cellStyle name="40% - Accent5 14 5 2" xfId="6301" xr:uid="{00000000-0005-0000-0000-00007F340000}"/>
    <cellStyle name="40% - Accent5 14 5 3" xfId="6302" xr:uid="{00000000-0005-0000-0000-000080340000}"/>
    <cellStyle name="40% - Accent5 14 6" xfId="6303" xr:uid="{00000000-0005-0000-0000-000081340000}"/>
    <cellStyle name="40% - Accent5 14 6 2" xfId="6304" xr:uid="{00000000-0005-0000-0000-000082340000}"/>
    <cellStyle name="40% - Accent5 14 6 3" xfId="6305" xr:uid="{00000000-0005-0000-0000-000083340000}"/>
    <cellStyle name="40% - Accent5 14 7" xfId="6306" xr:uid="{00000000-0005-0000-0000-000084340000}"/>
    <cellStyle name="40% - Accent5 14 8" xfId="6307" xr:uid="{00000000-0005-0000-0000-000085340000}"/>
    <cellStyle name="40% - Accent5 14_Volatility" xfId="6308" xr:uid="{00000000-0005-0000-0000-000086340000}"/>
    <cellStyle name="40% - Accent5 15" xfId="6309" xr:uid="{00000000-0005-0000-0000-000087340000}"/>
    <cellStyle name="40% - Accent5 15 2" xfId="6310" xr:uid="{00000000-0005-0000-0000-000088340000}"/>
    <cellStyle name="40% - Accent5 15 2 2" xfId="6311" xr:uid="{00000000-0005-0000-0000-000089340000}"/>
    <cellStyle name="40% - Accent5 15 2 2 2" xfId="6312" xr:uid="{00000000-0005-0000-0000-00008A340000}"/>
    <cellStyle name="40% - Accent5 15 2 2 3" xfId="6313" xr:uid="{00000000-0005-0000-0000-00008B340000}"/>
    <cellStyle name="40% - Accent5 15 2 3" xfId="6314" xr:uid="{00000000-0005-0000-0000-00008C340000}"/>
    <cellStyle name="40% - Accent5 15 2 3 2" xfId="6315" xr:uid="{00000000-0005-0000-0000-00008D340000}"/>
    <cellStyle name="40% - Accent5 15 2 3 3" xfId="6316" xr:uid="{00000000-0005-0000-0000-00008E340000}"/>
    <cellStyle name="40% - Accent5 15 2 4" xfId="6317" xr:uid="{00000000-0005-0000-0000-00008F340000}"/>
    <cellStyle name="40% - Accent5 15 2 4 2" xfId="6318" xr:uid="{00000000-0005-0000-0000-000090340000}"/>
    <cellStyle name="40% - Accent5 15 2 4 3" xfId="6319" xr:uid="{00000000-0005-0000-0000-000091340000}"/>
    <cellStyle name="40% - Accent5 15 2 5" xfId="6320" xr:uid="{00000000-0005-0000-0000-000092340000}"/>
    <cellStyle name="40% - Accent5 15 2 6" xfId="6321" xr:uid="{00000000-0005-0000-0000-000093340000}"/>
    <cellStyle name="40% - Accent5 15 2_Volatility" xfId="6322" xr:uid="{00000000-0005-0000-0000-000094340000}"/>
    <cellStyle name="40% - Accent5 15 3" xfId="6323" xr:uid="{00000000-0005-0000-0000-000095340000}"/>
    <cellStyle name="40% - Accent5 15 3 2" xfId="6324" xr:uid="{00000000-0005-0000-0000-000096340000}"/>
    <cellStyle name="40% - Accent5 15 3 2 2" xfId="6325" xr:uid="{00000000-0005-0000-0000-000097340000}"/>
    <cellStyle name="40% - Accent5 15 3 2 3" xfId="6326" xr:uid="{00000000-0005-0000-0000-000098340000}"/>
    <cellStyle name="40% - Accent5 15 3 3" xfId="6327" xr:uid="{00000000-0005-0000-0000-000099340000}"/>
    <cellStyle name="40% - Accent5 15 3 3 2" xfId="6328" xr:uid="{00000000-0005-0000-0000-00009A340000}"/>
    <cellStyle name="40% - Accent5 15 3 3 3" xfId="6329" xr:uid="{00000000-0005-0000-0000-00009B340000}"/>
    <cellStyle name="40% - Accent5 15 3 4" xfId="6330" xr:uid="{00000000-0005-0000-0000-00009C340000}"/>
    <cellStyle name="40% - Accent5 15 3 5" xfId="6331" xr:uid="{00000000-0005-0000-0000-00009D340000}"/>
    <cellStyle name="40% - Accent5 15 3_Volatility" xfId="6332" xr:uid="{00000000-0005-0000-0000-00009E340000}"/>
    <cellStyle name="40% - Accent5 15 4" xfId="6333" xr:uid="{00000000-0005-0000-0000-00009F340000}"/>
    <cellStyle name="40% - Accent5 15 4 2" xfId="6334" xr:uid="{00000000-0005-0000-0000-0000A0340000}"/>
    <cellStyle name="40% - Accent5 15 4 3" xfId="6335" xr:uid="{00000000-0005-0000-0000-0000A1340000}"/>
    <cellStyle name="40% - Accent5 15 5" xfId="6336" xr:uid="{00000000-0005-0000-0000-0000A2340000}"/>
    <cellStyle name="40% - Accent5 15 5 2" xfId="6337" xr:uid="{00000000-0005-0000-0000-0000A3340000}"/>
    <cellStyle name="40% - Accent5 15 5 3" xfId="6338" xr:uid="{00000000-0005-0000-0000-0000A4340000}"/>
    <cellStyle name="40% - Accent5 15 6" xfId="6339" xr:uid="{00000000-0005-0000-0000-0000A5340000}"/>
    <cellStyle name="40% - Accent5 15 6 2" xfId="6340" xr:uid="{00000000-0005-0000-0000-0000A6340000}"/>
    <cellStyle name="40% - Accent5 15 6 3" xfId="6341" xr:uid="{00000000-0005-0000-0000-0000A7340000}"/>
    <cellStyle name="40% - Accent5 15 7" xfId="6342" xr:uid="{00000000-0005-0000-0000-0000A8340000}"/>
    <cellStyle name="40% - Accent5 15 8" xfId="6343" xr:uid="{00000000-0005-0000-0000-0000A9340000}"/>
    <cellStyle name="40% - Accent5 15_Volatility" xfId="6344" xr:uid="{00000000-0005-0000-0000-0000AA340000}"/>
    <cellStyle name="40% - Accent5 16" xfId="6345" xr:uid="{00000000-0005-0000-0000-0000AB340000}"/>
    <cellStyle name="40% - Accent5 16 2" xfId="15941" xr:uid="{00000000-0005-0000-0000-0000AC340000}"/>
    <cellStyle name="40% - Accent5 16 3" xfId="19892" xr:uid="{00000000-0005-0000-0000-0000AD340000}"/>
    <cellStyle name="40% - Accent5 17" xfId="6346" xr:uid="{00000000-0005-0000-0000-0000AE340000}"/>
    <cellStyle name="40% - Accent5 17 2" xfId="15942" xr:uid="{00000000-0005-0000-0000-0000AF340000}"/>
    <cellStyle name="40% - Accent5 17 3" xfId="19893" xr:uid="{00000000-0005-0000-0000-0000B0340000}"/>
    <cellStyle name="40% - Accent5 18" xfId="6347" xr:uid="{00000000-0005-0000-0000-0000B1340000}"/>
    <cellStyle name="40% - Accent5 18 2" xfId="15943" xr:uid="{00000000-0005-0000-0000-0000B2340000}"/>
    <cellStyle name="40% - Accent5 18 3" xfId="19894" xr:uid="{00000000-0005-0000-0000-0000B3340000}"/>
    <cellStyle name="40% - Accent5 19" xfId="6348" xr:uid="{00000000-0005-0000-0000-0000B4340000}"/>
    <cellStyle name="40% - Accent5 19 2" xfId="15944" xr:uid="{00000000-0005-0000-0000-0000B5340000}"/>
    <cellStyle name="40% - Accent5 19 3" xfId="19895" xr:uid="{00000000-0005-0000-0000-0000B6340000}"/>
    <cellStyle name="40% - Accent5 2" xfId="6349" xr:uid="{00000000-0005-0000-0000-0000B7340000}"/>
    <cellStyle name="40% - Accent5 2 2" xfId="6350" xr:uid="{00000000-0005-0000-0000-0000B8340000}"/>
    <cellStyle name="40% - Accent5 2 2 2" xfId="6351" xr:uid="{00000000-0005-0000-0000-0000B9340000}"/>
    <cellStyle name="40% - Accent5 2 2 2 2" xfId="6352" xr:uid="{00000000-0005-0000-0000-0000BA340000}"/>
    <cellStyle name="40% - Accent5 2 2 2 3" xfId="6353" xr:uid="{00000000-0005-0000-0000-0000BB340000}"/>
    <cellStyle name="40% - Accent5 2 2 3" xfId="6354" xr:uid="{00000000-0005-0000-0000-0000BC340000}"/>
    <cellStyle name="40% - Accent5 2 2 3 2" xfId="6355" xr:uid="{00000000-0005-0000-0000-0000BD340000}"/>
    <cellStyle name="40% - Accent5 2 2 3 3" xfId="6356" xr:uid="{00000000-0005-0000-0000-0000BE340000}"/>
    <cellStyle name="40% - Accent5 2 2 4" xfId="6357" xr:uid="{00000000-0005-0000-0000-0000BF340000}"/>
    <cellStyle name="40% - Accent5 2 2 4 2" xfId="6358" xr:uid="{00000000-0005-0000-0000-0000C0340000}"/>
    <cellStyle name="40% - Accent5 2 2 4 3" xfId="6359" xr:uid="{00000000-0005-0000-0000-0000C1340000}"/>
    <cellStyle name="40% - Accent5 2 2 5" xfId="6360" xr:uid="{00000000-0005-0000-0000-0000C2340000}"/>
    <cellStyle name="40% - Accent5 2 2 6" xfId="6361" xr:uid="{00000000-0005-0000-0000-0000C3340000}"/>
    <cellStyle name="40% - Accent5 2 2_Volatility" xfId="6362" xr:uid="{00000000-0005-0000-0000-0000C4340000}"/>
    <cellStyle name="40% - Accent5 2 3" xfId="6363" xr:uid="{00000000-0005-0000-0000-0000C5340000}"/>
    <cellStyle name="40% - Accent5 2 3 2" xfId="6364" xr:uid="{00000000-0005-0000-0000-0000C6340000}"/>
    <cellStyle name="40% - Accent5 2 3 2 2" xfId="6365" xr:uid="{00000000-0005-0000-0000-0000C7340000}"/>
    <cellStyle name="40% - Accent5 2 3 2 3" xfId="6366" xr:uid="{00000000-0005-0000-0000-0000C8340000}"/>
    <cellStyle name="40% - Accent5 2 3 3" xfId="6367" xr:uid="{00000000-0005-0000-0000-0000C9340000}"/>
    <cellStyle name="40% - Accent5 2 3 3 2" xfId="6368" xr:uid="{00000000-0005-0000-0000-0000CA340000}"/>
    <cellStyle name="40% - Accent5 2 3 3 3" xfId="6369" xr:uid="{00000000-0005-0000-0000-0000CB340000}"/>
    <cellStyle name="40% - Accent5 2 3 4" xfId="6370" xr:uid="{00000000-0005-0000-0000-0000CC340000}"/>
    <cellStyle name="40% - Accent5 2 3 5" xfId="6371" xr:uid="{00000000-0005-0000-0000-0000CD340000}"/>
    <cellStyle name="40% - Accent5 2 3_Volatility" xfId="6372" xr:uid="{00000000-0005-0000-0000-0000CE340000}"/>
    <cellStyle name="40% - Accent5 2 4" xfId="6373" xr:uid="{00000000-0005-0000-0000-0000CF340000}"/>
    <cellStyle name="40% - Accent5 2 4 2" xfId="6374" xr:uid="{00000000-0005-0000-0000-0000D0340000}"/>
    <cellStyle name="40% - Accent5 2 4 3" xfId="6375" xr:uid="{00000000-0005-0000-0000-0000D1340000}"/>
    <cellStyle name="40% - Accent5 2 5" xfId="6376" xr:uid="{00000000-0005-0000-0000-0000D2340000}"/>
    <cellStyle name="40% - Accent5 2 5 2" xfId="6377" xr:uid="{00000000-0005-0000-0000-0000D3340000}"/>
    <cellStyle name="40% - Accent5 2 5 3" xfId="6378" xr:uid="{00000000-0005-0000-0000-0000D4340000}"/>
    <cellStyle name="40% - Accent5 2 6" xfId="6379" xr:uid="{00000000-0005-0000-0000-0000D5340000}"/>
    <cellStyle name="40% - Accent5 2 6 2" xfId="6380" xr:uid="{00000000-0005-0000-0000-0000D6340000}"/>
    <cellStyle name="40% - Accent5 2 6 3" xfId="6381" xr:uid="{00000000-0005-0000-0000-0000D7340000}"/>
    <cellStyle name="40% - Accent5 2 7" xfId="6382" xr:uid="{00000000-0005-0000-0000-0000D8340000}"/>
    <cellStyle name="40% - Accent5 2 8" xfId="6383" xr:uid="{00000000-0005-0000-0000-0000D9340000}"/>
    <cellStyle name="40% - Accent5 2_Volatility" xfId="6384" xr:uid="{00000000-0005-0000-0000-0000DA340000}"/>
    <cellStyle name="40% - Accent5 3" xfId="6385" xr:uid="{00000000-0005-0000-0000-0000DB340000}"/>
    <cellStyle name="40% - Accent5 3 2" xfId="6386" xr:uid="{00000000-0005-0000-0000-0000DC340000}"/>
    <cellStyle name="40% - Accent5 3 2 2" xfId="6387" xr:uid="{00000000-0005-0000-0000-0000DD340000}"/>
    <cellStyle name="40% - Accent5 3 2 2 2" xfId="6388" xr:uid="{00000000-0005-0000-0000-0000DE340000}"/>
    <cellStyle name="40% - Accent5 3 2 2 3" xfId="6389" xr:uid="{00000000-0005-0000-0000-0000DF340000}"/>
    <cellStyle name="40% - Accent5 3 2 3" xfId="6390" xr:uid="{00000000-0005-0000-0000-0000E0340000}"/>
    <cellStyle name="40% - Accent5 3 2 3 2" xfId="6391" xr:uid="{00000000-0005-0000-0000-0000E1340000}"/>
    <cellStyle name="40% - Accent5 3 2 3 3" xfId="6392" xr:uid="{00000000-0005-0000-0000-0000E2340000}"/>
    <cellStyle name="40% - Accent5 3 2 4" xfId="6393" xr:uid="{00000000-0005-0000-0000-0000E3340000}"/>
    <cellStyle name="40% - Accent5 3 2 4 2" xfId="6394" xr:uid="{00000000-0005-0000-0000-0000E4340000}"/>
    <cellStyle name="40% - Accent5 3 2 4 3" xfId="6395" xr:uid="{00000000-0005-0000-0000-0000E5340000}"/>
    <cellStyle name="40% - Accent5 3 2 5" xfId="6396" xr:uid="{00000000-0005-0000-0000-0000E6340000}"/>
    <cellStyle name="40% - Accent5 3 2 6" xfId="6397" xr:uid="{00000000-0005-0000-0000-0000E7340000}"/>
    <cellStyle name="40% - Accent5 3 2_Volatility" xfId="6398" xr:uid="{00000000-0005-0000-0000-0000E8340000}"/>
    <cellStyle name="40% - Accent5 3 3" xfId="6399" xr:uid="{00000000-0005-0000-0000-0000E9340000}"/>
    <cellStyle name="40% - Accent5 3 3 2" xfId="6400" xr:uid="{00000000-0005-0000-0000-0000EA340000}"/>
    <cellStyle name="40% - Accent5 3 3 2 2" xfId="6401" xr:uid="{00000000-0005-0000-0000-0000EB340000}"/>
    <cellStyle name="40% - Accent5 3 3 2 3" xfId="6402" xr:uid="{00000000-0005-0000-0000-0000EC340000}"/>
    <cellStyle name="40% - Accent5 3 3 3" xfId="6403" xr:uid="{00000000-0005-0000-0000-0000ED340000}"/>
    <cellStyle name="40% - Accent5 3 3 3 2" xfId="6404" xr:uid="{00000000-0005-0000-0000-0000EE340000}"/>
    <cellStyle name="40% - Accent5 3 3 3 3" xfId="6405" xr:uid="{00000000-0005-0000-0000-0000EF340000}"/>
    <cellStyle name="40% - Accent5 3 3 4" xfId="6406" xr:uid="{00000000-0005-0000-0000-0000F0340000}"/>
    <cellStyle name="40% - Accent5 3 3 5" xfId="6407" xr:uid="{00000000-0005-0000-0000-0000F1340000}"/>
    <cellStyle name="40% - Accent5 3 3_Volatility" xfId="6408" xr:uid="{00000000-0005-0000-0000-0000F2340000}"/>
    <cellStyle name="40% - Accent5 3 4" xfId="6409" xr:uid="{00000000-0005-0000-0000-0000F3340000}"/>
    <cellStyle name="40% - Accent5 3 4 2" xfId="6410" xr:uid="{00000000-0005-0000-0000-0000F4340000}"/>
    <cellStyle name="40% - Accent5 3 4 3" xfId="6411" xr:uid="{00000000-0005-0000-0000-0000F5340000}"/>
    <cellStyle name="40% - Accent5 3 5" xfId="6412" xr:uid="{00000000-0005-0000-0000-0000F6340000}"/>
    <cellStyle name="40% - Accent5 3 5 2" xfId="6413" xr:uid="{00000000-0005-0000-0000-0000F7340000}"/>
    <cellStyle name="40% - Accent5 3 5 3" xfId="6414" xr:uid="{00000000-0005-0000-0000-0000F8340000}"/>
    <cellStyle name="40% - Accent5 3 6" xfId="6415" xr:uid="{00000000-0005-0000-0000-0000F9340000}"/>
    <cellStyle name="40% - Accent5 3 6 2" xfId="6416" xr:uid="{00000000-0005-0000-0000-0000FA340000}"/>
    <cellStyle name="40% - Accent5 3 6 3" xfId="6417" xr:uid="{00000000-0005-0000-0000-0000FB340000}"/>
    <cellStyle name="40% - Accent5 3 7" xfId="6418" xr:uid="{00000000-0005-0000-0000-0000FC340000}"/>
    <cellStyle name="40% - Accent5 3 8" xfId="6419" xr:uid="{00000000-0005-0000-0000-0000FD340000}"/>
    <cellStyle name="40% - Accent5 3_Volatility" xfId="6420" xr:uid="{00000000-0005-0000-0000-0000FE340000}"/>
    <cellStyle name="40% - Accent5 4" xfId="6421" xr:uid="{00000000-0005-0000-0000-0000FF340000}"/>
    <cellStyle name="40% - Accent5 4 2" xfId="6422" xr:uid="{00000000-0005-0000-0000-000000350000}"/>
    <cellStyle name="40% - Accent5 4 2 2" xfId="6423" xr:uid="{00000000-0005-0000-0000-000001350000}"/>
    <cellStyle name="40% - Accent5 4 2 2 2" xfId="6424" xr:uid="{00000000-0005-0000-0000-000002350000}"/>
    <cellStyle name="40% - Accent5 4 2 2 3" xfId="6425" xr:uid="{00000000-0005-0000-0000-000003350000}"/>
    <cellStyle name="40% - Accent5 4 2 3" xfId="6426" xr:uid="{00000000-0005-0000-0000-000004350000}"/>
    <cellStyle name="40% - Accent5 4 2 3 2" xfId="6427" xr:uid="{00000000-0005-0000-0000-000005350000}"/>
    <cellStyle name="40% - Accent5 4 2 3 3" xfId="6428" xr:uid="{00000000-0005-0000-0000-000006350000}"/>
    <cellStyle name="40% - Accent5 4 2 4" xfId="6429" xr:uid="{00000000-0005-0000-0000-000007350000}"/>
    <cellStyle name="40% - Accent5 4 2 4 2" xfId="6430" xr:uid="{00000000-0005-0000-0000-000008350000}"/>
    <cellStyle name="40% - Accent5 4 2 4 3" xfId="6431" xr:uid="{00000000-0005-0000-0000-000009350000}"/>
    <cellStyle name="40% - Accent5 4 2 5" xfId="6432" xr:uid="{00000000-0005-0000-0000-00000A350000}"/>
    <cellStyle name="40% - Accent5 4 2 6" xfId="6433" xr:uid="{00000000-0005-0000-0000-00000B350000}"/>
    <cellStyle name="40% - Accent5 4 2_Volatility" xfId="6434" xr:uid="{00000000-0005-0000-0000-00000C350000}"/>
    <cellStyle name="40% - Accent5 4 3" xfId="6435" xr:uid="{00000000-0005-0000-0000-00000D350000}"/>
    <cellStyle name="40% - Accent5 4 3 2" xfId="6436" xr:uid="{00000000-0005-0000-0000-00000E350000}"/>
    <cellStyle name="40% - Accent5 4 3 2 2" xfId="6437" xr:uid="{00000000-0005-0000-0000-00000F350000}"/>
    <cellStyle name="40% - Accent5 4 3 2 3" xfId="6438" xr:uid="{00000000-0005-0000-0000-000010350000}"/>
    <cellStyle name="40% - Accent5 4 3 3" xfId="6439" xr:uid="{00000000-0005-0000-0000-000011350000}"/>
    <cellStyle name="40% - Accent5 4 3 3 2" xfId="6440" xr:uid="{00000000-0005-0000-0000-000012350000}"/>
    <cellStyle name="40% - Accent5 4 3 3 3" xfId="6441" xr:uid="{00000000-0005-0000-0000-000013350000}"/>
    <cellStyle name="40% - Accent5 4 3 4" xfId="6442" xr:uid="{00000000-0005-0000-0000-000014350000}"/>
    <cellStyle name="40% - Accent5 4 3 5" xfId="6443" xr:uid="{00000000-0005-0000-0000-000015350000}"/>
    <cellStyle name="40% - Accent5 4 3_Volatility" xfId="6444" xr:uid="{00000000-0005-0000-0000-000016350000}"/>
    <cellStyle name="40% - Accent5 4 4" xfId="6445" xr:uid="{00000000-0005-0000-0000-000017350000}"/>
    <cellStyle name="40% - Accent5 4 4 2" xfId="6446" xr:uid="{00000000-0005-0000-0000-000018350000}"/>
    <cellStyle name="40% - Accent5 4 4 3" xfId="6447" xr:uid="{00000000-0005-0000-0000-000019350000}"/>
    <cellStyle name="40% - Accent5 4 5" xfId="6448" xr:uid="{00000000-0005-0000-0000-00001A350000}"/>
    <cellStyle name="40% - Accent5 4 5 2" xfId="6449" xr:uid="{00000000-0005-0000-0000-00001B350000}"/>
    <cellStyle name="40% - Accent5 4 5 3" xfId="6450" xr:uid="{00000000-0005-0000-0000-00001C350000}"/>
    <cellStyle name="40% - Accent5 4 6" xfId="6451" xr:uid="{00000000-0005-0000-0000-00001D350000}"/>
    <cellStyle name="40% - Accent5 4 6 2" xfId="6452" xr:uid="{00000000-0005-0000-0000-00001E350000}"/>
    <cellStyle name="40% - Accent5 4 6 3" xfId="6453" xr:uid="{00000000-0005-0000-0000-00001F350000}"/>
    <cellStyle name="40% - Accent5 4 7" xfId="6454" xr:uid="{00000000-0005-0000-0000-000020350000}"/>
    <cellStyle name="40% - Accent5 4 8" xfId="6455" xr:uid="{00000000-0005-0000-0000-000021350000}"/>
    <cellStyle name="40% - Accent5 4_Volatility" xfId="6456" xr:uid="{00000000-0005-0000-0000-000022350000}"/>
    <cellStyle name="40% - Accent5 5" xfId="6457" xr:uid="{00000000-0005-0000-0000-000023350000}"/>
    <cellStyle name="40% - Accent5 5 2" xfId="6458" xr:uid="{00000000-0005-0000-0000-000024350000}"/>
    <cellStyle name="40% - Accent5 5 2 2" xfId="6459" xr:uid="{00000000-0005-0000-0000-000025350000}"/>
    <cellStyle name="40% - Accent5 5 2 2 2" xfId="6460" xr:uid="{00000000-0005-0000-0000-000026350000}"/>
    <cellStyle name="40% - Accent5 5 2 2 3" xfId="6461" xr:uid="{00000000-0005-0000-0000-000027350000}"/>
    <cellStyle name="40% - Accent5 5 2 3" xfId="6462" xr:uid="{00000000-0005-0000-0000-000028350000}"/>
    <cellStyle name="40% - Accent5 5 2 3 2" xfId="6463" xr:uid="{00000000-0005-0000-0000-000029350000}"/>
    <cellStyle name="40% - Accent5 5 2 3 3" xfId="6464" xr:uid="{00000000-0005-0000-0000-00002A350000}"/>
    <cellStyle name="40% - Accent5 5 2 4" xfId="6465" xr:uid="{00000000-0005-0000-0000-00002B350000}"/>
    <cellStyle name="40% - Accent5 5 2 4 2" xfId="6466" xr:uid="{00000000-0005-0000-0000-00002C350000}"/>
    <cellStyle name="40% - Accent5 5 2 4 3" xfId="6467" xr:uid="{00000000-0005-0000-0000-00002D350000}"/>
    <cellStyle name="40% - Accent5 5 2 5" xfId="6468" xr:uid="{00000000-0005-0000-0000-00002E350000}"/>
    <cellStyle name="40% - Accent5 5 2 6" xfId="6469" xr:uid="{00000000-0005-0000-0000-00002F350000}"/>
    <cellStyle name="40% - Accent5 5 2_Volatility" xfId="6470" xr:uid="{00000000-0005-0000-0000-000030350000}"/>
    <cellStyle name="40% - Accent5 5 3" xfId="6471" xr:uid="{00000000-0005-0000-0000-000031350000}"/>
    <cellStyle name="40% - Accent5 5 3 2" xfId="6472" xr:uid="{00000000-0005-0000-0000-000032350000}"/>
    <cellStyle name="40% - Accent5 5 3 2 2" xfId="6473" xr:uid="{00000000-0005-0000-0000-000033350000}"/>
    <cellStyle name="40% - Accent5 5 3 2 3" xfId="6474" xr:uid="{00000000-0005-0000-0000-000034350000}"/>
    <cellStyle name="40% - Accent5 5 3 3" xfId="6475" xr:uid="{00000000-0005-0000-0000-000035350000}"/>
    <cellStyle name="40% - Accent5 5 3 3 2" xfId="6476" xr:uid="{00000000-0005-0000-0000-000036350000}"/>
    <cellStyle name="40% - Accent5 5 3 3 3" xfId="6477" xr:uid="{00000000-0005-0000-0000-000037350000}"/>
    <cellStyle name="40% - Accent5 5 3 4" xfId="6478" xr:uid="{00000000-0005-0000-0000-000038350000}"/>
    <cellStyle name="40% - Accent5 5 3 5" xfId="6479" xr:uid="{00000000-0005-0000-0000-000039350000}"/>
    <cellStyle name="40% - Accent5 5 3_Volatility" xfId="6480" xr:uid="{00000000-0005-0000-0000-00003A350000}"/>
    <cellStyle name="40% - Accent5 5 4" xfId="6481" xr:uid="{00000000-0005-0000-0000-00003B350000}"/>
    <cellStyle name="40% - Accent5 5 4 2" xfId="6482" xr:uid="{00000000-0005-0000-0000-00003C350000}"/>
    <cellStyle name="40% - Accent5 5 4 3" xfId="6483" xr:uid="{00000000-0005-0000-0000-00003D350000}"/>
    <cellStyle name="40% - Accent5 5 5" xfId="6484" xr:uid="{00000000-0005-0000-0000-00003E350000}"/>
    <cellStyle name="40% - Accent5 5 5 2" xfId="6485" xr:uid="{00000000-0005-0000-0000-00003F350000}"/>
    <cellStyle name="40% - Accent5 5 5 3" xfId="6486" xr:uid="{00000000-0005-0000-0000-000040350000}"/>
    <cellStyle name="40% - Accent5 5 6" xfId="6487" xr:uid="{00000000-0005-0000-0000-000041350000}"/>
    <cellStyle name="40% - Accent5 5 6 2" xfId="6488" xr:uid="{00000000-0005-0000-0000-000042350000}"/>
    <cellStyle name="40% - Accent5 5 6 3" xfId="6489" xr:uid="{00000000-0005-0000-0000-000043350000}"/>
    <cellStyle name="40% - Accent5 5 7" xfId="6490" xr:uid="{00000000-0005-0000-0000-000044350000}"/>
    <cellStyle name="40% - Accent5 5 8" xfId="6491" xr:uid="{00000000-0005-0000-0000-000045350000}"/>
    <cellStyle name="40% - Accent5 5_Volatility" xfId="6492" xr:uid="{00000000-0005-0000-0000-000046350000}"/>
    <cellStyle name="40% - Accent5 6" xfId="6493" xr:uid="{00000000-0005-0000-0000-000047350000}"/>
    <cellStyle name="40% - Accent5 6 2" xfId="6494" xr:uid="{00000000-0005-0000-0000-000048350000}"/>
    <cellStyle name="40% - Accent5 6 2 2" xfId="6495" xr:uid="{00000000-0005-0000-0000-000049350000}"/>
    <cellStyle name="40% - Accent5 6 2 2 2" xfId="6496" xr:uid="{00000000-0005-0000-0000-00004A350000}"/>
    <cellStyle name="40% - Accent5 6 2 2 3" xfId="6497" xr:uid="{00000000-0005-0000-0000-00004B350000}"/>
    <cellStyle name="40% - Accent5 6 2 3" xfId="6498" xr:uid="{00000000-0005-0000-0000-00004C350000}"/>
    <cellStyle name="40% - Accent5 6 2 3 2" xfId="6499" xr:uid="{00000000-0005-0000-0000-00004D350000}"/>
    <cellStyle name="40% - Accent5 6 2 3 3" xfId="6500" xr:uid="{00000000-0005-0000-0000-00004E350000}"/>
    <cellStyle name="40% - Accent5 6 2 4" xfId="6501" xr:uid="{00000000-0005-0000-0000-00004F350000}"/>
    <cellStyle name="40% - Accent5 6 2 4 2" xfId="6502" xr:uid="{00000000-0005-0000-0000-000050350000}"/>
    <cellStyle name="40% - Accent5 6 2 4 3" xfId="6503" xr:uid="{00000000-0005-0000-0000-000051350000}"/>
    <cellStyle name="40% - Accent5 6 2 5" xfId="6504" xr:uid="{00000000-0005-0000-0000-000052350000}"/>
    <cellStyle name="40% - Accent5 6 2 6" xfId="6505" xr:uid="{00000000-0005-0000-0000-000053350000}"/>
    <cellStyle name="40% - Accent5 6 2_Volatility" xfId="6506" xr:uid="{00000000-0005-0000-0000-000054350000}"/>
    <cellStyle name="40% - Accent5 6 3" xfId="6507" xr:uid="{00000000-0005-0000-0000-000055350000}"/>
    <cellStyle name="40% - Accent5 6 3 2" xfId="6508" xr:uid="{00000000-0005-0000-0000-000056350000}"/>
    <cellStyle name="40% - Accent5 6 3 2 2" xfId="6509" xr:uid="{00000000-0005-0000-0000-000057350000}"/>
    <cellStyle name="40% - Accent5 6 3 2 3" xfId="6510" xr:uid="{00000000-0005-0000-0000-000058350000}"/>
    <cellStyle name="40% - Accent5 6 3 3" xfId="6511" xr:uid="{00000000-0005-0000-0000-000059350000}"/>
    <cellStyle name="40% - Accent5 6 3 3 2" xfId="6512" xr:uid="{00000000-0005-0000-0000-00005A350000}"/>
    <cellStyle name="40% - Accent5 6 3 3 3" xfId="6513" xr:uid="{00000000-0005-0000-0000-00005B350000}"/>
    <cellStyle name="40% - Accent5 6 3 4" xfId="6514" xr:uid="{00000000-0005-0000-0000-00005C350000}"/>
    <cellStyle name="40% - Accent5 6 3 5" xfId="6515" xr:uid="{00000000-0005-0000-0000-00005D350000}"/>
    <cellStyle name="40% - Accent5 6 3_Volatility" xfId="6516" xr:uid="{00000000-0005-0000-0000-00005E350000}"/>
    <cellStyle name="40% - Accent5 6 4" xfId="6517" xr:uid="{00000000-0005-0000-0000-00005F350000}"/>
    <cellStyle name="40% - Accent5 6 4 2" xfId="6518" xr:uid="{00000000-0005-0000-0000-000060350000}"/>
    <cellStyle name="40% - Accent5 6 4 3" xfId="6519" xr:uid="{00000000-0005-0000-0000-000061350000}"/>
    <cellStyle name="40% - Accent5 6 5" xfId="6520" xr:uid="{00000000-0005-0000-0000-000062350000}"/>
    <cellStyle name="40% - Accent5 6 5 2" xfId="6521" xr:uid="{00000000-0005-0000-0000-000063350000}"/>
    <cellStyle name="40% - Accent5 6 5 3" xfId="6522" xr:uid="{00000000-0005-0000-0000-000064350000}"/>
    <cellStyle name="40% - Accent5 6 6" xfId="6523" xr:uid="{00000000-0005-0000-0000-000065350000}"/>
    <cellStyle name="40% - Accent5 6 6 2" xfId="6524" xr:uid="{00000000-0005-0000-0000-000066350000}"/>
    <cellStyle name="40% - Accent5 6 6 3" xfId="6525" xr:uid="{00000000-0005-0000-0000-000067350000}"/>
    <cellStyle name="40% - Accent5 6 7" xfId="6526" xr:uid="{00000000-0005-0000-0000-000068350000}"/>
    <cellStyle name="40% - Accent5 6 8" xfId="6527" xr:uid="{00000000-0005-0000-0000-000069350000}"/>
    <cellStyle name="40% - Accent5 6_Volatility" xfId="6528" xr:uid="{00000000-0005-0000-0000-00006A350000}"/>
    <cellStyle name="40% - Accent5 7" xfId="6529" xr:uid="{00000000-0005-0000-0000-00006B350000}"/>
    <cellStyle name="40% - Accent5 7 2" xfId="6530" xr:uid="{00000000-0005-0000-0000-00006C350000}"/>
    <cellStyle name="40% - Accent5 7 2 2" xfId="6531" xr:uid="{00000000-0005-0000-0000-00006D350000}"/>
    <cellStyle name="40% - Accent5 7 2 2 2" xfId="6532" xr:uid="{00000000-0005-0000-0000-00006E350000}"/>
    <cellStyle name="40% - Accent5 7 2 2 3" xfId="6533" xr:uid="{00000000-0005-0000-0000-00006F350000}"/>
    <cellStyle name="40% - Accent5 7 2 3" xfId="6534" xr:uid="{00000000-0005-0000-0000-000070350000}"/>
    <cellStyle name="40% - Accent5 7 2 3 2" xfId="6535" xr:uid="{00000000-0005-0000-0000-000071350000}"/>
    <cellStyle name="40% - Accent5 7 2 3 3" xfId="6536" xr:uid="{00000000-0005-0000-0000-000072350000}"/>
    <cellStyle name="40% - Accent5 7 2 4" xfId="6537" xr:uid="{00000000-0005-0000-0000-000073350000}"/>
    <cellStyle name="40% - Accent5 7 2 4 2" xfId="6538" xr:uid="{00000000-0005-0000-0000-000074350000}"/>
    <cellStyle name="40% - Accent5 7 2 4 3" xfId="6539" xr:uid="{00000000-0005-0000-0000-000075350000}"/>
    <cellStyle name="40% - Accent5 7 2 5" xfId="6540" xr:uid="{00000000-0005-0000-0000-000076350000}"/>
    <cellStyle name="40% - Accent5 7 2 6" xfId="6541" xr:uid="{00000000-0005-0000-0000-000077350000}"/>
    <cellStyle name="40% - Accent5 7 2_Volatility" xfId="6542" xr:uid="{00000000-0005-0000-0000-000078350000}"/>
    <cellStyle name="40% - Accent5 7 3" xfId="6543" xr:uid="{00000000-0005-0000-0000-000079350000}"/>
    <cellStyle name="40% - Accent5 7 3 2" xfId="6544" xr:uid="{00000000-0005-0000-0000-00007A350000}"/>
    <cellStyle name="40% - Accent5 7 3 2 2" xfId="6545" xr:uid="{00000000-0005-0000-0000-00007B350000}"/>
    <cellStyle name="40% - Accent5 7 3 2 3" xfId="6546" xr:uid="{00000000-0005-0000-0000-00007C350000}"/>
    <cellStyle name="40% - Accent5 7 3 3" xfId="6547" xr:uid="{00000000-0005-0000-0000-00007D350000}"/>
    <cellStyle name="40% - Accent5 7 3 3 2" xfId="6548" xr:uid="{00000000-0005-0000-0000-00007E350000}"/>
    <cellStyle name="40% - Accent5 7 3 3 3" xfId="6549" xr:uid="{00000000-0005-0000-0000-00007F350000}"/>
    <cellStyle name="40% - Accent5 7 3 4" xfId="6550" xr:uid="{00000000-0005-0000-0000-000080350000}"/>
    <cellStyle name="40% - Accent5 7 3 5" xfId="6551" xr:uid="{00000000-0005-0000-0000-000081350000}"/>
    <cellStyle name="40% - Accent5 7 3_Volatility" xfId="6552" xr:uid="{00000000-0005-0000-0000-000082350000}"/>
    <cellStyle name="40% - Accent5 7 4" xfId="6553" xr:uid="{00000000-0005-0000-0000-000083350000}"/>
    <cellStyle name="40% - Accent5 7 4 2" xfId="6554" xr:uid="{00000000-0005-0000-0000-000084350000}"/>
    <cellStyle name="40% - Accent5 7 4 3" xfId="6555" xr:uid="{00000000-0005-0000-0000-000085350000}"/>
    <cellStyle name="40% - Accent5 7 5" xfId="6556" xr:uid="{00000000-0005-0000-0000-000086350000}"/>
    <cellStyle name="40% - Accent5 7 5 2" xfId="6557" xr:uid="{00000000-0005-0000-0000-000087350000}"/>
    <cellStyle name="40% - Accent5 7 5 3" xfId="6558" xr:uid="{00000000-0005-0000-0000-000088350000}"/>
    <cellStyle name="40% - Accent5 7 6" xfId="6559" xr:uid="{00000000-0005-0000-0000-000089350000}"/>
    <cellStyle name="40% - Accent5 7 6 2" xfId="6560" xr:uid="{00000000-0005-0000-0000-00008A350000}"/>
    <cellStyle name="40% - Accent5 7 6 3" xfId="6561" xr:uid="{00000000-0005-0000-0000-00008B350000}"/>
    <cellStyle name="40% - Accent5 7 7" xfId="6562" xr:uid="{00000000-0005-0000-0000-00008C350000}"/>
    <cellStyle name="40% - Accent5 7 8" xfId="6563" xr:uid="{00000000-0005-0000-0000-00008D350000}"/>
    <cellStyle name="40% - Accent5 7_Volatility" xfId="6564" xr:uid="{00000000-0005-0000-0000-00008E350000}"/>
    <cellStyle name="40% - Accent5 8" xfId="6565" xr:uid="{00000000-0005-0000-0000-00008F350000}"/>
    <cellStyle name="40% - Accent5 8 2" xfId="6566" xr:uid="{00000000-0005-0000-0000-000090350000}"/>
    <cellStyle name="40% - Accent5 8 2 2" xfId="6567" xr:uid="{00000000-0005-0000-0000-000091350000}"/>
    <cellStyle name="40% - Accent5 8 2 2 2" xfId="6568" xr:uid="{00000000-0005-0000-0000-000092350000}"/>
    <cellStyle name="40% - Accent5 8 2 2 3" xfId="6569" xr:uid="{00000000-0005-0000-0000-000093350000}"/>
    <cellStyle name="40% - Accent5 8 2 3" xfId="6570" xr:uid="{00000000-0005-0000-0000-000094350000}"/>
    <cellStyle name="40% - Accent5 8 2 3 2" xfId="6571" xr:uid="{00000000-0005-0000-0000-000095350000}"/>
    <cellStyle name="40% - Accent5 8 2 3 3" xfId="6572" xr:uid="{00000000-0005-0000-0000-000096350000}"/>
    <cellStyle name="40% - Accent5 8 2 4" xfId="6573" xr:uid="{00000000-0005-0000-0000-000097350000}"/>
    <cellStyle name="40% - Accent5 8 2 4 2" xfId="6574" xr:uid="{00000000-0005-0000-0000-000098350000}"/>
    <cellStyle name="40% - Accent5 8 2 4 3" xfId="6575" xr:uid="{00000000-0005-0000-0000-000099350000}"/>
    <cellStyle name="40% - Accent5 8 2 5" xfId="6576" xr:uid="{00000000-0005-0000-0000-00009A350000}"/>
    <cellStyle name="40% - Accent5 8 2 6" xfId="6577" xr:uid="{00000000-0005-0000-0000-00009B350000}"/>
    <cellStyle name="40% - Accent5 8 2_Volatility" xfId="6578" xr:uid="{00000000-0005-0000-0000-00009C350000}"/>
    <cellStyle name="40% - Accent5 8 3" xfId="6579" xr:uid="{00000000-0005-0000-0000-00009D350000}"/>
    <cellStyle name="40% - Accent5 8 3 2" xfId="6580" xr:uid="{00000000-0005-0000-0000-00009E350000}"/>
    <cellStyle name="40% - Accent5 8 3 2 2" xfId="6581" xr:uid="{00000000-0005-0000-0000-00009F350000}"/>
    <cellStyle name="40% - Accent5 8 3 2 3" xfId="6582" xr:uid="{00000000-0005-0000-0000-0000A0350000}"/>
    <cellStyle name="40% - Accent5 8 3 3" xfId="6583" xr:uid="{00000000-0005-0000-0000-0000A1350000}"/>
    <cellStyle name="40% - Accent5 8 3 3 2" xfId="6584" xr:uid="{00000000-0005-0000-0000-0000A2350000}"/>
    <cellStyle name="40% - Accent5 8 3 3 3" xfId="6585" xr:uid="{00000000-0005-0000-0000-0000A3350000}"/>
    <cellStyle name="40% - Accent5 8 3 4" xfId="6586" xr:uid="{00000000-0005-0000-0000-0000A4350000}"/>
    <cellStyle name="40% - Accent5 8 3 5" xfId="6587" xr:uid="{00000000-0005-0000-0000-0000A5350000}"/>
    <cellStyle name="40% - Accent5 8 3_Volatility" xfId="6588" xr:uid="{00000000-0005-0000-0000-0000A6350000}"/>
    <cellStyle name="40% - Accent5 8 4" xfId="6589" xr:uid="{00000000-0005-0000-0000-0000A7350000}"/>
    <cellStyle name="40% - Accent5 8 4 2" xfId="6590" xr:uid="{00000000-0005-0000-0000-0000A8350000}"/>
    <cellStyle name="40% - Accent5 8 4 3" xfId="6591" xr:uid="{00000000-0005-0000-0000-0000A9350000}"/>
    <cellStyle name="40% - Accent5 8 5" xfId="6592" xr:uid="{00000000-0005-0000-0000-0000AA350000}"/>
    <cellStyle name="40% - Accent5 8 5 2" xfId="6593" xr:uid="{00000000-0005-0000-0000-0000AB350000}"/>
    <cellStyle name="40% - Accent5 8 5 3" xfId="6594" xr:uid="{00000000-0005-0000-0000-0000AC350000}"/>
    <cellStyle name="40% - Accent5 8 6" xfId="6595" xr:uid="{00000000-0005-0000-0000-0000AD350000}"/>
    <cellStyle name="40% - Accent5 8 6 2" xfId="6596" xr:uid="{00000000-0005-0000-0000-0000AE350000}"/>
    <cellStyle name="40% - Accent5 8 6 3" xfId="6597" xr:uid="{00000000-0005-0000-0000-0000AF350000}"/>
    <cellStyle name="40% - Accent5 8 7" xfId="6598" xr:uid="{00000000-0005-0000-0000-0000B0350000}"/>
    <cellStyle name="40% - Accent5 8 8" xfId="6599" xr:uid="{00000000-0005-0000-0000-0000B1350000}"/>
    <cellStyle name="40% - Accent5 8_Volatility" xfId="6600" xr:uid="{00000000-0005-0000-0000-0000B2350000}"/>
    <cellStyle name="40% - Accent5 9" xfId="6601" xr:uid="{00000000-0005-0000-0000-0000B3350000}"/>
    <cellStyle name="40% - Accent5 9 2" xfId="6602" xr:uid="{00000000-0005-0000-0000-0000B4350000}"/>
    <cellStyle name="40% - Accent5 9 2 2" xfId="6603" xr:uid="{00000000-0005-0000-0000-0000B5350000}"/>
    <cellStyle name="40% - Accent5 9 2 2 2" xfId="6604" xr:uid="{00000000-0005-0000-0000-0000B6350000}"/>
    <cellStyle name="40% - Accent5 9 2 2 3" xfId="6605" xr:uid="{00000000-0005-0000-0000-0000B7350000}"/>
    <cellStyle name="40% - Accent5 9 2 3" xfId="6606" xr:uid="{00000000-0005-0000-0000-0000B8350000}"/>
    <cellStyle name="40% - Accent5 9 2 3 2" xfId="6607" xr:uid="{00000000-0005-0000-0000-0000B9350000}"/>
    <cellStyle name="40% - Accent5 9 2 3 3" xfId="6608" xr:uid="{00000000-0005-0000-0000-0000BA350000}"/>
    <cellStyle name="40% - Accent5 9 2 4" xfId="6609" xr:uid="{00000000-0005-0000-0000-0000BB350000}"/>
    <cellStyle name="40% - Accent5 9 2 4 2" xfId="6610" xr:uid="{00000000-0005-0000-0000-0000BC350000}"/>
    <cellStyle name="40% - Accent5 9 2 4 3" xfId="6611" xr:uid="{00000000-0005-0000-0000-0000BD350000}"/>
    <cellStyle name="40% - Accent5 9 2 5" xfId="6612" xr:uid="{00000000-0005-0000-0000-0000BE350000}"/>
    <cellStyle name="40% - Accent5 9 2 6" xfId="6613" xr:uid="{00000000-0005-0000-0000-0000BF350000}"/>
    <cellStyle name="40% - Accent5 9 2_Volatility" xfId="6614" xr:uid="{00000000-0005-0000-0000-0000C0350000}"/>
    <cellStyle name="40% - Accent5 9 3" xfId="6615" xr:uid="{00000000-0005-0000-0000-0000C1350000}"/>
    <cellStyle name="40% - Accent5 9 3 2" xfId="6616" xr:uid="{00000000-0005-0000-0000-0000C2350000}"/>
    <cellStyle name="40% - Accent5 9 3 2 2" xfId="6617" xr:uid="{00000000-0005-0000-0000-0000C3350000}"/>
    <cellStyle name="40% - Accent5 9 3 2 3" xfId="6618" xr:uid="{00000000-0005-0000-0000-0000C4350000}"/>
    <cellStyle name="40% - Accent5 9 3 3" xfId="6619" xr:uid="{00000000-0005-0000-0000-0000C5350000}"/>
    <cellStyle name="40% - Accent5 9 3 3 2" xfId="6620" xr:uid="{00000000-0005-0000-0000-0000C6350000}"/>
    <cellStyle name="40% - Accent5 9 3 3 3" xfId="6621" xr:uid="{00000000-0005-0000-0000-0000C7350000}"/>
    <cellStyle name="40% - Accent5 9 3 4" xfId="6622" xr:uid="{00000000-0005-0000-0000-0000C8350000}"/>
    <cellStyle name="40% - Accent5 9 3 5" xfId="6623" xr:uid="{00000000-0005-0000-0000-0000C9350000}"/>
    <cellStyle name="40% - Accent5 9 3_Volatility" xfId="6624" xr:uid="{00000000-0005-0000-0000-0000CA350000}"/>
    <cellStyle name="40% - Accent5 9 4" xfId="6625" xr:uid="{00000000-0005-0000-0000-0000CB350000}"/>
    <cellStyle name="40% - Accent5 9 4 2" xfId="6626" xr:uid="{00000000-0005-0000-0000-0000CC350000}"/>
    <cellStyle name="40% - Accent5 9 4 3" xfId="6627" xr:uid="{00000000-0005-0000-0000-0000CD350000}"/>
    <cellStyle name="40% - Accent5 9 5" xfId="6628" xr:uid="{00000000-0005-0000-0000-0000CE350000}"/>
    <cellStyle name="40% - Accent5 9 5 2" xfId="6629" xr:uid="{00000000-0005-0000-0000-0000CF350000}"/>
    <cellStyle name="40% - Accent5 9 5 3" xfId="6630" xr:uid="{00000000-0005-0000-0000-0000D0350000}"/>
    <cellStyle name="40% - Accent5 9 6" xfId="6631" xr:uid="{00000000-0005-0000-0000-0000D1350000}"/>
    <cellStyle name="40% - Accent5 9 6 2" xfId="6632" xr:uid="{00000000-0005-0000-0000-0000D2350000}"/>
    <cellStyle name="40% - Accent5 9 6 3" xfId="6633" xr:uid="{00000000-0005-0000-0000-0000D3350000}"/>
    <cellStyle name="40% - Accent5 9 7" xfId="6634" xr:uid="{00000000-0005-0000-0000-0000D4350000}"/>
    <cellStyle name="40% - Accent5 9 8" xfId="6635" xr:uid="{00000000-0005-0000-0000-0000D5350000}"/>
    <cellStyle name="40% - Accent5 9_Volatility" xfId="6636" xr:uid="{00000000-0005-0000-0000-0000D6350000}"/>
    <cellStyle name="40% - Accent6 10" xfId="6637" xr:uid="{00000000-0005-0000-0000-0000D7350000}"/>
    <cellStyle name="40% - Accent6 10 2" xfId="6638" xr:uid="{00000000-0005-0000-0000-0000D8350000}"/>
    <cellStyle name="40% - Accent6 10 2 2" xfId="6639" xr:uid="{00000000-0005-0000-0000-0000D9350000}"/>
    <cellStyle name="40% - Accent6 10 2 2 2" xfId="6640" xr:uid="{00000000-0005-0000-0000-0000DA350000}"/>
    <cellStyle name="40% - Accent6 10 2 2 3" xfId="6641" xr:uid="{00000000-0005-0000-0000-0000DB350000}"/>
    <cellStyle name="40% - Accent6 10 2 3" xfId="6642" xr:uid="{00000000-0005-0000-0000-0000DC350000}"/>
    <cellStyle name="40% - Accent6 10 2 3 2" xfId="6643" xr:uid="{00000000-0005-0000-0000-0000DD350000}"/>
    <cellStyle name="40% - Accent6 10 2 3 3" xfId="6644" xr:uid="{00000000-0005-0000-0000-0000DE350000}"/>
    <cellStyle name="40% - Accent6 10 2 4" xfId="6645" xr:uid="{00000000-0005-0000-0000-0000DF350000}"/>
    <cellStyle name="40% - Accent6 10 2 4 2" xfId="6646" xr:uid="{00000000-0005-0000-0000-0000E0350000}"/>
    <cellStyle name="40% - Accent6 10 2 4 3" xfId="6647" xr:uid="{00000000-0005-0000-0000-0000E1350000}"/>
    <cellStyle name="40% - Accent6 10 2 5" xfId="6648" xr:uid="{00000000-0005-0000-0000-0000E2350000}"/>
    <cellStyle name="40% - Accent6 10 2 6" xfId="6649" xr:uid="{00000000-0005-0000-0000-0000E3350000}"/>
    <cellStyle name="40% - Accent6 10 2_Volatility" xfId="6650" xr:uid="{00000000-0005-0000-0000-0000E4350000}"/>
    <cellStyle name="40% - Accent6 10 3" xfId="6651" xr:uid="{00000000-0005-0000-0000-0000E5350000}"/>
    <cellStyle name="40% - Accent6 10 3 2" xfId="6652" xr:uid="{00000000-0005-0000-0000-0000E6350000}"/>
    <cellStyle name="40% - Accent6 10 3 2 2" xfId="6653" xr:uid="{00000000-0005-0000-0000-0000E7350000}"/>
    <cellStyle name="40% - Accent6 10 3 2 3" xfId="6654" xr:uid="{00000000-0005-0000-0000-0000E8350000}"/>
    <cellStyle name="40% - Accent6 10 3 3" xfId="6655" xr:uid="{00000000-0005-0000-0000-0000E9350000}"/>
    <cellStyle name="40% - Accent6 10 3 3 2" xfId="6656" xr:uid="{00000000-0005-0000-0000-0000EA350000}"/>
    <cellStyle name="40% - Accent6 10 3 3 3" xfId="6657" xr:uid="{00000000-0005-0000-0000-0000EB350000}"/>
    <cellStyle name="40% - Accent6 10 3 4" xfId="6658" xr:uid="{00000000-0005-0000-0000-0000EC350000}"/>
    <cellStyle name="40% - Accent6 10 3 5" xfId="6659" xr:uid="{00000000-0005-0000-0000-0000ED350000}"/>
    <cellStyle name="40% - Accent6 10 3_Volatility" xfId="6660" xr:uid="{00000000-0005-0000-0000-0000EE350000}"/>
    <cellStyle name="40% - Accent6 10 4" xfId="6661" xr:uid="{00000000-0005-0000-0000-0000EF350000}"/>
    <cellStyle name="40% - Accent6 10 4 2" xfId="6662" xr:uid="{00000000-0005-0000-0000-0000F0350000}"/>
    <cellStyle name="40% - Accent6 10 4 3" xfId="6663" xr:uid="{00000000-0005-0000-0000-0000F1350000}"/>
    <cellStyle name="40% - Accent6 10 5" xfId="6664" xr:uid="{00000000-0005-0000-0000-0000F2350000}"/>
    <cellStyle name="40% - Accent6 10 5 2" xfId="6665" xr:uid="{00000000-0005-0000-0000-0000F3350000}"/>
    <cellStyle name="40% - Accent6 10 5 3" xfId="6666" xr:uid="{00000000-0005-0000-0000-0000F4350000}"/>
    <cellStyle name="40% - Accent6 10 6" xfId="6667" xr:uid="{00000000-0005-0000-0000-0000F5350000}"/>
    <cellStyle name="40% - Accent6 10 6 2" xfId="6668" xr:uid="{00000000-0005-0000-0000-0000F6350000}"/>
    <cellStyle name="40% - Accent6 10 6 3" xfId="6669" xr:uid="{00000000-0005-0000-0000-0000F7350000}"/>
    <cellStyle name="40% - Accent6 10 7" xfId="6670" xr:uid="{00000000-0005-0000-0000-0000F8350000}"/>
    <cellStyle name="40% - Accent6 10 8" xfId="6671" xr:uid="{00000000-0005-0000-0000-0000F9350000}"/>
    <cellStyle name="40% - Accent6 10_Volatility" xfId="6672" xr:uid="{00000000-0005-0000-0000-0000FA350000}"/>
    <cellStyle name="40% - Accent6 11" xfId="6673" xr:uid="{00000000-0005-0000-0000-0000FB350000}"/>
    <cellStyle name="40% - Accent6 11 2" xfId="6674" xr:uid="{00000000-0005-0000-0000-0000FC350000}"/>
    <cellStyle name="40% - Accent6 11 2 2" xfId="6675" xr:uid="{00000000-0005-0000-0000-0000FD350000}"/>
    <cellStyle name="40% - Accent6 11 2 2 2" xfId="6676" xr:uid="{00000000-0005-0000-0000-0000FE350000}"/>
    <cellStyle name="40% - Accent6 11 2 2 3" xfId="6677" xr:uid="{00000000-0005-0000-0000-0000FF350000}"/>
    <cellStyle name="40% - Accent6 11 2 3" xfId="6678" xr:uid="{00000000-0005-0000-0000-000000360000}"/>
    <cellStyle name="40% - Accent6 11 2 3 2" xfId="6679" xr:uid="{00000000-0005-0000-0000-000001360000}"/>
    <cellStyle name="40% - Accent6 11 2 3 3" xfId="6680" xr:uid="{00000000-0005-0000-0000-000002360000}"/>
    <cellStyle name="40% - Accent6 11 2 4" xfId="6681" xr:uid="{00000000-0005-0000-0000-000003360000}"/>
    <cellStyle name="40% - Accent6 11 2 4 2" xfId="6682" xr:uid="{00000000-0005-0000-0000-000004360000}"/>
    <cellStyle name="40% - Accent6 11 2 4 3" xfId="6683" xr:uid="{00000000-0005-0000-0000-000005360000}"/>
    <cellStyle name="40% - Accent6 11 2 5" xfId="6684" xr:uid="{00000000-0005-0000-0000-000006360000}"/>
    <cellStyle name="40% - Accent6 11 2 6" xfId="6685" xr:uid="{00000000-0005-0000-0000-000007360000}"/>
    <cellStyle name="40% - Accent6 11 2_Volatility" xfId="6686" xr:uid="{00000000-0005-0000-0000-000008360000}"/>
    <cellStyle name="40% - Accent6 11 3" xfId="6687" xr:uid="{00000000-0005-0000-0000-000009360000}"/>
    <cellStyle name="40% - Accent6 11 3 2" xfId="6688" xr:uid="{00000000-0005-0000-0000-00000A360000}"/>
    <cellStyle name="40% - Accent6 11 3 2 2" xfId="6689" xr:uid="{00000000-0005-0000-0000-00000B360000}"/>
    <cellStyle name="40% - Accent6 11 3 2 3" xfId="6690" xr:uid="{00000000-0005-0000-0000-00000C360000}"/>
    <cellStyle name="40% - Accent6 11 3 3" xfId="6691" xr:uid="{00000000-0005-0000-0000-00000D360000}"/>
    <cellStyle name="40% - Accent6 11 3 3 2" xfId="6692" xr:uid="{00000000-0005-0000-0000-00000E360000}"/>
    <cellStyle name="40% - Accent6 11 3 3 3" xfId="6693" xr:uid="{00000000-0005-0000-0000-00000F360000}"/>
    <cellStyle name="40% - Accent6 11 3 4" xfId="6694" xr:uid="{00000000-0005-0000-0000-000010360000}"/>
    <cellStyle name="40% - Accent6 11 3 5" xfId="6695" xr:uid="{00000000-0005-0000-0000-000011360000}"/>
    <cellStyle name="40% - Accent6 11 3_Volatility" xfId="6696" xr:uid="{00000000-0005-0000-0000-000012360000}"/>
    <cellStyle name="40% - Accent6 11 4" xfId="6697" xr:uid="{00000000-0005-0000-0000-000013360000}"/>
    <cellStyle name="40% - Accent6 11 4 2" xfId="6698" xr:uid="{00000000-0005-0000-0000-000014360000}"/>
    <cellStyle name="40% - Accent6 11 4 3" xfId="6699" xr:uid="{00000000-0005-0000-0000-000015360000}"/>
    <cellStyle name="40% - Accent6 11 5" xfId="6700" xr:uid="{00000000-0005-0000-0000-000016360000}"/>
    <cellStyle name="40% - Accent6 11 5 2" xfId="6701" xr:uid="{00000000-0005-0000-0000-000017360000}"/>
    <cellStyle name="40% - Accent6 11 5 3" xfId="6702" xr:uid="{00000000-0005-0000-0000-000018360000}"/>
    <cellStyle name="40% - Accent6 11 6" xfId="6703" xr:uid="{00000000-0005-0000-0000-000019360000}"/>
    <cellStyle name="40% - Accent6 11 6 2" xfId="6704" xr:uid="{00000000-0005-0000-0000-00001A360000}"/>
    <cellStyle name="40% - Accent6 11 6 3" xfId="6705" xr:uid="{00000000-0005-0000-0000-00001B360000}"/>
    <cellStyle name="40% - Accent6 11 7" xfId="6706" xr:uid="{00000000-0005-0000-0000-00001C360000}"/>
    <cellStyle name="40% - Accent6 11 8" xfId="6707" xr:uid="{00000000-0005-0000-0000-00001D360000}"/>
    <cellStyle name="40% - Accent6 11_Volatility" xfId="6708" xr:uid="{00000000-0005-0000-0000-00001E360000}"/>
    <cellStyle name="40% - Accent6 12" xfId="6709" xr:uid="{00000000-0005-0000-0000-00001F360000}"/>
    <cellStyle name="40% - Accent6 12 2" xfId="6710" xr:uid="{00000000-0005-0000-0000-000020360000}"/>
    <cellStyle name="40% - Accent6 12 2 2" xfId="6711" xr:uid="{00000000-0005-0000-0000-000021360000}"/>
    <cellStyle name="40% - Accent6 12 2 2 2" xfId="6712" xr:uid="{00000000-0005-0000-0000-000022360000}"/>
    <cellStyle name="40% - Accent6 12 2 2 3" xfId="6713" xr:uid="{00000000-0005-0000-0000-000023360000}"/>
    <cellStyle name="40% - Accent6 12 2 3" xfId="6714" xr:uid="{00000000-0005-0000-0000-000024360000}"/>
    <cellStyle name="40% - Accent6 12 2 3 2" xfId="6715" xr:uid="{00000000-0005-0000-0000-000025360000}"/>
    <cellStyle name="40% - Accent6 12 2 3 3" xfId="6716" xr:uid="{00000000-0005-0000-0000-000026360000}"/>
    <cellStyle name="40% - Accent6 12 2 4" xfId="6717" xr:uid="{00000000-0005-0000-0000-000027360000}"/>
    <cellStyle name="40% - Accent6 12 2 4 2" xfId="6718" xr:uid="{00000000-0005-0000-0000-000028360000}"/>
    <cellStyle name="40% - Accent6 12 2 4 3" xfId="6719" xr:uid="{00000000-0005-0000-0000-000029360000}"/>
    <cellStyle name="40% - Accent6 12 2 5" xfId="6720" xr:uid="{00000000-0005-0000-0000-00002A360000}"/>
    <cellStyle name="40% - Accent6 12 2 6" xfId="6721" xr:uid="{00000000-0005-0000-0000-00002B360000}"/>
    <cellStyle name="40% - Accent6 12 2_Volatility" xfId="6722" xr:uid="{00000000-0005-0000-0000-00002C360000}"/>
    <cellStyle name="40% - Accent6 12 3" xfId="6723" xr:uid="{00000000-0005-0000-0000-00002D360000}"/>
    <cellStyle name="40% - Accent6 12 3 2" xfId="6724" xr:uid="{00000000-0005-0000-0000-00002E360000}"/>
    <cellStyle name="40% - Accent6 12 3 2 2" xfId="6725" xr:uid="{00000000-0005-0000-0000-00002F360000}"/>
    <cellStyle name="40% - Accent6 12 3 2 3" xfId="6726" xr:uid="{00000000-0005-0000-0000-000030360000}"/>
    <cellStyle name="40% - Accent6 12 3 3" xfId="6727" xr:uid="{00000000-0005-0000-0000-000031360000}"/>
    <cellStyle name="40% - Accent6 12 3 3 2" xfId="6728" xr:uid="{00000000-0005-0000-0000-000032360000}"/>
    <cellStyle name="40% - Accent6 12 3 3 3" xfId="6729" xr:uid="{00000000-0005-0000-0000-000033360000}"/>
    <cellStyle name="40% - Accent6 12 3 4" xfId="6730" xr:uid="{00000000-0005-0000-0000-000034360000}"/>
    <cellStyle name="40% - Accent6 12 3 5" xfId="6731" xr:uid="{00000000-0005-0000-0000-000035360000}"/>
    <cellStyle name="40% - Accent6 12 3_Volatility" xfId="6732" xr:uid="{00000000-0005-0000-0000-000036360000}"/>
    <cellStyle name="40% - Accent6 12 4" xfId="6733" xr:uid="{00000000-0005-0000-0000-000037360000}"/>
    <cellStyle name="40% - Accent6 12 4 2" xfId="6734" xr:uid="{00000000-0005-0000-0000-000038360000}"/>
    <cellStyle name="40% - Accent6 12 4 3" xfId="6735" xr:uid="{00000000-0005-0000-0000-000039360000}"/>
    <cellStyle name="40% - Accent6 12 5" xfId="6736" xr:uid="{00000000-0005-0000-0000-00003A360000}"/>
    <cellStyle name="40% - Accent6 12 5 2" xfId="6737" xr:uid="{00000000-0005-0000-0000-00003B360000}"/>
    <cellStyle name="40% - Accent6 12 5 3" xfId="6738" xr:uid="{00000000-0005-0000-0000-00003C360000}"/>
    <cellStyle name="40% - Accent6 12 6" xfId="6739" xr:uid="{00000000-0005-0000-0000-00003D360000}"/>
    <cellStyle name="40% - Accent6 12 6 2" xfId="6740" xr:uid="{00000000-0005-0000-0000-00003E360000}"/>
    <cellStyle name="40% - Accent6 12 6 3" xfId="6741" xr:uid="{00000000-0005-0000-0000-00003F360000}"/>
    <cellStyle name="40% - Accent6 12 7" xfId="6742" xr:uid="{00000000-0005-0000-0000-000040360000}"/>
    <cellStyle name="40% - Accent6 12 8" xfId="6743" xr:uid="{00000000-0005-0000-0000-000041360000}"/>
    <cellStyle name="40% - Accent6 12_Volatility" xfId="6744" xr:uid="{00000000-0005-0000-0000-000042360000}"/>
    <cellStyle name="40% - Accent6 13" xfId="6745" xr:uid="{00000000-0005-0000-0000-000043360000}"/>
    <cellStyle name="40% - Accent6 13 2" xfId="6746" xr:uid="{00000000-0005-0000-0000-000044360000}"/>
    <cellStyle name="40% - Accent6 13 2 2" xfId="6747" xr:uid="{00000000-0005-0000-0000-000045360000}"/>
    <cellStyle name="40% - Accent6 13 2 2 2" xfId="6748" xr:uid="{00000000-0005-0000-0000-000046360000}"/>
    <cellStyle name="40% - Accent6 13 2 2 3" xfId="6749" xr:uid="{00000000-0005-0000-0000-000047360000}"/>
    <cellStyle name="40% - Accent6 13 2 3" xfId="6750" xr:uid="{00000000-0005-0000-0000-000048360000}"/>
    <cellStyle name="40% - Accent6 13 2 3 2" xfId="6751" xr:uid="{00000000-0005-0000-0000-000049360000}"/>
    <cellStyle name="40% - Accent6 13 2 3 3" xfId="6752" xr:uid="{00000000-0005-0000-0000-00004A360000}"/>
    <cellStyle name="40% - Accent6 13 2 4" xfId="6753" xr:uid="{00000000-0005-0000-0000-00004B360000}"/>
    <cellStyle name="40% - Accent6 13 2 4 2" xfId="6754" xr:uid="{00000000-0005-0000-0000-00004C360000}"/>
    <cellStyle name="40% - Accent6 13 2 4 3" xfId="6755" xr:uid="{00000000-0005-0000-0000-00004D360000}"/>
    <cellStyle name="40% - Accent6 13 2 5" xfId="6756" xr:uid="{00000000-0005-0000-0000-00004E360000}"/>
    <cellStyle name="40% - Accent6 13 2 6" xfId="6757" xr:uid="{00000000-0005-0000-0000-00004F360000}"/>
    <cellStyle name="40% - Accent6 13 2_Volatility" xfId="6758" xr:uid="{00000000-0005-0000-0000-000050360000}"/>
    <cellStyle name="40% - Accent6 13 3" xfId="6759" xr:uid="{00000000-0005-0000-0000-000051360000}"/>
    <cellStyle name="40% - Accent6 13 3 2" xfId="6760" xr:uid="{00000000-0005-0000-0000-000052360000}"/>
    <cellStyle name="40% - Accent6 13 3 2 2" xfId="6761" xr:uid="{00000000-0005-0000-0000-000053360000}"/>
    <cellStyle name="40% - Accent6 13 3 2 3" xfId="6762" xr:uid="{00000000-0005-0000-0000-000054360000}"/>
    <cellStyle name="40% - Accent6 13 3 3" xfId="6763" xr:uid="{00000000-0005-0000-0000-000055360000}"/>
    <cellStyle name="40% - Accent6 13 3 3 2" xfId="6764" xr:uid="{00000000-0005-0000-0000-000056360000}"/>
    <cellStyle name="40% - Accent6 13 3 3 3" xfId="6765" xr:uid="{00000000-0005-0000-0000-000057360000}"/>
    <cellStyle name="40% - Accent6 13 3 4" xfId="6766" xr:uid="{00000000-0005-0000-0000-000058360000}"/>
    <cellStyle name="40% - Accent6 13 3 5" xfId="6767" xr:uid="{00000000-0005-0000-0000-000059360000}"/>
    <cellStyle name="40% - Accent6 13 3_Volatility" xfId="6768" xr:uid="{00000000-0005-0000-0000-00005A360000}"/>
    <cellStyle name="40% - Accent6 13 4" xfId="6769" xr:uid="{00000000-0005-0000-0000-00005B360000}"/>
    <cellStyle name="40% - Accent6 13 4 2" xfId="6770" xr:uid="{00000000-0005-0000-0000-00005C360000}"/>
    <cellStyle name="40% - Accent6 13 4 3" xfId="6771" xr:uid="{00000000-0005-0000-0000-00005D360000}"/>
    <cellStyle name="40% - Accent6 13 5" xfId="6772" xr:uid="{00000000-0005-0000-0000-00005E360000}"/>
    <cellStyle name="40% - Accent6 13 5 2" xfId="6773" xr:uid="{00000000-0005-0000-0000-00005F360000}"/>
    <cellStyle name="40% - Accent6 13 5 3" xfId="6774" xr:uid="{00000000-0005-0000-0000-000060360000}"/>
    <cellStyle name="40% - Accent6 13 6" xfId="6775" xr:uid="{00000000-0005-0000-0000-000061360000}"/>
    <cellStyle name="40% - Accent6 13 6 2" xfId="6776" xr:uid="{00000000-0005-0000-0000-000062360000}"/>
    <cellStyle name="40% - Accent6 13 6 3" xfId="6777" xr:uid="{00000000-0005-0000-0000-000063360000}"/>
    <cellStyle name="40% - Accent6 13 7" xfId="6778" xr:uid="{00000000-0005-0000-0000-000064360000}"/>
    <cellStyle name="40% - Accent6 13 8" xfId="6779" xr:uid="{00000000-0005-0000-0000-000065360000}"/>
    <cellStyle name="40% - Accent6 13_Volatility" xfId="6780" xr:uid="{00000000-0005-0000-0000-000066360000}"/>
    <cellStyle name="40% - Accent6 14" xfId="6781" xr:uid="{00000000-0005-0000-0000-000067360000}"/>
    <cellStyle name="40% - Accent6 14 2" xfId="6782" xr:uid="{00000000-0005-0000-0000-000068360000}"/>
    <cellStyle name="40% - Accent6 14 2 2" xfId="6783" xr:uid="{00000000-0005-0000-0000-000069360000}"/>
    <cellStyle name="40% - Accent6 14 2 2 2" xfId="6784" xr:uid="{00000000-0005-0000-0000-00006A360000}"/>
    <cellStyle name="40% - Accent6 14 2 2 3" xfId="6785" xr:uid="{00000000-0005-0000-0000-00006B360000}"/>
    <cellStyle name="40% - Accent6 14 2 3" xfId="6786" xr:uid="{00000000-0005-0000-0000-00006C360000}"/>
    <cellStyle name="40% - Accent6 14 2 3 2" xfId="6787" xr:uid="{00000000-0005-0000-0000-00006D360000}"/>
    <cellStyle name="40% - Accent6 14 2 3 3" xfId="6788" xr:uid="{00000000-0005-0000-0000-00006E360000}"/>
    <cellStyle name="40% - Accent6 14 2 4" xfId="6789" xr:uid="{00000000-0005-0000-0000-00006F360000}"/>
    <cellStyle name="40% - Accent6 14 2 4 2" xfId="6790" xr:uid="{00000000-0005-0000-0000-000070360000}"/>
    <cellStyle name="40% - Accent6 14 2 4 3" xfId="6791" xr:uid="{00000000-0005-0000-0000-000071360000}"/>
    <cellStyle name="40% - Accent6 14 2 5" xfId="6792" xr:uid="{00000000-0005-0000-0000-000072360000}"/>
    <cellStyle name="40% - Accent6 14 2 6" xfId="6793" xr:uid="{00000000-0005-0000-0000-000073360000}"/>
    <cellStyle name="40% - Accent6 14 2_Volatility" xfId="6794" xr:uid="{00000000-0005-0000-0000-000074360000}"/>
    <cellStyle name="40% - Accent6 14 3" xfId="6795" xr:uid="{00000000-0005-0000-0000-000075360000}"/>
    <cellStyle name="40% - Accent6 14 3 2" xfId="6796" xr:uid="{00000000-0005-0000-0000-000076360000}"/>
    <cellStyle name="40% - Accent6 14 3 2 2" xfId="6797" xr:uid="{00000000-0005-0000-0000-000077360000}"/>
    <cellStyle name="40% - Accent6 14 3 2 3" xfId="6798" xr:uid="{00000000-0005-0000-0000-000078360000}"/>
    <cellStyle name="40% - Accent6 14 3 3" xfId="6799" xr:uid="{00000000-0005-0000-0000-000079360000}"/>
    <cellStyle name="40% - Accent6 14 3 3 2" xfId="6800" xr:uid="{00000000-0005-0000-0000-00007A360000}"/>
    <cellStyle name="40% - Accent6 14 3 3 3" xfId="6801" xr:uid="{00000000-0005-0000-0000-00007B360000}"/>
    <cellStyle name="40% - Accent6 14 3 4" xfId="6802" xr:uid="{00000000-0005-0000-0000-00007C360000}"/>
    <cellStyle name="40% - Accent6 14 3 5" xfId="6803" xr:uid="{00000000-0005-0000-0000-00007D360000}"/>
    <cellStyle name="40% - Accent6 14 3_Volatility" xfId="6804" xr:uid="{00000000-0005-0000-0000-00007E360000}"/>
    <cellStyle name="40% - Accent6 14 4" xfId="6805" xr:uid="{00000000-0005-0000-0000-00007F360000}"/>
    <cellStyle name="40% - Accent6 14 4 2" xfId="6806" xr:uid="{00000000-0005-0000-0000-000080360000}"/>
    <cellStyle name="40% - Accent6 14 4 3" xfId="6807" xr:uid="{00000000-0005-0000-0000-000081360000}"/>
    <cellStyle name="40% - Accent6 14 5" xfId="6808" xr:uid="{00000000-0005-0000-0000-000082360000}"/>
    <cellStyle name="40% - Accent6 14 5 2" xfId="6809" xr:uid="{00000000-0005-0000-0000-000083360000}"/>
    <cellStyle name="40% - Accent6 14 5 3" xfId="6810" xr:uid="{00000000-0005-0000-0000-000084360000}"/>
    <cellStyle name="40% - Accent6 14 6" xfId="6811" xr:uid="{00000000-0005-0000-0000-000085360000}"/>
    <cellStyle name="40% - Accent6 14 6 2" xfId="6812" xr:uid="{00000000-0005-0000-0000-000086360000}"/>
    <cellStyle name="40% - Accent6 14 6 3" xfId="6813" xr:uid="{00000000-0005-0000-0000-000087360000}"/>
    <cellStyle name="40% - Accent6 14 7" xfId="6814" xr:uid="{00000000-0005-0000-0000-000088360000}"/>
    <cellStyle name="40% - Accent6 14 8" xfId="6815" xr:uid="{00000000-0005-0000-0000-000089360000}"/>
    <cellStyle name="40% - Accent6 14_Volatility" xfId="6816" xr:uid="{00000000-0005-0000-0000-00008A360000}"/>
    <cellStyle name="40% - Accent6 15" xfId="6817" xr:uid="{00000000-0005-0000-0000-00008B360000}"/>
    <cellStyle name="40% - Accent6 15 2" xfId="6818" xr:uid="{00000000-0005-0000-0000-00008C360000}"/>
    <cellStyle name="40% - Accent6 15 2 2" xfId="6819" xr:uid="{00000000-0005-0000-0000-00008D360000}"/>
    <cellStyle name="40% - Accent6 15 2 2 2" xfId="6820" xr:uid="{00000000-0005-0000-0000-00008E360000}"/>
    <cellStyle name="40% - Accent6 15 2 2 3" xfId="6821" xr:uid="{00000000-0005-0000-0000-00008F360000}"/>
    <cellStyle name="40% - Accent6 15 2 3" xfId="6822" xr:uid="{00000000-0005-0000-0000-000090360000}"/>
    <cellStyle name="40% - Accent6 15 2 3 2" xfId="6823" xr:uid="{00000000-0005-0000-0000-000091360000}"/>
    <cellStyle name="40% - Accent6 15 2 3 3" xfId="6824" xr:uid="{00000000-0005-0000-0000-000092360000}"/>
    <cellStyle name="40% - Accent6 15 2 4" xfId="6825" xr:uid="{00000000-0005-0000-0000-000093360000}"/>
    <cellStyle name="40% - Accent6 15 2 4 2" xfId="6826" xr:uid="{00000000-0005-0000-0000-000094360000}"/>
    <cellStyle name="40% - Accent6 15 2 4 3" xfId="6827" xr:uid="{00000000-0005-0000-0000-000095360000}"/>
    <cellStyle name="40% - Accent6 15 2 5" xfId="6828" xr:uid="{00000000-0005-0000-0000-000096360000}"/>
    <cellStyle name="40% - Accent6 15 2 6" xfId="6829" xr:uid="{00000000-0005-0000-0000-000097360000}"/>
    <cellStyle name="40% - Accent6 15 2_Volatility" xfId="6830" xr:uid="{00000000-0005-0000-0000-000098360000}"/>
    <cellStyle name="40% - Accent6 15 3" xfId="6831" xr:uid="{00000000-0005-0000-0000-000099360000}"/>
    <cellStyle name="40% - Accent6 15 3 2" xfId="6832" xr:uid="{00000000-0005-0000-0000-00009A360000}"/>
    <cellStyle name="40% - Accent6 15 3 2 2" xfId="6833" xr:uid="{00000000-0005-0000-0000-00009B360000}"/>
    <cellStyle name="40% - Accent6 15 3 2 3" xfId="6834" xr:uid="{00000000-0005-0000-0000-00009C360000}"/>
    <cellStyle name="40% - Accent6 15 3 3" xfId="6835" xr:uid="{00000000-0005-0000-0000-00009D360000}"/>
    <cellStyle name="40% - Accent6 15 3 3 2" xfId="6836" xr:uid="{00000000-0005-0000-0000-00009E360000}"/>
    <cellStyle name="40% - Accent6 15 3 3 3" xfId="6837" xr:uid="{00000000-0005-0000-0000-00009F360000}"/>
    <cellStyle name="40% - Accent6 15 3 4" xfId="6838" xr:uid="{00000000-0005-0000-0000-0000A0360000}"/>
    <cellStyle name="40% - Accent6 15 3 5" xfId="6839" xr:uid="{00000000-0005-0000-0000-0000A1360000}"/>
    <cellStyle name="40% - Accent6 15 3_Volatility" xfId="6840" xr:uid="{00000000-0005-0000-0000-0000A2360000}"/>
    <cellStyle name="40% - Accent6 15 4" xfId="6841" xr:uid="{00000000-0005-0000-0000-0000A3360000}"/>
    <cellStyle name="40% - Accent6 15 4 2" xfId="6842" xr:uid="{00000000-0005-0000-0000-0000A4360000}"/>
    <cellStyle name="40% - Accent6 15 4 3" xfId="6843" xr:uid="{00000000-0005-0000-0000-0000A5360000}"/>
    <cellStyle name="40% - Accent6 15 5" xfId="6844" xr:uid="{00000000-0005-0000-0000-0000A6360000}"/>
    <cellStyle name="40% - Accent6 15 5 2" xfId="6845" xr:uid="{00000000-0005-0000-0000-0000A7360000}"/>
    <cellStyle name="40% - Accent6 15 5 3" xfId="6846" xr:uid="{00000000-0005-0000-0000-0000A8360000}"/>
    <cellStyle name="40% - Accent6 15 6" xfId="6847" xr:uid="{00000000-0005-0000-0000-0000A9360000}"/>
    <cellStyle name="40% - Accent6 15 6 2" xfId="6848" xr:uid="{00000000-0005-0000-0000-0000AA360000}"/>
    <cellStyle name="40% - Accent6 15 6 3" xfId="6849" xr:uid="{00000000-0005-0000-0000-0000AB360000}"/>
    <cellStyle name="40% - Accent6 15 7" xfId="6850" xr:uid="{00000000-0005-0000-0000-0000AC360000}"/>
    <cellStyle name="40% - Accent6 15 8" xfId="6851" xr:uid="{00000000-0005-0000-0000-0000AD360000}"/>
    <cellStyle name="40% - Accent6 15_Volatility" xfId="6852" xr:uid="{00000000-0005-0000-0000-0000AE360000}"/>
    <cellStyle name="40% - Accent6 16" xfId="6853" xr:uid="{00000000-0005-0000-0000-0000AF360000}"/>
    <cellStyle name="40% - Accent6 16 2" xfId="15945" xr:uid="{00000000-0005-0000-0000-0000B0360000}"/>
    <cellStyle name="40% - Accent6 16 3" xfId="19896" xr:uid="{00000000-0005-0000-0000-0000B1360000}"/>
    <cellStyle name="40% - Accent6 17" xfId="6854" xr:uid="{00000000-0005-0000-0000-0000B2360000}"/>
    <cellStyle name="40% - Accent6 17 2" xfId="15946" xr:uid="{00000000-0005-0000-0000-0000B3360000}"/>
    <cellStyle name="40% - Accent6 17 3" xfId="19897" xr:uid="{00000000-0005-0000-0000-0000B4360000}"/>
    <cellStyle name="40% - Accent6 18" xfId="6855" xr:uid="{00000000-0005-0000-0000-0000B5360000}"/>
    <cellStyle name="40% - Accent6 18 2" xfId="15947" xr:uid="{00000000-0005-0000-0000-0000B6360000}"/>
    <cellStyle name="40% - Accent6 18 3" xfId="19898" xr:uid="{00000000-0005-0000-0000-0000B7360000}"/>
    <cellStyle name="40% - Accent6 19" xfId="6856" xr:uid="{00000000-0005-0000-0000-0000B8360000}"/>
    <cellStyle name="40% - Accent6 19 2" xfId="15948" xr:uid="{00000000-0005-0000-0000-0000B9360000}"/>
    <cellStyle name="40% - Accent6 19 3" xfId="19899" xr:uid="{00000000-0005-0000-0000-0000BA360000}"/>
    <cellStyle name="40% - Accent6 2" xfId="6857" xr:uid="{00000000-0005-0000-0000-0000BB360000}"/>
    <cellStyle name="40% - Accent6 2 2" xfId="6858" xr:uid="{00000000-0005-0000-0000-0000BC360000}"/>
    <cellStyle name="40% - Accent6 2 2 2" xfId="6859" xr:uid="{00000000-0005-0000-0000-0000BD360000}"/>
    <cellStyle name="40% - Accent6 2 2 2 2" xfId="6860" xr:uid="{00000000-0005-0000-0000-0000BE360000}"/>
    <cellStyle name="40% - Accent6 2 2 2 3" xfId="6861" xr:uid="{00000000-0005-0000-0000-0000BF360000}"/>
    <cellStyle name="40% - Accent6 2 2 3" xfId="6862" xr:uid="{00000000-0005-0000-0000-0000C0360000}"/>
    <cellStyle name="40% - Accent6 2 2 3 2" xfId="6863" xr:uid="{00000000-0005-0000-0000-0000C1360000}"/>
    <cellStyle name="40% - Accent6 2 2 3 3" xfId="6864" xr:uid="{00000000-0005-0000-0000-0000C2360000}"/>
    <cellStyle name="40% - Accent6 2 2 4" xfId="6865" xr:uid="{00000000-0005-0000-0000-0000C3360000}"/>
    <cellStyle name="40% - Accent6 2 2 4 2" xfId="6866" xr:uid="{00000000-0005-0000-0000-0000C4360000}"/>
    <cellStyle name="40% - Accent6 2 2 4 3" xfId="6867" xr:uid="{00000000-0005-0000-0000-0000C5360000}"/>
    <cellStyle name="40% - Accent6 2 2 5" xfId="6868" xr:uid="{00000000-0005-0000-0000-0000C6360000}"/>
    <cellStyle name="40% - Accent6 2 2 6" xfId="6869" xr:uid="{00000000-0005-0000-0000-0000C7360000}"/>
    <cellStyle name="40% - Accent6 2 2_Volatility" xfId="6870" xr:uid="{00000000-0005-0000-0000-0000C8360000}"/>
    <cellStyle name="40% - Accent6 2 3" xfId="6871" xr:uid="{00000000-0005-0000-0000-0000C9360000}"/>
    <cellStyle name="40% - Accent6 2 3 2" xfId="6872" xr:uid="{00000000-0005-0000-0000-0000CA360000}"/>
    <cellStyle name="40% - Accent6 2 3 2 2" xfId="6873" xr:uid="{00000000-0005-0000-0000-0000CB360000}"/>
    <cellStyle name="40% - Accent6 2 3 2 3" xfId="6874" xr:uid="{00000000-0005-0000-0000-0000CC360000}"/>
    <cellStyle name="40% - Accent6 2 3 3" xfId="6875" xr:uid="{00000000-0005-0000-0000-0000CD360000}"/>
    <cellStyle name="40% - Accent6 2 3 3 2" xfId="6876" xr:uid="{00000000-0005-0000-0000-0000CE360000}"/>
    <cellStyle name="40% - Accent6 2 3 3 3" xfId="6877" xr:uid="{00000000-0005-0000-0000-0000CF360000}"/>
    <cellStyle name="40% - Accent6 2 3 4" xfId="6878" xr:uid="{00000000-0005-0000-0000-0000D0360000}"/>
    <cellStyle name="40% - Accent6 2 3 5" xfId="6879" xr:uid="{00000000-0005-0000-0000-0000D1360000}"/>
    <cellStyle name="40% - Accent6 2 3_Volatility" xfId="6880" xr:uid="{00000000-0005-0000-0000-0000D2360000}"/>
    <cellStyle name="40% - Accent6 2 4" xfId="6881" xr:uid="{00000000-0005-0000-0000-0000D3360000}"/>
    <cellStyle name="40% - Accent6 2 4 2" xfId="6882" xr:uid="{00000000-0005-0000-0000-0000D4360000}"/>
    <cellStyle name="40% - Accent6 2 4 3" xfId="6883" xr:uid="{00000000-0005-0000-0000-0000D5360000}"/>
    <cellStyle name="40% - Accent6 2 5" xfId="6884" xr:uid="{00000000-0005-0000-0000-0000D6360000}"/>
    <cellStyle name="40% - Accent6 2 5 2" xfId="6885" xr:uid="{00000000-0005-0000-0000-0000D7360000}"/>
    <cellStyle name="40% - Accent6 2 5 3" xfId="6886" xr:uid="{00000000-0005-0000-0000-0000D8360000}"/>
    <cellStyle name="40% - Accent6 2 6" xfId="6887" xr:uid="{00000000-0005-0000-0000-0000D9360000}"/>
    <cellStyle name="40% - Accent6 2 6 2" xfId="6888" xr:uid="{00000000-0005-0000-0000-0000DA360000}"/>
    <cellStyle name="40% - Accent6 2 6 3" xfId="6889" xr:uid="{00000000-0005-0000-0000-0000DB360000}"/>
    <cellStyle name="40% - Accent6 2 7" xfId="6890" xr:uid="{00000000-0005-0000-0000-0000DC360000}"/>
    <cellStyle name="40% - Accent6 2 8" xfId="6891" xr:uid="{00000000-0005-0000-0000-0000DD360000}"/>
    <cellStyle name="40% - Accent6 2_Volatility" xfId="6892" xr:uid="{00000000-0005-0000-0000-0000DE360000}"/>
    <cellStyle name="40% - Accent6 3" xfId="6893" xr:uid="{00000000-0005-0000-0000-0000DF360000}"/>
    <cellStyle name="40% - Accent6 3 2" xfId="6894" xr:uid="{00000000-0005-0000-0000-0000E0360000}"/>
    <cellStyle name="40% - Accent6 3 2 2" xfId="6895" xr:uid="{00000000-0005-0000-0000-0000E1360000}"/>
    <cellStyle name="40% - Accent6 3 2 2 2" xfId="6896" xr:uid="{00000000-0005-0000-0000-0000E2360000}"/>
    <cellStyle name="40% - Accent6 3 2 2 3" xfId="6897" xr:uid="{00000000-0005-0000-0000-0000E3360000}"/>
    <cellStyle name="40% - Accent6 3 2 3" xfId="6898" xr:uid="{00000000-0005-0000-0000-0000E4360000}"/>
    <cellStyle name="40% - Accent6 3 2 3 2" xfId="6899" xr:uid="{00000000-0005-0000-0000-0000E5360000}"/>
    <cellStyle name="40% - Accent6 3 2 3 3" xfId="6900" xr:uid="{00000000-0005-0000-0000-0000E6360000}"/>
    <cellStyle name="40% - Accent6 3 2 4" xfId="6901" xr:uid="{00000000-0005-0000-0000-0000E7360000}"/>
    <cellStyle name="40% - Accent6 3 2 4 2" xfId="6902" xr:uid="{00000000-0005-0000-0000-0000E8360000}"/>
    <cellStyle name="40% - Accent6 3 2 4 3" xfId="6903" xr:uid="{00000000-0005-0000-0000-0000E9360000}"/>
    <cellStyle name="40% - Accent6 3 2 5" xfId="6904" xr:uid="{00000000-0005-0000-0000-0000EA360000}"/>
    <cellStyle name="40% - Accent6 3 2 6" xfId="6905" xr:uid="{00000000-0005-0000-0000-0000EB360000}"/>
    <cellStyle name="40% - Accent6 3 2_Volatility" xfId="6906" xr:uid="{00000000-0005-0000-0000-0000EC360000}"/>
    <cellStyle name="40% - Accent6 3 3" xfId="6907" xr:uid="{00000000-0005-0000-0000-0000ED360000}"/>
    <cellStyle name="40% - Accent6 3 3 2" xfId="6908" xr:uid="{00000000-0005-0000-0000-0000EE360000}"/>
    <cellStyle name="40% - Accent6 3 3 2 2" xfId="6909" xr:uid="{00000000-0005-0000-0000-0000EF360000}"/>
    <cellStyle name="40% - Accent6 3 3 2 3" xfId="6910" xr:uid="{00000000-0005-0000-0000-0000F0360000}"/>
    <cellStyle name="40% - Accent6 3 3 3" xfId="6911" xr:uid="{00000000-0005-0000-0000-0000F1360000}"/>
    <cellStyle name="40% - Accent6 3 3 3 2" xfId="6912" xr:uid="{00000000-0005-0000-0000-0000F2360000}"/>
    <cellStyle name="40% - Accent6 3 3 3 3" xfId="6913" xr:uid="{00000000-0005-0000-0000-0000F3360000}"/>
    <cellStyle name="40% - Accent6 3 3 4" xfId="6914" xr:uid="{00000000-0005-0000-0000-0000F4360000}"/>
    <cellStyle name="40% - Accent6 3 3 5" xfId="6915" xr:uid="{00000000-0005-0000-0000-0000F5360000}"/>
    <cellStyle name="40% - Accent6 3 3_Volatility" xfId="6916" xr:uid="{00000000-0005-0000-0000-0000F6360000}"/>
    <cellStyle name="40% - Accent6 3 4" xfId="6917" xr:uid="{00000000-0005-0000-0000-0000F7360000}"/>
    <cellStyle name="40% - Accent6 3 4 2" xfId="6918" xr:uid="{00000000-0005-0000-0000-0000F8360000}"/>
    <cellStyle name="40% - Accent6 3 4 3" xfId="6919" xr:uid="{00000000-0005-0000-0000-0000F9360000}"/>
    <cellStyle name="40% - Accent6 3 5" xfId="6920" xr:uid="{00000000-0005-0000-0000-0000FA360000}"/>
    <cellStyle name="40% - Accent6 3 5 2" xfId="6921" xr:uid="{00000000-0005-0000-0000-0000FB360000}"/>
    <cellStyle name="40% - Accent6 3 5 3" xfId="6922" xr:uid="{00000000-0005-0000-0000-0000FC360000}"/>
    <cellStyle name="40% - Accent6 3 6" xfId="6923" xr:uid="{00000000-0005-0000-0000-0000FD360000}"/>
    <cellStyle name="40% - Accent6 3 6 2" xfId="6924" xr:uid="{00000000-0005-0000-0000-0000FE360000}"/>
    <cellStyle name="40% - Accent6 3 6 3" xfId="6925" xr:uid="{00000000-0005-0000-0000-0000FF360000}"/>
    <cellStyle name="40% - Accent6 3 7" xfId="6926" xr:uid="{00000000-0005-0000-0000-000000370000}"/>
    <cellStyle name="40% - Accent6 3 8" xfId="6927" xr:uid="{00000000-0005-0000-0000-000001370000}"/>
    <cellStyle name="40% - Accent6 3_Volatility" xfId="6928" xr:uid="{00000000-0005-0000-0000-000002370000}"/>
    <cellStyle name="40% - Accent6 4" xfId="6929" xr:uid="{00000000-0005-0000-0000-000003370000}"/>
    <cellStyle name="40% - Accent6 4 2" xfId="6930" xr:uid="{00000000-0005-0000-0000-000004370000}"/>
    <cellStyle name="40% - Accent6 4 2 2" xfId="6931" xr:uid="{00000000-0005-0000-0000-000005370000}"/>
    <cellStyle name="40% - Accent6 4 2 2 2" xfId="6932" xr:uid="{00000000-0005-0000-0000-000006370000}"/>
    <cellStyle name="40% - Accent6 4 2 2 3" xfId="6933" xr:uid="{00000000-0005-0000-0000-000007370000}"/>
    <cellStyle name="40% - Accent6 4 2 3" xfId="6934" xr:uid="{00000000-0005-0000-0000-000008370000}"/>
    <cellStyle name="40% - Accent6 4 2 3 2" xfId="6935" xr:uid="{00000000-0005-0000-0000-000009370000}"/>
    <cellStyle name="40% - Accent6 4 2 3 3" xfId="6936" xr:uid="{00000000-0005-0000-0000-00000A370000}"/>
    <cellStyle name="40% - Accent6 4 2 4" xfId="6937" xr:uid="{00000000-0005-0000-0000-00000B370000}"/>
    <cellStyle name="40% - Accent6 4 2 4 2" xfId="6938" xr:uid="{00000000-0005-0000-0000-00000C370000}"/>
    <cellStyle name="40% - Accent6 4 2 4 3" xfId="6939" xr:uid="{00000000-0005-0000-0000-00000D370000}"/>
    <cellStyle name="40% - Accent6 4 2 5" xfId="6940" xr:uid="{00000000-0005-0000-0000-00000E370000}"/>
    <cellStyle name="40% - Accent6 4 2 6" xfId="6941" xr:uid="{00000000-0005-0000-0000-00000F370000}"/>
    <cellStyle name="40% - Accent6 4 2_Volatility" xfId="6942" xr:uid="{00000000-0005-0000-0000-000010370000}"/>
    <cellStyle name="40% - Accent6 4 3" xfId="6943" xr:uid="{00000000-0005-0000-0000-000011370000}"/>
    <cellStyle name="40% - Accent6 4 3 2" xfId="6944" xr:uid="{00000000-0005-0000-0000-000012370000}"/>
    <cellStyle name="40% - Accent6 4 3 2 2" xfId="6945" xr:uid="{00000000-0005-0000-0000-000013370000}"/>
    <cellStyle name="40% - Accent6 4 3 2 3" xfId="6946" xr:uid="{00000000-0005-0000-0000-000014370000}"/>
    <cellStyle name="40% - Accent6 4 3 3" xfId="6947" xr:uid="{00000000-0005-0000-0000-000015370000}"/>
    <cellStyle name="40% - Accent6 4 3 3 2" xfId="6948" xr:uid="{00000000-0005-0000-0000-000016370000}"/>
    <cellStyle name="40% - Accent6 4 3 3 3" xfId="6949" xr:uid="{00000000-0005-0000-0000-000017370000}"/>
    <cellStyle name="40% - Accent6 4 3 4" xfId="6950" xr:uid="{00000000-0005-0000-0000-000018370000}"/>
    <cellStyle name="40% - Accent6 4 3 5" xfId="6951" xr:uid="{00000000-0005-0000-0000-000019370000}"/>
    <cellStyle name="40% - Accent6 4 3_Volatility" xfId="6952" xr:uid="{00000000-0005-0000-0000-00001A370000}"/>
    <cellStyle name="40% - Accent6 4 4" xfId="6953" xr:uid="{00000000-0005-0000-0000-00001B370000}"/>
    <cellStyle name="40% - Accent6 4 4 2" xfId="6954" xr:uid="{00000000-0005-0000-0000-00001C370000}"/>
    <cellStyle name="40% - Accent6 4 4 3" xfId="6955" xr:uid="{00000000-0005-0000-0000-00001D370000}"/>
    <cellStyle name="40% - Accent6 4 5" xfId="6956" xr:uid="{00000000-0005-0000-0000-00001E370000}"/>
    <cellStyle name="40% - Accent6 4 5 2" xfId="6957" xr:uid="{00000000-0005-0000-0000-00001F370000}"/>
    <cellStyle name="40% - Accent6 4 5 3" xfId="6958" xr:uid="{00000000-0005-0000-0000-000020370000}"/>
    <cellStyle name="40% - Accent6 4 6" xfId="6959" xr:uid="{00000000-0005-0000-0000-000021370000}"/>
    <cellStyle name="40% - Accent6 4 6 2" xfId="6960" xr:uid="{00000000-0005-0000-0000-000022370000}"/>
    <cellStyle name="40% - Accent6 4 6 3" xfId="6961" xr:uid="{00000000-0005-0000-0000-000023370000}"/>
    <cellStyle name="40% - Accent6 4 7" xfId="6962" xr:uid="{00000000-0005-0000-0000-000024370000}"/>
    <cellStyle name="40% - Accent6 4 8" xfId="6963" xr:uid="{00000000-0005-0000-0000-000025370000}"/>
    <cellStyle name="40% - Accent6 4_Volatility" xfId="6964" xr:uid="{00000000-0005-0000-0000-000026370000}"/>
    <cellStyle name="40% - Accent6 5" xfId="6965" xr:uid="{00000000-0005-0000-0000-000027370000}"/>
    <cellStyle name="40% - Accent6 5 2" xfId="6966" xr:uid="{00000000-0005-0000-0000-000028370000}"/>
    <cellStyle name="40% - Accent6 5 2 2" xfId="6967" xr:uid="{00000000-0005-0000-0000-000029370000}"/>
    <cellStyle name="40% - Accent6 5 2 2 2" xfId="6968" xr:uid="{00000000-0005-0000-0000-00002A370000}"/>
    <cellStyle name="40% - Accent6 5 2 2 3" xfId="6969" xr:uid="{00000000-0005-0000-0000-00002B370000}"/>
    <cellStyle name="40% - Accent6 5 2 3" xfId="6970" xr:uid="{00000000-0005-0000-0000-00002C370000}"/>
    <cellStyle name="40% - Accent6 5 2 3 2" xfId="6971" xr:uid="{00000000-0005-0000-0000-00002D370000}"/>
    <cellStyle name="40% - Accent6 5 2 3 3" xfId="6972" xr:uid="{00000000-0005-0000-0000-00002E370000}"/>
    <cellStyle name="40% - Accent6 5 2 4" xfId="6973" xr:uid="{00000000-0005-0000-0000-00002F370000}"/>
    <cellStyle name="40% - Accent6 5 2 4 2" xfId="6974" xr:uid="{00000000-0005-0000-0000-000030370000}"/>
    <cellStyle name="40% - Accent6 5 2 4 3" xfId="6975" xr:uid="{00000000-0005-0000-0000-000031370000}"/>
    <cellStyle name="40% - Accent6 5 2 5" xfId="6976" xr:uid="{00000000-0005-0000-0000-000032370000}"/>
    <cellStyle name="40% - Accent6 5 2 6" xfId="6977" xr:uid="{00000000-0005-0000-0000-000033370000}"/>
    <cellStyle name="40% - Accent6 5 2_Volatility" xfId="6978" xr:uid="{00000000-0005-0000-0000-000034370000}"/>
    <cellStyle name="40% - Accent6 5 3" xfId="6979" xr:uid="{00000000-0005-0000-0000-000035370000}"/>
    <cellStyle name="40% - Accent6 5 3 2" xfId="6980" xr:uid="{00000000-0005-0000-0000-000036370000}"/>
    <cellStyle name="40% - Accent6 5 3 2 2" xfId="6981" xr:uid="{00000000-0005-0000-0000-000037370000}"/>
    <cellStyle name="40% - Accent6 5 3 2 3" xfId="6982" xr:uid="{00000000-0005-0000-0000-000038370000}"/>
    <cellStyle name="40% - Accent6 5 3 3" xfId="6983" xr:uid="{00000000-0005-0000-0000-000039370000}"/>
    <cellStyle name="40% - Accent6 5 3 3 2" xfId="6984" xr:uid="{00000000-0005-0000-0000-00003A370000}"/>
    <cellStyle name="40% - Accent6 5 3 3 3" xfId="6985" xr:uid="{00000000-0005-0000-0000-00003B370000}"/>
    <cellStyle name="40% - Accent6 5 3 4" xfId="6986" xr:uid="{00000000-0005-0000-0000-00003C370000}"/>
    <cellStyle name="40% - Accent6 5 3 5" xfId="6987" xr:uid="{00000000-0005-0000-0000-00003D370000}"/>
    <cellStyle name="40% - Accent6 5 3_Volatility" xfId="6988" xr:uid="{00000000-0005-0000-0000-00003E370000}"/>
    <cellStyle name="40% - Accent6 5 4" xfId="6989" xr:uid="{00000000-0005-0000-0000-00003F370000}"/>
    <cellStyle name="40% - Accent6 5 4 2" xfId="6990" xr:uid="{00000000-0005-0000-0000-000040370000}"/>
    <cellStyle name="40% - Accent6 5 4 3" xfId="6991" xr:uid="{00000000-0005-0000-0000-000041370000}"/>
    <cellStyle name="40% - Accent6 5 5" xfId="6992" xr:uid="{00000000-0005-0000-0000-000042370000}"/>
    <cellStyle name="40% - Accent6 5 5 2" xfId="6993" xr:uid="{00000000-0005-0000-0000-000043370000}"/>
    <cellStyle name="40% - Accent6 5 5 3" xfId="6994" xr:uid="{00000000-0005-0000-0000-000044370000}"/>
    <cellStyle name="40% - Accent6 5 6" xfId="6995" xr:uid="{00000000-0005-0000-0000-000045370000}"/>
    <cellStyle name="40% - Accent6 5 6 2" xfId="6996" xr:uid="{00000000-0005-0000-0000-000046370000}"/>
    <cellStyle name="40% - Accent6 5 6 3" xfId="6997" xr:uid="{00000000-0005-0000-0000-000047370000}"/>
    <cellStyle name="40% - Accent6 5 7" xfId="6998" xr:uid="{00000000-0005-0000-0000-000048370000}"/>
    <cellStyle name="40% - Accent6 5 8" xfId="6999" xr:uid="{00000000-0005-0000-0000-000049370000}"/>
    <cellStyle name="40% - Accent6 5_Volatility" xfId="7000" xr:uid="{00000000-0005-0000-0000-00004A370000}"/>
    <cellStyle name="40% - Accent6 6" xfId="7001" xr:uid="{00000000-0005-0000-0000-00004B370000}"/>
    <cellStyle name="40% - Accent6 6 2" xfId="7002" xr:uid="{00000000-0005-0000-0000-00004C370000}"/>
    <cellStyle name="40% - Accent6 6 2 2" xfId="7003" xr:uid="{00000000-0005-0000-0000-00004D370000}"/>
    <cellStyle name="40% - Accent6 6 2 2 2" xfId="7004" xr:uid="{00000000-0005-0000-0000-00004E370000}"/>
    <cellStyle name="40% - Accent6 6 2 2 3" xfId="7005" xr:uid="{00000000-0005-0000-0000-00004F370000}"/>
    <cellStyle name="40% - Accent6 6 2 3" xfId="7006" xr:uid="{00000000-0005-0000-0000-000050370000}"/>
    <cellStyle name="40% - Accent6 6 2 3 2" xfId="7007" xr:uid="{00000000-0005-0000-0000-000051370000}"/>
    <cellStyle name="40% - Accent6 6 2 3 3" xfId="7008" xr:uid="{00000000-0005-0000-0000-000052370000}"/>
    <cellStyle name="40% - Accent6 6 2 4" xfId="7009" xr:uid="{00000000-0005-0000-0000-000053370000}"/>
    <cellStyle name="40% - Accent6 6 2 4 2" xfId="7010" xr:uid="{00000000-0005-0000-0000-000054370000}"/>
    <cellStyle name="40% - Accent6 6 2 4 3" xfId="7011" xr:uid="{00000000-0005-0000-0000-000055370000}"/>
    <cellStyle name="40% - Accent6 6 2 5" xfId="7012" xr:uid="{00000000-0005-0000-0000-000056370000}"/>
    <cellStyle name="40% - Accent6 6 2 6" xfId="7013" xr:uid="{00000000-0005-0000-0000-000057370000}"/>
    <cellStyle name="40% - Accent6 6 2_Volatility" xfId="7014" xr:uid="{00000000-0005-0000-0000-000058370000}"/>
    <cellStyle name="40% - Accent6 6 3" xfId="7015" xr:uid="{00000000-0005-0000-0000-000059370000}"/>
    <cellStyle name="40% - Accent6 6 3 2" xfId="7016" xr:uid="{00000000-0005-0000-0000-00005A370000}"/>
    <cellStyle name="40% - Accent6 6 3 2 2" xfId="7017" xr:uid="{00000000-0005-0000-0000-00005B370000}"/>
    <cellStyle name="40% - Accent6 6 3 2 3" xfId="7018" xr:uid="{00000000-0005-0000-0000-00005C370000}"/>
    <cellStyle name="40% - Accent6 6 3 3" xfId="7019" xr:uid="{00000000-0005-0000-0000-00005D370000}"/>
    <cellStyle name="40% - Accent6 6 3 3 2" xfId="7020" xr:uid="{00000000-0005-0000-0000-00005E370000}"/>
    <cellStyle name="40% - Accent6 6 3 3 3" xfId="7021" xr:uid="{00000000-0005-0000-0000-00005F370000}"/>
    <cellStyle name="40% - Accent6 6 3 4" xfId="7022" xr:uid="{00000000-0005-0000-0000-000060370000}"/>
    <cellStyle name="40% - Accent6 6 3 5" xfId="7023" xr:uid="{00000000-0005-0000-0000-000061370000}"/>
    <cellStyle name="40% - Accent6 6 3_Volatility" xfId="7024" xr:uid="{00000000-0005-0000-0000-000062370000}"/>
    <cellStyle name="40% - Accent6 6 4" xfId="7025" xr:uid="{00000000-0005-0000-0000-000063370000}"/>
    <cellStyle name="40% - Accent6 6 4 2" xfId="7026" xr:uid="{00000000-0005-0000-0000-000064370000}"/>
    <cellStyle name="40% - Accent6 6 4 3" xfId="7027" xr:uid="{00000000-0005-0000-0000-000065370000}"/>
    <cellStyle name="40% - Accent6 6 5" xfId="7028" xr:uid="{00000000-0005-0000-0000-000066370000}"/>
    <cellStyle name="40% - Accent6 6 5 2" xfId="7029" xr:uid="{00000000-0005-0000-0000-000067370000}"/>
    <cellStyle name="40% - Accent6 6 5 3" xfId="7030" xr:uid="{00000000-0005-0000-0000-000068370000}"/>
    <cellStyle name="40% - Accent6 6 6" xfId="7031" xr:uid="{00000000-0005-0000-0000-000069370000}"/>
    <cellStyle name="40% - Accent6 6 6 2" xfId="7032" xr:uid="{00000000-0005-0000-0000-00006A370000}"/>
    <cellStyle name="40% - Accent6 6 6 3" xfId="7033" xr:uid="{00000000-0005-0000-0000-00006B370000}"/>
    <cellStyle name="40% - Accent6 6 7" xfId="7034" xr:uid="{00000000-0005-0000-0000-00006C370000}"/>
    <cellStyle name="40% - Accent6 6 8" xfId="7035" xr:uid="{00000000-0005-0000-0000-00006D370000}"/>
    <cellStyle name="40% - Accent6 6_Volatility" xfId="7036" xr:uid="{00000000-0005-0000-0000-00006E370000}"/>
    <cellStyle name="40% - Accent6 7" xfId="7037" xr:uid="{00000000-0005-0000-0000-00006F370000}"/>
    <cellStyle name="40% - Accent6 7 2" xfId="7038" xr:uid="{00000000-0005-0000-0000-000070370000}"/>
    <cellStyle name="40% - Accent6 7 2 2" xfId="7039" xr:uid="{00000000-0005-0000-0000-000071370000}"/>
    <cellStyle name="40% - Accent6 7 2 2 2" xfId="7040" xr:uid="{00000000-0005-0000-0000-000072370000}"/>
    <cellStyle name="40% - Accent6 7 2 2 3" xfId="7041" xr:uid="{00000000-0005-0000-0000-000073370000}"/>
    <cellStyle name="40% - Accent6 7 2 3" xfId="7042" xr:uid="{00000000-0005-0000-0000-000074370000}"/>
    <cellStyle name="40% - Accent6 7 2 3 2" xfId="7043" xr:uid="{00000000-0005-0000-0000-000075370000}"/>
    <cellStyle name="40% - Accent6 7 2 3 3" xfId="7044" xr:uid="{00000000-0005-0000-0000-000076370000}"/>
    <cellStyle name="40% - Accent6 7 2 4" xfId="7045" xr:uid="{00000000-0005-0000-0000-000077370000}"/>
    <cellStyle name="40% - Accent6 7 2 4 2" xfId="7046" xr:uid="{00000000-0005-0000-0000-000078370000}"/>
    <cellStyle name="40% - Accent6 7 2 4 3" xfId="7047" xr:uid="{00000000-0005-0000-0000-000079370000}"/>
    <cellStyle name="40% - Accent6 7 2 5" xfId="7048" xr:uid="{00000000-0005-0000-0000-00007A370000}"/>
    <cellStyle name="40% - Accent6 7 2 6" xfId="7049" xr:uid="{00000000-0005-0000-0000-00007B370000}"/>
    <cellStyle name="40% - Accent6 7 2_Volatility" xfId="7050" xr:uid="{00000000-0005-0000-0000-00007C370000}"/>
    <cellStyle name="40% - Accent6 7 3" xfId="7051" xr:uid="{00000000-0005-0000-0000-00007D370000}"/>
    <cellStyle name="40% - Accent6 7 3 2" xfId="7052" xr:uid="{00000000-0005-0000-0000-00007E370000}"/>
    <cellStyle name="40% - Accent6 7 3 2 2" xfId="7053" xr:uid="{00000000-0005-0000-0000-00007F370000}"/>
    <cellStyle name="40% - Accent6 7 3 2 3" xfId="7054" xr:uid="{00000000-0005-0000-0000-000080370000}"/>
    <cellStyle name="40% - Accent6 7 3 3" xfId="7055" xr:uid="{00000000-0005-0000-0000-000081370000}"/>
    <cellStyle name="40% - Accent6 7 3 3 2" xfId="7056" xr:uid="{00000000-0005-0000-0000-000082370000}"/>
    <cellStyle name="40% - Accent6 7 3 3 3" xfId="7057" xr:uid="{00000000-0005-0000-0000-000083370000}"/>
    <cellStyle name="40% - Accent6 7 3 4" xfId="7058" xr:uid="{00000000-0005-0000-0000-000084370000}"/>
    <cellStyle name="40% - Accent6 7 3 5" xfId="7059" xr:uid="{00000000-0005-0000-0000-000085370000}"/>
    <cellStyle name="40% - Accent6 7 3_Volatility" xfId="7060" xr:uid="{00000000-0005-0000-0000-000086370000}"/>
    <cellStyle name="40% - Accent6 7 4" xfId="7061" xr:uid="{00000000-0005-0000-0000-000087370000}"/>
    <cellStyle name="40% - Accent6 7 4 2" xfId="7062" xr:uid="{00000000-0005-0000-0000-000088370000}"/>
    <cellStyle name="40% - Accent6 7 4 3" xfId="7063" xr:uid="{00000000-0005-0000-0000-000089370000}"/>
    <cellStyle name="40% - Accent6 7 5" xfId="7064" xr:uid="{00000000-0005-0000-0000-00008A370000}"/>
    <cellStyle name="40% - Accent6 7 5 2" xfId="7065" xr:uid="{00000000-0005-0000-0000-00008B370000}"/>
    <cellStyle name="40% - Accent6 7 5 3" xfId="7066" xr:uid="{00000000-0005-0000-0000-00008C370000}"/>
    <cellStyle name="40% - Accent6 7 6" xfId="7067" xr:uid="{00000000-0005-0000-0000-00008D370000}"/>
    <cellStyle name="40% - Accent6 7 6 2" xfId="7068" xr:uid="{00000000-0005-0000-0000-00008E370000}"/>
    <cellStyle name="40% - Accent6 7 6 3" xfId="7069" xr:uid="{00000000-0005-0000-0000-00008F370000}"/>
    <cellStyle name="40% - Accent6 7 7" xfId="7070" xr:uid="{00000000-0005-0000-0000-000090370000}"/>
    <cellStyle name="40% - Accent6 7 8" xfId="7071" xr:uid="{00000000-0005-0000-0000-000091370000}"/>
    <cellStyle name="40% - Accent6 7_Volatility" xfId="7072" xr:uid="{00000000-0005-0000-0000-000092370000}"/>
    <cellStyle name="40% - Accent6 8" xfId="7073" xr:uid="{00000000-0005-0000-0000-000093370000}"/>
    <cellStyle name="40% - Accent6 8 2" xfId="7074" xr:uid="{00000000-0005-0000-0000-000094370000}"/>
    <cellStyle name="40% - Accent6 8 2 2" xfId="7075" xr:uid="{00000000-0005-0000-0000-000095370000}"/>
    <cellStyle name="40% - Accent6 8 2 2 2" xfId="7076" xr:uid="{00000000-0005-0000-0000-000096370000}"/>
    <cellStyle name="40% - Accent6 8 2 2 3" xfId="7077" xr:uid="{00000000-0005-0000-0000-000097370000}"/>
    <cellStyle name="40% - Accent6 8 2 3" xfId="7078" xr:uid="{00000000-0005-0000-0000-000098370000}"/>
    <cellStyle name="40% - Accent6 8 2 3 2" xfId="7079" xr:uid="{00000000-0005-0000-0000-000099370000}"/>
    <cellStyle name="40% - Accent6 8 2 3 3" xfId="7080" xr:uid="{00000000-0005-0000-0000-00009A370000}"/>
    <cellStyle name="40% - Accent6 8 2 4" xfId="7081" xr:uid="{00000000-0005-0000-0000-00009B370000}"/>
    <cellStyle name="40% - Accent6 8 2 4 2" xfId="7082" xr:uid="{00000000-0005-0000-0000-00009C370000}"/>
    <cellStyle name="40% - Accent6 8 2 4 3" xfId="7083" xr:uid="{00000000-0005-0000-0000-00009D370000}"/>
    <cellStyle name="40% - Accent6 8 2 5" xfId="7084" xr:uid="{00000000-0005-0000-0000-00009E370000}"/>
    <cellStyle name="40% - Accent6 8 2 6" xfId="7085" xr:uid="{00000000-0005-0000-0000-00009F370000}"/>
    <cellStyle name="40% - Accent6 8 2_Volatility" xfId="7086" xr:uid="{00000000-0005-0000-0000-0000A0370000}"/>
    <cellStyle name="40% - Accent6 8 3" xfId="7087" xr:uid="{00000000-0005-0000-0000-0000A1370000}"/>
    <cellStyle name="40% - Accent6 8 3 2" xfId="7088" xr:uid="{00000000-0005-0000-0000-0000A2370000}"/>
    <cellStyle name="40% - Accent6 8 3 2 2" xfId="7089" xr:uid="{00000000-0005-0000-0000-0000A3370000}"/>
    <cellStyle name="40% - Accent6 8 3 2 3" xfId="7090" xr:uid="{00000000-0005-0000-0000-0000A4370000}"/>
    <cellStyle name="40% - Accent6 8 3 3" xfId="7091" xr:uid="{00000000-0005-0000-0000-0000A5370000}"/>
    <cellStyle name="40% - Accent6 8 3 3 2" xfId="7092" xr:uid="{00000000-0005-0000-0000-0000A6370000}"/>
    <cellStyle name="40% - Accent6 8 3 3 3" xfId="7093" xr:uid="{00000000-0005-0000-0000-0000A7370000}"/>
    <cellStyle name="40% - Accent6 8 3 4" xfId="7094" xr:uid="{00000000-0005-0000-0000-0000A8370000}"/>
    <cellStyle name="40% - Accent6 8 3 5" xfId="7095" xr:uid="{00000000-0005-0000-0000-0000A9370000}"/>
    <cellStyle name="40% - Accent6 8 3_Volatility" xfId="7096" xr:uid="{00000000-0005-0000-0000-0000AA370000}"/>
    <cellStyle name="40% - Accent6 8 4" xfId="7097" xr:uid="{00000000-0005-0000-0000-0000AB370000}"/>
    <cellStyle name="40% - Accent6 8 4 2" xfId="7098" xr:uid="{00000000-0005-0000-0000-0000AC370000}"/>
    <cellStyle name="40% - Accent6 8 4 3" xfId="7099" xr:uid="{00000000-0005-0000-0000-0000AD370000}"/>
    <cellStyle name="40% - Accent6 8 5" xfId="7100" xr:uid="{00000000-0005-0000-0000-0000AE370000}"/>
    <cellStyle name="40% - Accent6 8 5 2" xfId="7101" xr:uid="{00000000-0005-0000-0000-0000AF370000}"/>
    <cellStyle name="40% - Accent6 8 5 3" xfId="7102" xr:uid="{00000000-0005-0000-0000-0000B0370000}"/>
    <cellStyle name="40% - Accent6 8 6" xfId="7103" xr:uid="{00000000-0005-0000-0000-0000B1370000}"/>
    <cellStyle name="40% - Accent6 8 6 2" xfId="7104" xr:uid="{00000000-0005-0000-0000-0000B2370000}"/>
    <cellStyle name="40% - Accent6 8 6 3" xfId="7105" xr:uid="{00000000-0005-0000-0000-0000B3370000}"/>
    <cellStyle name="40% - Accent6 8 7" xfId="7106" xr:uid="{00000000-0005-0000-0000-0000B4370000}"/>
    <cellStyle name="40% - Accent6 8 8" xfId="7107" xr:uid="{00000000-0005-0000-0000-0000B5370000}"/>
    <cellStyle name="40% - Accent6 8_Volatility" xfId="7108" xr:uid="{00000000-0005-0000-0000-0000B6370000}"/>
    <cellStyle name="40% - Accent6 9" xfId="7109" xr:uid="{00000000-0005-0000-0000-0000B7370000}"/>
    <cellStyle name="40% - Accent6 9 2" xfId="7110" xr:uid="{00000000-0005-0000-0000-0000B8370000}"/>
    <cellStyle name="40% - Accent6 9 2 2" xfId="7111" xr:uid="{00000000-0005-0000-0000-0000B9370000}"/>
    <cellStyle name="40% - Accent6 9 2 2 2" xfId="7112" xr:uid="{00000000-0005-0000-0000-0000BA370000}"/>
    <cellStyle name="40% - Accent6 9 2 2 3" xfId="7113" xr:uid="{00000000-0005-0000-0000-0000BB370000}"/>
    <cellStyle name="40% - Accent6 9 2 3" xfId="7114" xr:uid="{00000000-0005-0000-0000-0000BC370000}"/>
    <cellStyle name="40% - Accent6 9 2 3 2" xfId="7115" xr:uid="{00000000-0005-0000-0000-0000BD370000}"/>
    <cellStyle name="40% - Accent6 9 2 3 3" xfId="7116" xr:uid="{00000000-0005-0000-0000-0000BE370000}"/>
    <cellStyle name="40% - Accent6 9 2 4" xfId="7117" xr:uid="{00000000-0005-0000-0000-0000BF370000}"/>
    <cellStyle name="40% - Accent6 9 2 4 2" xfId="7118" xr:uid="{00000000-0005-0000-0000-0000C0370000}"/>
    <cellStyle name="40% - Accent6 9 2 4 3" xfId="7119" xr:uid="{00000000-0005-0000-0000-0000C1370000}"/>
    <cellStyle name="40% - Accent6 9 2 5" xfId="7120" xr:uid="{00000000-0005-0000-0000-0000C2370000}"/>
    <cellStyle name="40% - Accent6 9 2 6" xfId="7121" xr:uid="{00000000-0005-0000-0000-0000C3370000}"/>
    <cellStyle name="40% - Accent6 9 2_Volatility" xfId="7122" xr:uid="{00000000-0005-0000-0000-0000C4370000}"/>
    <cellStyle name="40% - Accent6 9 3" xfId="7123" xr:uid="{00000000-0005-0000-0000-0000C5370000}"/>
    <cellStyle name="40% - Accent6 9 3 2" xfId="7124" xr:uid="{00000000-0005-0000-0000-0000C6370000}"/>
    <cellStyle name="40% - Accent6 9 3 2 2" xfId="7125" xr:uid="{00000000-0005-0000-0000-0000C7370000}"/>
    <cellStyle name="40% - Accent6 9 3 2 3" xfId="7126" xr:uid="{00000000-0005-0000-0000-0000C8370000}"/>
    <cellStyle name="40% - Accent6 9 3 3" xfId="7127" xr:uid="{00000000-0005-0000-0000-0000C9370000}"/>
    <cellStyle name="40% - Accent6 9 3 3 2" xfId="7128" xr:uid="{00000000-0005-0000-0000-0000CA370000}"/>
    <cellStyle name="40% - Accent6 9 3 3 3" xfId="7129" xr:uid="{00000000-0005-0000-0000-0000CB370000}"/>
    <cellStyle name="40% - Accent6 9 3 4" xfId="7130" xr:uid="{00000000-0005-0000-0000-0000CC370000}"/>
    <cellStyle name="40% - Accent6 9 3 5" xfId="7131" xr:uid="{00000000-0005-0000-0000-0000CD370000}"/>
    <cellStyle name="40% - Accent6 9 3_Volatility" xfId="7132" xr:uid="{00000000-0005-0000-0000-0000CE370000}"/>
    <cellStyle name="40% - Accent6 9 4" xfId="7133" xr:uid="{00000000-0005-0000-0000-0000CF370000}"/>
    <cellStyle name="40% - Accent6 9 4 2" xfId="7134" xr:uid="{00000000-0005-0000-0000-0000D0370000}"/>
    <cellStyle name="40% - Accent6 9 4 3" xfId="7135" xr:uid="{00000000-0005-0000-0000-0000D1370000}"/>
    <cellStyle name="40% - Accent6 9 5" xfId="7136" xr:uid="{00000000-0005-0000-0000-0000D2370000}"/>
    <cellStyle name="40% - Accent6 9 5 2" xfId="7137" xr:uid="{00000000-0005-0000-0000-0000D3370000}"/>
    <cellStyle name="40% - Accent6 9 5 3" xfId="7138" xr:uid="{00000000-0005-0000-0000-0000D4370000}"/>
    <cellStyle name="40% - Accent6 9 6" xfId="7139" xr:uid="{00000000-0005-0000-0000-0000D5370000}"/>
    <cellStyle name="40% - Accent6 9 6 2" xfId="7140" xr:uid="{00000000-0005-0000-0000-0000D6370000}"/>
    <cellStyle name="40% - Accent6 9 6 3" xfId="7141" xr:uid="{00000000-0005-0000-0000-0000D7370000}"/>
    <cellStyle name="40% - Accent6 9 7" xfId="7142" xr:uid="{00000000-0005-0000-0000-0000D8370000}"/>
    <cellStyle name="40% - Accent6 9 8" xfId="7143" xr:uid="{00000000-0005-0000-0000-0000D9370000}"/>
    <cellStyle name="40% - Accent6 9_Volatility" xfId="7144" xr:uid="{00000000-0005-0000-0000-0000DA370000}"/>
    <cellStyle name="40% - Ênfase1" xfId="7145" xr:uid="{00000000-0005-0000-0000-0000DB370000}"/>
    <cellStyle name="40% - Ênfase2" xfId="7146" xr:uid="{00000000-0005-0000-0000-0000DC370000}"/>
    <cellStyle name="40% - Ênfase3" xfId="7147" xr:uid="{00000000-0005-0000-0000-0000DD370000}"/>
    <cellStyle name="40% - Ênfase4" xfId="7148" xr:uid="{00000000-0005-0000-0000-0000DE370000}"/>
    <cellStyle name="40% - Ênfase5" xfId="7149" xr:uid="{00000000-0005-0000-0000-0000DF370000}"/>
    <cellStyle name="40% - Ênfase6" xfId="7150" xr:uid="{00000000-0005-0000-0000-0000E0370000}"/>
    <cellStyle name="40% - Énfasis1" xfId="7151" xr:uid="{00000000-0005-0000-0000-0000E1370000}"/>
    <cellStyle name="40% - Énfasis2" xfId="7152" xr:uid="{00000000-0005-0000-0000-0000E2370000}"/>
    <cellStyle name="40% - Énfasis3" xfId="7153" xr:uid="{00000000-0005-0000-0000-0000E3370000}"/>
    <cellStyle name="40% - Énfasis4" xfId="7154" xr:uid="{00000000-0005-0000-0000-0000E4370000}"/>
    <cellStyle name="40% - Énfasis5" xfId="7155" xr:uid="{00000000-0005-0000-0000-0000E5370000}"/>
    <cellStyle name="40% - Énfasis6" xfId="7156" xr:uid="{00000000-0005-0000-0000-0000E6370000}"/>
    <cellStyle name="40% - 강조색1" xfId="7157" xr:uid="{00000000-0005-0000-0000-0000E7370000}"/>
    <cellStyle name="40% - 강조색1 2" xfId="7158" xr:uid="{00000000-0005-0000-0000-0000E8370000}"/>
    <cellStyle name="40% - 강조색2" xfId="7159" xr:uid="{00000000-0005-0000-0000-0000E9370000}"/>
    <cellStyle name="40% - 강조색2 2" xfId="7160" xr:uid="{00000000-0005-0000-0000-0000EA370000}"/>
    <cellStyle name="40% - 강조색3" xfId="7161" xr:uid="{00000000-0005-0000-0000-0000EB370000}"/>
    <cellStyle name="40% - 강조색3 2" xfId="7162" xr:uid="{00000000-0005-0000-0000-0000EC370000}"/>
    <cellStyle name="40% - 강조색4" xfId="7163" xr:uid="{00000000-0005-0000-0000-0000ED370000}"/>
    <cellStyle name="40% - 강조색4 2" xfId="7164" xr:uid="{00000000-0005-0000-0000-0000EE370000}"/>
    <cellStyle name="40% - 강조색5" xfId="7165" xr:uid="{00000000-0005-0000-0000-0000EF370000}"/>
    <cellStyle name="40% - 강조색5 2" xfId="7166" xr:uid="{00000000-0005-0000-0000-0000F0370000}"/>
    <cellStyle name="40% - 강조색6" xfId="7167" xr:uid="{00000000-0005-0000-0000-0000F1370000}"/>
    <cellStyle name="40% - 강조색6 2" xfId="7168" xr:uid="{00000000-0005-0000-0000-0000F2370000}"/>
    <cellStyle name="60% - Accent1 10" xfId="7169" xr:uid="{00000000-0005-0000-0000-0000F3370000}"/>
    <cellStyle name="60% - Accent1 11" xfId="7170" xr:uid="{00000000-0005-0000-0000-0000F4370000}"/>
    <cellStyle name="60% - Accent1 12" xfId="7171" xr:uid="{00000000-0005-0000-0000-0000F5370000}"/>
    <cellStyle name="60% - Accent1 13" xfId="7172" xr:uid="{00000000-0005-0000-0000-0000F6370000}"/>
    <cellStyle name="60% - Accent1 14" xfId="7173" xr:uid="{00000000-0005-0000-0000-0000F7370000}"/>
    <cellStyle name="60% - Accent1 15" xfId="7174" xr:uid="{00000000-0005-0000-0000-0000F8370000}"/>
    <cellStyle name="60% - Accent1 16" xfId="7175" xr:uid="{00000000-0005-0000-0000-0000F9370000}"/>
    <cellStyle name="60% - Accent1 17" xfId="7176" xr:uid="{00000000-0005-0000-0000-0000FA370000}"/>
    <cellStyle name="60% - Accent1 18" xfId="7177" xr:uid="{00000000-0005-0000-0000-0000FB370000}"/>
    <cellStyle name="60% - Accent1 19" xfId="7178" xr:uid="{00000000-0005-0000-0000-0000FC370000}"/>
    <cellStyle name="60% - Accent1 2" xfId="7179" xr:uid="{00000000-0005-0000-0000-0000FD370000}"/>
    <cellStyle name="60% - Accent1 2 2" xfId="7180" xr:uid="{00000000-0005-0000-0000-0000FE370000}"/>
    <cellStyle name="60% - Accent1 2 2 2" xfId="7181" xr:uid="{00000000-0005-0000-0000-0000FF370000}"/>
    <cellStyle name="60% - Accent1 2 3" xfId="7182" xr:uid="{00000000-0005-0000-0000-000000380000}"/>
    <cellStyle name="60% - Accent1 2 3 2" xfId="7183" xr:uid="{00000000-0005-0000-0000-000001380000}"/>
    <cellStyle name="60% - Accent1 2 4" xfId="7184" xr:uid="{00000000-0005-0000-0000-000002380000}"/>
    <cellStyle name="60% - Accent1 2 4 2" xfId="7185" xr:uid="{00000000-0005-0000-0000-000003380000}"/>
    <cellStyle name="60% - Accent1 2 4 3" xfId="7186" xr:uid="{00000000-0005-0000-0000-000004380000}"/>
    <cellStyle name="60% - Accent1 2 5" xfId="7187" xr:uid="{00000000-0005-0000-0000-000005380000}"/>
    <cellStyle name="60% - Accent1 2 6" xfId="7188" xr:uid="{00000000-0005-0000-0000-000006380000}"/>
    <cellStyle name="60% - Accent1 2 7" xfId="7189" xr:uid="{00000000-0005-0000-0000-000007380000}"/>
    <cellStyle name="60% - Accent1 2 8" xfId="7190" xr:uid="{00000000-0005-0000-0000-000008380000}"/>
    <cellStyle name="60% - Accent1 3" xfId="7191" xr:uid="{00000000-0005-0000-0000-000009380000}"/>
    <cellStyle name="60% - Accent1 3 2" xfId="7192" xr:uid="{00000000-0005-0000-0000-00000A380000}"/>
    <cellStyle name="60% - Accent1 3 2 2" xfId="7193" xr:uid="{00000000-0005-0000-0000-00000B380000}"/>
    <cellStyle name="60% - Accent1 3 2 3" xfId="7194" xr:uid="{00000000-0005-0000-0000-00000C380000}"/>
    <cellStyle name="60% - Accent1 3 3" xfId="7195" xr:uid="{00000000-0005-0000-0000-00000D380000}"/>
    <cellStyle name="60% - Accent1 3 4" xfId="7196" xr:uid="{00000000-0005-0000-0000-00000E380000}"/>
    <cellStyle name="60% - Accent1 3 5" xfId="7197" xr:uid="{00000000-0005-0000-0000-00000F380000}"/>
    <cellStyle name="60% - Accent1 4" xfId="7198" xr:uid="{00000000-0005-0000-0000-000010380000}"/>
    <cellStyle name="60% - Accent1 4 2" xfId="7199" xr:uid="{00000000-0005-0000-0000-000011380000}"/>
    <cellStyle name="60% - Accent1 4 2 2" xfId="7200" xr:uid="{00000000-0005-0000-0000-000012380000}"/>
    <cellStyle name="60% - Accent1 4 2 3" xfId="7201" xr:uid="{00000000-0005-0000-0000-000013380000}"/>
    <cellStyle name="60% - Accent1 4 3" xfId="7202" xr:uid="{00000000-0005-0000-0000-000014380000}"/>
    <cellStyle name="60% - Accent1 4 4" xfId="7203" xr:uid="{00000000-0005-0000-0000-000015380000}"/>
    <cellStyle name="60% - Accent1 4 5" xfId="7204" xr:uid="{00000000-0005-0000-0000-000016380000}"/>
    <cellStyle name="60% - Accent1 5" xfId="7205" xr:uid="{00000000-0005-0000-0000-000017380000}"/>
    <cellStyle name="60% - Accent1 5 2" xfId="7206" xr:uid="{00000000-0005-0000-0000-000018380000}"/>
    <cellStyle name="60% - Accent1 5 2 2" xfId="7207" xr:uid="{00000000-0005-0000-0000-000019380000}"/>
    <cellStyle name="60% - Accent1 5 2 3" xfId="7208" xr:uid="{00000000-0005-0000-0000-00001A380000}"/>
    <cellStyle name="60% - Accent1 5 3" xfId="7209" xr:uid="{00000000-0005-0000-0000-00001B380000}"/>
    <cellStyle name="60% - Accent1 5 4" xfId="7210" xr:uid="{00000000-0005-0000-0000-00001C380000}"/>
    <cellStyle name="60% - Accent1 5 5" xfId="7211" xr:uid="{00000000-0005-0000-0000-00001D380000}"/>
    <cellStyle name="60% - Accent1 6" xfId="7212" xr:uid="{00000000-0005-0000-0000-00001E380000}"/>
    <cellStyle name="60% - Accent1 6 2" xfId="7213" xr:uid="{00000000-0005-0000-0000-00001F380000}"/>
    <cellStyle name="60% - Accent1 6 3" xfId="7214" xr:uid="{00000000-0005-0000-0000-000020380000}"/>
    <cellStyle name="60% - Accent1 7" xfId="7215" xr:uid="{00000000-0005-0000-0000-000021380000}"/>
    <cellStyle name="60% - Accent1 8" xfId="7216" xr:uid="{00000000-0005-0000-0000-000022380000}"/>
    <cellStyle name="60% - Accent1 9" xfId="7217" xr:uid="{00000000-0005-0000-0000-000023380000}"/>
    <cellStyle name="60% - Accent2 10" xfId="7218" xr:uid="{00000000-0005-0000-0000-000024380000}"/>
    <cellStyle name="60% - Accent2 11" xfId="7219" xr:uid="{00000000-0005-0000-0000-000025380000}"/>
    <cellStyle name="60% - Accent2 12" xfId="7220" xr:uid="{00000000-0005-0000-0000-000026380000}"/>
    <cellStyle name="60% - Accent2 13" xfId="7221" xr:uid="{00000000-0005-0000-0000-000027380000}"/>
    <cellStyle name="60% - Accent2 14" xfId="7222" xr:uid="{00000000-0005-0000-0000-000028380000}"/>
    <cellStyle name="60% - Accent2 15" xfId="7223" xr:uid="{00000000-0005-0000-0000-000029380000}"/>
    <cellStyle name="60% - Accent2 16" xfId="7224" xr:uid="{00000000-0005-0000-0000-00002A380000}"/>
    <cellStyle name="60% - Accent2 17" xfId="7225" xr:uid="{00000000-0005-0000-0000-00002B380000}"/>
    <cellStyle name="60% - Accent2 18" xfId="7226" xr:uid="{00000000-0005-0000-0000-00002C380000}"/>
    <cellStyle name="60% - Accent2 19" xfId="7227" xr:uid="{00000000-0005-0000-0000-00002D380000}"/>
    <cellStyle name="60% - Accent2 2" xfId="7228" xr:uid="{00000000-0005-0000-0000-00002E380000}"/>
    <cellStyle name="60% - Accent2 2 2" xfId="7229" xr:uid="{00000000-0005-0000-0000-00002F380000}"/>
    <cellStyle name="60% - Accent2 2 2 2" xfId="7230" xr:uid="{00000000-0005-0000-0000-000030380000}"/>
    <cellStyle name="60% - Accent2 2 3" xfId="7231" xr:uid="{00000000-0005-0000-0000-000031380000}"/>
    <cellStyle name="60% - Accent2 2 3 2" xfId="7232" xr:uid="{00000000-0005-0000-0000-000032380000}"/>
    <cellStyle name="60% - Accent2 2 4" xfId="7233" xr:uid="{00000000-0005-0000-0000-000033380000}"/>
    <cellStyle name="60% - Accent2 2 4 2" xfId="7234" xr:uid="{00000000-0005-0000-0000-000034380000}"/>
    <cellStyle name="60% - Accent2 2 4 3" xfId="7235" xr:uid="{00000000-0005-0000-0000-000035380000}"/>
    <cellStyle name="60% - Accent2 2 5" xfId="7236" xr:uid="{00000000-0005-0000-0000-000036380000}"/>
    <cellStyle name="60% - Accent2 2 6" xfId="7237" xr:uid="{00000000-0005-0000-0000-000037380000}"/>
    <cellStyle name="60% - Accent2 2 7" xfId="7238" xr:uid="{00000000-0005-0000-0000-000038380000}"/>
    <cellStyle name="60% - Accent2 2 8" xfId="7239" xr:uid="{00000000-0005-0000-0000-000039380000}"/>
    <cellStyle name="60% - Accent2 3" xfId="7240" xr:uid="{00000000-0005-0000-0000-00003A380000}"/>
    <cellStyle name="60% - Accent2 3 2" xfId="7241" xr:uid="{00000000-0005-0000-0000-00003B380000}"/>
    <cellStyle name="60% - Accent2 3 2 2" xfId="7242" xr:uid="{00000000-0005-0000-0000-00003C380000}"/>
    <cellStyle name="60% - Accent2 3 2 3" xfId="7243" xr:uid="{00000000-0005-0000-0000-00003D380000}"/>
    <cellStyle name="60% - Accent2 3 3" xfId="7244" xr:uid="{00000000-0005-0000-0000-00003E380000}"/>
    <cellStyle name="60% - Accent2 3 4" xfId="7245" xr:uid="{00000000-0005-0000-0000-00003F380000}"/>
    <cellStyle name="60% - Accent2 3 5" xfId="7246" xr:uid="{00000000-0005-0000-0000-000040380000}"/>
    <cellStyle name="60% - Accent2 4" xfId="7247" xr:uid="{00000000-0005-0000-0000-000041380000}"/>
    <cellStyle name="60% - Accent2 4 2" xfId="7248" xr:uid="{00000000-0005-0000-0000-000042380000}"/>
    <cellStyle name="60% - Accent2 4 2 2" xfId="7249" xr:uid="{00000000-0005-0000-0000-000043380000}"/>
    <cellStyle name="60% - Accent2 4 2 3" xfId="7250" xr:uid="{00000000-0005-0000-0000-000044380000}"/>
    <cellStyle name="60% - Accent2 4 3" xfId="7251" xr:uid="{00000000-0005-0000-0000-000045380000}"/>
    <cellStyle name="60% - Accent2 4 4" xfId="7252" xr:uid="{00000000-0005-0000-0000-000046380000}"/>
    <cellStyle name="60% - Accent2 4 5" xfId="7253" xr:uid="{00000000-0005-0000-0000-000047380000}"/>
    <cellStyle name="60% - Accent2 5" xfId="7254" xr:uid="{00000000-0005-0000-0000-000048380000}"/>
    <cellStyle name="60% - Accent2 5 2" xfId="7255" xr:uid="{00000000-0005-0000-0000-000049380000}"/>
    <cellStyle name="60% - Accent2 5 2 2" xfId="7256" xr:uid="{00000000-0005-0000-0000-00004A380000}"/>
    <cellStyle name="60% - Accent2 5 2 3" xfId="7257" xr:uid="{00000000-0005-0000-0000-00004B380000}"/>
    <cellStyle name="60% - Accent2 5 3" xfId="7258" xr:uid="{00000000-0005-0000-0000-00004C380000}"/>
    <cellStyle name="60% - Accent2 5 4" xfId="7259" xr:uid="{00000000-0005-0000-0000-00004D380000}"/>
    <cellStyle name="60% - Accent2 5 5" xfId="7260" xr:uid="{00000000-0005-0000-0000-00004E380000}"/>
    <cellStyle name="60% - Accent2 6" xfId="7261" xr:uid="{00000000-0005-0000-0000-00004F380000}"/>
    <cellStyle name="60% - Accent2 6 2" xfId="7262" xr:uid="{00000000-0005-0000-0000-000050380000}"/>
    <cellStyle name="60% - Accent2 6 3" xfId="7263" xr:uid="{00000000-0005-0000-0000-000051380000}"/>
    <cellStyle name="60% - Accent2 7" xfId="7264" xr:uid="{00000000-0005-0000-0000-000052380000}"/>
    <cellStyle name="60% - Accent2 8" xfId="7265" xr:uid="{00000000-0005-0000-0000-000053380000}"/>
    <cellStyle name="60% - Accent2 9" xfId="7266" xr:uid="{00000000-0005-0000-0000-000054380000}"/>
    <cellStyle name="60% - Accent3 10" xfId="7267" xr:uid="{00000000-0005-0000-0000-000055380000}"/>
    <cellStyle name="60% - Accent3 11" xfId="7268" xr:uid="{00000000-0005-0000-0000-000056380000}"/>
    <cellStyle name="60% - Accent3 12" xfId="7269" xr:uid="{00000000-0005-0000-0000-000057380000}"/>
    <cellStyle name="60% - Accent3 13" xfId="7270" xr:uid="{00000000-0005-0000-0000-000058380000}"/>
    <cellStyle name="60% - Accent3 14" xfId="7271" xr:uid="{00000000-0005-0000-0000-000059380000}"/>
    <cellStyle name="60% - Accent3 15" xfId="7272" xr:uid="{00000000-0005-0000-0000-00005A380000}"/>
    <cellStyle name="60% - Accent3 16" xfId="7273" xr:uid="{00000000-0005-0000-0000-00005B380000}"/>
    <cellStyle name="60% - Accent3 17" xfId="7274" xr:uid="{00000000-0005-0000-0000-00005C380000}"/>
    <cellStyle name="60% - Accent3 18" xfId="7275" xr:uid="{00000000-0005-0000-0000-00005D380000}"/>
    <cellStyle name="60% - Accent3 19" xfId="7276" xr:uid="{00000000-0005-0000-0000-00005E380000}"/>
    <cellStyle name="60% - Accent3 2" xfId="7277" xr:uid="{00000000-0005-0000-0000-00005F380000}"/>
    <cellStyle name="60% - Accent3 2 2" xfId="7278" xr:uid="{00000000-0005-0000-0000-000060380000}"/>
    <cellStyle name="60% - Accent3 2 2 2" xfId="7279" xr:uid="{00000000-0005-0000-0000-000061380000}"/>
    <cellStyle name="60% - Accent3 2 3" xfId="7280" xr:uid="{00000000-0005-0000-0000-000062380000}"/>
    <cellStyle name="60% - Accent3 2 3 2" xfId="7281" xr:uid="{00000000-0005-0000-0000-000063380000}"/>
    <cellStyle name="60% - Accent3 2 4" xfId="7282" xr:uid="{00000000-0005-0000-0000-000064380000}"/>
    <cellStyle name="60% - Accent3 2 4 2" xfId="7283" xr:uid="{00000000-0005-0000-0000-000065380000}"/>
    <cellStyle name="60% - Accent3 2 4 3" xfId="7284" xr:uid="{00000000-0005-0000-0000-000066380000}"/>
    <cellStyle name="60% - Accent3 2 5" xfId="7285" xr:uid="{00000000-0005-0000-0000-000067380000}"/>
    <cellStyle name="60% - Accent3 2 6" xfId="7286" xr:uid="{00000000-0005-0000-0000-000068380000}"/>
    <cellStyle name="60% - Accent3 2 7" xfId="7287" xr:uid="{00000000-0005-0000-0000-000069380000}"/>
    <cellStyle name="60% - Accent3 2 8" xfId="7288" xr:uid="{00000000-0005-0000-0000-00006A380000}"/>
    <cellStyle name="60% - Accent3 3" xfId="7289" xr:uid="{00000000-0005-0000-0000-00006B380000}"/>
    <cellStyle name="60% - Accent3 3 2" xfId="7290" xr:uid="{00000000-0005-0000-0000-00006C380000}"/>
    <cellStyle name="60% - Accent3 3 2 2" xfId="7291" xr:uid="{00000000-0005-0000-0000-00006D380000}"/>
    <cellStyle name="60% - Accent3 3 2 3" xfId="7292" xr:uid="{00000000-0005-0000-0000-00006E380000}"/>
    <cellStyle name="60% - Accent3 3 3" xfId="7293" xr:uid="{00000000-0005-0000-0000-00006F380000}"/>
    <cellStyle name="60% - Accent3 3 4" xfId="7294" xr:uid="{00000000-0005-0000-0000-000070380000}"/>
    <cellStyle name="60% - Accent3 3 5" xfId="7295" xr:uid="{00000000-0005-0000-0000-000071380000}"/>
    <cellStyle name="60% - Accent3 4" xfId="7296" xr:uid="{00000000-0005-0000-0000-000072380000}"/>
    <cellStyle name="60% - Accent3 4 2" xfId="7297" xr:uid="{00000000-0005-0000-0000-000073380000}"/>
    <cellStyle name="60% - Accent3 4 2 2" xfId="7298" xr:uid="{00000000-0005-0000-0000-000074380000}"/>
    <cellStyle name="60% - Accent3 4 2 3" xfId="7299" xr:uid="{00000000-0005-0000-0000-000075380000}"/>
    <cellStyle name="60% - Accent3 4 3" xfId="7300" xr:uid="{00000000-0005-0000-0000-000076380000}"/>
    <cellStyle name="60% - Accent3 4 4" xfId="7301" xr:uid="{00000000-0005-0000-0000-000077380000}"/>
    <cellStyle name="60% - Accent3 4 5" xfId="7302" xr:uid="{00000000-0005-0000-0000-000078380000}"/>
    <cellStyle name="60% - Accent3 5" xfId="7303" xr:uid="{00000000-0005-0000-0000-000079380000}"/>
    <cellStyle name="60% - Accent3 5 2" xfId="7304" xr:uid="{00000000-0005-0000-0000-00007A380000}"/>
    <cellStyle name="60% - Accent3 5 2 2" xfId="7305" xr:uid="{00000000-0005-0000-0000-00007B380000}"/>
    <cellStyle name="60% - Accent3 5 2 3" xfId="7306" xr:uid="{00000000-0005-0000-0000-00007C380000}"/>
    <cellStyle name="60% - Accent3 5 3" xfId="7307" xr:uid="{00000000-0005-0000-0000-00007D380000}"/>
    <cellStyle name="60% - Accent3 5 4" xfId="7308" xr:uid="{00000000-0005-0000-0000-00007E380000}"/>
    <cellStyle name="60% - Accent3 5 5" xfId="7309" xr:uid="{00000000-0005-0000-0000-00007F380000}"/>
    <cellStyle name="60% - Accent3 6" xfId="7310" xr:uid="{00000000-0005-0000-0000-000080380000}"/>
    <cellStyle name="60% - Accent3 6 2" xfId="7311" xr:uid="{00000000-0005-0000-0000-000081380000}"/>
    <cellStyle name="60% - Accent3 6 3" xfId="7312" xr:uid="{00000000-0005-0000-0000-000082380000}"/>
    <cellStyle name="60% - Accent3 7" xfId="7313" xr:uid="{00000000-0005-0000-0000-000083380000}"/>
    <cellStyle name="60% - Accent3 8" xfId="7314" xr:uid="{00000000-0005-0000-0000-000084380000}"/>
    <cellStyle name="60% - Accent3 9" xfId="7315" xr:uid="{00000000-0005-0000-0000-000085380000}"/>
    <cellStyle name="60% - Accent4 10" xfId="7316" xr:uid="{00000000-0005-0000-0000-000086380000}"/>
    <cellStyle name="60% - Accent4 11" xfId="7317" xr:uid="{00000000-0005-0000-0000-000087380000}"/>
    <cellStyle name="60% - Accent4 12" xfId="7318" xr:uid="{00000000-0005-0000-0000-000088380000}"/>
    <cellStyle name="60% - Accent4 13" xfId="7319" xr:uid="{00000000-0005-0000-0000-000089380000}"/>
    <cellStyle name="60% - Accent4 14" xfId="7320" xr:uid="{00000000-0005-0000-0000-00008A380000}"/>
    <cellStyle name="60% - Accent4 15" xfId="7321" xr:uid="{00000000-0005-0000-0000-00008B380000}"/>
    <cellStyle name="60% - Accent4 16" xfId="7322" xr:uid="{00000000-0005-0000-0000-00008C380000}"/>
    <cellStyle name="60% - Accent4 17" xfId="7323" xr:uid="{00000000-0005-0000-0000-00008D380000}"/>
    <cellStyle name="60% - Accent4 18" xfId="7324" xr:uid="{00000000-0005-0000-0000-00008E380000}"/>
    <cellStyle name="60% - Accent4 19" xfId="7325" xr:uid="{00000000-0005-0000-0000-00008F380000}"/>
    <cellStyle name="60% - Accent4 2" xfId="7326" xr:uid="{00000000-0005-0000-0000-000090380000}"/>
    <cellStyle name="60% - Accent4 2 2" xfId="7327" xr:uid="{00000000-0005-0000-0000-000091380000}"/>
    <cellStyle name="60% - Accent4 2 2 2" xfId="7328" xr:uid="{00000000-0005-0000-0000-000092380000}"/>
    <cellStyle name="60% - Accent4 2 3" xfId="7329" xr:uid="{00000000-0005-0000-0000-000093380000}"/>
    <cellStyle name="60% - Accent4 2 3 2" xfId="7330" xr:uid="{00000000-0005-0000-0000-000094380000}"/>
    <cellStyle name="60% - Accent4 2 4" xfId="7331" xr:uid="{00000000-0005-0000-0000-000095380000}"/>
    <cellStyle name="60% - Accent4 2 4 2" xfId="7332" xr:uid="{00000000-0005-0000-0000-000096380000}"/>
    <cellStyle name="60% - Accent4 2 4 3" xfId="7333" xr:uid="{00000000-0005-0000-0000-000097380000}"/>
    <cellStyle name="60% - Accent4 2 5" xfId="7334" xr:uid="{00000000-0005-0000-0000-000098380000}"/>
    <cellStyle name="60% - Accent4 2 6" xfId="7335" xr:uid="{00000000-0005-0000-0000-000099380000}"/>
    <cellStyle name="60% - Accent4 2 7" xfId="7336" xr:uid="{00000000-0005-0000-0000-00009A380000}"/>
    <cellStyle name="60% - Accent4 2 8" xfId="7337" xr:uid="{00000000-0005-0000-0000-00009B380000}"/>
    <cellStyle name="60% - Accent4 3" xfId="7338" xr:uid="{00000000-0005-0000-0000-00009C380000}"/>
    <cellStyle name="60% - Accent4 3 2" xfId="7339" xr:uid="{00000000-0005-0000-0000-00009D380000}"/>
    <cellStyle name="60% - Accent4 3 2 2" xfId="7340" xr:uid="{00000000-0005-0000-0000-00009E380000}"/>
    <cellStyle name="60% - Accent4 3 2 3" xfId="7341" xr:uid="{00000000-0005-0000-0000-00009F380000}"/>
    <cellStyle name="60% - Accent4 3 3" xfId="7342" xr:uid="{00000000-0005-0000-0000-0000A0380000}"/>
    <cellStyle name="60% - Accent4 3 4" xfId="7343" xr:uid="{00000000-0005-0000-0000-0000A1380000}"/>
    <cellStyle name="60% - Accent4 3 5" xfId="7344" xr:uid="{00000000-0005-0000-0000-0000A2380000}"/>
    <cellStyle name="60% - Accent4 4" xfId="7345" xr:uid="{00000000-0005-0000-0000-0000A3380000}"/>
    <cellStyle name="60% - Accent4 4 2" xfId="7346" xr:uid="{00000000-0005-0000-0000-0000A4380000}"/>
    <cellStyle name="60% - Accent4 4 2 2" xfId="7347" xr:uid="{00000000-0005-0000-0000-0000A5380000}"/>
    <cellStyle name="60% - Accent4 4 2 3" xfId="7348" xr:uid="{00000000-0005-0000-0000-0000A6380000}"/>
    <cellStyle name="60% - Accent4 4 3" xfId="7349" xr:uid="{00000000-0005-0000-0000-0000A7380000}"/>
    <cellStyle name="60% - Accent4 4 4" xfId="7350" xr:uid="{00000000-0005-0000-0000-0000A8380000}"/>
    <cellStyle name="60% - Accent4 4 5" xfId="7351" xr:uid="{00000000-0005-0000-0000-0000A9380000}"/>
    <cellStyle name="60% - Accent4 5" xfId="7352" xr:uid="{00000000-0005-0000-0000-0000AA380000}"/>
    <cellStyle name="60% - Accent4 5 2" xfId="7353" xr:uid="{00000000-0005-0000-0000-0000AB380000}"/>
    <cellStyle name="60% - Accent4 5 2 2" xfId="7354" xr:uid="{00000000-0005-0000-0000-0000AC380000}"/>
    <cellStyle name="60% - Accent4 5 2 3" xfId="7355" xr:uid="{00000000-0005-0000-0000-0000AD380000}"/>
    <cellStyle name="60% - Accent4 5 3" xfId="7356" xr:uid="{00000000-0005-0000-0000-0000AE380000}"/>
    <cellStyle name="60% - Accent4 5 4" xfId="7357" xr:uid="{00000000-0005-0000-0000-0000AF380000}"/>
    <cellStyle name="60% - Accent4 5 5" xfId="7358" xr:uid="{00000000-0005-0000-0000-0000B0380000}"/>
    <cellStyle name="60% - Accent4 6" xfId="7359" xr:uid="{00000000-0005-0000-0000-0000B1380000}"/>
    <cellStyle name="60% - Accent4 6 2" xfId="7360" xr:uid="{00000000-0005-0000-0000-0000B2380000}"/>
    <cellStyle name="60% - Accent4 6 3" xfId="7361" xr:uid="{00000000-0005-0000-0000-0000B3380000}"/>
    <cellStyle name="60% - Accent4 7" xfId="7362" xr:uid="{00000000-0005-0000-0000-0000B4380000}"/>
    <cellStyle name="60% - Accent4 8" xfId="7363" xr:uid="{00000000-0005-0000-0000-0000B5380000}"/>
    <cellStyle name="60% - Accent4 9" xfId="7364" xr:uid="{00000000-0005-0000-0000-0000B6380000}"/>
    <cellStyle name="60% - Accent5 10" xfId="7365" xr:uid="{00000000-0005-0000-0000-0000B7380000}"/>
    <cellStyle name="60% - Accent5 11" xfId="7366" xr:uid="{00000000-0005-0000-0000-0000B8380000}"/>
    <cellStyle name="60% - Accent5 12" xfId="7367" xr:uid="{00000000-0005-0000-0000-0000B9380000}"/>
    <cellStyle name="60% - Accent5 13" xfId="7368" xr:uid="{00000000-0005-0000-0000-0000BA380000}"/>
    <cellStyle name="60% - Accent5 14" xfId="7369" xr:uid="{00000000-0005-0000-0000-0000BB380000}"/>
    <cellStyle name="60% - Accent5 15" xfId="7370" xr:uid="{00000000-0005-0000-0000-0000BC380000}"/>
    <cellStyle name="60% - Accent5 16" xfId="7371" xr:uid="{00000000-0005-0000-0000-0000BD380000}"/>
    <cellStyle name="60% - Accent5 17" xfId="7372" xr:uid="{00000000-0005-0000-0000-0000BE380000}"/>
    <cellStyle name="60% - Accent5 18" xfId="7373" xr:uid="{00000000-0005-0000-0000-0000BF380000}"/>
    <cellStyle name="60% - Accent5 19" xfId="7374" xr:uid="{00000000-0005-0000-0000-0000C0380000}"/>
    <cellStyle name="60% - Accent5 2" xfId="7375" xr:uid="{00000000-0005-0000-0000-0000C1380000}"/>
    <cellStyle name="60% - Accent5 2 2" xfId="7376" xr:uid="{00000000-0005-0000-0000-0000C2380000}"/>
    <cellStyle name="60% - Accent5 2 2 2" xfId="7377" xr:uid="{00000000-0005-0000-0000-0000C3380000}"/>
    <cellStyle name="60% - Accent5 2 3" xfId="7378" xr:uid="{00000000-0005-0000-0000-0000C4380000}"/>
    <cellStyle name="60% - Accent5 2 3 2" xfId="7379" xr:uid="{00000000-0005-0000-0000-0000C5380000}"/>
    <cellStyle name="60% - Accent5 2 4" xfId="7380" xr:uid="{00000000-0005-0000-0000-0000C6380000}"/>
    <cellStyle name="60% - Accent5 2 4 2" xfId="7381" xr:uid="{00000000-0005-0000-0000-0000C7380000}"/>
    <cellStyle name="60% - Accent5 2 4 3" xfId="7382" xr:uid="{00000000-0005-0000-0000-0000C8380000}"/>
    <cellStyle name="60% - Accent5 2 5" xfId="7383" xr:uid="{00000000-0005-0000-0000-0000C9380000}"/>
    <cellStyle name="60% - Accent5 2 6" xfId="7384" xr:uid="{00000000-0005-0000-0000-0000CA380000}"/>
    <cellStyle name="60% - Accent5 2 7" xfId="7385" xr:uid="{00000000-0005-0000-0000-0000CB380000}"/>
    <cellStyle name="60% - Accent5 2 8" xfId="7386" xr:uid="{00000000-0005-0000-0000-0000CC380000}"/>
    <cellStyle name="60% - Accent5 3" xfId="7387" xr:uid="{00000000-0005-0000-0000-0000CD380000}"/>
    <cellStyle name="60% - Accent5 3 2" xfId="7388" xr:uid="{00000000-0005-0000-0000-0000CE380000}"/>
    <cellStyle name="60% - Accent5 3 2 2" xfId="7389" xr:uid="{00000000-0005-0000-0000-0000CF380000}"/>
    <cellStyle name="60% - Accent5 3 2 3" xfId="7390" xr:uid="{00000000-0005-0000-0000-0000D0380000}"/>
    <cellStyle name="60% - Accent5 3 3" xfId="7391" xr:uid="{00000000-0005-0000-0000-0000D1380000}"/>
    <cellStyle name="60% - Accent5 3 4" xfId="7392" xr:uid="{00000000-0005-0000-0000-0000D2380000}"/>
    <cellStyle name="60% - Accent5 3 5" xfId="7393" xr:uid="{00000000-0005-0000-0000-0000D3380000}"/>
    <cellStyle name="60% - Accent5 4" xfId="7394" xr:uid="{00000000-0005-0000-0000-0000D4380000}"/>
    <cellStyle name="60% - Accent5 4 2" xfId="7395" xr:uid="{00000000-0005-0000-0000-0000D5380000}"/>
    <cellStyle name="60% - Accent5 4 2 2" xfId="7396" xr:uid="{00000000-0005-0000-0000-0000D6380000}"/>
    <cellStyle name="60% - Accent5 4 2 3" xfId="7397" xr:uid="{00000000-0005-0000-0000-0000D7380000}"/>
    <cellStyle name="60% - Accent5 4 3" xfId="7398" xr:uid="{00000000-0005-0000-0000-0000D8380000}"/>
    <cellStyle name="60% - Accent5 4 4" xfId="7399" xr:uid="{00000000-0005-0000-0000-0000D9380000}"/>
    <cellStyle name="60% - Accent5 4 5" xfId="7400" xr:uid="{00000000-0005-0000-0000-0000DA380000}"/>
    <cellStyle name="60% - Accent5 5" xfId="7401" xr:uid="{00000000-0005-0000-0000-0000DB380000}"/>
    <cellStyle name="60% - Accent5 5 2" xfId="7402" xr:uid="{00000000-0005-0000-0000-0000DC380000}"/>
    <cellStyle name="60% - Accent5 5 2 2" xfId="7403" xr:uid="{00000000-0005-0000-0000-0000DD380000}"/>
    <cellStyle name="60% - Accent5 5 2 3" xfId="7404" xr:uid="{00000000-0005-0000-0000-0000DE380000}"/>
    <cellStyle name="60% - Accent5 5 3" xfId="7405" xr:uid="{00000000-0005-0000-0000-0000DF380000}"/>
    <cellStyle name="60% - Accent5 5 4" xfId="7406" xr:uid="{00000000-0005-0000-0000-0000E0380000}"/>
    <cellStyle name="60% - Accent5 5 5" xfId="7407" xr:uid="{00000000-0005-0000-0000-0000E1380000}"/>
    <cellStyle name="60% - Accent5 6" xfId="7408" xr:uid="{00000000-0005-0000-0000-0000E2380000}"/>
    <cellStyle name="60% - Accent5 6 2" xfId="7409" xr:uid="{00000000-0005-0000-0000-0000E3380000}"/>
    <cellStyle name="60% - Accent5 6 3" xfId="7410" xr:uid="{00000000-0005-0000-0000-0000E4380000}"/>
    <cellStyle name="60% - Accent5 7" xfId="7411" xr:uid="{00000000-0005-0000-0000-0000E5380000}"/>
    <cellStyle name="60% - Accent5 8" xfId="7412" xr:uid="{00000000-0005-0000-0000-0000E6380000}"/>
    <cellStyle name="60% - Accent5 9" xfId="7413" xr:uid="{00000000-0005-0000-0000-0000E7380000}"/>
    <cellStyle name="60% - Accent6 10" xfId="7414" xr:uid="{00000000-0005-0000-0000-0000E8380000}"/>
    <cellStyle name="60% - Accent6 11" xfId="7415" xr:uid="{00000000-0005-0000-0000-0000E9380000}"/>
    <cellStyle name="60% - Accent6 12" xfId="7416" xr:uid="{00000000-0005-0000-0000-0000EA380000}"/>
    <cellStyle name="60% - Accent6 13" xfId="7417" xr:uid="{00000000-0005-0000-0000-0000EB380000}"/>
    <cellStyle name="60% - Accent6 14" xfId="7418" xr:uid="{00000000-0005-0000-0000-0000EC380000}"/>
    <cellStyle name="60% - Accent6 15" xfId="7419" xr:uid="{00000000-0005-0000-0000-0000ED380000}"/>
    <cellStyle name="60% - Accent6 16" xfId="7420" xr:uid="{00000000-0005-0000-0000-0000EE380000}"/>
    <cellStyle name="60% - Accent6 17" xfId="7421" xr:uid="{00000000-0005-0000-0000-0000EF380000}"/>
    <cellStyle name="60% - Accent6 18" xfId="7422" xr:uid="{00000000-0005-0000-0000-0000F0380000}"/>
    <cellStyle name="60% - Accent6 19" xfId="7423" xr:uid="{00000000-0005-0000-0000-0000F1380000}"/>
    <cellStyle name="60% - Accent6 2" xfId="7424" xr:uid="{00000000-0005-0000-0000-0000F2380000}"/>
    <cellStyle name="60% - Accent6 2 10" xfId="7425" xr:uid="{00000000-0005-0000-0000-0000F3380000}"/>
    <cellStyle name="60% - Accent6 2 10 2" xfId="7426" xr:uid="{00000000-0005-0000-0000-0000F4380000}"/>
    <cellStyle name="60% - Accent6 2 11" xfId="7427" xr:uid="{00000000-0005-0000-0000-0000F5380000}"/>
    <cellStyle name="60% - Accent6 2 11 2" xfId="7428" xr:uid="{00000000-0005-0000-0000-0000F6380000}"/>
    <cellStyle name="60% - Accent6 2 12" xfId="7429" xr:uid="{00000000-0005-0000-0000-0000F7380000}"/>
    <cellStyle name="60% - Accent6 2 12 10" xfId="7430" xr:uid="{00000000-0005-0000-0000-0000F8380000}"/>
    <cellStyle name="60% - Accent6 2 12 10 2" xfId="7431" xr:uid="{00000000-0005-0000-0000-0000F9380000}"/>
    <cellStyle name="60% - Accent6 2 12 11" xfId="7432" xr:uid="{00000000-0005-0000-0000-0000FA380000}"/>
    <cellStyle name="60% - Accent6 2 12 2" xfId="7433" xr:uid="{00000000-0005-0000-0000-0000FB380000}"/>
    <cellStyle name="60% - Accent6 2 12 2 2" xfId="7434" xr:uid="{00000000-0005-0000-0000-0000FC380000}"/>
    <cellStyle name="60% - Accent6 2 12 3" xfId="7435" xr:uid="{00000000-0005-0000-0000-0000FD380000}"/>
    <cellStyle name="60% - Accent6 2 12 3 2" xfId="7436" xr:uid="{00000000-0005-0000-0000-0000FE380000}"/>
    <cellStyle name="60% - Accent6 2 12 4" xfId="7437" xr:uid="{00000000-0005-0000-0000-0000FF380000}"/>
    <cellStyle name="60% - Accent6 2 12 4 2" xfId="7438" xr:uid="{00000000-0005-0000-0000-000000390000}"/>
    <cellStyle name="60% - Accent6 2 12 5" xfId="7439" xr:uid="{00000000-0005-0000-0000-000001390000}"/>
    <cellStyle name="60% - Accent6 2 12 5 2" xfId="7440" xr:uid="{00000000-0005-0000-0000-000002390000}"/>
    <cellStyle name="60% - Accent6 2 12 6" xfId="7441" xr:uid="{00000000-0005-0000-0000-000003390000}"/>
    <cellStyle name="60% - Accent6 2 12 6 2" xfId="7442" xr:uid="{00000000-0005-0000-0000-000004390000}"/>
    <cellStyle name="60% - Accent6 2 12 7" xfId="7443" xr:uid="{00000000-0005-0000-0000-000005390000}"/>
    <cellStyle name="60% - Accent6 2 12 7 2" xfId="7444" xr:uid="{00000000-0005-0000-0000-000006390000}"/>
    <cellStyle name="60% - Accent6 2 12 8" xfId="7445" xr:uid="{00000000-0005-0000-0000-000007390000}"/>
    <cellStyle name="60% - Accent6 2 12 8 2" xfId="7446" xr:uid="{00000000-0005-0000-0000-000008390000}"/>
    <cellStyle name="60% - Accent6 2 12 9" xfId="7447" xr:uid="{00000000-0005-0000-0000-000009390000}"/>
    <cellStyle name="60% - Accent6 2 12 9 2" xfId="7448" xr:uid="{00000000-0005-0000-0000-00000A390000}"/>
    <cellStyle name="60% - Accent6 2 13" xfId="7449" xr:uid="{00000000-0005-0000-0000-00000B390000}"/>
    <cellStyle name="60% - Accent6 2 13 2" xfId="7450" xr:uid="{00000000-0005-0000-0000-00000C390000}"/>
    <cellStyle name="60% - Accent6 2 14" xfId="7451" xr:uid="{00000000-0005-0000-0000-00000D390000}"/>
    <cellStyle name="60% - Accent6 2 14 2" xfId="7452" xr:uid="{00000000-0005-0000-0000-00000E390000}"/>
    <cellStyle name="60% - Accent6 2 15" xfId="7453" xr:uid="{00000000-0005-0000-0000-00000F390000}"/>
    <cellStyle name="60% - Accent6 2 15 2" xfId="7454" xr:uid="{00000000-0005-0000-0000-000010390000}"/>
    <cellStyle name="60% - Accent6 2 16" xfId="7455" xr:uid="{00000000-0005-0000-0000-000011390000}"/>
    <cellStyle name="60% - Accent6 2 16 2" xfId="7456" xr:uid="{00000000-0005-0000-0000-000012390000}"/>
    <cellStyle name="60% - Accent6 2 17" xfId="7457" xr:uid="{00000000-0005-0000-0000-000013390000}"/>
    <cellStyle name="60% - Accent6 2 17 2" xfId="7458" xr:uid="{00000000-0005-0000-0000-000014390000}"/>
    <cellStyle name="60% - Accent6 2 18" xfId="7459" xr:uid="{00000000-0005-0000-0000-000015390000}"/>
    <cellStyle name="60% - Accent6 2 18 2" xfId="7460" xr:uid="{00000000-0005-0000-0000-000016390000}"/>
    <cellStyle name="60% - Accent6 2 19" xfId="7461" xr:uid="{00000000-0005-0000-0000-000017390000}"/>
    <cellStyle name="60% - Accent6 2 19 2" xfId="7462" xr:uid="{00000000-0005-0000-0000-000018390000}"/>
    <cellStyle name="60% - Accent6 2 2" xfId="7463" xr:uid="{00000000-0005-0000-0000-000019390000}"/>
    <cellStyle name="60% - Accent6 2 2 10" xfId="7464" xr:uid="{00000000-0005-0000-0000-00001A390000}"/>
    <cellStyle name="60% - Accent6 2 2 10 2" xfId="7465" xr:uid="{00000000-0005-0000-0000-00001B390000}"/>
    <cellStyle name="60% - Accent6 2 2 11" xfId="7466" xr:uid="{00000000-0005-0000-0000-00001C390000}"/>
    <cellStyle name="60% - Accent6 2 2 11 2" xfId="7467" xr:uid="{00000000-0005-0000-0000-00001D390000}"/>
    <cellStyle name="60% - Accent6 2 2 12" xfId="7468" xr:uid="{00000000-0005-0000-0000-00001E390000}"/>
    <cellStyle name="60% - Accent6 2 2 12 10" xfId="7469" xr:uid="{00000000-0005-0000-0000-00001F390000}"/>
    <cellStyle name="60% - Accent6 2 2 12 10 2" xfId="7470" xr:uid="{00000000-0005-0000-0000-000020390000}"/>
    <cellStyle name="60% - Accent6 2 2 12 11" xfId="7471" xr:uid="{00000000-0005-0000-0000-000021390000}"/>
    <cellStyle name="60% - Accent6 2 2 12 2" xfId="7472" xr:uid="{00000000-0005-0000-0000-000022390000}"/>
    <cellStyle name="60% - Accent6 2 2 12 2 2" xfId="7473" xr:uid="{00000000-0005-0000-0000-000023390000}"/>
    <cellStyle name="60% - Accent6 2 2 12 3" xfId="7474" xr:uid="{00000000-0005-0000-0000-000024390000}"/>
    <cellStyle name="60% - Accent6 2 2 12 3 2" xfId="7475" xr:uid="{00000000-0005-0000-0000-000025390000}"/>
    <cellStyle name="60% - Accent6 2 2 12 4" xfId="7476" xr:uid="{00000000-0005-0000-0000-000026390000}"/>
    <cellStyle name="60% - Accent6 2 2 12 4 2" xfId="7477" xr:uid="{00000000-0005-0000-0000-000027390000}"/>
    <cellStyle name="60% - Accent6 2 2 12 5" xfId="7478" xr:uid="{00000000-0005-0000-0000-000028390000}"/>
    <cellStyle name="60% - Accent6 2 2 12 5 2" xfId="7479" xr:uid="{00000000-0005-0000-0000-000029390000}"/>
    <cellStyle name="60% - Accent6 2 2 12 6" xfId="7480" xr:uid="{00000000-0005-0000-0000-00002A390000}"/>
    <cellStyle name="60% - Accent6 2 2 12 6 2" xfId="7481" xr:uid="{00000000-0005-0000-0000-00002B390000}"/>
    <cellStyle name="60% - Accent6 2 2 12 7" xfId="7482" xr:uid="{00000000-0005-0000-0000-00002C390000}"/>
    <cellStyle name="60% - Accent6 2 2 12 7 2" xfId="7483" xr:uid="{00000000-0005-0000-0000-00002D390000}"/>
    <cellStyle name="60% - Accent6 2 2 12 8" xfId="7484" xr:uid="{00000000-0005-0000-0000-00002E390000}"/>
    <cellStyle name="60% - Accent6 2 2 12 8 2" xfId="7485" xr:uid="{00000000-0005-0000-0000-00002F390000}"/>
    <cellStyle name="60% - Accent6 2 2 12 9" xfId="7486" xr:uid="{00000000-0005-0000-0000-000030390000}"/>
    <cellStyle name="60% - Accent6 2 2 12 9 2" xfId="7487" xr:uid="{00000000-0005-0000-0000-000031390000}"/>
    <cellStyle name="60% - Accent6 2 2 13" xfId="7488" xr:uid="{00000000-0005-0000-0000-000032390000}"/>
    <cellStyle name="60% - Accent6 2 2 13 2" xfId="7489" xr:uid="{00000000-0005-0000-0000-000033390000}"/>
    <cellStyle name="60% - Accent6 2 2 14" xfId="7490" xr:uid="{00000000-0005-0000-0000-000034390000}"/>
    <cellStyle name="60% - Accent6 2 2 14 2" xfId="7491" xr:uid="{00000000-0005-0000-0000-000035390000}"/>
    <cellStyle name="60% - Accent6 2 2 15" xfId="7492" xr:uid="{00000000-0005-0000-0000-000036390000}"/>
    <cellStyle name="60% - Accent6 2 2 15 2" xfId="7493" xr:uid="{00000000-0005-0000-0000-000037390000}"/>
    <cellStyle name="60% - Accent6 2 2 16" xfId="7494" xr:uid="{00000000-0005-0000-0000-000038390000}"/>
    <cellStyle name="60% - Accent6 2 2 16 2" xfId="7495" xr:uid="{00000000-0005-0000-0000-000039390000}"/>
    <cellStyle name="60% - Accent6 2 2 17" xfId="7496" xr:uid="{00000000-0005-0000-0000-00003A390000}"/>
    <cellStyle name="60% - Accent6 2 2 17 2" xfId="7497" xr:uid="{00000000-0005-0000-0000-00003B390000}"/>
    <cellStyle name="60% - Accent6 2 2 18" xfId="7498" xr:uid="{00000000-0005-0000-0000-00003C390000}"/>
    <cellStyle name="60% - Accent6 2 2 18 2" xfId="7499" xr:uid="{00000000-0005-0000-0000-00003D390000}"/>
    <cellStyle name="60% - Accent6 2 2 19" xfId="7500" xr:uid="{00000000-0005-0000-0000-00003E390000}"/>
    <cellStyle name="60% - Accent6 2 2 19 2" xfId="7501" xr:uid="{00000000-0005-0000-0000-00003F390000}"/>
    <cellStyle name="60% - Accent6 2 2 2" xfId="7502" xr:uid="{00000000-0005-0000-0000-000040390000}"/>
    <cellStyle name="60% - Accent6 2 2 2 10" xfId="7503" xr:uid="{00000000-0005-0000-0000-000041390000}"/>
    <cellStyle name="60% - Accent6 2 2 2 10 2" xfId="7504" xr:uid="{00000000-0005-0000-0000-000042390000}"/>
    <cellStyle name="60% - Accent6 2 2 2 11" xfId="7505" xr:uid="{00000000-0005-0000-0000-000043390000}"/>
    <cellStyle name="60% - Accent6 2 2 2 11 2" xfId="7506" xr:uid="{00000000-0005-0000-0000-000044390000}"/>
    <cellStyle name="60% - Accent6 2 2 2 12" xfId="7507" xr:uid="{00000000-0005-0000-0000-000045390000}"/>
    <cellStyle name="60% - Accent6 2 2 2 13" xfId="7508" xr:uid="{00000000-0005-0000-0000-000046390000}"/>
    <cellStyle name="60% - Accent6 2 2 2 2" xfId="7509" xr:uid="{00000000-0005-0000-0000-000047390000}"/>
    <cellStyle name="60% - Accent6 2 2 2 2 10" xfId="7510" xr:uid="{00000000-0005-0000-0000-000048390000}"/>
    <cellStyle name="60% - Accent6 2 2 2 2 10 2" xfId="7511" xr:uid="{00000000-0005-0000-0000-000049390000}"/>
    <cellStyle name="60% - Accent6 2 2 2 2 11" xfId="7512" xr:uid="{00000000-0005-0000-0000-00004A390000}"/>
    <cellStyle name="60% - Accent6 2 2 2 2 12" xfId="7513" xr:uid="{00000000-0005-0000-0000-00004B390000}"/>
    <cellStyle name="60% - Accent6 2 2 2 2 2" xfId="7514" xr:uid="{00000000-0005-0000-0000-00004C390000}"/>
    <cellStyle name="60% - Accent6 2 2 2 2 2 2" xfId="7515" xr:uid="{00000000-0005-0000-0000-00004D390000}"/>
    <cellStyle name="60% - Accent6 2 2 2 2 2 3" xfId="7516" xr:uid="{00000000-0005-0000-0000-00004E390000}"/>
    <cellStyle name="60% - Accent6 2 2 2 2 2 4" xfId="7517" xr:uid="{00000000-0005-0000-0000-00004F390000}"/>
    <cellStyle name="60% - Accent6 2 2 2 2 3" xfId="7518" xr:uid="{00000000-0005-0000-0000-000050390000}"/>
    <cellStyle name="60% - Accent6 2 2 2 2 3 2" xfId="7519" xr:uid="{00000000-0005-0000-0000-000051390000}"/>
    <cellStyle name="60% - Accent6 2 2 2 2 4" xfId="7520" xr:uid="{00000000-0005-0000-0000-000052390000}"/>
    <cellStyle name="60% - Accent6 2 2 2 2 4 2" xfId="7521" xr:uid="{00000000-0005-0000-0000-000053390000}"/>
    <cellStyle name="60% - Accent6 2 2 2 2 5" xfId="7522" xr:uid="{00000000-0005-0000-0000-000054390000}"/>
    <cellStyle name="60% - Accent6 2 2 2 2 5 2" xfId="7523" xr:uid="{00000000-0005-0000-0000-000055390000}"/>
    <cellStyle name="60% - Accent6 2 2 2 2 6" xfId="7524" xr:uid="{00000000-0005-0000-0000-000056390000}"/>
    <cellStyle name="60% - Accent6 2 2 2 2 6 2" xfId="7525" xr:uid="{00000000-0005-0000-0000-000057390000}"/>
    <cellStyle name="60% - Accent6 2 2 2 2 7" xfId="7526" xr:uid="{00000000-0005-0000-0000-000058390000}"/>
    <cellStyle name="60% - Accent6 2 2 2 2 7 2" xfId="7527" xr:uid="{00000000-0005-0000-0000-000059390000}"/>
    <cellStyle name="60% - Accent6 2 2 2 2 8" xfId="7528" xr:uid="{00000000-0005-0000-0000-00005A390000}"/>
    <cellStyle name="60% - Accent6 2 2 2 2 8 2" xfId="7529" xr:uid="{00000000-0005-0000-0000-00005B390000}"/>
    <cellStyle name="60% - Accent6 2 2 2 2 9" xfId="7530" xr:uid="{00000000-0005-0000-0000-00005C390000}"/>
    <cellStyle name="60% - Accent6 2 2 2 2 9 2" xfId="7531" xr:uid="{00000000-0005-0000-0000-00005D390000}"/>
    <cellStyle name="60% - Accent6 2 2 2 3" xfId="7532" xr:uid="{00000000-0005-0000-0000-00005E390000}"/>
    <cellStyle name="60% - Accent6 2 2 2 3 2" xfId="7533" xr:uid="{00000000-0005-0000-0000-00005F390000}"/>
    <cellStyle name="60% - Accent6 2 2 2 4" xfId="7534" xr:uid="{00000000-0005-0000-0000-000060390000}"/>
    <cellStyle name="60% - Accent6 2 2 2 4 2" xfId="7535" xr:uid="{00000000-0005-0000-0000-000061390000}"/>
    <cellStyle name="60% - Accent6 2 2 2 5" xfId="7536" xr:uid="{00000000-0005-0000-0000-000062390000}"/>
    <cellStyle name="60% - Accent6 2 2 2 5 2" xfId="7537" xr:uid="{00000000-0005-0000-0000-000063390000}"/>
    <cellStyle name="60% - Accent6 2 2 2 6" xfId="7538" xr:uid="{00000000-0005-0000-0000-000064390000}"/>
    <cellStyle name="60% - Accent6 2 2 2 6 2" xfId="7539" xr:uid="{00000000-0005-0000-0000-000065390000}"/>
    <cellStyle name="60% - Accent6 2 2 2 7" xfId="7540" xr:uid="{00000000-0005-0000-0000-000066390000}"/>
    <cellStyle name="60% - Accent6 2 2 2 7 2" xfId="7541" xr:uid="{00000000-0005-0000-0000-000067390000}"/>
    <cellStyle name="60% - Accent6 2 2 2 8" xfId="7542" xr:uid="{00000000-0005-0000-0000-000068390000}"/>
    <cellStyle name="60% - Accent6 2 2 2 8 2" xfId="7543" xr:uid="{00000000-0005-0000-0000-000069390000}"/>
    <cellStyle name="60% - Accent6 2 2 2 9" xfId="7544" xr:uid="{00000000-0005-0000-0000-00006A390000}"/>
    <cellStyle name="60% - Accent6 2 2 2 9 2" xfId="7545" xr:uid="{00000000-0005-0000-0000-00006B390000}"/>
    <cellStyle name="60% - Accent6 2 2 20" xfId="7546" xr:uid="{00000000-0005-0000-0000-00006C390000}"/>
    <cellStyle name="60% - Accent6 2 2 20 2" xfId="7547" xr:uid="{00000000-0005-0000-0000-00006D390000}"/>
    <cellStyle name="60% - Accent6 2 2 21" xfId="7548" xr:uid="{00000000-0005-0000-0000-00006E390000}"/>
    <cellStyle name="60% - Accent6 2 2 22" xfId="7549" xr:uid="{00000000-0005-0000-0000-00006F390000}"/>
    <cellStyle name="60% - Accent6 2 2 3" xfId="7550" xr:uid="{00000000-0005-0000-0000-000070390000}"/>
    <cellStyle name="60% - Accent6 2 2 3 2" xfId="7551" xr:uid="{00000000-0005-0000-0000-000071390000}"/>
    <cellStyle name="60% - Accent6 2 2 4" xfId="7552" xr:uid="{00000000-0005-0000-0000-000072390000}"/>
    <cellStyle name="60% - Accent6 2 2 4 2" xfId="7553" xr:uid="{00000000-0005-0000-0000-000073390000}"/>
    <cellStyle name="60% - Accent6 2 2 5" xfId="7554" xr:uid="{00000000-0005-0000-0000-000074390000}"/>
    <cellStyle name="60% - Accent6 2 2 5 2" xfId="7555" xr:uid="{00000000-0005-0000-0000-000075390000}"/>
    <cellStyle name="60% - Accent6 2 2 6" xfId="7556" xr:uid="{00000000-0005-0000-0000-000076390000}"/>
    <cellStyle name="60% - Accent6 2 2 6 2" xfId="7557" xr:uid="{00000000-0005-0000-0000-000077390000}"/>
    <cellStyle name="60% - Accent6 2 2 7" xfId="7558" xr:uid="{00000000-0005-0000-0000-000078390000}"/>
    <cellStyle name="60% - Accent6 2 2 7 2" xfId="7559" xr:uid="{00000000-0005-0000-0000-000079390000}"/>
    <cellStyle name="60% - Accent6 2 2 8" xfId="7560" xr:uid="{00000000-0005-0000-0000-00007A390000}"/>
    <cellStyle name="60% - Accent6 2 2 8 2" xfId="7561" xr:uid="{00000000-0005-0000-0000-00007B390000}"/>
    <cellStyle name="60% - Accent6 2 2 9" xfId="7562" xr:uid="{00000000-0005-0000-0000-00007C390000}"/>
    <cellStyle name="60% - Accent6 2 2 9 2" xfId="7563" xr:uid="{00000000-0005-0000-0000-00007D390000}"/>
    <cellStyle name="60% - Accent6 2 20" xfId="7564" xr:uid="{00000000-0005-0000-0000-00007E390000}"/>
    <cellStyle name="60% - Accent6 2 20 2" xfId="7565" xr:uid="{00000000-0005-0000-0000-00007F390000}"/>
    <cellStyle name="60% - Accent6 2 21" xfId="7566" xr:uid="{00000000-0005-0000-0000-000080390000}"/>
    <cellStyle name="60% - Accent6 2 21 2" xfId="7567" xr:uid="{00000000-0005-0000-0000-000081390000}"/>
    <cellStyle name="60% - Accent6 2 21 3" xfId="7568" xr:uid="{00000000-0005-0000-0000-000082390000}"/>
    <cellStyle name="60% - Accent6 2 22" xfId="7569" xr:uid="{00000000-0005-0000-0000-000083390000}"/>
    <cellStyle name="60% - Accent6 2 23" xfId="7570" xr:uid="{00000000-0005-0000-0000-000084390000}"/>
    <cellStyle name="60% - Accent6 2 24" xfId="7571" xr:uid="{00000000-0005-0000-0000-000085390000}"/>
    <cellStyle name="60% - Accent6 2 25" xfId="7572" xr:uid="{00000000-0005-0000-0000-000086390000}"/>
    <cellStyle name="60% - Accent6 2 3" xfId="7573" xr:uid="{00000000-0005-0000-0000-000087390000}"/>
    <cellStyle name="60% - Accent6 2 3 2" xfId="7574" xr:uid="{00000000-0005-0000-0000-000088390000}"/>
    <cellStyle name="60% - Accent6 2 4" xfId="7575" xr:uid="{00000000-0005-0000-0000-000089390000}"/>
    <cellStyle name="60% - Accent6 2 4 2" xfId="7576" xr:uid="{00000000-0005-0000-0000-00008A390000}"/>
    <cellStyle name="60% - Accent6 2 5" xfId="7577" xr:uid="{00000000-0005-0000-0000-00008B390000}"/>
    <cellStyle name="60% - Accent6 2 5 2" xfId="7578" xr:uid="{00000000-0005-0000-0000-00008C390000}"/>
    <cellStyle name="60% - Accent6 2 6" xfId="7579" xr:uid="{00000000-0005-0000-0000-00008D390000}"/>
    <cellStyle name="60% - Accent6 2 6 2" xfId="7580" xr:uid="{00000000-0005-0000-0000-00008E390000}"/>
    <cellStyle name="60% - Accent6 2 7" xfId="7581" xr:uid="{00000000-0005-0000-0000-00008F390000}"/>
    <cellStyle name="60% - Accent6 2 7 2" xfId="7582" xr:uid="{00000000-0005-0000-0000-000090390000}"/>
    <cellStyle name="60% - Accent6 2 8" xfId="7583" xr:uid="{00000000-0005-0000-0000-000091390000}"/>
    <cellStyle name="60% - Accent6 2 8 2" xfId="7584" xr:uid="{00000000-0005-0000-0000-000092390000}"/>
    <cellStyle name="60% - Accent6 2 9" xfId="7585" xr:uid="{00000000-0005-0000-0000-000093390000}"/>
    <cellStyle name="60% - Accent6 2 9 2" xfId="7586" xr:uid="{00000000-0005-0000-0000-000094390000}"/>
    <cellStyle name="60% - Accent6 3" xfId="7587" xr:uid="{00000000-0005-0000-0000-000095390000}"/>
    <cellStyle name="60% - Accent6 3 2" xfId="7588" xr:uid="{00000000-0005-0000-0000-000096390000}"/>
    <cellStyle name="60% - Accent6 3 2 2" xfId="7589" xr:uid="{00000000-0005-0000-0000-000097390000}"/>
    <cellStyle name="60% - Accent6 3 2 3" xfId="7590" xr:uid="{00000000-0005-0000-0000-000098390000}"/>
    <cellStyle name="60% - Accent6 3 3" xfId="7591" xr:uid="{00000000-0005-0000-0000-000099390000}"/>
    <cellStyle name="60% - Accent6 3 4" xfId="7592" xr:uid="{00000000-0005-0000-0000-00009A390000}"/>
    <cellStyle name="60% - Accent6 3 5" xfId="7593" xr:uid="{00000000-0005-0000-0000-00009B390000}"/>
    <cellStyle name="60% - Accent6 4" xfId="7594" xr:uid="{00000000-0005-0000-0000-00009C390000}"/>
    <cellStyle name="60% - Accent6 4 2" xfId="7595" xr:uid="{00000000-0005-0000-0000-00009D390000}"/>
    <cellStyle name="60% - Accent6 4 2 2" xfId="7596" xr:uid="{00000000-0005-0000-0000-00009E390000}"/>
    <cellStyle name="60% - Accent6 4 2 3" xfId="7597" xr:uid="{00000000-0005-0000-0000-00009F390000}"/>
    <cellStyle name="60% - Accent6 4 3" xfId="7598" xr:uid="{00000000-0005-0000-0000-0000A0390000}"/>
    <cellStyle name="60% - Accent6 4 4" xfId="7599" xr:uid="{00000000-0005-0000-0000-0000A1390000}"/>
    <cellStyle name="60% - Accent6 4 5" xfId="7600" xr:uid="{00000000-0005-0000-0000-0000A2390000}"/>
    <cellStyle name="60% - Accent6 5" xfId="7601" xr:uid="{00000000-0005-0000-0000-0000A3390000}"/>
    <cellStyle name="60% - Accent6 5 2" xfId="7602" xr:uid="{00000000-0005-0000-0000-0000A4390000}"/>
    <cellStyle name="60% - Accent6 5 2 2" xfId="7603" xr:uid="{00000000-0005-0000-0000-0000A5390000}"/>
    <cellStyle name="60% - Accent6 5 2 3" xfId="7604" xr:uid="{00000000-0005-0000-0000-0000A6390000}"/>
    <cellStyle name="60% - Accent6 5 3" xfId="7605" xr:uid="{00000000-0005-0000-0000-0000A7390000}"/>
    <cellStyle name="60% - Accent6 5 4" xfId="7606" xr:uid="{00000000-0005-0000-0000-0000A8390000}"/>
    <cellStyle name="60% - Accent6 5 5" xfId="7607" xr:uid="{00000000-0005-0000-0000-0000A9390000}"/>
    <cellStyle name="60% - Accent6 6" xfId="7608" xr:uid="{00000000-0005-0000-0000-0000AA390000}"/>
    <cellStyle name="60% - Accent6 6 2" xfId="7609" xr:uid="{00000000-0005-0000-0000-0000AB390000}"/>
    <cellStyle name="60% - Accent6 6 3" xfId="7610" xr:uid="{00000000-0005-0000-0000-0000AC390000}"/>
    <cellStyle name="60% - Accent6 7" xfId="7611" xr:uid="{00000000-0005-0000-0000-0000AD390000}"/>
    <cellStyle name="60% - Accent6 8" xfId="7612" xr:uid="{00000000-0005-0000-0000-0000AE390000}"/>
    <cellStyle name="60% - Accent6 9" xfId="7613" xr:uid="{00000000-0005-0000-0000-0000AF390000}"/>
    <cellStyle name="60% - Ênfase1" xfId="7614" xr:uid="{00000000-0005-0000-0000-0000B0390000}"/>
    <cellStyle name="60% - Ênfase2" xfId="7615" xr:uid="{00000000-0005-0000-0000-0000B1390000}"/>
    <cellStyle name="60% - Ênfase3" xfId="7616" xr:uid="{00000000-0005-0000-0000-0000B2390000}"/>
    <cellStyle name="60% - Ênfase4" xfId="7617" xr:uid="{00000000-0005-0000-0000-0000B3390000}"/>
    <cellStyle name="60% - Ênfase5" xfId="7618" xr:uid="{00000000-0005-0000-0000-0000B4390000}"/>
    <cellStyle name="60% - Ênfase6" xfId="7619" xr:uid="{00000000-0005-0000-0000-0000B5390000}"/>
    <cellStyle name="60% - Énfasis1" xfId="7620" xr:uid="{00000000-0005-0000-0000-0000B6390000}"/>
    <cellStyle name="60% - Énfasis2" xfId="7621" xr:uid="{00000000-0005-0000-0000-0000B7390000}"/>
    <cellStyle name="60% - Énfasis3" xfId="7622" xr:uid="{00000000-0005-0000-0000-0000B8390000}"/>
    <cellStyle name="60% - Énfasis4" xfId="7623" xr:uid="{00000000-0005-0000-0000-0000B9390000}"/>
    <cellStyle name="60% - Énfasis5" xfId="7624" xr:uid="{00000000-0005-0000-0000-0000BA390000}"/>
    <cellStyle name="60% - Énfasis6" xfId="7625" xr:uid="{00000000-0005-0000-0000-0000BB390000}"/>
    <cellStyle name="60% - 강조색1" xfId="7626" xr:uid="{00000000-0005-0000-0000-0000BC390000}"/>
    <cellStyle name="60% - 강조색1 2" xfId="7627" xr:uid="{00000000-0005-0000-0000-0000BD390000}"/>
    <cellStyle name="60% - 강조색2" xfId="7628" xr:uid="{00000000-0005-0000-0000-0000BE390000}"/>
    <cellStyle name="60% - 강조색2 2" xfId="7629" xr:uid="{00000000-0005-0000-0000-0000BF390000}"/>
    <cellStyle name="60% - 강조색3" xfId="7630" xr:uid="{00000000-0005-0000-0000-0000C0390000}"/>
    <cellStyle name="60% - 강조색3 2" xfId="7631" xr:uid="{00000000-0005-0000-0000-0000C1390000}"/>
    <cellStyle name="60% - 강조색4" xfId="7632" xr:uid="{00000000-0005-0000-0000-0000C2390000}"/>
    <cellStyle name="60% - 강조색4 2" xfId="7633" xr:uid="{00000000-0005-0000-0000-0000C3390000}"/>
    <cellStyle name="60% - 강조색5" xfId="7634" xr:uid="{00000000-0005-0000-0000-0000C4390000}"/>
    <cellStyle name="60% - 강조색5 2" xfId="7635" xr:uid="{00000000-0005-0000-0000-0000C5390000}"/>
    <cellStyle name="60% - 강조색6" xfId="7636" xr:uid="{00000000-0005-0000-0000-0000C6390000}"/>
    <cellStyle name="60% - 강조색6 2" xfId="7637" xr:uid="{00000000-0005-0000-0000-0000C7390000}"/>
    <cellStyle name="752131" xfId="7638" xr:uid="{00000000-0005-0000-0000-0000C8390000}"/>
    <cellStyle name="A3 297 x 420 mm" xfId="7639" xr:uid="{00000000-0005-0000-0000-0000C9390000}"/>
    <cellStyle name="aa" xfId="16347" xr:uid="{00000000-0005-0000-0000-0000CA390000}"/>
    <cellStyle name="aaaa" xfId="16348" xr:uid="{00000000-0005-0000-0000-0000CB390000}"/>
    <cellStyle name="Accent1 10" xfId="7640" xr:uid="{00000000-0005-0000-0000-0000CC390000}"/>
    <cellStyle name="Accent1 11" xfId="7641" xr:uid="{00000000-0005-0000-0000-0000CD390000}"/>
    <cellStyle name="Accent1 12" xfId="7642" xr:uid="{00000000-0005-0000-0000-0000CE390000}"/>
    <cellStyle name="Accent1 13" xfId="7643" xr:uid="{00000000-0005-0000-0000-0000CF390000}"/>
    <cellStyle name="Accent1 14" xfId="7644" xr:uid="{00000000-0005-0000-0000-0000D0390000}"/>
    <cellStyle name="Accent1 15" xfId="7645" xr:uid="{00000000-0005-0000-0000-0000D1390000}"/>
    <cellStyle name="Accent1 16" xfId="7646" xr:uid="{00000000-0005-0000-0000-0000D2390000}"/>
    <cellStyle name="Accent1 17" xfId="7647" xr:uid="{00000000-0005-0000-0000-0000D3390000}"/>
    <cellStyle name="Accent1 18" xfId="7648" xr:uid="{00000000-0005-0000-0000-0000D4390000}"/>
    <cellStyle name="Accent1 19" xfId="7649" xr:uid="{00000000-0005-0000-0000-0000D5390000}"/>
    <cellStyle name="Accent1 2" xfId="7650" xr:uid="{00000000-0005-0000-0000-0000D6390000}"/>
    <cellStyle name="Accent1 2 10" xfId="7651" xr:uid="{00000000-0005-0000-0000-0000D7390000}"/>
    <cellStyle name="Accent1 2 10 2" xfId="7652" xr:uid="{00000000-0005-0000-0000-0000D8390000}"/>
    <cellStyle name="Accent1 2 11" xfId="7653" xr:uid="{00000000-0005-0000-0000-0000D9390000}"/>
    <cellStyle name="Accent1 2 11 2" xfId="7654" xr:uid="{00000000-0005-0000-0000-0000DA390000}"/>
    <cellStyle name="Accent1 2 12" xfId="7655" xr:uid="{00000000-0005-0000-0000-0000DB390000}"/>
    <cellStyle name="Accent1 2 12 10" xfId="7656" xr:uid="{00000000-0005-0000-0000-0000DC390000}"/>
    <cellStyle name="Accent1 2 12 10 2" xfId="7657" xr:uid="{00000000-0005-0000-0000-0000DD390000}"/>
    <cellStyle name="Accent1 2 12 11" xfId="7658" xr:uid="{00000000-0005-0000-0000-0000DE390000}"/>
    <cellStyle name="Accent1 2 12 2" xfId="7659" xr:uid="{00000000-0005-0000-0000-0000DF390000}"/>
    <cellStyle name="Accent1 2 12 2 2" xfId="7660" xr:uid="{00000000-0005-0000-0000-0000E0390000}"/>
    <cellStyle name="Accent1 2 12 3" xfId="7661" xr:uid="{00000000-0005-0000-0000-0000E1390000}"/>
    <cellStyle name="Accent1 2 12 3 2" xfId="7662" xr:uid="{00000000-0005-0000-0000-0000E2390000}"/>
    <cellStyle name="Accent1 2 12 4" xfId="7663" xr:uid="{00000000-0005-0000-0000-0000E3390000}"/>
    <cellStyle name="Accent1 2 12 4 2" xfId="7664" xr:uid="{00000000-0005-0000-0000-0000E4390000}"/>
    <cellStyle name="Accent1 2 12 5" xfId="7665" xr:uid="{00000000-0005-0000-0000-0000E5390000}"/>
    <cellStyle name="Accent1 2 12 5 2" xfId="7666" xr:uid="{00000000-0005-0000-0000-0000E6390000}"/>
    <cellStyle name="Accent1 2 12 6" xfId="7667" xr:uid="{00000000-0005-0000-0000-0000E7390000}"/>
    <cellStyle name="Accent1 2 12 6 2" xfId="7668" xr:uid="{00000000-0005-0000-0000-0000E8390000}"/>
    <cellStyle name="Accent1 2 12 7" xfId="7669" xr:uid="{00000000-0005-0000-0000-0000E9390000}"/>
    <cellStyle name="Accent1 2 12 7 2" xfId="7670" xr:uid="{00000000-0005-0000-0000-0000EA390000}"/>
    <cellStyle name="Accent1 2 12 8" xfId="7671" xr:uid="{00000000-0005-0000-0000-0000EB390000}"/>
    <cellStyle name="Accent1 2 12 8 2" xfId="7672" xr:uid="{00000000-0005-0000-0000-0000EC390000}"/>
    <cellStyle name="Accent1 2 12 9" xfId="7673" xr:uid="{00000000-0005-0000-0000-0000ED390000}"/>
    <cellStyle name="Accent1 2 12 9 2" xfId="7674" xr:uid="{00000000-0005-0000-0000-0000EE390000}"/>
    <cellStyle name="Accent1 2 13" xfId="7675" xr:uid="{00000000-0005-0000-0000-0000EF390000}"/>
    <cellStyle name="Accent1 2 13 2" xfId="7676" xr:uid="{00000000-0005-0000-0000-0000F0390000}"/>
    <cellStyle name="Accent1 2 14" xfId="7677" xr:uid="{00000000-0005-0000-0000-0000F1390000}"/>
    <cellStyle name="Accent1 2 14 2" xfId="7678" xr:uid="{00000000-0005-0000-0000-0000F2390000}"/>
    <cellStyle name="Accent1 2 15" xfId="7679" xr:uid="{00000000-0005-0000-0000-0000F3390000}"/>
    <cellStyle name="Accent1 2 15 2" xfId="7680" xr:uid="{00000000-0005-0000-0000-0000F4390000}"/>
    <cellStyle name="Accent1 2 16" xfId="7681" xr:uid="{00000000-0005-0000-0000-0000F5390000}"/>
    <cellStyle name="Accent1 2 16 2" xfId="7682" xr:uid="{00000000-0005-0000-0000-0000F6390000}"/>
    <cellStyle name="Accent1 2 17" xfId="7683" xr:uid="{00000000-0005-0000-0000-0000F7390000}"/>
    <cellStyle name="Accent1 2 17 2" xfId="7684" xr:uid="{00000000-0005-0000-0000-0000F8390000}"/>
    <cellStyle name="Accent1 2 18" xfId="7685" xr:uid="{00000000-0005-0000-0000-0000F9390000}"/>
    <cellStyle name="Accent1 2 18 2" xfId="7686" xr:uid="{00000000-0005-0000-0000-0000FA390000}"/>
    <cellStyle name="Accent1 2 19" xfId="7687" xr:uid="{00000000-0005-0000-0000-0000FB390000}"/>
    <cellStyle name="Accent1 2 19 2" xfId="7688" xr:uid="{00000000-0005-0000-0000-0000FC390000}"/>
    <cellStyle name="Accent1 2 2" xfId="7689" xr:uid="{00000000-0005-0000-0000-0000FD390000}"/>
    <cellStyle name="Accent1 2 2 10" xfId="7690" xr:uid="{00000000-0005-0000-0000-0000FE390000}"/>
    <cellStyle name="Accent1 2 2 10 2" xfId="7691" xr:uid="{00000000-0005-0000-0000-0000FF390000}"/>
    <cellStyle name="Accent1 2 2 11" xfId="7692" xr:uid="{00000000-0005-0000-0000-0000003A0000}"/>
    <cellStyle name="Accent1 2 2 11 2" xfId="7693" xr:uid="{00000000-0005-0000-0000-0000013A0000}"/>
    <cellStyle name="Accent1 2 2 12" xfId="7694" xr:uid="{00000000-0005-0000-0000-0000023A0000}"/>
    <cellStyle name="Accent1 2 2 12 10" xfId="7695" xr:uid="{00000000-0005-0000-0000-0000033A0000}"/>
    <cellStyle name="Accent1 2 2 12 10 2" xfId="7696" xr:uid="{00000000-0005-0000-0000-0000043A0000}"/>
    <cellStyle name="Accent1 2 2 12 11" xfId="7697" xr:uid="{00000000-0005-0000-0000-0000053A0000}"/>
    <cellStyle name="Accent1 2 2 12 2" xfId="7698" xr:uid="{00000000-0005-0000-0000-0000063A0000}"/>
    <cellStyle name="Accent1 2 2 12 2 2" xfId="7699" xr:uid="{00000000-0005-0000-0000-0000073A0000}"/>
    <cellStyle name="Accent1 2 2 12 3" xfId="7700" xr:uid="{00000000-0005-0000-0000-0000083A0000}"/>
    <cellStyle name="Accent1 2 2 12 3 2" xfId="7701" xr:uid="{00000000-0005-0000-0000-0000093A0000}"/>
    <cellStyle name="Accent1 2 2 12 4" xfId="7702" xr:uid="{00000000-0005-0000-0000-00000A3A0000}"/>
    <cellStyle name="Accent1 2 2 12 4 2" xfId="7703" xr:uid="{00000000-0005-0000-0000-00000B3A0000}"/>
    <cellStyle name="Accent1 2 2 12 5" xfId="7704" xr:uid="{00000000-0005-0000-0000-00000C3A0000}"/>
    <cellStyle name="Accent1 2 2 12 5 2" xfId="7705" xr:uid="{00000000-0005-0000-0000-00000D3A0000}"/>
    <cellStyle name="Accent1 2 2 12 6" xfId="7706" xr:uid="{00000000-0005-0000-0000-00000E3A0000}"/>
    <cellStyle name="Accent1 2 2 12 6 2" xfId="7707" xr:uid="{00000000-0005-0000-0000-00000F3A0000}"/>
    <cellStyle name="Accent1 2 2 12 7" xfId="7708" xr:uid="{00000000-0005-0000-0000-0000103A0000}"/>
    <cellStyle name="Accent1 2 2 12 7 2" xfId="7709" xr:uid="{00000000-0005-0000-0000-0000113A0000}"/>
    <cellStyle name="Accent1 2 2 12 8" xfId="7710" xr:uid="{00000000-0005-0000-0000-0000123A0000}"/>
    <cellStyle name="Accent1 2 2 12 8 2" xfId="7711" xr:uid="{00000000-0005-0000-0000-0000133A0000}"/>
    <cellStyle name="Accent1 2 2 12 9" xfId="7712" xr:uid="{00000000-0005-0000-0000-0000143A0000}"/>
    <cellStyle name="Accent1 2 2 12 9 2" xfId="7713" xr:uid="{00000000-0005-0000-0000-0000153A0000}"/>
    <cellStyle name="Accent1 2 2 13" xfId="7714" xr:uid="{00000000-0005-0000-0000-0000163A0000}"/>
    <cellStyle name="Accent1 2 2 13 2" xfId="7715" xr:uid="{00000000-0005-0000-0000-0000173A0000}"/>
    <cellStyle name="Accent1 2 2 14" xfId="7716" xr:uid="{00000000-0005-0000-0000-0000183A0000}"/>
    <cellStyle name="Accent1 2 2 14 2" xfId="7717" xr:uid="{00000000-0005-0000-0000-0000193A0000}"/>
    <cellStyle name="Accent1 2 2 15" xfId="7718" xr:uid="{00000000-0005-0000-0000-00001A3A0000}"/>
    <cellStyle name="Accent1 2 2 15 2" xfId="7719" xr:uid="{00000000-0005-0000-0000-00001B3A0000}"/>
    <cellStyle name="Accent1 2 2 16" xfId="7720" xr:uid="{00000000-0005-0000-0000-00001C3A0000}"/>
    <cellStyle name="Accent1 2 2 16 2" xfId="7721" xr:uid="{00000000-0005-0000-0000-00001D3A0000}"/>
    <cellStyle name="Accent1 2 2 17" xfId="7722" xr:uid="{00000000-0005-0000-0000-00001E3A0000}"/>
    <cellStyle name="Accent1 2 2 17 2" xfId="7723" xr:uid="{00000000-0005-0000-0000-00001F3A0000}"/>
    <cellStyle name="Accent1 2 2 18" xfId="7724" xr:uid="{00000000-0005-0000-0000-0000203A0000}"/>
    <cellStyle name="Accent1 2 2 18 2" xfId="7725" xr:uid="{00000000-0005-0000-0000-0000213A0000}"/>
    <cellStyle name="Accent1 2 2 19" xfId="7726" xr:uid="{00000000-0005-0000-0000-0000223A0000}"/>
    <cellStyle name="Accent1 2 2 19 2" xfId="7727" xr:uid="{00000000-0005-0000-0000-0000233A0000}"/>
    <cellStyle name="Accent1 2 2 2" xfId="7728" xr:uid="{00000000-0005-0000-0000-0000243A0000}"/>
    <cellStyle name="Accent1 2 2 2 10" xfId="7729" xr:uid="{00000000-0005-0000-0000-0000253A0000}"/>
    <cellStyle name="Accent1 2 2 2 10 2" xfId="7730" xr:uid="{00000000-0005-0000-0000-0000263A0000}"/>
    <cellStyle name="Accent1 2 2 2 11" xfId="7731" xr:uid="{00000000-0005-0000-0000-0000273A0000}"/>
    <cellStyle name="Accent1 2 2 2 11 2" xfId="7732" xr:uid="{00000000-0005-0000-0000-0000283A0000}"/>
    <cellStyle name="Accent1 2 2 2 12" xfId="7733" xr:uid="{00000000-0005-0000-0000-0000293A0000}"/>
    <cellStyle name="Accent1 2 2 2 13" xfId="7734" xr:uid="{00000000-0005-0000-0000-00002A3A0000}"/>
    <cellStyle name="Accent1 2 2 2 2" xfId="7735" xr:uid="{00000000-0005-0000-0000-00002B3A0000}"/>
    <cellStyle name="Accent1 2 2 2 2 10" xfId="7736" xr:uid="{00000000-0005-0000-0000-00002C3A0000}"/>
    <cellStyle name="Accent1 2 2 2 2 10 2" xfId="7737" xr:uid="{00000000-0005-0000-0000-00002D3A0000}"/>
    <cellStyle name="Accent1 2 2 2 2 11" xfId="7738" xr:uid="{00000000-0005-0000-0000-00002E3A0000}"/>
    <cellStyle name="Accent1 2 2 2 2 12" xfId="7739" xr:uid="{00000000-0005-0000-0000-00002F3A0000}"/>
    <cellStyle name="Accent1 2 2 2 2 2" xfId="7740" xr:uid="{00000000-0005-0000-0000-0000303A0000}"/>
    <cellStyle name="Accent1 2 2 2 2 2 2" xfId="7741" xr:uid="{00000000-0005-0000-0000-0000313A0000}"/>
    <cellStyle name="Accent1 2 2 2 2 2 3" xfId="7742" xr:uid="{00000000-0005-0000-0000-0000323A0000}"/>
    <cellStyle name="Accent1 2 2 2 2 2 4" xfId="7743" xr:uid="{00000000-0005-0000-0000-0000333A0000}"/>
    <cellStyle name="Accent1 2 2 2 2 3" xfId="7744" xr:uid="{00000000-0005-0000-0000-0000343A0000}"/>
    <cellStyle name="Accent1 2 2 2 2 3 2" xfId="7745" xr:uid="{00000000-0005-0000-0000-0000353A0000}"/>
    <cellStyle name="Accent1 2 2 2 2 4" xfId="7746" xr:uid="{00000000-0005-0000-0000-0000363A0000}"/>
    <cellStyle name="Accent1 2 2 2 2 4 2" xfId="7747" xr:uid="{00000000-0005-0000-0000-0000373A0000}"/>
    <cellStyle name="Accent1 2 2 2 2 5" xfId="7748" xr:uid="{00000000-0005-0000-0000-0000383A0000}"/>
    <cellStyle name="Accent1 2 2 2 2 5 2" xfId="7749" xr:uid="{00000000-0005-0000-0000-0000393A0000}"/>
    <cellStyle name="Accent1 2 2 2 2 6" xfId="7750" xr:uid="{00000000-0005-0000-0000-00003A3A0000}"/>
    <cellStyle name="Accent1 2 2 2 2 6 2" xfId="7751" xr:uid="{00000000-0005-0000-0000-00003B3A0000}"/>
    <cellStyle name="Accent1 2 2 2 2 7" xfId="7752" xr:uid="{00000000-0005-0000-0000-00003C3A0000}"/>
    <cellStyle name="Accent1 2 2 2 2 7 2" xfId="7753" xr:uid="{00000000-0005-0000-0000-00003D3A0000}"/>
    <cellStyle name="Accent1 2 2 2 2 8" xfId="7754" xr:uid="{00000000-0005-0000-0000-00003E3A0000}"/>
    <cellStyle name="Accent1 2 2 2 2 8 2" xfId="7755" xr:uid="{00000000-0005-0000-0000-00003F3A0000}"/>
    <cellStyle name="Accent1 2 2 2 2 9" xfId="7756" xr:uid="{00000000-0005-0000-0000-0000403A0000}"/>
    <cellStyle name="Accent1 2 2 2 2 9 2" xfId="7757" xr:uid="{00000000-0005-0000-0000-0000413A0000}"/>
    <cellStyle name="Accent1 2 2 2 3" xfId="7758" xr:uid="{00000000-0005-0000-0000-0000423A0000}"/>
    <cellStyle name="Accent1 2 2 2 3 2" xfId="7759" xr:uid="{00000000-0005-0000-0000-0000433A0000}"/>
    <cellStyle name="Accent1 2 2 2 4" xfId="7760" xr:uid="{00000000-0005-0000-0000-0000443A0000}"/>
    <cellStyle name="Accent1 2 2 2 4 2" xfId="7761" xr:uid="{00000000-0005-0000-0000-0000453A0000}"/>
    <cellStyle name="Accent1 2 2 2 5" xfId="7762" xr:uid="{00000000-0005-0000-0000-0000463A0000}"/>
    <cellStyle name="Accent1 2 2 2 5 2" xfId="7763" xr:uid="{00000000-0005-0000-0000-0000473A0000}"/>
    <cellStyle name="Accent1 2 2 2 6" xfId="7764" xr:uid="{00000000-0005-0000-0000-0000483A0000}"/>
    <cellStyle name="Accent1 2 2 2 6 2" xfId="7765" xr:uid="{00000000-0005-0000-0000-0000493A0000}"/>
    <cellStyle name="Accent1 2 2 2 7" xfId="7766" xr:uid="{00000000-0005-0000-0000-00004A3A0000}"/>
    <cellStyle name="Accent1 2 2 2 7 2" xfId="7767" xr:uid="{00000000-0005-0000-0000-00004B3A0000}"/>
    <cellStyle name="Accent1 2 2 2 8" xfId="7768" xr:uid="{00000000-0005-0000-0000-00004C3A0000}"/>
    <cellStyle name="Accent1 2 2 2 8 2" xfId="7769" xr:uid="{00000000-0005-0000-0000-00004D3A0000}"/>
    <cellStyle name="Accent1 2 2 2 9" xfId="7770" xr:uid="{00000000-0005-0000-0000-00004E3A0000}"/>
    <cellStyle name="Accent1 2 2 2 9 2" xfId="7771" xr:uid="{00000000-0005-0000-0000-00004F3A0000}"/>
    <cellStyle name="Accent1 2 2 20" xfId="7772" xr:uid="{00000000-0005-0000-0000-0000503A0000}"/>
    <cellStyle name="Accent1 2 2 20 2" xfId="7773" xr:uid="{00000000-0005-0000-0000-0000513A0000}"/>
    <cellStyle name="Accent1 2 2 21" xfId="7774" xr:uid="{00000000-0005-0000-0000-0000523A0000}"/>
    <cellStyle name="Accent1 2 2 22" xfId="7775" xr:uid="{00000000-0005-0000-0000-0000533A0000}"/>
    <cellStyle name="Accent1 2 2 3" xfId="7776" xr:uid="{00000000-0005-0000-0000-0000543A0000}"/>
    <cellStyle name="Accent1 2 2 3 2" xfId="7777" xr:uid="{00000000-0005-0000-0000-0000553A0000}"/>
    <cellStyle name="Accent1 2 2 4" xfId="7778" xr:uid="{00000000-0005-0000-0000-0000563A0000}"/>
    <cellStyle name="Accent1 2 2 4 2" xfId="7779" xr:uid="{00000000-0005-0000-0000-0000573A0000}"/>
    <cellStyle name="Accent1 2 2 5" xfId="7780" xr:uid="{00000000-0005-0000-0000-0000583A0000}"/>
    <cellStyle name="Accent1 2 2 5 2" xfId="7781" xr:uid="{00000000-0005-0000-0000-0000593A0000}"/>
    <cellStyle name="Accent1 2 2 6" xfId="7782" xr:uid="{00000000-0005-0000-0000-00005A3A0000}"/>
    <cellStyle name="Accent1 2 2 6 2" xfId="7783" xr:uid="{00000000-0005-0000-0000-00005B3A0000}"/>
    <cellStyle name="Accent1 2 2 7" xfId="7784" xr:uid="{00000000-0005-0000-0000-00005C3A0000}"/>
    <cellStyle name="Accent1 2 2 7 2" xfId="7785" xr:uid="{00000000-0005-0000-0000-00005D3A0000}"/>
    <cellStyle name="Accent1 2 2 8" xfId="7786" xr:uid="{00000000-0005-0000-0000-00005E3A0000}"/>
    <cellStyle name="Accent1 2 2 8 2" xfId="7787" xr:uid="{00000000-0005-0000-0000-00005F3A0000}"/>
    <cellStyle name="Accent1 2 2 9" xfId="7788" xr:uid="{00000000-0005-0000-0000-0000603A0000}"/>
    <cellStyle name="Accent1 2 2 9 2" xfId="7789" xr:uid="{00000000-0005-0000-0000-0000613A0000}"/>
    <cellStyle name="Accent1 2 20" xfId="7790" xr:uid="{00000000-0005-0000-0000-0000623A0000}"/>
    <cellStyle name="Accent1 2 20 2" xfId="7791" xr:uid="{00000000-0005-0000-0000-0000633A0000}"/>
    <cellStyle name="Accent1 2 21" xfId="7792" xr:uid="{00000000-0005-0000-0000-0000643A0000}"/>
    <cellStyle name="Accent1 2 21 2" xfId="7793" xr:uid="{00000000-0005-0000-0000-0000653A0000}"/>
    <cellStyle name="Accent1 2 21 3" xfId="7794" xr:uid="{00000000-0005-0000-0000-0000663A0000}"/>
    <cellStyle name="Accent1 2 22" xfId="7795" xr:uid="{00000000-0005-0000-0000-0000673A0000}"/>
    <cellStyle name="Accent1 2 23" xfId="7796" xr:uid="{00000000-0005-0000-0000-0000683A0000}"/>
    <cellStyle name="Accent1 2 24" xfId="7797" xr:uid="{00000000-0005-0000-0000-0000693A0000}"/>
    <cellStyle name="Accent1 2 25" xfId="7798" xr:uid="{00000000-0005-0000-0000-00006A3A0000}"/>
    <cellStyle name="Accent1 2 3" xfId="7799" xr:uid="{00000000-0005-0000-0000-00006B3A0000}"/>
    <cellStyle name="Accent1 2 3 2" xfId="7800" xr:uid="{00000000-0005-0000-0000-00006C3A0000}"/>
    <cellStyle name="Accent1 2 4" xfId="7801" xr:uid="{00000000-0005-0000-0000-00006D3A0000}"/>
    <cellStyle name="Accent1 2 4 2" xfId="7802" xr:uid="{00000000-0005-0000-0000-00006E3A0000}"/>
    <cellStyle name="Accent1 2 5" xfId="7803" xr:uid="{00000000-0005-0000-0000-00006F3A0000}"/>
    <cellStyle name="Accent1 2 5 2" xfId="7804" xr:uid="{00000000-0005-0000-0000-0000703A0000}"/>
    <cellStyle name="Accent1 2 6" xfId="7805" xr:uid="{00000000-0005-0000-0000-0000713A0000}"/>
    <cellStyle name="Accent1 2 6 2" xfId="7806" xr:uid="{00000000-0005-0000-0000-0000723A0000}"/>
    <cellStyle name="Accent1 2 7" xfId="7807" xr:uid="{00000000-0005-0000-0000-0000733A0000}"/>
    <cellStyle name="Accent1 2 7 2" xfId="7808" xr:uid="{00000000-0005-0000-0000-0000743A0000}"/>
    <cellStyle name="Accent1 2 8" xfId="7809" xr:uid="{00000000-0005-0000-0000-0000753A0000}"/>
    <cellStyle name="Accent1 2 8 2" xfId="7810" xr:uid="{00000000-0005-0000-0000-0000763A0000}"/>
    <cellStyle name="Accent1 2 9" xfId="7811" xr:uid="{00000000-0005-0000-0000-0000773A0000}"/>
    <cellStyle name="Accent1 2 9 2" xfId="7812" xr:uid="{00000000-0005-0000-0000-0000783A0000}"/>
    <cellStyle name="Accent1 3" xfId="7813" xr:uid="{00000000-0005-0000-0000-0000793A0000}"/>
    <cellStyle name="Accent1 3 2" xfId="7814" xr:uid="{00000000-0005-0000-0000-00007A3A0000}"/>
    <cellStyle name="Accent1 3 2 2" xfId="7815" xr:uid="{00000000-0005-0000-0000-00007B3A0000}"/>
    <cellStyle name="Accent1 3 2 3" xfId="7816" xr:uid="{00000000-0005-0000-0000-00007C3A0000}"/>
    <cellStyle name="Accent1 3 3" xfId="7817" xr:uid="{00000000-0005-0000-0000-00007D3A0000}"/>
    <cellStyle name="Accent1 3 4" xfId="7818" xr:uid="{00000000-0005-0000-0000-00007E3A0000}"/>
    <cellStyle name="Accent1 3 5" xfId="7819" xr:uid="{00000000-0005-0000-0000-00007F3A0000}"/>
    <cellStyle name="Accent1 4" xfId="7820" xr:uid="{00000000-0005-0000-0000-0000803A0000}"/>
    <cellStyle name="Accent1 4 2" xfId="7821" xr:uid="{00000000-0005-0000-0000-0000813A0000}"/>
    <cellStyle name="Accent1 4 2 2" xfId="7822" xr:uid="{00000000-0005-0000-0000-0000823A0000}"/>
    <cellStyle name="Accent1 4 2 3" xfId="7823" xr:uid="{00000000-0005-0000-0000-0000833A0000}"/>
    <cellStyle name="Accent1 4 3" xfId="7824" xr:uid="{00000000-0005-0000-0000-0000843A0000}"/>
    <cellStyle name="Accent1 4 4" xfId="7825" xr:uid="{00000000-0005-0000-0000-0000853A0000}"/>
    <cellStyle name="Accent1 4 5" xfId="7826" xr:uid="{00000000-0005-0000-0000-0000863A0000}"/>
    <cellStyle name="Accent1 5" xfId="7827" xr:uid="{00000000-0005-0000-0000-0000873A0000}"/>
    <cellStyle name="Accent1 5 2" xfId="7828" xr:uid="{00000000-0005-0000-0000-0000883A0000}"/>
    <cellStyle name="Accent1 5 2 2" xfId="7829" xr:uid="{00000000-0005-0000-0000-0000893A0000}"/>
    <cellStyle name="Accent1 5 2 3" xfId="7830" xr:uid="{00000000-0005-0000-0000-00008A3A0000}"/>
    <cellStyle name="Accent1 5 3" xfId="7831" xr:uid="{00000000-0005-0000-0000-00008B3A0000}"/>
    <cellStyle name="Accent1 5 4" xfId="7832" xr:uid="{00000000-0005-0000-0000-00008C3A0000}"/>
    <cellStyle name="Accent1 5 5" xfId="7833" xr:uid="{00000000-0005-0000-0000-00008D3A0000}"/>
    <cellStyle name="Accent1 6" xfId="7834" xr:uid="{00000000-0005-0000-0000-00008E3A0000}"/>
    <cellStyle name="Accent1 6 2" xfId="7835" xr:uid="{00000000-0005-0000-0000-00008F3A0000}"/>
    <cellStyle name="Accent1 6 3" xfId="7836" xr:uid="{00000000-0005-0000-0000-0000903A0000}"/>
    <cellStyle name="Accent1 7" xfId="7837" xr:uid="{00000000-0005-0000-0000-0000913A0000}"/>
    <cellStyle name="Accent1 8" xfId="7838" xr:uid="{00000000-0005-0000-0000-0000923A0000}"/>
    <cellStyle name="Accent1 9" xfId="7839" xr:uid="{00000000-0005-0000-0000-0000933A0000}"/>
    <cellStyle name="Accent2 10" xfId="7840" xr:uid="{00000000-0005-0000-0000-0000943A0000}"/>
    <cellStyle name="Accent2 11" xfId="7841" xr:uid="{00000000-0005-0000-0000-0000953A0000}"/>
    <cellStyle name="Accent2 12" xfId="7842" xr:uid="{00000000-0005-0000-0000-0000963A0000}"/>
    <cellStyle name="Accent2 13" xfId="7843" xr:uid="{00000000-0005-0000-0000-0000973A0000}"/>
    <cellStyle name="Accent2 14" xfId="7844" xr:uid="{00000000-0005-0000-0000-0000983A0000}"/>
    <cellStyle name="Accent2 15" xfId="7845" xr:uid="{00000000-0005-0000-0000-0000993A0000}"/>
    <cellStyle name="Accent2 16" xfId="7846" xr:uid="{00000000-0005-0000-0000-00009A3A0000}"/>
    <cellStyle name="Accent2 17" xfId="7847" xr:uid="{00000000-0005-0000-0000-00009B3A0000}"/>
    <cellStyle name="Accent2 18" xfId="7848" xr:uid="{00000000-0005-0000-0000-00009C3A0000}"/>
    <cellStyle name="Accent2 19" xfId="7849" xr:uid="{00000000-0005-0000-0000-00009D3A0000}"/>
    <cellStyle name="Accent2 2" xfId="7850" xr:uid="{00000000-0005-0000-0000-00009E3A0000}"/>
    <cellStyle name="Accent2 2 2" xfId="7851" xr:uid="{00000000-0005-0000-0000-00009F3A0000}"/>
    <cellStyle name="Accent2 2 2 2" xfId="7852" xr:uid="{00000000-0005-0000-0000-0000A03A0000}"/>
    <cellStyle name="Accent2 2 3" xfId="7853" xr:uid="{00000000-0005-0000-0000-0000A13A0000}"/>
    <cellStyle name="Accent2 2 3 2" xfId="7854" xr:uid="{00000000-0005-0000-0000-0000A23A0000}"/>
    <cellStyle name="Accent2 2 4" xfId="7855" xr:uid="{00000000-0005-0000-0000-0000A33A0000}"/>
    <cellStyle name="Accent2 2 4 2" xfId="7856" xr:uid="{00000000-0005-0000-0000-0000A43A0000}"/>
    <cellStyle name="Accent2 2 4 3" xfId="7857" xr:uid="{00000000-0005-0000-0000-0000A53A0000}"/>
    <cellStyle name="Accent2 2 5" xfId="7858" xr:uid="{00000000-0005-0000-0000-0000A63A0000}"/>
    <cellStyle name="Accent2 2 6" xfId="7859" xr:uid="{00000000-0005-0000-0000-0000A73A0000}"/>
    <cellStyle name="Accent2 2 7" xfId="7860" xr:uid="{00000000-0005-0000-0000-0000A83A0000}"/>
    <cellStyle name="Accent2 2 8" xfId="7861" xr:uid="{00000000-0005-0000-0000-0000A93A0000}"/>
    <cellStyle name="Accent2 3" xfId="7862" xr:uid="{00000000-0005-0000-0000-0000AA3A0000}"/>
    <cellStyle name="Accent2 3 2" xfId="7863" xr:uid="{00000000-0005-0000-0000-0000AB3A0000}"/>
    <cellStyle name="Accent2 3 2 2" xfId="7864" xr:uid="{00000000-0005-0000-0000-0000AC3A0000}"/>
    <cellStyle name="Accent2 3 2 3" xfId="7865" xr:uid="{00000000-0005-0000-0000-0000AD3A0000}"/>
    <cellStyle name="Accent2 3 3" xfId="7866" xr:uid="{00000000-0005-0000-0000-0000AE3A0000}"/>
    <cellStyle name="Accent2 3 4" xfId="7867" xr:uid="{00000000-0005-0000-0000-0000AF3A0000}"/>
    <cellStyle name="Accent2 3 5" xfId="7868" xr:uid="{00000000-0005-0000-0000-0000B03A0000}"/>
    <cellStyle name="Accent2 4" xfId="7869" xr:uid="{00000000-0005-0000-0000-0000B13A0000}"/>
    <cellStyle name="Accent2 4 2" xfId="7870" xr:uid="{00000000-0005-0000-0000-0000B23A0000}"/>
    <cellStyle name="Accent2 4 2 2" xfId="7871" xr:uid="{00000000-0005-0000-0000-0000B33A0000}"/>
    <cellStyle name="Accent2 4 2 3" xfId="7872" xr:uid="{00000000-0005-0000-0000-0000B43A0000}"/>
    <cellStyle name="Accent2 4 3" xfId="7873" xr:uid="{00000000-0005-0000-0000-0000B53A0000}"/>
    <cellStyle name="Accent2 4 4" xfId="7874" xr:uid="{00000000-0005-0000-0000-0000B63A0000}"/>
    <cellStyle name="Accent2 4 5" xfId="7875" xr:uid="{00000000-0005-0000-0000-0000B73A0000}"/>
    <cellStyle name="Accent2 5" xfId="7876" xr:uid="{00000000-0005-0000-0000-0000B83A0000}"/>
    <cellStyle name="Accent2 5 2" xfId="7877" xr:uid="{00000000-0005-0000-0000-0000B93A0000}"/>
    <cellStyle name="Accent2 5 2 2" xfId="7878" xr:uid="{00000000-0005-0000-0000-0000BA3A0000}"/>
    <cellStyle name="Accent2 5 2 3" xfId="7879" xr:uid="{00000000-0005-0000-0000-0000BB3A0000}"/>
    <cellStyle name="Accent2 5 3" xfId="7880" xr:uid="{00000000-0005-0000-0000-0000BC3A0000}"/>
    <cellStyle name="Accent2 5 4" xfId="7881" xr:uid="{00000000-0005-0000-0000-0000BD3A0000}"/>
    <cellStyle name="Accent2 5 5" xfId="7882" xr:uid="{00000000-0005-0000-0000-0000BE3A0000}"/>
    <cellStyle name="Accent2 6" xfId="7883" xr:uid="{00000000-0005-0000-0000-0000BF3A0000}"/>
    <cellStyle name="Accent2 6 2" xfId="7884" xr:uid="{00000000-0005-0000-0000-0000C03A0000}"/>
    <cellStyle name="Accent2 6 3" xfId="7885" xr:uid="{00000000-0005-0000-0000-0000C13A0000}"/>
    <cellStyle name="Accent2 7" xfId="7886" xr:uid="{00000000-0005-0000-0000-0000C23A0000}"/>
    <cellStyle name="Accent2 8" xfId="7887" xr:uid="{00000000-0005-0000-0000-0000C33A0000}"/>
    <cellStyle name="Accent2 9" xfId="7888" xr:uid="{00000000-0005-0000-0000-0000C43A0000}"/>
    <cellStyle name="Accent3 10" xfId="7889" xr:uid="{00000000-0005-0000-0000-0000C53A0000}"/>
    <cellStyle name="Accent3 11" xfId="7890" xr:uid="{00000000-0005-0000-0000-0000C63A0000}"/>
    <cellStyle name="Accent3 12" xfId="7891" xr:uid="{00000000-0005-0000-0000-0000C73A0000}"/>
    <cellStyle name="Accent3 13" xfId="7892" xr:uid="{00000000-0005-0000-0000-0000C83A0000}"/>
    <cellStyle name="Accent3 14" xfId="7893" xr:uid="{00000000-0005-0000-0000-0000C93A0000}"/>
    <cellStyle name="Accent3 15" xfId="7894" xr:uid="{00000000-0005-0000-0000-0000CA3A0000}"/>
    <cellStyle name="Accent3 16" xfId="7895" xr:uid="{00000000-0005-0000-0000-0000CB3A0000}"/>
    <cellStyle name="Accent3 17" xfId="7896" xr:uid="{00000000-0005-0000-0000-0000CC3A0000}"/>
    <cellStyle name="Accent3 18" xfId="7897" xr:uid="{00000000-0005-0000-0000-0000CD3A0000}"/>
    <cellStyle name="Accent3 19" xfId="7898" xr:uid="{00000000-0005-0000-0000-0000CE3A0000}"/>
    <cellStyle name="Accent3 2" xfId="7899" xr:uid="{00000000-0005-0000-0000-0000CF3A0000}"/>
    <cellStyle name="Accent3 2 2" xfId="7900" xr:uid="{00000000-0005-0000-0000-0000D03A0000}"/>
    <cellStyle name="Accent3 2 2 2" xfId="7901" xr:uid="{00000000-0005-0000-0000-0000D13A0000}"/>
    <cellStyle name="Accent3 2 3" xfId="7902" xr:uid="{00000000-0005-0000-0000-0000D23A0000}"/>
    <cellStyle name="Accent3 2 3 2" xfId="7903" xr:uid="{00000000-0005-0000-0000-0000D33A0000}"/>
    <cellStyle name="Accent3 2 4" xfId="7904" xr:uid="{00000000-0005-0000-0000-0000D43A0000}"/>
    <cellStyle name="Accent3 2 4 2" xfId="7905" xr:uid="{00000000-0005-0000-0000-0000D53A0000}"/>
    <cellStyle name="Accent3 2 4 3" xfId="7906" xr:uid="{00000000-0005-0000-0000-0000D63A0000}"/>
    <cellStyle name="Accent3 2 5" xfId="7907" xr:uid="{00000000-0005-0000-0000-0000D73A0000}"/>
    <cellStyle name="Accent3 2 6" xfId="7908" xr:uid="{00000000-0005-0000-0000-0000D83A0000}"/>
    <cellStyle name="Accent3 2 7" xfId="7909" xr:uid="{00000000-0005-0000-0000-0000D93A0000}"/>
    <cellStyle name="Accent3 2 8" xfId="7910" xr:uid="{00000000-0005-0000-0000-0000DA3A0000}"/>
    <cellStyle name="Accent3 3" xfId="7911" xr:uid="{00000000-0005-0000-0000-0000DB3A0000}"/>
    <cellStyle name="Accent3 3 2" xfId="7912" xr:uid="{00000000-0005-0000-0000-0000DC3A0000}"/>
    <cellStyle name="Accent3 3 2 2" xfId="7913" xr:uid="{00000000-0005-0000-0000-0000DD3A0000}"/>
    <cellStyle name="Accent3 3 2 3" xfId="7914" xr:uid="{00000000-0005-0000-0000-0000DE3A0000}"/>
    <cellStyle name="Accent3 3 3" xfId="7915" xr:uid="{00000000-0005-0000-0000-0000DF3A0000}"/>
    <cellStyle name="Accent3 3 4" xfId="7916" xr:uid="{00000000-0005-0000-0000-0000E03A0000}"/>
    <cellStyle name="Accent3 3 5" xfId="7917" xr:uid="{00000000-0005-0000-0000-0000E13A0000}"/>
    <cellStyle name="Accent3 4" xfId="7918" xr:uid="{00000000-0005-0000-0000-0000E23A0000}"/>
    <cellStyle name="Accent3 4 2" xfId="7919" xr:uid="{00000000-0005-0000-0000-0000E33A0000}"/>
    <cellStyle name="Accent3 4 2 2" xfId="7920" xr:uid="{00000000-0005-0000-0000-0000E43A0000}"/>
    <cellStyle name="Accent3 4 2 3" xfId="7921" xr:uid="{00000000-0005-0000-0000-0000E53A0000}"/>
    <cellStyle name="Accent3 4 3" xfId="7922" xr:uid="{00000000-0005-0000-0000-0000E63A0000}"/>
    <cellStyle name="Accent3 4 4" xfId="7923" xr:uid="{00000000-0005-0000-0000-0000E73A0000}"/>
    <cellStyle name="Accent3 4 5" xfId="7924" xr:uid="{00000000-0005-0000-0000-0000E83A0000}"/>
    <cellStyle name="Accent3 5" xfId="7925" xr:uid="{00000000-0005-0000-0000-0000E93A0000}"/>
    <cellStyle name="Accent3 5 2" xfId="7926" xr:uid="{00000000-0005-0000-0000-0000EA3A0000}"/>
    <cellStyle name="Accent3 5 2 2" xfId="7927" xr:uid="{00000000-0005-0000-0000-0000EB3A0000}"/>
    <cellStyle name="Accent3 5 2 3" xfId="7928" xr:uid="{00000000-0005-0000-0000-0000EC3A0000}"/>
    <cellStyle name="Accent3 5 3" xfId="7929" xr:uid="{00000000-0005-0000-0000-0000ED3A0000}"/>
    <cellStyle name="Accent3 5 4" xfId="7930" xr:uid="{00000000-0005-0000-0000-0000EE3A0000}"/>
    <cellStyle name="Accent3 5 5" xfId="7931" xr:uid="{00000000-0005-0000-0000-0000EF3A0000}"/>
    <cellStyle name="Accent3 6" xfId="7932" xr:uid="{00000000-0005-0000-0000-0000F03A0000}"/>
    <cellStyle name="Accent3 6 2" xfId="7933" xr:uid="{00000000-0005-0000-0000-0000F13A0000}"/>
    <cellStyle name="Accent3 6 3" xfId="7934" xr:uid="{00000000-0005-0000-0000-0000F23A0000}"/>
    <cellStyle name="Accent3 7" xfId="7935" xr:uid="{00000000-0005-0000-0000-0000F33A0000}"/>
    <cellStyle name="Accent3 8" xfId="7936" xr:uid="{00000000-0005-0000-0000-0000F43A0000}"/>
    <cellStyle name="Accent3 9" xfId="7937" xr:uid="{00000000-0005-0000-0000-0000F53A0000}"/>
    <cellStyle name="Accent4 10" xfId="7938" xr:uid="{00000000-0005-0000-0000-0000F63A0000}"/>
    <cellStyle name="Accent4 11" xfId="7939" xr:uid="{00000000-0005-0000-0000-0000F73A0000}"/>
    <cellStyle name="Accent4 12" xfId="7940" xr:uid="{00000000-0005-0000-0000-0000F83A0000}"/>
    <cellStyle name="Accent4 13" xfId="7941" xr:uid="{00000000-0005-0000-0000-0000F93A0000}"/>
    <cellStyle name="Accent4 14" xfId="7942" xr:uid="{00000000-0005-0000-0000-0000FA3A0000}"/>
    <cellStyle name="Accent4 15" xfId="7943" xr:uid="{00000000-0005-0000-0000-0000FB3A0000}"/>
    <cellStyle name="Accent4 16" xfId="7944" xr:uid="{00000000-0005-0000-0000-0000FC3A0000}"/>
    <cellStyle name="Accent4 17" xfId="7945" xr:uid="{00000000-0005-0000-0000-0000FD3A0000}"/>
    <cellStyle name="Accent4 18" xfId="7946" xr:uid="{00000000-0005-0000-0000-0000FE3A0000}"/>
    <cellStyle name="Accent4 19" xfId="7947" xr:uid="{00000000-0005-0000-0000-0000FF3A0000}"/>
    <cellStyle name="Accent4 2" xfId="7948" xr:uid="{00000000-0005-0000-0000-0000003B0000}"/>
    <cellStyle name="Accent4 2 2" xfId="7949" xr:uid="{00000000-0005-0000-0000-0000013B0000}"/>
    <cellStyle name="Accent4 2 2 2" xfId="7950" xr:uid="{00000000-0005-0000-0000-0000023B0000}"/>
    <cellStyle name="Accent4 2 3" xfId="7951" xr:uid="{00000000-0005-0000-0000-0000033B0000}"/>
    <cellStyle name="Accent4 2 3 2" xfId="7952" xr:uid="{00000000-0005-0000-0000-0000043B0000}"/>
    <cellStyle name="Accent4 2 4" xfId="7953" xr:uid="{00000000-0005-0000-0000-0000053B0000}"/>
    <cellStyle name="Accent4 2 4 2" xfId="7954" xr:uid="{00000000-0005-0000-0000-0000063B0000}"/>
    <cellStyle name="Accent4 2 4 3" xfId="7955" xr:uid="{00000000-0005-0000-0000-0000073B0000}"/>
    <cellStyle name="Accent4 2 5" xfId="7956" xr:uid="{00000000-0005-0000-0000-0000083B0000}"/>
    <cellStyle name="Accent4 2 6" xfId="7957" xr:uid="{00000000-0005-0000-0000-0000093B0000}"/>
    <cellStyle name="Accent4 2 7" xfId="7958" xr:uid="{00000000-0005-0000-0000-00000A3B0000}"/>
    <cellStyle name="Accent4 2 8" xfId="7959" xr:uid="{00000000-0005-0000-0000-00000B3B0000}"/>
    <cellStyle name="Accent4 3" xfId="7960" xr:uid="{00000000-0005-0000-0000-00000C3B0000}"/>
    <cellStyle name="Accent4 3 2" xfId="7961" xr:uid="{00000000-0005-0000-0000-00000D3B0000}"/>
    <cellStyle name="Accent4 3 2 2" xfId="7962" xr:uid="{00000000-0005-0000-0000-00000E3B0000}"/>
    <cellStyle name="Accent4 3 2 3" xfId="7963" xr:uid="{00000000-0005-0000-0000-00000F3B0000}"/>
    <cellStyle name="Accent4 3 3" xfId="7964" xr:uid="{00000000-0005-0000-0000-0000103B0000}"/>
    <cellStyle name="Accent4 3 4" xfId="7965" xr:uid="{00000000-0005-0000-0000-0000113B0000}"/>
    <cellStyle name="Accent4 3 5" xfId="7966" xr:uid="{00000000-0005-0000-0000-0000123B0000}"/>
    <cellStyle name="Accent4 4" xfId="7967" xr:uid="{00000000-0005-0000-0000-0000133B0000}"/>
    <cellStyle name="Accent4 4 2" xfId="7968" xr:uid="{00000000-0005-0000-0000-0000143B0000}"/>
    <cellStyle name="Accent4 4 2 2" xfId="7969" xr:uid="{00000000-0005-0000-0000-0000153B0000}"/>
    <cellStyle name="Accent4 4 2 3" xfId="7970" xr:uid="{00000000-0005-0000-0000-0000163B0000}"/>
    <cellStyle name="Accent4 4 3" xfId="7971" xr:uid="{00000000-0005-0000-0000-0000173B0000}"/>
    <cellStyle name="Accent4 4 4" xfId="7972" xr:uid="{00000000-0005-0000-0000-0000183B0000}"/>
    <cellStyle name="Accent4 4 5" xfId="7973" xr:uid="{00000000-0005-0000-0000-0000193B0000}"/>
    <cellStyle name="Accent4 5" xfId="7974" xr:uid="{00000000-0005-0000-0000-00001A3B0000}"/>
    <cellStyle name="Accent4 5 2" xfId="7975" xr:uid="{00000000-0005-0000-0000-00001B3B0000}"/>
    <cellStyle name="Accent4 5 2 2" xfId="7976" xr:uid="{00000000-0005-0000-0000-00001C3B0000}"/>
    <cellStyle name="Accent4 5 2 3" xfId="7977" xr:uid="{00000000-0005-0000-0000-00001D3B0000}"/>
    <cellStyle name="Accent4 5 3" xfId="7978" xr:uid="{00000000-0005-0000-0000-00001E3B0000}"/>
    <cellStyle name="Accent4 5 4" xfId="7979" xr:uid="{00000000-0005-0000-0000-00001F3B0000}"/>
    <cellStyle name="Accent4 5 5" xfId="7980" xr:uid="{00000000-0005-0000-0000-0000203B0000}"/>
    <cellStyle name="Accent4 6" xfId="7981" xr:uid="{00000000-0005-0000-0000-0000213B0000}"/>
    <cellStyle name="Accent4 6 2" xfId="7982" xr:uid="{00000000-0005-0000-0000-0000223B0000}"/>
    <cellStyle name="Accent4 6 3" xfId="7983" xr:uid="{00000000-0005-0000-0000-0000233B0000}"/>
    <cellStyle name="Accent4 7" xfId="7984" xr:uid="{00000000-0005-0000-0000-0000243B0000}"/>
    <cellStyle name="Accent4 8" xfId="7985" xr:uid="{00000000-0005-0000-0000-0000253B0000}"/>
    <cellStyle name="Accent4 9" xfId="7986" xr:uid="{00000000-0005-0000-0000-0000263B0000}"/>
    <cellStyle name="Accent5 10" xfId="7987" xr:uid="{00000000-0005-0000-0000-0000273B0000}"/>
    <cellStyle name="Accent5 11" xfId="7988" xr:uid="{00000000-0005-0000-0000-0000283B0000}"/>
    <cellStyle name="Accent5 12" xfId="7989" xr:uid="{00000000-0005-0000-0000-0000293B0000}"/>
    <cellStyle name="Accent5 13" xfId="7990" xr:uid="{00000000-0005-0000-0000-00002A3B0000}"/>
    <cellStyle name="Accent5 14" xfId="7991" xr:uid="{00000000-0005-0000-0000-00002B3B0000}"/>
    <cellStyle name="Accent5 15" xfId="7992" xr:uid="{00000000-0005-0000-0000-00002C3B0000}"/>
    <cellStyle name="Accent5 16" xfId="7993" xr:uid="{00000000-0005-0000-0000-00002D3B0000}"/>
    <cellStyle name="Accent5 17" xfId="7994" xr:uid="{00000000-0005-0000-0000-00002E3B0000}"/>
    <cellStyle name="Accent5 18" xfId="7995" xr:uid="{00000000-0005-0000-0000-00002F3B0000}"/>
    <cellStyle name="Accent5 19" xfId="7996" xr:uid="{00000000-0005-0000-0000-0000303B0000}"/>
    <cellStyle name="Accent5 2" xfId="7997" xr:uid="{00000000-0005-0000-0000-0000313B0000}"/>
    <cellStyle name="Accent5 2 2" xfId="7998" xr:uid="{00000000-0005-0000-0000-0000323B0000}"/>
    <cellStyle name="Accent5 2 2 2" xfId="7999" xr:uid="{00000000-0005-0000-0000-0000333B0000}"/>
    <cellStyle name="Accent5 2 3" xfId="8000" xr:uid="{00000000-0005-0000-0000-0000343B0000}"/>
    <cellStyle name="Accent5 2 3 2" xfId="8001" xr:uid="{00000000-0005-0000-0000-0000353B0000}"/>
    <cellStyle name="Accent5 2 4" xfId="8002" xr:uid="{00000000-0005-0000-0000-0000363B0000}"/>
    <cellStyle name="Accent5 2 4 2" xfId="8003" xr:uid="{00000000-0005-0000-0000-0000373B0000}"/>
    <cellStyle name="Accent5 2 4 3" xfId="8004" xr:uid="{00000000-0005-0000-0000-0000383B0000}"/>
    <cellStyle name="Accent5 2 5" xfId="8005" xr:uid="{00000000-0005-0000-0000-0000393B0000}"/>
    <cellStyle name="Accent5 2 6" xfId="8006" xr:uid="{00000000-0005-0000-0000-00003A3B0000}"/>
    <cellStyle name="Accent5 2 7" xfId="8007" xr:uid="{00000000-0005-0000-0000-00003B3B0000}"/>
    <cellStyle name="Accent5 2 8" xfId="8008" xr:uid="{00000000-0005-0000-0000-00003C3B0000}"/>
    <cellStyle name="Accent5 3" xfId="8009" xr:uid="{00000000-0005-0000-0000-00003D3B0000}"/>
    <cellStyle name="Accent5 3 2" xfId="8010" xr:uid="{00000000-0005-0000-0000-00003E3B0000}"/>
    <cellStyle name="Accent5 3 2 2" xfId="8011" xr:uid="{00000000-0005-0000-0000-00003F3B0000}"/>
    <cellStyle name="Accent5 3 2 3" xfId="8012" xr:uid="{00000000-0005-0000-0000-0000403B0000}"/>
    <cellStyle name="Accent5 3 3" xfId="8013" xr:uid="{00000000-0005-0000-0000-0000413B0000}"/>
    <cellStyle name="Accent5 3 4" xfId="8014" xr:uid="{00000000-0005-0000-0000-0000423B0000}"/>
    <cellStyle name="Accent5 3 5" xfId="8015" xr:uid="{00000000-0005-0000-0000-0000433B0000}"/>
    <cellStyle name="Accent5 4" xfId="8016" xr:uid="{00000000-0005-0000-0000-0000443B0000}"/>
    <cellStyle name="Accent5 4 2" xfId="8017" xr:uid="{00000000-0005-0000-0000-0000453B0000}"/>
    <cellStyle name="Accent5 4 2 2" xfId="8018" xr:uid="{00000000-0005-0000-0000-0000463B0000}"/>
    <cellStyle name="Accent5 4 2 3" xfId="8019" xr:uid="{00000000-0005-0000-0000-0000473B0000}"/>
    <cellStyle name="Accent5 4 3" xfId="8020" xr:uid="{00000000-0005-0000-0000-0000483B0000}"/>
    <cellStyle name="Accent5 4 4" xfId="8021" xr:uid="{00000000-0005-0000-0000-0000493B0000}"/>
    <cellStyle name="Accent5 4 5" xfId="8022" xr:uid="{00000000-0005-0000-0000-00004A3B0000}"/>
    <cellStyle name="Accent5 5" xfId="8023" xr:uid="{00000000-0005-0000-0000-00004B3B0000}"/>
    <cellStyle name="Accent5 5 2" xfId="8024" xr:uid="{00000000-0005-0000-0000-00004C3B0000}"/>
    <cellStyle name="Accent5 5 2 2" xfId="8025" xr:uid="{00000000-0005-0000-0000-00004D3B0000}"/>
    <cellStyle name="Accent5 5 2 3" xfId="8026" xr:uid="{00000000-0005-0000-0000-00004E3B0000}"/>
    <cellStyle name="Accent5 5 3" xfId="8027" xr:uid="{00000000-0005-0000-0000-00004F3B0000}"/>
    <cellStyle name="Accent5 5 4" xfId="8028" xr:uid="{00000000-0005-0000-0000-0000503B0000}"/>
    <cellStyle name="Accent5 5 5" xfId="8029" xr:uid="{00000000-0005-0000-0000-0000513B0000}"/>
    <cellStyle name="Accent5 6" xfId="8030" xr:uid="{00000000-0005-0000-0000-0000523B0000}"/>
    <cellStyle name="Accent5 6 2" xfId="8031" xr:uid="{00000000-0005-0000-0000-0000533B0000}"/>
    <cellStyle name="Accent5 6 3" xfId="8032" xr:uid="{00000000-0005-0000-0000-0000543B0000}"/>
    <cellStyle name="Accent5 7" xfId="8033" xr:uid="{00000000-0005-0000-0000-0000553B0000}"/>
    <cellStyle name="Accent5 8" xfId="8034" xr:uid="{00000000-0005-0000-0000-0000563B0000}"/>
    <cellStyle name="Accent5 9" xfId="8035" xr:uid="{00000000-0005-0000-0000-0000573B0000}"/>
    <cellStyle name="Accent6 10" xfId="8036" xr:uid="{00000000-0005-0000-0000-0000583B0000}"/>
    <cellStyle name="Accent6 11" xfId="8037" xr:uid="{00000000-0005-0000-0000-0000593B0000}"/>
    <cellStyle name="Accent6 12" xfId="8038" xr:uid="{00000000-0005-0000-0000-00005A3B0000}"/>
    <cellStyle name="Accent6 13" xfId="8039" xr:uid="{00000000-0005-0000-0000-00005B3B0000}"/>
    <cellStyle name="Accent6 14" xfId="8040" xr:uid="{00000000-0005-0000-0000-00005C3B0000}"/>
    <cellStyle name="Accent6 15" xfId="8041" xr:uid="{00000000-0005-0000-0000-00005D3B0000}"/>
    <cellStyle name="Accent6 16" xfId="8042" xr:uid="{00000000-0005-0000-0000-00005E3B0000}"/>
    <cellStyle name="Accent6 17" xfId="8043" xr:uid="{00000000-0005-0000-0000-00005F3B0000}"/>
    <cellStyle name="Accent6 18" xfId="8044" xr:uid="{00000000-0005-0000-0000-0000603B0000}"/>
    <cellStyle name="Accent6 19" xfId="8045" xr:uid="{00000000-0005-0000-0000-0000613B0000}"/>
    <cellStyle name="Accent6 2" xfId="8046" xr:uid="{00000000-0005-0000-0000-0000623B0000}"/>
    <cellStyle name="Accent6 2 2" xfId="8047" xr:uid="{00000000-0005-0000-0000-0000633B0000}"/>
    <cellStyle name="Accent6 2 2 2" xfId="8048" xr:uid="{00000000-0005-0000-0000-0000643B0000}"/>
    <cellStyle name="Accent6 2 3" xfId="8049" xr:uid="{00000000-0005-0000-0000-0000653B0000}"/>
    <cellStyle name="Accent6 2 3 2" xfId="8050" xr:uid="{00000000-0005-0000-0000-0000663B0000}"/>
    <cellStyle name="Accent6 2 4" xfId="8051" xr:uid="{00000000-0005-0000-0000-0000673B0000}"/>
    <cellStyle name="Accent6 2 4 2" xfId="8052" xr:uid="{00000000-0005-0000-0000-0000683B0000}"/>
    <cellStyle name="Accent6 2 4 3" xfId="8053" xr:uid="{00000000-0005-0000-0000-0000693B0000}"/>
    <cellStyle name="Accent6 2 5" xfId="8054" xr:uid="{00000000-0005-0000-0000-00006A3B0000}"/>
    <cellStyle name="Accent6 2 6" xfId="8055" xr:uid="{00000000-0005-0000-0000-00006B3B0000}"/>
    <cellStyle name="Accent6 2 7" xfId="8056" xr:uid="{00000000-0005-0000-0000-00006C3B0000}"/>
    <cellStyle name="Accent6 2 8" xfId="8057" xr:uid="{00000000-0005-0000-0000-00006D3B0000}"/>
    <cellStyle name="Accent6 3" xfId="8058" xr:uid="{00000000-0005-0000-0000-00006E3B0000}"/>
    <cellStyle name="Accent6 3 2" xfId="8059" xr:uid="{00000000-0005-0000-0000-00006F3B0000}"/>
    <cellStyle name="Accent6 3 2 2" xfId="8060" xr:uid="{00000000-0005-0000-0000-0000703B0000}"/>
    <cellStyle name="Accent6 3 2 3" xfId="8061" xr:uid="{00000000-0005-0000-0000-0000713B0000}"/>
    <cellStyle name="Accent6 3 3" xfId="8062" xr:uid="{00000000-0005-0000-0000-0000723B0000}"/>
    <cellStyle name="Accent6 3 4" xfId="8063" xr:uid="{00000000-0005-0000-0000-0000733B0000}"/>
    <cellStyle name="Accent6 3 5" xfId="8064" xr:uid="{00000000-0005-0000-0000-0000743B0000}"/>
    <cellStyle name="Accent6 4" xfId="8065" xr:uid="{00000000-0005-0000-0000-0000753B0000}"/>
    <cellStyle name="Accent6 4 2" xfId="8066" xr:uid="{00000000-0005-0000-0000-0000763B0000}"/>
    <cellStyle name="Accent6 4 2 2" xfId="8067" xr:uid="{00000000-0005-0000-0000-0000773B0000}"/>
    <cellStyle name="Accent6 4 2 3" xfId="8068" xr:uid="{00000000-0005-0000-0000-0000783B0000}"/>
    <cellStyle name="Accent6 4 3" xfId="8069" xr:uid="{00000000-0005-0000-0000-0000793B0000}"/>
    <cellStyle name="Accent6 4 4" xfId="8070" xr:uid="{00000000-0005-0000-0000-00007A3B0000}"/>
    <cellStyle name="Accent6 4 5" xfId="8071" xr:uid="{00000000-0005-0000-0000-00007B3B0000}"/>
    <cellStyle name="Accent6 5" xfId="8072" xr:uid="{00000000-0005-0000-0000-00007C3B0000}"/>
    <cellStyle name="Accent6 5 2" xfId="8073" xr:uid="{00000000-0005-0000-0000-00007D3B0000}"/>
    <cellStyle name="Accent6 5 2 2" xfId="8074" xr:uid="{00000000-0005-0000-0000-00007E3B0000}"/>
    <cellStyle name="Accent6 5 2 3" xfId="8075" xr:uid="{00000000-0005-0000-0000-00007F3B0000}"/>
    <cellStyle name="Accent6 5 3" xfId="8076" xr:uid="{00000000-0005-0000-0000-0000803B0000}"/>
    <cellStyle name="Accent6 5 4" xfId="8077" xr:uid="{00000000-0005-0000-0000-0000813B0000}"/>
    <cellStyle name="Accent6 5 5" xfId="8078" xr:uid="{00000000-0005-0000-0000-0000823B0000}"/>
    <cellStyle name="Accent6 6" xfId="8079" xr:uid="{00000000-0005-0000-0000-0000833B0000}"/>
    <cellStyle name="Accent6 6 2" xfId="8080" xr:uid="{00000000-0005-0000-0000-0000843B0000}"/>
    <cellStyle name="Accent6 6 3" xfId="8081" xr:uid="{00000000-0005-0000-0000-0000853B0000}"/>
    <cellStyle name="Accent6 7" xfId="8082" xr:uid="{00000000-0005-0000-0000-0000863B0000}"/>
    <cellStyle name="Accent6 8" xfId="8083" xr:uid="{00000000-0005-0000-0000-0000873B0000}"/>
    <cellStyle name="Accent6 9" xfId="8084" xr:uid="{00000000-0005-0000-0000-0000883B0000}"/>
    <cellStyle name="accounting" xfId="8085" xr:uid="{00000000-0005-0000-0000-0000893B0000}"/>
    <cellStyle name="accounting 2" xfId="8086" xr:uid="{00000000-0005-0000-0000-00008A3B0000}"/>
    <cellStyle name="accounting 2 2" xfId="8087" xr:uid="{00000000-0005-0000-0000-00008B3B0000}"/>
    <cellStyle name="accounting 2 3" xfId="20245" xr:uid="{00000000-0005-0000-0000-00008C3B0000}"/>
    <cellStyle name="accounting 3" xfId="8088" xr:uid="{00000000-0005-0000-0000-00008D3B0000}"/>
    <cellStyle name="accounting 3 2" xfId="20246" xr:uid="{00000000-0005-0000-0000-00008E3B0000}"/>
    <cellStyle name="accounting 4" xfId="8089" xr:uid="{00000000-0005-0000-0000-00008F3B0000}"/>
    <cellStyle name="accounting 4 2" xfId="20247" xr:uid="{00000000-0005-0000-0000-0000903B0000}"/>
    <cellStyle name="accounting 5" xfId="8090" xr:uid="{00000000-0005-0000-0000-0000913B0000}"/>
    <cellStyle name="accounting 5 2" xfId="20248" xr:uid="{00000000-0005-0000-0000-0000923B0000}"/>
    <cellStyle name="accounting 6" xfId="20249" xr:uid="{00000000-0005-0000-0000-0000933B0000}"/>
    <cellStyle name="Accounting w/$" xfId="8091" xr:uid="{00000000-0005-0000-0000-0000943B0000}"/>
    <cellStyle name="Accounting w/$ Total" xfId="8092" xr:uid="{00000000-0005-0000-0000-0000953B0000}"/>
    <cellStyle name="Accounting w/o $" xfId="8093" xr:uid="{00000000-0005-0000-0000-0000963B0000}"/>
    <cellStyle name="acct" xfId="16349" xr:uid="{00000000-0005-0000-0000-0000973B0000}"/>
    <cellStyle name="acct bold" xfId="16350" xr:uid="{00000000-0005-0000-0000-0000983B0000}"/>
    <cellStyle name="acct no" xfId="16351" xr:uid="{00000000-0005-0000-0000-0000993B0000}"/>
    <cellStyle name="acct_EPL LBO 5.16.05 - Mgmt IPO v6" xfId="16352" xr:uid="{00000000-0005-0000-0000-00009A3B0000}"/>
    <cellStyle name="Acctg" xfId="16353" xr:uid="{00000000-0005-0000-0000-00009B3B0000}"/>
    <cellStyle name="Açıklama Metni" xfId="16354" xr:uid="{00000000-0005-0000-0000-00009C3B0000}"/>
    <cellStyle name="Across" xfId="16355" xr:uid="{00000000-0005-0000-0000-00009D3B0000}"/>
    <cellStyle name="active" xfId="8094" xr:uid="{00000000-0005-0000-0000-00009E3B0000}"/>
    <cellStyle name="active 2" xfId="8095" xr:uid="{00000000-0005-0000-0000-00009F3B0000}"/>
    <cellStyle name="active 2 2" xfId="8096" xr:uid="{00000000-0005-0000-0000-0000A03B0000}"/>
    <cellStyle name="active 3" xfId="8097" xr:uid="{00000000-0005-0000-0000-0000A13B0000}"/>
    <cellStyle name="active 4" xfId="8098" xr:uid="{00000000-0005-0000-0000-0000A23B0000}"/>
    <cellStyle name="active 5" xfId="8099" xr:uid="{00000000-0005-0000-0000-0000A33B0000}"/>
    <cellStyle name="Actual" xfId="16356" xr:uid="{00000000-0005-0000-0000-0000A43B0000}"/>
    <cellStyle name="Actual Date" xfId="8100" xr:uid="{00000000-0005-0000-0000-0000A53B0000}"/>
    <cellStyle name="Actuals" xfId="8101" xr:uid="{00000000-0005-0000-0000-0000A63B0000}"/>
    <cellStyle name="Actuals 10" xfId="8102" xr:uid="{00000000-0005-0000-0000-0000A73B0000}"/>
    <cellStyle name="Actuals 10 2" xfId="8103" xr:uid="{00000000-0005-0000-0000-0000A83B0000}"/>
    <cellStyle name="Actuals 11" xfId="8104" xr:uid="{00000000-0005-0000-0000-0000A93B0000}"/>
    <cellStyle name="Actuals 11 2" xfId="8105" xr:uid="{00000000-0005-0000-0000-0000AA3B0000}"/>
    <cellStyle name="Actuals 12" xfId="8106" xr:uid="{00000000-0005-0000-0000-0000AB3B0000}"/>
    <cellStyle name="Actuals 12 2" xfId="8107" xr:uid="{00000000-0005-0000-0000-0000AC3B0000}"/>
    <cellStyle name="Actuals 13" xfId="8108" xr:uid="{00000000-0005-0000-0000-0000AD3B0000}"/>
    <cellStyle name="Actuals 13 2" xfId="8109" xr:uid="{00000000-0005-0000-0000-0000AE3B0000}"/>
    <cellStyle name="Actuals 14" xfId="8110" xr:uid="{00000000-0005-0000-0000-0000AF3B0000}"/>
    <cellStyle name="Actuals 14 2" xfId="8111" xr:uid="{00000000-0005-0000-0000-0000B03B0000}"/>
    <cellStyle name="Actuals 15" xfId="8112" xr:uid="{00000000-0005-0000-0000-0000B13B0000}"/>
    <cellStyle name="Actuals 15 2" xfId="8113" xr:uid="{00000000-0005-0000-0000-0000B23B0000}"/>
    <cellStyle name="Actuals 16" xfId="8114" xr:uid="{00000000-0005-0000-0000-0000B33B0000}"/>
    <cellStyle name="Actuals 16 2" xfId="8115" xr:uid="{00000000-0005-0000-0000-0000B43B0000}"/>
    <cellStyle name="Actuals 17" xfId="8116" xr:uid="{00000000-0005-0000-0000-0000B53B0000}"/>
    <cellStyle name="Actuals 17 2" xfId="8117" xr:uid="{00000000-0005-0000-0000-0000B63B0000}"/>
    <cellStyle name="Actuals 18" xfId="8118" xr:uid="{00000000-0005-0000-0000-0000B73B0000}"/>
    <cellStyle name="Actuals 18 2" xfId="8119" xr:uid="{00000000-0005-0000-0000-0000B83B0000}"/>
    <cellStyle name="Actuals 19" xfId="8120" xr:uid="{00000000-0005-0000-0000-0000B93B0000}"/>
    <cellStyle name="Actuals 19 2" xfId="8121" xr:uid="{00000000-0005-0000-0000-0000BA3B0000}"/>
    <cellStyle name="Actuals 2" xfId="8122" xr:uid="{00000000-0005-0000-0000-0000BB3B0000}"/>
    <cellStyle name="Actuals 2 2" xfId="8123" xr:uid="{00000000-0005-0000-0000-0000BC3B0000}"/>
    <cellStyle name="Actuals 2 2 2" xfId="8124" xr:uid="{00000000-0005-0000-0000-0000BD3B0000}"/>
    <cellStyle name="Actuals 2 2 3" xfId="8125" xr:uid="{00000000-0005-0000-0000-0000BE3B0000}"/>
    <cellStyle name="Actuals 2 3" xfId="8126" xr:uid="{00000000-0005-0000-0000-0000BF3B0000}"/>
    <cellStyle name="Actuals 2 4" xfId="8127" xr:uid="{00000000-0005-0000-0000-0000C03B0000}"/>
    <cellStyle name="Actuals 2 5" xfId="8128" xr:uid="{00000000-0005-0000-0000-0000C13B0000}"/>
    <cellStyle name="Actuals 20" xfId="8129" xr:uid="{00000000-0005-0000-0000-0000C23B0000}"/>
    <cellStyle name="Actuals 20 2" xfId="8130" xr:uid="{00000000-0005-0000-0000-0000C33B0000}"/>
    <cellStyle name="Actuals 21" xfId="8131" xr:uid="{00000000-0005-0000-0000-0000C43B0000}"/>
    <cellStyle name="Actuals 21 2" xfId="8132" xr:uid="{00000000-0005-0000-0000-0000C53B0000}"/>
    <cellStyle name="Actuals 22" xfId="8133" xr:uid="{00000000-0005-0000-0000-0000C63B0000}"/>
    <cellStyle name="Actuals 22 2" xfId="8134" xr:uid="{00000000-0005-0000-0000-0000C73B0000}"/>
    <cellStyle name="Actuals 23" xfId="8135" xr:uid="{00000000-0005-0000-0000-0000C83B0000}"/>
    <cellStyle name="Actuals 23 2" xfId="8136" xr:uid="{00000000-0005-0000-0000-0000C93B0000}"/>
    <cellStyle name="Actuals 24" xfId="8137" xr:uid="{00000000-0005-0000-0000-0000CA3B0000}"/>
    <cellStyle name="Actuals 24 2" xfId="8138" xr:uid="{00000000-0005-0000-0000-0000CB3B0000}"/>
    <cellStyle name="Actuals 25" xfId="8139" xr:uid="{00000000-0005-0000-0000-0000CC3B0000}"/>
    <cellStyle name="Actuals 25 2" xfId="8140" xr:uid="{00000000-0005-0000-0000-0000CD3B0000}"/>
    <cellStyle name="Actuals 26" xfId="8141" xr:uid="{00000000-0005-0000-0000-0000CE3B0000}"/>
    <cellStyle name="Actuals 26 2" xfId="8142" xr:uid="{00000000-0005-0000-0000-0000CF3B0000}"/>
    <cellStyle name="Actuals 27" xfId="8143" xr:uid="{00000000-0005-0000-0000-0000D03B0000}"/>
    <cellStyle name="Actuals 27 2" xfId="8144" xr:uid="{00000000-0005-0000-0000-0000D13B0000}"/>
    <cellStyle name="Actuals 28" xfId="8145" xr:uid="{00000000-0005-0000-0000-0000D23B0000}"/>
    <cellStyle name="Actuals 28 2" xfId="8146" xr:uid="{00000000-0005-0000-0000-0000D33B0000}"/>
    <cellStyle name="Actuals 29" xfId="8147" xr:uid="{00000000-0005-0000-0000-0000D43B0000}"/>
    <cellStyle name="Actuals 29 2" xfId="8148" xr:uid="{00000000-0005-0000-0000-0000D53B0000}"/>
    <cellStyle name="Actuals 3" xfId="8149" xr:uid="{00000000-0005-0000-0000-0000D63B0000}"/>
    <cellStyle name="Actuals 3 2" xfId="8150" xr:uid="{00000000-0005-0000-0000-0000D73B0000}"/>
    <cellStyle name="Actuals 30" xfId="8151" xr:uid="{00000000-0005-0000-0000-0000D83B0000}"/>
    <cellStyle name="Actuals 30 2" xfId="8152" xr:uid="{00000000-0005-0000-0000-0000D93B0000}"/>
    <cellStyle name="Actuals 30 3" xfId="8153" xr:uid="{00000000-0005-0000-0000-0000DA3B0000}"/>
    <cellStyle name="Actuals 31" xfId="8154" xr:uid="{00000000-0005-0000-0000-0000DB3B0000}"/>
    <cellStyle name="Actuals 32" xfId="8155" xr:uid="{00000000-0005-0000-0000-0000DC3B0000}"/>
    <cellStyle name="Actuals 33" xfId="8156" xr:uid="{00000000-0005-0000-0000-0000DD3B0000}"/>
    <cellStyle name="Actuals 4" xfId="8157" xr:uid="{00000000-0005-0000-0000-0000DE3B0000}"/>
    <cellStyle name="Actuals 4 2" xfId="8158" xr:uid="{00000000-0005-0000-0000-0000DF3B0000}"/>
    <cellStyle name="Actuals 5" xfId="8159" xr:uid="{00000000-0005-0000-0000-0000E03B0000}"/>
    <cellStyle name="Actuals 5 2" xfId="8160" xr:uid="{00000000-0005-0000-0000-0000E13B0000}"/>
    <cellStyle name="Actuals 6" xfId="8161" xr:uid="{00000000-0005-0000-0000-0000E23B0000}"/>
    <cellStyle name="Actuals 6 2" xfId="8162" xr:uid="{00000000-0005-0000-0000-0000E33B0000}"/>
    <cellStyle name="Actuals 7" xfId="8163" xr:uid="{00000000-0005-0000-0000-0000E43B0000}"/>
    <cellStyle name="Actuals 7 2" xfId="8164" xr:uid="{00000000-0005-0000-0000-0000E53B0000}"/>
    <cellStyle name="Actuals 8" xfId="8165" xr:uid="{00000000-0005-0000-0000-0000E63B0000}"/>
    <cellStyle name="Actuals 8 2" xfId="8166" xr:uid="{00000000-0005-0000-0000-0000E73B0000}"/>
    <cellStyle name="Actuals 9" xfId="8167" xr:uid="{00000000-0005-0000-0000-0000E83B0000}"/>
    <cellStyle name="Actuals 9 2" xfId="8168" xr:uid="{00000000-0005-0000-0000-0000E93B0000}"/>
    <cellStyle name="adj_share" xfId="8169" xr:uid="{00000000-0005-0000-0000-0000EA3B0000}"/>
    <cellStyle name="Adjustable" xfId="8170" xr:uid="{00000000-0005-0000-0000-0000EB3B0000}"/>
    <cellStyle name="Adjusted" xfId="8171" xr:uid="{00000000-0005-0000-0000-0000EC3B0000}"/>
    <cellStyle name="Adjusted 2" xfId="8172" xr:uid="{00000000-0005-0000-0000-0000ED3B0000}"/>
    <cellStyle name="Adjusted 2 2" xfId="8173" xr:uid="{00000000-0005-0000-0000-0000EE3B0000}"/>
    <cellStyle name="Adjusted 2 3" xfId="20250" xr:uid="{00000000-0005-0000-0000-0000EF3B0000}"/>
    <cellStyle name="Adjusted 3" xfId="8174" xr:uid="{00000000-0005-0000-0000-0000F03B0000}"/>
    <cellStyle name="Adjusted 3 2" xfId="20251" xr:uid="{00000000-0005-0000-0000-0000F13B0000}"/>
    <cellStyle name="Adjusted 4" xfId="8175" xr:uid="{00000000-0005-0000-0000-0000F23B0000}"/>
    <cellStyle name="Adjusted 4 2" xfId="20252" xr:uid="{00000000-0005-0000-0000-0000F33B0000}"/>
    <cellStyle name="Adjusted 5" xfId="8176" xr:uid="{00000000-0005-0000-0000-0000F43B0000}"/>
    <cellStyle name="Adjusted 5 2" xfId="20253" xr:uid="{00000000-0005-0000-0000-0000F53B0000}"/>
    <cellStyle name="Adjusted 6" xfId="20254" xr:uid="{00000000-0005-0000-0000-0000F63B0000}"/>
    <cellStyle name="AFE" xfId="8177" xr:uid="{00000000-0005-0000-0000-0000F73B0000}"/>
    <cellStyle name="AFE 2" xfId="8178" xr:uid="{00000000-0005-0000-0000-0000F83B0000}"/>
    <cellStyle name="AFE 2 2" xfId="8179" xr:uid="{00000000-0005-0000-0000-0000F93B0000}"/>
    <cellStyle name="AFE 3" xfId="8180" xr:uid="{00000000-0005-0000-0000-0000FA3B0000}"/>
    <cellStyle name="AFE 4" xfId="8181" xr:uid="{00000000-0005-0000-0000-0000FB3B0000}"/>
    <cellStyle name="Afjusted" xfId="8182" xr:uid="{00000000-0005-0000-0000-0000FC3B0000}"/>
    <cellStyle name="Afjusted 2" xfId="8183" xr:uid="{00000000-0005-0000-0000-0000FD3B0000}"/>
    <cellStyle name="Afjusted 2 2" xfId="8184" xr:uid="{00000000-0005-0000-0000-0000FE3B0000}"/>
    <cellStyle name="Afjusted 3" xfId="8185" xr:uid="{00000000-0005-0000-0000-0000FF3B0000}"/>
    <cellStyle name="Afjusted 4" xfId="8186" xr:uid="{00000000-0005-0000-0000-0000003C0000}"/>
    <cellStyle name="Afjusted 5" xfId="8187" xr:uid="{00000000-0005-0000-0000-0000013C0000}"/>
    <cellStyle name="ai_תנאי הצמדה " xfId="8188" xr:uid="{00000000-0005-0000-0000-0000023C0000}"/>
    <cellStyle name="AIRCO" xfId="8189" xr:uid="{00000000-0005-0000-0000-0000033C0000}"/>
    <cellStyle name="AIRCO 2" xfId="8190" xr:uid="{00000000-0005-0000-0000-0000043C0000}"/>
    <cellStyle name="AIRCO 2 2" xfId="15950" xr:uid="{00000000-0005-0000-0000-0000053C0000}"/>
    <cellStyle name="AIRCO 2 3" xfId="19901" xr:uid="{00000000-0005-0000-0000-0000063C0000}"/>
    <cellStyle name="AIRCO 3" xfId="15949" xr:uid="{00000000-0005-0000-0000-0000073C0000}"/>
    <cellStyle name="AIRCO 4" xfId="19900" xr:uid="{00000000-0005-0000-0000-0000083C0000}"/>
    <cellStyle name="amount" xfId="8191" xr:uid="{00000000-0005-0000-0000-0000093C0000}"/>
    <cellStyle name="amount 2" xfId="8192" xr:uid="{00000000-0005-0000-0000-00000A3C0000}"/>
    <cellStyle name="amount 2 2" xfId="8193" xr:uid="{00000000-0005-0000-0000-00000B3C0000}"/>
    <cellStyle name="amount 2 2 2" xfId="8194" xr:uid="{00000000-0005-0000-0000-00000C3C0000}"/>
    <cellStyle name="amount 2 2 2 2" xfId="15952" xr:uid="{00000000-0005-0000-0000-00000D3C0000}"/>
    <cellStyle name="amount 2 2 2 3" xfId="19903" xr:uid="{00000000-0005-0000-0000-00000E3C0000}"/>
    <cellStyle name="amount 2 2 3" xfId="15951" xr:uid="{00000000-0005-0000-0000-00000F3C0000}"/>
    <cellStyle name="amount 2 2 4" xfId="19902" xr:uid="{00000000-0005-0000-0000-0000103C0000}"/>
    <cellStyle name="amount 2 3" xfId="8195" xr:uid="{00000000-0005-0000-0000-0000113C0000}"/>
    <cellStyle name="amount 2 3 2" xfId="8196" xr:uid="{00000000-0005-0000-0000-0000123C0000}"/>
    <cellStyle name="amount 2 3 2 2" xfId="15954" xr:uid="{00000000-0005-0000-0000-0000133C0000}"/>
    <cellStyle name="amount 2 3 2 3" xfId="19905" xr:uid="{00000000-0005-0000-0000-0000143C0000}"/>
    <cellStyle name="amount 2 3 3" xfId="15953" xr:uid="{00000000-0005-0000-0000-0000153C0000}"/>
    <cellStyle name="amount 2 3 4" xfId="19904" xr:uid="{00000000-0005-0000-0000-0000163C0000}"/>
    <cellStyle name="amount 2 4" xfId="8197" xr:uid="{00000000-0005-0000-0000-0000173C0000}"/>
    <cellStyle name="amount 2 4 2" xfId="8198" xr:uid="{00000000-0005-0000-0000-0000183C0000}"/>
    <cellStyle name="amount 2 4 2 2" xfId="15956" xr:uid="{00000000-0005-0000-0000-0000193C0000}"/>
    <cellStyle name="amount 2 4 2 3" xfId="19907" xr:uid="{00000000-0005-0000-0000-00001A3C0000}"/>
    <cellStyle name="amount 2 4 3" xfId="15955" xr:uid="{00000000-0005-0000-0000-00001B3C0000}"/>
    <cellStyle name="amount 2 4 4" xfId="19906" xr:uid="{00000000-0005-0000-0000-00001C3C0000}"/>
    <cellStyle name="amount 2 5" xfId="8199" xr:uid="{00000000-0005-0000-0000-00001D3C0000}"/>
    <cellStyle name="amount 2 5 2" xfId="8200" xr:uid="{00000000-0005-0000-0000-00001E3C0000}"/>
    <cellStyle name="amount 2 5 2 2" xfId="15958" xr:uid="{00000000-0005-0000-0000-00001F3C0000}"/>
    <cellStyle name="amount 2 5 2 3" xfId="19909" xr:uid="{00000000-0005-0000-0000-0000203C0000}"/>
    <cellStyle name="amount 2 5 3" xfId="15957" xr:uid="{00000000-0005-0000-0000-0000213C0000}"/>
    <cellStyle name="amount 2 5 4" xfId="19908" xr:uid="{00000000-0005-0000-0000-0000223C0000}"/>
    <cellStyle name="amount 3" xfId="8201" xr:uid="{00000000-0005-0000-0000-0000233C0000}"/>
    <cellStyle name="amount 3 2" xfId="8202" xr:uid="{00000000-0005-0000-0000-0000243C0000}"/>
    <cellStyle name="amount 3 2 2" xfId="8203" xr:uid="{00000000-0005-0000-0000-0000253C0000}"/>
    <cellStyle name="amount 3 2 2 2" xfId="15961" xr:uid="{00000000-0005-0000-0000-0000263C0000}"/>
    <cellStyle name="amount 3 2 2 3" xfId="19912" xr:uid="{00000000-0005-0000-0000-0000273C0000}"/>
    <cellStyle name="amount 3 2 3" xfId="15960" xr:uid="{00000000-0005-0000-0000-0000283C0000}"/>
    <cellStyle name="amount 3 2 4" xfId="19911" xr:uid="{00000000-0005-0000-0000-0000293C0000}"/>
    <cellStyle name="amount 3 3" xfId="8204" xr:uid="{00000000-0005-0000-0000-00002A3C0000}"/>
    <cellStyle name="amount 3 3 2" xfId="8205" xr:uid="{00000000-0005-0000-0000-00002B3C0000}"/>
    <cellStyle name="amount 3 3 2 2" xfId="15963" xr:uid="{00000000-0005-0000-0000-00002C3C0000}"/>
    <cellStyle name="amount 3 3 2 3" xfId="19914" xr:uid="{00000000-0005-0000-0000-00002D3C0000}"/>
    <cellStyle name="amount 3 3 3" xfId="15962" xr:uid="{00000000-0005-0000-0000-00002E3C0000}"/>
    <cellStyle name="amount 3 3 4" xfId="19913" xr:uid="{00000000-0005-0000-0000-00002F3C0000}"/>
    <cellStyle name="amount 3 4" xfId="8206" xr:uid="{00000000-0005-0000-0000-0000303C0000}"/>
    <cellStyle name="amount 3 4 2" xfId="8207" xr:uid="{00000000-0005-0000-0000-0000313C0000}"/>
    <cellStyle name="amount 3 4 2 2" xfId="15965" xr:uid="{00000000-0005-0000-0000-0000323C0000}"/>
    <cellStyle name="amount 3 4 2 3" xfId="19916" xr:uid="{00000000-0005-0000-0000-0000333C0000}"/>
    <cellStyle name="amount 3 4 3" xfId="15964" xr:uid="{00000000-0005-0000-0000-0000343C0000}"/>
    <cellStyle name="amount 3 4 4" xfId="19915" xr:uid="{00000000-0005-0000-0000-0000353C0000}"/>
    <cellStyle name="amount 3 5" xfId="8208" xr:uid="{00000000-0005-0000-0000-0000363C0000}"/>
    <cellStyle name="amount 3 5 2" xfId="8209" xr:uid="{00000000-0005-0000-0000-0000373C0000}"/>
    <cellStyle name="amount 3 5 2 2" xfId="15967" xr:uid="{00000000-0005-0000-0000-0000383C0000}"/>
    <cellStyle name="amount 3 5 2 3" xfId="19918" xr:uid="{00000000-0005-0000-0000-0000393C0000}"/>
    <cellStyle name="amount 3 5 3" xfId="15966" xr:uid="{00000000-0005-0000-0000-00003A3C0000}"/>
    <cellStyle name="amount 3 5 4" xfId="19917" xr:uid="{00000000-0005-0000-0000-00003B3C0000}"/>
    <cellStyle name="amount 3 6" xfId="15959" xr:uid="{00000000-0005-0000-0000-00003C3C0000}"/>
    <cellStyle name="amount 3 7" xfId="19910" xr:uid="{00000000-0005-0000-0000-00003D3C0000}"/>
    <cellStyle name="amount 4" xfId="8210" xr:uid="{00000000-0005-0000-0000-00003E3C0000}"/>
    <cellStyle name="amount 4 2" xfId="8211" xr:uid="{00000000-0005-0000-0000-00003F3C0000}"/>
    <cellStyle name="amount 4 2 2" xfId="15969" xr:uid="{00000000-0005-0000-0000-0000403C0000}"/>
    <cellStyle name="amount 4 2 3" xfId="19920" xr:uid="{00000000-0005-0000-0000-0000413C0000}"/>
    <cellStyle name="amount 4 3" xfId="15968" xr:uid="{00000000-0005-0000-0000-0000423C0000}"/>
    <cellStyle name="amount 4 4" xfId="19919" xr:uid="{00000000-0005-0000-0000-0000433C0000}"/>
    <cellStyle name="amount 5" xfId="8212" xr:uid="{00000000-0005-0000-0000-0000443C0000}"/>
    <cellStyle name="amount 5 2" xfId="8213" xr:uid="{00000000-0005-0000-0000-0000453C0000}"/>
    <cellStyle name="amount 5 2 2" xfId="15971" xr:uid="{00000000-0005-0000-0000-0000463C0000}"/>
    <cellStyle name="amount 5 2 3" xfId="19922" xr:uid="{00000000-0005-0000-0000-0000473C0000}"/>
    <cellStyle name="amount 5 3" xfId="15970" xr:uid="{00000000-0005-0000-0000-0000483C0000}"/>
    <cellStyle name="amount 5 4" xfId="19921" xr:uid="{00000000-0005-0000-0000-0000493C0000}"/>
    <cellStyle name="amount 6" xfId="8214" xr:uid="{00000000-0005-0000-0000-00004A3C0000}"/>
    <cellStyle name="amount 6 2" xfId="8215" xr:uid="{00000000-0005-0000-0000-00004B3C0000}"/>
    <cellStyle name="amount 6 2 2" xfId="15973" xr:uid="{00000000-0005-0000-0000-00004C3C0000}"/>
    <cellStyle name="amount 6 2 3" xfId="19924" xr:uid="{00000000-0005-0000-0000-00004D3C0000}"/>
    <cellStyle name="amount 6 3" xfId="15972" xr:uid="{00000000-0005-0000-0000-00004E3C0000}"/>
    <cellStyle name="amount 6 4" xfId="19923" xr:uid="{00000000-0005-0000-0000-00004F3C0000}"/>
    <cellStyle name="amount 7" xfId="8216" xr:uid="{00000000-0005-0000-0000-0000503C0000}"/>
    <cellStyle name="amount 7 2" xfId="8217" xr:uid="{00000000-0005-0000-0000-0000513C0000}"/>
    <cellStyle name="amount 7 2 2" xfId="15975" xr:uid="{00000000-0005-0000-0000-0000523C0000}"/>
    <cellStyle name="amount 7 2 3" xfId="19926" xr:uid="{00000000-0005-0000-0000-0000533C0000}"/>
    <cellStyle name="amount 7 3" xfId="15974" xr:uid="{00000000-0005-0000-0000-0000543C0000}"/>
    <cellStyle name="amount 7 4" xfId="19925" xr:uid="{00000000-0005-0000-0000-0000553C0000}"/>
    <cellStyle name="Ana Başlık" xfId="16357" xr:uid="{00000000-0005-0000-0000-0000563C0000}"/>
    <cellStyle name="Andre's Title" xfId="16358" xr:uid="{00000000-0005-0000-0000-0000573C0000}"/>
    <cellStyle name="Ann'l_Incr" xfId="8218" xr:uid="{00000000-0005-0000-0000-0000583C0000}"/>
    <cellStyle name="args.style" xfId="8219" xr:uid="{00000000-0005-0000-0000-0000593C0000}"/>
    <cellStyle name="args.style 10" xfId="8220" xr:uid="{00000000-0005-0000-0000-00005A3C0000}"/>
    <cellStyle name="args.style 10 2" xfId="8221" xr:uid="{00000000-0005-0000-0000-00005B3C0000}"/>
    <cellStyle name="args.style 11" xfId="8222" xr:uid="{00000000-0005-0000-0000-00005C3C0000}"/>
    <cellStyle name="args.style 11 2" xfId="8223" xr:uid="{00000000-0005-0000-0000-00005D3C0000}"/>
    <cellStyle name="args.style 12" xfId="8224" xr:uid="{00000000-0005-0000-0000-00005E3C0000}"/>
    <cellStyle name="args.style 12 2" xfId="8225" xr:uid="{00000000-0005-0000-0000-00005F3C0000}"/>
    <cellStyle name="args.style 13" xfId="8226" xr:uid="{00000000-0005-0000-0000-0000603C0000}"/>
    <cellStyle name="args.style 13 2" xfId="8227" xr:uid="{00000000-0005-0000-0000-0000613C0000}"/>
    <cellStyle name="args.style 14" xfId="8228" xr:uid="{00000000-0005-0000-0000-0000623C0000}"/>
    <cellStyle name="args.style 15" xfId="8229" xr:uid="{00000000-0005-0000-0000-0000633C0000}"/>
    <cellStyle name="args.style 16" xfId="8230" xr:uid="{00000000-0005-0000-0000-0000643C0000}"/>
    <cellStyle name="args.style 17" xfId="8231" xr:uid="{00000000-0005-0000-0000-0000653C0000}"/>
    <cellStyle name="args.style 18" xfId="8232" xr:uid="{00000000-0005-0000-0000-0000663C0000}"/>
    <cellStyle name="args.style 2" xfId="8233" xr:uid="{00000000-0005-0000-0000-0000673C0000}"/>
    <cellStyle name="args.style 2 10" xfId="8234" xr:uid="{00000000-0005-0000-0000-0000683C0000}"/>
    <cellStyle name="args.style 2 2" xfId="8235" xr:uid="{00000000-0005-0000-0000-0000693C0000}"/>
    <cellStyle name="args.style 2 2 2" xfId="8236" xr:uid="{00000000-0005-0000-0000-00006A3C0000}"/>
    <cellStyle name="args.style 2 2 2 2" xfId="8237" xr:uid="{00000000-0005-0000-0000-00006B3C0000}"/>
    <cellStyle name="args.style 2 2 2 2 2" xfId="8238" xr:uid="{00000000-0005-0000-0000-00006C3C0000}"/>
    <cellStyle name="args.style 2 2 2 2 3" xfId="8239" xr:uid="{00000000-0005-0000-0000-00006D3C0000}"/>
    <cellStyle name="args.style 2 2 2 2 4" xfId="8240" xr:uid="{00000000-0005-0000-0000-00006E3C0000}"/>
    <cellStyle name="args.style 2 2 2 2 5" xfId="8241" xr:uid="{00000000-0005-0000-0000-00006F3C0000}"/>
    <cellStyle name="args.style 2 2 2 2 6" xfId="8242" xr:uid="{00000000-0005-0000-0000-0000703C0000}"/>
    <cellStyle name="args.style 2 2 2 2 7" xfId="8243" xr:uid="{00000000-0005-0000-0000-0000713C0000}"/>
    <cellStyle name="args.style 2 2 2 2 8" xfId="8244" xr:uid="{00000000-0005-0000-0000-0000723C0000}"/>
    <cellStyle name="args.style 2 2 2 3" xfId="8245" xr:uid="{00000000-0005-0000-0000-0000733C0000}"/>
    <cellStyle name="args.style 2 2 2 4" xfId="8246" xr:uid="{00000000-0005-0000-0000-0000743C0000}"/>
    <cellStyle name="args.style 2 2 2 5" xfId="8247" xr:uid="{00000000-0005-0000-0000-0000753C0000}"/>
    <cellStyle name="args.style 2 2 2 6" xfId="8248" xr:uid="{00000000-0005-0000-0000-0000763C0000}"/>
    <cellStyle name="args.style 2 2 2 7" xfId="8249" xr:uid="{00000000-0005-0000-0000-0000773C0000}"/>
    <cellStyle name="args.style 2 2 2 8" xfId="8250" xr:uid="{00000000-0005-0000-0000-0000783C0000}"/>
    <cellStyle name="args.style 2 2 3" xfId="8251" xr:uid="{00000000-0005-0000-0000-0000793C0000}"/>
    <cellStyle name="args.style 2 2 4" xfId="8252" xr:uid="{00000000-0005-0000-0000-00007A3C0000}"/>
    <cellStyle name="args.style 2 2 5" xfId="8253" xr:uid="{00000000-0005-0000-0000-00007B3C0000}"/>
    <cellStyle name="args.style 2 2 6" xfId="8254" xr:uid="{00000000-0005-0000-0000-00007C3C0000}"/>
    <cellStyle name="args.style 2 2 7" xfId="8255" xr:uid="{00000000-0005-0000-0000-00007D3C0000}"/>
    <cellStyle name="args.style 2 2 8" xfId="8256" xr:uid="{00000000-0005-0000-0000-00007E3C0000}"/>
    <cellStyle name="args.style 2 3" xfId="8257" xr:uid="{00000000-0005-0000-0000-00007F3C0000}"/>
    <cellStyle name="args.style 2 3 2" xfId="8258" xr:uid="{00000000-0005-0000-0000-0000803C0000}"/>
    <cellStyle name="args.style 2 3 3" xfId="8259" xr:uid="{00000000-0005-0000-0000-0000813C0000}"/>
    <cellStyle name="args.style 2 3 4" xfId="8260" xr:uid="{00000000-0005-0000-0000-0000823C0000}"/>
    <cellStyle name="args.style 2 3 5" xfId="8261" xr:uid="{00000000-0005-0000-0000-0000833C0000}"/>
    <cellStyle name="args.style 2 3 6" xfId="8262" xr:uid="{00000000-0005-0000-0000-0000843C0000}"/>
    <cellStyle name="args.style 2 3 7" xfId="8263" xr:uid="{00000000-0005-0000-0000-0000853C0000}"/>
    <cellStyle name="args.style 2 3 8" xfId="8264" xr:uid="{00000000-0005-0000-0000-0000863C0000}"/>
    <cellStyle name="args.style 2 4" xfId="8265" xr:uid="{00000000-0005-0000-0000-0000873C0000}"/>
    <cellStyle name="args.style 2 5" xfId="8266" xr:uid="{00000000-0005-0000-0000-0000883C0000}"/>
    <cellStyle name="args.style 2 6" xfId="8267" xr:uid="{00000000-0005-0000-0000-0000893C0000}"/>
    <cellStyle name="args.style 2 7" xfId="8268" xr:uid="{00000000-0005-0000-0000-00008A3C0000}"/>
    <cellStyle name="args.style 2 8" xfId="8269" xr:uid="{00000000-0005-0000-0000-00008B3C0000}"/>
    <cellStyle name="args.style 2 9" xfId="8270" xr:uid="{00000000-0005-0000-0000-00008C3C0000}"/>
    <cellStyle name="args.style 3" xfId="8271" xr:uid="{00000000-0005-0000-0000-00008D3C0000}"/>
    <cellStyle name="args.style 3 10" xfId="8272" xr:uid="{00000000-0005-0000-0000-00008E3C0000}"/>
    <cellStyle name="args.style 3 2" xfId="8273" xr:uid="{00000000-0005-0000-0000-00008F3C0000}"/>
    <cellStyle name="args.style 3 2 2" xfId="8274" xr:uid="{00000000-0005-0000-0000-0000903C0000}"/>
    <cellStyle name="args.style 3 2 2 2" xfId="8275" xr:uid="{00000000-0005-0000-0000-0000913C0000}"/>
    <cellStyle name="args.style 3 2 2 2 2" xfId="8276" xr:uid="{00000000-0005-0000-0000-0000923C0000}"/>
    <cellStyle name="args.style 3 2 2 2 3" xfId="8277" xr:uid="{00000000-0005-0000-0000-0000933C0000}"/>
    <cellStyle name="args.style 3 2 2 2 4" xfId="8278" xr:uid="{00000000-0005-0000-0000-0000943C0000}"/>
    <cellStyle name="args.style 3 2 2 2 5" xfId="8279" xr:uid="{00000000-0005-0000-0000-0000953C0000}"/>
    <cellStyle name="args.style 3 2 2 2 6" xfId="8280" xr:uid="{00000000-0005-0000-0000-0000963C0000}"/>
    <cellStyle name="args.style 3 2 2 2 7" xfId="8281" xr:uid="{00000000-0005-0000-0000-0000973C0000}"/>
    <cellStyle name="args.style 3 2 2 2 8" xfId="8282" xr:uid="{00000000-0005-0000-0000-0000983C0000}"/>
    <cellStyle name="args.style 3 2 2 3" xfId="8283" xr:uid="{00000000-0005-0000-0000-0000993C0000}"/>
    <cellStyle name="args.style 3 2 2 4" xfId="8284" xr:uid="{00000000-0005-0000-0000-00009A3C0000}"/>
    <cellStyle name="args.style 3 2 2 5" xfId="8285" xr:uid="{00000000-0005-0000-0000-00009B3C0000}"/>
    <cellStyle name="args.style 3 2 2 6" xfId="8286" xr:uid="{00000000-0005-0000-0000-00009C3C0000}"/>
    <cellStyle name="args.style 3 2 2 7" xfId="8287" xr:uid="{00000000-0005-0000-0000-00009D3C0000}"/>
    <cellStyle name="args.style 3 2 2 8" xfId="8288" xr:uid="{00000000-0005-0000-0000-00009E3C0000}"/>
    <cellStyle name="args.style 3 2 3" xfId="8289" xr:uid="{00000000-0005-0000-0000-00009F3C0000}"/>
    <cellStyle name="args.style 3 2 4" xfId="8290" xr:uid="{00000000-0005-0000-0000-0000A03C0000}"/>
    <cellStyle name="args.style 3 2 5" xfId="8291" xr:uid="{00000000-0005-0000-0000-0000A13C0000}"/>
    <cellStyle name="args.style 3 2 6" xfId="8292" xr:uid="{00000000-0005-0000-0000-0000A23C0000}"/>
    <cellStyle name="args.style 3 2 7" xfId="8293" xr:uid="{00000000-0005-0000-0000-0000A33C0000}"/>
    <cellStyle name="args.style 3 2 8" xfId="8294" xr:uid="{00000000-0005-0000-0000-0000A43C0000}"/>
    <cellStyle name="args.style 3 3" xfId="8295" xr:uid="{00000000-0005-0000-0000-0000A53C0000}"/>
    <cellStyle name="args.style 3 3 2" xfId="8296" xr:uid="{00000000-0005-0000-0000-0000A63C0000}"/>
    <cellStyle name="args.style 3 3 3" xfId="8297" xr:uid="{00000000-0005-0000-0000-0000A73C0000}"/>
    <cellStyle name="args.style 3 3 4" xfId="8298" xr:uid="{00000000-0005-0000-0000-0000A83C0000}"/>
    <cellStyle name="args.style 3 3 5" xfId="8299" xr:uid="{00000000-0005-0000-0000-0000A93C0000}"/>
    <cellStyle name="args.style 3 3 6" xfId="8300" xr:uid="{00000000-0005-0000-0000-0000AA3C0000}"/>
    <cellStyle name="args.style 3 3 7" xfId="8301" xr:uid="{00000000-0005-0000-0000-0000AB3C0000}"/>
    <cellStyle name="args.style 3 3 8" xfId="8302" xr:uid="{00000000-0005-0000-0000-0000AC3C0000}"/>
    <cellStyle name="args.style 3 4" xfId="8303" xr:uid="{00000000-0005-0000-0000-0000AD3C0000}"/>
    <cellStyle name="args.style 3 5" xfId="8304" xr:uid="{00000000-0005-0000-0000-0000AE3C0000}"/>
    <cellStyle name="args.style 3 6" xfId="8305" xr:uid="{00000000-0005-0000-0000-0000AF3C0000}"/>
    <cellStyle name="args.style 3 7" xfId="8306" xr:uid="{00000000-0005-0000-0000-0000B03C0000}"/>
    <cellStyle name="args.style 3 8" xfId="8307" xr:uid="{00000000-0005-0000-0000-0000B13C0000}"/>
    <cellStyle name="args.style 3 9" xfId="8308" xr:uid="{00000000-0005-0000-0000-0000B23C0000}"/>
    <cellStyle name="args.style 4" xfId="8309" xr:uid="{00000000-0005-0000-0000-0000B33C0000}"/>
    <cellStyle name="args.style 4 2" xfId="8310" xr:uid="{00000000-0005-0000-0000-0000B43C0000}"/>
    <cellStyle name="args.style 4 2 2" xfId="8311" xr:uid="{00000000-0005-0000-0000-0000B53C0000}"/>
    <cellStyle name="args.style 4 2 2 2" xfId="8312" xr:uid="{00000000-0005-0000-0000-0000B63C0000}"/>
    <cellStyle name="args.style 4 3" xfId="8313" xr:uid="{00000000-0005-0000-0000-0000B73C0000}"/>
    <cellStyle name="args.style 4 4" xfId="8314" xr:uid="{00000000-0005-0000-0000-0000B83C0000}"/>
    <cellStyle name="args.style 5" xfId="8315" xr:uid="{00000000-0005-0000-0000-0000B93C0000}"/>
    <cellStyle name="args.style 5 2" xfId="8316" xr:uid="{00000000-0005-0000-0000-0000BA3C0000}"/>
    <cellStyle name="args.style 5 2 2" xfId="8317" xr:uid="{00000000-0005-0000-0000-0000BB3C0000}"/>
    <cellStyle name="args.style 5 2 3" xfId="8318" xr:uid="{00000000-0005-0000-0000-0000BC3C0000}"/>
    <cellStyle name="args.style 5 3" xfId="8319" xr:uid="{00000000-0005-0000-0000-0000BD3C0000}"/>
    <cellStyle name="args.style 5 4" xfId="8320" xr:uid="{00000000-0005-0000-0000-0000BE3C0000}"/>
    <cellStyle name="args.style 5 5" xfId="8321" xr:uid="{00000000-0005-0000-0000-0000BF3C0000}"/>
    <cellStyle name="args.style 6" xfId="8322" xr:uid="{00000000-0005-0000-0000-0000C03C0000}"/>
    <cellStyle name="args.style 6 2" xfId="8323" xr:uid="{00000000-0005-0000-0000-0000C13C0000}"/>
    <cellStyle name="args.style 6 3" xfId="8324" xr:uid="{00000000-0005-0000-0000-0000C23C0000}"/>
    <cellStyle name="args.style 6 4" xfId="8325" xr:uid="{00000000-0005-0000-0000-0000C33C0000}"/>
    <cellStyle name="args.style 7" xfId="8326" xr:uid="{00000000-0005-0000-0000-0000C43C0000}"/>
    <cellStyle name="args.style 7 2" xfId="8327" xr:uid="{00000000-0005-0000-0000-0000C53C0000}"/>
    <cellStyle name="args.style 8" xfId="8328" xr:uid="{00000000-0005-0000-0000-0000C63C0000}"/>
    <cellStyle name="args.style 8 2" xfId="8329" xr:uid="{00000000-0005-0000-0000-0000C73C0000}"/>
    <cellStyle name="args.style 9" xfId="8330" xr:uid="{00000000-0005-0000-0000-0000C83C0000}"/>
    <cellStyle name="args.style 9 2" xfId="8331" xr:uid="{00000000-0005-0000-0000-0000C93C0000}"/>
    <cellStyle name="Arial 10" xfId="8332" xr:uid="{00000000-0005-0000-0000-0000CA3C0000}"/>
    <cellStyle name="Arial 10 10" xfId="8333" xr:uid="{00000000-0005-0000-0000-0000CB3C0000}"/>
    <cellStyle name="Arial 10 10 2" xfId="8334" xr:uid="{00000000-0005-0000-0000-0000CC3C0000}"/>
    <cellStyle name="Arial 10 10 3" xfId="8335" xr:uid="{00000000-0005-0000-0000-0000CD3C0000}"/>
    <cellStyle name="Arial 10 11" xfId="8336" xr:uid="{00000000-0005-0000-0000-0000CE3C0000}"/>
    <cellStyle name="Arial 10 11 2" xfId="8337" xr:uid="{00000000-0005-0000-0000-0000CF3C0000}"/>
    <cellStyle name="Arial 10 11 2 2" xfId="8338" xr:uid="{00000000-0005-0000-0000-0000D03C0000}"/>
    <cellStyle name="Arial 10 11 2 3" xfId="8339" xr:uid="{00000000-0005-0000-0000-0000D13C0000}"/>
    <cellStyle name="Arial 10 11 3" xfId="8340" xr:uid="{00000000-0005-0000-0000-0000D23C0000}"/>
    <cellStyle name="Arial 10 12" xfId="8341" xr:uid="{00000000-0005-0000-0000-0000D33C0000}"/>
    <cellStyle name="Arial 10 13" xfId="8342" xr:uid="{00000000-0005-0000-0000-0000D43C0000}"/>
    <cellStyle name="Arial 10 14" xfId="8343" xr:uid="{00000000-0005-0000-0000-0000D53C0000}"/>
    <cellStyle name="Arial 10 15" xfId="8344" xr:uid="{00000000-0005-0000-0000-0000D63C0000}"/>
    <cellStyle name="Arial 10 16" xfId="8345" xr:uid="{00000000-0005-0000-0000-0000D73C0000}"/>
    <cellStyle name="Arial 10 17" xfId="8346" xr:uid="{00000000-0005-0000-0000-0000D83C0000}"/>
    <cellStyle name="Arial 10 2" xfId="8347" xr:uid="{00000000-0005-0000-0000-0000D93C0000}"/>
    <cellStyle name="Arial 10 2 10" xfId="8348" xr:uid="{00000000-0005-0000-0000-0000DA3C0000}"/>
    <cellStyle name="Arial 10 2 11" xfId="8349" xr:uid="{00000000-0005-0000-0000-0000DB3C0000}"/>
    <cellStyle name="Arial 10 2 12" xfId="8350" xr:uid="{00000000-0005-0000-0000-0000DC3C0000}"/>
    <cellStyle name="Arial 10 2 2" xfId="8351" xr:uid="{00000000-0005-0000-0000-0000DD3C0000}"/>
    <cellStyle name="Arial 10 2 2 2" xfId="8352" xr:uid="{00000000-0005-0000-0000-0000DE3C0000}"/>
    <cellStyle name="Arial 10 2 2 2 2" xfId="8353" xr:uid="{00000000-0005-0000-0000-0000DF3C0000}"/>
    <cellStyle name="Arial 10 2 2 2 2 2" xfId="8354" xr:uid="{00000000-0005-0000-0000-0000E03C0000}"/>
    <cellStyle name="Arial 10 2 2 2 2 2 2" xfId="8355" xr:uid="{00000000-0005-0000-0000-0000E13C0000}"/>
    <cellStyle name="Arial 10 2 2 2 2 2 3" xfId="8356" xr:uid="{00000000-0005-0000-0000-0000E23C0000}"/>
    <cellStyle name="Arial 10 2 2 2 2 2 4" xfId="8357" xr:uid="{00000000-0005-0000-0000-0000E33C0000}"/>
    <cellStyle name="Arial 10 2 2 2 2 2 5" xfId="8358" xr:uid="{00000000-0005-0000-0000-0000E43C0000}"/>
    <cellStyle name="Arial 10 2 2 2 2 2 6" xfId="8359" xr:uid="{00000000-0005-0000-0000-0000E53C0000}"/>
    <cellStyle name="Arial 10 2 2 2 2 2 7" xfId="8360" xr:uid="{00000000-0005-0000-0000-0000E63C0000}"/>
    <cellStyle name="Arial 10 2 2 2 2 2 8" xfId="8361" xr:uid="{00000000-0005-0000-0000-0000E73C0000}"/>
    <cellStyle name="Arial 10 2 2 2 2 3" xfId="8362" xr:uid="{00000000-0005-0000-0000-0000E83C0000}"/>
    <cellStyle name="Arial 10 2 2 2 2 4" xfId="8363" xr:uid="{00000000-0005-0000-0000-0000E93C0000}"/>
    <cellStyle name="Arial 10 2 2 2 2 5" xfId="8364" xr:uid="{00000000-0005-0000-0000-0000EA3C0000}"/>
    <cellStyle name="Arial 10 2 2 2 2 6" xfId="8365" xr:uid="{00000000-0005-0000-0000-0000EB3C0000}"/>
    <cellStyle name="Arial 10 2 2 2 2 7" xfId="8366" xr:uid="{00000000-0005-0000-0000-0000EC3C0000}"/>
    <cellStyle name="Arial 10 2 2 2 2 8" xfId="8367" xr:uid="{00000000-0005-0000-0000-0000ED3C0000}"/>
    <cellStyle name="Arial 10 2 2 2 2 9" xfId="8368" xr:uid="{00000000-0005-0000-0000-0000EE3C0000}"/>
    <cellStyle name="Arial 10 2 2 2 3" xfId="8369" xr:uid="{00000000-0005-0000-0000-0000EF3C0000}"/>
    <cellStyle name="Arial 10 2 2 2 4" xfId="8370" xr:uid="{00000000-0005-0000-0000-0000F03C0000}"/>
    <cellStyle name="Arial 10 2 2 2 5" xfId="8371" xr:uid="{00000000-0005-0000-0000-0000F13C0000}"/>
    <cellStyle name="Arial 10 2 2 2 6" xfId="8372" xr:uid="{00000000-0005-0000-0000-0000F23C0000}"/>
    <cellStyle name="Arial 10 2 2 2 7" xfId="8373" xr:uid="{00000000-0005-0000-0000-0000F33C0000}"/>
    <cellStyle name="Arial 10 2 2 2 8" xfId="8374" xr:uid="{00000000-0005-0000-0000-0000F43C0000}"/>
    <cellStyle name="Arial 10 2 2 2 9" xfId="8375" xr:uid="{00000000-0005-0000-0000-0000F53C0000}"/>
    <cellStyle name="Arial 10 2 2 3" xfId="8376" xr:uid="{00000000-0005-0000-0000-0000F63C0000}"/>
    <cellStyle name="Arial 10 2 2 4" xfId="8377" xr:uid="{00000000-0005-0000-0000-0000F73C0000}"/>
    <cellStyle name="Arial 10 2 2 5" xfId="8378" xr:uid="{00000000-0005-0000-0000-0000F83C0000}"/>
    <cellStyle name="Arial 10 2 2 6" xfId="8379" xr:uid="{00000000-0005-0000-0000-0000F93C0000}"/>
    <cellStyle name="Arial 10 2 2 7" xfId="8380" xr:uid="{00000000-0005-0000-0000-0000FA3C0000}"/>
    <cellStyle name="Arial 10 2 2 8" xfId="8381" xr:uid="{00000000-0005-0000-0000-0000FB3C0000}"/>
    <cellStyle name="Arial 10 2 2 9" xfId="8382" xr:uid="{00000000-0005-0000-0000-0000FC3C0000}"/>
    <cellStyle name="Arial 10 2 3" xfId="8383" xr:uid="{00000000-0005-0000-0000-0000FD3C0000}"/>
    <cellStyle name="Arial 10 2 4" xfId="8384" xr:uid="{00000000-0005-0000-0000-0000FE3C0000}"/>
    <cellStyle name="Arial 10 2 5" xfId="8385" xr:uid="{00000000-0005-0000-0000-0000FF3C0000}"/>
    <cellStyle name="Arial 10 2 6" xfId="8386" xr:uid="{00000000-0005-0000-0000-0000003D0000}"/>
    <cellStyle name="Arial 10 2 7" xfId="8387" xr:uid="{00000000-0005-0000-0000-0000013D0000}"/>
    <cellStyle name="Arial 10 2 8" xfId="8388" xr:uid="{00000000-0005-0000-0000-0000023D0000}"/>
    <cellStyle name="Arial 10 2 9" xfId="8389" xr:uid="{00000000-0005-0000-0000-0000033D0000}"/>
    <cellStyle name="Arial 10 3" xfId="8390" xr:uid="{00000000-0005-0000-0000-0000043D0000}"/>
    <cellStyle name="Arial 10 3 2" xfId="8391" xr:uid="{00000000-0005-0000-0000-0000053D0000}"/>
    <cellStyle name="Arial 10 3 3" xfId="8392" xr:uid="{00000000-0005-0000-0000-0000063D0000}"/>
    <cellStyle name="Arial 10 3 4" xfId="8393" xr:uid="{00000000-0005-0000-0000-0000073D0000}"/>
    <cellStyle name="Arial 10 3 5" xfId="8394" xr:uid="{00000000-0005-0000-0000-0000083D0000}"/>
    <cellStyle name="Arial 10 3 6" xfId="8395" xr:uid="{00000000-0005-0000-0000-0000093D0000}"/>
    <cellStyle name="Arial 10 3 7" xfId="8396" xr:uid="{00000000-0005-0000-0000-00000A3D0000}"/>
    <cellStyle name="Arial 10 3 8" xfId="8397" xr:uid="{00000000-0005-0000-0000-00000B3D0000}"/>
    <cellStyle name="Arial 10 3 9" xfId="8398" xr:uid="{00000000-0005-0000-0000-00000C3D0000}"/>
    <cellStyle name="Arial 10 4" xfId="8399" xr:uid="{00000000-0005-0000-0000-00000D3D0000}"/>
    <cellStyle name="Arial 10 4 2" xfId="8400" xr:uid="{00000000-0005-0000-0000-00000E3D0000}"/>
    <cellStyle name="Arial 10 4 3" xfId="8401" xr:uid="{00000000-0005-0000-0000-00000F3D0000}"/>
    <cellStyle name="Arial 10 4 4" xfId="8402" xr:uid="{00000000-0005-0000-0000-0000103D0000}"/>
    <cellStyle name="Arial 10 4 5" xfId="8403" xr:uid="{00000000-0005-0000-0000-0000113D0000}"/>
    <cellStyle name="Arial 10 4 6" xfId="8404" xr:uid="{00000000-0005-0000-0000-0000123D0000}"/>
    <cellStyle name="Arial 10 4 7" xfId="8405" xr:uid="{00000000-0005-0000-0000-0000133D0000}"/>
    <cellStyle name="Arial 10 4 8" xfId="8406" xr:uid="{00000000-0005-0000-0000-0000143D0000}"/>
    <cellStyle name="Arial 10 4 9" xfId="8407" xr:uid="{00000000-0005-0000-0000-0000153D0000}"/>
    <cellStyle name="Arial 10 5" xfId="8408" xr:uid="{00000000-0005-0000-0000-0000163D0000}"/>
    <cellStyle name="Arial 10 5 2" xfId="8409" xr:uid="{00000000-0005-0000-0000-0000173D0000}"/>
    <cellStyle name="Arial 10 5 3" xfId="8410" xr:uid="{00000000-0005-0000-0000-0000183D0000}"/>
    <cellStyle name="Arial 10 5 4" xfId="8411" xr:uid="{00000000-0005-0000-0000-0000193D0000}"/>
    <cellStyle name="Arial 10 5 5" xfId="8412" xr:uid="{00000000-0005-0000-0000-00001A3D0000}"/>
    <cellStyle name="Arial 10 5 6" xfId="8413" xr:uid="{00000000-0005-0000-0000-00001B3D0000}"/>
    <cellStyle name="Arial 10 5 7" xfId="8414" xr:uid="{00000000-0005-0000-0000-00001C3D0000}"/>
    <cellStyle name="Arial 10 5 8" xfId="8415" xr:uid="{00000000-0005-0000-0000-00001D3D0000}"/>
    <cellStyle name="Arial 10 5 9" xfId="8416" xr:uid="{00000000-0005-0000-0000-00001E3D0000}"/>
    <cellStyle name="Arial 10 6" xfId="8417" xr:uid="{00000000-0005-0000-0000-00001F3D0000}"/>
    <cellStyle name="Arial 10 6 2" xfId="8418" xr:uid="{00000000-0005-0000-0000-0000203D0000}"/>
    <cellStyle name="Arial 10 6 3" xfId="8419" xr:uid="{00000000-0005-0000-0000-0000213D0000}"/>
    <cellStyle name="Arial 10 6 4" xfId="8420" xr:uid="{00000000-0005-0000-0000-0000223D0000}"/>
    <cellStyle name="Arial 10 6 5" xfId="8421" xr:uid="{00000000-0005-0000-0000-0000233D0000}"/>
    <cellStyle name="Arial 10 6 6" xfId="8422" xr:uid="{00000000-0005-0000-0000-0000243D0000}"/>
    <cellStyle name="Arial 10 6 7" xfId="8423" xr:uid="{00000000-0005-0000-0000-0000253D0000}"/>
    <cellStyle name="Arial 10 6 8" xfId="8424" xr:uid="{00000000-0005-0000-0000-0000263D0000}"/>
    <cellStyle name="Arial 10 6 9" xfId="8425" xr:uid="{00000000-0005-0000-0000-0000273D0000}"/>
    <cellStyle name="Arial 10 7" xfId="8426" xr:uid="{00000000-0005-0000-0000-0000283D0000}"/>
    <cellStyle name="Arial 10 7 2" xfId="8427" xr:uid="{00000000-0005-0000-0000-0000293D0000}"/>
    <cellStyle name="Arial 10 7 3" xfId="8428" xr:uid="{00000000-0005-0000-0000-00002A3D0000}"/>
    <cellStyle name="Arial 10 7 4" xfId="8429" xr:uid="{00000000-0005-0000-0000-00002B3D0000}"/>
    <cellStyle name="Arial 10 7 5" xfId="8430" xr:uid="{00000000-0005-0000-0000-00002C3D0000}"/>
    <cellStyle name="Arial 10 7 6" xfId="8431" xr:uid="{00000000-0005-0000-0000-00002D3D0000}"/>
    <cellStyle name="Arial 10 7 7" xfId="8432" xr:uid="{00000000-0005-0000-0000-00002E3D0000}"/>
    <cellStyle name="Arial 10 7 8" xfId="8433" xr:uid="{00000000-0005-0000-0000-00002F3D0000}"/>
    <cellStyle name="Arial 10 7 9" xfId="8434" xr:uid="{00000000-0005-0000-0000-0000303D0000}"/>
    <cellStyle name="Arial 10 8" xfId="8435" xr:uid="{00000000-0005-0000-0000-0000313D0000}"/>
    <cellStyle name="Arial 10 8 2" xfId="8436" xr:uid="{00000000-0005-0000-0000-0000323D0000}"/>
    <cellStyle name="Arial 10 8 3" xfId="8437" xr:uid="{00000000-0005-0000-0000-0000333D0000}"/>
    <cellStyle name="Arial 10 8 4" xfId="8438" xr:uid="{00000000-0005-0000-0000-0000343D0000}"/>
    <cellStyle name="Arial 10 8 5" xfId="8439" xr:uid="{00000000-0005-0000-0000-0000353D0000}"/>
    <cellStyle name="Arial 10 8 6" xfId="8440" xr:uid="{00000000-0005-0000-0000-0000363D0000}"/>
    <cellStyle name="Arial 10 8 7" xfId="8441" xr:uid="{00000000-0005-0000-0000-0000373D0000}"/>
    <cellStyle name="Arial 10 8 8" xfId="8442" xr:uid="{00000000-0005-0000-0000-0000383D0000}"/>
    <cellStyle name="Arial 10 8 9" xfId="8443" xr:uid="{00000000-0005-0000-0000-0000393D0000}"/>
    <cellStyle name="Arial 10 9" xfId="8444" xr:uid="{00000000-0005-0000-0000-00003A3D0000}"/>
    <cellStyle name="Arial 10 9 2" xfId="8445" xr:uid="{00000000-0005-0000-0000-00003B3D0000}"/>
    <cellStyle name="Arial 10 9 3" xfId="8446" xr:uid="{00000000-0005-0000-0000-00003C3D0000}"/>
    <cellStyle name="Arial 10 9 4" xfId="8447" xr:uid="{00000000-0005-0000-0000-00003D3D0000}"/>
    <cellStyle name="Arial 10 9 5" xfId="8448" xr:uid="{00000000-0005-0000-0000-00003E3D0000}"/>
    <cellStyle name="Arial 10 9 6" xfId="8449" xr:uid="{00000000-0005-0000-0000-00003F3D0000}"/>
    <cellStyle name="Arial 10 9 7" xfId="8450" xr:uid="{00000000-0005-0000-0000-0000403D0000}"/>
    <cellStyle name="Arial 10 9 8" xfId="8451" xr:uid="{00000000-0005-0000-0000-0000413D0000}"/>
    <cellStyle name="Arial 10 9 9" xfId="8452" xr:uid="{00000000-0005-0000-0000-0000423D0000}"/>
    <cellStyle name="Arial 12" xfId="8453" xr:uid="{00000000-0005-0000-0000-0000433D0000}"/>
    <cellStyle name="Arial 12 2" xfId="8454" xr:uid="{00000000-0005-0000-0000-0000443D0000}"/>
    <cellStyle name="Arial 12 2 2" xfId="8455" xr:uid="{00000000-0005-0000-0000-0000453D0000}"/>
    <cellStyle name="Arial 12 2 2 2" xfId="8456" xr:uid="{00000000-0005-0000-0000-0000463D0000}"/>
    <cellStyle name="Arial 12 3" xfId="8457" xr:uid="{00000000-0005-0000-0000-0000473D0000}"/>
    <cellStyle name="Arial 12 4" xfId="8458" xr:uid="{00000000-0005-0000-0000-0000483D0000}"/>
    <cellStyle name="Arial 12 5" xfId="8459" xr:uid="{00000000-0005-0000-0000-0000493D0000}"/>
    <cellStyle name="ARIAL 14" xfId="8460" xr:uid="{00000000-0005-0000-0000-00004A3D0000}"/>
    <cellStyle name="ARIAL 14 2" xfId="8461" xr:uid="{00000000-0005-0000-0000-00004B3D0000}"/>
    <cellStyle name="Arial6Bold" xfId="8462" xr:uid="{00000000-0005-0000-0000-00004C3D0000}"/>
    <cellStyle name="Arial6Bold 2" xfId="8463" xr:uid="{00000000-0005-0000-0000-00004D3D0000}"/>
    <cellStyle name="Arial6Bold 2 2" xfId="8464" xr:uid="{00000000-0005-0000-0000-00004E3D0000}"/>
    <cellStyle name="Arial6Bold 2 2 2" xfId="8465" xr:uid="{00000000-0005-0000-0000-00004F3D0000}"/>
    <cellStyle name="Arial6Bold 2 2 2 2" xfId="19930" xr:uid="{00000000-0005-0000-0000-0000503D0000}"/>
    <cellStyle name="Arial6Bold 2 2 3" xfId="19929" xr:uid="{00000000-0005-0000-0000-0000513D0000}"/>
    <cellStyle name="Arial6Bold 2 3" xfId="8466" xr:uid="{00000000-0005-0000-0000-0000523D0000}"/>
    <cellStyle name="Arial6Bold 2 3 2" xfId="8467" xr:uid="{00000000-0005-0000-0000-0000533D0000}"/>
    <cellStyle name="Arial6Bold 2 3 2 2" xfId="19932" xr:uid="{00000000-0005-0000-0000-0000543D0000}"/>
    <cellStyle name="Arial6Bold 2 3 3" xfId="19931" xr:uid="{00000000-0005-0000-0000-0000553D0000}"/>
    <cellStyle name="Arial6Bold 2 4" xfId="8468" xr:uid="{00000000-0005-0000-0000-0000563D0000}"/>
    <cellStyle name="Arial6Bold 2 4 2" xfId="19933" xr:uid="{00000000-0005-0000-0000-0000573D0000}"/>
    <cellStyle name="Arial6Bold 2 5" xfId="19928" xr:uid="{00000000-0005-0000-0000-0000583D0000}"/>
    <cellStyle name="Arial6Bold 3" xfId="8469" xr:uid="{00000000-0005-0000-0000-0000593D0000}"/>
    <cellStyle name="Arial6Bold 3 2" xfId="8470" xr:uid="{00000000-0005-0000-0000-00005A3D0000}"/>
    <cellStyle name="Arial6Bold 3 2 2" xfId="19935" xr:uid="{00000000-0005-0000-0000-00005B3D0000}"/>
    <cellStyle name="Arial6Bold 3 3" xfId="19934" xr:uid="{00000000-0005-0000-0000-00005C3D0000}"/>
    <cellStyle name="Arial6Bold 4" xfId="8471" xr:uid="{00000000-0005-0000-0000-00005D3D0000}"/>
    <cellStyle name="Arial6Bold 4 2" xfId="8472" xr:uid="{00000000-0005-0000-0000-00005E3D0000}"/>
    <cellStyle name="Arial6Bold 4 2 2" xfId="19937" xr:uid="{00000000-0005-0000-0000-00005F3D0000}"/>
    <cellStyle name="Arial6Bold 4 3" xfId="19936" xr:uid="{00000000-0005-0000-0000-0000603D0000}"/>
    <cellStyle name="Arial6Bold 5" xfId="8473" xr:uid="{00000000-0005-0000-0000-0000613D0000}"/>
    <cellStyle name="Arial6Bold 5 2" xfId="19938" xr:uid="{00000000-0005-0000-0000-0000623D0000}"/>
    <cellStyle name="Arial6Bold 6" xfId="19927" xr:uid="{00000000-0005-0000-0000-0000633D0000}"/>
    <cellStyle name="Arial8Bold" xfId="8474" xr:uid="{00000000-0005-0000-0000-0000643D0000}"/>
    <cellStyle name="Arial8Bold 2" xfId="8475" xr:uid="{00000000-0005-0000-0000-0000653D0000}"/>
    <cellStyle name="Arial8Bold 2 2" xfId="8476" xr:uid="{00000000-0005-0000-0000-0000663D0000}"/>
    <cellStyle name="Arial8Bold 2 2 2" xfId="8477" xr:uid="{00000000-0005-0000-0000-0000673D0000}"/>
    <cellStyle name="Arial8Bold 2 2 2 2" xfId="19942" xr:uid="{00000000-0005-0000-0000-0000683D0000}"/>
    <cellStyle name="Arial8Bold 2 2 3" xfId="19941" xr:uid="{00000000-0005-0000-0000-0000693D0000}"/>
    <cellStyle name="Arial8Bold 2 3" xfId="8478" xr:uid="{00000000-0005-0000-0000-00006A3D0000}"/>
    <cellStyle name="Arial8Bold 2 3 2" xfId="8479" xr:uid="{00000000-0005-0000-0000-00006B3D0000}"/>
    <cellStyle name="Arial8Bold 2 3 2 2" xfId="19944" xr:uid="{00000000-0005-0000-0000-00006C3D0000}"/>
    <cellStyle name="Arial8Bold 2 3 3" xfId="19943" xr:uid="{00000000-0005-0000-0000-00006D3D0000}"/>
    <cellStyle name="Arial8Bold 2 4" xfId="8480" xr:uid="{00000000-0005-0000-0000-00006E3D0000}"/>
    <cellStyle name="Arial8Bold 2 4 2" xfId="19945" xr:uid="{00000000-0005-0000-0000-00006F3D0000}"/>
    <cellStyle name="Arial8Bold 2 5" xfId="19940" xr:uid="{00000000-0005-0000-0000-0000703D0000}"/>
    <cellStyle name="Arial8Bold 3" xfId="8481" xr:uid="{00000000-0005-0000-0000-0000713D0000}"/>
    <cellStyle name="Arial8Bold 3 2" xfId="8482" xr:uid="{00000000-0005-0000-0000-0000723D0000}"/>
    <cellStyle name="Arial8Bold 3 2 2" xfId="19947" xr:uid="{00000000-0005-0000-0000-0000733D0000}"/>
    <cellStyle name="Arial8Bold 3 3" xfId="19946" xr:uid="{00000000-0005-0000-0000-0000743D0000}"/>
    <cellStyle name="Arial8Bold 4" xfId="8483" xr:uid="{00000000-0005-0000-0000-0000753D0000}"/>
    <cellStyle name="Arial8Bold 4 2" xfId="8484" xr:uid="{00000000-0005-0000-0000-0000763D0000}"/>
    <cellStyle name="Arial8Bold 4 2 2" xfId="19949" xr:uid="{00000000-0005-0000-0000-0000773D0000}"/>
    <cellStyle name="Arial8Bold 4 3" xfId="19948" xr:uid="{00000000-0005-0000-0000-0000783D0000}"/>
    <cellStyle name="Arial8Bold 5" xfId="8485" xr:uid="{00000000-0005-0000-0000-0000793D0000}"/>
    <cellStyle name="Arial8Bold 5 2" xfId="19950" xr:uid="{00000000-0005-0000-0000-00007A3D0000}"/>
    <cellStyle name="Arial8Bold 6" xfId="19939" xr:uid="{00000000-0005-0000-0000-00007B3D0000}"/>
    <cellStyle name="Arial8Italic" xfId="8486" xr:uid="{00000000-0005-0000-0000-00007C3D0000}"/>
    <cellStyle name="Arial8Italic 2" xfId="8487" xr:uid="{00000000-0005-0000-0000-00007D3D0000}"/>
    <cellStyle name="Arial8Italic 2 2" xfId="8488" xr:uid="{00000000-0005-0000-0000-00007E3D0000}"/>
    <cellStyle name="Arial8Italic 2 2 2" xfId="8489" xr:uid="{00000000-0005-0000-0000-00007F3D0000}"/>
    <cellStyle name="Arial8Italic 2 2 2 2" xfId="19954" xr:uid="{00000000-0005-0000-0000-0000803D0000}"/>
    <cellStyle name="Arial8Italic 2 2 3" xfId="19953" xr:uid="{00000000-0005-0000-0000-0000813D0000}"/>
    <cellStyle name="Arial8Italic 2 3" xfId="8490" xr:uid="{00000000-0005-0000-0000-0000823D0000}"/>
    <cellStyle name="Arial8Italic 2 3 2" xfId="8491" xr:uid="{00000000-0005-0000-0000-0000833D0000}"/>
    <cellStyle name="Arial8Italic 2 3 2 2" xfId="19956" xr:uid="{00000000-0005-0000-0000-0000843D0000}"/>
    <cellStyle name="Arial8Italic 2 3 3" xfId="19955" xr:uid="{00000000-0005-0000-0000-0000853D0000}"/>
    <cellStyle name="Arial8Italic 2 4" xfId="8492" xr:uid="{00000000-0005-0000-0000-0000863D0000}"/>
    <cellStyle name="Arial8Italic 2 4 2" xfId="19957" xr:uid="{00000000-0005-0000-0000-0000873D0000}"/>
    <cellStyle name="Arial8Italic 2 5" xfId="19952" xr:uid="{00000000-0005-0000-0000-0000883D0000}"/>
    <cellStyle name="Arial8Italic 3" xfId="8493" xr:uid="{00000000-0005-0000-0000-0000893D0000}"/>
    <cellStyle name="Arial8Italic 3 2" xfId="8494" xr:uid="{00000000-0005-0000-0000-00008A3D0000}"/>
    <cellStyle name="Arial8Italic 3 2 2" xfId="19959" xr:uid="{00000000-0005-0000-0000-00008B3D0000}"/>
    <cellStyle name="Arial8Italic 3 3" xfId="19958" xr:uid="{00000000-0005-0000-0000-00008C3D0000}"/>
    <cellStyle name="Arial8Italic 4" xfId="8495" xr:uid="{00000000-0005-0000-0000-00008D3D0000}"/>
    <cellStyle name="Arial8Italic 4 2" xfId="8496" xr:uid="{00000000-0005-0000-0000-00008E3D0000}"/>
    <cellStyle name="Arial8Italic 4 2 2" xfId="19961" xr:uid="{00000000-0005-0000-0000-00008F3D0000}"/>
    <cellStyle name="Arial8Italic 4 3" xfId="19960" xr:uid="{00000000-0005-0000-0000-0000903D0000}"/>
    <cellStyle name="Arial8Italic 5" xfId="8497" xr:uid="{00000000-0005-0000-0000-0000913D0000}"/>
    <cellStyle name="Arial8Italic 5 2" xfId="19962" xr:uid="{00000000-0005-0000-0000-0000923D0000}"/>
    <cellStyle name="Arial8Italic 6" xfId="19951" xr:uid="{00000000-0005-0000-0000-0000933D0000}"/>
    <cellStyle name="ArialNormal" xfId="8498" xr:uid="{00000000-0005-0000-0000-0000943D0000}"/>
    <cellStyle name="ArialNormal 2" xfId="8499" xr:uid="{00000000-0005-0000-0000-0000953D0000}"/>
    <cellStyle name="ArialNormal 2 2" xfId="8500" xr:uid="{00000000-0005-0000-0000-0000963D0000}"/>
    <cellStyle name="ArialNormal 2 2 2" xfId="8501" xr:uid="{00000000-0005-0000-0000-0000973D0000}"/>
    <cellStyle name="ArialNormal 2 2 2 2" xfId="19964" xr:uid="{00000000-0005-0000-0000-0000983D0000}"/>
    <cellStyle name="ArialNormal 2 2 3" xfId="19963" xr:uid="{00000000-0005-0000-0000-0000993D0000}"/>
    <cellStyle name="ArialNormal 2 3" xfId="8502" xr:uid="{00000000-0005-0000-0000-00009A3D0000}"/>
    <cellStyle name="ArialNormal 2 3 2" xfId="8503" xr:uid="{00000000-0005-0000-0000-00009B3D0000}"/>
    <cellStyle name="ArialNormal 2 3 2 2" xfId="19966" xr:uid="{00000000-0005-0000-0000-00009C3D0000}"/>
    <cellStyle name="ArialNormal 2 3 3" xfId="19965" xr:uid="{00000000-0005-0000-0000-00009D3D0000}"/>
    <cellStyle name="ArialNormal 3" xfId="8504" xr:uid="{00000000-0005-0000-0000-00009E3D0000}"/>
    <cellStyle name="ArialNormal 3 2" xfId="8505" xr:uid="{00000000-0005-0000-0000-00009F3D0000}"/>
    <cellStyle name="ArialNormal 3 2 2" xfId="19968" xr:uid="{00000000-0005-0000-0000-0000A03D0000}"/>
    <cellStyle name="ArialNormal 3 3" xfId="19967" xr:uid="{00000000-0005-0000-0000-0000A13D0000}"/>
    <cellStyle name="ArialNormal 4" xfId="8506" xr:uid="{00000000-0005-0000-0000-0000A23D0000}"/>
    <cellStyle name="ArialNormal 4 2" xfId="8507" xr:uid="{00000000-0005-0000-0000-0000A33D0000}"/>
    <cellStyle name="ArialNormal 4 2 2" xfId="19970" xr:uid="{00000000-0005-0000-0000-0000A43D0000}"/>
    <cellStyle name="ArialNormal 4 3" xfId="19969" xr:uid="{00000000-0005-0000-0000-0000A53D0000}"/>
    <cellStyle name="Ariel 7 pt. plain" xfId="16359" xr:uid="{00000000-0005-0000-0000-0000A63D0000}"/>
    <cellStyle name="Array" xfId="8508" xr:uid="{00000000-0005-0000-0000-0000A73D0000}"/>
    <cellStyle name="Array Enter" xfId="8509" xr:uid="{00000000-0005-0000-0000-0000A83D0000}"/>
    <cellStyle name="Assumption" xfId="16360" xr:uid="{00000000-0005-0000-0000-0000A93D0000}"/>
    <cellStyle name="ÄÞ¸¶ [0]_±âÅ¸" xfId="16361" xr:uid="{00000000-0005-0000-0000-0000AA3D0000}"/>
    <cellStyle name="ÄÞ¸¶_±âÅ¸" xfId="16362" xr:uid="{00000000-0005-0000-0000-0000AB3D0000}"/>
    <cellStyle name="AuditErrRangeFormula" xfId="16363" xr:uid="{00000000-0005-0000-0000-0000AC3D0000}"/>
    <cellStyle name="AuditErrRangeText" xfId="16364" xr:uid="{00000000-0005-0000-0000-0000AD3D0000}"/>
    <cellStyle name="AutoFormat" xfId="16365" xr:uid="{00000000-0005-0000-0000-0000AE3D0000}"/>
    <cellStyle name="avihai" xfId="8510" xr:uid="{00000000-0005-0000-0000-0000AF3D0000}"/>
    <cellStyle name="avihai 2" xfId="8511" xr:uid="{00000000-0005-0000-0000-0000B03D0000}"/>
    <cellStyle name="b" xfId="8512" xr:uid="{00000000-0005-0000-0000-0000B13D0000}"/>
    <cellStyle name="b - Line" xfId="8513" xr:uid="{00000000-0005-0000-0000-0000B23D0000}"/>
    <cellStyle name="b - Line - Dotted" xfId="8514" xr:uid="{00000000-0005-0000-0000-0000B33D0000}"/>
    <cellStyle name="b 2" xfId="8515" xr:uid="{00000000-0005-0000-0000-0000B43D0000}"/>
    <cellStyle name="b_Master Utilities Comps 060210 with IBES links" xfId="8516" xr:uid="{00000000-0005-0000-0000-0000B53D0000}"/>
    <cellStyle name="Bad 10" xfId="8517" xr:uid="{00000000-0005-0000-0000-0000B63D0000}"/>
    <cellStyle name="Bad 11" xfId="8518" xr:uid="{00000000-0005-0000-0000-0000B73D0000}"/>
    <cellStyle name="Bad 12" xfId="8519" xr:uid="{00000000-0005-0000-0000-0000B83D0000}"/>
    <cellStyle name="Bad 13" xfId="8520" xr:uid="{00000000-0005-0000-0000-0000B93D0000}"/>
    <cellStyle name="Bad 14" xfId="8521" xr:uid="{00000000-0005-0000-0000-0000BA3D0000}"/>
    <cellStyle name="Bad 15" xfId="8522" xr:uid="{00000000-0005-0000-0000-0000BB3D0000}"/>
    <cellStyle name="Bad 16" xfId="8523" xr:uid="{00000000-0005-0000-0000-0000BC3D0000}"/>
    <cellStyle name="Bad 17" xfId="8524" xr:uid="{00000000-0005-0000-0000-0000BD3D0000}"/>
    <cellStyle name="Bad 18" xfId="8525" xr:uid="{00000000-0005-0000-0000-0000BE3D0000}"/>
    <cellStyle name="Bad 19" xfId="8526" xr:uid="{00000000-0005-0000-0000-0000BF3D0000}"/>
    <cellStyle name="Bad 2" xfId="8527" xr:uid="{00000000-0005-0000-0000-0000C03D0000}"/>
    <cellStyle name="Bad 2 2" xfId="8528" xr:uid="{00000000-0005-0000-0000-0000C13D0000}"/>
    <cellStyle name="Bad 2 2 2" xfId="8529" xr:uid="{00000000-0005-0000-0000-0000C23D0000}"/>
    <cellStyle name="Bad 2 3" xfId="8530" xr:uid="{00000000-0005-0000-0000-0000C33D0000}"/>
    <cellStyle name="Bad 2 3 2" xfId="8531" xr:uid="{00000000-0005-0000-0000-0000C43D0000}"/>
    <cellStyle name="Bad 2 4" xfId="8532" xr:uid="{00000000-0005-0000-0000-0000C53D0000}"/>
    <cellStyle name="Bad 2 4 2" xfId="8533" xr:uid="{00000000-0005-0000-0000-0000C63D0000}"/>
    <cellStyle name="Bad 2 4 3" xfId="8534" xr:uid="{00000000-0005-0000-0000-0000C73D0000}"/>
    <cellStyle name="Bad 2 5" xfId="8535" xr:uid="{00000000-0005-0000-0000-0000C83D0000}"/>
    <cellStyle name="Bad 2 6" xfId="8536" xr:uid="{00000000-0005-0000-0000-0000C93D0000}"/>
    <cellStyle name="Bad 2 7" xfId="8537" xr:uid="{00000000-0005-0000-0000-0000CA3D0000}"/>
    <cellStyle name="Bad 2 8" xfId="8538" xr:uid="{00000000-0005-0000-0000-0000CB3D0000}"/>
    <cellStyle name="Bad 3" xfId="8539" xr:uid="{00000000-0005-0000-0000-0000CC3D0000}"/>
    <cellStyle name="Bad 3 2" xfId="8540" xr:uid="{00000000-0005-0000-0000-0000CD3D0000}"/>
    <cellStyle name="Bad 3 2 2" xfId="8541" xr:uid="{00000000-0005-0000-0000-0000CE3D0000}"/>
    <cellStyle name="Bad 3 2 3" xfId="8542" xr:uid="{00000000-0005-0000-0000-0000CF3D0000}"/>
    <cellStyle name="Bad 3 3" xfId="8543" xr:uid="{00000000-0005-0000-0000-0000D03D0000}"/>
    <cellStyle name="Bad 3 4" xfId="8544" xr:uid="{00000000-0005-0000-0000-0000D13D0000}"/>
    <cellStyle name="Bad 3 5" xfId="8545" xr:uid="{00000000-0005-0000-0000-0000D23D0000}"/>
    <cellStyle name="Bad 4" xfId="8546" xr:uid="{00000000-0005-0000-0000-0000D33D0000}"/>
    <cellStyle name="Bad 4 2" xfId="8547" xr:uid="{00000000-0005-0000-0000-0000D43D0000}"/>
    <cellStyle name="Bad 4 2 2" xfId="8548" xr:uid="{00000000-0005-0000-0000-0000D53D0000}"/>
    <cellStyle name="Bad 4 2 3" xfId="8549" xr:uid="{00000000-0005-0000-0000-0000D63D0000}"/>
    <cellStyle name="Bad 4 3" xfId="8550" xr:uid="{00000000-0005-0000-0000-0000D73D0000}"/>
    <cellStyle name="Bad 4 4" xfId="8551" xr:uid="{00000000-0005-0000-0000-0000D83D0000}"/>
    <cellStyle name="Bad 4 5" xfId="8552" xr:uid="{00000000-0005-0000-0000-0000D93D0000}"/>
    <cellStyle name="Bad 5" xfId="8553" xr:uid="{00000000-0005-0000-0000-0000DA3D0000}"/>
    <cellStyle name="Bad 5 2" xfId="8554" xr:uid="{00000000-0005-0000-0000-0000DB3D0000}"/>
    <cellStyle name="Bad 5 2 2" xfId="8555" xr:uid="{00000000-0005-0000-0000-0000DC3D0000}"/>
    <cellStyle name="Bad 5 2 3" xfId="8556" xr:uid="{00000000-0005-0000-0000-0000DD3D0000}"/>
    <cellStyle name="Bad 5 3" xfId="8557" xr:uid="{00000000-0005-0000-0000-0000DE3D0000}"/>
    <cellStyle name="Bad 5 4" xfId="8558" xr:uid="{00000000-0005-0000-0000-0000DF3D0000}"/>
    <cellStyle name="Bad 5 5" xfId="8559" xr:uid="{00000000-0005-0000-0000-0000E03D0000}"/>
    <cellStyle name="Bad 6" xfId="8560" xr:uid="{00000000-0005-0000-0000-0000E13D0000}"/>
    <cellStyle name="Bad 6 2" xfId="8561" xr:uid="{00000000-0005-0000-0000-0000E23D0000}"/>
    <cellStyle name="Bad 6 3" xfId="8562" xr:uid="{00000000-0005-0000-0000-0000E33D0000}"/>
    <cellStyle name="Bad 7" xfId="8563" xr:uid="{00000000-0005-0000-0000-0000E43D0000}"/>
    <cellStyle name="Bad 8" xfId="8564" xr:uid="{00000000-0005-0000-0000-0000E53D0000}"/>
    <cellStyle name="Bad 9" xfId="8565" xr:uid="{00000000-0005-0000-0000-0000E63D0000}"/>
    <cellStyle name="Bağlı Hücre" xfId="16366" xr:uid="{00000000-0005-0000-0000-0000E73D0000}"/>
    <cellStyle name="BalanceSheet" xfId="16367" xr:uid="{00000000-0005-0000-0000-0000E83D0000}"/>
    <cellStyle name="bar" xfId="16368" xr:uid="{00000000-0005-0000-0000-0000E93D0000}"/>
    <cellStyle name="Bar Title" xfId="16369" xr:uid="{00000000-0005-0000-0000-0000EA3D0000}"/>
    <cellStyle name="Bar1" xfId="8566" xr:uid="{00000000-0005-0000-0000-0000EB3D0000}"/>
    <cellStyle name="BAS Comma [0]" xfId="16370" xr:uid="{00000000-0005-0000-0000-0000EC3D0000}"/>
    <cellStyle name="BAS Date mm/dd/yy" xfId="16371" xr:uid="{00000000-0005-0000-0000-0000ED3D0000}"/>
    <cellStyle name="-Bas de tableau" xfId="8567" xr:uid="{00000000-0005-0000-0000-0000EE3D0000}"/>
    <cellStyle name="BAS Percent Actual [1]" xfId="16372" xr:uid="{00000000-0005-0000-0000-0000EF3D0000}"/>
    <cellStyle name="Başlık 1" xfId="16373" xr:uid="{00000000-0005-0000-0000-0000F03D0000}"/>
    <cellStyle name="Başlık 2" xfId="16374" xr:uid="{00000000-0005-0000-0000-0000F13D0000}"/>
    <cellStyle name="Başlık 3" xfId="16375" xr:uid="{00000000-0005-0000-0000-0000F23D0000}"/>
    <cellStyle name="Başlık 4" xfId="16376" xr:uid="{00000000-0005-0000-0000-0000F33D0000}"/>
    <cellStyle name="bch" xfId="16377" xr:uid="{00000000-0005-0000-0000-0000F43D0000}"/>
    <cellStyle name="bci" xfId="16378" xr:uid="{00000000-0005-0000-0000-0000F53D0000}"/>
    <cellStyle name="Below 0" xfId="16379" xr:uid="{00000000-0005-0000-0000-0000F63D0000}"/>
    <cellStyle name="Below 0.0" xfId="16380" xr:uid="{00000000-0005-0000-0000-0000F73D0000}"/>
    <cellStyle name="Best" xfId="8568" xr:uid="{00000000-0005-0000-0000-0000F83D0000}"/>
    <cellStyle name="Besuchter Hyperlink" xfId="16381" xr:uid="{00000000-0005-0000-0000-0000F93D0000}"/>
    <cellStyle name="Black" xfId="8569" xr:uid="{00000000-0005-0000-0000-0000FA3D0000}"/>
    <cellStyle name="Black 2" xfId="8570" xr:uid="{00000000-0005-0000-0000-0000FB3D0000}"/>
    <cellStyle name="Black 2 2" xfId="8571" xr:uid="{00000000-0005-0000-0000-0000FC3D0000}"/>
    <cellStyle name="Black 3" xfId="8572" xr:uid="{00000000-0005-0000-0000-0000FD3D0000}"/>
    <cellStyle name="Black 4" xfId="8573" xr:uid="{00000000-0005-0000-0000-0000FE3D0000}"/>
    <cellStyle name="Black 5" xfId="8574" xr:uid="{00000000-0005-0000-0000-0000FF3D0000}"/>
    <cellStyle name="Black Days" xfId="8575" xr:uid="{00000000-0005-0000-0000-0000003E0000}"/>
    <cellStyle name="Black Days 2" xfId="8576" xr:uid="{00000000-0005-0000-0000-0000013E0000}"/>
    <cellStyle name="Black Decimal" xfId="8577" xr:uid="{00000000-0005-0000-0000-0000023E0000}"/>
    <cellStyle name="Black Decimal 2" xfId="8578" xr:uid="{00000000-0005-0000-0000-0000033E0000}"/>
    <cellStyle name="Black Decimal 2 2" xfId="8579" xr:uid="{00000000-0005-0000-0000-0000043E0000}"/>
    <cellStyle name="Black Decimal 3" xfId="8580" xr:uid="{00000000-0005-0000-0000-0000053E0000}"/>
    <cellStyle name="Black Decimal 4" xfId="8581" xr:uid="{00000000-0005-0000-0000-0000063E0000}"/>
    <cellStyle name="Black Decimal 5" xfId="8582" xr:uid="{00000000-0005-0000-0000-0000073E0000}"/>
    <cellStyle name="Black Dollar" xfId="8583" xr:uid="{00000000-0005-0000-0000-0000083E0000}"/>
    <cellStyle name="Black Dollar 2" xfId="8584" xr:uid="{00000000-0005-0000-0000-0000093E0000}"/>
    <cellStyle name="Black Dollar 2 2" xfId="8585" xr:uid="{00000000-0005-0000-0000-00000A3E0000}"/>
    <cellStyle name="Black Dollar 2 3" xfId="15977" xr:uid="{00000000-0005-0000-0000-00000B3E0000}"/>
    <cellStyle name="Black Dollar 2 4" xfId="19972" xr:uid="{00000000-0005-0000-0000-00000C3E0000}"/>
    <cellStyle name="Black Dollar 3" xfId="8586" xr:uid="{00000000-0005-0000-0000-00000D3E0000}"/>
    <cellStyle name="Black Dollar 3 2" xfId="15978" xr:uid="{00000000-0005-0000-0000-00000E3E0000}"/>
    <cellStyle name="Black Dollar 3 3" xfId="19973" xr:uid="{00000000-0005-0000-0000-00000F3E0000}"/>
    <cellStyle name="Black Dollar 4" xfId="8587" xr:uid="{00000000-0005-0000-0000-0000103E0000}"/>
    <cellStyle name="Black Dollar 4 2" xfId="15979" xr:uid="{00000000-0005-0000-0000-0000113E0000}"/>
    <cellStyle name="Black Dollar 4 3" xfId="19974" xr:uid="{00000000-0005-0000-0000-0000123E0000}"/>
    <cellStyle name="Black Dollar 5" xfId="8588" xr:uid="{00000000-0005-0000-0000-0000133E0000}"/>
    <cellStyle name="Black Dollar 5 2" xfId="15980" xr:uid="{00000000-0005-0000-0000-0000143E0000}"/>
    <cellStyle name="Black Dollar 5 3" xfId="19975" xr:uid="{00000000-0005-0000-0000-0000153E0000}"/>
    <cellStyle name="Black Dollar 6" xfId="15976" xr:uid="{00000000-0005-0000-0000-0000163E0000}"/>
    <cellStyle name="Black Dollar 7" xfId="19971" xr:uid="{00000000-0005-0000-0000-0000173E0000}"/>
    <cellStyle name="Black EPS" xfId="8589" xr:uid="{00000000-0005-0000-0000-0000183E0000}"/>
    <cellStyle name="Black EPS 2" xfId="8590" xr:uid="{00000000-0005-0000-0000-0000193E0000}"/>
    <cellStyle name="Black Percent" xfId="8591" xr:uid="{00000000-0005-0000-0000-00001A3E0000}"/>
    <cellStyle name="Black Percent 2" xfId="8592" xr:uid="{00000000-0005-0000-0000-00001B3E0000}"/>
    <cellStyle name="Black Percent2" xfId="8593" xr:uid="{00000000-0005-0000-0000-00001C3E0000}"/>
    <cellStyle name="Black Percent2 2" xfId="8594" xr:uid="{00000000-0005-0000-0000-00001D3E0000}"/>
    <cellStyle name="Black Times" xfId="8595" xr:uid="{00000000-0005-0000-0000-00001E3E0000}"/>
    <cellStyle name="Black Times 2" xfId="8596" xr:uid="{00000000-0005-0000-0000-00001F3E0000}"/>
    <cellStyle name="Black Times 2 2" xfId="8597" xr:uid="{00000000-0005-0000-0000-0000203E0000}"/>
    <cellStyle name="Black Times 3" xfId="8598" xr:uid="{00000000-0005-0000-0000-0000213E0000}"/>
    <cellStyle name="Black Times 4" xfId="8599" xr:uid="{00000000-0005-0000-0000-0000223E0000}"/>
    <cellStyle name="Black Times 5" xfId="8600" xr:uid="{00000000-0005-0000-0000-0000233E0000}"/>
    <cellStyle name="Black Times Two Deci" xfId="8601" xr:uid="{00000000-0005-0000-0000-0000243E0000}"/>
    <cellStyle name="Black Times Two Deci 2" xfId="8602" xr:uid="{00000000-0005-0000-0000-0000253E0000}"/>
    <cellStyle name="Black Times Two Deci2" xfId="8603" xr:uid="{00000000-0005-0000-0000-0000263E0000}"/>
    <cellStyle name="Black Times Two Deci2 2" xfId="8604" xr:uid="{00000000-0005-0000-0000-0000273E0000}"/>
    <cellStyle name="Black Times_Anaphore 12 31 2008 Draft Analysis 02 19 2009" xfId="8605" xr:uid="{00000000-0005-0000-0000-0000283E0000}"/>
    <cellStyle name="Black Times2" xfId="8606" xr:uid="{00000000-0005-0000-0000-0000293E0000}"/>
    <cellStyle name="Black Times2 2" xfId="8607" xr:uid="{00000000-0005-0000-0000-00002A3E0000}"/>
    <cellStyle name="Black Times2 2 2" xfId="8608" xr:uid="{00000000-0005-0000-0000-00002B3E0000}"/>
    <cellStyle name="Black Times2 3" xfId="8609" xr:uid="{00000000-0005-0000-0000-00002C3E0000}"/>
    <cellStyle name="Black Times2 4" xfId="8610" xr:uid="{00000000-0005-0000-0000-00002D3E0000}"/>
    <cellStyle name="Black Times2 5" xfId="8611" xr:uid="{00000000-0005-0000-0000-00002E3E0000}"/>
    <cellStyle name="Black_Anaphore 12 31 2008 Draft Analysis 02 19 2009" xfId="8612" xr:uid="{00000000-0005-0000-0000-00002F3E0000}"/>
    <cellStyle name="BlackStrike" xfId="8613" xr:uid="{00000000-0005-0000-0000-0000303E0000}"/>
    <cellStyle name="BlackText" xfId="8614" xr:uid="{00000000-0005-0000-0000-0000313E0000}"/>
    <cellStyle name="blank" xfId="8615" xr:uid="{00000000-0005-0000-0000-0000323E0000}"/>
    <cellStyle name="Blank[$]" xfId="8616" xr:uid="{00000000-0005-0000-0000-0000333E0000}"/>
    <cellStyle name="Blank[,]" xfId="8617" xr:uid="{00000000-0005-0000-0000-0000343E0000}"/>
    <cellStyle name="Blank[1$]" xfId="8618" xr:uid="{00000000-0005-0000-0000-0000353E0000}"/>
    <cellStyle name="Blank[1%]" xfId="8619" xr:uid="{00000000-0005-0000-0000-0000363E0000}"/>
    <cellStyle name="Blank[1]" xfId="8620" xr:uid="{00000000-0005-0000-0000-0000373E0000}"/>
    <cellStyle name="Blank[2$]" xfId="8621" xr:uid="{00000000-0005-0000-0000-0000383E0000}"/>
    <cellStyle name="Blank[2%]" xfId="8622" xr:uid="{00000000-0005-0000-0000-0000393E0000}"/>
    <cellStyle name="Blank[2]" xfId="8623" xr:uid="{00000000-0005-0000-0000-00003A3E0000}"/>
    <cellStyle name="Blank[3$]" xfId="8624" xr:uid="{00000000-0005-0000-0000-00003B3E0000}"/>
    <cellStyle name="Blank[3]" xfId="8625" xr:uid="{00000000-0005-0000-0000-00003C3E0000}"/>
    <cellStyle name="blue" xfId="8626" xr:uid="{00000000-0005-0000-0000-00003D3E0000}"/>
    <cellStyle name="Blue 2" xfId="8627" xr:uid="{00000000-0005-0000-0000-00003E3E0000}"/>
    <cellStyle name="Blue Decimal" xfId="8628" xr:uid="{00000000-0005-0000-0000-00003F3E0000}"/>
    <cellStyle name="Blue Decimal 2" xfId="8629" xr:uid="{00000000-0005-0000-0000-0000403E0000}"/>
    <cellStyle name="Blue Dollar" xfId="8630" xr:uid="{00000000-0005-0000-0000-0000413E0000}"/>
    <cellStyle name="Blue Dollar 2" xfId="8631" xr:uid="{00000000-0005-0000-0000-0000423E0000}"/>
    <cellStyle name="Blue EPS" xfId="8632" xr:uid="{00000000-0005-0000-0000-0000433E0000}"/>
    <cellStyle name="Blue EPS 2" xfId="8633" xr:uid="{00000000-0005-0000-0000-0000443E0000}"/>
    <cellStyle name="Blue Header" xfId="8634" xr:uid="{00000000-0005-0000-0000-0000453E0000}"/>
    <cellStyle name="Blue Header 2" xfId="8635" xr:uid="{00000000-0005-0000-0000-0000463E0000}"/>
    <cellStyle name="Blue Header 2 2" xfId="20255" xr:uid="{00000000-0005-0000-0000-0000473E0000}"/>
    <cellStyle name="Blue Header 3" xfId="8636" xr:uid="{00000000-0005-0000-0000-0000483E0000}"/>
    <cellStyle name="Blue Header 3 2" xfId="20256" xr:uid="{00000000-0005-0000-0000-0000493E0000}"/>
    <cellStyle name="Blue Header 4" xfId="20257" xr:uid="{00000000-0005-0000-0000-00004A3E0000}"/>
    <cellStyle name="blue shading" xfId="8637" xr:uid="{00000000-0005-0000-0000-00004B3E0000}"/>
    <cellStyle name="blue shading 2" xfId="8638" xr:uid="{00000000-0005-0000-0000-00004C3E0000}"/>
    <cellStyle name="Blue Text" xfId="8639" xr:uid="{00000000-0005-0000-0000-00004D3E0000}"/>
    <cellStyle name="Blue Text 2" xfId="8640" xr:uid="{00000000-0005-0000-0000-00004E3E0000}"/>
    <cellStyle name="Blue Title" xfId="8641" xr:uid="{00000000-0005-0000-0000-00004F3E0000}"/>
    <cellStyle name="Blue Title 2" xfId="8642" xr:uid="{00000000-0005-0000-0000-0000503E0000}"/>
    <cellStyle name="Blue Title 2 2" xfId="8643" xr:uid="{00000000-0005-0000-0000-0000513E0000}"/>
    <cellStyle name="Blue Title 3" xfId="8644" xr:uid="{00000000-0005-0000-0000-0000523E0000}"/>
    <cellStyle name="Blue Title 4" xfId="8645" xr:uid="{00000000-0005-0000-0000-0000533E0000}"/>
    <cellStyle name="Blue Title 5" xfId="8646" xr:uid="{00000000-0005-0000-0000-0000543E0000}"/>
    <cellStyle name="Blue Zero Deci" xfId="8647" xr:uid="{00000000-0005-0000-0000-0000553E0000}"/>
    <cellStyle name="Blue Zero Deci 2" xfId="8648" xr:uid="{00000000-0005-0000-0000-0000563E0000}"/>
    <cellStyle name="Blue_Boston Power VD 01 31 2008 Model 02 26 2008" xfId="8649" xr:uid="{00000000-0005-0000-0000-0000573E0000}"/>
    <cellStyle name="Body" xfId="8650" xr:uid="{00000000-0005-0000-0000-0000583E0000}"/>
    <cellStyle name="Body 2" xfId="8651" xr:uid="{00000000-0005-0000-0000-0000593E0000}"/>
    <cellStyle name="Body text" xfId="8652" xr:uid="{00000000-0005-0000-0000-00005A3E0000}"/>
    <cellStyle name="Body text 2" xfId="8653" xr:uid="{00000000-0005-0000-0000-00005B3E0000}"/>
    <cellStyle name="Body_$Numeric" xfId="8654" xr:uid="{00000000-0005-0000-0000-00005C3E0000}"/>
    <cellStyle name="bold" xfId="8655" xr:uid="{00000000-0005-0000-0000-00005D3E0000}"/>
    <cellStyle name="bold 2" xfId="8656" xr:uid="{00000000-0005-0000-0000-00005E3E0000}"/>
    <cellStyle name="Bold Italic + Line Top" xfId="8657" xr:uid="{00000000-0005-0000-0000-00005F3E0000}"/>
    <cellStyle name="Bold Italic + Line Top 2" xfId="8658" xr:uid="{00000000-0005-0000-0000-0000603E0000}"/>
    <cellStyle name="Bold Label" xfId="8659" xr:uid="{00000000-0005-0000-0000-0000613E0000}"/>
    <cellStyle name="Bold Text" xfId="8660" xr:uid="{00000000-0005-0000-0000-0000623E0000}"/>
    <cellStyle name="Bold Text %" xfId="8661" xr:uid="{00000000-0005-0000-0000-0000633E0000}"/>
    <cellStyle name="Bold Text + Line Top" xfId="8662" xr:uid="{00000000-0005-0000-0000-0000643E0000}"/>
    <cellStyle name="Bold Text + Line Top 2" xfId="8663" xr:uid="{00000000-0005-0000-0000-0000653E0000}"/>
    <cellStyle name="Bold Text 2" xfId="8664" xr:uid="{00000000-0005-0000-0000-0000663E0000}"/>
    <cellStyle name="Bold/Border" xfId="8665" xr:uid="{00000000-0005-0000-0000-0000673E0000}"/>
    <cellStyle name="Bold/Border 2" xfId="8666" xr:uid="{00000000-0005-0000-0000-0000683E0000}"/>
    <cellStyle name="Bold/Border 3" xfId="8667" xr:uid="{00000000-0005-0000-0000-0000693E0000}"/>
    <cellStyle name="Bold/Border 3 2" xfId="20258" xr:uid="{00000000-0005-0000-0000-00006A3E0000}"/>
    <cellStyle name="bold_Boston Power VD 01 31 2008 Model 02 26 2008" xfId="8668" xr:uid="{00000000-0005-0000-0000-00006B3E0000}"/>
    <cellStyle name="Bol-Data" xfId="8669" xr:uid="{00000000-0005-0000-0000-00006C3E0000}"/>
    <cellStyle name="BoldCen" xfId="8670" xr:uid="{00000000-0005-0000-0000-00006D3E0000}"/>
    <cellStyle name="BoldCenUnd" xfId="8671" xr:uid="{00000000-0005-0000-0000-00006E3E0000}"/>
    <cellStyle name="BoldCenUnd 2" xfId="8672" xr:uid="{00000000-0005-0000-0000-00006F3E0000}"/>
    <cellStyle name="BoldText" xfId="8673" xr:uid="{00000000-0005-0000-0000-0000703E0000}"/>
    <cellStyle name="bolet" xfId="8674" xr:uid="{00000000-0005-0000-0000-0000713E0000}"/>
    <cellStyle name="Boletim" xfId="8675" xr:uid="{00000000-0005-0000-0000-0000723E0000}"/>
    <cellStyle name="Bom" xfId="8676" xr:uid="{00000000-0005-0000-0000-0000733E0000}"/>
    <cellStyle name="Border" xfId="8677" xr:uid="{00000000-0005-0000-0000-0000743E0000}"/>
    <cellStyle name="Border 10" xfId="8678" xr:uid="{00000000-0005-0000-0000-0000753E0000}"/>
    <cellStyle name="Border 10 2" xfId="8679" xr:uid="{00000000-0005-0000-0000-0000763E0000}"/>
    <cellStyle name="Border 10 2 2" xfId="15982" xr:uid="{00000000-0005-0000-0000-0000773E0000}"/>
    <cellStyle name="Border 10 2 3" xfId="19977" xr:uid="{00000000-0005-0000-0000-0000783E0000}"/>
    <cellStyle name="Border 10 3" xfId="8680" xr:uid="{00000000-0005-0000-0000-0000793E0000}"/>
    <cellStyle name="Border 10 3 2" xfId="15983" xr:uid="{00000000-0005-0000-0000-00007A3E0000}"/>
    <cellStyle name="Border 10 3 3" xfId="19978" xr:uid="{00000000-0005-0000-0000-00007B3E0000}"/>
    <cellStyle name="Border 10 4" xfId="15981" xr:uid="{00000000-0005-0000-0000-00007C3E0000}"/>
    <cellStyle name="Border 10 5" xfId="19976" xr:uid="{00000000-0005-0000-0000-00007D3E0000}"/>
    <cellStyle name="Border 11" xfId="8681" xr:uid="{00000000-0005-0000-0000-00007E3E0000}"/>
    <cellStyle name="Border 11 2" xfId="8682" xr:uid="{00000000-0005-0000-0000-00007F3E0000}"/>
    <cellStyle name="Border 11 2 2" xfId="15985" xr:uid="{00000000-0005-0000-0000-0000803E0000}"/>
    <cellStyle name="Border 11 2 3" xfId="19980" xr:uid="{00000000-0005-0000-0000-0000813E0000}"/>
    <cellStyle name="Border 11 3" xfId="8683" xr:uid="{00000000-0005-0000-0000-0000823E0000}"/>
    <cellStyle name="Border 11 3 2" xfId="15986" xr:uid="{00000000-0005-0000-0000-0000833E0000}"/>
    <cellStyle name="Border 11 3 3" xfId="19981" xr:uid="{00000000-0005-0000-0000-0000843E0000}"/>
    <cellStyle name="Border 11 4" xfId="15984" xr:uid="{00000000-0005-0000-0000-0000853E0000}"/>
    <cellStyle name="Border 11 5" xfId="19979" xr:uid="{00000000-0005-0000-0000-0000863E0000}"/>
    <cellStyle name="Border 12" xfId="8684" xr:uid="{00000000-0005-0000-0000-0000873E0000}"/>
    <cellStyle name="Border 12 2" xfId="8685" xr:uid="{00000000-0005-0000-0000-0000883E0000}"/>
    <cellStyle name="Border 12 2 2" xfId="15988" xr:uid="{00000000-0005-0000-0000-0000893E0000}"/>
    <cellStyle name="Border 12 2 3" xfId="19983" xr:uid="{00000000-0005-0000-0000-00008A3E0000}"/>
    <cellStyle name="Border 12 3" xfId="8686" xr:uid="{00000000-0005-0000-0000-00008B3E0000}"/>
    <cellStyle name="Border 12 3 2" xfId="15989" xr:uid="{00000000-0005-0000-0000-00008C3E0000}"/>
    <cellStyle name="Border 12 3 3" xfId="19984" xr:uid="{00000000-0005-0000-0000-00008D3E0000}"/>
    <cellStyle name="Border 12 4" xfId="15987" xr:uid="{00000000-0005-0000-0000-00008E3E0000}"/>
    <cellStyle name="Border 12 5" xfId="19982" xr:uid="{00000000-0005-0000-0000-00008F3E0000}"/>
    <cellStyle name="Border 13" xfId="8687" xr:uid="{00000000-0005-0000-0000-0000903E0000}"/>
    <cellStyle name="Border 13 2" xfId="15990" xr:uid="{00000000-0005-0000-0000-0000913E0000}"/>
    <cellStyle name="Border 13 3" xfId="19985" xr:uid="{00000000-0005-0000-0000-0000923E0000}"/>
    <cellStyle name="Border 14" xfId="8688" xr:uid="{00000000-0005-0000-0000-0000933E0000}"/>
    <cellStyle name="Border 14 2" xfId="15991" xr:uid="{00000000-0005-0000-0000-0000943E0000}"/>
    <cellStyle name="Border 14 3" xfId="19986" xr:uid="{00000000-0005-0000-0000-0000953E0000}"/>
    <cellStyle name="Border 2" xfId="8689" xr:uid="{00000000-0005-0000-0000-0000963E0000}"/>
    <cellStyle name="Border 2 10" xfId="8690" xr:uid="{00000000-0005-0000-0000-0000973E0000}"/>
    <cellStyle name="Border 2 10 2" xfId="15993" xr:uid="{00000000-0005-0000-0000-0000983E0000}"/>
    <cellStyle name="Border 2 10 3" xfId="19988" xr:uid="{00000000-0005-0000-0000-0000993E0000}"/>
    <cellStyle name="Border 2 11" xfId="8691" xr:uid="{00000000-0005-0000-0000-00009A3E0000}"/>
    <cellStyle name="Border 2 11 2" xfId="15994" xr:uid="{00000000-0005-0000-0000-00009B3E0000}"/>
    <cellStyle name="Border 2 11 3" xfId="19989" xr:uid="{00000000-0005-0000-0000-00009C3E0000}"/>
    <cellStyle name="Border 2 12" xfId="15992" xr:uid="{00000000-0005-0000-0000-00009D3E0000}"/>
    <cellStyle name="Border 2 13" xfId="19987" xr:uid="{00000000-0005-0000-0000-00009E3E0000}"/>
    <cellStyle name="Border 2 2" xfId="8692" xr:uid="{00000000-0005-0000-0000-00009F3E0000}"/>
    <cellStyle name="Border 2 2 2" xfId="8693" xr:uid="{00000000-0005-0000-0000-0000A03E0000}"/>
    <cellStyle name="Border 2 2 2 2" xfId="15996" xr:uid="{00000000-0005-0000-0000-0000A13E0000}"/>
    <cellStyle name="Border 2 2 2 3" xfId="19991" xr:uid="{00000000-0005-0000-0000-0000A23E0000}"/>
    <cellStyle name="Border 2 2 3" xfId="8694" xr:uid="{00000000-0005-0000-0000-0000A33E0000}"/>
    <cellStyle name="Border 2 2 3 2" xfId="15997" xr:uid="{00000000-0005-0000-0000-0000A43E0000}"/>
    <cellStyle name="Border 2 2 3 3" xfId="19992" xr:uid="{00000000-0005-0000-0000-0000A53E0000}"/>
    <cellStyle name="Border 2 2 4" xfId="15995" xr:uid="{00000000-0005-0000-0000-0000A63E0000}"/>
    <cellStyle name="Border 2 2 5" xfId="19990" xr:uid="{00000000-0005-0000-0000-0000A73E0000}"/>
    <cellStyle name="Border 2 3" xfId="8695" xr:uid="{00000000-0005-0000-0000-0000A83E0000}"/>
    <cellStyle name="Border 2 3 2" xfId="8696" xr:uid="{00000000-0005-0000-0000-0000A93E0000}"/>
    <cellStyle name="Border 2 3 2 2" xfId="15999" xr:uid="{00000000-0005-0000-0000-0000AA3E0000}"/>
    <cellStyle name="Border 2 3 2 3" xfId="19994" xr:uid="{00000000-0005-0000-0000-0000AB3E0000}"/>
    <cellStyle name="Border 2 3 3" xfId="8697" xr:uid="{00000000-0005-0000-0000-0000AC3E0000}"/>
    <cellStyle name="Border 2 3 3 2" xfId="16000" xr:uid="{00000000-0005-0000-0000-0000AD3E0000}"/>
    <cellStyle name="Border 2 3 3 3" xfId="19995" xr:uid="{00000000-0005-0000-0000-0000AE3E0000}"/>
    <cellStyle name="Border 2 3 4" xfId="15998" xr:uid="{00000000-0005-0000-0000-0000AF3E0000}"/>
    <cellStyle name="Border 2 3 5" xfId="19993" xr:uid="{00000000-0005-0000-0000-0000B03E0000}"/>
    <cellStyle name="Border 2 4" xfId="8698" xr:uid="{00000000-0005-0000-0000-0000B13E0000}"/>
    <cellStyle name="Border 2 4 2" xfId="8699" xr:uid="{00000000-0005-0000-0000-0000B23E0000}"/>
    <cellStyle name="Border 2 4 2 2" xfId="16002" xr:uid="{00000000-0005-0000-0000-0000B33E0000}"/>
    <cellStyle name="Border 2 4 2 3" xfId="19997" xr:uid="{00000000-0005-0000-0000-0000B43E0000}"/>
    <cellStyle name="Border 2 4 3" xfId="8700" xr:uid="{00000000-0005-0000-0000-0000B53E0000}"/>
    <cellStyle name="Border 2 4 3 2" xfId="16003" xr:uid="{00000000-0005-0000-0000-0000B63E0000}"/>
    <cellStyle name="Border 2 4 3 3" xfId="19998" xr:uid="{00000000-0005-0000-0000-0000B73E0000}"/>
    <cellStyle name="Border 2 4 4" xfId="16001" xr:uid="{00000000-0005-0000-0000-0000B83E0000}"/>
    <cellStyle name="Border 2 4 5" xfId="19996" xr:uid="{00000000-0005-0000-0000-0000B93E0000}"/>
    <cellStyle name="Border 2 5" xfId="8701" xr:uid="{00000000-0005-0000-0000-0000BA3E0000}"/>
    <cellStyle name="Border 2 5 2" xfId="8702" xr:uid="{00000000-0005-0000-0000-0000BB3E0000}"/>
    <cellStyle name="Border 2 5 2 2" xfId="16005" xr:uid="{00000000-0005-0000-0000-0000BC3E0000}"/>
    <cellStyle name="Border 2 5 2 3" xfId="20000" xr:uid="{00000000-0005-0000-0000-0000BD3E0000}"/>
    <cellStyle name="Border 2 5 3" xfId="8703" xr:uid="{00000000-0005-0000-0000-0000BE3E0000}"/>
    <cellStyle name="Border 2 5 3 2" xfId="16006" xr:uid="{00000000-0005-0000-0000-0000BF3E0000}"/>
    <cellStyle name="Border 2 5 3 3" xfId="20001" xr:uid="{00000000-0005-0000-0000-0000C03E0000}"/>
    <cellStyle name="Border 2 5 4" xfId="16004" xr:uid="{00000000-0005-0000-0000-0000C13E0000}"/>
    <cellStyle name="Border 2 5 5" xfId="19999" xr:uid="{00000000-0005-0000-0000-0000C23E0000}"/>
    <cellStyle name="Border 2 6" xfId="8704" xr:uid="{00000000-0005-0000-0000-0000C33E0000}"/>
    <cellStyle name="Border 2 6 2" xfId="8705" xr:uid="{00000000-0005-0000-0000-0000C43E0000}"/>
    <cellStyle name="Border 2 6 2 2" xfId="16008" xr:uid="{00000000-0005-0000-0000-0000C53E0000}"/>
    <cellStyle name="Border 2 6 2 3" xfId="20003" xr:uid="{00000000-0005-0000-0000-0000C63E0000}"/>
    <cellStyle name="Border 2 6 3" xfId="8706" xr:uid="{00000000-0005-0000-0000-0000C73E0000}"/>
    <cellStyle name="Border 2 6 3 2" xfId="16009" xr:uid="{00000000-0005-0000-0000-0000C83E0000}"/>
    <cellStyle name="Border 2 6 3 3" xfId="20004" xr:uid="{00000000-0005-0000-0000-0000C93E0000}"/>
    <cellStyle name="Border 2 6 4" xfId="16007" xr:uid="{00000000-0005-0000-0000-0000CA3E0000}"/>
    <cellStyle name="Border 2 6 5" xfId="20002" xr:uid="{00000000-0005-0000-0000-0000CB3E0000}"/>
    <cellStyle name="Border 2 7" xfId="8707" xr:uid="{00000000-0005-0000-0000-0000CC3E0000}"/>
    <cellStyle name="Border 2 7 2" xfId="8708" xr:uid="{00000000-0005-0000-0000-0000CD3E0000}"/>
    <cellStyle name="Border 2 7 2 2" xfId="16011" xr:uid="{00000000-0005-0000-0000-0000CE3E0000}"/>
    <cellStyle name="Border 2 7 2 3" xfId="20006" xr:uid="{00000000-0005-0000-0000-0000CF3E0000}"/>
    <cellStyle name="Border 2 7 3" xfId="8709" xr:uid="{00000000-0005-0000-0000-0000D03E0000}"/>
    <cellStyle name="Border 2 7 3 2" xfId="16012" xr:uid="{00000000-0005-0000-0000-0000D13E0000}"/>
    <cellStyle name="Border 2 7 3 3" xfId="20007" xr:uid="{00000000-0005-0000-0000-0000D23E0000}"/>
    <cellStyle name="Border 2 7 4" xfId="16010" xr:uid="{00000000-0005-0000-0000-0000D33E0000}"/>
    <cellStyle name="Border 2 7 5" xfId="20005" xr:uid="{00000000-0005-0000-0000-0000D43E0000}"/>
    <cellStyle name="Border 2 8" xfId="8710" xr:uid="{00000000-0005-0000-0000-0000D53E0000}"/>
    <cellStyle name="Border 2 8 2" xfId="8711" xr:uid="{00000000-0005-0000-0000-0000D63E0000}"/>
    <cellStyle name="Border 2 8 2 2" xfId="16014" xr:uid="{00000000-0005-0000-0000-0000D73E0000}"/>
    <cellStyle name="Border 2 8 2 3" xfId="20009" xr:uid="{00000000-0005-0000-0000-0000D83E0000}"/>
    <cellStyle name="Border 2 8 3" xfId="8712" xr:uid="{00000000-0005-0000-0000-0000D93E0000}"/>
    <cellStyle name="Border 2 8 3 2" xfId="16015" xr:uid="{00000000-0005-0000-0000-0000DA3E0000}"/>
    <cellStyle name="Border 2 8 3 3" xfId="20010" xr:uid="{00000000-0005-0000-0000-0000DB3E0000}"/>
    <cellStyle name="Border 2 8 4" xfId="16013" xr:uid="{00000000-0005-0000-0000-0000DC3E0000}"/>
    <cellStyle name="Border 2 8 5" xfId="20008" xr:uid="{00000000-0005-0000-0000-0000DD3E0000}"/>
    <cellStyle name="Border 2 9" xfId="8713" xr:uid="{00000000-0005-0000-0000-0000DE3E0000}"/>
    <cellStyle name="Border 2 9 2" xfId="8714" xr:uid="{00000000-0005-0000-0000-0000DF3E0000}"/>
    <cellStyle name="Border 2 9 2 2" xfId="16017" xr:uid="{00000000-0005-0000-0000-0000E03E0000}"/>
    <cellStyle name="Border 2 9 2 3" xfId="20012" xr:uid="{00000000-0005-0000-0000-0000E13E0000}"/>
    <cellStyle name="Border 2 9 3" xfId="8715" xr:uid="{00000000-0005-0000-0000-0000E23E0000}"/>
    <cellStyle name="Border 2 9 3 2" xfId="16018" xr:uid="{00000000-0005-0000-0000-0000E33E0000}"/>
    <cellStyle name="Border 2 9 3 3" xfId="20013" xr:uid="{00000000-0005-0000-0000-0000E43E0000}"/>
    <cellStyle name="Border 2 9 4" xfId="16016" xr:uid="{00000000-0005-0000-0000-0000E53E0000}"/>
    <cellStyle name="Border 2 9 5" xfId="20011" xr:uid="{00000000-0005-0000-0000-0000E63E0000}"/>
    <cellStyle name="Border 3" xfId="8716" xr:uid="{00000000-0005-0000-0000-0000E73E0000}"/>
    <cellStyle name="Border 3 10" xfId="8717" xr:uid="{00000000-0005-0000-0000-0000E83E0000}"/>
    <cellStyle name="Border 3 10 2" xfId="16020" xr:uid="{00000000-0005-0000-0000-0000E93E0000}"/>
    <cellStyle name="Border 3 10 3" xfId="20015" xr:uid="{00000000-0005-0000-0000-0000EA3E0000}"/>
    <cellStyle name="Border 3 11" xfId="8718" xr:uid="{00000000-0005-0000-0000-0000EB3E0000}"/>
    <cellStyle name="Border 3 11 2" xfId="16021" xr:uid="{00000000-0005-0000-0000-0000EC3E0000}"/>
    <cellStyle name="Border 3 11 3" xfId="20016" xr:uid="{00000000-0005-0000-0000-0000ED3E0000}"/>
    <cellStyle name="Border 3 12" xfId="16019" xr:uid="{00000000-0005-0000-0000-0000EE3E0000}"/>
    <cellStyle name="Border 3 13" xfId="20014" xr:uid="{00000000-0005-0000-0000-0000EF3E0000}"/>
    <cellStyle name="Border 3 2" xfId="8719" xr:uid="{00000000-0005-0000-0000-0000F03E0000}"/>
    <cellStyle name="Border 3 2 2" xfId="8720" xr:uid="{00000000-0005-0000-0000-0000F13E0000}"/>
    <cellStyle name="Border 3 2 2 2" xfId="16023" xr:uid="{00000000-0005-0000-0000-0000F23E0000}"/>
    <cellStyle name="Border 3 2 2 3" xfId="20018" xr:uid="{00000000-0005-0000-0000-0000F33E0000}"/>
    <cellStyle name="Border 3 2 3" xfId="8721" xr:uid="{00000000-0005-0000-0000-0000F43E0000}"/>
    <cellStyle name="Border 3 2 3 2" xfId="16024" xr:uid="{00000000-0005-0000-0000-0000F53E0000}"/>
    <cellStyle name="Border 3 2 3 3" xfId="20019" xr:uid="{00000000-0005-0000-0000-0000F63E0000}"/>
    <cellStyle name="Border 3 2 4" xfId="16022" xr:uid="{00000000-0005-0000-0000-0000F73E0000}"/>
    <cellStyle name="Border 3 2 5" xfId="20017" xr:uid="{00000000-0005-0000-0000-0000F83E0000}"/>
    <cellStyle name="Border 3 3" xfId="8722" xr:uid="{00000000-0005-0000-0000-0000F93E0000}"/>
    <cellStyle name="Border 3 3 2" xfId="8723" xr:uid="{00000000-0005-0000-0000-0000FA3E0000}"/>
    <cellStyle name="Border 3 3 2 2" xfId="16026" xr:uid="{00000000-0005-0000-0000-0000FB3E0000}"/>
    <cellStyle name="Border 3 3 2 3" xfId="20021" xr:uid="{00000000-0005-0000-0000-0000FC3E0000}"/>
    <cellStyle name="Border 3 3 3" xfId="8724" xr:uid="{00000000-0005-0000-0000-0000FD3E0000}"/>
    <cellStyle name="Border 3 3 3 2" xfId="16027" xr:uid="{00000000-0005-0000-0000-0000FE3E0000}"/>
    <cellStyle name="Border 3 3 3 3" xfId="20022" xr:uid="{00000000-0005-0000-0000-0000FF3E0000}"/>
    <cellStyle name="Border 3 3 4" xfId="16025" xr:uid="{00000000-0005-0000-0000-0000003F0000}"/>
    <cellStyle name="Border 3 3 5" xfId="20020" xr:uid="{00000000-0005-0000-0000-0000013F0000}"/>
    <cellStyle name="Border 3 4" xfId="8725" xr:uid="{00000000-0005-0000-0000-0000023F0000}"/>
    <cellStyle name="Border 3 4 2" xfId="8726" xr:uid="{00000000-0005-0000-0000-0000033F0000}"/>
    <cellStyle name="Border 3 4 2 2" xfId="16029" xr:uid="{00000000-0005-0000-0000-0000043F0000}"/>
    <cellStyle name="Border 3 4 2 3" xfId="20024" xr:uid="{00000000-0005-0000-0000-0000053F0000}"/>
    <cellStyle name="Border 3 4 3" xfId="8727" xr:uid="{00000000-0005-0000-0000-0000063F0000}"/>
    <cellStyle name="Border 3 4 3 2" xfId="16030" xr:uid="{00000000-0005-0000-0000-0000073F0000}"/>
    <cellStyle name="Border 3 4 3 3" xfId="20025" xr:uid="{00000000-0005-0000-0000-0000083F0000}"/>
    <cellStyle name="Border 3 4 4" xfId="16028" xr:uid="{00000000-0005-0000-0000-0000093F0000}"/>
    <cellStyle name="Border 3 4 5" xfId="20023" xr:uid="{00000000-0005-0000-0000-00000A3F0000}"/>
    <cellStyle name="Border 3 5" xfId="8728" xr:uid="{00000000-0005-0000-0000-00000B3F0000}"/>
    <cellStyle name="Border 3 5 2" xfId="8729" xr:uid="{00000000-0005-0000-0000-00000C3F0000}"/>
    <cellStyle name="Border 3 5 2 2" xfId="16032" xr:uid="{00000000-0005-0000-0000-00000D3F0000}"/>
    <cellStyle name="Border 3 5 2 3" xfId="20027" xr:uid="{00000000-0005-0000-0000-00000E3F0000}"/>
    <cellStyle name="Border 3 5 3" xfId="8730" xr:uid="{00000000-0005-0000-0000-00000F3F0000}"/>
    <cellStyle name="Border 3 5 3 2" xfId="16033" xr:uid="{00000000-0005-0000-0000-0000103F0000}"/>
    <cellStyle name="Border 3 5 3 3" xfId="20028" xr:uid="{00000000-0005-0000-0000-0000113F0000}"/>
    <cellStyle name="Border 3 5 4" xfId="16031" xr:uid="{00000000-0005-0000-0000-0000123F0000}"/>
    <cellStyle name="Border 3 5 5" xfId="20026" xr:uid="{00000000-0005-0000-0000-0000133F0000}"/>
    <cellStyle name="Border 3 6" xfId="8731" xr:uid="{00000000-0005-0000-0000-0000143F0000}"/>
    <cellStyle name="Border 3 6 2" xfId="8732" xr:uid="{00000000-0005-0000-0000-0000153F0000}"/>
    <cellStyle name="Border 3 6 2 2" xfId="16035" xr:uid="{00000000-0005-0000-0000-0000163F0000}"/>
    <cellStyle name="Border 3 6 2 3" xfId="20030" xr:uid="{00000000-0005-0000-0000-0000173F0000}"/>
    <cellStyle name="Border 3 6 3" xfId="8733" xr:uid="{00000000-0005-0000-0000-0000183F0000}"/>
    <cellStyle name="Border 3 6 3 2" xfId="16036" xr:uid="{00000000-0005-0000-0000-0000193F0000}"/>
    <cellStyle name="Border 3 6 3 3" xfId="20031" xr:uid="{00000000-0005-0000-0000-00001A3F0000}"/>
    <cellStyle name="Border 3 6 4" xfId="16034" xr:uid="{00000000-0005-0000-0000-00001B3F0000}"/>
    <cellStyle name="Border 3 6 5" xfId="20029" xr:uid="{00000000-0005-0000-0000-00001C3F0000}"/>
    <cellStyle name="Border 3 7" xfId="8734" xr:uid="{00000000-0005-0000-0000-00001D3F0000}"/>
    <cellStyle name="Border 3 7 2" xfId="8735" xr:uid="{00000000-0005-0000-0000-00001E3F0000}"/>
    <cellStyle name="Border 3 7 2 2" xfId="16038" xr:uid="{00000000-0005-0000-0000-00001F3F0000}"/>
    <cellStyle name="Border 3 7 2 3" xfId="20033" xr:uid="{00000000-0005-0000-0000-0000203F0000}"/>
    <cellStyle name="Border 3 7 3" xfId="8736" xr:uid="{00000000-0005-0000-0000-0000213F0000}"/>
    <cellStyle name="Border 3 7 3 2" xfId="16039" xr:uid="{00000000-0005-0000-0000-0000223F0000}"/>
    <cellStyle name="Border 3 7 3 3" xfId="20034" xr:uid="{00000000-0005-0000-0000-0000233F0000}"/>
    <cellStyle name="Border 3 7 4" xfId="16037" xr:uid="{00000000-0005-0000-0000-0000243F0000}"/>
    <cellStyle name="Border 3 7 5" xfId="20032" xr:uid="{00000000-0005-0000-0000-0000253F0000}"/>
    <cellStyle name="Border 3 8" xfId="8737" xr:uid="{00000000-0005-0000-0000-0000263F0000}"/>
    <cellStyle name="Border 3 8 2" xfId="8738" xr:uid="{00000000-0005-0000-0000-0000273F0000}"/>
    <cellStyle name="Border 3 8 2 2" xfId="16041" xr:uid="{00000000-0005-0000-0000-0000283F0000}"/>
    <cellStyle name="Border 3 8 2 3" xfId="20036" xr:uid="{00000000-0005-0000-0000-0000293F0000}"/>
    <cellStyle name="Border 3 8 3" xfId="8739" xr:uid="{00000000-0005-0000-0000-00002A3F0000}"/>
    <cellStyle name="Border 3 8 3 2" xfId="16042" xr:uid="{00000000-0005-0000-0000-00002B3F0000}"/>
    <cellStyle name="Border 3 8 3 3" xfId="20037" xr:uid="{00000000-0005-0000-0000-00002C3F0000}"/>
    <cellStyle name="Border 3 8 4" xfId="16040" xr:uid="{00000000-0005-0000-0000-00002D3F0000}"/>
    <cellStyle name="Border 3 8 5" xfId="20035" xr:uid="{00000000-0005-0000-0000-00002E3F0000}"/>
    <cellStyle name="Border 3 9" xfId="8740" xr:uid="{00000000-0005-0000-0000-00002F3F0000}"/>
    <cellStyle name="Border 3 9 2" xfId="8741" xr:uid="{00000000-0005-0000-0000-0000303F0000}"/>
    <cellStyle name="Border 3 9 2 2" xfId="16044" xr:uid="{00000000-0005-0000-0000-0000313F0000}"/>
    <cellStyle name="Border 3 9 2 3" xfId="20039" xr:uid="{00000000-0005-0000-0000-0000323F0000}"/>
    <cellStyle name="Border 3 9 3" xfId="8742" xr:uid="{00000000-0005-0000-0000-0000333F0000}"/>
    <cellStyle name="Border 3 9 3 2" xfId="16045" xr:uid="{00000000-0005-0000-0000-0000343F0000}"/>
    <cellStyle name="Border 3 9 3 3" xfId="20040" xr:uid="{00000000-0005-0000-0000-0000353F0000}"/>
    <cellStyle name="Border 3 9 4" xfId="16043" xr:uid="{00000000-0005-0000-0000-0000363F0000}"/>
    <cellStyle name="Border 3 9 5" xfId="20038" xr:uid="{00000000-0005-0000-0000-0000373F0000}"/>
    <cellStyle name="Border 4" xfId="8743" xr:uid="{00000000-0005-0000-0000-0000383F0000}"/>
    <cellStyle name="Border 4 2" xfId="8744" xr:uid="{00000000-0005-0000-0000-0000393F0000}"/>
    <cellStyle name="Border 4 2 2" xfId="8745" xr:uid="{00000000-0005-0000-0000-00003A3F0000}"/>
    <cellStyle name="Border 4 2 2 2" xfId="16048" xr:uid="{00000000-0005-0000-0000-00003B3F0000}"/>
    <cellStyle name="Border 4 2 2 3" xfId="20043" xr:uid="{00000000-0005-0000-0000-00003C3F0000}"/>
    <cellStyle name="Border 4 2 3" xfId="8746" xr:uid="{00000000-0005-0000-0000-00003D3F0000}"/>
    <cellStyle name="Border 4 2 3 2" xfId="16049" xr:uid="{00000000-0005-0000-0000-00003E3F0000}"/>
    <cellStyle name="Border 4 2 3 3" xfId="20044" xr:uid="{00000000-0005-0000-0000-00003F3F0000}"/>
    <cellStyle name="Border 4 2 4" xfId="16047" xr:uid="{00000000-0005-0000-0000-0000403F0000}"/>
    <cellStyle name="Border 4 2 5" xfId="20042" xr:uid="{00000000-0005-0000-0000-0000413F0000}"/>
    <cellStyle name="Border 4 3" xfId="8747" xr:uid="{00000000-0005-0000-0000-0000423F0000}"/>
    <cellStyle name="Border 4 3 2" xfId="8748" xr:uid="{00000000-0005-0000-0000-0000433F0000}"/>
    <cellStyle name="Border 4 3 2 2" xfId="16051" xr:uid="{00000000-0005-0000-0000-0000443F0000}"/>
    <cellStyle name="Border 4 3 2 3" xfId="20046" xr:uid="{00000000-0005-0000-0000-0000453F0000}"/>
    <cellStyle name="Border 4 3 3" xfId="8749" xr:uid="{00000000-0005-0000-0000-0000463F0000}"/>
    <cellStyle name="Border 4 3 3 2" xfId="16052" xr:uid="{00000000-0005-0000-0000-0000473F0000}"/>
    <cellStyle name="Border 4 3 3 3" xfId="20047" xr:uid="{00000000-0005-0000-0000-0000483F0000}"/>
    <cellStyle name="Border 4 3 4" xfId="16050" xr:uid="{00000000-0005-0000-0000-0000493F0000}"/>
    <cellStyle name="Border 4 3 5" xfId="20045" xr:uid="{00000000-0005-0000-0000-00004A3F0000}"/>
    <cellStyle name="Border 4 4" xfId="8750" xr:uid="{00000000-0005-0000-0000-00004B3F0000}"/>
    <cellStyle name="Border 4 4 2" xfId="16053" xr:uid="{00000000-0005-0000-0000-00004C3F0000}"/>
    <cellStyle name="Border 4 4 3" xfId="20048" xr:uid="{00000000-0005-0000-0000-00004D3F0000}"/>
    <cellStyle name="Border 4 5" xfId="8751" xr:uid="{00000000-0005-0000-0000-00004E3F0000}"/>
    <cellStyle name="Border 4 5 2" xfId="16054" xr:uid="{00000000-0005-0000-0000-00004F3F0000}"/>
    <cellStyle name="Border 4 5 3" xfId="20049" xr:uid="{00000000-0005-0000-0000-0000503F0000}"/>
    <cellStyle name="Border 4 6" xfId="16046" xr:uid="{00000000-0005-0000-0000-0000513F0000}"/>
    <cellStyle name="Border 4 7" xfId="20041" xr:uid="{00000000-0005-0000-0000-0000523F0000}"/>
    <cellStyle name="Border 5" xfId="8752" xr:uid="{00000000-0005-0000-0000-0000533F0000}"/>
    <cellStyle name="Border 5 2" xfId="8753" xr:uid="{00000000-0005-0000-0000-0000543F0000}"/>
    <cellStyle name="Border 5 2 2" xfId="16056" xr:uid="{00000000-0005-0000-0000-0000553F0000}"/>
    <cellStyle name="Border 5 2 3" xfId="20051" xr:uid="{00000000-0005-0000-0000-0000563F0000}"/>
    <cellStyle name="Border 5 3" xfId="8754" xr:uid="{00000000-0005-0000-0000-0000573F0000}"/>
    <cellStyle name="Border 5 3 2" xfId="16057" xr:uid="{00000000-0005-0000-0000-0000583F0000}"/>
    <cellStyle name="Border 5 3 3" xfId="20052" xr:uid="{00000000-0005-0000-0000-0000593F0000}"/>
    <cellStyle name="Border 5 4" xfId="16055" xr:uid="{00000000-0005-0000-0000-00005A3F0000}"/>
    <cellStyle name="Border 5 5" xfId="20050" xr:uid="{00000000-0005-0000-0000-00005B3F0000}"/>
    <cellStyle name="Border 6" xfId="8755" xr:uid="{00000000-0005-0000-0000-00005C3F0000}"/>
    <cellStyle name="Border 6 2" xfId="8756" xr:uid="{00000000-0005-0000-0000-00005D3F0000}"/>
    <cellStyle name="Border 6 2 2" xfId="16059" xr:uid="{00000000-0005-0000-0000-00005E3F0000}"/>
    <cellStyle name="Border 6 2 3" xfId="20054" xr:uid="{00000000-0005-0000-0000-00005F3F0000}"/>
    <cellStyle name="Border 6 3" xfId="8757" xr:uid="{00000000-0005-0000-0000-0000603F0000}"/>
    <cellStyle name="Border 6 3 2" xfId="16060" xr:uid="{00000000-0005-0000-0000-0000613F0000}"/>
    <cellStyle name="Border 6 3 3" xfId="20055" xr:uid="{00000000-0005-0000-0000-0000623F0000}"/>
    <cellStyle name="Border 6 4" xfId="16058" xr:uid="{00000000-0005-0000-0000-0000633F0000}"/>
    <cellStyle name="Border 6 5" xfId="20053" xr:uid="{00000000-0005-0000-0000-0000643F0000}"/>
    <cellStyle name="Border 7" xfId="8758" xr:uid="{00000000-0005-0000-0000-0000653F0000}"/>
    <cellStyle name="Border 7 2" xfId="8759" xr:uid="{00000000-0005-0000-0000-0000663F0000}"/>
    <cellStyle name="Border 7 2 2" xfId="16062" xr:uid="{00000000-0005-0000-0000-0000673F0000}"/>
    <cellStyle name="Border 7 2 3" xfId="20057" xr:uid="{00000000-0005-0000-0000-0000683F0000}"/>
    <cellStyle name="Border 7 3" xfId="8760" xr:uid="{00000000-0005-0000-0000-0000693F0000}"/>
    <cellStyle name="Border 7 3 2" xfId="16063" xr:uid="{00000000-0005-0000-0000-00006A3F0000}"/>
    <cellStyle name="Border 7 3 3" xfId="20058" xr:uid="{00000000-0005-0000-0000-00006B3F0000}"/>
    <cellStyle name="Border 7 4" xfId="16061" xr:uid="{00000000-0005-0000-0000-00006C3F0000}"/>
    <cellStyle name="Border 7 5" xfId="20056" xr:uid="{00000000-0005-0000-0000-00006D3F0000}"/>
    <cellStyle name="Border 8" xfId="8761" xr:uid="{00000000-0005-0000-0000-00006E3F0000}"/>
    <cellStyle name="Border 8 2" xfId="8762" xr:uid="{00000000-0005-0000-0000-00006F3F0000}"/>
    <cellStyle name="Border 8 2 2" xfId="16065" xr:uid="{00000000-0005-0000-0000-0000703F0000}"/>
    <cellStyle name="Border 8 2 3" xfId="20060" xr:uid="{00000000-0005-0000-0000-0000713F0000}"/>
    <cellStyle name="Border 8 3" xfId="8763" xr:uid="{00000000-0005-0000-0000-0000723F0000}"/>
    <cellStyle name="Border 8 3 2" xfId="16066" xr:uid="{00000000-0005-0000-0000-0000733F0000}"/>
    <cellStyle name="Border 8 3 3" xfId="20061" xr:uid="{00000000-0005-0000-0000-0000743F0000}"/>
    <cellStyle name="Border 8 4" xfId="16064" xr:uid="{00000000-0005-0000-0000-0000753F0000}"/>
    <cellStyle name="Border 8 5" xfId="20059" xr:uid="{00000000-0005-0000-0000-0000763F0000}"/>
    <cellStyle name="Border 9" xfId="8764" xr:uid="{00000000-0005-0000-0000-0000773F0000}"/>
    <cellStyle name="Border 9 2" xfId="8765" xr:uid="{00000000-0005-0000-0000-0000783F0000}"/>
    <cellStyle name="Border 9 2 2" xfId="16068" xr:uid="{00000000-0005-0000-0000-0000793F0000}"/>
    <cellStyle name="Border 9 2 3" xfId="20063" xr:uid="{00000000-0005-0000-0000-00007A3F0000}"/>
    <cellStyle name="Border 9 3" xfId="8766" xr:uid="{00000000-0005-0000-0000-00007B3F0000}"/>
    <cellStyle name="Border 9 3 2" xfId="16069" xr:uid="{00000000-0005-0000-0000-00007C3F0000}"/>
    <cellStyle name="Border 9 3 3" xfId="20064" xr:uid="{00000000-0005-0000-0000-00007D3F0000}"/>
    <cellStyle name="Border 9 4" xfId="16067" xr:uid="{00000000-0005-0000-0000-00007E3F0000}"/>
    <cellStyle name="Border 9 5" xfId="20062" xr:uid="{00000000-0005-0000-0000-00007F3F0000}"/>
    <cellStyle name="Border Heavy" xfId="8767" xr:uid="{00000000-0005-0000-0000-0000803F0000}"/>
    <cellStyle name="Border Heavy 2" xfId="8768" xr:uid="{00000000-0005-0000-0000-0000813F0000}"/>
    <cellStyle name="Border Heavy 2 2" xfId="8769" xr:uid="{00000000-0005-0000-0000-0000823F0000}"/>
    <cellStyle name="Border Heavy 3" xfId="8770" xr:uid="{00000000-0005-0000-0000-0000833F0000}"/>
    <cellStyle name="Border Heavy 4" xfId="8771" xr:uid="{00000000-0005-0000-0000-0000843F0000}"/>
    <cellStyle name="Border Thin" xfId="8772" xr:uid="{00000000-0005-0000-0000-0000853F0000}"/>
    <cellStyle name="Border Thin 2" xfId="8773" xr:uid="{00000000-0005-0000-0000-0000863F0000}"/>
    <cellStyle name="Border Thin 2 2" xfId="8774" xr:uid="{00000000-0005-0000-0000-0000873F0000}"/>
    <cellStyle name="Border Thin 3" xfId="8775" xr:uid="{00000000-0005-0000-0000-0000883F0000}"/>
    <cellStyle name="Border, Bottom" xfId="8776" xr:uid="{00000000-0005-0000-0000-0000893F0000}"/>
    <cellStyle name="Border, Bottom 2" xfId="8777" xr:uid="{00000000-0005-0000-0000-00008A3F0000}"/>
    <cellStyle name="Border, Left" xfId="8778" xr:uid="{00000000-0005-0000-0000-00008B3F0000}"/>
    <cellStyle name="Border, Right" xfId="8779" xr:uid="{00000000-0005-0000-0000-00008C3F0000}"/>
    <cellStyle name="Border, Top" xfId="8780" xr:uid="{00000000-0005-0000-0000-00008D3F0000}"/>
    <cellStyle name="Border, Top 2" xfId="8781" xr:uid="{00000000-0005-0000-0000-00008E3F0000}"/>
    <cellStyle name="Border_Anaphore 12 31 2008 Draft Analysis 02 19 2009" xfId="8782" xr:uid="{00000000-0005-0000-0000-00008F3F0000}"/>
    <cellStyle name="Bottom bold border" xfId="8783" xr:uid="{00000000-0005-0000-0000-0000903F0000}"/>
    <cellStyle name="Bottom bold border 2" xfId="8784" xr:uid="{00000000-0005-0000-0000-0000913F0000}"/>
    <cellStyle name="Bottom bold border 2 2" xfId="8785" xr:uid="{00000000-0005-0000-0000-0000923F0000}"/>
    <cellStyle name="Bottom bold border 3" xfId="8786" xr:uid="{00000000-0005-0000-0000-0000933F0000}"/>
    <cellStyle name="Bottom bold border 4" xfId="8787" xr:uid="{00000000-0005-0000-0000-0000943F0000}"/>
    <cellStyle name="Bottom bold border 5" xfId="8788" xr:uid="{00000000-0005-0000-0000-0000953F0000}"/>
    <cellStyle name="Bottom Edge" xfId="8789" xr:uid="{00000000-0005-0000-0000-0000963F0000}"/>
    <cellStyle name="Bottom Edge 2" xfId="8790" xr:uid="{00000000-0005-0000-0000-0000973F0000}"/>
    <cellStyle name="Bottom single border" xfId="8791" xr:uid="{00000000-0005-0000-0000-0000983F0000}"/>
    <cellStyle name="Bottom single border 2" xfId="8792" xr:uid="{00000000-0005-0000-0000-0000993F0000}"/>
    <cellStyle name="Bottom single border 2 2" xfId="8793" xr:uid="{00000000-0005-0000-0000-00009A3F0000}"/>
    <cellStyle name="Bottom single border 2 3" xfId="20259" xr:uid="{00000000-0005-0000-0000-00009B3F0000}"/>
    <cellStyle name="Bottom single border 3" xfId="8794" xr:uid="{00000000-0005-0000-0000-00009C3F0000}"/>
    <cellStyle name="Bottom single border 3 2" xfId="20260" xr:uid="{00000000-0005-0000-0000-00009D3F0000}"/>
    <cellStyle name="Bottom single border 4" xfId="8795" xr:uid="{00000000-0005-0000-0000-00009E3F0000}"/>
    <cellStyle name="Bottom single border 4 2" xfId="20261" xr:uid="{00000000-0005-0000-0000-00009F3F0000}"/>
    <cellStyle name="Bottom single border 5" xfId="8796" xr:uid="{00000000-0005-0000-0000-0000A03F0000}"/>
    <cellStyle name="Bottom single border 5 2" xfId="20262" xr:uid="{00000000-0005-0000-0000-0000A13F0000}"/>
    <cellStyle name="British Pound" xfId="8797" xr:uid="{00000000-0005-0000-0000-0000A23F0000}"/>
    <cellStyle name="British Pound 10" xfId="8798" xr:uid="{00000000-0005-0000-0000-0000A33F0000}"/>
    <cellStyle name="British Pound 10 2" xfId="8799" xr:uid="{00000000-0005-0000-0000-0000A43F0000}"/>
    <cellStyle name="British Pound 10 3" xfId="8800" xr:uid="{00000000-0005-0000-0000-0000A53F0000}"/>
    <cellStyle name="British Pound 10 4" xfId="8801" xr:uid="{00000000-0005-0000-0000-0000A63F0000}"/>
    <cellStyle name="British Pound 10 5" xfId="8802" xr:uid="{00000000-0005-0000-0000-0000A73F0000}"/>
    <cellStyle name="British Pound 10 6" xfId="8803" xr:uid="{00000000-0005-0000-0000-0000A83F0000}"/>
    <cellStyle name="British Pound 10 7" xfId="8804" xr:uid="{00000000-0005-0000-0000-0000A93F0000}"/>
    <cellStyle name="British Pound 10 8" xfId="8805" xr:uid="{00000000-0005-0000-0000-0000AA3F0000}"/>
    <cellStyle name="British Pound 10 9" xfId="8806" xr:uid="{00000000-0005-0000-0000-0000AB3F0000}"/>
    <cellStyle name="British Pound 11" xfId="8807" xr:uid="{00000000-0005-0000-0000-0000AC3F0000}"/>
    <cellStyle name="British Pound 11 2" xfId="8808" xr:uid="{00000000-0005-0000-0000-0000AD3F0000}"/>
    <cellStyle name="British Pound 11 2 2" xfId="8809" xr:uid="{00000000-0005-0000-0000-0000AE3F0000}"/>
    <cellStyle name="British Pound 11 2 2 2" xfId="8810" xr:uid="{00000000-0005-0000-0000-0000AF3F0000}"/>
    <cellStyle name="British Pound 11 2 2 3" xfId="8811" xr:uid="{00000000-0005-0000-0000-0000B03F0000}"/>
    <cellStyle name="British Pound 11 2 2 4" xfId="8812" xr:uid="{00000000-0005-0000-0000-0000B13F0000}"/>
    <cellStyle name="British Pound 11 2 2 5" xfId="8813" xr:uid="{00000000-0005-0000-0000-0000B23F0000}"/>
    <cellStyle name="British Pound 11 2 2 6" xfId="8814" xr:uid="{00000000-0005-0000-0000-0000B33F0000}"/>
    <cellStyle name="British Pound 11 2 2 7" xfId="8815" xr:uid="{00000000-0005-0000-0000-0000B43F0000}"/>
    <cellStyle name="British Pound 11 2 2 8" xfId="8816" xr:uid="{00000000-0005-0000-0000-0000B53F0000}"/>
    <cellStyle name="British Pound 11 2 3" xfId="8817" xr:uid="{00000000-0005-0000-0000-0000B63F0000}"/>
    <cellStyle name="British Pound 11 2 4" xfId="8818" xr:uid="{00000000-0005-0000-0000-0000B73F0000}"/>
    <cellStyle name="British Pound 11 2 5" xfId="8819" xr:uid="{00000000-0005-0000-0000-0000B83F0000}"/>
    <cellStyle name="British Pound 11 2 6" xfId="8820" xr:uid="{00000000-0005-0000-0000-0000B93F0000}"/>
    <cellStyle name="British Pound 11 2 7" xfId="8821" xr:uid="{00000000-0005-0000-0000-0000BA3F0000}"/>
    <cellStyle name="British Pound 11 2 8" xfId="8822" xr:uid="{00000000-0005-0000-0000-0000BB3F0000}"/>
    <cellStyle name="British Pound 11 2 9" xfId="8823" xr:uid="{00000000-0005-0000-0000-0000BC3F0000}"/>
    <cellStyle name="British Pound 11 3" xfId="8824" xr:uid="{00000000-0005-0000-0000-0000BD3F0000}"/>
    <cellStyle name="British Pound 11 3 2" xfId="8825" xr:uid="{00000000-0005-0000-0000-0000BE3F0000}"/>
    <cellStyle name="British Pound 11 3 3" xfId="8826" xr:uid="{00000000-0005-0000-0000-0000BF3F0000}"/>
    <cellStyle name="British Pound 11 3 4" xfId="8827" xr:uid="{00000000-0005-0000-0000-0000C03F0000}"/>
    <cellStyle name="British Pound 11 3 5" xfId="8828" xr:uid="{00000000-0005-0000-0000-0000C13F0000}"/>
    <cellStyle name="British Pound 11 3 6" xfId="8829" xr:uid="{00000000-0005-0000-0000-0000C23F0000}"/>
    <cellStyle name="British Pound 11 3 7" xfId="8830" xr:uid="{00000000-0005-0000-0000-0000C33F0000}"/>
    <cellStyle name="British Pound 11 3 8" xfId="8831" xr:uid="{00000000-0005-0000-0000-0000C43F0000}"/>
    <cellStyle name="British Pound 11 4" xfId="8832" xr:uid="{00000000-0005-0000-0000-0000C53F0000}"/>
    <cellStyle name="British Pound 11 5" xfId="8833" xr:uid="{00000000-0005-0000-0000-0000C63F0000}"/>
    <cellStyle name="British Pound 11 6" xfId="8834" xr:uid="{00000000-0005-0000-0000-0000C73F0000}"/>
    <cellStyle name="British Pound 11 7" xfId="8835" xr:uid="{00000000-0005-0000-0000-0000C83F0000}"/>
    <cellStyle name="British Pound 11 8" xfId="8836" xr:uid="{00000000-0005-0000-0000-0000C93F0000}"/>
    <cellStyle name="British Pound 11 9" xfId="8837" xr:uid="{00000000-0005-0000-0000-0000CA3F0000}"/>
    <cellStyle name="British Pound 12" xfId="8838" xr:uid="{00000000-0005-0000-0000-0000CB3F0000}"/>
    <cellStyle name="British Pound 12 10" xfId="8839" xr:uid="{00000000-0005-0000-0000-0000CC3F0000}"/>
    <cellStyle name="British Pound 12 11" xfId="8840" xr:uid="{00000000-0005-0000-0000-0000CD3F0000}"/>
    <cellStyle name="British Pound 12 12" xfId="8841" xr:uid="{00000000-0005-0000-0000-0000CE3F0000}"/>
    <cellStyle name="British Pound 12 13" xfId="8842" xr:uid="{00000000-0005-0000-0000-0000CF3F0000}"/>
    <cellStyle name="British Pound 12 14" xfId="8843" xr:uid="{00000000-0005-0000-0000-0000D03F0000}"/>
    <cellStyle name="British Pound 12 15" xfId="8844" xr:uid="{00000000-0005-0000-0000-0000D13F0000}"/>
    <cellStyle name="British Pound 12 16" xfId="8845" xr:uid="{00000000-0005-0000-0000-0000D23F0000}"/>
    <cellStyle name="British Pound 12 2" xfId="8846" xr:uid="{00000000-0005-0000-0000-0000D33F0000}"/>
    <cellStyle name="British Pound 12 3" xfId="8847" xr:uid="{00000000-0005-0000-0000-0000D43F0000}"/>
    <cellStyle name="British Pound 12 4" xfId="8848" xr:uid="{00000000-0005-0000-0000-0000D53F0000}"/>
    <cellStyle name="British Pound 12 5" xfId="8849" xr:uid="{00000000-0005-0000-0000-0000D63F0000}"/>
    <cellStyle name="British Pound 12 6" xfId="8850" xr:uid="{00000000-0005-0000-0000-0000D73F0000}"/>
    <cellStyle name="British Pound 12 7" xfId="8851" xr:uid="{00000000-0005-0000-0000-0000D83F0000}"/>
    <cellStyle name="British Pound 12 8" xfId="8852" xr:uid="{00000000-0005-0000-0000-0000D93F0000}"/>
    <cellStyle name="British Pound 12 9" xfId="8853" xr:uid="{00000000-0005-0000-0000-0000DA3F0000}"/>
    <cellStyle name="British Pound 13" xfId="8854" xr:uid="{00000000-0005-0000-0000-0000DB3F0000}"/>
    <cellStyle name="British Pound 13 2" xfId="8855" xr:uid="{00000000-0005-0000-0000-0000DC3F0000}"/>
    <cellStyle name="British Pound 13 3" xfId="8856" xr:uid="{00000000-0005-0000-0000-0000DD3F0000}"/>
    <cellStyle name="British Pound 13 4" xfId="8857" xr:uid="{00000000-0005-0000-0000-0000DE3F0000}"/>
    <cellStyle name="British Pound 13 5" xfId="8858" xr:uid="{00000000-0005-0000-0000-0000DF3F0000}"/>
    <cellStyle name="British Pound 13 6" xfId="8859" xr:uid="{00000000-0005-0000-0000-0000E03F0000}"/>
    <cellStyle name="British Pound 13 7" xfId="8860" xr:uid="{00000000-0005-0000-0000-0000E13F0000}"/>
    <cellStyle name="British Pound 13 8" xfId="8861" xr:uid="{00000000-0005-0000-0000-0000E23F0000}"/>
    <cellStyle name="British Pound 13 9" xfId="8862" xr:uid="{00000000-0005-0000-0000-0000E33F0000}"/>
    <cellStyle name="British Pound 14" xfId="8863" xr:uid="{00000000-0005-0000-0000-0000E43F0000}"/>
    <cellStyle name="British Pound 14 2" xfId="8864" xr:uid="{00000000-0005-0000-0000-0000E53F0000}"/>
    <cellStyle name="British Pound 14 3" xfId="8865" xr:uid="{00000000-0005-0000-0000-0000E63F0000}"/>
    <cellStyle name="British Pound 14 4" xfId="8866" xr:uid="{00000000-0005-0000-0000-0000E73F0000}"/>
    <cellStyle name="British Pound 14 5" xfId="8867" xr:uid="{00000000-0005-0000-0000-0000E83F0000}"/>
    <cellStyle name="British Pound 14 6" xfId="8868" xr:uid="{00000000-0005-0000-0000-0000E93F0000}"/>
    <cellStyle name="British Pound 14 7" xfId="8869" xr:uid="{00000000-0005-0000-0000-0000EA3F0000}"/>
    <cellStyle name="British Pound 14 8" xfId="8870" xr:uid="{00000000-0005-0000-0000-0000EB3F0000}"/>
    <cellStyle name="British Pound 14 9" xfId="8871" xr:uid="{00000000-0005-0000-0000-0000EC3F0000}"/>
    <cellStyle name="British Pound 15" xfId="8872" xr:uid="{00000000-0005-0000-0000-0000ED3F0000}"/>
    <cellStyle name="British Pound 15 2" xfId="8873" xr:uid="{00000000-0005-0000-0000-0000EE3F0000}"/>
    <cellStyle name="British Pound 15 3" xfId="8874" xr:uid="{00000000-0005-0000-0000-0000EF3F0000}"/>
    <cellStyle name="British Pound 15 4" xfId="8875" xr:uid="{00000000-0005-0000-0000-0000F03F0000}"/>
    <cellStyle name="British Pound 15 5" xfId="8876" xr:uid="{00000000-0005-0000-0000-0000F13F0000}"/>
    <cellStyle name="British Pound 15 6" xfId="8877" xr:uid="{00000000-0005-0000-0000-0000F23F0000}"/>
    <cellStyle name="British Pound 15 7" xfId="8878" xr:uid="{00000000-0005-0000-0000-0000F33F0000}"/>
    <cellStyle name="British Pound 15 8" xfId="8879" xr:uid="{00000000-0005-0000-0000-0000F43F0000}"/>
    <cellStyle name="British Pound 15 9" xfId="8880" xr:uid="{00000000-0005-0000-0000-0000F53F0000}"/>
    <cellStyle name="British Pound 16" xfId="8881" xr:uid="{00000000-0005-0000-0000-0000F63F0000}"/>
    <cellStyle name="British Pound 16 2" xfId="8882" xr:uid="{00000000-0005-0000-0000-0000F73F0000}"/>
    <cellStyle name="British Pound 16 3" xfId="8883" xr:uid="{00000000-0005-0000-0000-0000F83F0000}"/>
    <cellStyle name="British Pound 16 4" xfId="8884" xr:uid="{00000000-0005-0000-0000-0000F93F0000}"/>
    <cellStyle name="British Pound 16 5" xfId="8885" xr:uid="{00000000-0005-0000-0000-0000FA3F0000}"/>
    <cellStyle name="British Pound 16 6" xfId="8886" xr:uid="{00000000-0005-0000-0000-0000FB3F0000}"/>
    <cellStyle name="British Pound 16 7" xfId="8887" xr:uid="{00000000-0005-0000-0000-0000FC3F0000}"/>
    <cellStyle name="British Pound 16 8" xfId="8888" xr:uid="{00000000-0005-0000-0000-0000FD3F0000}"/>
    <cellStyle name="British Pound 16 9" xfId="8889" xr:uid="{00000000-0005-0000-0000-0000FE3F0000}"/>
    <cellStyle name="British Pound 17" xfId="8890" xr:uid="{00000000-0005-0000-0000-0000FF3F0000}"/>
    <cellStyle name="British Pound 17 2" xfId="8891" xr:uid="{00000000-0005-0000-0000-000000400000}"/>
    <cellStyle name="British Pound 17 3" xfId="8892" xr:uid="{00000000-0005-0000-0000-000001400000}"/>
    <cellStyle name="British Pound 17 4" xfId="8893" xr:uid="{00000000-0005-0000-0000-000002400000}"/>
    <cellStyle name="British Pound 17 5" xfId="8894" xr:uid="{00000000-0005-0000-0000-000003400000}"/>
    <cellStyle name="British Pound 17 6" xfId="8895" xr:uid="{00000000-0005-0000-0000-000004400000}"/>
    <cellStyle name="British Pound 17 7" xfId="8896" xr:uid="{00000000-0005-0000-0000-000005400000}"/>
    <cellStyle name="British Pound 17 8" xfId="8897" xr:uid="{00000000-0005-0000-0000-000006400000}"/>
    <cellStyle name="British Pound 17 9" xfId="8898" xr:uid="{00000000-0005-0000-0000-000007400000}"/>
    <cellStyle name="British Pound 18" xfId="8899" xr:uid="{00000000-0005-0000-0000-000008400000}"/>
    <cellStyle name="British Pound 18 2" xfId="8900" xr:uid="{00000000-0005-0000-0000-000009400000}"/>
    <cellStyle name="British Pound 18 3" xfId="8901" xr:uid="{00000000-0005-0000-0000-00000A400000}"/>
    <cellStyle name="British Pound 18 4" xfId="8902" xr:uid="{00000000-0005-0000-0000-00000B400000}"/>
    <cellStyle name="British Pound 18 5" xfId="8903" xr:uid="{00000000-0005-0000-0000-00000C400000}"/>
    <cellStyle name="British Pound 18 6" xfId="8904" xr:uid="{00000000-0005-0000-0000-00000D400000}"/>
    <cellStyle name="British Pound 18 7" xfId="8905" xr:uid="{00000000-0005-0000-0000-00000E400000}"/>
    <cellStyle name="British Pound 18 8" xfId="8906" xr:uid="{00000000-0005-0000-0000-00000F400000}"/>
    <cellStyle name="British Pound 18 9" xfId="8907" xr:uid="{00000000-0005-0000-0000-000010400000}"/>
    <cellStyle name="British Pound 19" xfId="8908" xr:uid="{00000000-0005-0000-0000-000011400000}"/>
    <cellStyle name="British Pound 19 2" xfId="8909" xr:uid="{00000000-0005-0000-0000-000012400000}"/>
    <cellStyle name="British Pound 19 3" xfId="8910" xr:uid="{00000000-0005-0000-0000-000013400000}"/>
    <cellStyle name="British Pound 19 4" xfId="8911" xr:uid="{00000000-0005-0000-0000-000014400000}"/>
    <cellStyle name="British Pound 19 5" xfId="8912" xr:uid="{00000000-0005-0000-0000-000015400000}"/>
    <cellStyle name="British Pound 19 6" xfId="8913" xr:uid="{00000000-0005-0000-0000-000016400000}"/>
    <cellStyle name="British Pound 19 7" xfId="8914" xr:uid="{00000000-0005-0000-0000-000017400000}"/>
    <cellStyle name="British Pound 19 8" xfId="8915" xr:uid="{00000000-0005-0000-0000-000018400000}"/>
    <cellStyle name="British Pound 19 9" xfId="8916" xr:uid="{00000000-0005-0000-0000-000019400000}"/>
    <cellStyle name="British Pound 2" xfId="8917" xr:uid="{00000000-0005-0000-0000-00001A400000}"/>
    <cellStyle name="British Pound 2 10" xfId="8918" xr:uid="{00000000-0005-0000-0000-00001B400000}"/>
    <cellStyle name="British Pound 2 11" xfId="8919" xr:uid="{00000000-0005-0000-0000-00001C400000}"/>
    <cellStyle name="British Pound 2 11 2" xfId="8920" xr:uid="{00000000-0005-0000-0000-00001D400000}"/>
    <cellStyle name="British Pound 2 11 3" xfId="8921" xr:uid="{00000000-0005-0000-0000-00001E400000}"/>
    <cellStyle name="British Pound 2 11 4" xfId="8922" xr:uid="{00000000-0005-0000-0000-00001F400000}"/>
    <cellStyle name="British Pound 2 11 5" xfId="8923" xr:uid="{00000000-0005-0000-0000-000020400000}"/>
    <cellStyle name="British Pound 2 11 6" xfId="8924" xr:uid="{00000000-0005-0000-0000-000021400000}"/>
    <cellStyle name="British Pound 2 11 7" xfId="8925" xr:uid="{00000000-0005-0000-0000-000022400000}"/>
    <cellStyle name="British Pound 2 11 8" xfId="8926" xr:uid="{00000000-0005-0000-0000-000023400000}"/>
    <cellStyle name="British Pound 2 12" xfId="8927" xr:uid="{00000000-0005-0000-0000-000024400000}"/>
    <cellStyle name="British Pound 2 12 2" xfId="8928" xr:uid="{00000000-0005-0000-0000-000025400000}"/>
    <cellStyle name="British Pound 2 12 3" xfId="8929" xr:uid="{00000000-0005-0000-0000-000026400000}"/>
    <cellStyle name="British Pound 2 12 4" xfId="8930" xr:uid="{00000000-0005-0000-0000-000027400000}"/>
    <cellStyle name="British Pound 2 12 5" xfId="8931" xr:uid="{00000000-0005-0000-0000-000028400000}"/>
    <cellStyle name="British Pound 2 12 6" xfId="8932" xr:uid="{00000000-0005-0000-0000-000029400000}"/>
    <cellStyle name="British Pound 2 12 7" xfId="8933" xr:uid="{00000000-0005-0000-0000-00002A400000}"/>
    <cellStyle name="British Pound 2 12 8" xfId="8934" xr:uid="{00000000-0005-0000-0000-00002B400000}"/>
    <cellStyle name="British Pound 2 13" xfId="8935" xr:uid="{00000000-0005-0000-0000-00002C400000}"/>
    <cellStyle name="British Pound 2 14" xfId="8936" xr:uid="{00000000-0005-0000-0000-00002D400000}"/>
    <cellStyle name="British Pound 2 15" xfId="8937" xr:uid="{00000000-0005-0000-0000-00002E400000}"/>
    <cellStyle name="British Pound 2 16" xfId="8938" xr:uid="{00000000-0005-0000-0000-00002F400000}"/>
    <cellStyle name="British Pound 2 17" xfId="8939" xr:uid="{00000000-0005-0000-0000-000030400000}"/>
    <cellStyle name="British Pound 2 18" xfId="8940" xr:uid="{00000000-0005-0000-0000-000031400000}"/>
    <cellStyle name="British Pound 2 2" xfId="8941" xr:uid="{00000000-0005-0000-0000-000032400000}"/>
    <cellStyle name="British Pound 2 2 10" xfId="8942" xr:uid="{00000000-0005-0000-0000-000033400000}"/>
    <cellStyle name="British Pound 2 2 11" xfId="8943" xr:uid="{00000000-0005-0000-0000-000034400000}"/>
    <cellStyle name="British Pound 2 2 12" xfId="8944" xr:uid="{00000000-0005-0000-0000-000035400000}"/>
    <cellStyle name="British Pound 2 2 13" xfId="8945" xr:uid="{00000000-0005-0000-0000-000036400000}"/>
    <cellStyle name="British Pound 2 2 14" xfId="8946" xr:uid="{00000000-0005-0000-0000-000037400000}"/>
    <cellStyle name="British Pound 2 2 15" xfId="8947" xr:uid="{00000000-0005-0000-0000-000038400000}"/>
    <cellStyle name="British Pound 2 2 16" xfId="8948" xr:uid="{00000000-0005-0000-0000-000039400000}"/>
    <cellStyle name="British Pound 2 2 17" xfId="8949" xr:uid="{00000000-0005-0000-0000-00003A400000}"/>
    <cellStyle name="British Pound 2 2 18" xfId="8950" xr:uid="{00000000-0005-0000-0000-00003B400000}"/>
    <cellStyle name="British Pound 2 2 2" xfId="8951" xr:uid="{00000000-0005-0000-0000-00003C400000}"/>
    <cellStyle name="British Pound 2 2 2 10" xfId="8952" xr:uid="{00000000-0005-0000-0000-00003D400000}"/>
    <cellStyle name="British Pound 2 2 2 11" xfId="8953" xr:uid="{00000000-0005-0000-0000-00003E400000}"/>
    <cellStyle name="British Pound 2 2 2 12" xfId="8954" xr:uid="{00000000-0005-0000-0000-00003F400000}"/>
    <cellStyle name="British Pound 2 2 2 13" xfId="8955" xr:uid="{00000000-0005-0000-0000-000040400000}"/>
    <cellStyle name="British Pound 2 2 2 14" xfId="8956" xr:uid="{00000000-0005-0000-0000-000041400000}"/>
    <cellStyle name="British Pound 2 2 2 15" xfId="8957" xr:uid="{00000000-0005-0000-0000-000042400000}"/>
    <cellStyle name="British Pound 2 2 2 16" xfId="8958" xr:uid="{00000000-0005-0000-0000-000043400000}"/>
    <cellStyle name="British Pound 2 2 2 2" xfId="8959" xr:uid="{00000000-0005-0000-0000-000044400000}"/>
    <cellStyle name="British Pound 2 2 2 2 10" xfId="8960" xr:uid="{00000000-0005-0000-0000-000045400000}"/>
    <cellStyle name="British Pound 2 2 2 2 11" xfId="8961" xr:uid="{00000000-0005-0000-0000-000046400000}"/>
    <cellStyle name="British Pound 2 2 2 2 12" xfId="8962" xr:uid="{00000000-0005-0000-0000-000047400000}"/>
    <cellStyle name="British Pound 2 2 2 2 13" xfId="8963" xr:uid="{00000000-0005-0000-0000-000048400000}"/>
    <cellStyle name="British Pound 2 2 2 2 14" xfId="8964" xr:uid="{00000000-0005-0000-0000-000049400000}"/>
    <cellStyle name="British Pound 2 2 2 2 15" xfId="8965" xr:uid="{00000000-0005-0000-0000-00004A400000}"/>
    <cellStyle name="British Pound 2 2 2 2 2" xfId="8966" xr:uid="{00000000-0005-0000-0000-00004B400000}"/>
    <cellStyle name="British Pound 2 2 2 2 2 2" xfId="8967" xr:uid="{00000000-0005-0000-0000-00004C400000}"/>
    <cellStyle name="British Pound 2 2 2 2 2 2 2" xfId="8968" xr:uid="{00000000-0005-0000-0000-00004D400000}"/>
    <cellStyle name="British Pound 2 2 2 2 2 2 2 2" xfId="8969" xr:uid="{00000000-0005-0000-0000-00004E400000}"/>
    <cellStyle name="British Pound 2 2 2 2 2 2 2 3" xfId="8970" xr:uid="{00000000-0005-0000-0000-00004F400000}"/>
    <cellStyle name="British Pound 2 2 2 2 2 2 2 4" xfId="8971" xr:uid="{00000000-0005-0000-0000-000050400000}"/>
    <cellStyle name="British Pound 2 2 2 2 2 2 2 5" xfId="8972" xr:uid="{00000000-0005-0000-0000-000051400000}"/>
    <cellStyle name="British Pound 2 2 2 2 2 2 2 6" xfId="8973" xr:uid="{00000000-0005-0000-0000-000052400000}"/>
    <cellStyle name="British Pound 2 2 2 2 2 2 2 7" xfId="8974" xr:uid="{00000000-0005-0000-0000-000053400000}"/>
    <cellStyle name="British Pound 2 2 2 2 2 2 2 8" xfId="8975" xr:uid="{00000000-0005-0000-0000-000054400000}"/>
    <cellStyle name="British Pound 2 2 2 2 2 2 3" xfId="8976" xr:uid="{00000000-0005-0000-0000-000055400000}"/>
    <cellStyle name="British Pound 2 2 2 2 2 2 4" xfId="8977" xr:uid="{00000000-0005-0000-0000-000056400000}"/>
    <cellStyle name="British Pound 2 2 2 2 2 2 5" xfId="8978" xr:uid="{00000000-0005-0000-0000-000057400000}"/>
    <cellStyle name="British Pound 2 2 2 2 2 2 6" xfId="8979" xr:uid="{00000000-0005-0000-0000-000058400000}"/>
    <cellStyle name="British Pound 2 2 2 2 2 2 7" xfId="8980" xr:uid="{00000000-0005-0000-0000-000059400000}"/>
    <cellStyle name="British Pound 2 2 2 2 2 2 8" xfId="8981" xr:uid="{00000000-0005-0000-0000-00005A400000}"/>
    <cellStyle name="British Pound 2 2 2 2 2 2 9" xfId="8982" xr:uid="{00000000-0005-0000-0000-00005B400000}"/>
    <cellStyle name="British Pound 2 2 2 2 2 3" xfId="8983" xr:uid="{00000000-0005-0000-0000-00005C400000}"/>
    <cellStyle name="British Pound 2 2 2 2 2 4" xfId="8984" xr:uid="{00000000-0005-0000-0000-00005D400000}"/>
    <cellStyle name="British Pound 2 2 2 2 2 5" xfId="8985" xr:uid="{00000000-0005-0000-0000-00005E400000}"/>
    <cellStyle name="British Pound 2 2 2 2 2 6" xfId="8986" xr:uid="{00000000-0005-0000-0000-00005F400000}"/>
    <cellStyle name="British Pound 2 2 2 2 2 7" xfId="8987" xr:uid="{00000000-0005-0000-0000-000060400000}"/>
    <cellStyle name="British Pound 2 2 2 2 2 8" xfId="8988" xr:uid="{00000000-0005-0000-0000-000061400000}"/>
    <cellStyle name="British Pound 2 2 2 2 2 9" xfId="8989" xr:uid="{00000000-0005-0000-0000-000062400000}"/>
    <cellStyle name="British Pound 2 2 2 2 3" xfId="8990" xr:uid="{00000000-0005-0000-0000-000063400000}"/>
    <cellStyle name="British Pound 2 2 2 2 3 2" xfId="8991" xr:uid="{00000000-0005-0000-0000-000064400000}"/>
    <cellStyle name="British Pound 2 2 2 2 3 3" xfId="8992" xr:uid="{00000000-0005-0000-0000-000065400000}"/>
    <cellStyle name="British Pound 2 2 2 2 3 4" xfId="8993" xr:uid="{00000000-0005-0000-0000-000066400000}"/>
    <cellStyle name="British Pound 2 2 2 2 3 5" xfId="8994" xr:uid="{00000000-0005-0000-0000-000067400000}"/>
    <cellStyle name="British Pound 2 2 2 2 3 6" xfId="8995" xr:uid="{00000000-0005-0000-0000-000068400000}"/>
    <cellStyle name="British Pound 2 2 2 2 3 7" xfId="8996" xr:uid="{00000000-0005-0000-0000-000069400000}"/>
    <cellStyle name="British Pound 2 2 2 2 3 8" xfId="8997" xr:uid="{00000000-0005-0000-0000-00006A400000}"/>
    <cellStyle name="British Pound 2 2 2 2 4" xfId="8998" xr:uid="{00000000-0005-0000-0000-00006B400000}"/>
    <cellStyle name="British Pound 2 2 2 2 5" xfId="8999" xr:uid="{00000000-0005-0000-0000-00006C400000}"/>
    <cellStyle name="British Pound 2 2 2 2 6" xfId="9000" xr:uid="{00000000-0005-0000-0000-00006D400000}"/>
    <cellStyle name="British Pound 2 2 2 2 7" xfId="9001" xr:uid="{00000000-0005-0000-0000-00006E400000}"/>
    <cellStyle name="British Pound 2 2 2 2 8" xfId="9002" xr:uid="{00000000-0005-0000-0000-00006F400000}"/>
    <cellStyle name="British Pound 2 2 2 2 9" xfId="9003" xr:uid="{00000000-0005-0000-0000-000070400000}"/>
    <cellStyle name="British Pound 2 2 2 3" xfId="9004" xr:uid="{00000000-0005-0000-0000-000071400000}"/>
    <cellStyle name="British Pound 2 2 2 3 2" xfId="9005" xr:uid="{00000000-0005-0000-0000-000072400000}"/>
    <cellStyle name="British Pound 2 2 2 3 3" xfId="9006" xr:uid="{00000000-0005-0000-0000-000073400000}"/>
    <cellStyle name="British Pound 2 2 2 3 4" xfId="9007" xr:uid="{00000000-0005-0000-0000-000074400000}"/>
    <cellStyle name="British Pound 2 2 2 3 5" xfId="9008" xr:uid="{00000000-0005-0000-0000-000075400000}"/>
    <cellStyle name="British Pound 2 2 2 3 6" xfId="9009" xr:uid="{00000000-0005-0000-0000-000076400000}"/>
    <cellStyle name="British Pound 2 2 2 3 7" xfId="9010" xr:uid="{00000000-0005-0000-0000-000077400000}"/>
    <cellStyle name="British Pound 2 2 2 3 8" xfId="9011" xr:uid="{00000000-0005-0000-0000-000078400000}"/>
    <cellStyle name="British Pound 2 2 2 4" xfId="9012" xr:uid="{00000000-0005-0000-0000-000079400000}"/>
    <cellStyle name="British Pound 2 2 2 4 2" xfId="9013" xr:uid="{00000000-0005-0000-0000-00007A400000}"/>
    <cellStyle name="British Pound 2 2 2 4 3" xfId="9014" xr:uid="{00000000-0005-0000-0000-00007B400000}"/>
    <cellStyle name="British Pound 2 2 2 4 4" xfId="9015" xr:uid="{00000000-0005-0000-0000-00007C400000}"/>
    <cellStyle name="British Pound 2 2 2 4 5" xfId="9016" xr:uid="{00000000-0005-0000-0000-00007D400000}"/>
    <cellStyle name="British Pound 2 2 2 4 6" xfId="9017" xr:uid="{00000000-0005-0000-0000-00007E400000}"/>
    <cellStyle name="British Pound 2 2 2 4 7" xfId="9018" xr:uid="{00000000-0005-0000-0000-00007F400000}"/>
    <cellStyle name="British Pound 2 2 2 4 8" xfId="9019" xr:uid="{00000000-0005-0000-0000-000080400000}"/>
    <cellStyle name="British Pound 2 2 2 5" xfId="9020" xr:uid="{00000000-0005-0000-0000-000081400000}"/>
    <cellStyle name="British Pound 2 2 2 5 2" xfId="9021" xr:uid="{00000000-0005-0000-0000-000082400000}"/>
    <cellStyle name="British Pound 2 2 2 5 3" xfId="9022" xr:uid="{00000000-0005-0000-0000-000083400000}"/>
    <cellStyle name="British Pound 2 2 2 5 4" xfId="9023" xr:uid="{00000000-0005-0000-0000-000084400000}"/>
    <cellStyle name="British Pound 2 2 2 5 5" xfId="9024" xr:uid="{00000000-0005-0000-0000-000085400000}"/>
    <cellStyle name="British Pound 2 2 2 5 6" xfId="9025" xr:uid="{00000000-0005-0000-0000-000086400000}"/>
    <cellStyle name="British Pound 2 2 2 5 7" xfId="9026" xr:uid="{00000000-0005-0000-0000-000087400000}"/>
    <cellStyle name="British Pound 2 2 2 5 8" xfId="9027" xr:uid="{00000000-0005-0000-0000-000088400000}"/>
    <cellStyle name="British Pound 2 2 2 6" xfId="9028" xr:uid="{00000000-0005-0000-0000-000089400000}"/>
    <cellStyle name="British Pound 2 2 2 6 2" xfId="9029" xr:uid="{00000000-0005-0000-0000-00008A400000}"/>
    <cellStyle name="British Pound 2 2 2 6 3" xfId="9030" xr:uid="{00000000-0005-0000-0000-00008B400000}"/>
    <cellStyle name="British Pound 2 2 2 6 4" xfId="9031" xr:uid="{00000000-0005-0000-0000-00008C400000}"/>
    <cellStyle name="British Pound 2 2 2 6 5" xfId="9032" xr:uid="{00000000-0005-0000-0000-00008D400000}"/>
    <cellStyle name="British Pound 2 2 2 6 6" xfId="9033" xr:uid="{00000000-0005-0000-0000-00008E400000}"/>
    <cellStyle name="British Pound 2 2 2 6 7" xfId="9034" xr:uid="{00000000-0005-0000-0000-00008F400000}"/>
    <cellStyle name="British Pound 2 2 2 6 8" xfId="9035" xr:uid="{00000000-0005-0000-0000-000090400000}"/>
    <cellStyle name="British Pound 2 2 2 7" xfId="9036" xr:uid="{00000000-0005-0000-0000-000091400000}"/>
    <cellStyle name="British Pound 2 2 2 8" xfId="9037" xr:uid="{00000000-0005-0000-0000-000092400000}"/>
    <cellStyle name="British Pound 2 2 2 9" xfId="9038" xr:uid="{00000000-0005-0000-0000-000093400000}"/>
    <cellStyle name="British Pound 2 2 3" xfId="9039" xr:uid="{00000000-0005-0000-0000-000094400000}"/>
    <cellStyle name="British Pound 2 2 3 10" xfId="9040" xr:uid="{00000000-0005-0000-0000-000095400000}"/>
    <cellStyle name="British Pound 2 2 3 11" xfId="9041" xr:uid="{00000000-0005-0000-0000-000096400000}"/>
    <cellStyle name="British Pound 2 2 3 12" xfId="9042" xr:uid="{00000000-0005-0000-0000-000097400000}"/>
    <cellStyle name="British Pound 2 2 3 13" xfId="9043" xr:uid="{00000000-0005-0000-0000-000098400000}"/>
    <cellStyle name="British Pound 2 2 3 14" xfId="9044" xr:uid="{00000000-0005-0000-0000-000099400000}"/>
    <cellStyle name="British Pound 2 2 3 15" xfId="9045" xr:uid="{00000000-0005-0000-0000-00009A400000}"/>
    <cellStyle name="British Pound 2 2 3 16" xfId="9046" xr:uid="{00000000-0005-0000-0000-00009B400000}"/>
    <cellStyle name="British Pound 2 2 3 2" xfId="9047" xr:uid="{00000000-0005-0000-0000-00009C400000}"/>
    <cellStyle name="British Pound 2 2 3 2 2" xfId="9048" xr:uid="{00000000-0005-0000-0000-00009D400000}"/>
    <cellStyle name="British Pound 2 2 3 2 3" xfId="9049" xr:uid="{00000000-0005-0000-0000-00009E400000}"/>
    <cellStyle name="British Pound 2 2 3 2 4" xfId="9050" xr:uid="{00000000-0005-0000-0000-00009F400000}"/>
    <cellStyle name="British Pound 2 2 3 2 5" xfId="9051" xr:uid="{00000000-0005-0000-0000-0000A0400000}"/>
    <cellStyle name="British Pound 2 2 3 2 6" xfId="9052" xr:uid="{00000000-0005-0000-0000-0000A1400000}"/>
    <cellStyle name="British Pound 2 2 3 2 7" xfId="9053" xr:uid="{00000000-0005-0000-0000-0000A2400000}"/>
    <cellStyle name="British Pound 2 2 3 2 8" xfId="9054" xr:uid="{00000000-0005-0000-0000-0000A3400000}"/>
    <cellStyle name="British Pound 2 2 3 3" xfId="9055" xr:uid="{00000000-0005-0000-0000-0000A4400000}"/>
    <cellStyle name="British Pound 2 2 3 3 2" xfId="9056" xr:uid="{00000000-0005-0000-0000-0000A5400000}"/>
    <cellStyle name="British Pound 2 2 3 3 3" xfId="9057" xr:uid="{00000000-0005-0000-0000-0000A6400000}"/>
    <cellStyle name="British Pound 2 2 3 3 4" xfId="9058" xr:uid="{00000000-0005-0000-0000-0000A7400000}"/>
    <cellStyle name="British Pound 2 2 3 3 5" xfId="9059" xr:uid="{00000000-0005-0000-0000-0000A8400000}"/>
    <cellStyle name="British Pound 2 2 3 3 6" xfId="9060" xr:uid="{00000000-0005-0000-0000-0000A9400000}"/>
    <cellStyle name="British Pound 2 2 3 3 7" xfId="9061" xr:uid="{00000000-0005-0000-0000-0000AA400000}"/>
    <cellStyle name="British Pound 2 2 3 3 8" xfId="9062" xr:uid="{00000000-0005-0000-0000-0000AB400000}"/>
    <cellStyle name="British Pound 2 2 3 4" xfId="9063" xr:uid="{00000000-0005-0000-0000-0000AC400000}"/>
    <cellStyle name="British Pound 2 2 3 5" xfId="9064" xr:uid="{00000000-0005-0000-0000-0000AD400000}"/>
    <cellStyle name="British Pound 2 2 3 6" xfId="9065" xr:uid="{00000000-0005-0000-0000-0000AE400000}"/>
    <cellStyle name="British Pound 2 2 3 7" xfId="9066" xr:uid="{00000000-0005-0000-0000-0000AF400000}"/>
    <cellStyle name="British Pound 2 2 3 8" xfId="9067" xr:uid="{00000000-0005-0000-0000-0000B0400000}"/>
    <cellStyle name="British Pound 2 2 3 9" xfId="9068" xr:uid="{00000000-0005-0000-0000-0000B1400000}"/>
    <cellStyle name="British Pound 2 2 4" xfId="9069" xr:uid="{00000000-0005-0000-0000-0000B2400000}"/>
    <cellStyle name="British Pound 2 2 4 2" xfId="9070" xr:uid="{00000000-0005-0000-0000-0000B3400000}"/>
    <cellStyle name="British Pound 2 2 4 2 2" xfId="9071" xr:uid="{00000000-0005-0000-0000-0000B4400000}"/>
    <cellStyle name="British Pound 2 2 4 2 2 2" xfId="9072" xr:uid="{00000000-0005-0000-0000-0000B5400000}"/>
    <cellStyle name="British Pound 2 2 4 2 2 3" xfId="9073" xr:uid="{00000000-0005-0000-0000-0000B6400000}"/>
    <cellStyle name="British Pound 2 2 4 2 2 4" xfId="9074" xr:uid="{00000000-0005-0000-0000-0000B7400000}"/>
    <cellStyle name="British Pound 2 2 4 2 2 5" xfId="9075" xr:uid="{00000000-0005-0000-0000-0000B8400000}"/>
    <cellStyle name="British Pound 2 2 4 2 2 6" xfId="9076" xr:uid="{00000000-0005-0000-0000-0000B9400000}"/>
    <cellStyle name="British Pound 2 2 4 2 2 7" xfId="9077" xr:uid="{00000000-0005-0000-0000-0000BA400000}"/>
    <cellStyle name="British Pound 2 2 4 2 2 8" xfId="9078" xr:uid="{00000000-0005-0000-0000-0000BB400000}"/>
    <cellStyle name="British Pound 2 2 4 2 3" xfId="9079" xr:uid="{00000000-0005-0000-0000-0000BC400000}"/>
    <cellStyle name="British Pound 2 2 4 2 4" xfId="9080" xr:uid="{00000000-0005-0000-0000-0000BD400000}"/>
    <cellStyle name="British Pound 2 2 4 2 5" xfId="9081" xr:uid="{00000000-0005-0000-0000-0000BE400000}"/>
    <cellStyle name="British Pound 2 2 4 2 6" xfId="9082" xr:uid="{00000000-0005-0000-0000-0000BF400000}"/>
    <cellStyle name="British Pound 2 2 4 2 7" xfId="9083" xr:uid="{00000000-0005-0000-0000-0000C0400000}"/>
    <cellStyle name="British Pound 2 2 4 2 8" xfId="9084" xr:uid="{00000000-0005-0000-0000-0000C1400000}"/>
    <cellStyle name="British Pound 2 2 4 2 9" xfId="9085" xr:uid="{00000000-0005-0000-0000-0000C2400000}"/>
    <cellStyle name="British Pound 2 2 4 3" xfId="9086" xr:uid="{00000000-0005-0000-0000-0000C3400000}"/>
    <cellStyle name="British Pound 2 2 4 4" xfId="9087" xr:uid="{00000000-0005-0000-0000-0000C4400000}"/>
    <cellStyle name="British Pound 2 2 4 5" xfId="9088" xr:uid="{00000000-0005-0000-0000-0000C5400000}"/>
    <cellStyle name="British Pound 2 2 4 6" xfId="9089" xr:uid="{00000000-0005-0000-0000-0000C6400000}"/>
    <cellStyle name="British Pound 2 2 4 7" xfId="9090" xr:uid="{00000000-0005-0000-0000-0000C7400000}"/>
    <cellStyle name="British Pound 2 2 4 8" xfId="9091" xr:uid="{00000000-0005-0000-0000-0000C8400000}"/>
    <cellStyle name="British Pound 2 2 4 9" xfId="9092" xr:uid="{00000000-0005-0000-0000-0000C9400000}"/>
    <cellStyle name="British Pound 2 2 5" xfId="9093" xr:uid="{00000000-0005-0000-0000-0000CA400000}"/>
    <cellStyle name="British Pound 2 2 6" xfId="9094" xr:uid="{00000000-0005-0000-0000-0000CB400000}"/>
    <cellStyle name="British Pound 2 2 7" xfId="9095" xr:uid="{00000000-0005-0000-0000-0000CC400000}"/>
    <cellStyle name="British Pound 2 2 7 2" xfId="9096" xr:uid="{00000000-0005-0000-0000-0000CD400000}"/>
    <cellStyle name="British Pound 2 2 7 3" xfId="9097" xr:uid="{00000000-0005-0000-0000-0000CE400000}"/>
    <cellStyle name="British Pound 2 2 7 4" xfId="9098" xr:uid="{00000000-0005-0000-0000-0000CF400000}"/>
    <cellStyle name="British Pound 2 2 7 5" xfId="9099" xr:uid="{00000000-0005-0000-0000-0000D0400000}"/>
    <cellStyle name="British Pound 2 2 7 6" xfId="9100" xr:uid="{00000000-0005-0000-0000-0000D1400000}"/>
    <cellStyle name="British Pound 2 2 7 7" xfId="9101" xr:uid="{00000000-0005-0000-0000-0000D2400000}"/>
    <cellStyle name="British Pound 2 2 7 8" xfId="9102" xr:uid="{00000000-0005-0000-0000-0000D3400000}"/>
    <cellStyle name="British Pound 2 2 8" xfId="9103" xr:uid="{00000000-0005-0000-0000-0000D4400000}"/>
    <cellStyle name="British Pound 2 2 9" xfId="9104" xr:uid="{00000000-0005-0000-0000-0000D5400000}"/>
    <cellStyle name="British Pound 2 3" xfId="9105" xr:uid="{00000000-0005-0000-0000-0000D6400000}"/>
    <cellStyle name="British Pound 2 3 10" xfId="9106" xr:uid="{00000000-0005-0000-0000-0000D7400000}"/>
    <cellStyle name="British Pound 2 3 11" xfId="9107" xr:uid="{00000000-0005-0000-0000-0000D8400000}"/>
    <cellStyle name="British Pound 2 3 12" xfId="9108" xr:uid="{00000000-0005-0000-0000-0000D9400000}"/>
    <cellStyle name="British Pound 2 3 13" xfId="9109" xr:uid="{00000000-0005-0000-0000-0000DA400000}"/>
    <cellStyle name="British Pound 2 3 14" xfId="9110" xr:uid="{00000000-0005-0000-0000-0000DB400000}"/>
    <cellStyle name="British Pound 2 3 15" xfId="9111" xr:uid="{00000000-0005-0000-0000-0000DC400000}"/>
    <cellStyle name="British Pound 2 3 16" xfId="9112" xr:uid="{00000000-0005-0000-0000-0000DD400000}"/>
    <cellStyle name="British Pound 2 3 2" xfId="9113" xr:uid="{00000000-0005-0000-0000-0000DE400000}"/>
    <cellStyle name="British Pound 2 3 2 2" xfId="9114" xr:uid="{00000000-0005-0000-0000-0000DF400000}"/>
    <cellStyle name="British Pound 2 3 2 3" xfId="9115" xr:uid="{00000000-0005-0000-0000-0000E0400000}"/>
    <cellStyle name="British Pound 2 3 2 4" xfId="9116" xr:uid="{00000000-0005-0000-0000-0000E1400000}"/>
    <cellStyle name="British Pound 2 3 2 5" xfId="9117" xr:uid="{00000000-0005-0000-0000-0000E2400000}"/>
    <cellStyle name="British Pound 2 3 2 6" xfId="9118" xr:uid="{00000000-0005-0000-0000-0000E3400000}"/>
    <cellStyle name="British Pound 2 3 2 7" xfId="9119" xr:uid="{00000000-0005-0000-0000-0000E4400000}"/>
    <cellStyle name="British Pound 2 3 2 8" xfId="9120" xr:uid="{00000000-0005-0000-0000-0000E5400000}"/>
    <cellStyle name="British Pound 2 3 3" xfId="9121" xr:uid="{00000000-0005-0000-0000-0000E6400000}"/>
    <cellStyle name="British Pound 2 3 3 2" xfId="9122" xr:uid="{00000000-0005-0000-0000-0000E7400000}"/>
    <cellStyle name="British Pound 2 3 3 3" xfId="9123" xr:uid="{00000000-0005-0000-0000-0000E8400000}"/>
    <cellStyle name="British Pound 2 3 3 4" xfId="9124" xr:uid="{00000000-0005-0000-0000-0000E9400000}"/>
    <cellStyle name="British Pound 2 3 3 5" xfId="9125" xr:uid="{00000000-0005-0000-0000-0000EA400000}"/>
    <cellStyle name="British Pound 2 3 3 6" xfId="9126" xr:uid="{00000000-0005-0000-0000-0000EB400000}"/>
    <cellStyle name="British Pound 2 3 3 7" xfId="9127" xr:uid="{00000000-0005-0000-0000-0000EC400000}"/>
    <cellStyle name="British Pound 2 3 3 8" xfId="9128" xr:uid="{00000000-0005-0000-0000-0000ED400000}"/>
    <cellStyle name="British Pound 2 3 4" xfId="9129" xr:uid="{00000000-0005-0000-0000-0000EE400000}"/>
    <cellStyle name="British Pound 2 3 5" xfId="9130" xr:uid="{00000000-0005-0000-0000-0000EF400000}"/>
    <cellStyle name="British Pound 2 3 6" xfId="9131" xr:uid="{00000000-0005-0000-0000-0000F0400000}"/>
    <cellStyle name="British Pound 2 3 7" xfId="9132" xr:uid="{00000000-0005-0000-0000-0000F1400000}"/>
    <cellStyle name="British Pound 2 3 8" xfId="9133" xr:uid="{00000000-0005-0000-0000-0000F2400000}"/>
    <cellStyle name="British Pound 2 3 9" xfId="9134" xr:uid="{00000000-0005-0000-0000-0000F3400000}"/>
    <cellStyle name="British Pound 2 4" xfId="9135" xr:uid="{00000000-0005-0000-0000-0000F4400000}"/>
    <cellStyle name="British Pound 2 4 2" xfId="9136" xr:uid="{00000000-0005-0000-0000-0000F5400000}"/>
    <cellStyle name="British Pound 2 4 3" xfId="9137" xr:uid="{00000000-0005-0000-0000-0000F6400000}"/>
    <cellStyle name="British Pound 2 4 4" xfId="9138" xr:uid="{00000000-0005-0000-0000-0000F7400000}"/>
    <cellStyle name="British Pound 2 4 5" xfId="9139" xr:uid="{00000000-0005-0000-0000-0000F8400000}"/>
    <cellStyle name="British Pound 2 4 6" xfId="9140" xr:uid="{00000000-0005-0000-0000-0000F9400000}"/>
    <cellStyle name="British Pound 2 4 7" xfId="9141" xr:uid="{00000000-0005-0000-0000-0000FA400000}"/>
    <cellStyle name="British Pound 2 4 8" xfId="9142" xr:uid="{00000000-0005-0000-0000-0000FB400000}"/>
    <cellStyle name="British Pound 2 4 9" xfId="9143" xr:uid="{00000000-0005-0000-0000-0000FC400000}"/>
    <cellStyle name="British Pound 2 5" xfId="9144" xr:uid="{00000000-0005-0000-0000-0000FD400000}"/>
    <cellStyle name="British Pound 2 5 2" xfId="9145" xr:uid="{00000000-0005-0000-0000-0000FE400000}"/>
    <cellStyle name="British Pound 2 5 3" xfId="9146" xr:uid="{00000000-0005-0000-0000-0000FF400000}"/>
    <cellStyle name="British Pound 2 5 4" xfId="9147" xr:uid="{00000000-0005-0000-0000-000000410000}"/>
    <cellStyle name="British Pound 2 5 5" xfId="9148" xr:uid="{00000000-0005-0000-0000-000001410000}"/>
    <cellStyle name="British Pound 2 5 6" xfId="9149" xr:uid="{00000000-0005-0000-0000-000002410000}"/>
    <cellStyle name="British Pound 2 5 7" xfId="9150" xr:uid="{00000000-0005-0000-0000-000003410000}"/>
    <cellStyle name="British Pound 2 5 8" xfId="9151" xr:uid="{00000000-0005-0000-0000-000004410000}"/>
    <cellStyle name="British Pound 2 5 9" xfId="9152" xr:uid="{00000000-0005-0000-0000-000005410000}"/>
    <cellStyle name="British Pound 2 6" xfId="9153" xr:uid="{00000000-0005-0000-0000-000006410000}"/>
    <cellStyle name="British Pound 2 6 2" xfId="9154" xr:uid="{00000000-0005-0000-0000-000007410000}"/>
    <cellStyle name="British Pound 2 6 3" xfId="9155" xr:uid="{00000000-0005-0000-0000-000008410000}"/>
    <cellStyle name="British Pound 2 6 4" xfId="9156" xr:uid="{00000000-0005-0000-0000-000009410000}"/>
    <cellStyle name="British Pound 2 6 5" xfId="9157" xr:uid="{00000000-0005-0000-0000-00000A410000}"/>
    <cellStyle name="British Pound 2 6 6" xfId="9158" xr:uid="{00000000-0005-0000-0000-00000B410000}"/>
    <cellStyle name="British Pound 2 6 7" xfId="9159" xr:uid="{00000000-0005-0000-0000-00000C410000}"/>
    <cellStyle name="British Pound 2 6 8" xfId="9160" xr:uid="{00000000-0005-0000-0000-00000D410000}"/>
    <cellStyle name="British Pound 2 6 9" xfId="9161" xr:uid="{00000000-0005-0000-0000-00000E410000}"/>
    <cellStyle name="British Pound 2 7" xfId="9162" xr:uid="{00000000-0005-0000-0000-00000F410000}"/>
    <cellStyle name="British Pound 2 7 2" xfId="9163" xr:uid="{00000000-0005-0000-0000-000010410000}"/>
    <cellStyle name="British Pound 2 7 3" xfId="9164" xr:uid="{00000000-0005-0000-0000-000011410000}"/>
    <cellStyle name="British Pound 2 7 4" xfId="9165" xr:uid="{00000000-0005-0000-0000-000012410000}"/>
    <cellStyle name="British Pound 2 7 5" xfId="9166" xr:uid="{00000000-0005-0000-0000-000013410000}"/>
    <cellStyle name="British Pound 2 7 6" xfId="9167" xr:uid="{00000000-0005-0000-0000-000014410000}"/>
    <cellStyle name="British Pound 2 7 7" xfId="9168" xr:uid="{00000000-0005-0000-0000-000015410000}"/>
    <cellStyle name="British Pound 2 7 8" xfId="9169" xr:uid="{00000000-0005-0000-0000-000016410000}"/>
    <cellStyle name="British Pound 2 7 9" xfId="9170" xr:uid="{00000000-0005-0000-0000-000017410000}"/>
    <cellStyle name="British Pound 2 8" xfId="9171" xr:uid="{00000000-0005-0000-0000-000018410000}"/>
    <cellStyle name="British Pound 2 8 2" xfId="9172" xr:uid="{00000000-0005-0000-0000-000019410000}"/>
    <cellStyle name="British Pound 2 8 3" xfId="9173" xr:uid="{00000000-0005-0000-0000-00001A410000}"/>
    <cellStyle name="British Pound 2 8 4" xfId="9174" xr:uid="{00000000-0005-0000-0000-00001B410000}"/>
    <cellStyle name="British Pound 2 8 5" xfId="9175" xr:uid="{00000000-0005-0000-0000-00001C410000}"/>
    <cellStyle name="British Pound 2 8 6" xfId="9176" xr:uid="{00000000-0005-0000-0000-00001D410000}"/>
    <cellStyle name="British Pound 2 8 7" xfId="9177" xr:uid="{00000000-0005-0000-0000-00001E410000}"/>
    <cellStyle name="British Pound 2 8 8" xfId="9178" xr:uid="{00000000-0005-0000-0000-00001F410000}"/>
    <cellStyle name="British Pound 2 8 9" xfId="9179" xr:uid="{00000000-0005-0000-0000-000020410000}"/>
    <cellStyle name="British Pound 2 9" xfId="9180" xr:uid="{00000000-0005-0000-0000-000021410000}"/>
    <cellStyle name="British Pound 2 9 2" xfId="9181" xr:uid="{00000000-0005-0000-0000-000022410000}"/>
    <cellStyle name="British Pound 2 9 2 2" xfId="9182" xr:uid="{00000000-0005-0000-0000-000023410000}"/>
    <cellStyle name="British Pound 2 9 2 2 2" xfId="9183" xr:uid="{00000000-0005-0000-0000-000024410000}"/>
    <cellStyle name="British Pound 2 9 2 2 3" xfId="9184" xr:uid="{00000000-0005-0000-0000-000025410000}"/>
    <cellStyle name="British Pound 2 9 2 2 4" xfId="9185" xr:uid="{00000000-0005-0000-0000-000026410000}"/>
    <cellStyle name="British Pound 2 9 2 2 5" xfId="9186" xr:uid="{00000000-0005-0000-0000-000027410000}"/>
    <cellStyle name="British Pound 2 9 2 2 6" xfId="9187" xr:uid="{00000000-0005-0000-0000-000028410000}"/>
    <cellStyle name="British Pound 2 9 2 2 7" xfId="9188" xr:uid="{00000000-0005-0000-0000-000029410000}"/>
    <cellStyle name="British Pound 2 9 2 2 8" xfId="9189" xr:uid="{00000000-0005-0000-0000-00002A410000}"/>
    <cellStyle name="British Pound 2 9 2 3" xfId="9190" xr:uid="{00000000-0005-0000-0000-00002B410000}"/>
    <cellStyle name="British Pound 2 9 2 4" xfId="9191" xr:uid="{00000000-0005-0000-0000-00002C410000}"/>
    <cellStyle name="British Pound 2 9 2 5" xfId="9192" xr:uid="{00000000-0005-0000-0000-00002D410000}"/>
    <cellStyle name="British Pound 2 9 2 6" xfId="9193" xr:uid="{00000000-0005-0000-0000-00002E410000}"/>
    <cellStyle name="British Pound 2 9 2 7" xfId="9194" xr:uid="{00000000-0005-0000-0000-00002F410000}"/>
    <cellStyle name="British Pound 2 9 2 8" xfId="9195" xr:uid="{00000000-0005-0000-0000-000030410000}"/>
    <cellStyle name="British Pound 2 9 2 9" xfId="9196" xr:uid="{00000000-0005-0000-0000-000031410000}"/>
    <cellStyle name="British Pound 2 9 3" xfId="9197" xr:uid="{00000000-0005-0000-0000-000032410000}"/>
    <cellStyle name="British Pound 2 9 4" xfId="9198" xr:uid="{00000000-0005-0000-0000-000033410000}"/>
    <cellStyle name="British Pound 2 9 5" xfId="9199" xr:uid="{00000000-0005-0000-0000-000034410000}"/>
    <cellStyle name="British Pound 2 9 6" xfId="9200" xr:uid="{00000000-0005-0000-0000-000035410000}"/>
    <cellStyle name="British Pound 2 9 7" xfId="9201" xr:uid="{00000000-0005-0000-0000-000036410000}"/>
    <cellStyle name="British Pound 2 9 8" xfId="9202" xr:uid="{00000000-0005-0000-0000-000037410000}"/>
    <cellStyle name="British Pound 2 9 9" xfId="9203" xr:uid="{00000000-0005-0000-0000-000038410000}"/>
    <cellStyle name="British Pound 20" xfId="9204" xr:uid="{00000000-0005-0000-0000-000039410000}"/>
    <cellStyle name="British Pound 20 2" xfId="9205" xr:uid="{00000000-0005-0000-0000-00003A410000}"/>
    <cellStyle name="British Pound 20 3" xfId="9206" xr:uid="{00000000-0005-0000-0000-00003B410000}"/>
    <cellStyle name="British Pound 20 4" xfId="9207" xr:uid="{00000000-0005-0000-0000-00003C410000}"/>
    <cellStyle name="British Pound 20 5" xfId="9208" xr:uid="{00000000-0005-0000-0000-00003D410000}"/>
    <cellStyle name="British Pound 20 6" xfId="9209" xr:uid="{00000000-0005-0000-0000-00003E410000}"/>
    <cellStyle name="British Pound 20 7" xfId="9210" xr:uid="{00000000-0005-0000-0000-00003F410000}"/>
    <cellStyle name="British Pound 20 8" xfId="9211" xr:uid="{00000000-0005-0000-0000-000040410000}"/>
    <cellStyle name="British Pound 20 9" xfId="9212" xr:uid="{00000000-0005-0000-0000-000041410000}"/>
    <cellStyle name="British Pound 21" xfId="9213" xr:uid="{00000000-0005-0000-0000-000042410000}"/>
    <cellStyle name="British Pound 21 2" xfId="9214" xr:uid="{00000000-0005-0000-0000-000043410000}"/>
    <cellStyle name="British Pound 21 3" xfId="9215" xr:uid="{00000000-0005-0000-0000-000044410000}"/>
    <cellStyle name="British Pound 21 4" xfId="9216" xr:uid="{00000000-0005-0000-0000-000045410000}"/>
    <cellStyle name="British Pound 21 5" xfId="9217" xr:uid="{00000000-0005-0000-0000-000046410000}"/>
    <cellStyle name="British Pound 21 6" xfId="9218" xr:uid="{00000000-0005-0000-0000-000047410000}"/>
    <cellStyle name="British Pound 21 7" xfId="9219" xr:uid="{00000000-0005-0000-0000-000048410000}"/>
    <cellStyle name="British Pound 21 8" xfId="9220" xr:uid="{00000000-0005-0000-0000-000049410000}"/>
    <cellStyle name="British Pound 21 9" xfId="9221" xr:uid="{00000000-0005-0000-0000-00004A410000}"/>
    <cellStyle name="British Pound 22" xfId="9222" xr:uid="{00000000-0005-0000-0000-00004B410000}"/>
    <cellStyle name="British Pound 22 2" xfId="9223" xr:uid="{00000000-0005-0000-0000-00004C410000}"/>
    <cellStyle name="British Pound 22 3" xfId="9224" xr:uid="{00000000-0005-0000-0000-00004D410000}"/>
    <cellStyle name="British Pound 22 4" xfId="9225" xr:uid="{00000000-0005-0000-0000-00004E410000}"/>
    <cellStyle name="British Pound 22 5" xfId="9226" xr:uid="{00000000-0005-0000-0000-00004F410000}"/>
    <cellStyle name="British Pound 22 6" xfId="9227" xr:uid="{00000000-0005-0000-0000-000050410000}"/>
    <cellStyle name="British Pound 22 7" xfId="9228" xr:uid="{00000000-0005-0000-0000-000051410000}"/>
    <cellStyle name="British Pound 22 8" xfId="9229" xr:uid="{00000000-0005-0000-0000-000052410000}"/>
    <cellStyle name="British Pound 22 9" xfId="9230" xr:uid="{00000000-0005-0000-0000-000053410000}"/>
    <cellStyle name="British Pound 23" xfId="9231" xr:uid="{00000000-0005-0000-0000-000054410000}"/>
    <cellStyle name="British Pound 24" xfId="9232" xr:uid="{00000000-0005-0000-0000-000055410000}"/>
    <cellStyle name="British Pound 25" xfId="9233" xr:uid="{00000000-0005-0000-0000-000056410000}"/>
    <cellStyle name="British Pound 26" xfId="9234" xr:uid="{00000000-0005-0000-0000-000057410000}"/>
    <cellStyle name="British Pound 27" xfId="9235" xr:uid="{00000000-0005-0000-0000-000058410000}"/>
    <cellStyle name="British Pound 28" xfId="9236" xr:uid="{00000000-0005-0000-0000-000059410000}"/>
    <cellStyle name="British Pound 29" xfId="9237" xr:uid="{00000000-0005-0000-0000-00005A410000}"/>
    <cellStyle name="British Pound 3" xfId="9238" xr:uid="{00000000-0005-0000-0000-00005B410000}"/>
    <cellStyle name="British Pound 3 2" xfId="9239" xr:uid="{00000000-0005-0000-0000-00005C410000}"/>
    <cellStyle name="British Pound 3 2 2" xfId="9240" xr:uid="{00000000-0005-0000-0000-00005D410000}"/>
    <cellStyle name="British Pound 3 2 2 2" xfId="9241" xr:uid="{00000000-0005-0000-0000-00005E410000}"/>
    <cellStyle name="British Pound 3 2 2 2 2" xfId="9242" xr:uid="{00000000-0005-0000-0000-00005F410000}"/>
    <cellStyle name="British Pound 3 2 2 2 2 2" xfId="9243" xr:uid="{00000000-0005-0000-0000-000060410000}"/>
    <cellStyle name="British Pound 3 2 2 2 2 3" xfId="9244" xr:uid="{00000000-0005-0000-0000-000061410000}"/>
    <cellStyle name="British Pound 3 2 2 2 2 4" xfId="9245" xr:uid="{00000000-0005-0000-0000-000062410000}"/>
    <cellStyle name="British Pound 3 2 2 2 2 5" xfId="9246" xr:uid="{00000000-0005-0000-0000-000063410000}"/>
    <cellStyle name="British Pound 3 2 2 2 2 6" xfId="9247" xr:uid="{00000000-0005-0000-0000-000064410000}"/>
    <cellStyle name="British Pound 3 2 2 2 2 7" xfId="9248" xr:uid="{00000000-0005-0000-0000-000065410000}"/>
    <cellStyle name="British Pound 3 2 2 2 2 8" xfId="9249" xr:uid="{00000000-0005-0000-0000-000066410000}"/>
    <cellStyle name="British Pound 3 2 2 2 3" xfId="9250" xr:uid="{00000000-0005-0000-0000-000067410000}"/>
    <cellStyle name="British Pound 3 2 2 2 4" xfId="9251" xr:uid="{00000000-0005-0000-0000-000068410000}"/>
    <cellStyle name="British Pound 3 2 2 2 5" xfId="9252" xr:uid="{00000000-0005-0000-0000-000069410000}"/>
    <cellStyle name="British Pound 3 2 2 2 6" xfId="9253" xr:uid="{00000000-0005-0000-0000-00006A410000}"/>
    <cellStyle name="British Pound 3 2 2 2 7" xfId="9254" xr:uid="{00000000-0005-0000-0000-00006B410000}"/>
    <cellStyle name="British Pound 3 2 2 2 8" xfId="9255" xr:uid="{00000000-0005-0000-0000-00006C410000}"/>
    <cellStyle name="British Pound 3 2 2 2 9" xfId="9256" xr:uid="{00000000-0005-0000-0000-00006D410000}"/>
    <cellStyle name="British Pound 3 2 2 3" xfId="9257" xr:uid="{00000000-0005-0000-0000-00006E410000}"/>
    <cellStyle name="British Pound 3 2 2 4" xfId="9258" xr:uid="{00000000-0005-0000-0000-00006F410000}"/>
    <cellStyle name="British Pound 3 2 2 5" xfId="9259" xr:uid="{00000000-0005-0000-0000-000070410000}"/>
    <cellStyle name="British Pound 3 2 2 6" xfId="9260" xr:uid="{00000000-0005-0000-0000-000071410000}"/>
    <cellStyle name="British Pound 3 2 2 7" xfId="9261" xr:uid="{00000000-0005-0000-0000-000072410000}"/>
    <cellStyle name="British Pound 3 2 2 8" xfId="9262" xr:uid="{00000000-0005-0000-0000-000073410000}"/>
    <cellStyle name="British Pound 3 2 2 9" xfId="9263" xr:uid="{00000000-0005-0000-0000-000074410000}"/>
    <cellStyle name="British Pound 3 2 3" xfId="9264" xr:uid="{00000000-0005-0000-0000-000075410000}"/>
    <cellStyle name="British Pound 3 2 4" xfId="9265" xr:uid="{00000000-0005-0000-0000-000076410000}"/>
    <cellStyle name="British Pound 3 2 5" xfId="9266" xr:uid="{00000000-0005-0000-0000-000077410000}"/>
    <cellStyle name="British Pound 3 2 6" xfId="9267" xr:uid="{00000000-0005-0000-0000-000078410000}"/>
    <cellStyle name="British Pound 3 2 7" xfId="9268" xr:uid="{00000000-0005-0000-0000-000079410000}"/>
    <cellStyle name="British Pound 3 2 8" xfId="9269" xr:uid="{00000000-0005-0000-0000-00007A410000}"/>
    <cellStyle name="British Pound 3 2 9" xfId="9270" xr:uid="{00000000-0005-0000-0000-00007B410000}"/>
    <cellStyle name="British Pound 3 3" xfId="9271" xr:uid="{00000000-0005-0000-0000-00007C410000}"/>
    <cellStyle name="British Pound 3 4" xfId="9272" xr:uid="{00000000-0005-0000-0000-00007D410000}"/>
    <cellStyle name="British Pound 3 5" xfId="9273" xr:uid="{00000000-0005-0000-0000-00007E410000}"/>
    <cellStyle name="British Pound 3 6" xfId="9274" xr:uid="{00000000-0005-0000-0000-00007F410000}"/>
    <cellStyle name="British Pound 3 6 2" xfId="9275" xr:uid="{00000000-0005-0000-0000-000080410000}"/>
    <cellStyle name="British Pound 3 6 3" xfId="9276" xr:uid="{00000000-0005-0000-0000-000081410000}"/>
    <cellStyle name="British Pound 3 6 4" xfId="9277" xr:uid="{00000000-0005-0000-0000-000082410000}"/>
    <cellStyle name="British Pound 3 6 5" xfId="9278" xr:uid="{00000000-0005-0000-0000-000083410000}"/>
    <cellStyle name="British Pound 3 6 6" xfId="9279" xr:uid="{00000000-0005-0000-0000-000084410000}"/>
    <cellStyle name="British Pound 3 6 7" xfId="9280" xr:uid="{00000000-0005-0000-0000-000085410000}"/>
    <cellStyle name="British Pound 3 6 8" xfId="9281" xr:uid="{00000000-0005-0000-0000-000086410000}"/>
    <cellStyle name="British Pound 3 7" xfId="9282" xr:uid="{00000000-0005-0000-0000-000087410000}"/>
    <cellStyle name="British Pound 3 8" xfId="9283" xr:uid="{00000000-0005-0000-0000-000088410000}"/>
    <cellStyle name="British Pound 3 9" xfId="9284" xr:uid="{00000000-0005-0000-0000-000089410000}"/>
    <cellStyle name="British Pound 30" xfId="9285" xr:uid="{00000000-0005-0000-0000-00008A410000}"/>
    <cellStyle name="British Pound 31" xfId="9286" xr:uid="{00000000-0005-0000-0000-00008B410000}"/>
    <cellStyle name="British Pound 32" xfId="9287" xr:uid="{00000000-0005-0000-0000-00008C410000}"/>
    <cellStyle name="British Pound 33" xfId="9288" xr:uid="{00000000-0005-0000-0000-00008D410000}"/>
    <cellStyle name="British Pound 34" xfId="9289" xr:uid="{00000000-0005-0000-0000-00008E410000}"/>
    <cellStyle name="British Pound 35" xfId="9290" xr:uid="{00000000-0005-0000-0000-00008F410000}"/>
    <cellStyle name="British Pound 36" xfId="9291" xr:uid="{00000000-0005-0000-0000-000090410000}"/>
    <cellStyle name="British Pound 37" xfId="9292" xr:uid="{00000000-0005-0000-0000-000091410000}"/>
    <cellStyle name="British Pound 4" xfId="9293" xr:uid="{00000000-0005-0000-0000-000092410000}"/>
    <cellStyle name="British Pound 4 2" xfId="9294" xr:uid="{00000000-0005-0000-0000-000093410000}"/>
    <cellStyle name="British Pound 4 3" xfId="9295" xr:uid="{00000000-0005-0000-0000-000094410000}"/>
    <cellStyle name="British Pound 4 4" xfId="9296" xr:uid="{00000000-0005-0000-0000-000095410000}"/>
    <cellStyle name="British Pound 4 5" xfId="9297" xr:uid="{00000000-0005-0000-0000-000096410000}"/>
    <cellStyle name="British Pound 4 6" xfId="9298" xr:uid="{00000000-0005-0000-0000-000097410000}"/>
    <cellStyle name="British Pound 4 7" xfId="9299" xr:uid="{00000000-0005-0000-0000-000098410000}"/>
    <cellStyle name="British Pound 4 8" xfId="9300" xr:uid="{00000000-0005-0000-0000-000099410000}"/>
    <cellStyle name="British Pound 4 9" xfId="9301" xr:uid="{00000000-0005-0000-0000-00009A410000}"/>
    <cellStyle name="British Pound 5" xfId="9302" xr:uid="{00000000-0005-0000-0000-00009B410000}"/>
    <cellStyle name="British Pound 5 2" xfId="9303" xr:uid="{00000000-0005-0000-0000-00009C410000}"/>
    <cellStyle name="British Pound 5 3" xfId="9304" xr:uid="{00000000-0005-0000-0000-00009D410000}"/>
    <cellStyle name="British Pound 5 4" xfId="9305" xr:uid="{00000000-0005-0000-0000-00009E410000}"/>
    <cellStyle name="British Pound 5 5" xfId="9306" xr:uid="{00000000-0005-0000-0000-00009F410000}"/>
    <cellStyle name="British Pound 5 6" xfId="9307" xr:uid="{00000000-0005-0000-0000-0000A0410000}"/>
    <cellStyle name="British Pound 5 7" xfId="9308" xr:uid="{00000000-0005-0000-0000-0000A1410000}"/>
    <cellStyle name="British Pound 5 8" xfId="9309" xr:uid="{00000000-0005-0000-0000-0000A2410000}"/>
    <cellStyle name="British Pound 5 9" xfId="9310" xr:uid="{00000000-0005-0000-0000-0000A3410000}"/>
    <cellStyle name="British Pound 6" xfId="9311" xr:uid="{00000000-0005-0000-0000-0000A4410000}"/>
    <cellStyle name="British Pound 6 2" xfId="9312" xr:uid="{00000000-0005-0000-0000-0000A5410000}"/>
    <cellStyle name="British Pound 6 3" xfId="9313" xr:uid="{00000000-0005-0000-0000-0000A6410000}"/>
    <cellStyle name="British Pound 6 4" xfId="9314" xr:uid="{00000000-0005-0000-0000-0000A7410000}"/>
    <cellStyle name="British Pound 6 5" xfId="9315" xr:uid="{00000000-0005-0000-0000-0000A8410000}"/>
    <cellStyle name="British Pound 6 6" xfId="9316" xr:uid="{00000000-0005-0000-0000-0000A9410000}"/>
    <cellStyle name="British Pound 6 7" xfId="9317" xr:uid="{00000000-0005-0000-0000-0000AA410000}"/>
    <cellStyle name="British Pound 6 8" xfId="9318" xr:uid="{00000000-0005-0000-0000-0000AB410000}"/>
    <cellStyle name="British Pound 6 9" xfId="9319" xr:uid="{00000000-0005-0000-0000-0000AC410000}"/>
    <cellStyle name="British Pound 7" xfId="9320" xr:uid="{00000000-0005-0000-0000-0000AD410000}"/>
    <cellStyle name="British Pound 7 2" xfId="9321" xr:uid="{00000000-0005-0000-0000-0000AE410000}"/>
    <cellStyle name="British Pound 7 3" xfId="9322" xr:uid="{00000000-0005-0000-0000-0000AF410000}"/>
    <cellStyle name="British Pound 7 4" xfId="9323" xr:uid="{00000000-0005-0000-0000-0000B0410000}"/>
    <cellStyle name="British Pound 7 5" xfId="9324" xr:uid="{00000000-0005-0000-0000-0000B1410000}"/>
    <cellStyle name="British Pound 7 6" xfId="9325" xr:uid="{00000000-0005-0000-0000-0000B2410000}"/>
    <cellStyle name="British Pound 7 7" xfId="9326" xr:uid="{00000000-0005-0000-0000-0000B3410000}"/>
    <cellStyle name="British Pound 7 8" xfId="9327" xr:uid="{00000000-0005-0000-0000-0000B4410000}"/>
    <cellStyle name="British Pound 7 9" xfId="9328" xr:uid="{00000000-0005-0000-0000-0000B5410000}"/>
    <cellStyle name="British Pound 8" xfId="9329" xr:uid="{00000000-0005-0000-0000-0000B6410000}"/>
    <cellStyle name="British Pound 8 10" xfId="9330" xr:uid="{00000000-0005-0000-0000-0000B7410000}"/>
    <cellStyle name="British Pound 8 11" xfId="9331" xr:uid="{00000000-0005-0000-0000-0000B8410000}"/>
    <cellStyle name="British Pound 8 12" xfId="9332" xr:uid="{00000000-0005-0000-0000-0000B9410000}"/>
    <cellStyle name="British Pound 8 13" xfId="9333" xr:uid="{00000000-0005-0000-0000-0000BA410000}"/>
    <cellStyle name="British Pound 8 14" xfId="9334" xr:uid="{00000000-0005-0000-0000-0000BB410000}"/>
    <cellStyle name="British Pound 8 15" xfId="9335" xr:uid="{00000000-0005-0000-0000-0000BC410000}"/>
    <cellStyle name="British Pound 8 16" xfId="9336" xr:uid="{00000000-0005-0000-0000-0000BD410000}"/>
    <cellStyle name="British Pound 8 2" xfId="9337" xr:uid="{00000000-0005-0000-0000-0000BE410000}"/>
    <cellStyle name="British Pound 8 2 2" xfId="9338" xr:uid="{00000000-0005-0000-0000-0000BF410000}"/>
    <cellStyle name="British Pound 8 2 3" xfId="9339" xr:uid="{00000000-0005-0000-0000-0000C0410000}"/>
    <cellStyle name="British Pound 8 2 4" xfId="9340" xr:uid="{00000000-0005-0000-0000-0000C1410000}"/>
    <cellStyle name="British Pound 8 2 5" xfId="9341" xr:uid="{00000000-0005-0000-0000-0000C2410000}"/>
    <cellStyle name="British Pound 8 2 6" xfId="9342" xr:uid="{00000000-0005-0000-0000-0000C3410000}"/>
    <cellStyle name="British Pound 8 2 7" xfId="9343" xr:uid="{00000000-0005-0000-0000-0000C4410000}"/>
    <cellStyle name="British Pound 8 2 8" xfId="9344" xr:uid="{00000000-0005-0000-0000-0000C5410000}"/>
    <cellStyle name="British Pound 8 3" xfId="9345" xr:uid="{00000000-0005-0000-0000-0000C6410000}"/>
    <cellStyle name="British Pound 8 3 2" xfId="9346" xr:uid="{00000000-0005-0000-0000-0000C7410000}"/>
    <cellStyle name="British Pound 8 3 3" xfId="9347" xr:uid="{00000000-0005-0000-0000-0000C8410000}"/>
    <cellStyle name="British Pound 8 3 4" xfId="9348" xr:uid="{00000000-0005-0000-0000-0000C9410000}"/>
    <cellStyle name="British Pound 8 3 5" xfId="9349" xr:uid="{00000000-0005-0000-0000-0000CA410000}"/>
    <cellStyle name="British Pound 8 3 6" xfId="9350" xr:uid="{00000000-0005-0000-0000-0000CB410000}"/>
    <cellStyle name="British Pound 8 3 7" xfId="9351" xr:uid="{00000000-0005-0000-0000-0000CC410000}"/>
    <cellStyle name="British Pound 8 3 8" xfId="9352" xr:uid="{00000000-0005-0000-0000-0000CD410000}"/>
    <cellStyle name="British Pound 8 4" xfId="9353" xr:uid="{00000000-0005-0000-0000-0000CE410000}"/>
    <cellStyle name="British Pound 8 5" xfId="9354" xr:uid="{00000000-0005-0000-0000-0000CF410000}"/>
    <cellStyle name="British Pound 8 6" xfId="9355" xr:uid="{00000000-0005-0000-0000-0000D0410000}"/>
    <cellStyle name="British Pound 8 7" xfId="9356" xr:uid="{00000000-0005-0000-0000-0000D1410000}"/>
    <cellStyle name="British Pound 8 8" xfId="9357" xr:uid="{00000000-0005-0000-0000-0000D2410000}"/>
    <cellStyle name="British Pound 8 9" xfId="9358" xr:uid="{00000000-0005-0000-0000-0000D3410000}"/>
    <cellStyle name="British Pound 9" xfId="9359" xr:uid="{00000000-0005-0000-0000-0000D4410000}"/>
    <cellStyle name="British Pound 9 2" xfId="9360" xr:uid="{00000000-0005-0000-0000-0000D5410000}"/>
    <cellStyle name="British Pound 9 3" xfId="9361" xr:uid="{00000000-0005-0000-0000-0000D6410000}"/>
    <cellStyle name="British Pound 9 4" xfId="9362" xr:uid="{00000000-0005-0000-0000-0000D7410000}"/>
    <cellStyle name="British Pound 9 5" xfId="9363" xr:uid="{00000000-0005-0000-0000-0000D8410000}"/>
    <cellStyle name="British Pound 9 6" xfId="9364" xr:uid="{00000000-0005-0000-0000-0000D9410000}"/>
    <cellStyle name="British Pound 9 7" xfId="9365" xr:uid="{00000000-0005-0000-0000-0000DA410000}"/>
    <cellStyle name="British Pound 9 8" xfId="9366" xr:uid="{00000000-0005-0000-0000-0000DB410000}"/>
    <cellStyle name="British Pound 9 9" xfId="9367" xr:uid="{00000000-0005-0000-0000-0000DC410000}"/>
    <cellStyle name="BrödText" xfId="9368" xr:uid="{00000000-0005-0000-0000-0000DD410000}"/>
    <cellStyle name="BrödText 2" xfId="9369" xr:uid="{00000000-0005-0000-0000-0000DE410000}"/>
    <cellStyle name="BrödText 2 2" xfId="9370" xr:uid="{00000000-0005-0000-0000-0000DF410000}"/>
    <cellStyle name="BrödText 3" xfId="9371" xr:uid="{00000000-0005-0000-0000-0000E0410000}"/>
    <cellStyle name="BrödText 4" xfId="9372" xr:uid="{00000000-0005-0000-0000-0000E1410000}"/>
    <cellStyle name="BrödText 5" xfId="9373" xr:uid="{00000000-0005-0000-0000-0000E2410000}"/>
    <cellStyle name="Buena" xfId="9374" xr:uid="{00000000-0005-0000-0000-0000E3410000}"/>
    <cellStyle name="Bullet" xfId="9375" xr:uid="{00000000-0005-0000-0000-0000E4410000}"/>
    <cellStyle name="Bullet 2" xfId="9376" xr:uid="{00000000-0005-0000-0000-0000E5410000}"/>
    <cellStyle name="CABEÇALHO" xfId="9377" xr:uid="{00000000-0005-0000-0000-0000E6410000}"/>
    <cellStyle name="Cadre" xfId="9378" xr:uid="{00000000-0005-0000-0000-0000E7410000}"/>
    <cellStyle name="Cadre 2" xfId="9379" xr:uid="{00000000-0005-0000-0000-0000E8410000}"/>
    <cellStyle name="Calc" xfId="9380" xr:uid="{00000000-0005-0000-0000-0000E9410000}"/>
    <cellStyle name="Calc # [0]" xfId="9381" xr:uid="{00000000-0005-0000-0000-0000EA410000}"/>
    <cellStyle name="Calc # [1]" xfId="9382" xr:uid="{00000000-0005-0000-0000-0000EB410000}"/>
    <cellStyle name="Calc # [2]" xfId="9383" xr:uid="{00000000-0005-0000-0000-0000EC410000}"/>
    <cellStyle name="Calc % [0]" xfId="9384" xr:uid="{00000000-0005-0000-0000-0000ED410000}"/>
    <cellStyle name="Calc % [1]" xfId="9385" xr:uid="{00000000-0005-0000-0000-0000EE410000}"/>
    <cellStyle name="Calc % [2]" xfId="9386" xr:uid="{00000000-0005-0000-0000-0000EF410000}"/>
    <cellStyle name="Calc 2" xfId="9387" xr:uid="{00000000-0005-0000-0000-0000F0410000}"/>
    <cellStyle name="Calc Currency (0)" xfId="9388" xr:uid="{00000000-0005-0000-0000-0000F1410000}"/>
    <cellStyle name="Calc Currency (0) 10" xfId="9389" xr:uid="{00000000-0005-0000-0000-0000F2410000}"/>
    <cellStyle name="Calc Currency (0) 10 10" xfId="9390" xr:uid="{00000000-0005-0000-0000-0000F3410000}"/>
    <cellStyle name="Calc Currency (0) 10 11" xfId="9391" xr:uid="{00000000-0005-0000-0000-0000F4410000}"/>
    <cellStyle name="Calc Currency (0) 10 2" xfId="9392" xr:uid="{00000000-0005-0000-0000-0000F5410000}"/>
    <cellStyle name="Calc Currency (0) 10 2 2" xfId="9393" xr:uid="{00000000-0005-0000-0000-0000F6410000}"/>
    <cellStyle name="Calc Currency (0) 10 2 3" xfId="9394" xr:uid="{00000000-0005-0000-0000-0000F7410000}"/>
    <cellStyle name="Calc Currency (0) 10 2 4" xfId="9395" xr:uid="{00000000-0005-0000-0000-0000F8410000}"/>
    <cellStyle name="Calc Currency (0) 10 2 5" xfId="9396" xr:uid="{00000000-0005-0000-0000-0000F9410000}"/>
    <cellStyle name="Calc Currency (0) 10 2 6" xfId="9397" xr:uid="{00000000-0005-0000-0000-0000FA410000}"/>
    <cellStyle name="Calc Currency (0) 10 2 7" xfId="9398" xr:uid="{00000000-0005-0000-0000-0000FB410000}"/>
    <cellStyle name="Calc Currency (0) 10 2 8" xfId="9399" xr:uid="{00000000-0005-0000-0000-0000FC410000}"/>
    <cellStyle name="Calc Currency (0) 10 2 9" xfId="9400" xr:uid="{00000000-0005-0000-0000-0000FD410000}"/>
    <cellStyle name="Calc Currency (0) 10 3" xfId="9401" xr:uid="{00000000-0005-0000-0000-0000FE410000}"/>
    <cellStyle name="Calc Currency (0) 10 3 2" xfId="9402" xr:uid="{00000000-0005-0000-0000-0000FF410000}"/>
    <cellStyle name="Calc Currency (0) 10 3 3" xfId="9403" xr:uid="{00000000-0005-0000-0000-000000420000}"/>
    <cellStyle name="Calc Currency (0) 10 3 4" xfId="9404" xr:uid="{00000000-0005-0000-0000-000001420000}"/>
    <cellStyle name="Calc Currency (0) 10 3 5" xfId="9405" xr:uid="{00000000-0005-0000-0000-000002420000}"/>
    <cellStyle name="Calc Currency (0) 10 3 6" xfId="9406" xr:uid="{00000000-0005-0000-0000-000003420000}"/>
    <cellStyle name="Calc Currency (0) 10 3 7" xfId="9407" xr:uid="{00000000-0005-0000-0000-000004420000}"/>
    <cellStyle name="Calc Currency (0) 10 3 8" xfId="9408" xr:uid="{00000000-0005-0000-0000-000005420000}"/>
    <cellStyle name="Calc Currency (0) 10 3 9" xfId="9409" xr:uid="{00000000-0005-0000-0000-000006420000}"/>
    <cellStyle name="Calc Currency (0) 10 4" xfId="9410" xr:uid="{00000000-0005-0000-0000-000007420000}"/>
    <cellStyle name="Calc Currency (0) 10 5" xfId="9411" xr:uid="{00000000-0005-0000-0000-000008420000}"/>
    <cellStyle name="Calc Currency (0) 10 6" xfId="9412" xr:uid="{00000000-0005-0000-0000-000009420000}"/>
    <cellStyle name="Calc Currency (0) 10 7" xfId="9413" xr:uid="{00000000-0005-0000-0000-00000A420000}"/>
    <cellStyle name="Calc Currency (0) 10 8" xfId="9414" xr:uid="{00000000-0005-0000-0000-00000B420000}"/>
    <cellStyle name="Calc Currency (0) 10 9" xfId="9415" xr:uid="{00000000-0005-0000-0000-00000C420000}"/>
    <cellStyle name="Calc Currency (0) 11" xfId="9416" xr:uid="{00000000-0005-0000-0000-00000D420000}"/>
    <cellStyle name="Calc Currency (0) 11 2" xfId="9417" xr:uid="{00000000-0005-0000-0000-00000E420000}"/>
    <cellStyle name="Calc Currency (0) 11 3" xfId="9418" xr:uid="{00000000-0005-0000-0000-00000F420000}"/>
    <cellStyle name="Calc Currency (0) 11 4" xfId="9419" xr:uid="{00000000-0005-0000-0000-000010420000}"/>
    <cellStyle name="Calc Currency (0) 11 5" xfId="9420" xr:uid="{00000000-0005-0000-0000-000011420000}"/>
    <cellStyle name="Calc Currency (0) 11 6" xfId="9421" xr:uid="{00000000-0005-0000-0000-000012420000}"/>
    <cellStyle name="Calc Currency (0) 11 7" xfId="9422" xr:uid="{00000000-0005-0000-0000-000013420000}"/>
    <cellStyle name="Calc Currency (0) 11 8" xfId="9423" xr:uid="{00000000-0005-0000-0000-000014420000}"/>
    <cellStyle name="Calc Currency (0) 11 9" xfId="9424" xr:uid="{00000000-0005-0000-0000-000015420000}"/>
    <cellStyle name="Calc Currency (0) 12" xfId="9425" xr:uid="{00000000-0005-0000-0000-000016420000}"/>
    <cellStyle name="Calc Currency (0) 12 2" xfId="9426" xr:uid="{00000000-0005-0000-0000-000017420000}"/>
    <cellStyle name="Calc Currency (0) 12 3" xfId="9427" xr:uid="{00000000-0005-0000-0000-000018420000}"/>
    <cellStyle name="Calc Currency (0) 12 4" xfId="9428" xr:uid="{00000000-0005-0000-0000-000019420000}"/>
    <cellStyle name="Calc Currency (0) 12 5" xfId="9429" xr:uid="{00000000-0005-0000-0000-00001A420000}"/>
    <cellStyle name="Calc Currency (0) 12 6" xfId="9430" xr:uid="{00000000-0005-0000-0000-00001B420000}"/>
    <cellStyle name="Calc Currency (0) 12 7" xfId="9431" xr:uid="{00000000-0005-0000-0000-00001C420000}"/>
    <cellStyle name="Calc Currency (0) 12 8" xfId="9432" xr:uid="{00000000-0005-0000-0000-00001D420000}"/>
    <cellStyle name="Calc Currency (0) 12 9" xfId="9433" xr:uid="{00000000-0005-0000-0000-00001E420000}"/>
    <cellStyle name="Calc Currency (0) 13" xfId="9434" xr:uid="{00000000-0005-0000-0000-00001F420000}"/>
    <cellStyle name="Calc Currency (0) 13 10" xfId="9435" xr:uid="{00000000-0005-0000-0000-000020420000}"/>
    <cellStyle name="Calc Currency (0) 13 11" xfId="9436" xr:uid="{00000000-0005-0000-0000-000021420000}"/>
    <cellStyle name="Calc Currency (0) 13 12" xfId="9437" xr:uid="{00000000-0005-0000-0000-000022420000}"/>
    <cellStyle name="Calc Currency (0) 13 13" xfId="9438" xr:uid="{00000000-0005-0000-0000-000023420000}"/>
    <cellStyle name="Calc Currency (0) 13 14" xfId="9439" xr:uid="{00000000-0005-0000-0000-000024420000}"/>
    <cellStyle name="Calc Currency (0) 13 15" xfId="9440" xr:uid="{00000000-0005-0000-0000-000025420000}"/>
    <cellStyle name="Calc Currency (0) 13 16" xfId="9441" xr:uid="{00000000-0005-0000-0000-000026420000}"/>
    <cellStyle name="Calc Currency (0) 13 2" xfId="9442" xr:uid="{00000000-0005-0000-0000-000027420000}"/>
    <cellStyle name="Calc Currency (0) 13 3" xfId="9443" xr:uid="{00000000-0005-0000-0000-000028420000}"/>
    <cellStyle name="Calc Currency (0) 13 4" xfId="9444" xr:uid="{00000000-0005-0000-0000-000029420000}"/>
    <cellStyle name="Calc Currency (0) 13 5" xfId="9445" xr:uid="{00000000-0005-0000-0000-00002A420000}"/>
    <cellStyle name="Calc Currency (0) 13 6" xfId="9446" xr:uid="{00000000-0005-0000-0000-00002B420000}"/>
    <cellStyle name="Calc Currency (0) 13 7" xfId="9447" xr:uid="{00000000-0005-0000-0000-00002C420000}"/>
    <cellStyle name="Calc Currency (0) 13 8" xfId="9448" xr:uid="{00000000-0005-0000-0000-00002D420000}"/>
    <cellStyle name="Calc Currency (0) 13 9" xfId="9449" xr:uid="{00000000-0005-0000-0000-00002E420000}"/>
    <cellStyle name="Calc Currency (0) 14" xfId="9450" xr:uid="{00000000-0005-0000-0000-00002F420000}"/>
    <cellStyle name="Calc Currency (0) 14 10" xfId="9451" xr:uid="{00000000-0005-0000-0000-000030420000}"/>
    <cellStyle name="Calc Currency (0) 14 11" xfId="9452" xr:uid="{00000000-0005-0000-0000-000031420000}"/>
    <cellStyle name="Calc Currency (0) 14 12" xfId="9453" xr:uid="{00000000-0005-0000-0000-000032420000}"/>
    <cellStyle name="Calc Currency (0) 14 13" xfId="9454" xr:uid="{00000000-0005-0000-0000-000033420000}"/>
    <cellStyle name="Calc Currency (0) 14 14" xfId="9455" xr:uid="{00000000-0005-0000-0000-000034420000}"/>
    <cellStyle name="Calc Currency (0) 14 15" xfId="9456" xr:uid="{00000000-0005-0000-0000-000035420000}"/>
    <cellStyle name="Calc Currency (0) 14 16" xfId="9457" xr:uid="{00000000-0005-0000-0000-000036420000}"/>
    <cellStyle name="Calc Currency (0) 14 2" xfId="9458" xr:uid="{00000000-0005-0000-0000-000037420000}"/>
    <cellStyle name="Calc Currency (0) 14 3" xfId="9459" xr:uid="{00000000-0005-0000-0000-000038420000}"/>
    <cellStyle name="Calc Currency (0) 14 4" xfId="9460" xr:uid="{00000000-0005-0000-0000-000039420000}"/>
    <cellStyle name="Calc Currency (0) 14 5" xfId="9461" xr:uid="{00000000-0005-0000-0000-00003A420000}"/>
    <cellStyle name="Calc Currency (0) 14 6" xfId="9462" xr:uid="{00000000-0005-0000-0000-00003B420000}"/>
    <cellStyle name="Calc Currency (0) 14 7" xfId="9463" xr:uid="{00000000-0005-0000-0000-00003C420000}"/>
    <cellStyle name="Calc Currency (0) 14 8" xfId="9464" xr:uid="{00000000-0005-0000-0000-00003D420000}"/>
    <cellStyle name="Calc Currency (0) 14 9" xfId="9465" xr:uid="{00000000-0005-0000-0000-00003E420000}"/>
    <cellStyle name="Calc Currency (0) 15" xfId="9466" xr:uid="{00000000-0005-0000-0000-00003F420000}"/>
    <cellStyle name="Calc Currency (0) 15 10" xfId="9467" xr:uid="{00000000-0005-0000-0000-000040420000}"/>
    <cellStyle name="Calc Currency (0) 15 11" xfId="9468" xr:uid="{00000000-0005-0000-0000-000041420000}"/>
    <cellStyle name="Calc Currency (0) 15 12" xfId="9469" xr:uid="{00000000-0005-0000-0000-000042420000}"/>
    <cellStyle name="Calc Currency (0) 15 13" xfId="9470" xr:uid="{00000000-0005-0000-0000-000043420000}"/>
    <cellStyle name="Calc Currency (0) 15 14" xfId="9471" xr:uid="{00000000-0005-0000-0000-000044420000}"/>
    <cellStyle name="Calc Currency (0) 15 15" xfId="9472" xr:uid="{00000000-0005-0000-0000-000045420000}"/>
    <cellStyle name="Calc Currency (0) 15 16" xfId="9473" xr:uid="{00000000-0005-0000-0000-000046420000}"/>
    <cellStyle name="Calc Currency (0) 15 2" xfId="9474" xr:uid="{00000000-0005-0000-0000-000047420000}"/>
    <cellStyle name="Calc Currency (0) 15 3" xfId="9475" xr:uid="{00000000-0005-0000-0000-000048420000}"/>
    <cellStyle name="Calc Currency (0) 15 4" xfId="9476" xr:uid="{00000000-0005-0000-0000-000049420000}"/>
    <cellStyle name="Calc Currency (0) 15 5" xfId="9477" xr:uid="{00000000-0005-0000-0000-00004A420000}"/>
    <cellStyle name="Calc Currency (0) 15 6" xfId="9478" xr:uid="{00000000-0005-0000-0000-00004B420000}"/>
    <cellStyle name="Calc Currency (0) 15 7" xfId="9479" xr:uid="{00000000-0005-0000-0000-00004C420000}"/>
    <cellStyle name="Calc Currency (0) 15 8" xfId="9480" xr:uid="{00000000-0005-0000-0000-00004D420000}"/>
    <cellStyle name="Calc Currency (0) 15 9" xfId="9481" xr:uid="{00000000-0005-0000-0000-00004E420000}"/>
    <cellStyle name="Calc Currency (0) 16" xfId="9482" xr:uid="{00000000-0005-0000-0000-00004F420000}"/>
    <cellStyle name="Calc Currency (0) 16 2" xfId="9483" xr:uid="{00000000-0005-0000-0000-000050420000}"/>
    <cellStyle name="Calc Currency (0) 16 3" xfId="9484" xr:uid="{00000000-0005-0000-0000-000051420000}"/>
    <cellStyle name="Calc Currency (0) 16 4" xfId="9485" xr:uid="{00000000-0005-0000-0000-000052420000}"/>
    <cellStyle name="Calc Currency (0) 16 5" xfId="9486" xr:uid="{00000000-0005-0000-0000-000053420000}"/>
    <cellStyle name="Calc Currency (0) 16 6" xfId="9487" xr:uid="{00000000-0005-0000-0000-000054420000}"/>
    <cellStyle name="Calc Currency (0) 16 7" xfId="9488" xr:uid="{00000000-0005-0000-0000-000055420000}"/>
    <cellStyle name="Calc Currency (0) 16 8" xfId="9489" xr:uid="{00000000-0005-0000-0000-000056420000}"/>
    <cellStyle name="Calc Currency (0) 16 9" xfId="9490" xr:uid="{00000000-0005-0000-0000-000057420000}"/>
    <cellStyle name="Calc Currency (0) 17" xfId="9491" xr:uid="{00000000-0005-0000-0000-000058420000}"/>
    <cellStyle name="Calc Currency (0) 17 2" xfId="9492" xr:uid="{00000000-0005-0000-0000-000059420000}"/>
    <cellStyle name="Calc Currency (0) 17 3" xfId="9493" xr:uid="{00000000-0005-0000-0000-00005A420000}"/>
    <cellStyle name="Calc Currency (0) 17 4" xfId="9494" xr:uid="{00000000-0005-0000-0000-00005B420000}"/>
    <cellStyle name="Calc Currency (0) 17 5" xfId="9495" xr:uid="{00000000-0005-0000-0000-00005C420000}"/>
    <cellStyle name="Calc Currency (0) 17 6" xfId="9496" xr:uid="{00000000-0005-0000-0000-00005D420000}"/>
    <cellStyle name="Calc Currency (0) 17 7" xfId="9497" xr:uid="{00000000-0005-0000-0000-00005E420000}"/>
    <cellStyle name="Calc Currency (0) 17 8" xfId="9498" xr:uid="{00000000-0005-0000-0000-00005F420000}"/>
    <cellStyle name="Calc Currency (0) 17 9" xfId="9499" xr:uid="{00000000-0005-0000-0000-000060420000}"/>
    <cellStyle name="Calc Currency (0) 18" xfId="9500" xr:uid="{00000000-0005-0000-0000-000061420000}"/>
    <cellStyle name="Calc Currency (0) 18 2" xfId="9501" xr:uid="{00000000-0005-0000-0000-000062420000}"/>
    <cellStyle name="Calc Currency (0) 18 3" xfId="9502" xr:uid="{00000000-0005-0000-0000-000063420000}"/>
    <cellStyle name="Calc Currency (0) 18 4" xfId="9503" xr:uid="{00000000-0005-0000-0000-000064420000}"/>
    <cellStyle name="Calc Currency (0) 18 5" xfId="9504" xr:uid="{00000000-0005-0000-0000-000065420000}"/>
    <cellStyle name="Calc Currency (0) 18 6" xfId="9505" xr:uid="{00000000-0005-0000-0000-000066420000}"/>
    <cellStyle name="Calc Currency (0) 18 7" xfId="9506" xr:uid="{00000000-0005-0000-0000-000067420000}"/>
    <cellStyle name="Calc Currency (0) 18 8" xfId="9507" xr:uid="{00000000-0005-0000-0000-000068420000}"/>
    <cellStyle name="Calc Currency (0) 18 9" xfId="9508" xr:uid="{00000000-0005-0000-0000-000069420000}"/>
    <cellStyle name="Calc Currency (0) 19" xfId="9509" xr:uid="{00000000-0005-0000-0000-00006A420000}"/>
    <cellStyle name="Calc Currency (0) 19 2" xfId="9510" xr:uid="{00000000-0005-0000-0000-00006B420000}"/>
    <cellStyle name="Calc Currency (0) 19 3" xfId="9511" xr:uid="{00000000-0005-0000-0000-00006C420000}"/>
    <cellStyle name="Calc Currency (0) 19 4" xfId="9512" xr:uid="{00000000-0005-0000-0000-00006D420000}"/>
    <cellStyle name="Calc Currency (0) 19 5" xfId="9513" xr:uid="{00000000-0005-0000-0000-00006E420000}"/>
    <cellStyle name="Calc Currency (0) 19 6" xfId="9514" xr:uid="{00000000-0005-0000-0000-00006F420000}"/>
    <cellStyle name="Calc Currency (0) 19 7" xfId="9515" xr:uid="{00000000-0005-0000-0000-000070420000}"/>
    <cellStyle name="Calc Currency (0) 19 8" xfId="9516" xr:uid="{00000000-0005-0000-0000-000071420000}"/>
    <cellStyle name="Calc Currency (0) 19 9" xfId="9517" xr:uid="{00000000-0005-0000-0000-000072420000}"/>
    <cellStyle name="Calc Currency (0) 2" xfId="9518" xr:uid="{00000000-0005-0000-0000-000073420000}"/>
    <cellStyle name="Calc Currency (0) 2 10" xfId="9519" xr:uid="{00000000-0005-0000-0000-000074420000}"/>
    <cellStyle name="Calc Currency (0) 2 10 2" xfId="9520" xr:uid="{00000000-0005-0000-0000-000075420000}"/>
    <cellStyle name="Calc Currency (0) 2 10 3" xfId="9521" xr:uid="{00000000-0005-0000-0000-000076420000}"/>
    <cellStyle name="Calc Currency (0) 2 11" xfId="9522" xr:uid="{00000000-0005-0000-0000-000077420000}"/>
    <cellStyle name="Calc Currency (0) 2 11 2" xfId="9523" xr:uid="{00000000-0005-0000-0000-000078420000}"/>
    <cellStyle name="Calc Currency (0) 2 11 2 2" xfId="9524" xr:uid="{00000000-0005-0000-0000-000079420000}"/>
    <cellStyle name="Calc Currency (0) 2 11 2 3" xfId="9525" xr:uid="{00000000-0005-0000-0000-00007A420000}"/>
    <cellStyle name="Calc Currency (0) 2 11 3" xfId="9526" xr:uid="{00000000-0005-0000-0000-00007B420000}"/>
    <cellStyle name="Calc Currency (0) 2 12" xfId="9527" xr:uid="{00000000-0005-0000-0000-00007C420000}"/>
    <cellStyle name="Calc Currency (0) 2 13" xfId="9528" xr:uid="{00000000-0005-0000-0000-00007D420000}"/>
    <cellStyle name="Calc Currency (0) 2 14" xfId="9529" xr:uid="{00000000-0005-0000-0000-00007E420000}"/>
    <cellStyle name="Calc Currency (0) 2 2" xfId="9530" xr:uid="{00000000-0005-0000-0000-00007F420000}"/>
    <cellStyle name="Calc Currency (0) 2 2 10" xfId="9531" xr:uid="{00000000-0005-0000-0000-000080420000}"/>
    <cellStyle name="Calc Currency (0) 2 2 11" xfId="9532" xr:uid="{00000000-0005-0000-0000-000081420000}"/>
    <cellStyle name="Calc Currency (0) 2 2 12" xfId="9533" xr:uid="{00000000-0005-0000-0000-000082420000}"/>
    <cellStyle name="Calc Currency (0) 2 2 13" xfId="9534" xr:uid="{00000000-0005-0000-0000-000083420000}"/>
    <cellStyle name="Calc Currency (0) 2 2 14" xfId="9535" xr:uid="{00000000-0005-0000-0000-000084420000}"/>
    <cellStyle name="Calc Currency (0) 2 2 15" xfId="9536" xr:uid="{00000000-0005-0000-0000-000085420000}"/>
    <cellStyle name="Calc Currency (0) 2 2 16" xfId="9537" xr:uid="{00000000-0005-0000-0000-000086420000}"/>
    <cellStyle name="Calc Currency (0) 2 2 17" xfId="9538" xr:uid="{00000000-0005-0000-0000-000087420000}"/>
    <cellStyle name="Calc Currency (0) 2 2 18" xfId="9539" xr:uid="{00000000-0005-0000-0000-000088420000}"/>
    <cellStyle name="Calc Currency (0) 2 2 2" xfId="9540" xr:uid="{00000000-0005-0000-0000-000089420000}"/>
    <cellStyle name="Calc Currency (0) 2 2 2 2" xfId="9541" xr:uid="{00000000-0005-0000-0000-00008A420000}"/>
    <cellStyle name="Calc Currency (0) 2 2 2 2 2" xfId="9542" xr:uid="{00000000-0005-0000-0000-00008B420000}"/>
    <cellStyle name="Calc Currency (0) 2 2 2 2 3" xfId="9543" xr:uid="{00000000-0005-0000-0000-00008C420000}"/>
    <cellStyle name="Calc Currency (0) 2 2 2 2 4" xfId="9544" xr:uid="{00000000-0005-0000-0000-00008D420000}"/>
    <cellStyle name="Calc Currency (0) 2 2 2 2 5" xfId="9545" xr:uid="{00000000-0005-0000-0000-00008E420000}"/>
    <cellStyle name="Calc Currency (0) 2 2 2 2 6" xfId="9546" xr:uid="{00000000-0005-0000-0000-00008F420000}"/>
    <cellStyle name="Calc Currency (0) 2 2 2 2 7" xfId="9547" xr:uid="{00000000-0005-0000-0000-000090420000}"/>
    <cellStyle name="Calc Currency (0) 2 2 2 2 8" xfId="9548" xr:uid="{00000000-0005-0000-0000-000091420000}"/>
    <cellStyle name="Calc Currency (0) 2 2 2 3" xfId="9549" xr:uid="{00000000-0005-0000-0000-000092420000}"/>
    <cellStyle name="Calc Currency (0) 2 2 2 4" xfId="9550" xr:uid="{00000000-0005-0000-0000-000093420000}"/>
    <cellStyle name="Calc Currency (0) 2 2 2 5" xfId="9551" xr:uid="{00000000-0005-0000-0000-000094420000}"/>
    <cellStyle name="Calc Currency (0) 2 2 2 6" xfId="9552" xr:uid="{00000000-0005-0000-0000-000095420000}"/>
    <cellStyle name="Calc Currency (0) 2 2 2 7" xfId="9553" xr:uid="{00000000-0005-0000-0000-000096420000}"/>
    <cellStyle name="Calc Currency (0) 2 2 2 8" xfId="9554" xr:uid="{00000000-0005-0000-0000-000097420000}"/>
    <cellStyle name="Calc Currency (0) 2 2 2 9" xfId="9555" xr:uid="{00000000-0005-0000-0000-000098420000}"/>
    <cellStyle name="Calc Currency (0) 2 2 3" xfId="9556" xr:uid="{00000000-0005-0000-0000-000099420000}"/>
    <cellStyle name="Calc Currency (0) 2 2 3 2" xfId="9557" xr:uid="{00000000-0005-0000-0000-00009A420000}"/>
    <cellStyle name="Calc Currency (0) 2 2 3 3" xfId="9558" xr:uid="{00000000-0005-0000-0000-00009B420000}"/>
    <cellStyle name="Calc Currency (0) 2 2 3 4" xfId="9559" xr:uid="{00000000-0005-0000-0000-00009C420000}"/>
    <cellStyle name="Calc Currency (0) 2 2 3 5" xfId="9560" xr:uid="{00000000-0005-0000-0000-00009D420000}"/>
    <cellStyle name="Calc Currency (0) 2 2 3 6" xfId="9561" xr:uid="{00000000-0005-0000-0000-00009E420000}"/>
    <cellStyle name="Calc Currency (0) 2 2 3 7" xfId="9562" xr:uid="{00000000-0005-0000-0000-00009F420000}"/>
    <cellStyle name="Calc Currency (0) 2 2 3 8" xfId="9563" xr:uid="{00000000-0005-0000-0000-0000A0420000}"/>
    <cellStyle name="Calc Currency (0) 2 2 3 9" xfId="9564" xr:uid="{00000000-0005-0000-0000-0000A1420000}"/>
    <cellStyle name="Calc Currency (0) 2 2 4" xfId="9565" xr:uid="{00000000-0005-0000-0000-0000A2420000}"/>
    <cellStyle name="Calc Currency (0) 2 2 5" xfId="9566" xr:uid="{00000000-0005-0000-0000-0000A3420000}"/>
    <cellStyle name="Calc Currency (0) 2 2 6" xfId="9567" xr:uid="{00000000-0005-0000-0000-0000A4420000}"/>
    <cellStyle name="Calc Currency (0) 2 2 7" xfId="9568" xr:uid="{00000000-0005-0000-0000-0000A5420000}"/>
    <cellStyle name="Calc Currency (0) 2 2 8" xfId="9569" xr:uid="{00000000-0005-0000-0000-0000A6420000}"/>
    <cellStyle name="Calc Currency (0) 2 2 9" xfId="9570" xr:uid="{00000000-0005-0000-0000-0000A7420000}"/>
    <cellStyle name="Calc Currency (0) 2 3" xfId="9571" xr:uid="{00000000-0005-0000-0000-0000A8420000}"/>
    <cellStyle name="Calc Currency (0) 2 3 10" xfId="9572" xr:uid="{00000000-0005-0000-0000-0000A9420000}"/>
    <cellStyle name="Calc Currency (0) 2 3 11" xfId="9573" xr:uid="{00000000-0005-0000-0000-0000AA420000}"/>
    <cellStyle name="Calc Currency (0) 2 3 12" xfId="9574" xr:uid="{00000000-0005-0000-0000-0000AB420000}"/>
    <cellStyle name="Calc Currency (0) 2 3 13" xfId="9575" xr:uid="{00000000-0005-0000-0000-0000AC420000}"/>
    <cellStyle name="Calc Currency (0) 2 3 14" xfId="9576" xr:uid="{00000000-0005-0000-0000-0000AD420000}"/>
    <cellStyle name="Calc Currency (0) 2 3 15" xfId="9577" xr:uid="{00000000-0005-0000-0000-0000AE420000}"/>
    <cellStyle name="Calc Currency (0) 2 3 16" xfId="9578" xr:uid="{00000000-0005-0000-0000-0000AF420000}"/>
    <cellStyle name="Calc Currency (0) 2 3 2" xfId="9579" xr:uid="{00000000-0005-0000-0000-0000B0420000}"/>
    <cellStyle name="Calc Currency (0) 2 3 2 2" xfId="9580" xr:uid="{00000000-0005-0000-0000-0000B1420000}"/>
    <cellStyle name="Calc Currency (0) 2 3 2 2 2" xfId="9581" xr:uid="{00000000-0005-0000-0000-0000B2420000}"/>
    <cellStyle name="Calc Currency (0) 2 3 2 2 2 2" xfId="9582" xr:uid="{00000000-0005-0000-0000-0000B3420000}"/>
    <cellStyle name="Calc Currency (0) 2 3 2 2 2 2 2" xfId="9583" xr:uid="{00000000-0005-0000-0000-0000B4420000}"/>
    <cellStyle name="Calc Currency (0) 2 3 2 2 2 2 3" xfId="9584" xr:uid="{00000000-0005-0000-0000-0000B5420000}"/>
    <cellStyle name="Calc Currency (0) 2 3 2 2 2 2 4" xfId="9585" xr:uid="{00000000-0005-0000-0000-0000B6420000}"/>
    <cellStyle name="Calc Currency (0) 2 3 2 2 2 2 5" xfId="9586" xr:uid="{00000000-0005-0000-0000-0000B7420000}"/>
    <cellStyle name="Calc Currency (0) 2 3 2 2 2 2 6" xfId="9587" xr:uid="{00000000-0005-0000-0000-0000B8420000}"/>
    <cellStyle name="Calc Currency (0) 2 3 2 2 2 2 7" xfId="9588" xr:uid="{00000000-0005-0000-0000-0000B9420000}"/>
    <cellStyle name="Calc Currency (0) 2 3 2 2 2 2 8" xfId="9589" xr:uid="{00000000-0005-0000-0000-0000BA420000}"/>
    <cellStyle name="Calc Currency (0) 2 3 2 2 2 3" xfId="9590" xr:uid="{00000000-0005-0000-0000-0000BB420000}"/>
    <cellStyle name="Calc Currency (0) 2 3 2 2 2 4" xfId="9591" xr:uid="{00000000-0005-0000-0000-0000BC420000}"/>
    <cellStyle name="Calc Currency (0) 2 3 2 2 2 5" xfId="9592" xr:uid="{00000000-0005-0000-0000-0000BD420000}"/>
    <cellStyle name="Calc Currency (0) 2 3 2 2 2 6" xfId="9593" xr:uid="{00000000-0005-0000-0000-0000BE420000}"/>
    <cellStyle name="Calc Currency (0) 2 3 2 2 2 7" xfId="9594" xr:uid="{00000000-0005-0000-0000-0000BF420000}"/>
    <cellStyle name="Calc Currency (0) 2 3 2 2 2 8" xfId="9595" xr:uid="{00000000-0005-0000-0000-0000C0420000}"/>
    <cellStyle name="Calc Currency (0) 2 3 2 2 2 9" xfId="9596" xr:uid="{00000000-0005-0000-0000-0000C1420000}"/>
    <cellStyle name="Calc Currency (0) 2 3 2 2 3" xfId="9597" xr:uid="{00000000-0005-0000-0000-0000C2420000}"/>
    <cellStyle name="Calc Currency (0) 2 3 2 2 4" xfId="9598" xr:uid="{00000000-0005-0000-0000-0000C3420000}"/>
    <cellStyle name="Calc Currency (0) 2 3 2 2 5" xfId="9599" xr:uid="{00000000-0005-0000-0000-0000C4420000}"/>
    <cellStyle name="Calc Currency (0) 2 3 2 2 6" xfId="9600" xr:uid="{00000000-0005-0000-0000-0000C5420000}"/>
    <cellStyle name="Calc Currency (0) 2 3 2 2 7" xfId="9601" xr:uid="{00000000-0005-0000-0000-0000C6420000}"/>
    <cellStyle name="Calc Currency (0) 2 3 2 2 8" xfId="9602" xr:uid="{00000000-0005-0000-0000-0000C7420000}"/>
    <cellStyle name="Calc Currency (0) 2 3 2 2 9" xfId="9603" xr:uid="{00000000-0005-0000-0000-0000C8420000}"/>
    <cellStyle name="Calc Currency (0) 2 3 2 3" xfId="9604" xr:uid="{00000000-0005-0000-0000-0000C9420000}"/>
    <cellStyle name="Calc Currency (0) 2 3 2 4" xfId="9605" xr:uid="{00000000-0005-0000-0000-0000CA420000}"/>
    <cellStyle name="Calc Currency (0) 2 3 2 5" xfId="9606" xr:uid="{00000000-0005-0000-0000-0000CB420000}"/>
    <cellStyle name="Calc Currency (0) 2 3 2 6" xfId="9607" xr:uid="{00000000-0005-0000-0000-0000CC420000}"/>
    <cellStyle name="Calc Currency (0) 2 3 2 7" xfId="9608" xr:uid="{00000000-0005-0000-0000-0000CD420000}"/>
    <cellStyle name="Calc Currency (0) 2 3 2 8" xfId="9609" xr:uid="{00000000-0005-0000-0000-0000CE420000}"/>
    <cellStyle name="Calc Currency (0) 2 3 2 9" xfId="9610" xr:uid="{00000000-0005-0000-0000-0000CF420000}"/>
    <cellStyle name="Calc Currency (0) 2 3 3" xfId="9611" xr:uid="{00000000-0005-0000-0000-0000D0420000}"/>
    <cellStyle name="Calc Currency (0) 2 3 3 2" xfId="9612" xr:uid="{00000000-0005-0000-0000-0000D1420000}"/>
    <cellStyle name="Calc Currency (0) 2 3 3 3" xfId="9613" xr:uid="{00000000-0005-0000-0000-0000D2420000}"/>
    <cellStyle name="Calc Currency (0) 2 3 3 4" xfId="9614" xr:uid="{00000000-0005-0000-0000-0000D3420000}"/>
    <cellStyle name="Calc Currency (0) 2 3 3 5" xfId="9615" xr:uid="{00000000-0005-0000-0000-0000D4420000}"/>
    <cellStyle name="Calc Currency (0) 2 3 3 6" xfId="9616" xr:uid="{00000000-0005-0000-0000-0000D5420000}"/>
    <cellStyle name="Calc Currency (0) 2 3 3 7" xfId="9617" xr:uid="{00000000-0005-0000-0000-0000D6420000}"/>
    <cellStyle name="Calc Currency (0) 2 3 3 8" xfId="9618" xr:uid="{00000000-0005-0000-0000-0000D7420000}"/>
    <cellStyle name="Calc Currency (0) 2 3 4" xfId="9619" xr:uid="{00000000-0005-0000-0000-0000D8420000}"/>
    <cellStyle name="Calc Currency (0) 2 3 4 2" xfId="9620" xr:uid="{00000000-0005-0000-0000-0000D9420000}"/>
    <cellStyle name="Calc Currency (0) 2 3 4 3" xfId="9621" xr:uid="{00000000-0005-0000-0000-0000DA420000}"/>
    <cellStyle name="Calc Currency (0) 2 3 4 4" xfId="9622" xr:uid="{00000000-0005-0000-0000-0000DB420000}"/>
    <cellStyle name="Calc Currency (0) 2 3 4 5" xfId="9623" xr:uid="{00000000-0005-0000-0000-0000DC420000}"/>
    <cellStyle name="Calc Currency (0) 2 3 4 6" xfId="9624" xr:uid="{00000000-0005-0000-0000-0000DD420000}"/>
    <cellStyle name="Calc Currency (0) 2 3 4 7" xfId="9625" xr:uid="{00000000-0005-0000-0000-0000DE420000}"/>
    <cellStyle name="Calc Currency (0) 2 3 4 8" xfId="9626" xr:uid="{00000000-0005-0000-0000-0000DF420000}"/>
    <cellStyle name="Calc Currency (0) 2 3 5" xfId="9627" xr:uid="{00000000-0005-0000-0000-0000E0420000}"/>
    <cellStyle name="Calc Currency (0) 2 3 5 2" xfId="9628" xr:uid="{00000000-0005-0000-0000-0000E1420000}"/>
    <cellStyle name="Calc Currency (0) 2 3 5 3" xfId="9629" xr:uid="{00000000-0005-0000-0000-0000E2420000}"/>
    <cellStyle name="Calc Currency (0) 2 3 5 4" xfId="9630" xr:uid="{00000000-0005-0000-0000-0000E3420000}"/>
    <cellStyle name="Calc Currency (0) 2 3 5 5" xfId="9631" xr:uid="{00000000-0005-0000-0000-0000E4420000}"/>
    <cellStyle name="Calc Currency (0) 2 3 5 6" xfId="9632" xr:uid="{00000000-0005-0000-0000-0000E5420000}"/>
    <cellStyle name="Calc Currency (0) 2 3 5 7" xfId="9633" xr:uid="{00000000-0005-0000-0000-0000E6420000}"/>
    <cellStyle name="Calc Currency (0) 2 3 5 8" xfId="9634" xr:uid="{00000000-0005-0000-0000-0000E7420000}"/>
    <cellStyle name="Calc Currency (0) 2 3 6" xfId="9635" xr:uid="{00000000-0005-0000-0000-0000E8420000}"/>
    <cellStyle name="Calc Currency (0) 2 3 6 2" xfId="9636" xr:uid="{00000000-0005-0000-0000-0000E9420000}"/>
    <cellStyle name="Calc Currency (0) 2 3 6 3" xfId="9637" xr:uid="{00000000-0005-0000-0000-0000EA420000}"/>
    <cellStyle name="Calc Currency (0) 2 3 6 4" xfId="9638" xr:uid="{00000000-0005-0000-0000-0000EB420000}"/>
    <cellStyle name="Calc Currency (0) 2 3 6 5" xfId="9639" xr:uid="{00000000-0005-0000-0000-0000EC420000}"/>
    <cellStyle name="Calc Currency (0) 2 3 6 6" xfId="9640" xr:uid="{00000000-0005-0000-0000-0000ED420000}"/>
    <cellStyle name="Calc Currency (0) 2 3 6 7" xfId="9641" xr:uid="{00000000-0005-0000-0000-0000EE420000}"/>
    <cellStyle name="Calc Currency (0) 2 3 6 8" xfId="9642" xr:uid="{00000000-0005-0000-0000-0000EF420000}"/>
    <cellStyle name="Calc Currency (0) 2 3 7" xfId="9643" xr:uid="{00000000-0005-0000-0000-0000F0420000}"/>
    <cellStyle name="Calc Currency (0) 2 3 8" xfId="9644" xr:uid="{00000000-0005-0000-0000-0000F1420000}"/>
    <cellStyle name="Calc Currency (0) 2 3 9" xfId="9645" xr:uid="{00000000-0005-0000-0000-0000F2420000}"/>
    <cellStyle name="Calc Currency (0) 2 4" xfId="9646" xr:uid="{00000000-0005-0000-0000-0000F3420000}"/>
    <cellStyle name="Calc Currency (0) 2 4 2" xfId="9647" xr:uid="{00000000-0005-0000-0000-0000F4420000}"/>
    <cellStyle name="Calc Currency (0) 2 4 3" xfId="9648" xr:uid="{00000000-0005-0000-0000-0000F5420000}"/>
    <cellStyle name="Calc Currency (0) 2 5" xfId="9649" xr:uid="{00000000-0005-0000-0000-0000F6420000}"/>
    <cellStyle name="Calc Currency (0) 2 5 2" xfId="9650" xr:uid="{00000000-0005-0000-0000-0000F7420000}"/>
    <cellStyle name="Calc Currency (0) 2 5 3" xfId="9651" xr:uid="{00000000-0005-0000-0000-0000F8420000}"/>
    <cellStyle name="Calc Currency (0) 2 6" xfId="9652" xr:uid="{00000000-0005-0000-0000-0000F9420000}"/>
    <cellStyle name="Calc Currency (0) 2 6 2" xfId="9653" xr:uid="{00000000-0005-0000-0000-0000FA420000}"/>
    <cellStyle name="Calc Currency (0) 2 6 3" xfId="9654" xr:uid="{00000000-0005-0000-0000-0000FB420000}"/>
    <cellStyle name="Calc Currency (0) 2 7" xfId="9655" xr:uid="{00000000-0005-0000-0000-0000FC420000}"/>
    <cellStyle name="Calc Currency (0) 2 7 2" xfId="9656" xr:uid="{00000000-0005-0000-0000-0000FD420000}"/>
    <cellStyle name="Calc Currency (0) 2 7 3" xfId="9657" xr:uid="{00000000-0005-0000-0000-0000FE420000}"/>
    <cellStyle name="Calc Currency (0) 2 8" xfId="9658" xr:uid="{00000000-0005-0000-0000-0000FF420000}"/>
    <cellStyle name="Calc Currency (0) 2 8 2" xfId="9659" xr:uid="{00000000-0005-0000-0000-000000430000}"/>
    <cellStyle name="Calc Currency (0) 2 8 3" xfId="9660" xr:uid="{00000000-0005-0000-0000-000001430000}"/>
    <cellStyle name="Calc Currency (0) 2 9" xfId="9661" xr:uid="{00000000-0005-0000-0000-000002430000}"/>
    <cellStyle name="Calc Currency (0) 2 9 2" xfId="9662" xr:uid="{00000000-0005-0000-0000-000003430000}"/>
    <cellStyle name="Calc Currency (0) 2 9 3" xfId="9663" xr:uid="{00000000-0005-0000-0000-000004430000}"/>
    <cellStyle name="Calc Currency (0) 2_You Plus DCF Workpapers" xfId="9664" xr:uid="{00000000-0005-0000-0000-000005430000}"/>
    <cellStyle name="Calc Currency (0) 20" xfId="9665" xr:uid="{00000000-0005-0000-0000-000006430000}"/>
    <cellStyle name="Calc Currency (0) 20 2" xfId="9666" xr:uid="{00000000-0005-0000-0000-000007430000}"/>
    <cellStyle name="Calc Currency (0) 20 3" xfId="9667" xr:uid="{00000000-0005-0000-0000-000008430000}"/>
    <cellStyle name="Calc Currency (0) 20 4" xfId="9668" xr:uid="{00000000-0005-0000-0000-000009430000}"/>
    <cellStyle name="Calc Currency (0) 20 5" xfId="9669" xr:uid="{00000000-0005-0000-0000-00000A430000}"/>
    <cellStyle name="Calc Currency (0) 20 6" xfId="9670" xr:uid="{00000000-0005-0000-0000-00000B430000}"/>
    <cellStyle name="Calc Currency (0) 20 7" xfId="9671" xr:uid="{00000000-0005-0000-0000-00000C430000}"/>
    <cellStyle name="Calc Currency (0) 20 8" xfId="9672" xr:uid="{00000000-0005-0000-0000-00000D430000}"/>
    <cellStyle name="Calc Currency (0) 20 9" xfId="9673" xr:uid="{00000000-0005-0000-0000-00000E430000}"/>
    <cellStyle name="Calc Currency (0) 21" xfId="9674" xr:uid="{00000000-0005-0000-0000-00000F430000}"/>
    <cellStyle name="Calc Currency (0) 21 2" xfId="9675" xr:uid="{00000000-0005-0000-0000-000010430000}"/>
    <cellStyle name="Calc Currency (0) 21 3" xfId="9676" xr:uid="{00000000-0005-0000-0000-000011430000}"/>
    <cellStyle name="Calc Currency (0) 21 4" xfId="9677" xr:uid="{00000000-0005-0000-0000-000012430000}"/>
    <cellStyle name="Calc Currency (0) 21 5" xfId="9678" xr:uid="{00000000-0005-0000-0000-000013430000}"/>
    <cellStyle name="Calc Currency (0) 21 6" xfId="9679" xr:uid="{00000000-0005-0000-0000-000014430000}"/>
    <cellStyle name="Calc Currency (0) 21 7" xfId="9680" xr:uid="{00000000-0005-0000-0000-000015430000}"/>
    <cellStyle name="Calc Currency (0) 21 8" xfId="9681" xr:uid="{00000000-0005-0000-0000-000016430000}"/>
    <cellStyle name="Calc Currency (0) 21 9" xfId="9682" xr:uid="{00000000-0005-0000-0000-000017430000}"/>
    <cellStyle name="Calc Currency (0) 22" xfId="9683" xr:uid="{00000000-0005-0000-0000-000018430000}"/>
    <cellStyle name="Calc Currency (0) 22 2" xfId="9684" xr:uid="{00000000-0005-0000-0000-000019430000}"/>
    <cellStyle name="Calc Currency (0) 22 3" xfId="9685" xr:uid="{00000000-0005-0000-0000-00001A430000}"/>
    <cellStyle name="Calc Currency (0) 22 4" xfId="9686" xr:uid="{00000000-0005-0000-0000-00001B430000}"/>
    <cellStyle name="Calc Currency (0) 22 5" xfId="9687" xr:uid="{00000000-0005-0000-0000-00001C430000}"/>
    <cellStyle name="Calc Currency (0) 22 6" xfId="9688" xr:uid="{00000000-0005-0000-0000-00001D430000}"/>
    <cellStyle name="Calc Currency (0) 22 7" xfId="9689" xr:uid="{00000000-0005-0000-0000-00001E430000}"/>
    <cellStyle name="Calc Currency (0) 22 8" xfId="9690" xr:uid="{00000000-0005-0000-0000-00001F430000}"/>
    <cellStyle name="Calc Currency (0) 22 9" xfId="9691" xr:uid="{00000000-0005-0000-0000-000020430000}"/>
    <cellStyle name="Calc Currency (0) 23" xfId="9692" xr:uid="{00000000-0005-0000-0000-000021430000}"/>
    <cellStyle name="Calc Currency (0) 24" xfId="9693" xr:uid="{00000000-0005-0000-0000-000022430000}"/>
    <cellStyle name="Calc Currency (0) 25" xfId="9694" xr:uid="{00000000-0005-0000-0000-000023430000}"/>
    <cellStyle name="Calc Currency (0) 26" xfId="9695" xr:uid="{00000000-0005-0000-0000-000024430000}"/>
    <cellStyle name="Calc Currency (0) 27" xfId="9696" xr:uid="{00000000-0005-0000-0000-000025430000}"/>
    <cellStyle name="Calc Currency (0) 28" xfId="9697" xr:uid="{00000000-0005-0000-0000-000026430000}"/>
    <cellStyle name="Calc Currency (0) 29" xfId="9698" xr:uid="{00000000-0005-0000-0000-000027430000}"/>
    <cellStyle name="Calc Currency (0) 3" xfId="9699" xr:uid="{00000000-0005-0000-0000-000028430000}"/>
    <cellStyle name="Calc Currency (0) 3 10" xfId="9700" xr:uid="{00000000-0005-0000-0000-000029430000}"/>
    <cellStyle name="Calc Currency (0) 3 11" xfId="9701" xr:uid="{00000000-0005-0000-0000-00002A430000}"/>
    <cellStyle name="Calc Currency (0) 3 2" xfId="9702" xr:uid="{00000000-0005-0000-0000-00002B430000}"/>
    <cellStyle name="Calc Currency (0) 3 2 10" xfId="9703" xr:uid="{00000000-0005-0000-0000-00002C430000}"/>
    <cellStyle name="Calc Currency (0) 3 2 11" xfId="9704" xr:uid="{00000000-0005-0000-0000-00002D430000}"/>
    <cellStyle name="Calc Currency (0) 3 2 12" xfId="9705" xr:uid="{00000000-0005-0000-0000-00002E430000}"/>
    <cellStyle name="Calc Currency (0) 3 2 13" xfId="9706" xr:uid="{00000000-0005-0000-0000-00002F430000}"/>
    <cellStyle name="Calc Currency (0) 3 2 14" xfId="9707" xr:uid="{00000000-0005-0000-0000-000030430000}"/>
    <cellStyle name="Calc Currency (0) 3 2 15" xfId="9708" xr:uid="{00000000-0005-0000-0000-000031430000}"/>
    <cellStyle name="Calc Currency (0) 3 2 16" xfId="9709" xr:uid="{00000000-0005-0000-0000-000032430000}"/>
    <cellStyle name="Calc Currency (0) 3 2 2" xfId="9710" xr:uid="{00000000-0005-0000-0000-000033430000}"/>
    <cellStyle name="Calc Currency (0) 3 2 2 2" xfId="9711" xr:uid="{00000000-0005-0000-0000-000034430000}"/>
    <cellStyle name="Calc Currency (0) 3 2 2 3" xfId="9712" xr:uid="{00000000-0005-0000-0000-000035430000}"/>
    <cellStyle name="Calc Currency (0) 3 2 3" xfId="9713" xr:uid="{00000000-0005-0000-0000-000036430000}"/>
    <cellStyle name="Calc Currency (0) 3 2 3 2" xfId="9714" xr:uid="{00000000-0005-0000-0000-000037430000}"/>
    <cellStyle name="Calc Currency (0) 3 2 3 3" xfId="9715" xr:uid="{00000000-0005-0000-0000-000038430000}"/>
    <cellStyle name="Calc Currency (0) 3 2 3 4" xfId="9716" xr:uid="{00000000-0005-0000-0000-000039430000}"/>
    <cellStyle name="Calc Currency (0) 3 2 3 5" xfId="9717" xr:uid="{00000000-0005-0000-0000-00003A430000}"/>
    <cellStyle name="Calc Currency (0) 3 2 3 6" xfId="9718" xr:uid="{00000000-0005-0000-0000-00003B430000}"/>
    <cellStyle name="Calc Currency (0) 3 2 3 7" xfId="9719" xr:uid="{00000000-0005-0000-0000-00003C430000}"/>
    <cellStyle name="Calc Currency (0) 3 2 3 8" xfId="9720" xr:uid="{00000000-0005-0000-0000-00003D430000}"/>
    <cellStyle name="Calc Currency (0) 3 2 4" xfId="9721" xr:uid="{00000000-0005-0000-0000-00003E430000}"/>
    <cellStyle name="Calc Currency (0) 3 2 5" xfId="9722" xr:uid="{00000000-0005-0000-0000-00003F430000}"/>
    <cellStyle name="Calc Currency (0) 3 2 6" xfId="9723" xr:uid="{00000000-0005-0000-0000-000040430000}"/>
    <cellStyle name="Calc Currency (0) 3 2 7" xfId="9724" xr:uid="{00000000-0005-0000-0000-000041430000}"/>
    <cellStyle name="Calc Currency (0) 3 2 8" xfId="9725" xr:uid="{00000000-0005-0000-0000-000042430000}"/>
    <cellStyle name="Calc Currency (0) 3 2 9" xfId="9726" xr:uid="{00000000-0005-0000-0000-000043430000}"/>
    <cellStyle name="Calc Currency (0) 3 3" xfId="9727" xr:uid="{00000000-0005-0000-0000-000044430000}"/>
    <cellStyle name="Calc Currency (0) 3 3 2" xfId="9728" xr:uid="{00000000-0005-0000-0000-000045430000}"/>
    <cellStyle name="Calc Currency (0) 3 3 2 2" xfId="9729" xr:uid="{00000000-0005-0000-0000-000046430000}"/>
    <cellStyle name="Calc Currency (0) 3 3 2 2 2" xfId="9730" xr:uid="{00000000-0005-0000-0000-000047430000}"/>
    <cellStyle name="Calc Currency (0) 3 3 2 2 2 2" xfId="9731" xr:uid="{00000000-0005-0000-0000-000048430000}"/>
    <cellStyle name="Calc Currency (0) 3 3 2 2 2 3" xfId="9732" xr:uid="{00000000-0005-0000-0000-000049430000}"/>
    <cellStyle name="Calc Currency (0) 3 3 2 2 2 4" xfId="9733" xr:uid="{00000000-0005-0000-0000-00004A430000}"/>
    <cellStyle name="Calc Currency (0) 3 3 2 2 2 5" xfId="9734" xr:uid="{00000000-0005-0000-0000-00004B430000}"/>
    <cellStyle name="Calc Currency (0) 3 3 2 2 2 6" xfId="9735" xr:uid="{00000000-0005-0000-0000-00004C430000}"/>
    <cellStyle name="Calc Currency (0) 3 3 2 2 2 7" xfId="9736" xr:uid="{00000000-0005-0000-0000-00004D430000}"/>
    <cellStyle name="Calc Currency (0) 3 3 2 2 2 8" xfId="9737" xr:uid="{00000000-0005-0000-0000-00004E430000}"/>
    <cellStyle name="Calc Currency (0) 3 3 2 2 3" xfId="9738" xr:uid="{00000000-0005-0000-0000-00004F430000}"/>
    <cellStyle name="Calc Currency (0) 3 3 2 2 4" xfId="9739" xr:uid="{00000000-0005-0000-0000-000050430000}"/>
    <cellStyle name="Calc Currency (0) 3 3 2 2 5" xfId="9740" xr:uid="{00000000-0005-0000-0000-000051430000}"/>
    <cellStyle name="Calc Currency (0) 3 3 2 2 6" xfId="9741" xr:uid="{00000000-0005-0000-0000-000052430000}"/>
    <cellStyle name="Calc Currency (0) 3 3 2 2 7" xfId="9742" xr:uid="{00000000-0005-0000-0000-000053430000}"/>
    <cellStyle name="Calc Currency (0) 3 3 2 2 8" xfId="9743" xr:uid="{00000000-0005-0000-0000-000054430000}"/>
    <cellStyle name="Calc Currency (0) 3 3 2 2 9" xfId="9744" xr:uid="{00000000-0005-0000-0000-000055430000}"/>
    <cellStyle name="Calc Currency (0) 3 3 2 3" xfId="9745" xr:uid="{00000000-0005-0000-0000-000056430000}"/>
    <cellStyle name="Calc Currency (0) 3 3 2 4" xfId="9746" xr:uid="{00000000-0005-0000-0000-000057430000}"/>
    <cellStyle name="Calc Currency (0) 3 3 2 5" xfId="9747" xr:uid="{00000000-0005-0000-0000-000058430000}"/>
    <cellStyle name="Calc Currency (0) 3 3 2 6" xfId="9748" xr:uid="{00000000-0005-0000-0000-000059430000}"/>
    <cellStyle name="Calc Currency (0) 3 3 2 7" xfId="9749" xr:uid="{00000000-0005-0000-0000-00005A430000}"/>
    <cellStyle name="Calc Currency (0) 3 3 2 8" xfId="9750" xr:uid="{00000000-0005-0000-0000-00005B430000}"/>
    <cellStyle name="Calc Currency (0) 3 3 2 9" xfId="9751" xr:uid="{00000000-0005-0000-0000-00005C430000}"/>
    <cellStyle name="Calc Currency (0) 3 3 3" xfId="9752" xr:uid="{00000000-0005-0000-0000-00005D430000}"/>
    <cellStyle name="Calc Currency (0) 3 3 3 2" xfId="9753" xr:uid="{00000000-0005-0000-0000-00005E430000}"/>
    <cellStyle name="Calc Currency (0) 3 3 3 3" xfId="9754" xr:uid="{00000000-0005-0000-0000-00005F430000}"/>
    <cellStyle name="Calc Currency (0) 3 3 3 4" xfId="9755" xr:uid="{00000000-0005-0000-0000-000060430000}"/>
    <cellStyle name="Calc Currency (0) 3 3 3 5" xfId="9756" xr:uid="{00000000-0005-0000-0000-000061430000}"/>
    <cellStyle name="Calc Currency (0) 3 3 3 6" xfId="9757" xr:uid="{00000000-0005-0000-0000-000062430000}"/>
    <cellStyle name="Calc Currency (0) 3 3 3 7" xfId="9758" xr:uid="{00000000-0005-0000-0000-000063430000}"/>
    <cellStyle name="Calc Currency (0) 3 3 3 8" xfId="9759" xr:uid="{00000000-0005-0000-0000-000064430000}"/>
    <cellStyle name="Calc Currency (0) 3 3 4" xfId="9760" xr:uid="{00000000-0005-0000-0000-000065430000}"/>
    <cellStyle name="Calc Currency (0) 3 3 5" xfId="9761" xr:uid="{00000000-0005-0000-0000-000066430000}"/>
    <cellStyle name="Calc Currency (0) 3 3 6" xfId="9762" xr:uid="{00000000-0005-0000-0000-000067430000}"/>
    <cellStyle name="Calc Currency (0) 3 3 7" xfId="9763" xr:uid="{00000000-0005-0000-0000-000068430000}"/>
    <cellStyle name="Calc Currency (0) 3 3 8" xfId="9764" xr:uid="{00000000-0005-0000-0000-000069430000}"/>
    <cellStyle name="Calc Currency (0) 3 3 9" xfId="9765" xr:uid="{00000000-0005-0000-0000-00006A430000}"/>
    <cellStyle name="Calc Currency (0) 3 4" xfId="9766" xr:uid="{00000000-0005-0000-0000-00006B430000}"/>
    <cellStyle name="Calc Currency (0) 3 4 2" xfId="9767" xr:uid="{00000000-0005-0000-0000-00006C430000}"/>
    <cellStyle name="Calc Currency (0) 3 4 3" xfId="9768" xr:uid="{00000000-0005-0000-0000-00006D430000}"/>
    <cellStyle name="Calc Currency (0) 3 4 4" xfId="9769" xr:uid="{00000000-0005-0000-0000-00006E430000}"/>
    <cellStyle name="Calc Currency (0) 3 4 5" xfId="9770" xr:uid="{00000000-0005-0000-0000-00006F430000}"/>
    <cellStyle name="Calc Currency (0) 3 4 6" xfId="9771" xr:uid="{00000000-0005-0000-0000-000070430000}"/>
    <cellStyle name="Calc Currency (0) 3 4 7" xfId="9772" xr:uid="{00000000-0005-0000-0000-000071430000}"/>
    <cellStyle name="Calc Currency (0) 3 4 8" xfId="9773" xr:uid="{00000000-0005-0000-0000-000072430000}"/>
    <cellStyle name="Calc Currency (0) 3 5" xfId="9774" xr:uid="{00000000-0005-0000-0000-000073430000}"/>
    <cellStyle name="Calc Currency (0) 3 6" xfId="9775" xr:uid="{00000000-0005-0000-0000-000074430000}"/>
    <cellStyle name="Calc Currency (0) 3 7" xfId="9776" xr:uid="{00000000-0005-0000-0000-000075430000}"/>
    <cellStyle name="Calc Currency (0) 3 8" xfId="9777" xr:uid="{00000000-0005-0000-0000-000076430000}"/>
    <cellStyle name="Calc Currency (0) 3 9" xfId="9778" xr:uid="{00000000-0005-0000-0000-000077430000}"/>
    <cellStyle name="Calc Currency (0) 30" xfId="9779" xr:uid="{00000000-0005-0000-0000-000078430000}"/>
    <cellStyle name="Calc Currency (0) 31" xfId="9780" xr:uid="{00000000-0005-0000-0000-000079430000}"/>
    <cellStyle name="Calc Currency (0) 32" xfId="9781" xr:uid="{00000000-0005-0000-0000-00007A430000}"/>
    <cellStyle name="Calc Currency (0) 33" xfId="9782" xr:uid="{00000000-0005-0000-0000-00007B430000}"/>
    <cellStyle name="Calc Currency (0) 34" xfId="9783" xr:uid="{00000000-0005-0000-0000-00007C430000}"/>
    <cellStyle name="Calc Currency (0) 35" xfId="9784" xr:uid="{00000000-0005-0000-0000-00007D430000}"/>
    <cellStyle name="Calc Currency (0) 36" xfId="9785" xr:uid="{00000000-0005-0000-0000-00007E430000}"/>
    <cellStyle name="Calc Currency (0) 4" xfId="9786" xr:uid="{00000000-0005-0000-0000-00007F430000}"/>
    <cellStyle name="Calc Currency (0) 4 10" xfId="9787" xr:uid="{00000000-0005-0000-0000-000080430000}"/>
    <cellStyle name="Calc Currency (0) 4 11" xfId="9788" xr:uid="{00000000-0005-0000-0000-000081430000}"/>
    <cellStyle name="Calc Currency (0) 4 2" xfId="9789" xr:uid="{00000000-0005-0000-0000-000082430000}"/>
    <cellStyle name="Calc Currency (0) 4 2 2" xfId="9790" xr:uid="{00000000-0005-0000-0000-000083430000}"/>
    <cellStyle name="Calc Currency (0) 4 2 3" xfId="9791" xr:uid="{00000000-0005-0000-0000-000084430000}"/>
    <cellStyle name="Calc Currency (0) 4 2 4" xfId="9792" xr:uid="{00000000-0005-0000-0000-000085430000}"/>
    <cellStyle name="Calc Currency (0) 4 2 5" xfId="9793" xr:uid="{00000000-0005-0000-0000-000086430000}"/>
    <cellStyle name="Calc Currency (0) 4 2 6" xfId="9794" xr:uid="{00000000-0005-0000-0000-000087430000}"/>
    <cellStyle name="Calc Currency (0) 4 2 7" xfId="9795" xr:uid="{00000000-0005-0000-0000-000088430000}"/>
    <cellStyle name="Calc Currency (0) 4 2 8" xfId="9796" xr:uid="{00000000-0005-0000-0000-000089430000}"/>
    <cellStyle name="Calc Currency (0) 4 2 9" xfId="9797" xr:uid="{00000000-0005-0000-0000-00008A430000}"/>
    <cellStyle name="Calc Currency (0) 4 3" xfId="9798" xr:uid="{00000000-0005-0000-0000-00008B430000}"/>
    <cellStyle name="Calc Currency (0) 4 3 2" xfId="9799" xr:uid="{00000000-0005-0000-0000-00008C430000}"/>
    <cellStyle name="Calc Currency (0) 4 3 3" xfId="9800" xr:uid="{00000000-0005-0000-0000-00008D430000}"/>
    <cellStyle name="Calc Currency (0) 4 3 4" xfId="9801" xr:uid="{00000000-0005-0000-0000-00008E430000}"/>
    <cellStyle name="Calc Currency (0) 4 3 5" xfId="9802" xr:uid="{00000000-0005-0000-0000-00008F430000}"/>
    <cellStyle name="Calc Currency (0) 4 3 6" xfId="9803" xr:uid="{00000000-0005-0000-0000-000090430000}"/>
    <cellStyle name="Calc Currency (0) 4 3 7" xfId="9804" xr:uid="{00000000-0005-0000-0000-000091430000}"/>
    <cellStyle name="Calc Currency (0) 4 3 8" xfId="9805" xr:uid="{00000000-0005-0000-0000-000092430000}"/>
    <cellStyle name="Calc Currency (0) 4 3 9" xfId="9806" xr:uid="{00000000-0005-0000-0000-000093430000}"/>
    <cellStyle name="Calc Currency (0) 4 4" xfId="9807" xr:uid="{00000000-0005-0000-0000-000094430000}"/>
    <cellStyle name="Calc Currency (0) 4 5" xfId="9808" xr:uid="{00000000-0005-0000-0000-000095430000}"/>
    <cellStyle name="Calc Currency (0) 4 6" xfId="9809" xr:uid="{00000000-0005-0000-0000-000096430000}"/>
    <cellStyle name="Calc Currency (0) 4 7" xfId="9810" xr:uid="{00000000-0005-0000-0000-000097430000}"/>
    <cellStyle name="Calc Currency (0) 4 8" xfId="9811" xr:uid="{00000000-0005-0000-0000-000098430000}"/>
    <cellStyle name="Calc Currency (0) 4 9" xfId="9812" xr:uid="{00000000-0005-0000-0000-000099430000}"/>
    <cellStyle name="Calc Currency (0) 5" xfId="9813" xr:uid="{00000000-0005-0000-0000-00009A430000}"/>
    <cellStyle name="Calc Currency (0) 5 10" xfId="9814" xr:uid="{00000000-0005-0000-0000-00009B430000}"/>
    <cellStyle name="Calc Currency (0) 5 11" xfId="9815" xr:uid="{00000000-0005-0000-0000-00009C430000}"/>
    <cellStyle name="Calc Currency (0) 5 2" xfId="9816" xr:uid="{00000000-0005-0000-0000-00009D430000}"/>
    <cellStyle name="Calc Currency (0) 5 2 10" xfId="9817" xr:uid="{00000000-0005-0000-0000-00009E430000}"/>
    <cellStyle name="Calc Currency (0) 5 2 11" xfId="9818" xr:uid="{00000000-0005-0000-0000-00009F430000}"/>
    <cellStyle name="Calc Currency (0) 5 2 12" xfId="9819" xr:uid="{00000000-0005-0000-0000-0000A0430000}"/>
    <cellStyle name="Calc Currency (0) 5 2 13" xfId="9820" xr:uid="{00000000-0005-0000-0000-0000A1430000}"/>
    <cellStyle name="Calc Currency (0) 5 2 14" xfId="9821" xr:uid="{00000000-0005-0000-0000-0000A2430000}"/>
    <cellStyle name="Calc Currency (0) 5 2 15" xfId="9822" xr:uid="{00000000-0005-0000-0000-0000A3430000}"/>
    <cellStyle name="Calc Currency (0) 5 2 16" xfId="9823" xr:uid="{00000000-0005-0000-0000-0000A4430000}"/>
    <cellStyle name="Calc Currency (0) 5 2 2" xfId="9824" xr:uid="{00000000-0005-0000-0000-0000A5430000}"/>
    <cellStyle name="Calc Currency (0) 5 2 2 2" xfId="9825" xr:uid="{00000000-0005-0000-0000-0000A6430000}"/>
    <cellStyle name="Calc Currency (0) 5 2 2 2 2" xfId="9826" xr:uid="{00000000-0005-0000-0000-0000A7430000}"/>
    <cellStyle name="Calc Currency (0) 5 2 2 2 3" xfId="9827" xr:uid="{00000000-0005-0000-0000-0000A8430000}"/>
    <cellStyle name="Calc Currency (0) 5 2 2 3" xfId="9828" xr:uid="{00000000-0005-0000-0000-0000A9430000}"/>
    <cellStyle name="Calc Currency (0) 5 2 3" xfId="9829" xr:uid="{00000000-0005-0000-0000-0000AA430000}"/>
    <cellStyle name="Calc Currency (0) 5 2 4" xfId="9830" xr:uid="{00000000-0005-0000-0000-0000AB430000}"/>
    <cellStyle name="Calc Currency (0) 5 2 5" xfId="9831" xr:uid="{00000000-0005-0000-0000-0000AC430000}"/>
    <cellStyle name="Calc Currency (0) 5 2 6" xfId="9832" xr:uid="{00000000-0005-0000-0000-0000AD430000}"/>
    <cellStyle name="Calc Currency (0) 5 2 7" xfId="9833" xr:uid="{00000000-0005-0000-0000-0000AE430000}"/>
    <cellStyle name="Calc Currency (0) 5 2 8" xfId="9834" xr:uid="{00000000-0005-0000-0000-0000AF430000}"/>
    <cellStyle name="Calc Currency (0) 5 2 9" xfId="9835" xr:uid="{00000000-0005-0000-0000-0000B0430000}"/>
    <cellStyle name="Calc Currency (0) 5 3" xfId="9836" xr:uid="{00000000-0005-0000-0000-0000B1430000}"/>
    <cellStyle name="Calc Currency (0) 5 3 2" xfId="9837" xr:uid="{00000000-0005-0000-0000-0000B2430000}"/>
    <cellStyle name="Calc Currency (0) 5 3 3" xfId="9838" xr:uid="{00000000-0005-0000-0000-0000B3430000}"/>
    <cellStyle name="Calc Currency (0) 5 3 4" xfId="9839" xr:uid="{00000000-0005-0000-0000-0000B4430000}"/>
    <cellStyle name="Calc Currency (0) 5 3 5" xfId="9840" xr:uid="{00000000-0005-0000-0000-0000B5430000}"/>
    <cellStyle name="Calc Currency (0) 5 3 6" xfId="9841" xr:uid="{00000000-0005-0000-0000-0000B6430000}"/>
    <cellStyle name="Calc Currency (0) 5 3 7" xfId="9842" xr:uid="{00000000-0005-0000-0000-0000B7430000}"/>
    <cellStyle name="Calc Currency (0) 5 3 8" xfId="9843" xr:uid="{00000000-0005-0000-0000-0000B8430000}"/>
    <cellStyle name="Calc Currency (0) 5 3 9" xfId="9844" xr:uid="{00000000-0005-0000-0000-0000B9430000}"/>
    <cellStyle name="Calc Currency (0) 5 4" xfId="9845" xr:uid="{00000000-0005-0000-0000-0000BA430000}"/>
    <cellStyle name="Calc Currency (0) 5 5" xfId="9846" xr:uid="{00000000-0005-0000-0000-0000BB430000}"/>
    <cellStyle name="Calc Currency (0) 5 6" xfId="9847" xr:uid="{00000000-0005-0000-0000-0000BC430000}"/>
    <cellStyle name="Calc Currency (0) 5 6 2" xfId="9848" xr:uid="{00000000-0005-0000-0000-0000BD430000}"/>
    <cellStyle name="Calc Currency (0) 5 6 3" xfId="9849" xr:uid="{00000000-0005-0000-0000-0000BE430000}"/>
    <cellStyle name="Calc Currency (0) 5 6 4" xfId="9850" xr:uid="{00000000-0005-0000-0000-0000BF430000}"/>
    <cellStyle name="Calc Currency (0) 5 6 5" xfId="9851" xr:uid="{00000000-0005-0000-0000-0000C0430000}"/>
    <cellStyle name="Calc Currency (0) 5 6 6" xfId="9852" xr:uid="{00000000-0005-0000-0000-0000C1430000}"/>
    <cellStyle name="Calc Currency (0) 5 6 7" xfId="9853" xr:uid="{00000000-0005-0000-0000-0000C2430000}"/>
    <cellStyle name="Calc Currency (0) 5 6 8" xfId="9854" xr:uid="{00000000-0005-0000-0000-0000C3430000}"/>
    <cellStyle name="Calc Currency (0) 5 7" xfId="9855" xr:uid="{00000000-0005-0000-0000-0000C4430000}"/>
    <cellStyle name="Calc Currency (0) 5 8" xfId="9856" xr:uid="{00000000-0005-0000-0000-0000C5430000}"/>
    <cellStyle name="Calc Currency (0) 5 9" xfId="9857" xr:uid="{00000000-0005-0000-0000-0000C6430000}"/>
    <cellStyle name="Calc Currency (0) 6" xfId="9858" xr:uid="{00000000-0005-0000-0000-0000C7430000}"/>
    <cellStyle name="Calc Currency (0) 6 10" xfId="9859" xr:uid="{00000000-0005-0000-0000-0000C8430000}"/>
    <cellStyle name="Calc Currency (0) 6 11" xfId="9860" xr:uid="{00000000-0005-0000-0000-0000C9430000}"/>
    <cellStyle name="Calc Currency (0) 6 2" xfId="9861" xr:uid="{00000000-0005-0000-0000-0000CA430000}"/>
    <cellStyle name="Calc Currency (0) 6 2 2" xfId="9862" xr:uid="{00000000-0005-0000-0000-0000CB430000}"/>
    <cellStyle name="Calc Currency (0) 6 2 3" xfId="9863" xr:uid="{00000000-0005-0000-0000-0000CC430000}"/>
    <cellStyle name="Calc Currency (0) 6 2 4" xfId="9864" xr:uid="{00000000-0005-0000-0000-0000CD430000}"/>
    <cellStyle name="Calc Currency (0) 6 2 5" xfId="9865" xr:uid="{00000000-0005-0000-0000-0000CE430000}"/>
    <cellStyle name="Calc Currency (0) 6 2 6" xfId="9866" xr:uid="{00000000-0005-0000-0000-0000CF430000}"/>
    <cellStyle name="Calc Currency (0) 6 2 7" xfId="9867" xr:uid="{00000000-0005-0000-0000-0000D0430000}"/>
    <cellStyle name="Calc Currency (0) 6 2 8" xfId="9868" xr:uid="{00000000-0005-0000-0000-0000D1430000}"/>
    <cellStyle name="Calc Currency (0) 6 2 9" xfId="9869" xr:uid="{00000000-0005-0000-0000-0000D2430000}"/>
    <cellStyle name="Calc Currency (0) 6 3" xfId="9870" xr:uid="{00000000-0005-0000-0000-0000D3430000}"/>
    <cellStyle name="Calc Currency (0) 6 3 2" xfId="9871" xr:uid="{00000000-0005-0000-0000-0000D4430000}"/>
    <cellStyle name="Calc Currency (0) 6 3 3" xfId="9872" xr:uid="{00000000-0005-0000-0000-0000D5430000}"/>
    <cellStyle name="Calc Currency (0) 6 3 4" xfId="9873" xr:uid="{00000000-0005-0000-0000-0000D6430000}"/>
    <cellStyle name="Calc Currency (0) 6 3 5" xfId="9874" xr:uid="{00000000-0005-0000-0000-0000D7430000}"/>
    <cellStyle name="Calc Currency (0) 6 3 6" xfId="9875" xr:uid="{00000000-0005-0000-0000-0000D8430000}"/>
    <cellStyle name="Calc Currency (0) 6 3 7" xfId="9876" xr:uid="{00000000-0005-0000-0000-0000D9430000}"/>
    <cellStyle name="Calc Currency (0) 6 3 8" xfId="9877" xr:uid="{00000000-0005-0000-0000-0000DA430000}"/>
    <cellStyle name="Calc Currency (0) 6 3 9" xfId="9878" xr:uid="{00000000-0005-0000-0000-0000DB430000}"/>
    <cellStyle name="Calc Currency (0) 6 4" xfId="9879" xr:uid="{00000000-0005-0000-0000-0000DC430000}"/>
    <cellStyle name="Calc Currency (0) 6 5" xfId="9880" xr:uid="{00000000-0005-0000-0000-0000DD430000}"/>
    <cellStyle name="Calc Currency (0) 6 6" xfId="9881" xr:uid="{00000000-0005-0000-0000-0000DE430000}"/>
    <cellStyle name="Calc Currency (0) 6 7" xfId="9882" xr:uid="{00000000-0005-0000-0000-0000DF430000}"/>
    <cellStyle name="Calc Currency (0) 6 8" xfId="9883" xr:uid="{00000000-0005-0000-0000-0000E0430000}"/>
    <cellStyle name="Calc Currency (0) 6 9" xfId="9884" xr:uid="{00000000-0005-0000-0000-0000E1430000}"/>
    <cellStyle name="Calc Currency (0) 7" xfId="9885" xr:uid="{00000000-0005-0000-0000-0000E2430000}"/>
    <cellStyle name="Calc Currency (0) 7 10" xfId="9886" xr:uid="{00000000-0005-0000-0000-0000E3430000}"/>
    <cellStyle name="Calc Currency (0) 7 11" xfId="9887" xr:uid="{00000000-0005-0000-0000-0000E4430000}"/>
    <cellStyle name="Calc Currency (0) 7 2" xfId="9888" xr:uid="{00000000-0005-0000-0000-0000E5430000}"/>
    <cellStyle name="Calc Currency (0) 7 2 2" xfId="9889" xr:uid="{00000000-0005-0000-0000-0000E6430000}"/>
    <cellStyle name="Calc Currency (0) 7 2 3" xfId="9890" xr:uid="{00000000-0005-0000-0000-0000E7430000}"/>
    <cellStyle name="Calc Currency (0) 7 2 4" xfId="9891" xr:uid="{00000000-0005-0000-0000-0000E8430000}"/>
    <cellStyle name="Calc Currency (0) 7 2 5" xfId="9892" xr:uid="{00000000-0005-0000-0000-0000E9430000}"/>
    <cellStyle name="Calc Currency (0) 7 2 6" xfId="9893" xr:uid="{00000000-0005-0000-0000-0000EA430000}"/>
    <cellStyle name="Calc Currency (0) 7 2 7" xfId="9894" xr:uid="{00000000-0005-0000-0000-0000EB430000}"/>
    <cellStyle name="Calc Currency (0) 7 2 8" xfId="9895" xr:uid="{00000000-0005-0000-0000-0000EC430000}"/>
    <cellStyle name="Calc Currency (0) 7 2 9" xfId="9896" xr:uid="{00000000-0005-0000-0000-0000ED430000}"/>
    <cellStyle name="Calc Currency (0) 7 3" xfId="9897" xr:uid="{00000000-0005-0000-0000-0000EE430000}"/>
    <cellStyle name="Calc Currency (0) 7 3 2" xfId="9898" xr:uid="{00000000-0005-0000-0000-0000EF430000}"/>
    <cellStyle name="Calc Currency (0) 7 3 3" xfId="9899" xr:uid="{00000000-0005-0000-0000-0000F0430000}"/>
    <cellStyle name="Calc Currency (0) 7 3 4" xfId="9900" xr:uid="{00000000-0005-0000-0000-0000F1430000}"/>
    <cellStyle name="Calc Currency (0) 7 3 5" xfId="9901" xr:uid="{00000000-0005-0000-0000-0000F2430000}"/>
    <cellStyle name="Calc Currency (0) 7 3 6" xfId="9902" xr:uid="{00000000-0005-0000-0000-0000F3430000}"/>
    <cellStyle name="Calc Currency (0) 7 3 7" xfId="9903" xr:uid="{00000000-0005-0000-0000-0000F4430000}"/>
    <cellStyle name="Calc Currency (0) 7 3 8" xfId="9904" xr:uid="{00000000-0005-0000-0000-0000F5430000}"/>
    <cellStyle name="Calc Currency (0) 7 3 9" xfId="9905" xr:uid="{00000000-0005-0000-0000-0000F6430000}"/>
    <cellStyle name="Calc Currency (0) 7 4" xfId="9906" xr:uid="{00000000-0005-0000-0000-0000F7430000}"/>
    <cellStyle name="Calc Currency (0) 7 5" xfId="9907" xr:uid="{00000000-0005-0000-0000-0000F8430000}"/>
    <cellStyle name="Calc Currency (0) 7 6" xfId="9908" xr:uid="{00000000-0005-0000-0000-0000F9430000}"/>
    <cellStyle name="Calc Currency (0) 7 7" xfId="9909" xr:uid="{00000000-0005-0000-0000-0000FA430000}"/>
    <cellStyle name="Calc Currency (0) 7 8" xfId="9910" xr:uid="{00000000-0005-0000-0000-0000FB430000}"/>
    <cellStyle name="Calc Currency (0) 7 9" xfId="9911" xr:uid="{00000000-0005-0000-0000-0000FC430000}"/>
    <cellStyle name="Calc Currency (0) 8" xfId="9912" xr:uid="{00000000-0005-0000-0000-0000FD430000}"/>
    <cellStyle name="Calc Currency (0) 8 10" xfId="9913" xr:uid="{00000000-0005-0000-0000-0000FE430000}"/>
    <cellStyle name="Calc Currency (0) 8 11" xfId="9914" xr:uid="{00000000-0005-0000-0000-0000FF430000}"/>
    <cellStyle name="Calc Currency (0) 8 2" xfId="9915" xr:uid="{00000000-0005-0000-0000-000000440000}"/>
    <cellStyle name="Calc Currency (0) 8 2 2" xfId="9916" xr:uid="{00000000-0005-0000-0000-000001440000}"/>
    <cellStyle name="Calc Currency (0) 8 2 3" xfId="9917" xr:uid="{00000000-0005-0000-0000-000002440000}"/>
    <cellStyle name="Calc Currency (0) 8 2 4" xfId="9918" xr:uid="{00000000-0005-0000-0000-000003440000}"/>
    <cellStyle name="Calc Currency (0) 8 2 5" xfId="9919" xr:uid="{00000000-0005-0000-0000-000004440000}"/>
    <cellStyle name="Calc Currency (0) 8 2 6" xfId="9920" xr:uid="{00000000-0005-0000-0000-000005440000}"/>
    <cellStyle name="Calc Currency (0) 8 2 7" xfId="9921" xr:uid="{00000000-0005-0000-0000-000006440000}"/>
    <cellStyle name="Calc Currency (0) 8 2 8" xfId="9922" xr:uid="{00000000-0005-0000-0000-000007440000}"/>
    <cellStyle name="Calc Currency (0) 8 2 9" xfId="9923" xr:uid="{00000000-0005-0000-0000-000008440000}"/>
    <cellStyle name="Calc Currency (0) 8 3" xfId="9924" xr:uid="{00000000-0005-0000-0000-000009440000}"/>
    <cellStyle name="Calc Currency (0) 8 3 2" xfId="9925" xr:uid="{00000000-0005-0000-0000-00000A440000}"/>
    <cellStyle name="Calc Currency (0) 8 3 3" xfId="9926" xr:uid="{00000000-0005-0000-0000-00000B440000}"/>
    <cellStyle name="Calc Currency (0) 8 3 4" xfId="9927" xr:uid="{00000000-0005-0000-0000-00000C440000}"/>
    <cellStyle name="Calc Currency (0) 8 3 5" xfId="9928" xr:uid="{00000000-0005-0000-0000-00000D440000}"/>
    <cellStyle name="Calc Currency (0) 8 3 6" xfId="9929" xr:uid="{00000000-0005-0000-0000-00000E440000}"/>
    <cellStyle name="Calc Currency (0) 8 3 7" xfId="9930" xr:uid="{00000000-0005-0000-0000-00000F440000}"/>
    <cellStyle name="Calc Currency (0) 8 3 8" xfId="9931" xr:uid="{00000000-0005-0000-0000-000010440000}"/>
    <cellStyle name="Calc Currency (0) 8 3 9" xfId="9932" xr:uid="{00000000-0005-0000-0000-000011440000}"/>
    <cellStyle name="Calc Currency (0) 8 4" xfId="9933" xr:uid="{00000000-0005-0000-0000-000012440000}"/>
    <cellStyle name="Calc Currency (0) 8 5" xfId="9934" xr:uid="{00000000-0005-0000-0000-000013440000}"/>
    <cellStyle name="Calc Currency (0) 8 6" xfId="9935" xr:uid="{00000000-0005-0000-0000-000014440000}"/>
    <cellStyle name="Calc Currency (0) 8 7" xfId="9936" xr:uid="{00000000-0005-0000-0000-000015440000}"/>
    <cellStyle name="Calc Currency (0) 8 8" xfId="9937" xr:uid="{00000000-0005-0000-0000-000016440000}"/>
    <cellStyle name="Calc Currency (0) 8 9" xfId="9938" xr:uid="{00000000-0005-0000-0000-000017440000}"/>
    <cellStyle name="Calc Currency (0) 9" xfId="9939" xr:uid="{00000000-0005-0000-0000-000018440000}"/>
    <cellStyle name="Calc Currency (0) 9 10" xfId="9940" xr:uid="{00000000-0005-0000-0000-000019440000}"/>
    <cellStyle name="Calc Currency (0) 9 11" xfId="9941" xr:uid="{00000000-0005-0000-0000-00001A440000}"/>
    <cellStyle name="Calc Currency (0) 9 2" xfId="9942" xr:uid="{00000000-0005-0000-0000-00001B440000}"/>
    <cellStyle name="Calc Currency (0) 9 2 10" xfId="9943" xr:uid="{00000000-0005-0000-0000-00001C440000}"/>
    <cellStyle name="Calc Currency (0) 9 2 11" xfId="9944" xr:uid="{00000000-0005-0000-0000-00001D440000}"/>
    <cellStyle name="Calc Currency (0) 9 2 12" xfId="9945" xr:uid="{00000000-0005-0000-0000-00001E440000}"/>
    <cellStyle name="Calc Currency (0) 9 2 13" xfId="9946" xr:uid="{00000000-0005-0000-0000-00001F440000}"/>
    <cellStyle name="Calc Currency (0) 9 2 14" xfId="9947" xr:uid="{00000000-0005-0000-0000-000020440000}"/>
    <cellStyle name="Calc Currency (0) 9 2 15" xfId="9948" xr:uid="{00000000-0005-0000-0000-000021440000}"/>
    <cellStyle name="Calc Currency (0) 9 2 16" xfId="9949" xr:uid="{00000000-0005-0000-0000-000022440000}"/>
    <cellStyle name="Calc Currency (0) 9 2 2" xfId="9950" xr:uid="{00000000-0005-0000-0000-000023440000}"/>
    <cellStyle name="Calc Currency (0) 9 2 3" xfId="9951" xr:uid="{00000000-0005-0000-0000-000024440000}"/>
    <cellStyle name="Calc Currency (0) 9 2 4" xfId="9952" xr:uid="{00000000-0005-0000-0000-000025440000}"/>
    <cellStyle name="Calc Currency (0) 9 2 5" xfId="9953" xr:uid="{00000000-0005-0000-0000-000026440000}"/>
    <cellStyle name="Calc Currency (0) 9 2 6" xfId="9954" xr:uid="{00000000-0005-0000-0000-000027440000}"/>
    <cellStyle name="Calc Currency (0) 9 2 7" xfId="9955" xr:uid="{00000000-0005-0000-0000-000028440000}"/>
    <cellStyle name="Calc Currency (0) 9 2 8" xfId="9956" xr:uid="{00000000-0005-0000-0000-000029440000}"/>
    <cellStyle name="Calc Currency (0) 9 2 9" xfId="9957" xr:uid="{00000000-0005-0000-0000-00002A440000}"/>
    <cellStyle name="Calc Currency (0) 9 3" xfId="9958" xr:uid="{00000000-0005-0000-0000-00002B440000}"/>
    <cellStyle name="Calc Currency (0) 9 3 2" xfId="9959" xr:uid="{00000000-0005-0000-0000-00002C440000}"/>
    <cellStyle name="Calc Currency (0) 9 3 3" xfId="9960" xr:uid="{00000000-0005-0000-0000-00002D440000}"/>
    <cellStyle name="Calc Currency (0) 9 3 4" xfId="9961" xr:uid="{00000000-0005-0000-0000-00002E440000}"/>
    <cellStyle name="Calc Currency (0) 9 3 5" xfId="9962" xr:uid="{00000000-0005-0000-0000-00002F440000}"/>
    <cellStyle name="Calc Currency (0) 9 3 6" xfId="9963" xr:uid="{00000000-0005-0000-0000-000030440000}"/>
    <cellStyle name="Calc Currency (0) 9 3 7" xfId="9964" xr:uid="{00000000-0005-0000-0000-000031440000}"/>
    <cellStyle name="Calc Currency (0) 9 3 8" xfId="9965" xr:uid="{00000000-0005-0000-0000-000032440000}"/>
    <cellStyle name="Calc Currency (0) 9 3 9" xfId="9966" xr:uid="{00000000-0005-0000-0000-000033440000}"/>
    <cellStyle name="Calc Currency (0) 9 4" xfId="9967" xr:uid="{00000000-0005-0000-0000-000034440000}"/>
    <cellStyle name="Calc Currency (0) 9 4 2" xfId="9968" xr:uid="{00000000-0005-0000-0000-000035440000}"/>
    <cellStyle name="Calc Currency (0) 9 4 3" xfId="9969" xr:uid="{00000000-0005-0000-0000-000036440000}"/>
    <cellStyle name="Calc Currency (0) 9 4 4" xfId="9970" xr:uid="{00000000-0005-0000-0000-000037440000}"/>
    <cellStyle name="Calc Currency (0) 9 4 5" xfId="9971" xr:uid="{00000000-0005-0000-0000-000038440000}"/>
    <cellStyle name="Calc Currency (0) 9 4 6" xfId="9972" xr:uid="{00000000-0005-0000-0000-000039440000}"/>
    <cellStyle name="Calc Currency (0) 9 4 7" xfId="9973" xr:uid="{00000000-0005-0000-0000-00003A440000}"/>
    <cellStyle name="Calc Currency (0) 9 4 8" xfId="9974" xr:uid="{00000000-0005-0000-0000-00003B440000}"/>
    <cellStyle name="Calc Currency (0) 9 5" xfId="9975" xr:uid="{00000000-0005-0000-0000-00003C440000}"/>
    <cellStyle name="Calc Currency (0) 9 6" xfId="9976" xr:uid="{00000000-0005-0000-0000-00003D440000}"/>
    <cellStyle name="Calc Currency (0) 9 7" xfId="9977" xr:uid="{00000000-0005-0000-0000-00003E440000}"/>
    <cellStyle name="Calc Currency (0) 9 8" xfId="9978" xr:uid="{00000000-0005-0000-0000-00003F440000}"/>
    <cellStyle name="Calc Currency (0) 9 9" xfId="9979" xr:uid="{00000000-0005-0000-0000-000040440000}"/>
    <cellStyle name="Calc Currency (2)" xfId="9980" xr:uid="{00000000-0005-0000-0000-000041440000}"/>
    <cellStyle name="Calc Currency (2) 10" xfId="9981" xr:uid="{00000000-0005-0000-0000-000042440000}"/>
    <cellStyle name="Calc Currency (2) 11" xfId="9982" xr:uid="{00000000-0005-0000-0000-000043440000}"/>
    <cellStyle name="Calc Currency (2) 11 2" xfId="9983" xr:uid="{00000000-0005-0000-0000-000044440000}"/>
    <cellStyle name="Calc Currency (2) 11 2 2" xfId="9984" xr:uid="{00000000-0005-0000-0000-000045440000}"/>
    <cellStyle name="Calc Currency (2) 11 2 3" xfId="9985" xr:uid="{00000000-0005-0000-0000-000046440000}"/>
    <cellStyle name="Calc Currency (2) 11 2 4" xfId="9986" xr:uid="{00000000-0005-0000-0000-000047440000}"/>
    <cellStyle name="Calc Currency (2) 11 2 5" xfId="9987" xr:uid="{00000000-0005-0000-0000-000048440000}"/>
    <cellStyle name="Calc Currency (2) 11 2 6" xfId="9988" xr:uid="{00000000-0005-0000-0000-000049440000}"/>
    <cellStyle name="Calc Currency (2) 11 2 7" xfId="9989" xr:uid="{00000000-0005-0000-0000-00004A440000}"/>
    <cellStyle name="Calc Currency (2) 11 2 8" xfId="9990" xr:uid="{00000000-0005-0000-0000-00004B440000}"/>
    <cellStyle name="Calc Currency (2) 11 3" xfId="9991" xr:uid="{00000000-0005-0000-0000-00004C440000}"/>
    <cellStyle name="Calc Currency (2) 11 4" xfId="9992" xr:uid="{00000000-0005-0000-0000-00004D440000}"/>
    <cellStyle name="Calc Currency (2) 11 5" xfId="9993" xr:uid="{00000000-0005-0000-0000-00004E440000}"/>
    <cellStyle name="Calc Currency (2) 11 6" xfId="9994" xr:uid="{00000000-0005-0000-0000-00004F440000}"/>
    <cellStyle name="Calc Currency (2) 11 7" xfId="9995" xr:uid="{00000000-0005-0000-0000-000050440000}"/>
    <cellStyle name="Calc Currency (2) 11 8" xfId="9996" xr:uid="{00000000-0005-0000-0000-000051440000}"/>
    <cellStyle name="Calc Currency (2) 12" xfId="9997" xr:uid="{00000000-0005-0000-0000-000052440000}"/>
    <cellStyle name="Calc Currency (2) 12 2" xfId="9998" xr:uid="{00000000-0005-0000-0000-000053440000}"/>
    <cellStyle name="Calc Currency (2) 12 3" xfId="9999" xr:uid="{00000000-0005-0000-0000-000054440000}"/>
    <cellStyle name="Calc Currency (2) 12 4" xfId="10000" xr:uid="{00000000-0005-0000-0000-000055440000}"/>
    <cellStyle name="Calc Currency (2) 12 5" xfId="10001" xr:uid="{00000000-0005-0000-0000-000056440000}"/>
    <cellStyle name="Calc Currency (2) 12 6" xfId="10002" xr:uid="{00000000-0005-0000-0000-000057440000}"/>
    <cellStyle name="Calc Currency (2) 12 7" xfId="10003" xr:uid="{00000000-0005-0000-0000-000058440000}"/>
    <cellStyle name="Calc Currency (2) 12 8" xfId="10004" xr:uid="{00000000-0005-0000-0000-000059440000}"/>
    <cellStyle name="Calc Currency (2) 13" xfId="10005" xr:uid="{00000000-0005-0000-0000-00005A440000}"/>
    <cellStyle name="Calc Currency (2) 14" xfId="10006" xr:uid="{00000000-0005-0000-0000-00005B440000}"/>
    <cellStyle name="Calc Currency (2) 15" xfId="10007" xr:uid="{00000000-0005-0000-0000-00005C440000}"/>
    <cellStyle name="Calc Currency (2) 16" xfId="10008" xr:uid="{00000000-0005-0000-0000-00005D440000}"/>
    <cellStyle name="Calc Currency (2) 17" xfId="10009" xr:uid="{00000000-0005-0000-0000-00005E440000}"/>
    <cellStyle name="Calc Currency (2) 18" xfId="10010" xr:uid="{00000000-0005-0000-0000-00005F440000}"/>
    <cellStyle name="Calc Currency (2) 19" xfId="10011" xr:uid="{00000000-0005-0000-0000-000060440000}"/>
    <cellStyle name="Calc Currency (2) 2" xfId="10012" xr:uid="{00000000-0005-0000-0000-000061440000}"/>
    <cellStyle name="Calc Currency (2) 2 10" xfId="10013" xr:uid="{00000000-0005-0000-0000-000062440000}"/>
    <cellStyle name="Calc Currency (2) 2 10 2" xfId="10014" xr:uid="{00000000-0005-0000-0000-000063440000}"/>
    <cellStyle name="Calc Currency (2) 2 10 3" xfId="10015" xr:uid="{00000000-0005-0000-0000-000064440000}"/>
    <cellStyle name="Calc Currency (2) 2 10 4" xfId="10016" xr:uid="{00000000-0005-0000-0000-000065440000}"/>
    <cellStyle name="Calc Currency (2) 2 10 5" xfId="10017" xr:uid="{00000000-0005-0000-0000-000066440000}"/>
    <cellStyle name="Calc Currency (2) 2 10 6" xfId="10018" xr:uid="{00000000-0005-0000-0000-000067440000}"/>
    <cellStyle name="Calc Currency (2) 2 10 7" xfId="10019" xr:uid="{00000000-0005-0000-0000-000068440000}"/>
    <cellStyle name="Calc Currency (2) 2 10 8" xfId="10020" xr:uid="{00000000-0005-0000-0000-000069440000}"/>
    <cellStyle name="Calc Currency (2) 2 10 9" xfId="10021" xr:uid="{00000000-0005-0000-0000-00006A440000}"/>
    <cellStyle name="Calc Currency (2) 2 11" xfId="10022" xr:uid="{00000000-0005-0000-0000-00006B440000}"/>
    <cellStyle name="Calc Currency (2) 2 11 2" xfId="10023" xr:uid="{00000000-0005-0000-0000-00006C440000}"/>
    <cellStyle name="Calc Currency (2) 2 11 2 2" xfId="10024" xr:uid="{00000000-0005-0000-0000-00006D440000}"/>
    <cellStyle name="Calc Currency (2) 2 11 2 3" xfId="10025" xr:uid="{00000000-0005-0000-0000-00006E440000}"/>
    <cellStyle name="Calc Currency (2) 2 11 2 4" xfId="10026" xr:uid="{00000000-0005-0000-0000-00006F440000}"/>
    <cellStyle name="Calc Currency (2) 2 11 2 5" xfId="10027" xr:uid="{00000000-0005-0000-0000-000070440000}"/>
    <cellStyle name="Calc Currency (2) 2 11 2 6" xfId="10028" xr:uid="{00000000-0005-0000-0000-000071440000}"/>
    <cellStyle name="Calc Currency (2) 2 11 2 7" xfId="10029" xr:uid="{00000000-0005-0000-0000-000072440000}"/>
    <cellStyle name="Calc Currency (2) 2 11 2 8" xfId="10030" xr:uid="{00000000-0005-0000-0000-000073440000}"/>
    <cellStyle name="Calc Currency (2) 2 11 3" xfId="10031" xr:uid="{00000000-0005-0000-0000-000074440000}"/>
    <cellStyle name="Calc Currency (2) 2 11 4" xfId="10032" xr:uid="{00000000-0005-0000-0000-000075440000}"/>
    <cellStyle name="Calc Currency (2) 2 11 5" xfId="10033" xr:uid="{00000000-0005-0000-0000-000076440000}"/>
    <cellStyle name="Calc Currency (2) 2 11 6" xfId="10034" xr:uid="{00000000-0005-0000-0000-000077440000}"/>
    <cellStyle name="Calc Currency (2) 2 11 7" xfId="10035" xr:uid="{00000000-0005-0000-0000-000078440000}"/>
    <cellStyle name="Calc Currency (2) 2 11 8" xfId="10036" xr:uid="{00000000-0005-0000-0000-000079440000}"/>
    <cellStyle name="Calc Currency (2) 2 11 9" xfId="10037" xr:uid="{00000000-0005-0000-0000-00007A440000}"/>
    <cellStyle name="Calc Currency (2) 2 12" xfId="10038" xr:uid="{00000000-0005-0000-0000-00007B440000}"/>
    <cellStyle name="Calc Currency (2) 2 13" xfId="10039" xr:uid="{00000000-0005-0000-0000-00007C440000}"/>
    <cellStyle name="Calc Currency (2) 2 14" xfId="10040" xr:uid="{00000000-0005-0000-0000-00007D440000}"/>
    <cellStyle name="Calc Currency (2) 2 15" xfId="10041" xr:uid="{00000000-0005-0000-0000-00007E440000}"/>
    <cellStyle name="Calc Currency (2) 2 16" xfId="10042" xr:uid="{00000000-0005-0000-0000-00007F440000}"/>
    <cellStyle name="Calc Currency (2) 2 17" xfId="10043" xr:uid="{00000000-0005-0000-0000-000080440000}"/>
    <cellStyle name="Calc Currency (2) 2 18" xfId="10044" xr:uid="{00000000-0005-0000-0000-000081440000}"/>
    <cellStyle name="Calc Currency (2) 2 19" xfId="10045" xr:uid="{00000000-0005-0000-0000-000082440000}"/>
    <cellStyle name="Calc Currency (2) 2 2" xfId="10046" xr:uid="{00000000-0005-0000-0000-000083440000}"/>
    <cellStyle name="Calc Currency (2) 2 2 10" xfId="10047" xr:uid="{00000000-0005-0000-0000-000084440000}"/>
    <cellStyle name="Calc Currency (2) 2 2 11" xfId="10048" xr:uid="{00000000-0005-0000-0000-000085440000}"/>
    <cellStyle name="Calc Currency (2) 2 2 12" xfId="10049" xr:uid="{00000000-0005-0000-0000-000086440000}"/>
    <cellStyle name="Calc Currency (2) 2 2 13" xfId="10050" xr:uid="{00000000-0005-0000-0000-000087440000}"/>
    <cellStyle name="Calc Currency (2) 2 2 14" xfId="10051" xr:uid="{00000000-0005-0000-0000-000088440000}"/>
    <cellStyle name="Calc Currency (2) 2 2 15" xfId="10052" xr:uid="{00000000-0005-0000-0000-000089440000}"/>
    <cellStyle name="Calc Currency (2) 2 2 16" xfId="10053" xr:uid="{00000000-0005-0000-0000-00008A440000}"/>
    <cellStyle name="Calc Currency (2) 2 2 17" xfId="10054" xr:uid="{00000000-0005-0000-0000-00008B440000}"/>
    <cellStyle name="Calc Currency (2) 2 2 2" xfId="10055" xr:uid="{00000000-0005-0000-0000-00008C440000}"/>
    <cellStyle name="Calc Currency (2) 2 2 2 10" xfId="10056" xr:uid="{00000000-0005-0000-0000-00008D440000}"/>
    <cellStyle name="Calc Currency (2) 2 2 2 11" xfId="10057" xr:uid="{00000000-0005-0000-0000-00008E440000}"/>
    <cellStyle name="Calc Currency (2) 2 2 2 12" xfId="10058" xr:uid="{00000000-0005-0000-0000-00008F440000}"/>
    <cellStyle name="Calc Currency (2) 2 2 2 13" xfId="10059" xr:uid="{00000000-0005-0000-0000-000090440000}"/>
    <cellStyle name="Calc Currency (2) 2 2 2 14" xfId="10060" xr:uid="{00000000-0005-0000-0000-000091440000}"/>
    <cellStyle name="Calc Currency (2) 2 2 2 15" xfId="10061" xr:uid="{00000000-0005-0000-0000-000092440000}"/>
    <cellStyle name="Calc Currency (2) 2 2 2 2" xfId="10062" xr:uid="{00000000-0005-0000-0000-000093440000}"/>
    <cellStyle name="Calc Currency (2) 2 2 2 2 2" xfId="10063" xr:uid="{00000000-0005-0000-0000-000094440000}"/>
    <cellStyle name="Calc Currency (2) 2 2 2 2 3" xfId="10064" xr:uid="{00000000-0005-0000-0000-000095440000}"/>
    <cellStyle name="Calc Currency (2) 2 2 2 2 4" xfId="10065" xr:uid="{00000000-0005-0000-0000-000096440000}"/>
    <cellStyle name="Calc Currency (2) 2 2 2 2 5" xfId="10066" xr:uid="{00000000-0005-0000-0000-000097440000}"/>
    <cellStyle name="Calc Currency (2) 2 2 2 2 6" xfId="10067" xr:uid="{00000000-0005-0000-0000-000098440000}"/>
    <cellStyle name="Calc Currency (2) 2 2 2 2 7" xfId="10068" xr:uid="{00000000-0005-0000-0000-000099440000}"/>
    <cellStyle name="Calc Currency (2) 2 2 2 2 8" xfId="10069" xr:uid="{00000000-0005-0000-0000-00009A440000}"/>
    <cellStyle name="Calc Currency (2) 2 2 2 3" xfId="10070" xr:uid="{00000000-0005-0000-0000-00009B440000}"/>
    <cellStyle name="Calc Currency (2) 2 2 2 4" xfId="10071" xr:uid="{00000000-0005-0000-0000-00009C440000}"/>
    <cellStyle name="Calc Currency (2) 2 2 2 5" xfId="10072" xr:uid="{00000000-0005-0000-0000-00009D440000}"/>
    <cellStyle name="Calc Currency (2) 2 2 2 6" xfId="10073" xr:uid="{00000000-0005-0000-0000-00009E440000}"/>
    <cellStyle name="Calc Currency (2) 2 2 2 7" xfId="10074" xr:uid="{00000000-0005-0000-0000-00009F440000}"/>
    <cellStyle name="Calc Currency (2) 2 2 2 8" xfId="10075" xr:uid="{00000000-0005-0000-0000-0000A0440000}"/>
    <cellStyle name="Calc Currency (2) 2 2 2 9" xfId="10076" xr:uid="{00000000-0005-0000-0000-0000A1440000}"/>
    <cellStyle name="Calc Currency (2) 2 2 3" xfId="10077" xr:uid="{00000000-0005-0000-0000-0000A2440000}"/>
    <cellStyle name="Calc Currency (2) 2 2 3 2" xfId="10078" xr:uid="{00000000-0005-0000-0000-0000A3440000}"/>
    <cellStyle name="Calc Currency (2) 2 2 3 3" xfId="10079" xr:uid="{00000000-0005-0000-0000-0000A4440000}"/>
    <cellStyle name="Calc Currency (2) 2 2 3 4" xfId="10080" xr:uid="{00000000-0005-0000-0000-0000A5440000}"/>
    <cellStyle name="Calc Currency (2) 2 2 3 5" xfId="10081" xr:uid="{00000000-0005-0000-0000-0000A6440000}"/>
    <cellStyle name="Calc Currency (2) 2 2 3 6" xfId="10082" xr:uid="{00000000-0005-0000-0000-0000A7440000}"/>
    <cellStyle name="Calc Currency (2) 2 2 3 7" xfId="10083" xr:uid="{00000000-0005-0000-0000-0000A8440000}"/>
    <cellStyle name="Calc Currency (2) 2 2 3 8" xfId="10084" xr:uid="{00000000-0005-0000-0000-0000A9440000}"/>
    <cellStyle name="Calc Currency (2) 2 2 4" xfId="10085" xr:uid="{00000000-0005-0000-0000-0000AA440000}"/>
    <cellStyle name="Calc Currency (2) 2 2 5" xfId="10086" xr:uid="{00000000-0005-0000-0000-0000AB440000}"/>
    <cellStyle name="Calc Currency (2) 2 2 6" xfId="10087" xr:uid="{00000000-0005-0000-0000-0000AC440000}"/>
    <cellStyle name="Calc Currency (2) 2 2 7" xfId="10088" xr:uid="{00000000-0005-0000-0000-0000AD440000}"/>
    <cellStyle name="Calc Currency (2) 2 2 8" xfId="10089" xr:uid="{00000000-0005-0000-0000-0000AE440000}"/>
    <cellStyle name="Calc Currency (2) 2 2 9" xfId="10090" xr:uid="{00000000-0005-0000-0000-0000AF440000}"/>
    <cellStyle name="Calc Currency (2) 2 3" xfId="10091" xr:uid="{00000000-0005-0000-0000-0000B0440000}"/>
    <cellStyle name="Calc Currency (2) 2 3 2" xfId="10092" xr:uid="{00000000-0005-0000-0000-0000B1440000}"/>
    <cellStyle name="Calc Currency (2) 2 3 3" xfId="10093" xr:uid="{00000000-0005-0000-0000-0000B2440000}"/>
    <cellStyle name="Calc Currency (2) 2 3 4" xfId="10094" xr:uid="{00000000-0005-0000-0000-0000B3440000}"/>
    <cellStyle name="Calc Currency (2) 2 3 5" xfId="10095" xr:uid="{00000000-0005-0000-0000-0000B4440000}"/>
    <cellStyle name="Calc Currency (2) 2 3 6" xfId="10096" xr:uid="{00000000-0005-0000-0000-0000B5440000}"/>
    <cellStyle name="Calc Currency (2) 2 3 7" xfId="10097" xr:uid="{00000000-0005-0000-0000-0000B6440000}"/>
    <cellStyle name="Calc Currency (2) 2 3 8" xfId="10098" xr:uid="{00000000-0005-0000-0000-0000B7440000}"/>
    <cellStyle name="Calc Currency (2) 2 4" xfId="10099" xr:uid="{00000000-0005-0000-0000-0000B8440000}"/>
    <cellStyle name="Calc Currency (2) 2 4 2" xfId="10100" xr:uid="{00000000-0005-0000-0000-0000B9440000}"/>
    <cellStyle name="Calc Currency (2) 2 4 3" xfId="10101" xr:uid="{00000000-0005-0000-0000-0000BA440000}"/>
    <cellStyle name="Calc Currency (2) 2 4 4" xfId="10102" xr:uid="{00000000-0005-0000-0000-0000BB440000}"/>
    <cellStyle name="Calc Currency (2) 2 4 5" xfId="10103" xr:uid="{00000000-0005-0000-0000-0000BC440000}"/>
    <cellStyle name="Calc Currency (2) 2 4 6" xfId="10104" xr:uid="{00000000-0005-0000-0000-0000BD440000}"/>
    <cellStyle name="Calc Currency (2) 2 4 7" xfId="10105" xr:uid="{00000000-0005-0000-0000-0000BE440000}"/>
    <cellStyle name="Calc Currency (2) 2 4 8" xfId="10106" xr:uid="{00000000-0005-0000-0000-0000BF440000}"/>
    <cellStyle name="Calc Currency (2) 2 5" xfId="10107" xr:uid="{00000000-0005-0000-0000-0000C0440000}"/>
    <cellStyle name="Calc Currency (2) 2 5 2" xfId="10108" xr:uid="{00000000-0005-0000-0000-0000C1440000}"/>
    <cellStyle name="Calc Currency (2) 2 5 3" xfId="10109" xr:uid="{00000000-0005-0000-0000-0000C2440000}"/>
    <cellStyle name="Calc Currency (2) 2 5 4" xfId="10110" xr:uid="{00000000-0005-0000-0000-0000C3440000}"/>
    <cellStyle name="Calc Currency (2) 2 5 5" xfId="10111" xr:uid="{00000000-0005-0000-0000-0000C4440000}"/>
    <cellStyle name="Calc Currency (2) 2 5 6" xfId="10112" xr:uid="{00000000-0005-0000-0000-0000C5440000}"/>
    <cellStyle name="Calc Currency (2) 2 5 7" xfId="10113" xr:uid="{00000000-0005-0000-0000-0000C6440000}"/>
    <cellStyle name="Calc Currency (2) 2 5 8" xfId="10114" xr:uid="{00000000-0005-0000-0000-0000C7440000}"/>
    <cellStyle name="Calc Currency (2) 2 6" xfId="10115" xr:uid="{00000000-0005-0000-0000-0000C8440000}"/>
    <cellStyle name="Calc Currency (2) 2 6 2" xfId="10116" xr:uid="{00000000-0005-0000-0000-0000C9440000}"/>
    <cellStyle name="Calc Currency (2) 2 6 3" xfId="10117" xr:uid="{00000000-0005-0000-0000-0000CA440000}"/>
    <cellStyle name="Calc Currency (2) 2 6 4" xfId="10118" xr:uid="{00000000-0005-0000-0000-0000CB440000}"/>
    <cellStyle name="Calc Currency (2) 2 6 5" xfId="10119" xr:uid="{00000000-0005-0000-0000-0000CC440000}"/>
    <cellStyle name="Calc Currency (2) 2 6 6" xfId="10120" xr:uid="{00000000-0005-0000-0000-0000CD440000}"/>
    <cellStyle name="Calc Currency (2) 2 6 7" xfId="10121" xr:uid="{00000000-0005-0000-0000-0000CE440000}"/>
    <cellStyle name="Calc Currency (2) 2 6 8" xfId="10122" xr:uid="{00000000-0005-0000-0000-0000CF440000}"/>
    <cellStyle name="Calc Currency (2) 2 7" xfId="10123" xr:uid="{00000000-0005-0000-0000-0000D0440000}"/>
    <cellStyle name="Calc Currency (2) 2 7 2" xfId="10124" xr:uid="{00000000-0005-0000-0000-0000D1440000}"/>
    <cellStyle name="Calc Currency (2) 2 7 3" xfId="10125" xr:uid="{00000000-0005-0000-0000-0000D2440000}"/>
    <cellStyle name="Calc Currency (2) 2 7 4" xfId="10126" xr:uid="{00000000-0005-0000-0000-0000D3440000}"/>
    <cellStyle name="Calc Currency (2) 2 7 5" xfId="10127" xr:uid="{00000000-0005-0000-0000-0000D4440000}"/>
    <cellStyle name="Calc Currency (2) 2 7 6" xfId="10128" xr:uid="{00000000-0005-0000-0000-0000D5440000}"/>
    <cellStyle name="Calc Currency (2) 2 7 7" xfId="10129" xr:uid="{00000000-0005-0000-0000-0000D6440000}"/>
    <cellStyle name="Calc Currency (2) 2 7 8" xfId="10130" xr:uid="{00000000-0005-0000-0000-0000D7440000}"/>
    <cellStyle name="Calc Currency (2) 2 8" xfId="10131" xr:uid="{00000000-0005-0000-0000-0000D8440000}"/>
    <cellStyle name="Calc Currency (2) 2 8 2" xfId="10132" xr:uid="{00000000-0005-0000-0000-0000D9440000}"/>
    <cellStyle name="Calc Currency (2) 2 8 3" xfId="10133" xr:uid="{00000000-0005-0000-0000-0000DA440000}"/>
    <cellStyle name="Calc Currency (2) 2 8 4" xfId="10134" xr:uid="{00000000-0005-0000-0000-0000DB440000}"/>
    <cellStyle name="Calc Currency (2) 2 8 5" xfId="10135" xr:uid="{00000000-0005-0000-0000-0000DC440000}"/>
    <cellStyle name="Calc Currency (2) 2 8 6" xfId="10136" xr:uid="{00000000-0005-0000-0000-0000DD440000}"/>
    <cellStyle name="Calc Currency (2) 2 8 7" xfId="10137" xr:uid="{00000000-0005-0000-0000-0000DE440000}"/>
    <cellStyle name="Calc Currency (2) 2 8 8" xfId="10138" xr:uid="{00000000-0005-0000-0000-0000DF440000}"/>
    <cellStyle name="Calc Currency (2) 2 9" xfId="10139" xr:uid="{00000000-0005-0000-0000-0000E0440000}"/>
    <cellStyle name="Calc Currency (2) 2 9 2" xfId="10140" xr:uid="{00000000-0005-0000-0000-0000E1440000}"/>
    <cellStyle name="Calc Currency (2) 2 9 3" xfId="10141" xr:uid="{00000000-0005-0000-0000-0000E2440000}"/>
    <cellStyle name="Calc Currency (2) 2 9 4" xfId="10142" xr:uid="{00000000-0005-0000-0000-0000E3440000}"/>
    <cellStyle name="Calc Currency (2) 2 9 5" xfId="10143" xr:uid="{00000000-0005-0000-0000-0000E4440000}"/>
    <cellStyle name="Calc Currency (2) 2 9 6" xfId="10144" xr:uid="{00000000-0005-0000-0000-0000E5440000}"/>
    <cellStyle name="Calc Currency (2) 2 9 7" xfId="10145" xr:uid="{00000000-0005-0000-0000-0000E6440000}"/>
    <cellStyle name="Calc Currency (2) 2 9 8" xfId="10146" xr:uid="{00000000-0005-0000-0000-0000E7440000}"/>
    <cellStyle name="Calc Currency (2) 2 9 9" xfId="10147" xr:uid="{00000000-0005-0000-0000-0000E8440000}"/>
    <cellStyle name="Calc Currency (2) 20" xfId="10148" xr:uid="{00000000-0005-0000-0000-0000E9440000}"/>
    <cellStyle name="Calc Currency (2) 21" xfId="10149" xr:uid="{00000000-0005-0000-0000-0000EA440000}"/>
    <cellStyle name="Calc Currency (2) 22" xfId="10150" xr:uid="{00000000-0005-0000-0000-0000EB440000}"/>
    <cellStyle name="Calc Currency (2) 23" xfId="10151" xr:uid="{00000000-0005-0000-0000-0000EC440000}"/>
    <cellStyle name="Calc Currency (2) 24" xfId="10152" xr:uid="{00000000-0005-0000-0000-0000ED440000}"/>
    <cellStyle name="Calc Currency (2) 25" xfId="10153" xr:uid="{00000000-0005-0000-0000-0000EE440000}"/>
    <cellStyle name="Calc Currency (2) 26" xfId="10154" xr:uid="{00000000-0005-0000-0000-0000EF440000}"/>
    <cellStyle name="Calc Currency (2) 27" xfId="10155" xr:uid="{00000000-0005-0000-0000-0000F0440000}"/>
    <cellStyle name="Calc Currency (2) 28" xfId="10156" xr:uid="{00000000-0005-0000-0000-0000F1440000}"/>
    <cellStyle name="Calc Currency (2) 29" xfId="10157" xr:uid="{00000000-0005-0000-0000-0000F2440000}"/>
    <cellStyle name="Calc Currency (2) 3" xfId="10158" xr:uid="{00000000-0005-0000-0000-0000F3440000}"/>
    <cellStyle name="Calc Currency (2) 30" xfId="10159" xr:uid="{00000000-0005-0000-0000-0000F4440000}"/>
    <cellStyle name="Calc Currency (2) 31" xfId="10160" xr:uid="{00000000-0005-0000-0000-0000F5440000}"/>
    <cellStyle name="Calc Currency (2) 32" xfId="10161" xr:uid="{00000000-0005-0000-0000-0000F6440000}"/>
    <cellStyle name="Calc Currency (2) 33" xfId="10162" xr:uid="{00000000-0005-0000-0000-0000F7440000}"/>
    <cellStyle name="Calc Currency (2) 34" xfId="10163" xr:uid="{00000000-0005-0000-0000-0000F8440000}"/>
    <cellStyle name="Calc Currency (2) 35" xfId="10164" xr:uid="{00000000-0005-0000-0000-0000F9440000}"/>
    <cellStyle name="Calc Currency (2) 36" xfId="10165" xr:uid="{00000000-0005-0000-0000-0000FA440000}"/>
    <cellStyle name="Calc Currency (2) 4" xfId="10166" xr:uid="{00000000-0005-0000-0000-0000FB440000}"/>
    <cellStyle name="Calc Currency (2) 5" xfId="10167" xr:uid="{00000000-0005-0000-0000-0000FC440000}"/>
    <cellStyle name="Calc Currency (2) 6" xfId="10168" xr:uid="{00000000-0005-0000-0000-0000FD440000}"/>
    <cellStyle name="Calc Currency (2) 7" xfId="10169" xr:uid="{00000000-0005-0000-0000-0000FE440000}"/>
    <cellStyle name="Calc Currency (2) 8" xfId="10170" xr:uid="{00000000-0005-0000-0000-0000FF440000}"/>
    <cellStyle name="Calc Currency (2) 8 2" xfId="10171" xr:uid="{00000000-0005-0000-0000-000000450000}"/>
    <cellStyle name="Calc Currency (2) 8 3" xfId="10172" xr:uid="{00000000-0005-0000-0000-000001450000}"/>
    <cellStyle name="Calc Currency (2) 8 4" xfId="10173" xr:uid="{00000000-0005-0000-0000-000002450000}"/>
    <cellStyle name="Calc Currency (2) 8 5" xfId="10174" xr:uid="{00000000-0005-0000-0000-000003450000}"/>
    <cellStyle name="Calc Currency (2) 8 6" xfId="10175" xr:uid="{00000000-0005-0000-0000-000004450000}"/>
    <cellStyle name="Calc Currency (2) 8 7" xfId="10176" xr:uid="{00000000-0005-0000-0000-000005450000}"/>
    <cellStyle name="Calc Currency (2) 8 8" xfId="10177" xr:uid="{00000000-0005-0000-0000-000006450000}"/>
    <cellStyle name="Calc Currency (2) 9" xfId="10178" xr:uid="{00000000-0005-0000-0000-000007450000}"/>
    <cellStyle name="Calc Percent (0)" xfId="10179" xr:uid="{00000000-0005-0000-0000-000008450000}"/>
    <cellStyle name="Calc Percent (0) 10" xfId="10180" xr:uid="{00000000-0005-0000-0000-000009450000}"/>
    <cellStyle name="Calc Percent (0) 11" xfId="10181" xr:uid="{00000000-0005-0000-0000-00000A450000}"/>
    <cellStyle name="Calc Percent (0) 11 2" xfId="10182" xr:uid="{00000000-0005-0000-0000-00000B450000}"/>
    <cellStyle name="Calc Percent (0) 11 2 2" xfId="10183" xr:uid="{00000000-0005-0000-0000-00000C450000}"/>
    <cellStyle name="Calc Percent (0) 11 2 3" xfId="10184" xr:uid="{00000000-0005-0000-0000-00000D450000}"/>
    <cellStyle name="Calc Percent (0) 11 2 4" xfId="10185" xr:uid="{00000000-0005-0000-0000-00000E450000}"/>
    <cellStyle name="Calc Percent (0) 11 2 5" xfId="10186" xr:uid="{00000000-0005-0000-0000-00000F450000}"/>
    <cellStyle name="Calc Percent (0) 11 2 6" xfId="10187" xr:uid="{00000000-0005-0000-0000-000010450000}"/>
    <cellStyle name="Calc Percent (0) 11 2 7" xfId="10188" xr:uid="{00000000-0005-0000-0000-000011450000}"/>
    <cellStyle name="Calc Percent (0) 11 2 8" xfId="10189" xr:uid="{00000000-0005-0000-0000-000012450000}"/>
    <cellStyle name="Calc Percent (0) 11 3" xfId="10190" xr:uid="{00000000-0005-0000-0000-000013450000}"/>
    <cellStyle name="Calc Percent (0) 11 4" xfId="10191" xr:uid="{00000000-0005-0000-0000-000014450000}"/>
    <cellStyle name="Calc Percent (0) 11 5" xfId="10192" xr:uid="{00000000-0005-0000-0000-000015450000}"/>
    <cellStyle name="Calc Percent (0) 11 6" xfId="10193" xr:uid="{00000000-0005-0000-0000-000016450000}"/>
    <cellStyle name="Calc Percent (0) 11 7" xfId="10194" xr:uid="{00000000-0005-0000-0000-000017450000}"/>
    <cellStyle name="Calc Percent (0) 11 8" xfId="10195" xr:uid="{00000000-0005-0000-0000-000018450000}"/>
    <cellStyle name="Calc Percent (0) 12" xfId="10196" xr:uid="{00000000-0005-0000-0000-000019450000}"/>
    <cellStyle name="Calc Percent (0) 12 2" xfId="10197" xr:uid="{00000000-0005-0000-0000-00001A450000}"/>
    <cellStyle name="Calc Percent (0) 12 3" xfId="10198" xr:uid="{00000000-0005-0000-0000-00001B450000}"/>
    <cellStyle name="Calc Percent (0) 12 4" xfId="10199" xr:uid="{00000000-0005-0000-0000-00001C450000}"/>
    <cellStyle name="Calc Percent (0) 12 5" xfId="10200" xr:uid="{00000000-0005-0000-0000-00001D450000}"/>
    <cellStyle name="Calc Percent (0) 12 6" xfId="10201" xr:uid="{00000000-0005-0000-0000-00001E450000}"/>
    <cellStyle name="Calc Percent (0) 12 7" xfId="10202" xr:uid="{00000000-0005-0000-0000-00001F450000}"/>
    <cellStyle name="Calc Percent (0) 12 8" xfId="10203" xr:uid="{00000000-0005-0000-0000-000020450000}"/>
    <cellStyle name="Calc Percent (0) 13" xfId="10204" xr:uid="{00000000-0005-0000-0000-000021450000}"/>
    <cellStyle name="Calc Percent (0) 14" xfId="10205" xr:uid="{00000000-0005-0000-0000-000022450000}"/>
    <cellStyle name="Calc Percent (0) 15" xfId="10206" xr:uid="{00000000-0005-0000-0000-000023450000}"/>
    <cellStyle name="Calc Percent (0) 16" xfId="10207" xr:uid="{00000000-0005-0000-0000-000024450000}"/>
    <cellStyle name="Calc Percent (0) 17" xfId="10208" xr:uid="{00000000-0005-0000-0000-000025450000}"/>
    <cellStyle name="Calc Percent (0) 18" xfId="10209" xr:uid="{00000000-0005-0000-0000-000026450000}"/>
    <cellStyle name="Calc Percent (0) 19" xfId="10210" xr:uid="{00000000-0005-0000-0000-000027450000}"/>
    <cellStyle name="Calc Percent (0) 2" xfId="10211" xr:uid="{00000000-0005-0000-0000-000028450000}"/>
    <cellStyle name="Calc Percent (0) 2 10" xfId="10212" xr:uid="{00000000-0005-0000-0000-000029450000}"/>
    <cellStyle name="Calc Percent (0) 2 10 2" xfId="10213" xr:uid="{00000000-0005-0000-0000-00002A450000}"/>
    <cellStyle name="Calc Percent (0) 2 10 3" xfId="10214" xr:uid="{00000000-0005-0000-0000-00002B450000}"/>
    <cellStyle name="Calc Percent (0) 2 10 4" xfId="10215" xr:uid="{00000000-0005-0000-0000-00002C450000}"/>
    <cellStyle name="Calc Percent (0) 2 10 5" xfId="10216" xr:uid="{00000000-0005-0000-0000-00002D450000}"/>
    <cellStyle name="Calc Percent (0) 2 10 6" xfId="10217" xr:uid="{00000000-0005-0000-0000-00002E450000}"/>
    <cellStyle name="Calc Percent (0) 2 10 7" xfId="10218" xr:uid="{00000000-0005-0000-0000-00002F450000}"/>
    <cellStyle name="Calc Percent (0) 2 10 8" xfId="10219" xr:uid="{00000000-0005-0000-0000-000030450000}"/>
    <cellStyle name="Calc Percent (0) 2 10 9" xfId="10220" xr:uid="{00000000-0005-0000-0000-000031450000}"/>
    <cellStyle name="Calc Percent (0) 2 11" xfId="10221" xr:uid="{00000000-0005-0000-0000-000032450000}"/>
    <cellStyle name="Calc Percent (0) 2 11 2" xfId="10222" xr:uid="{00000000-0005-0000-0000-000033450000}"/>
    <cellStyle name="Calc Percent (0) 2 11 2 2" xfId="10223" xr:uid="{00000000-0005-0000-0000-000034450000}"/>
    <cellStyle name="Calc Percent (0) 2 11 2 3" xfId="10224" xr:uid="{00000000-0005-0000-0000-000035450000}"/>
    <cellStyle name="Calc Percent (0) 2 11 2 4" xfId="10225" xr:uid="{00000000-0005-0000-0000-000036450000}"/>
    <cellStyle name="Calc Percent (0) 2 11 2 5" xfId="10226" xr:uid="{00000000-0005-0000-0000-000037450000}"/>
    <cellStyle name="Calc Percent (0) 2 11 2 6" xfId="10227" xr:uid="{00000000-0005-0000-0000-000038450000}"/>
    <cellStyle name="Calc Percent (0) 2 11 2 7" xfId="10228" xr:uid="{00000000-0005-0000-0000-000039450000}"/>
    <cellStyle name="Calc Percent (0) 2 11 2 8" xfId="10229" xr:uid="{00000000-0005-0000-0000-00003A450000}"/>
    <cellStyle name="Calc Percent (0) 2 11 3" xfId="10230" xr:uid="{00000000-0005-0000-0000-00003B450000}"/>
    <cellStyle name="Calc Percent (0) 2 11 4" xfId="10231" xr:uid="{00000000-0005-0000-0000-00003C450000}"/>
    <cellStyle name="Calc Percent (0) 2 11 5" xfId="10232" xr:uid="{00000000-0005-0000-0000-00003D450000}"/>
    <cellStyle name="Calc Percent (0) 2 11 6" xfId="10233" xr:uid="{00000000-0005-0000-0000-00003E450000}"/>
    <cellStyle name="Calc Percent (0) 2 11 7" xfId="10234" xr:uid="{00000000-0005-0000-0000-00003F450000}"/>
    <cellStyle name="Calc Percent (0) 2 11 8" xfId="10235" xr:uid="{00000000-0005-0000-0000-000040450000}"/>
    <cellStyle name="Calc Percent (0) 2 11 9" xfId="10236" xr:uid="{00000000-0005-0000-0000-000041450000}"/>
    <cellStyle name="Calc Percent (0) 2 12" xfId="10237" xr:uid="{00000000-0005-0000-0000-000042450000}"/>
    <cellStyle name="Calc Percent (0) 2 13" xfId="10238" xr:uid="{00000000-0005-0000-0000-000043450000}"/>
    <cellStyle name="Calc Percent (0) 2 14" xfId="10239" xr:uid="{00000000-0005-0000-0000-000044450000}"/>
    <cellStyle name="Calc Percent (0) 2 15" xfId="10240" xr:uid="{00000000-0005-0000-0000-000045450000}"/>
    <cellStyle name="Calc Percent (0) 2 16" xfId="10241" xr:uid="{00000000-0005-0000-0000-000046450000}"/>
    <cellStyle name="Calc Percent (0) 2 17" xfId="10242" xr:uid="{00000000-0005-0000-0000-000047450000}"/>
    <cellStyle name="Calc Percent (0) 2 18" xfId="10243" xr:uid="{00000000-0005-0000-0000-000048450000}"/>
    <cellStyle name="Calc Percent (0) 2 19" xfId="10244" xr:uid="{00000000-0005-0000-0000-000049450000}"/>
    <cellStyle name="Calc Percent (0) 2 2" xfId="10245" xr:uid="{00000000-0005-0000-0000-00004A450000}"/>
    <cellStyle name="Calc Percent (0) 2 2 10" xfId="10246" xr:uid="{00000000-0005-0000-0000-00004B450000}"/>
    <cellStyle name="Calc Percent (0) 2 2 11" xfId="10247" xr:uid="{00000000-0005-0000-0000-00004C450000}"/>
    <cellStyle name="Calc Percent (0) 2 2 12" xfId="10248" xr:uid="{00000000-0005-0000-0000-00004D450000}"/>
    <cellStyle name="Calc Percent (0) 2 2 13" xfId="10249" xr:uid="{00000000-0005-0000-0000-00004E450000}"/>
    <cellStyle name="Calc Percent (0) 2 2 14" xfId="10250" xr:uid="{00000000-0005-0000-0000-00004F450000}"/>
    <cellStyle name="Calc Percent (0) 2 2 15" xfId="10251" xr:uid="{00000000-0005-0000-0000-000050450000}"/>
    <cellStyle name="Calc Percent (0) 2 2 16" xfId="10252" xr:uid="{00000000-0005-0000-0000-000051450000}"/>
    <cellStyle name="Calc Percent (0) 2 2 17" xfId="10253" xr:uid="{00000000-0005-0000-0000-000052450000}"/>
    <cellStyle name="Calc Percent (0) 2 2 2" xfId="10254" xr:uid="{00000000-0005-0000-0000-000053450000}"/>
    <cellStyle name="Calc Percent (0) 2 2 2 10" xfId="10255" xr:uid="{00000000-0005-0000-0000-000054450000}"/>
    <cellStyle name="Calc Percent (0) 2 2 2 11" xfId="10256" xr:uid="{00000000-0005-0000-0000-000055450000}"/>
    <cellStyle name="Calc Percent (0) 2 2 2 12" xfId="10257" xr:uid="{00000000-0005-0000-0000-000056450000}"/>
    <cellStyle name="Calc Percent (0) 2 2 2 13" xfId="10258" xr:uid="{00000000-0005-0000-0000-000057450000}"/>
    <cellStyle name="Calc Percent (0) 2 2 2 14" xfId="10259" xr:uid="{00000000-0005-0000-0000-000058450000}"/>
    <cellStyle name="Calc Percent (0) 2 2 2 15" xfId="10260" xr:uid="{00000000-0005-0000-0000-000059450000}"/>
    <cellStyle name="Calc Percent (0) 2 2 2 2" xfId="10261" xr:uid="{00000000-0005-0000-0000-00005A450000}"/>
    <cellStyle name="Calc Percent (0) 2 2 2 2 2" xfId="10262" xr:uid="{00000000-0005-0000-0000-00005B450000}"/>
    <cellStyle name="Calc Percent (0) 2 2 2 2 3" xfId="10263" xr:uid="{00000000-0005-0000-0000-00005C450000}"/>
    <cellStyle name="Calc Percent (0) 2 2 2 2 4" xfId="10264" xr:uid="{00000000-0005-0000-0000-00005D450000}"/>
    <cellStyle name="Calc Percent (0) 2 2 2 2 5" xfId="10265" xr:uid="{00000000-0005-0000-0000-00005E450000}"/>
    <cellStyle name="Calc Percent (0) 2 2 2 2 6" xfId="10266" xr:uid="{00000000-0005-0000-0000-00005F450000}"/>
    <cellStyle name="Calc Percent (0) 2 2 2 2 7" xfId="10267" xr:uid="{00000000-0005-0000-0000-000060450000}"/>
    <cellStyle name="Calc Percent (0) 2 2 2 2 8" xfId="10268" xr:uid="{00000000-0005-0000-0000-000061450000}"/>
    <cellStyle name="Calc Percent (0) 2 2 2 3" xfId="10269" xr:uid="{00000000-0005-0000-0000-000062450000}"/>
    <cellStyle name="Calc Percent (0) 2 2 2 4" xfId="10270" xr:uid="{00000000-0005-0000-0000-000063450000}"/>
    <cellStyle name="Calc Percent (0) 2 2 2 5" xfId="10271" xr:uid="{00000000-0005-0000-0000-000064450000}"/>
    <cellStyle name="Calc Percent (0) 2 2 2 6" xfId="10272" xr:uid="{00000000-0005-0000-0000-000065450000}"/>
    <cellStyle name="Calc Percent (0) 2 2 2 7" xfId="10273" xr:uid="{00000000-0005-0000-0000-000066450000}"/>
    <cellStyle name="Calc Percent (0) 2 2 2 8" xfId="10274" xr:uid="{00000000-0005-0000-0000-000067450000}"/>
    <cellStyle name="Calc Percent (0) 2 2 2 9" xfId="10275" xr:uid="{00000000-0005-0000-0000-000068450000}"/>
    <cellStyle name="Calc Percent (0) 2 2 3" xfId="10276" xr:uid="{00000000-0005-0000-0000-000069450000}"/>
    <cellStyle name="Calc Percent (0) 2 2 3 2" xfId="10277" xr:uid="{00000000-0005-0000-0000-00006A450000}"/>
    <cellStyle name="Calc Percent (0) 2 2 3 3" xfId="10278" xr:uid="{00000000-0005-0000-0000-00006B450000}"/>
    <cellStyle name="Calc Percent (0) 2 2 3 4" xfId="10279" xr:uid="{00000000-0005-0000-0000-00006C450000}"/>
    <cellStyle name="Calc Percent (0) 2 2 3 5" xfId="10280" xr:uid="{00000000-0005-0000-0000-00006D450000}"/>
    <cellStyle name="Calc Percent (0) 2 2 3 6" xfId="10281" xr:uid="{00000000-0005-0000-0000-00006E450000}"/>
    <cellStyle name="Calc Percent (0) 2 2 3 7" xfId="10282" xr:uid="{00000000-0005-0000-0000-00006F450000}"/>
    <cellStyle name="Calc Percent (0) 2 2 3 8" xfId="10283" xr:uid="{00000000-0005-0000-0000-000070450000}"/>
    <cellStyle name="Calc Percent (0) 2 2 4" xfId="10284" xr:uid="{00000000-0005-0000-0000-000071450000}"/>
    <cellStyle name="Calc Percent (0) 2 2 5" xfId="10285" xr:uid="{00000000-0005-0000-0000-000072450000}"/>
    <cellStyle name="Calc Percent (0) 2 2 6" xfId="10286" xr:uid="{00000000-0005-0000-0000-000073450000}"/>
    <cellStyle name="Calc Percent (0) 2 2 7" xfId="10287" xr:uid="{00000000-0005-0000-0000-000074450000}"/>
    <cellStyle name="Calc Percent (0) 2 2 8" xfId="10288" xr:uid="{00000000-0005-0000-0000-000075450000}"/>
    <cellStyle name="Calc Percent (0) 2 2 9" xfId="10289" xr:uid="{00000000-0005-0000-0000-000076450000}"/>
    <cellStyle name="Calc Percent (0) 2 3" xfId="10290" xr:uid="{00000000-0005-0000-0000-000077450000}"/>
    <cellStyle name="Calc Percent (0) 2 3 2" xfId="10291" xr:uid="{00000000-0005-0000-0000-000078450000}"/>
    <cellStyle name="Calc Percent (0) 2 3 3" xfId="10292" xr:uid="{00000000-0005-0000-0000-000079450000}"/>
    <cellStyle name="Calc Percent (0) 2 3 4" xfId="10293" xr:uid="{00000000-0005-0000-0000-00007A450000}"/>
    <cellStyle name="Calc Percent (0) 2 3 5" xfId="10294" xr:uid="{00000000-0005-0000-0000-00007B450000}"/>
    <cellStyle name="Calc Percent (0) 2 3 6" xfId="10295" xr:uid="{00000000-0005-0000-0000-00007C450000}"/>
    <cellStyle name="Calc Percent (0) 2 3 7" xfId="10296" xr:uid="{00000000-0005-0000-0000-00007D450000}"/>
    <cellStyle name="Calc Percent (0) 2 3 8" xfId="10297" xr:uid="{00000000-0005-0000-0000-00007E450000}"/>
    <cellStyle name="Calc Percent (0) 2 4" xfId="10298" xr:uid="{00000000-0005-0000-0000-00007F450000}"/>
    <cellStyle name="Calc Percent (0) 2 4 2" xfId="10299" xr:uid="{00000000-0005-0000-0000-000080450000}"/>
    <cellStyle name="Calc Percent (0) 2 4 3" xfId="10300" xr:uid="{00000000-0005-0000-0000-000081450000}"/>
    <cellStyle name="Calc Percent (0) 2 4 4" xfId="10301" xr:uid="{00000000-0005-0000-0000-000082450000}"/>
    <cellStyle name="Calc Percent (0) 2 4 5" xfId="10302" xr:uid="{00000000-0005-0000-0000-000083450000}"/>
    <cellStyle name="Calc Percent (0) 2 4 6" xfId="10303" xr:uid="{00000000-0005-0000-0000-000084450000}"/>
    <cellStyle name="Calc Percent (0) 2 4 7" xfId="10304" xr:uid="{00000000-0005-0000-0000-000085450000}"/>
    <cellStyle name="Calc Percent (0) 2 4 8" xfId="10305" xr:uid="{00000000-0005-0000-0000-000086450000}"/>
    <cellStyle name="Calc Percent (0) 2 5" xfId="10306" xr:uid="{00000000-0005-0000-0000-000087450000}"/>
    <cellStyle name="Calc Percent (0) 2 5 2" xfId="10307" xr:uid="{00000000-0005-0000-0000-000088450000}"/>
    <cellStyle name="Calc Percent (0) 2 5 3" xfId="10308" xr:uid="{00000000-0005-0000-0000-000089450000}"/>
    <cellStyle name="Calc Percent (0) 2 5 4" xfId="10309" xr:uid="{00000000-0005-0000-0000-00008A450000}"/>
    <cellStyle name="Calc Percent (0) 2 5 5" xfId="10310" xr:uid="{00000000-0005-0000-0000-00008B450000}"/>
    <cellStyle name="Calc Percent (0) 2 5 6" xfId="10311" xr:uid="{00000000-0005-0000-0000-00008C450000}"/>
    <cellStyle name="Calc Percent (0) 2 5 7" xfId="10312" xr:uid="{00000000-0005-0000-0000-00008D450000}"/>
    <cellStyle name="Calc Percent (0) 2 5 8" xfId="10313" xr:uid="{00000000-0005-0000-0000-00008E450000}"/>
    <cellStyle name="Calc Percent (0) 2 6" xfId="10314" xr:uid="{00000000-0005-0000-0000-00008F450000}"/>
    <cellStyle name="Calc Percent (0) 2 6 2" xfId="10315" xr:uid="{00000000-0005-0000-0000-000090450000}"/>
    <cellStyle name="Calc Percent (0) 2 6 3" xfId="10316" xr:uid="{00000000-0005-0000-0000-000091450000}"/>
    <cellStyle name="Calc Percent (0) 2 6 4" xfId="10317" xr:uid="{00000000-0005-0000-0000-000092450000}"/>
    <cellStyle name="Calc Percent (0) 2 6 5" xfId="10318" xr:uid="{00000000-0005-0000-0000-000093450000}"/>
    <cellStyle name="Calc Percent (0) 2 6 6" xfId="10319" xr:uid="{00000000-0005-0000-0000-000094450000}"/>
    <cellStyle name="Calc Percent (0) 2 6 7" xfId="10320" xr:uid="{00000000-0005-0000-0000-000095450000}"/>
    <cellStyle name="Calc Percent (0) 2 6 8" xfId="10321" xr:uid="{00000000-0005-0000-0000-000096450000}"/>
    <cellStyle name="Calc Percent (0) 2 7" xfId="10322" xr:uid="{00000000-0005-0000-0000-000097450000}"/>
    <cellStyle name="Calc Percent (0) 2 7 2" xfId="10323" xr:uid="{00000000-0005-0000-0000-000098450000}"/>
    <cellStyle name="Calc Percent (0) 2 7 3" xfId="10324" xr:uid="{00000000-0005-0000-0000-000099450000}"/>
    <cellStyle name="Calc Percent (0) 2 7 4" xfId="10325" xr:uid="{00000000-0005-0000-0000-00009A450000}"/>
    <cellStyle name="Calc Percent (0) 2 7 5" xfId="10326" xr:uid="{00000000-0005-0000-0000-00009B450000}"/>
    <cellStyle name="Calc Percent (0) 2 7 6" xfId="10327" xr:uid="{00000000-0005-0000-0000-00009C450000}"/>
    <cellStyle name="Calc Percent (0) 2 7 7" xfId="10328" xr:uid="{00000000-0005-0000-0000-00009D450000}"/>
    <cellStyle name="Calc Percent (0) 2 7 8" xfId="10329" xr:uid="{00000000-0005-0000-0000-00009E450000}"/>
    <cellStyle name="Calc Percent (0) 2 8" xfId="10330" xr:uid="{00000000-0005-0000-0000-00009F450000}"/>
    <cellStyle name="Calc Percent (0) 2 8 2" xfId="10331" xr:uid="{00000000-0005-0000-0000-0000A0450000}"/>
    <cellStyle name="Calc Percent (0) 2 8 3" xfId="10332" xr:uid="{00000000-0005-0000-0000-0000A1450000}"/>
    <cellStyle name="Calc Percent (0) 2 8 4" xfId="10333" xr:uid="{00000000-0005-0000-0000-0000A2450000}"/>
    <cellStyle name="Calc Percent (0) 2 8 5" xfId="10334" xr:uid="{00000000-0005-0000-0000-0000A3450000}"/>
    <cellStyle name="Calc Percent (0) 2 8 6" xfId="10335" xr:uid="{00000000-0005-0000-0000-0000A4450000}"/>
    <cellStyle name="Calc Percent (0) 2 8 7" xfId="10336" xr:uid="{00000000-0005-0000-0000-0000A5450000}"/>
    <cellStyle name="Calc Percent (0) 2 8 8" xfId="10337" xr:uid="{00000000-0005-0000-0000-0000A6450000}"/>
    <cellStyle name="Calc Percent (0) 2 9" xfId="10338" xr:uid="{00000000-0005-0000-0000-0000A7450000}"/>
    <cellStyle name="Calc Percent (0) 2 9 2" xfId="10339" xr:uid="{00000000-0005-0000-0000-0000A8450000}"/>
    <cellStyle name="Calc Percent (0) 2 9 3" xfId="10340" xr:uid="{00000000-0005-0000-0000-0000A9450000}"/>
    <cellStyle name="Calc Percent (0) 2 9 4" xfId="10341" xr:uid="{00000000-0005-0000-0000-0000AA450000}"/>
    <cellStyle name="Calc Percent (0) 2 9 5" xfId="10342" xr:uid="{00000000-0005-0000-0000-0000AB450000}"/>
    <cellStyle name="Calc Percent (0) 2 9 6" xfId="10343" xr:uid="{00000000-0005-0000-0000-0000AC450000}"/>
    <cellStyle name="Calc Percent (0) 2 9 7" xfId="10344" xr:uid="{00000000-0005-0000-0000-0000AD450000}"/>
    <cellStyle name="Calc Percent (0) 2 9 8" xfId="10345" xr:uid="{00000000-0005-0000-0000-0000AE450000}"/>
    <cellStyle name="Calc Percent (0) 2 9 9" xfId="10346" xr:uid="{00000000-0005-0000-0000-0000AF450000}"/>
    <cellStyle name="Calc Percent (0) 20" xfId="10347" xr:uid="{00000000-0005-0000-0000-0000B0450000}"/>
    <cellStyle name="Calc Percent (0) 21" xfId="10348" xr:uid="{00000000-0005-0000-0000-0000B1450000}"/>
    <cellStyle name="Calc Percent (0) 22" xfId="10349" xr:uid="{00000000-0005-0000-0000-0000B2450000}"/>
    <cellStyle name="Calc Percent (0) 23" xfId="10350" xr:uid="{00000000-0005-0000-0000-0000B3450000}"/>
    <cellStyle name="Calc Percent (0) 24" xfId="10351" xr:uid="{00000000-0005-0000-0000-0000B4450000}"/>
    <cellStyle name="Calc Percent (0) 25" xfId="10352" xr:uid="{00000000-0005-0000-0000-0000B5450000}"/>
    <cellStyle name="Calc Percent (0) 26" xfId="10353" xr:uid="{00000000-0005-0000-0000-0000B6450000}"/>
    <cellStyle name="Calc Percent (0) 27" xfId="10354" xr:uid="{00000000-0005-0000-0000-0000B7450000}"/>
    <cellStyle name="Calc Percent (0) 28" xfId="10355" xr:uid="{00000000-0005-0000-0000-0000B8450000}"/>
    <cellStyle name="Calc Percent (0) 29" xfId="10356" xr:uid="{00000000-0005-0000-0000-0000B9450000}"/>
    <cellStyle name="Calc Percent (0) 3" xfId="10357" xr:uid="{00000000-0005-0000-0000-0000BA450000}"/>
    <cellStyle name="Calc Percent (0) 30" xfId="10358" xr:uid="{00000000-0005-0000-0000-0000BB450000}"/>
    <cellStyle name="Calc Percent (0) 31" xfId="10359" xr:uid="{00000000-0005-0000-0000-0000BC450000}"/>
    <cellStyle name="Calc Percent (0) 32" xfId="10360" xr:uid="{00000000-0005-0000-0000-0000BD450000}"/>
    <cellStyle name="Calc Percent (0) 33" xfId="10361" xr:uid="{00000000-0005-0000-0000-0000BE450000}"/>
    <cellStyle name="Calc Percent (0) 34" xfId="10362" xr:uid="{00000000-0005-0000-0000-0000BF450000}"/>
    <cellStyle name="Calc Percent (0) 35" xfId="10363" xr:uid="{00000000-0005-0000-0000-0000C0450000}"/>
    <cellStyle name="Calc Percent (0) 36" xfId="10364" xr:uid="{00000000-0005-0000-0000-0000C1450000}"/>
    <cellStyle name="Calc Percent (0) 4" xfId="10365" xr:uid="{00000000-0005-0000-0000-0000C2450000}"/>
    <cellStyle name="Calc Percent (0) 5" xfId="10366" xr:uid="{00000000-0005-0000-0000-0000C3450000}"/>
    <cellStyle name="Calc Percent (0) 6" xfId="10367" xr:uid="{00000000-0005-0000-0000-0000C4450000}"/>
    <cellStyle name="Calc Percent (0) 7" xfId="10368" xr:uid="{00000000-0005-0000-0000-0000C5450000}"/>
    <cellStyle name="Calc Percent (0) 8" xfId="10369" xr:uid="{00000000-0005-0000-0000-0000C6450000}"/>
    <cellStyle name="Calc Percent (0) 8 2" xfId="10370" xr:uid="{00000000-0005-0000-0000-0000C7450000}"/>
    <cellStyle name="Calc Percent (0) 8 3" xfId="10371" xr:uid="{00000000-0005-0000-0000-0000C8450000}"/>
    <cellStyle name="Calc Percent (0) 8 4" xfId="10372" xr:uid="{00000000-0005-0000-0000-0000C9450000}"/>
    <cellStyle name="Calc Percent (0) 8 5" xfId="10373" xr:uid="{00000000-0005-0000-0000-0000CA450000}"/>
    <cellStyle name="Calc Percent (0) 8 6" xfId="10374" xr:uid="{00000000-0005-0000-0000-0000CB450000}"/>
    <cellStyle name="Calc Percent (0) 8 7" xfId="10375" xr:uid="{00000000-0005-0000-0000-0000CC450000}"/>
    <cellStyle name="Calc Percent (0) 8 8" xfId="10376" xr:uid="{00000000-0005-0000-0000-0000CD450000}"/>
    <cellStyle name="Calc Percent (0) 9" xfId="10377" xr:uid="{00000000-0005-0000-0000-0000CE450000}"/>
    <cellStyle name="Calc Percent (1)" xfId="10378" xr:uid="{00000000-0005-0000-0000-0000CF450000}"/>
    <cellStyle name="Calc Percent (1) 10" xfId="10379" xr:uid="{00000000-0005-0000-0000-0000D0450000}"/>
    <cellStyle name="Calc Percent (1) 10 10" xfId="10380" xr:uid="{00000000-0005-0000-0000-0000D1450000}"/>
    <cellStyle name="Calc Percent (1) 10 11" xfId="10381" xr:uid="{00000000-0005-0000-0000-0000D2450000}"/>
    <cellStyle name="Calc Percent (1) 10 2" xfId="10382" xr:uid="{00000000-0005-0000-0000-0000D3450000}"/>
    <cellStyle name="Calc Percent (1) 10 2 2" xfId="10383" xr:uid="{00000000-0005-0000-0000-0000D4450000}"/>
    <cellStyle name="Calc Percent (1) 10 2 3" xfId="10384" xr:uid="{00000000-0005-0000-0000-0000D5450000}"/>
    <cellStyle name="Calc Percent (1) 10 2 4" xfId="10385" xr:uid="{00000000-0005-0000-0000-0000D6450000}"/>
    <cellStyle name="Calc Percent (1) 10 2 5" xfId="10386" xr:uid="{00000000-0005-0000-0000-0000D7450000}"/>
    <cellStyle name="Calc Percent (1) 10 2 6" xfId="10387" xr:uid="{00000000-0005-0000-0000-0000D8450000}"/>
    <cellStyle name="Calc Percent (1) 10 2 7" xfId="10388" xr:uid="{00000000-0005-0000-0000-0000D9450000}"/>
    <cellStyle name="Calc Percent (1) 10 2 8" xfId="10389" xr:uid="{00000000-0005-0000-0000-0000DA450000}"/>
    <cellStyle name="Calc Percent (1) 10 2 9" xfId="10390" xr:uid="{00000000-0005-0000-0000-0000DB450000}"/>
    <cellStyle name="Calc Percent (1) 10 3" xfId="10391" xr:uid="{00000000-0005-0000-0000-0000DC450000}"/>
    <cellStyle name="Calc Percent (1) 10 3 2" xfId="10392" xr:uid="{00000000-0005-0000-0000-0000DD450000}"/>
    <cellStyle name="Calc Percent (1) 10 3 3" xfId="10393" xr:uid="{00000000-0005-0000-0000-0000DE450000}"/>
    <cellStyle name="Calc Percent (1) 10 3 4" xfId="10394" xr:uid="{00000000-0005-0000-0000-0000DF450000}"/>
    <cellStyle name="Calc Percent (1) 10 3 5" xfId="10395" xr:uid="{00000000-0005-0000-0000-0000E0450000}"/>
    <cellStyle name="Calc Percent (1) 10 3 6" xfId="10396" xr:uid="{00000000-0005-0000-0000-0000E1450000}"/>
    <cellStyle name="Calc Percent (1) 10 3 7" xfId="10397" xr:uid="{00000000-0005-0000-0000-0000E2450000}"/>
    <cellStyle name="Calc Percent (1) 10 3 8" xfId="10398" xr:uid="{00000000-0005-0000-0000-0000E3450000}"/>
    <cellStyle name="Calc Percent (1) 10 3 9" xfId="10399" xr:uid="{00000000-0005-0000-0000-0000E4450000}"/>
    <cellStyle name="Calc Percent (1) 10 4" xfId="10400" xr:uid="{00000000-0005-0000-0000-0000E5450000}"/>
    <cellStyle name="Calc Percent (1) 10 5" xfId="10401" xr:uid="{00000000-0005-0000-0000-0000E6450000}"/>
    <cellStyle name="Calc Percent (1) 10 6" xfId="10402" xr:uid="{00000000-0005-0000-0000-0000E7450000}"/>
    <cellStyle name="Calc Percent (1) 10 7" xfId="10403" xr:uid="{00000000-0005-0000-0000-0000E8450000}"/>
    <cellStyle name="Calc Percent (1) 10 8" xfId="10404" xr:uid="{00000000-0005-0000-0000-0000E9450000}"/>
    <cellStyle name="Calc Percent (1) 10 9" xfId="10405" xr:uid="{00000000-0005-0000-0000-0000EA450000}"/>
    <cellStyle name="Calc Percent (1) 11" xfId="10406" xr:uid="{00000000-0005-0000-0000-0000EB450000}"/>
    <cellStyle name="Calc Percent (1) 11 2" xfId="10407" xr:uid="{00000000-0005-0000-0000-0000EC450000}"/>
    <cellStyle name="Calc Percent (1) 11 3" xfId="10408" xr:uid="{00000000-0005-0000-0000-0000ED450000}"/>
    <cellStyle name="Calc Percent (1) 11 4" xfId="10409" xr:uid="{00000000-0005-0000-0000-0000EE450000}"/>
    <cellStyle name="Calc Percent (1) 11 5" xfId="10410" xr:uid="{00000000-0005-0000-0000-0000EF450000}"/>
    <cellStyle name="Calc Percent (1) 11 6" xfId="10411" xr:uid="{00000000-0005-0000-0000-0000F0450000}"/>
    <cellStyle name="Calc Percent (1) 11 7" xfId="10412" xr:uid="{00000000-0005-0000-0000-0000F1450000}"/>
    <cellStyle name="Calc Percent (1) 11 8" xfId="10413" xr:uid="{00000000-0005-0000-0000-0000F2450000}"/>
    <cellStyle name="Calc Percent (1) 11 9" xfId="10414" xr:uid="{00000000-0005-0000-0000-0000F3450000}"/>
    <cellStyle name="Calc Percent (1) 12" xfId="10415" xr:uid="{00000000-0005-0000-0000-0000F4450000}"/>
    <cellStyle name="Calc Percent (1) 12 2" xfId="10416" xr:uid="{00000000-0005-0000-0000-0000F5450000}"/>
    <cellStyle name="Calc Percent (1) 12 3" xfId="10417" xr:uid="{00000000-0005-0000-0000-0000F6450000}"/>
    <cellStyle name="Calc Percent (1) 12 4" xfId="10418" xr:uid="{00000000-0005-0000-0000-0000F7450000}"/>
    <cellStyle name="Calc Percent (1) 12 5" xfId="10419" xr:uid="{00000000-0005-0000-0000-0000F8450000}"/>
    <cellStyle name="Calc Percent (1) 12 6" xfId="10420" xr:uid="{00000000-0005-0000-0000-0000F9450000}"/>
    <cellStyle name="Calc Percent (1) 12 7" xfId="10421" xr:uid="{00000000-0005-0000-0000-0000FA450000}"/>
    <cellStyle name="Calc Percent (1) 12 8" xfId="10422" xr:uid="{00000000-0005-0000-0000-0000FB450000}"/>
    <cellStyle name="Calc Percent (1) 12 9" xfId="10423" xr:uid="{00000000-0005-0000-0000-0000FC450000}"/>
    <cellStyle name="Calc Percent (1) 13" xfId="10424" xr:uid="{00000000-0005-0000-0000-0000FD450000}"/>
    <cellStyle name="Calc Percent (1) 13 10" xfId="10425" xr:uid="{00000000-0005-0000-0000-0000FE450000}"/>
    <cellStyle name="Calc Percent (1) 13 11" xfId="10426" xr:uid="{00000000-0005-0000-0000-0000FF450000}"/>
    <cellStyle name="Calc Percent (1) 13 12" xfId="10427" xr:uid="{00000000-0005-0000-0000-000000460000}"/>
    <cellStyle name="Calc Percent (1) 13 13" xfId="10428" xr:uid="{00000000-0005-0000-0000-000001460000}"/>
    <cellStyle name="Calc Percent (1) 13 14" xfId="10429" xr:uid="{00000000-0005-0000-0000-000002460000}"/>
    <cellStyle name="Calc Percent (1) 13 15" xfId="10430" xr:uid="{00000000-0005-0000-0000-000003460000}"/>
    <cellStyle name="Calc Percent (1) 13 16" xfId="10431" xr:uid="{00000000-0005-0000-0000-000004460000}"/>
    <cellStyle name="Calc Percent (1) 13 2" xfId="10432" xr:uid="{00000000-0005-0000-0000-000005460000}"/>
    <cellStyle name="Calc Percent (1) 13 3" xfId="10433" xr:uid="{00000000-0005-0000-0000-000006460000}"/>
    <cellStyle name="Calc Percent (1) 13 4" xfId="10434" xr:uid="{00000000-0005-0000-0000-000007460000}"/>
    <cellStyle name="Calc Percent (1) 13 5" xfId="10435" xr:uid="{00000000-0005-0000-0000-000008460000}"/>
    <cellStyle name="Calc Percent (1) 13 6" xfId="10436" xr:uid="{00000000-0005-0000-0000-000009460000}"/>
    <cellStyle name="Calc Percent (1) 13 7" xfId="10437" xr:uid="{00000000-0005-0000-0000-00000A460000}"/>
    <cellStyle name="Calc Percent (1) 13 8" xfId="10438" xr:uid="{00000000-0005-0000-0000-00000B460000}"/>
    <cellStyle name="Calc Percent (1) 13 9" xfId="10439" xr:uid="{00000000-0005-0000-0000-00000C460000}"/>
    <cellStyle name="Calc Percent (1) 14" xfId="10440" xr:uid="{00000000-0005-0000-0000-00000D460000}"/>
    <cellStyle name="Calc Percent (1) 14 10" xfId="10441" xr:uid="{00000000-0005-0000-0000-00000E460000}"/>
    <cellStyle name="Calc Percent (1) 14 11" xfId="10442" xr:uid="{00000000-0005-0000-0000-00000F460000}"/>
    <cellStyle name="Calc Percent (1) 14 12" xfId="10443" xr:uid="{00000000-0005-0000-0000-000010460000}"/>
    <cellStyle name="Calc Percent (1) 14 13" xfId="10444" xr:uid="{00000000-0005-0000-0000-000011460000}"/>
    <cellStyle name="Calc Percent (1) 14 14" xfId="10445" xr:uid="{00000000-0005-0000-0000-000012460000}"/>
    <cellStyle name="Calc Percent (1) 14 15" xfId="10446" xr:uid="{00000000-0005-0000-0000-000013460000}"/>
    <cellStyle name="Calc Percent (1) 14 16" xfId="10447" xr:uid="{00000000-0005-0000-0000-000014460000}"/>
    <cellStyle name="Calc Percent (1) 14 2" xfId="10448" xr:uid="{00000000-0005-0000-0000-000015460000}"/>
    <cellStyle name="Calc Percent (1) 14 3" xfId="10449" xr:uid="{00000000-0005-0000-0000-000016460000}"/>
    <cellStyle name="Calc Percent (1) 14 4" xfId="10450" xr:uid="{00000000-0005-0000-0000-000017460000}"/>
    <cellStyle name="Calc Percent (1) 14 5" xfId="10451" xr:uid="{00000000-0005-0000-0000-000018460000}"/>
    <cellStyle name="Calc Percent (1) 14 6" xfId="10452" xr:uid="{00000000-0005-0000-0000-000019460000}"/>
    <cellStyle name="Calc Percent (1) 14 7" xfId="10453" xr:uid="{00000000-0005-0000-0000-00001A460000}"/>
    <cellStyle name="Calc Percent (1) 14 8" xfId="10454" xr:uid="{00000000-0005-0000-0000-00001B460000}"/>
    <cellStyle name="Calc Percent (1) 14 9" xfId="10455" xr:uid="{00000000-0005-0000-0000-00001C460000}"/>
    <cellStyle name="Calc Percent (1) 15" xfId="10456" xr:uid="{00000000-0005-0000-0000-00001D460000}"/>
    <cellStyle name="Calc Percent (1) 15 10" xfId="10457" xr:uid="{00000000-0005-0000-0000-00001E460000}"/>
    <cellStyle name="Calc Percent (1) 15 11" xfId="10458" xr:uid="{00000000-0005-0000-0000-00001F460000}"/>
    <cellStyle name="Calc Percent (1) 15 12" xfId="10459" xr:uid="{00000000-0005-0000-0000-000020460000}"/>
    <cellStyle name="Calc Percent (1) 15 13" xfId="10460" xr:uid="{00000000-0005-0000-0000-000021460000}"/>
    <cellStyle name="Calc Percent (1) 15 14" xfId="10461" xr:uid="{00000000-0005-0000-0000-000022460000}"/>
    <cellStyle name="Calc Percent (1) 15 15" xfId="10462" xr:uid="{00000000-0005-0000-0000-000023460000}"/>
    <cellStyle name="Calc Percent (1) 15 16" xfId="10463" xr:uid="{00000000-0005-0000-0000-000024460000}"/>
    <cellStyle name="Calc Percent (1) 15 2" xfId="10464" xr:uid="{00000000-0005-0000-0000-000025460000}"/>
    <cellStyle name="Calc Percent (1) 15 3" xfId="10465" xr:uid="{00000000-0005-0000-0000-000026460000}"/>
    <cellStyle name="Calc Percent (1) 15 4" xfId="10466" xr:uid="{00000000-0005-0000-0000-000027460000}"/>
    <cellStyle name="Calc Percent (1) 15 5" xfId="10467" xr:uid="{00000000-0005-0000-0000-000028460000}"/>
    <cellStyle name="Calc Percent (1) 15 6" xfId="10468" xr:uid="{00000000-0005-0000-0000-000029460000}"/>
    <cellStyle name="Calc Percent (1) 15 7" xfId="10469" xr:uid="{00000000-0005-0000-0000-00002A460000}"/>
    <cellStyle name="Calc Percent (1) 15 8" xfId="10470" xr:uid="{00000000-0005-0000-0000-00002B460000}"/>
    <cellStyle name="Calc Percent (1) 15 9" xfId="10471" xr:uid="{00000000-0005-0000-0000-00002C460000}"/>
    <cellStyle name="Calc Percent (1) 16" xfId="10472" xr:uid="{00000000-0005-0000-0000-00002D460000}"/>
    <cellStyle name="Calc Percent (1) 16 2" xfId="10473" xr:uid="{00000000-0005-0000-0000-00002E460000}"/>
    <cellStyle name="Calc Percent (1) 16 3" xfId="10474" xr:uid="{00000000-0005-0000-0000-00002F460000}"/>
    <cellStyle name="Calc Percent (1) 16 4" xfId="10475" xr:uid="{00000000-0005-0000-0000-000030460000}"/>
    <cellStyle name="Calc Percent (1) 16 5" xfId="10476" xr:uid="{00000000-0005-0000-0000-000031460000}"/>
    <cellStyle name="Calc Percent (1) 16 6" xfId="10477" xr:uid="{00000000-0005-0000-0000-000032460000}"/>
    <cellStyle name="Calc Percent (1) 16 7" xfId="10478" xr:uid="{00000000-0005-0000-0000-000033460000}"/>
    <cellStyle name="Calc Percent (1) 16 8" xfId="10479" xr:uid="{00000000-0005-0000-0000-000034460000}"/>
    <cellStyle name="Calc Percent (1) 16 9" xfId="10480" xr:uid="{00000000-0005-0000-0000-000035460000}"/>
    <cellStyle name="Calc Percent (1) 17" xfId="10481" xr:uid="{00000000-0005-0000-0000-000036460000}"/>
    <cellStyle name="Calc Percent (1) 17 2" xfId="10482" xr:uid="{00000000-0005-0000-0000-000037460000}"/>
    <cellStyle name="Calc Percent (1) 17 3" xfId="10483" xr:uid="{00000000-0005-0000-0000-000038460000}"/>
    <cellStyle name="Calc Percent (1) 17 4" xfId="10484" xr:uid="{00000000-0005-0000-0000-000039460000}"/>
    <cellStyle name="Calc Percent (1) 17 5" xfId="10485" xr:uid="{00000000-0005-0000-0000-00003A460000}"/>
    <cellStyle name="Calc Percent (1) 17 6" xfId="10486" xr:uid="{00000000-0005-0000-0000-00003B460000}"/>
    <cellStyle name="Calc Percent (1) 17 7" xfId="10487" xr:uid="{00000000-0005-0000-0000-00003C460000}"/>
    <cellStyle name="Calc Percent (1) 17 8" xfId="10488" xr:uid="{00000000-0005-0000-0000-00003D460000}"/>
    <cellStyle name="Calc Percent (1) 17 9" xfId="10489" xr:uid="{00000000-0005-0000-0000-00003E460000}"/>
    <cellStyle name="Calc Percent (1) 18" xfId="10490" xr:uid="{00000000-0005-0000-0000-00003F460000}"/>
    <cellStyle name="Calc Percent (1) 18 2" xfId="10491" xr:uid="{00000000-0005-0000-0000-000040460000}"/>
    <cellStyle name="Calc Percent (1) 18 3" xfId="10492" xr:uid="{00000000-0005-0000-0000-000041460000}"/>
    <cellStyle name="Calc Percent (1) 18 4" xfId="10493" xr:uid="{00000000-0005-0000-0000-000042460000}"/>
    <cellStyle name="Calc Percent (1) 18 5" xfId="10494" xr:uid="{00000000-0005-0000-0000-000043460000}"/>
    <cellStyle name="Calc Percent (1) 18 6" xfId="10495" xr:uid="{00000000-0005-0000-0000-000044460000}"/>
    <cellStyle name="Calc Percent (1) 18 7" xfId="10496" xr:uid="{00000000-0005-0000-0000-000045460000}"/>
    <cellStyle name="Calc Percent (1) 18 8" xfId="10497" xr:uid="{00000000-0005-0000-0000-000046460000}"/>
    <cellStyle name="Calc Percent (1) 18 9" xfId="10498" xr:uid="{00000000-0005-0000-0000-000047460000}"/>
    <cellStyle name="Calc Percent (1) 19" xfId="10499" xr:uid="{00000000-0005-0000-0000-000048460000}"/>
    <cellStyle name="Calc Percent (1) 19 2" xfId="10500" xr:uid="{00000000-0005-0000-0000-000049460000}"/>
    <cellStyle name="Calc Percent (1) 19 3" xfId="10501" xr:uid="{00000000-0005-0000-0000-00004A460000}"/>
    <cellStyle name="Calc Percent (1) 19 4" xfId="10502" xr:uid="{00000000-0005-0000-0000-00004B460000}"/>
    <cellStyle name="Calc Percent (1) 19 5" xfId="10503" xr:uid="{00000000-0005-0000-0000-00004C460000}"/>
    <cellStyle name="Calc Percent (1) 19 6" xfId="10504" xr:uid="{00000000-0005-0000-0000-00004D460000}"/>
    <cellStyle name="Calc Percent (1) 19 7" xfId="10505" xr:uid="{00000000-0005-0000-0000-00004E460000}"/>
    <cellStyle name="Calc Percent (1) 19 8" xfId="10506" xr:uid="{00000000-0005-0000-0000-00004F460000}"/>
    <cellStyle name="Calc Percent (1) 19 9" xfId="10507" xr:uid="{00000000-0005-0000-0000-000050460000}"/>
    <cellStyle name="Calc Percent (1) 2" xfId="10508" xr:uid="{00000000-0005-0000-0000-000051460000}"/>
    <cellStyle name="Calc Percent (1) 2 10" xfId="10509" xr:uid="{00000000-0005-0000-0000-000052460000}"/>
    <cellStyle name="Calc Percent (1) 2 10 2" xfId="10510" xr:uid="{00000000-0005-0000-0000-000053460000}"/>
    <cellStyle name="Calc Percent (1) 2 10 3" xfId="10511" xr:uid="{00000000-0005-0000-0000-000054460000}"/>
    <cellStyle name="Calc Percent (1) 2 11" xfId="10512" xr:uid="{00000000-0005-0000-0000-000055460000}"/>
    <cellStyle name="Calc Percent (1) 2 11 2" xfId="10513" xr:uid="{00000000-0005-0000-0000-000056460000}"/>
    <cellStyle name="Calc Percent (1) 2 11 2 2" xfId="10514" xr:uid="{00000000-0005-0000-0000-000057460000}"/>
    <cellStyle name="Calc Percent (1) 2 11 2 3" xfId="10515" xr:uid="{00000000-0005-0000-0000-000058460000}"/>
    <cellStyle name="Calc Percent (1) 2 11 3" xfId="10516" xr:uid="{00000000-0005-0000-0000-000059460000}"/>
    <cellStyle name="Calc Percent (1) 2 12" xfId="10517" xr:uid="{00000000-0005-0000-0000-00005A460000}"/>
    <cellStyle name="Calc Percent (1) 2 13" xfId="10518" xr:uid="{00000000-0005-0000-0000-00005B460000}"/>
    <cellStyle name="Calc Percent (1) 2 14" xfId="10519" xr:uid="{00000000-0005-0000-0000-00005C460000}"/>
    <cellStyle name="Calc Percent (1) 2 2" xfId="10520" xr:uid="{00000000-0005-0000-0000-00005D460000}"/>
    <cellStyle name="Calc Percent (1) 2 2 10" xfId="10521" xr:uid="{00000000-0005-0000-0000-00005E460000}"/>
    <cellStyle name="Calc Percent (1) 2 2 11" xfId="10522" xr:uid="{00000000-0005-0000-0000-00005F460000}"/>
    <cellStyle name="Calc Percent (1) 2 2 12" xfId="10523" xr:uid="{00000000-0005-0000-0000-000060460000}"/>
    <cellStyle name="Calc Percent (1) 2 2 13" xfId="10524" xr:uid="{00000000-0005-0000-0000-000061460000}"/>
    <cellStyle name="Calc Percent (1) 2 2 14" xfId="10525" xr:uid="{00000000-0005-0000-0000-000062460000}"/>
    <cellStyle name="Calc Percent (1) 2 2 15" xfId="10526" xr:uid="{00000000-0005-0000-0000-000063460000}"/>
    <cellStyle name="Calc Percent (1) 2 2 16" xfId="10527" xr:uid="{00000000-0005-0000-0000-000064460000}"/>
    <cellStyle name="Calc Percent (1) 2 2 17" xfId="10528" xr:uid="{00000000-0005-0000-0000-000065460000}"/>
    <cellStyle name="Calc Percent (1) 2 2 18" xfId="10529" xr:uid="{00000000-0005-0000-0000-000066460000}"/>
    <cellStyle name="Calc Percent (1) 2 2 2" xfId="10530" xr:uid="{00000000-0005-0000-0000-000067460000}"/>
    <cellStyle name="Calc Percent (1) 2 2 2 2" xfId="10531" xr:uid="{00000000-0005-0000-0000-000068460000}"/>
    <cellStyle name="Calc Percent (1) 2 2 2 2 2" xfId="10532" xr:uid="{00000000-0005-0000-0000-000069460000}"/>
    <cellStyle name="Calc Percent (1) 2 2 2 2 3" xfId="10533" xr:uid="{00000000-0005-0000-0000-00006A460000}"/>
    <cellStyle name="Calc Percent (1) 2 2 2 2 4" xfId="10534" xr:uid="{00000000-0005-0000-0000-00006B460000}"/>
    <cellStyle name="Calc Percent (1) 2 2 2 2 5" xfId="10535" xr:uid="{00000000-0005-0000-0000-00006C460000}"/>
    <cellStyle name="Calc Percent (1) 2 2 2 2 6" xfId="10536" xr:uid="{00000000-0005-0000-0000-00006D460000}"/>
    <cellStyle name="Calc Percent (1) 2 2 2 2 7" xfId="10537" xr:uid="{00000000-0005-0000-0000-00006E460000}"/>
    <cellStyle name="Calc Percent (1) 2 2 2 2 8" xfId="10538" xr:uid="{00000000-0005-0000-0000-00006F460000}"/>
    <cellStyle name="Calc Percent (1) 2 2 2 3" xfId="10539" xr:uid="{00000000-0005-0000-0000-000070460000}"/>
    <cellStyle name="Calc Percent (1) 2 2 2 4" xfId="10540" xr:uid="{00000000-0005-0000-0000-000071460000}"/>
    <cellStyle name="Calc Percent (1) 2 2 2 5" xfId="10541" xr:uid="{00000000-0005-0000-0000-000072460000}"/>
    <cellStyle name="Calc Percent (1) 2 2 2 6" xfId="10542" xr:uid="{00000000-0005-0000-0000-000073460000}"/>
    <cellStyle name="Calc Percent (1) 2 2 2 7" xfId="10543" xr:uid="{00000000-0005-0000-0000-000074460000}"/>
    <cellStyle name="Calc Percent (1) 2 2 2 8" xfId="10544" xr:uid="{00000000-0005-0000-0000-000075460000}"/>
    <cellStyle name="Calc Percent (1) 2 2 2 9" xfId="10545" xr:uid="{00000000-0005-0000-0000-000076460000}"/>
    <cellStyle name="Calc Percent (1) 2 2 3" xfId="10546" xr:uid="{00000000-0005-0000-0000-000077460000}"/>
    <cellStyle name="Calc Percent (1) 2 2 3 2" xfId="10547" xr:uid="{00000000-0005-0000-0000-000078460000}"/>
    <cellStyle name="Calc Percent (1) 2 2 3 3" xfId="10548" xr:uid="{00000000-0005-0000-0000-000079460000}"/>
    <cellStyle name="Calc Percent (1) 2 2 3 4" xfId="10549" xr:uid="{00000000-0005-0000-0000-00007A460000}"/>
    <cellStyle name="Calc Percent (1) 2 2 3 5" xfId="10550" xr:uid="{00000000-0005-0000-0000-00007B460000}"/>
    <cellStyle name="Calc Percent (1) 2 2 3 6" xfId="10551" xr:uid="{00000000-0005-0000-0000-00007C460000}"/>
    <cellStyle name="Calc Percent (1) 2 2 3 7" xfId="10552" xr:uid="{00000000-0005-0000-0000-00007D460000}"/>
    <cellStyle name="Calc Percent (1) 2 2 3 8" xfId="10553" xr:uid="{00000000-0005-0000-0000-00007E460000}"/>
    <cellStyle name="Calc Percent (1) 2 2 3 9" xfId="10554" xr:uid="{00000000-0005-0000-0000-00007F460000}"/>
    <cellStyle name="Calc Percent (1) 2 2 4" xfId="10555" xr:uid="{00000000-0005-0000-0000-000080460000}"/>
    <cellStyle name="Calc Percent (1) 2 2 5" xfId="10556" xr:uid="{00000000-0005-0000-0000-000081460000}"/>
    <cellStyle name="Calc Percent (1) 2 2 6" xfId="10557" xr:uid="{00000000-0005-0000-0000-000082460000}"/>
    <cellStyle name="Calc Percent (1) 2 2 7" xfId="10558" xr:uid="{00000000-0005-0000-0000-000083460000}"/>
    <cellStyle name="Calc Percent (1) 2 2 8" xfId="10559" xr:uid="{00000000-0005-0000-0000-000084460000}"/>
    <cellStyle name="Calc Percent (1) 2 2 9" xfId="10560" xr:uid="{00000000-0005-0000-0000-000085460000}"/>
    <cellStyle name="Calc Percent (1) 2 3" xfId="10561" xr:uid="{00000000-0005-0000-0000-000086460000}"/>
    <cellStyle name="Calc Percent (1) 2 3 10" xfId="10562" xr:uid="{00000000-0005-0000-0000-000087460000}"/>
    <cellStyle name="Calc Percent (1) 2 3 11" xfId="10563" xr:uid="{00000000-0005-0000-0000-000088460000}"/>
    <cellStyle name="Calc Percent (1) 2 3 12" xfId="10564" xr:uid="{00000000-0005-0000-0000-000089460000}"/>
    <cellStyle name="Calc Percent (1) 2 3 13" xfId="10565" xr:uid="{00000000-0005-0000-0000-00008A460000}"/>
    <cellStyle name="Calc Percent (1) 2 3 14" xfId="10566" xr:uid="{00000000-0005-0000-0000-00008B460000}"/>
    <cellStyle name="Calc Percent (1) 2 3 15" xfId="10567" xr:uid="{00000000-0005-0000-0000-00008C460000}"/>
    <cellStyle name="Calc Percent (1) 2 3 16" xfId="10568" xr:uid="{00000000-0005-0000-0000-00008D460000}"/>
    <cellStyle name="Calc Percent (1) 2 3 2" xfId="10569" xr:uid="{00000000-0005-0000-0000-00008E460000}"/>
    <cellStyle name="Calc Percent (1) 2 3 2 2" xfId="10570" xr:uid="{00000000-0005-0000-0000-00008F460000}"/>
    <cellStyle name="Calc Percent (1) 2 3 2 2 2" xfId="10571" xr:uid="{00000000-0005-0000-0000-000090460000}"/>
    <cellStyle name="Calc Percent (1) 2 3 2 2 2 2" xfId="10572" xr:uid="{00000000-0005-0000-0000-000091460000}"/>
    <cellStyle name="Calc Percent (1) 2 3 2 2 2 2 2" xfId="10573" xr:uid="{00000000-0005-0000-0000-000092460000}"/>
    <cellStyle name="Calc Percent (1) 2 3 2 2 2 2 3" xfId="10574" xr:uid="{00000000-0005-0000-0000-000093460000}"/>
    <cellStyle name="Calc Percent (1) 2 3 2 2 2 2 4" xfId="10575" xr:uid="{00000000-0005-0000-0000-000094460000}"/>
    <cellStyle name="Calc Percent (1) 2 3 2 2 2 2 5" xfId="10576" xr:uid="{00000000-0005-0000-0000-000095460000}"/>
    <cellStyle name="Calc Percent (1) 2 3 2 2 2 2 6" xfId="10577" xr:uid="{00000000-0005-0000-0000-000096460000}"/>
    <cellStyle name="Calc Percent (1) 2 3 2 2 2 2 7" xfId="10578" xr:uid="{00000000-0005-0000-0000-000097460000}"/>
    <cellStyle name="Calc Percent (1) 2 3 2 2 2 2 8" xfId="10579" xr:uid="{00000000-0005-0000-0000-000098460000}"/>
    <cellStyle name="Calc Percent (1) 2 3 2 2 2 3" xfId="10580" xr:uid="{00000000-0005-0000-0000-000099460000}"/>
    <cellStyle name="Calc Percent (1) 2 3 2 2 2 4" xfId="10581" xr:uid="{00000000-0005-0000-0000-00009A460000}"/>
    <cellStyle name="Calc Percent (1) 2 3 2 2 2 5" xfId="10582" xr:uid="{00000000-0005-0000-0000-00009B460000}"/>
    <cellStyle name="Calc Percent (1) 2 3 2 2 2 6" xfId="10583" xr:uid="{00000000-0005-0000-0000-00009C460000}"/>
    <cellStyle name="Calc Percent (1) 2 3 2 2 2 7" xfId="10584" xr:uid="{00000000-0005-0000-0000-00009D460000}"/>
    <cellStyle name="Calc Percent (1) 2 3 2 2 2 8" xfId="10585" xr:uid="{00000000-0005-0000-0000-00009E460000}"/>
    <cellStyle name="Calc Percent (1) 2 3 2 2 2 9" xfId="10586" xr:uid="{00000000-0005-0000-0000-00009F460000}"/>
    <cellStyle name="Calc Percent (1) 2 3 2 2 3" xfId="10587" xr:uid="{00000000-0005-0000-0000-0000A0460000}"/>
    <cellStyle name="Calc Percent (1) 2 3 2 2 4" xfId="10588" xr:uid="{00000000-0005-0000-0000-0000A1460000}"/>
    <cellStyle name="Calc Percent (1) 2 3 2 2 5" xfId="10589" xr:uid="{00000000-0005-0000-0000-0000A2460000}"/>
    <cellStyle name="Calc Percent (1) 2 3 2 2 6" xfId="10590" xr:uid="{00000000-0005-0000-0000-0000A3460000}"/>
    <cellStyle name="Calc Percent (1) 2 3 2 2 7" xfId="10591" xr:uid="{00000000-0005-0000-0000-0000A4460000}"/>
    <cellStyle name="Calc Percent (1) 2 3 2 2 8" xfId="10592" xr:uid="{00000000-0005-0000-0000-0000A5460000}"/>
    <cellStyle name="Calc Percent (1) 2 3 2 2 9" xfId="10593" xr:uid="{00000000-0005-0000-0000-0000A6460000}"/>
    <cellStyle name="Calc Percent (1) 2 3 2 3" xfId="10594" xr:uid="{00000000-0005-0000-0000-0000A7460000}"/>
    <cellStyle name="Calc Percent (1) 2 3 2 4" xfId="10595" xr:uid="{00000000-0005-0000-0000-0000A8460000}"/>
    <cellStyle name="Calc Percent (1) 2 3 2 5" xfId="10596" xr:uid="{00000000-0005-0000-0000-0000A9460000}"/>
    <cellStyle name="Calc Percent (1) 2 3 2 6" xfId="10597" xr:uid="{00000000-0005-0000-0000-0000AA460000}"/>
    <cellStyle name="Calc Percent (1) 2 3 2 7" xfId="10598" xr:uid="{00000000-0005-0000-0000-0000AB460000}"/>
    <cellStyle name="Calc Percent (1) 2 3 2 8" xfId="10599" xr:uid="{00000000-0005-0000-0000-0000AC460000}"/>
    <cellStyle name="Calc Percent (1) 2 3 2 9" xfId="10600" xr:uid="{00000000-0005-0000-0000-0000AD460000}"/>
    <cellStyle name="Calc Percent (1) 2 3 3" xfId="10601" xr:uid="{00000000-0005-0000-0000-0000AE460000}"/>
    <cellStyle name="Calc Percent (1) 2 3 3 2" xfId="10602" xr:uid="{00000000-0005-0000-0000-0000AF460000}"/>
    <cellStyle name="Calc Percent (1) 2 3 3 3" xfId="10603" xr:uid="{00000000-0005-0000-0000-0000B0460000}"/>
    <cellStyle name="Calc Percent (1) 2 3 3 4" xfId="10604" xr:uid="{00000000-0005-0000-0000-0000B1460000}"/>
    <cellStyle name="Calc Percent (1) 2 3 3 5" xfId="10605" xr:uid="{00000000-0005-0000-0000-0000B2460000}"/>
    <cellStyle name="Calc Percent (1) 2 3 3 6" xfId="10606" xr:uid="{00000000-0005-0000-0000-0000B3460000}"/>
    <cellStyle name="Calc Percent (1) 2 3 3 7" xfId="10607" xr:uid="{00000000-0005-0000-0000-0000B4460000}"/>
    <cellStyle name="Calc Percent (1) 2 3 3 8" xfId="10608" xr:uid="{00000000-0005-0000-0000-0000B5460000}"/>
    <cellStyle name="Calc Percent (1) 2 3 4" xfId="10609" xr:uid="{00000000-0005-0000-0000-0000B6460000}"/>
    <cellStyle name="Calc Percent (1) 2 3 4 2" xfId="10610" xr:uid="{00000000-0005-0000-0000-0000B7460000}"/>
    <cellStyle name="Calc Percent (1) 2 3 4 3" xfId="10611" xr:uid="{00000000-0005-0000-0000-0000B8460000}"/>
    <cellStyle name="Calc Percent (1) 2 3 4 4" xfId="10612" xr:uid="{00000000-0005-0000-0000-0000B9460000}"/>
    <cellStyle name="Calc Percent (1) 2 3 4 5" xfId="10613" xr:uid="{00000000-0005-0000-0000-0000BA460000}"/>
    <cellStyle name="Calc Percent (1) 2 3 4 6" xfId="10614" xr:uid="{00000000-0005-0000-0000-0000BB460000}"/>
    <cellStyle name="Calc Percent (1) 2 3 4 7" xfId="10615" xr:uid="{00000000-0005-0000-0000-0000BC460000}"/>
    <cellStyle name="Calc Percent (1) 2 3 4 8" xfId="10616" xr:uid="{00000000-0005-0000-0000-0000BD460000}"/>
    <cellStyle name="Calc Percent (1) 2 3 5" xfId="10617" xr:uid="{00000000-0005-0000-0000-0000BE460000}"/>
    <cellStyle name="Calc Percent (1) 2 3 5 2" xfId="10618" xr:uid="{00000000-0005-0000-0000-0000BF460000}"/>
    <cellStyle name="Calc Percent (1) 2 3 5 3" xfId="10619" xr:uid="{00000000-0005-0000-0000-0000C0460000}"/>
    <cellStyle name="Calc Percent (1) 2 3 5 4" xfId="10620" xr:uid="{00000000-0005-0000-0000-0000C1460000}"/>
    <cellStyle name="Calc Percent (1) 2 3 5 5" xfId="10621" xr:uid="{00000000-0005-0000-0000-0000C2460000}"/>
    <cellStyle name="Calc Percent (1) 2 3 5 6" xfId="10622" xr:uid="{00000000-0005-0000-0000-0000C3460000}"/>
    <cellStyle name="Calc Percent (1) 2 3 5 7" xfId="10623" xr:uid="{00000000-0005-0000-0000-0000C4460000}"/>
    <cellStyle name="Calc Percent (1) 2 3 5 8" xfId="10624" xr:uid="{00000000-0005-0000-0000-0000C5460000}"/>
    <cellStyle name="Calc Percent (1) 2 3 6" xfId="10625" xr:uid="{00000000-0005-0000-0000-0000C6460000}"/>
    <cellStyle name="Calc Percent (1) 2 3 6 2" xfId="10626" xr:uid="{00000000-0005-0000-0000-0000C7460000}"/>
    <cellStyle name="Calc Percent (1) 2 3 6 3" xfId="10627" xr:uid="{00000000-0005-0000-0000-0000C8460000}"/>
    <cellStyle name="Calc Percent (1) 2 3 6 4" xfId="10628" xr:uid="{00000000-0005-0000-0000-0000C9460000}"/>
    <cellStyle name="Calc Percent (1) 2 3 6 5" xfId="10629" xr:uid="{00000000-0005-0000-0000-0000CA460000}"/>
    <cellStyle name="Calc Percent (1) 2 3 6 6" xfId="10630" xr:uid="{00000000-0005-0000-0000-0000CB460000}"/>
    <cellStyle name="Calc Percent (1) 2 3 6 7" xfId="10631" xr:uid="{00000000-0005-0000-0000-0000CC460000}"/>
    <cellStyle name="Calc Percent (1) 2 3 6 8" xfId="10632" xr:uid="{00000000-0005-0000-0000-0000CD460000}"/>
    <cellStyle name="Calc Percent (1) 2 3 7" xfId="10633" xr:uid="{00000000-0005-0000-0000-0000CE460000}"/>
    <cellStyle name="Calc Percent (1) 2 3 8" xfId="10634" xr:uid="{00000000-0005-0000-0000-0000CF460000}"/>
    <cellStyle name="Calc Percent (1) 2 3 9" xfId="10635" xr:uid="{00000000-0005-0000-0000-0000D0460000}"/>
    <cellStyle name="Calc Percent (1) 2 4" xfId="10636" xr:uid="{00000000-0005-0000-0000-0000D1460000}"/>
    <cellStyle name="Calc Percent (1) 2 4 2" xfId="10637" xr:uid="{00000000-0005-0000-0000-0000D2460000}"/>
    <cellStyle name="Calc Percent (1) 2 4 3" xfId="10638" xr:uid="{00000000-0005-0000-0000-0000D3460000}"/>
    <cellStyle name="Calc Percent (1) 2 5" xfId="10639" xr:uid="{00000000-0005-0000-0000-0000D4460000}"/>
    <cellStyle name="Calc Percent (1) 2 5 2" xfId="10640" xr:uid="{00000000-0005-0000-0000-0000D5460000}"/>
    <cellStyle name="Calc Percent (1) 2 5 3" xfId="10641" xr:uid="{00000000-0005-0000-0000-0000D6460000}"/>
    <cellStyle name="Calc Percent (1) 2 6" xfId="10642" xr:uid="{00000000-0005-0000-0000-0000D7460000}"/>
    <cellStyle name="Calc Percent (1) 2 6 2" xfId="10643" xr:uid="{00000000-0005-0000-0000-0000D8460000}"/>
    <cellStyle name="Calc Percent (1) 2 6 3" xfId="10644" xr:uid="{00000000-0005-0000-0000-0000D9460000}"/>
    <cellStyle name="Calc Percent (1) 2 7" xfId="10645" xr:uid="{00000000-0005-0000-0000-0000DA460000}"/>
    <cellStyle name="Calc Percent (1) 2 7 2" xfId="10646" xr:uid="{00000000-0005-0000-0000-0000DB460000}"/>
    <cellStyle name="Calc Percent (1) 2 7 3" xfId="10647" xr:uid="{00000000-0005-0000-0000-0000DC460000}"/>
    <cellStyle name="Calc Percent (1) 2 8" xfId="10648" xr:uid="{00000000-0005-0000-0000-0000DD460000}"/>
    <cellStyle name="Calc Percent (1) 2 8 2" xfId="10649" xr:uid="{00000000-0005-0000-0000-0000DE460000}"/>
    <cellStyle name="Calc Percent (1) 2 8 3" xfId="10650" xr:uid="{00000000-0005-0000-0000-0000DF460000}"/>
    <cellStyle name="Calc Percent (1) 2 9" xfId="10651" xr:uid="{00000000-0005-0000-0000-0000E0460000}"/>
    <cellStyle name="Calc Percent (1) 2 9 2" xfId="10652" xr:uid="{00000000-0005-0000-0000-0000E1460000}"/>
    <cellStyle name="Calc Percent (1) 2 9 3" xfId="10653" xr:uid="{00000000-0005-0000-0000-0000E2460000}"/>
    <cellStyle name="Calc Percent (1) 2_You Plus DCF Workpapers" xfId="10654" xr:uid="{00000000-0005-0000-0000-0000E3460000}"/>
    <cellStyle name="Calc Percent (1) 20" xfId="10655" xr:uid="{00000000-0005-0000-0000-0000E4460000}"/>
    <cellStyle name="Calc Percent (1) 20 2" xfId="10656" xr:uid="{00000000-0005-0000-0000-0000E5460000}"/>
    <cellStyle name="Calc Percent (1) 20 3" xfId="10657" xr:uid="{00000000-0005-0000-0000-0000E6460000}"/>
    <cellStyle name="Calc Percent (1) 20 4" xfId="10658" xr:uid="{00000000-0005-0000-0000-0000E7460000}"/>
    <cellStyle name="Calc Percent (1) 20 5" xfId="10659" xr:uid="{00000000-0005-0000-0000-0000E8460000}"/>
    <cellStyle name="Calc Percent (1) 20 6" xfId="10660" xr:uid="{00000000-0005-0000-0000-0000E9460000}"/>
    <cellStyle name="Calc Percent (1) 20 7" xfId="10661" xr:uid="{00000000-0005-0000-0000-0000EA460000}"/>
    <cellStyle name="Calc Percent (1) 20 8" xfId="10662" xr:uid="{00000000-0005-0000-0000-0000EB460000}"/>
    <cellStyle name="Calc Percent (1) 20 9" xfId="10663" xr:uid="{00000000-0005-0000-0000-0000EC460000}"/>
    <cellStyle name="Calc Percent (1) 21" xfId="10664" xr:uid="{00000000-0005-0000-0000-0000ED460000}"/>
    <cellStyle name="Calc Percent (1) 21 2" xfId="10665" xr:uid="{00000000-0005-0000-0000-0000EE460000}"/>
    <cellStyle name="Calc Percent (1) 21 3" xfId="10666" xr:uid="{00000000-0005-0000-0000-0000EF460000}"/>
    <cellStyle name="Calc Percent (1) 21 4" xfId="10667" xr:uid="{00000000-0005-0000-0000-0000F0460000}"/>
    <cellStyle name="Calc Percent (1) 21 5" xfId="10668" xr:uid="{00000000-0005-0000-0000-0000F1460000}"/>
    <cellStyle name="Calc Percent (1) 21 6" xfId="10669" xr:uid="{00000000-0005-0000-0000-0000F2460000}"/>
    <cellStyle name="Calc Percent (1) 21 7" xfId="10670" xr:uid="{00000000-0005-0000-0000-0000F3460000}"/>
    <cellStyle name="Calc Percent (1) 21 8" xfId="10671" xr:uid="{00000000-0005-0000-0000-0000F4460000}"/>
    <cellStyle name="Calc Percent (1) 21 9" xfId="10672" xr:uid="{00000000-0005-0000-0000-0000F5460000}"/>
    <cellStyle name="Calc Percent (1) 22" xfId="10673" xr:uid="{00000000-0005-0000-0000-0000F6460000}"/>
    <cellStyle name="Calc Percent (1) 22 2" xfId="10674" xr:uid="{00000000-0005-0000-0000-0000F7460000}"/>
    <cellStyle name="Calc Percent (1) 22 3" xfId="10675" xr:uid="{00000000-0005-0000-0000-0000F8460000}"/>
    <cellStyle name="Calc Percent (1) 22 4" xfId="10676" xr:uid="{00000000-0005-0000-0000-0000F9460000}"/>
    <cellStyle name="Calc Percent (1) 22 5" xfId="10677" xr:uid="{00000000-0005-0000-0000-0000FA460000}"/>
    <cellStyle name="Calc Percent (1) 22 6" xfId="10678" xr:uid="{00000000-0005-0000-0000-0000FB460000}"/>
    <cellStyle name="Calc Percent (1) 22 7" xfId="10679" xr:uid="{00000000-0005-0000-0000-0000FC460000}"/>
    <cellStyle name="Calc Percent (1) 22 8" xfId="10680" xr:uid="{00000000-0005-0000-0000-0000FD460000}"/>
    <cellStyle name="Calc Percent (1) 22 9" xfId="10681" xr:uid="{00000000-0005-0000-0000-0000FE460000}"/>
    <cellStyle name="Calc Percent (1) 23" xfId="10682" xr:uid="{00000000-0005-0000-0000-0000FF460000}"/>
    <cellStyle name="Calc Percent (1) 24" xfId="10683" xr:uid="{00000000-0005-0000-0000-000000470000}"/>
    <cellStyle name="Calc Percent (1) 25" xfId="10684" xr:uid="{00000000-0005-0000-0000-000001470000}"/>
    <cellStyle name="Calc Percent (1) 26" xfId="10685" xr:uid="{00000000-0005-0000-0000-000002470000}"/>
    <cellStyle name="Calc Percent (1) 27" xfId="10686" xr:uid="{00000000-0005-0000-0000-000003470000}"/>
    <cellStyle name="Calc Percent (1) 28" xfId="10687" xr:uid="{00000000-0005-0000-0000-000004470000}"/>
    <cellStyle name="Calc Percent (1) 29" xfId="10688" xr:uid="{00000000-0005-0000-0000-000005470000}"/>
    <cellStyle name="Calc Percent (1) 3" xfId="10689" xr:uid="{00000000-0005-0000-0000-000006470000}"/>
    <cellStyle name="Calc Percent (1) 3 10" xfId="10690" xr:uid="{00000000-0005-0000-0000-000007470000}"/>
    <cellStyle name="Calc Percent (1) 3 11" xfId="10691" xr:uid="{00000000-0005-0000-0000-000008470000}"/>
    <cellStyle name="Calc Percent (1) 3 2" xfId="10692" xr:uid="{00000000-0005-0000-0000-000009470000}"/>
    <cellStyle name="Calc Percent (1) 3 2 10" xfId="10693" xr:uid="{00000000-0005-0000-0000-00000A470000}"/>
    <cellStyle name="Calc Percent (1) 3 2 11" xfId="10694" xr:uid="{00000000-0005-0000-0000-00000B470000}"/>
    <cellStyle name="Calc Percent (1) 3 2 12" xfId="10695" xr:uid="{00000000-0005-0000-0000-00000C470000}"/>
    <cellStyle name="Calc Percent (1) 3 2 13" xfId="10696" xr:uid="{00000000-0005-0000-0000-00000D470000}"/>
    <cellStyle name="Calc Percent (1) 3 2 14" xfId="10697" xr:uid="{00000000-0005-0000-0000-00000E470000}"/>
    <cellStyle name="Calc Percent (1) 3 2 15" xfId="10698" xr:uid="{00000000-0005-0000-0000-00000F470000}"/>
    <cellStyle name="Calc Percent (1) 3 2 16" xfId="10699" xr:uid="{00000000-0005-0000-0000-000010470000}"/>
    <cellStyle name="Calc Percent (1) 3 2 2" xfId="10700" xr:uid="{00000000-0005-0000-0000-000011470000}"/>
    <cellStyle name="Calc Percent (1) 3 2 2 2" xfId="10701" xr:uid="{00000000-0005-0000-0000-000012470000}"/>
    <cellStyle name="Calc Percent (1) 3 2 2 3" xfId="10702" xr:uid="{00000000-0005-0000-0000-000013470000}"/>
    <cellStyle name="Calc Percent (1) 3 2 3" xfId="10703" xr:uid="{00000000-0005-0000-0000-000014470000}"/>
    <cellStyle name="Calc Percent (1) 3 2 3 2" xfId="10704" xr:uid="{00000000-0005-0000-0000-000015470000}"/>
    <cellStyle name="Calc Percent (1) 3 2 3 3" xfId="10705" xr:uid="{00000000-0005-0000-0000-000016470000}"/>
    <cellStyle name="Calc Percent (1) 3 2 3 4" xfId="10706" xr:uid="{00000000-0005-0000-0000-000017470000}"/>
    <cellStyle name="Calc Percent (1) 3 2 3 5" xfId="10707" xr:uid="{00000000-0005-0000-0000-000018470000}"/>
    <cellStyle name="Calc Percent (1) 3 2 3 6" xfId="10708" xr:uid="{00000000-0005-0000-0000-000019470000}"/>
    <cellStyle name="Calc Percent (1) 3 2 3 7" xfId="10709" xr:uid="{00000000-0005-0000-0000-00001A470000}"/>
    <cellStyle name="Calc Percent (1) 3 2 3 8" xfId="10710" xr:uid="{00000000-0005-0000-0000-00001B470000}"/>
    <cellStyle name="Calc Percent (1) 3 2 4" xfId="10711" xr:uid="{00000000-0005-0000-0000-00001C470000}"/>
    <cellStyle name="Calc Percent (1) 3 2 5" xfId="10712" xr:uid="{00000000-0005-0000-0000-00001D470000}"/>
    <cellStyle name="Calc Percent (1) 3 2 6" xfId="10713" xr:uid="{00000000-0005-0000-0000-00001E470000}"/>
    <cellStyle name="Calc Percent (1) 3 2 7" xfId="10714" xr:uid="{00000000-0005-0000-0000-00001F470000}"/>
    <cellStyle name="Calc Percent (1) 3 2 8" xfId="10715" xr:uid="{00000000-0005-0000-0000-000020470000}"/>
    <cellStyle name="Calc Percent (1) 3 2 9" xfId="10716" xr:uid="{00000000-0005-0000-0000-000021470000}"/>
    <cellStyle name="Calc Percent (1) 3 3" xfId="10717" xr:uid="{00000000-0005-0000-0000-000022470000}"/>
    <cellStyle name="Calc Percent (1) 3 3 2" xfId="10718" xr:uid="{00000000-0005-0000-0000-000023470000}"/>
    <cellStyle name="Calc Percent (1) 3 3 2 2" xfId="10719" xr:uid="{00000000-0005-0000-0000-000024470000}"/>
    <cellStyle name="Calc Percent (1) 3 3 2 2 2" xfId="10720" xr:uid="{00000000-0005-0000-0000-000025470000}"/>
    <cellStyle name="Calc Percent (1) 3 3 2 2 2 2" xfId="10721" xr:uid="{00000000-0005-0000-0000-000026470000}"/>
    <cellStyle name="Calc Percent (1) 3 3 2 2 2 3" xfId="10722" xr:uid="{00000000-0005-0000-0000-000027470000}"/>
    <cellStyle name="Calc Percent (1) 3 3 2 2 2 4" xfId="10723" xr:uid="{00000000-0005-0000-0000-000028470000}"/>
    <cellStyle name="Calc Percent (1) 3 3 2 2 2 5" xfId="10724" xr:uid="{00000000-0005-0000-0000-000029470000}"/>
    <cellStyle name="Calc Percent (1) 3 3 2 2 2 6" xfId="10725" xr:uid="{00000000-0005-0000-0000-00002A470000}"/>
    <cellStyle name="Calc Percent (1) 3 3 2 2 2 7" xfId="10726" xr:uid="{00000000-0005-0000-0000-00002B470000}"/>
    <cellStyle name="Calc Percent (1) 3 3 2 2 2 8" xfId="10727" xr:uid="{00000000-0005-0000-0000-00002C470000}"/>
    <cellStyle name="Calc Percent (1) 3 3 2 2 3" xfId="10728" xr:uid="{00000000-0005-0000-0000-00002D470000}"/>
    <cellStyle name="Calc Percent (1) 3 3 2 2 4" xfId="10729" xr:uid="{00000000-0005-0000-0000-00002E470000}"/>
    <cellStyle name="Calc Percent (1) 3 3 2 2 5" xfId="10730" xr:uid="{00000000-0005-0000-0000-00002F470000}"/>
    <cellStyle name="Calc Percent (1) 3 3 2 2 6" xfId="10731" xr:uid="{00000000-0005-0000-0000-000030470000}"/>
    <cellStyle name="Calc Percent (1) 3 3 2 2 7" xfId="10732" xr:uid="{00000000-0005-0000-0000-000031470000}"/>
    <cellStyle name="Calc Percent (1) 3 3 2 2 8" xfId="10733" xr:uid="{00000000-0005-0000-0000-000032470000}"/>
    <cellStyle name="Calc Percent (1) 3 3 2 2 9" xfId="10734" xr:uid="{00000000-0005-0000-0000-000033470000}"/>
    <cellStyle name="Calc Percent (1) 3 3 2 3" xfId="10735" xr:uid="{00000000-0005-0000-0000-000034470000}"/>
    <cellStyle name="Calc Percent (1) 3 3 2 4" xfId="10736" xr:uid="{00000000-0005-0000-0000-000035470000}"/>
    <cellStyle name="Calc Percent (1) 3 3 2 5" xfId="10737" xr:uid="{00000000-0005-0000-0000-000036470000}"/>
    <cellStyle name="Calc Percent (1) 3 3 2 6" xfId="10738" xr:uid="{00000000-0005-0000-0000-000037470000}"/>
    <cellStyle name="Calc Percent (1) 3 3 2 7" xfId="10739" xr:uid="{00000000-0005-0000-0000-000038470000}"/>
    <cellStyle name="Calc Percent (1) 3 3 2 8" xfId="10740" xr:uid="{00000000-0005-0000-0000-000039470000}"/>
    <cellStyle name="Calc Percent (1) 3 3 2 9" xfId="10741" xr:uid="{00000000-0005-0000-0000-00003A470000}"/>
    <cellStyle name="Calc Percent (1) 3 3 3" xfId="10742" xr:uid="{00000000-0005-0000-0000-00003B470000}"/>
    <cellStyle name="Calc Percent (1) 3 3 3 2" xfId="10743" xr:uid="{00000000-0005-0000-0000-00003C470000}"/>
    <cellStyle name="Calc Percent (1) 3 3 3 3" xfId="10744" xr:uid="{00000000-0005-0000-0000-00003D470000}"/>
    <cellStyle name="Calc Percent (1) 3 3 3 4" xfId="10745" xr:uid="{00000000-0005-0000-0000-00003E470000}"/>
    <cellStyle name="Calc Percent (1) 3 3 3 5" xfId="10746" xr:uid="{00000000-0005-0000-0000-00003F470000}"/>
    <cellStyle name="Calc Percent (1) 3 3 3 6" xfId="10747" xr:uid="{00000000-0005-0000-0000-000040470000}"/>
    <cellStyle name="Calc Percent (1) 3 3 3 7" xfId="10748" xr:uid="{00000000-0005-0000-0000-000041470000}"/>
    <cellStyle name="Calc Percent (1) 3 3 3 8" xfId="10749" xr:uid="{00000000-0005-0000-0000-000042470000}"/>
    <cellStyle name="Calc Percent (1) 3 3 4" xfId="10750" xr:uid="{00000000-0005-0000-0000-000043470000}"/>
    <cellStyle name="Calc Percent (1) 3 3 5" xfId="10751" xr:uid="{00000000-0005-0000-0000-000044470000}"/>
    <cellStyle name="Calc Percent (1) 3 3 6" xfId="10752" xr:uid="{00000000-0005-0000-0000-000045470000}"/>
    <cellStyle name="Calc Percent (1) 3 3 7" xfId="10753" xr:uid="{00000000-0005-0000-0000-000046470000}"/>
    <cellStyle name="Calc Percent (1) 3 3 8" xfId="10754" xr:uid="{00000000-0005-0000-0000-000047470000}"/>
    <cellStyle name="Calc Percent (1) 3 3 9" xfId="10755" xr:uid="{00000000-0005-0000-0000-000048470000}"/>
    <cellStyle name="Calc Percent (1) 3 4" xfId="10756" xr:uid="{00000000-0005-0000-0000-000049470000}"/>
    <cellStyle name="Calc Percent (1) 3 4 2" xfId="10757" xr:uid="{00000000-0005-0000-0000-00004A470000}"/>
    <cellStyle name="Calc Percent (1) 3 4 3" xfId="10758" xr:uid="{00000000-0005-0000-0000-00004B470000}"/>
    <cellStyle name="Calc Percent (1) 3 4 4" xfId="10759" xr:uid="{00000000-0005-0000-0000-00004C470000}"/>
    <cellStyle name="Calc Percent (1) 3 4 5" xfId="10760" xr:uid="{00000000-0005-0000-0000-00004D470000}"/>
    <cellStyle name="Calc Percent (1) 3 4 6" xfId="10761" xr:uid="{00000000-0005-0000-0000-00004E470000}"/>
    <cellStyle name="Calc Percent (1) 3 4 7" xfId="10762" xr:uid="{00000000-0005-0000-0000-00004F470000}"/>
    <cellStyle name="Calc Percent (1) 3 4 8" xfId="10763" xr:uid="{00000000-0005-0000-0000-000050470000}"/>
    <cellStyle name="Calc Percent (1) 3 5" xfId="10764" xr:uid="{00000000-0005-0000-0000-000051470000}"/>
    <cellStyle name="Calc Percent (1) 3 6" xfId="10765" xr:uid="{00000000-0005-0000-0000-000052470000}"/>
    <cellStyle name="Calc Percent (1) 3 7" xfId="10766" xr:uid="{00000000-0005-0000-0000-000053470000}"/>
    <cellStyle name="Calc Percent (1) 3 8" xfId="10767" xr:uid="{00000000-0005-0000-0000-000054470000}"/>
    <cellStyle name="Calc Percent (1) 3 9" xfId="10768" xr:uid="{00000000-0005-0000-0000-000055470000}"/>
    <cellStyle name="Calc Percent (1) 30" xfId="10769" xr:uid="{00000000-0005-0000-0000-000056470000}"/>
    <cellStyle name="Calc Percent (1) 31" xfId="10770" xr:uid="{00000000-0005-0000-0000-000057470000}"/>
    <cellStyle name="Calc Percent (1) 32" xfId="10771" xr:uid="{00000000-0005-0000-0000-000058470000}"/>
    <cellStyle name="Calc Percent (1) 33" xfId="10772" xr:uid="{00000000-0005-0000-0000-000059470000}"/>
    <cellStyle name="Calc Percent (1) 34" xfId="10773" xr:uid="{00000000-0005-0000-0000-00005A470000}"/>
    <cellStyle name="Calc Percent (1) 35" xfId="10774" xr:uid="{00000000-0005-0000-0000-00005B470000}"/>
    <cellStyle name="Calc Percent (1) 36" xfId="10775" xr:uid="{00000000-0005-0000-0000-00005C470000}"/>
    <cellStyle name="Calc Percent (1) 4" xfId="10776" xr:uid="{00000000-0005-0000-0000-00005D470000}"/>
    <cellStyle name="Calc Percent (1) 4 10" xfId="10777" xr:uid="{00000000-0005-0000-0000-00005E470000}"/>
    <cellStyle name="Calc Percent (1) 4 11" xfId="10778" xr:uid="{00000000-0005-0000-0000-00005F470000}"/>
    <cellStyle name="Calc Percent (1) 4 2" xfId="10779" xr:uid="{00000000-0005-0000-0000-000060470000}"/>
    <cellStyle name="Calc Percent (1) 4 2 2" xfId="10780" xr:uid="{00000000-0005-0000-0000-000061470000}"/>
    <cellStyle name="Calc Percent (1) 4 2 3" xfId="10781" xr:uid="{00000000-0005-0000-0000-000062470000}"/>
    <cellStyle name="Calc Percent (1) 4 2 4" xfId="10782" xr:uid="{00000000-0005-0000-0000-000063470000}"/>
    <cellStyle name="Calc Percent (1) 4 2 5" xfId="10783" xr:uid="{00000000-0005-0000-0000-000064470000}"/>
    <cellStyle name="Calc Percent (1) 4 2 6" xfId="10784" xr:uid="{00000000-0005-0000-0000-000065470000}"/>
    <cellStyle name="Calc Percent (1) 4 2 7" xfId="10785" xr:uid="{00000000-0005-0000-0000-000066470000}"/>
    <cellStyle name="Calc Percent (1) 4 2 8" xfId="10786" xr:uid="{00000000-0005-0000-0000-000067470000}"/>
    <cellStyle name="Calc Percent (1) 4 2 9" xfId="10787" xr:uid="{00000000-0005-0000-0000-000068470000}"/>
    <cellStyle name="Calc Percent (1) 4 3" xfId="10788" xr:uid="{00000000-0005-0000-0000-000069470000}"/>
    <cellStyle name="Calc Percent (1) 4 3 2" xfId="10789" xr:uid="{00000000-0005-0000-0000-00006A470000}"/>
    <cellStyle name="Calc Percent (1) 4 3 3" xfId="10790" xr:uid="{00000000-0005-0000-0000-00006B470000}"/>
    <cellStyle name="Calc Percent (1) 4 3 4" xfId="10791" xr:uid="{00000000-0005-0000-0000-00006C470000}"/>
    <cellStyle name="Calc Percent (1) 4 3 5" xfId="10792" xr:uid="{00000000-0005-0000-0000-00006D470000}"/>
    <cellStyle name="Calc Percent (1) 4 3 6" xfId="10793" xr:uid="{00000000-0005-0000-0000-00006E470000}"/>
    <cellStyle name="Calc Percent (1) 4 3 7" xfId="10794" xr:uid="{00000000-0005-0000-0000-00006F470000}"/>
    <cellStyle name="Calc Percent (1) 4 3 8" xfId="10795" xr:uid="{00000000-0005-0000-0000-000070470000}"/>
    <cellStyle name="Calc Percent (1) 4 3 9" xfId="10796" xr:uid="{00000000-0005-0000-0000-000071470000}"/>
    <cellStyle name="Calc Percent (1) 4 4" xfId="10797" xr:uid="{00000000-0005-0000-0000-000072470000}"/>
    <cellStyle name="Calc Percent (1) 4 5" xfId="10798" xr:uid="{00000000-0005-0000-0000-000073470000}"/>
    <cellStyle name="Calc Percent (1) 4 6" xfId="10799" xr:uid="{00000000-0005-0000-0000-000074470000}"/>
    <cellStyle name="Calc Percent (1) 4 7" xfId="10800" xr:uid="{00000000-0005-0000-0000-000075470000}"/>
    <cellStyle name="Calc Percent (1) 4 8" xfId="10801" xr:uid="{00000000-0005-0000-0000-000076470000}"/>
    <cellStyle name="Calc Percent (1) 4 9" xfId="10802" xr:uid="{00000000-0005-0000-0000-000077470000}"/>
    <cellStyle name="Calc Percent (1) 5" xfId="10803" xr:uid="{00000000-0005-0000-0000-000078470000}"/>
    <cellStyle name="Calc Percent (1) 5 10" xfId="10804" xr:uid="{00000000-0005-0000-0000-000079470000}"/>
    <cellStyle name="Calc Percent (1) 5 11" xfId="10805" xr:uid="{00000000-0005-0000-0000-00007A470000}"/>
    <cellStyle name="Calc Percent (1) 5 2" xfId="10806" xr:uid="{00000000-0005-0000-0000-00007B470000}"/>
    <cellStyle name="Calc Percent (1) 5 2 10" xfId="10807" xr:uid="{00000000-0005-0000-0000-00007C470000}"/>
    <cellStyle name="Calc Percent (1) 5 2 11" xfId="10808" xr:uid="{00000000-0005-0000-0000-00007D470000}"/>
    <cellStyle name="Calc Percent (1) 5 2 12" xfId="10809" xr:uid="{00000000-0005-0000-0000-00007E470000}"/>
    <cellStyle name="Calc Percent (1) 5 2 13" xfId="10810" xr:uid="{00000000-0005-0000-0000-00007F470000}"/>
    <cellStyle name="Calc Percent (1) 5 2 14" xfId="10811" xr:uid="{00000000-0005-0000-0000-000080470000}"/>
    <cellStyle name="Calc Percent (1) 5 2 15" xfId="10812" xr:uid="{00000000-0005-0000-0000-000081470000}"/>
    <cellStyle name="Calc Percent (1) 5 2 16" xfId="10813" xr:uid="{00000000-0005-0000-0000-000082470000}"/>
    <cellStyle name="Calc Percent (1) 5 2 2" xfId="10814" xr:uid="{00000000-0005-0000-0000-000083470000}"/>
    <cellStyle name="Calc Percent (1) 5 2 2 2" xfId="10815" xr:uid="{00000000-0005-0000-0000-000084470000}"/>
    <cellStyle name="Calc Percent (1) 5 2 2 2 2" xfId="10816" xr:uid="{00000000-0005-0000-0000-000085470000}"/>
    <cellStyle name="Calc Percent (1) 5 2 2 2 3" xfId="10817" xr:uid="{00000000-0005-0000-0000-000086470000}"/>
    <cellStyle name="Calc Percent (1) 5 2 2 3" xfId="10818" xr:uid="{00000000-0005-0000-0000-000087470000}"/>
    <cellStyle name="Calc Percent (1) 5 2 3" xfId="10819" xr:uid="{00000000-0005-0000-0000-000088470000}"/>
    <cellStyle name="Calc Percent (1) 5 2 4" xfId="10820" xr:uid="{00000000-0005-0000-0000-000089470000}"/>
    <cellStyle name="Calc Percent (1) 5 2 5" xfId="10821" xr:uid="{00000000-0005-0000-0000-00008A470000}"/>
    <cellStyle name="Calc Percent (1) 5 2 6" xfId="10822" xr:uid="{00000000-0005-0000-0000-00008B470000}"/>
    <cellStyle name="Calc Percent (1) 5 2 7" xfId="10823" xr:uid="{00000000-0005-0000-0000-00008C470000}"/>
    <cellStyle name="Calc Percent (1) 5 2 8" xfId="10824" xr:uid="{00000000-0005-0000-0000-00008D470000}"/>
    <cellStyle name="Calc Percent (1) 5 2 9" xfId="10825" xr:uid="{00000000-0005-0000-0000-00008E470000}"/>
    <cellStyle name="Calc Percent (1) 5 3" xfId="10826" xr:uid="{00000000-0005-0000-0000-00008F470000}"/>
    <cellStyle name="Calc Percent (1) 5 3 2" xfId="10827" xr:uid="{00000000-0005-0000-0000-000090470000}"/>
    <cellStyle name="Calc Percent (1) 5 3 3" xfId="10828" xr:uid="{00000000-0005-0000-0000-000091470000}"/>
    <cellStyle name="Calc Percent (1) 5 3 4" xfId="10829" xr:uid="{00000000-0005-0000-0000-000092470000}"/>
    <cellStyle name="Calc Percent (1) 5 3 5" xfId="10830" xr:uid="{00000000-0005-0000-0000-000093470000}"/>
    <cellStyle name="Calc Percent (1) 5 3 6" xfId="10831" xr:uid="{00000000-0005-0000-0000-000094470000}"/>
    <cellStyle name="Calc Percent (1) 5 3 7" xfId="10832" xr:uid="{00000000-0005-0000-0000-000095470000}"/>
    <cellStyle name="Calc Percent (1) 5 3 8" xfId="10833" xr:uid="{00000000-0005-0000-0000-000096470000}"/>
    <cellStyle name="Calc Percent (1) 5 3 9" xfId="10834" xr:uid="{00000000-0005-0000-0000-000097470000}"/>
    <cellStyle name="Calc Percent (1) 5 4" xfId="10835" xr:uid="{00000000-0005-0000-0000-000098470000}"/>
    <cellStyle name="Calc Percent (1) 5 5" xfId="10836" xr:uid="{00000000-0005-0000-0000-000099470000}"/>
    <cellStyle name="Calc Percent (1) 5 6" xfId="10837" xr:uid="{00000000-0005-0000-0000-00009A470000}"/>
    <cellStyle name="Calc Percent (1) 5 6 2" xfId="10838" xr:uid="{00000000-0005-0000-0000-00009B470000}"/>
    <cellStyle name="Calc Percent (1) 5 6 3" xfId="10839" xr:uid="{00000000-0005-0000-0000-00009C470000}"/>
    <cellStyle name="Calc Percent (1) 5 6 4" xfId="10840" xr:uid="{00000000-0005-0000-0000-00009D470000}"/>
    <cellStyle name="Calc Percent (1) 5 6 5" xfId="10841" xr:uid="{00000000-0005-0000-0000-00009E470000}"/>
    <cellStyle name="Calc Percent (1) 5 6 6" xfId="10842" xr:uid="{00000000-0005-0000-0000-00009F470000}"/>
    <cellStyle name="Calc Percent (1) 5 6 7" xfId="10843" xr:uid="{00000000-0005-0000-0000-0000A0470000}"/>
    <cellStyle name="Calc Percent (1) 5 6 8" xfId="10844" xr:uid="{00000000-0005-0000-0000-0000A1470000}"/>
    <cellStyle name="Calc Percent (1) 5 7" xfId="10845" xr:uid="{00000000-0005-0000-0000-0000A2470000}"/>
    <cellStyle name="Calc Percent (1) 5 8" xfId="10846" xr:uid="{00000000-0005-0000-0000-0000A3470000}"/>
    <cellStyle name="Calc Percent (1) 5 9" xfId="10847" xr:uid="{00000000-0005-0000-0000-0000A4470000}"/>
    <cellStyle name="Calc Percent (1) 6" xfId="10848" xr:uid="{00000000-0005-0000-0000-0000A5470000}"/>
    <cellStyle name="Calc Percent (1) 6 10" xfId="10849" xr:uid="{00000000-0005-0000-0000-0000A6470000}"/>
    <cellStyle name="Calc Percent (1) 6 11" xfId="10850" xr:uid="{00000000-0005-0000-0000-0000A7470000}"/>
    <cellStyle name="Calc Percent (1) 6 2" xfId="10851" xr:uid="{00000000-0005-0000-0000-0000A8470000}"/>
    <cellStyle name="Calc Percent (1) 6 2 2" xfId="10852" xr:uid="{00000000-0005-0000-0000-0000A9470000}"/>
    <cellStyle name="Calc Percent (1) 6 2 3" xfId="10853" xr:uid="{00000000-0005-0000-0000-0000AA470000}"/>
    <cellStyle name="Calc Percent (1) 6 2 4" xfId="10854" xr:uid="{00000000-0005-0000-0000-0000AB470000}"/>
    <cellStyle name="Calc Percent (1) 6 2 5" xfId="10855" xr:uid="{00000000-0005-0000-0000-0000AC470000}"/>
    <cellStyle name="Calc Percent (1) 6 2 6" xfId="10856" xr:uid="{00000000-0005-0000-0000-0000AD470000}"/>
    <cellStyle name="Calc Percent (1) 6 2 7" xfId="10857" xr:uid="{00000000-0005-0000-0000-0000AE470000}"/>
    <cellStyle name="Calc Percent (1) 6 2 8" xfId="10858" xr:uid="{00000000-0005-0000-0000-0000AF470000}"/>
    <cellStyle name="Calc Percent (1) 6 2 9" xfId="10859" xr:uid="{00000000-0005-0000-0000-0000B0470000}"/>
    <cellStyle name="Calc Percent (1) 6 3" xfId="10860" xr:uid="{00000000-0005-0000-0000-0000B1470000}"/>
    <cellStyle name="Calc Percent (1) 6 3 2" xfId="10861" xr:uid="{00000000-0005-0000-0000-0000B2470000}"/>
    <cellStyle name="Calc Percent (1) 6 3 3" xfId="10862" xr:uid="{00000000-0005-0000-0000-0000B3470000}"/>
    <cellStyle name="Calc Percent (1) 6 3 4" xfId="10863" xr:uid="{00000000-0005-0000-0000-0000B4470000}"/>
    <cellStyle name="Calc Percent (1) 6 3 5" xfId="10864" xr:uid="{00000000-0005-0000-0000-0000B5470000}"/>
    <cellStyle name="Calc Percent (1) 6 3 6" xfId="10865" xr:uid="{00000000-0005-0000-0000-0000B6470000}"/>
    <cellStyle name="Calc Percent (1) 6 3 7" xfId="10866" xr:uid="{00000000-0005-0000-0000-0000B7470000}"/>
    <cellStyle name="Calc Percent (1) 6 3 8" xfId="10867" xr:uid="{00000000-0005-0000-0000-0000B8470000}"/>
    <cellStyle name="Calc Percent (1) 6 3 9" xfId="10868" xr:uid="{00000000-0005-0000-0000-0000B9470000}"/>
    <cellStyle name="Calc Percent (1) 6 4" xfId="10869" xr:uid="{00000000-0005-0000-0000-0000BA470000}"/>
    <cellStyle name="Calc Percent (1) 6 5" xfId="10870" xr:uid="{00000000-0005-0000-0000-0000BB470000}"/>
    <cellStyle name="Calc Percent (1) 6 6" xfId="10871" xr:uid="{00000000-0005-0000-0000-0000BC470000}"/>
    <cellStyle name="Calc Percent (1) 6 7" xfId="10872" xr:uid="{00000000-0005-0000-0000-0000BD470000}"/>
    <cellStyle name="Calc Percent (1) 6 8" xfId="10873" xr:uid="{00000000-0005-0000-0000-0000BE470000}"/>
    <cellStyle name="Calc Percent (1) 6 9" xfId="10874" xr:uid="{00000000-0005-0000-0000-0000BF470000}"/>
    <cellStyle name="Calc Percent (1) 7" xfId="10875" xr:uid="{00000000-0005-0000-0000-0000C0470000}"/>
    <cellStyle name="Calc Percent (1) 7 10" xfId="10876" xr:uid="{00000000-0005-0000-0000-0000C1470000}"/>
    <cellStyle name="Calc Percent (1) 7 11" xfId="10877" xr:uid="{00000000-0005-0000-0000-0000C2470000}"/>
    <cellStyle name="Calc Percent (1) 7 2" xfId="10878" xr:uid="{00000000-0005-0000-0000-0000C3470000}"/>
    <cellStyle name="Calc Percent (1) 7 2 2" xfId="10879" xr:uid="{00000000-0005-0000-0000-0000C4470000}"/>
    <cellStyle name="Calc Percent (1) 7 2 3" xfId="10880" xr:uid="{00000000-0005-0000-0000-0000C5470000}"/>
    <cellStyle name="Calc Percent (1) 7 2 4" xfId="10881" xr:uid="{00000000-0005-0000-0000-0000C6470000}"/>
    <cellStyle name="Calc Percent (1) 7 2 5" xfId="10882" xr:uid="{00000000-0005-0000-0000-0000C7470000}"/>
    <cellStyle name="Calc Percent (1) 7 2 6" xfId="10883" xr:uid="{00000000-0005-0000-0000-0000C8470000}"/>
    <cellStyle name="Calc Percent (1) 7 2 7" xfId="10884" xr:uid="{00000000-0005-0000-0000-0000C9470000}"/>
    <cellStyle name="Calc Percent (1) 7 2 8" xfId="10885" xr:uid="{00000000-0005-0000-0000-0000CA470000}"/>
    <cellStyle name="Calc Percent (1) 7 2 9" xfId="10886" xr:uid="{00000000-0005-0000-0000-0000CB470000}"/>
    <cellStyle name="Calc Percent (1) 7 3" xfId="10887" xr:uid="{00000000-0005-0000-0000-0000CC470000}"/>
    <cellStyle name="Calc Percent (1) 7 3 2" xfId="10888" xr:uid="{00000000-0005-0000-0000-0000CD470000}"/>
    <cellStyle name="Calc Percent (1) 7 3 3" xfId="10889" xr:uid="{00000000-0005-0000-0000-0000CE470000}"/>
    <cellStyle name="Calc Percent (1) 7 3 4" xfId="10890" xr:uid="{00000000-0005-0000-0000-0000CF470000}"/>
    <cellStyle name="Calc Percent (1) 7 3 5" xfId="10891" xr:uid="{00000000-0005-0000-0000-0000D0470000}"/>
    <cellStyle name="Calc Percent (1) 7 3 6" xfId="10892" xr:uid="{00000000-0005-0000-0000-0000D1470000}"/>
    <cellStyle name="Calc Percent (1) 7 3 7" xfId="10893" xr:uid="{00000000-0005-0000-0000-0000D2470000}"/>
    <cellStyle name="Calc Percent (1) 7 3 8" xfId="10894" xr:uid="{00000000-0005-0000-0000-0000D3470000}"/>
    <cellStyle name="Calc Percent (1) 7 3 9" xfId="10895" xr:uid="{00000000-0005-0000-0000-0000D4470000}"/>
    <cellStyle name="Calc Percent (1) 7 4" xfId="10896" xr:uid="{00000000-0005-0000-0000-0000D5470000}"/>
    <cellStyle name="Calc Percent (1) 7 5" xfId="10897" xr:uid="{00000000-0005-0000-0000-0000D6470000}"/>
    <cellStyle name="Calc Percent (1) 7 6" xfId="10898" xr:uid="{00000000-0005-0000-0000-0000D7470000}"/>
    <cellStyle name="Calc Percent (1) 7 7" xfId="10899" xr:uid="{00000000-0005-0000-0000-0000D8470000}"/>
    <cellStyle name="Calc Percent (1) 7 8" xfId="10900" xr:uid="{00000000-0005-0000-0000-0000D9470000}"/>
    <cellStyle name="Calc Percent (1) 7 9" xfId="10901" xr:uid="{00000000-0005-0000-0000-0000DA470000}"/>
    <cellStyle name="Calc Percent (1) 8" xfId="10902" xr:uid="{00000000-0005-0000-0000-0000DB470000}"/>
    <cellStyle name="Calc Percent (1) 8 10" xfId="10903" xr:uid="{00000000-0005-0000-0000-0000DC470000}"/>
    <cellStyle name="Calc Percent (1) 8 11" xfId="10904" xr:uid="{00000000-0005-0000-0000-0000DD470000}"/>
    <cellStyle name="Calc Percent (1) 8 2" xfId="10905" xr:uid="{00000000-0005-0000-0000-0000DE470000}"/>
    <cellStyle name="Calc Percent (1) 8 2 2" xfId="10906" xr:uid="{00000000-0005-0000-0000-0000DF470000}"/>
    <cellStyle name="Calc Percent (1) 8 2 3" xfId="10907" xr:uid="{00000000-0005-0000-0000-0000E0470000}"/>
    <cellStyle name="Calc Percent (1) 8 2 4" xfId="10908" xr:uid="{00000000-0005-0000-0000-0000E1470000}"/>
    <cellStyle name="Calc Percent (1) 8 2 5" xfId="10909" xr:uid="{00000000-0005-0000-0000-0000E2470000}"/>
    <cellStyle name="Calc Percent (1) 8 2 6" xfId="10910" xr:uid="{00000000-0005-0000-0000-0000E3470000}"/>
    <cellStyle name="Calc Percent (1) 8 2 7" xfId="10911" xr:uid="{00000000-0005-0000-0000-0000E4470000}"/>
    <cellStyle name="Calc Percent (1) 8 2 8" xfId="10912" xr:uid="{00000000-0005-0000-0000-0000E5470000}"/>
    <cellStyle name="Calc Percent (1) 8 2 9" xfId="10913" xr:uid="{00000000-0005-0000-0000-0000E6470000}"/>
    <cellStyle name="Calc Percent (1) 8 3" xfId="10914" xr:uid="{00000000-0005-0000-0000-0000E7470000}"/>
    <cellStyle name="Calc Percent (1) 8 3 2" xfId="10915" xr:uid="{00000000-0005-0000-0000-0000E8470000}"/>
    <cellStyle name="Calc Percent (1) 8 3 3" xfId="10916" xr:uid="{00000000-0005-0000-0000-0000E9470000}"/>
    <cellStyle name="Calc Percent (1) 8 3 4" xfId="10917" xr:uid="{00000000-0005-0000-0000-0000EA470000}"/>
    <cellStyle name="Calc Percent (1) 8 3 5" xfId="10918" xr:uid="{00000000-0005-0000-0000-0000EB470000}"/>
    <cellStyle name="Calc Percent (1) 8 3 6" xfId="10919" xr:uid="{00000000-0005-0000-0000-0000EC470000}"/>
    <cellStyle name="Calc Percent (1) 8 3 7" xfId="10920" xr:uid="{00000000-0005-0000-0000-0000ED470000}"/>
    <cellStyle name="Calc Percent (1) 8 3 8" xfId="10921" xr:uid="{00000000-0005-0000-0000-0000EE470000}"/>
    <cellStyle name="Calc Percent (1) 8 3 9" xfId="10922" xr:uid="{00000000-0005-0000-0000-0000EF470000}"/>
    <cellStyle name="Calc Percent (1) 8 4" xfId="10923" xr:uid="{00000000-0005-0000-0000-0000F0470000}"/>
    <cellStyle name="Calc Percent (1) 8 5" xfId="10924" xr:uid="{00000000-0005-0000-0000-0000F1470000}"/>
    <cellStyle name="Calc Percent (1) 8 6" xfId="10925" xr:uid="{00000000-0005-0000-0000-0000F2470000}"/>
    <cellStyle name="Calc Percent (1) 8 7" xfId="10926" xr:uid="{00000000-0005-0000-0000-0000F3470000}"/>
    <cellStyle name="Calc Percent (1) 8 8" xfId="10927" xr:uid="{00000000-0005-0000-0000-0000F4470000}"/>
    <cellStyle name="Calc Percent (1) 8 9" xfId="10928" xr:uid="{00000000-0005-0000-0000-0000F5470000}"/>
    <cellStyle name="Calc Percent (1) 9" xfId="10929" xr:uid="{00000000-0005-0000-0000-0000F6470000}"/>
    <cellStyle name="Calc Percent (1) 9 10" xfId="10930" xr:uid="{00000000-0005-0000-0000-0000F7470000}"/>
    <cellStyle name="Calc Percent (1) 9 11" xfId="10931" xr:uid="{00000000-0005-0000-0000-0000F8470000}"/>
    <cellStyle name="Calc Percent (1) 9 2" xfId="10932" xr:uid="{00000000-0005-0000-0000-0000F9470000}"/>
    <cellStyle name="Calc Percent (1) 9 2 10" xfId="10933" xr:uid="{00000000-0005-0000-0000-0000FA470000}"/>
    <cellStyle name="Calc Percent (1) 9 2 11" xfId="10934" xr:uid="{00000000-0005-0000-0000-0000FB470000}"/>
    <cellStyle name="Calc Percent (1) 9 2 12" xfId="10935" xr:uid="{00000000-0005-0000-0000-0000FC470000}"/>
    <cellStyle name="Calc Percent (1) 9 2 13" xfId="10936" xr:uid="{00000000-0005-0000-0000-0000FD470000}"/>
    <cellStyle name="Calc Percent (1) 9 2 14" xfId="10937" xr:uid="{00000000-0005-0000-0000-0000FE470000}"/>
    <cellStyle name="Calc Percent (1) 9 2 15" xfId="10938" xr:uid="{00000000-0005-0000-0000-0000FF470000}"/>
    <cellStyle name="Calc Percent (1) 9 2 16" xfId="10939" xr:uid="{00000000-0005-0000-0000-000000480000}"/>
    <cellStyle name="Calc Percent (1) 9 2 2" xfId="10940" xr:uid="{00000000-0005-0000-0000-000001480000}"/>
    <cellStyle name="Calc Percent (1) 9 2 3" xfId="10941" xr:uid="{00000000-0005-0000-0000-000002480000}"/>
    <cellStyle name="Calc Percent (1) 9 2 4" xfId="10942" xr:uid="{00000000-0005-0000-0000-000003480000}"/>
    <cellStyle name="Calc Percent (1) 9 2 5" xfId="10943" xr:uid="{00000000-0005-0000-0000-000004480000}"/>
    <cellStyle name="Calc Percent (1) 9 2 6" xfId="10944" xr:uid="{00000000-0005-0000-0000-000005480000}"/>
    <cellStyle name="Calc Percent (1) 9 2 7" xfId="10945" xr:uid="{00000000-0005-0000-0000-000006480000}"/>
    <cellStyle name="Calc Percent (1) 9 2 8" xfId="10946" xr:uid="{00000000-0005-0000-0000-000007480000}"/>
    <cellStyle name="Calc Percent (1) 9 2 9" xfId="10947" xr:uid="{00000000-0005-0000-0000-000008480000}"/>
    <cellStyle name="Calc Percent (1) 9 3" xfId="10948" xr:uid="{00000000-0005-0000-0000-000009480000}"/>
    <cellStyle name="Calc Percent (1) 9 3 2" xfId="10949" xr:uid="{00000000-0005-0000-0000-00000A480000}"/>
    <cellStyle name="Calc Percent (1) 9 3 3" xfId="10950" xr:uid="{00000000-0005-0000-0000-00000B480000}"/>
    <cellStyle name="Calc Percent (1) 9 3 4" xfId="10951" xr:uid="{00000000-0005-0000-0000-00000C480000}"/>
    <cellStyle name="Calc Percent (1) 9 3 5" xfId="10952" xr:uid="{00000000-0005-0000-0000-00000D480000}"/>
    <cellStyle name="Calc Percent (1) 9 3 6" xfId="10953" xr:uid="{00000000-0005-0000-0000-00000E480000}"/>
    <cellStyle name="Calc Percent (1) 9 3 7" xfId="10954" xr:uid="{00000000-0005-0000-0000-00000F480000}"/>
    <cellStyle name="Calc Percent (1) 9 3 8" xfId="10955" xr:uid="{00000000-0005-0000-0000-000010480000}"/>
    <cellStyle name="Calc Percent (1) 9 3 9" xfId="10956" xr:uid="{00000000-0005-0000-0000-000011480000}"/>
    <cellStyle name="Calc Percent (1) 9 4" xfId="10957" xr:uid="{00000000-0005-0000-0000-000012480000}"/>
    <cellStyle name="Calc Percent (1) 9 4 2" xfId="10958" xr:uid="{00000000-0005-0000-0000-000013480000}"/>
    <cellStyle name="Calc Percent (1) 9 4 3" xfId="10959" xr:uid="{00000000-0005-0000-0000-000014480000}"/>
    <cellStyle name="Calc Percent (1) 9 4 4" xfId="10960" xr:uid="{00000000-0005-0000-0000-000015480000}"/>
    <cellStyle name="Calc Percent (1) 9 4 5" xfId="10961" xr:uid="{00000000-0005-0000-0000-000016480000}"/>
    <cellStyle name="Calc Percent (1) 9 4 6" xfId="10962" xr:uid="{00000000-0005-0000-0000-000017480000}"/>
    <cellStyle name="Calc Percent (1) 9 4 7" xfId="10963" xr:uid="{00000000-0005-0000-0000-000018480000}"/>
    <cellStyle name="Calc Percent (1) 9 4 8" xfId="10964" xr:uid="{00000000-0005-0000-0000-000019480000}"/>
    <cellStyle name="Calc Percent (1) 9 5" xfId="10965" xr:uid="{00000000-0005-0000-0000-00001A480000}"/>
    <cellStyle name="Calc Percent (1) 9 6" xfId="10966" xr:uid="{00000000-0005-0000-0000-00001B480000}"/>
    <cellStyle name="Calc Percent (1) 9 7" xfId="10967" xr:uid="{00000000-0005-0000-0000-00001C480000}"/>
    <cellStyle name="Calc Percent (1) 9 8" xfId="10968" xr:uid="{00000000-0005-0000-0000-00001D480000}"/>
    <cellStyle name="Calc Percent (1) 9 9" xfId="10969" xr:uid="{00000000-0005-0000-0000-00001E480000}"/>
    <cellStyle name="Calc Percent (2)" xfId="10970" xr:uid="{00000000-0005-0000-0000-00001F480000}"/>
    <cellStyle name="Calc Units (0)" xfId="10971" xr:uid="{00000000-0005-0000-0000-000020480000}"/>
    <cellStyle name="Calc Units (1)" xfId="10972" xr:uid="{00000000-0005-0000-0000-000021480000}"/>
    <cellStyle name="Calc Units (2)" xfId="10973" xr:uid="{00000000-0005-0000-0000-000022480000}"/>
    <cellStyle name="Calc x [1]" xfId="10974" xr:uid="{00000000-0005-0000-0000-000023480000}"/>
    <cellStyle name="Calc$" xfId="10975" xr:uid="{00000000-0005-0000-0000-000024480000}"/>
    <cellStyle name="Calc$ 2" xfId="10976" xr:uid="{00000000-0005-0000-0000-000025480000}"/>
    <cellStyle name="Calc%" xfId="10977" xr:uid="{00000000-0005-0000-0000-000026480000}"/>
    <cellStyle name="Calc% 2" xfId="10978" xr:uid="{00000000-0005-0000-0000-000027480000}"/>
    <cellStyle name="Calculation 10" xfId="10979" xr:uid="{00000000-0005-0000-0000-000028480000}"/>
    <cellStyle name="Calculation 11" xfId="10980" xr:uid="{00000000-0005-0000-0000-000029480000}"/>
    <cellStyle name="Calculation 12" xfId="10981" xr:uid="{00000000-0005-0000-0000-00002A480000}"/>
    <cellStyle name="Calculation 13" xfId="10982" xr:uid="{00000000-0005-0000-0000-00002B480000}"/>
    <cellStyle name="Calculation 14" xfId="10983" xr:uid="{00000000-0005-0000-0000-00002C480000}"/>
    <cellStyle name="Calculation 2" xfId="10984" xr:uid="{00000000-0005-0000-0000-00002D480000}"/>
    <cellStyle name="Calculation 2 2" xfId="10985" xr:uid="{00000000-0005-0000-0000-00002E480000}"/>
    <cellStyle name="Calculation 2 2 2" xfId="10986" xr:uid="{00000000-0005-0000-0000-00002F480000}"/>
    <cellStyle name="Calculation 2 2 2 2" xfId="20066" xr:uid="{00000000-0005-0000-0000-000030480000}"/>
    <cellStyle name="Calculation 2 2 3" xfId="20065" xr:uid="{00000000-0005-0000-0000-000031480000}"/>
    <cellStyle name="Calculation 3" xfId="10987" xr:uid="{00000000-0005-0000-0000-000032480000}"/>
    <cellStyle name="Calculation 3 2" xfId="10988" xr:uid="{00000000-0005-0000-0000-000033480000}"/>
    <cellStyle name="Calculation 3 2 2" xfId="10989" xr:uid="{00000000-0005-0000-0000-000034480000}"/>
    <cellStyle name="Calculation 3 2 2 2" xfId="20068" xr:uid="{00000000-0005-0000-0000-000035480000}"/>
    <cellStyle name="Calculation 3 2 3" xfId="20067" xr:uid="{00000000-0005-0000-0000-000036480000}"/>
    <cellStyle name="Calculation 4" xfId="10990" xr:uid="{00000000-0005-0000-0000-000037480000}"/>
    <cellStyle name="Calculation 5" xfId="10991" xr:uid="{00000000-0005-0000-0000-000038480000}"/>
    <cellStyle name="Calculation 6" xfId="10992" xr:uid="{00000000-0005-0000-0000-000039480000}"/>
    <cellStyle name="Calculation 7" xfId="10993" xr:uid="{00000000-0005-0000-0000-00003A480000}"/>
    <cellStyle name="Calculation 8" xfId="10994" xr:uid="{00000000-0005-0000-0000-00003B480000}"/>
    <cellStyle name="Calculation 9" xfId="10995" xr:uid="{00000000-0005-0000-0000-00003C480000}"/>
    <cellStyle name="Cálculo" xfId="10996" xr:uid="{00000000-0005-0000-0000-00003D480000}"/>
    <cellStyle name="Cancel" xfId="10997" xr:uid="{00000000-0005-0000-0000-00003E480000}"/>
    <cellStyle name="Caption" xfId="10998" xr:uid="{00000000-0005-0000-0000-00003F480000}"/>
    <cellStyle name="Case" xfId="10999" xr:uid="{00000000-0005-0000-0000-000040480000}"/>
    <cellStyle name="Case %" xfId="11000" xr:uid="{00000000-0005-0000-0000-000041480000}"/>
    <cellStyle name="Case 2" xfId="11001" xr:uid="{00000000-0005-0000-0000-000042480000}"/>
    <cellStyle name="Cash Flow Statement" xfId="11002" xr:uid="{00000000-0005-0000-0000-000043480000}"/>
    <cellStyle name="Cash Flow Statement 2" xfId="11003" xr:uid="{00000000-0005-0000-0000-000044480000}"/>
    <cellStyle name="Cash Flow Statement 2 2" xfId="11004" xr:uid="{00000000-0005-0000-0000-000045480000}"/>
    <cellStyle name="Cash Flow Statement 3" xfId="11005" xr:uid="{00000000-0005-0000-0000-000046480000}"/>
    <cellStyle name="Cash Flow Statement 4" xfId="11006" xr:uid="{00000000-0005-0000-0000-000047480000}"/>
    <cellStyle name="Cash Flow Statement 5" xfId="11007" xr:uid="{00000000-0005-0000-0000-000048480000}"/>
    <cellStyle name="category" xfId="11008" xr:uid="{00000000-0005-0000-0000-000049480000}"/>
    <cellStyle name="Category Name" xfId="11009" xr:uid="{00000000-0005-0000-0000-00004A480000}"/>
    <cellStyle name="Category Name 2" xfId="11010" xr:uid="{00000000-0005-0000-0000-00004B480000}"/>
    <cellStyle name="Category Name 2 2" xfId="11011" xr:uid="{00000000-0005-0000-0000-00004C480000}"/>
    <cellStyle name="Category Name 2 2 2" xfId="11012" xr:uid="{00000000-0005-0000-0000-00004D480000}"/>
    <cellStyle name="Category Name 2 2 2 2" xfId="11013" xr:uid="{00000000-0005-0000-0000-00004E480000}"/>
    <cellStyle name="Category Name 2 2 2 2 2" xfId="16074" xr:uid="{00000000-0005-0000-0000-00004F480000}"/>
    <cellStyle name="Category Name 2 2 2 2 3" xfId="20073" xr:uid="{00000000-0005-0000-0000-000050480000}"/>
    <cellStyle name="Category Name 2 2 2 3" xfId="16073" xr:uid="{00000000-0005-0000-0000-000051480000}"/>
    <cellStyle name="Category Name 2 2 2 4" xfId="20072" xr:uid="{00000000-0005-0000-0000-000052480000}"/>
    <cellStyle name="Category Name 2 2 3" xfId="11014" xr:uid="{00000000-0005-0000-0000-000053480000}"/>
    <cellStyle name="Category Name 2 2 3 2" xfId="16075" xr:uid="{00000000-0005-0000-0000-000054480000}"/>
    <cellStyle name="Category Name 2 2 3 3" xfId="20074" xr:uid="{00000000-0005-0000-0000-000055480000}"/>
    <cellStyle name="Category Name 2 2 4" xfId="16072" xr:uid="{00000000-0005-0000-0000-000056480000}"/>
    <cellStyle name="Category Name 2 2 5" xfId="20071" xr:uid="{00000000-0005-0000-0000-000057480000}"/>
    <cellStyle name="Category Name 2 3" xfId="11015" xr:uid="{00000000-0005-0000-0000-000058480000}"/>
    <cellStyle name="Category Name 2 3 2" xfId="11016" xr:uid="{00000000-0005-0000-0000-000059480000}"/>
    <cellStyle name="Category Name 2 3 2 2" xfId="11017" xr:uid="{00000000-0005-0000-0000-00005A480000}"/>
    <cellStyle name="Category Name 2 3 2 2 2" xfId="16078" xr:uid="{00000000-0005-0000-0000-00005B480000}"/>
    <cellStyle name="Category Name 2 3 2 2 3" xfId="20077" xr:uid="{00000000-0005-0000-0000-00005C480000}"/>
    <cellStyle name="Category Name 2 3 2 3" xfId="16077" xr:uid="{00000000-0005-0000-0000-00005D480000}"/>
    <cellStyle name="Category Name 2 3 2 4" xfId="20076" xr:uid="{00000000-0005-0000-0000-00005E480000}"/>
    <cellStyle name="Category Name 2 3 3" xfId="11018" xr:uid="{00000000-0005-0000-0000-00005F480000}"/>
    <cellStyle name="Category Name 2 3 3 2" xfId="16079" xr:uid="{00000000-0005-0000-0000-000060480000}"/>
    <cellStyle name="Category Name 2 3 3 3" xfId="20078" xr:uid="{00000000-0005-0000-0000-000061480000}"/>
    <cellStyle name="Category Name 2 3 4" xfId="16076" xr:uid="{00000000-0005-0000-0000-000062480000}"/>
    <cellStyle name="Category Name 2 3 5" xfId="20075" xr:uid="{00000000-0005-0000-0000-000063480000}"/>
    <cellStyle name="Category Name 2 4" xfId="11019" xr:uid="{00000000-0005-0000-0000-000064480000}"/>
    <cellStyle name="Category Name 2 4 2" xfId="11020" xr:uid="{00000000-0005-0000-0000-000065480000}"/>
    <cellStyle name="Category Name 2 4 2 2" xfId="11021" xr:uid="{00000000-0005-0000-0000-000066480000}"/>
    <cellStyle name="Category Name 2 4 2 2 2" xfId="16082" xr:uid="{00000000-0005-0000-0000-000067480000}"/>
    <cellStyle name="Category Name 2 4 2 2 3" xfId="20081" xr:uid="{00000000-0005-0000-0000-000068480000}"/>
    <cellStyle name="Category Name 2 4 2 3" xfId="16081" xr:uid="{00000000-0005-0000-0000-000069480000}"/>
    <cellStyle name="Category Name 2 4 2 4" xfId="20080" xr:uid="{00000000-0005-0000-0000-00006A480000}"/>
    <cellStyle name="Category Name 2 4 3" xfId="11022" xr:uid="{00000000-0005-0000-0000-00006B480000}"/>
    <cellStyle name="Category Name 2 4 3 2" xfId="16083" xr:uid="{00000000-0005-0000-0000-00006C480000}"/>
    <cellStyle name="Category Name 2 4 3 3" xfId="20082" xr:uid="{00000000-0005-0000-0000-00006D480000}"/>
    <cellStyle name="Category Name 2 4 4" xfId="16080" xr:uid="{00000000-0005-0000-0000-00006E480000}"/>
    <cellStyle name="Category Name 2 4 5" xfId="20079" xr:uid="{00000000-0005-0000-0000-00006F480000}"/>
    <cellStyle name="Category Name 2 5" xfId="11023" xr:uid="{00000000-0005-0000-0000-000070480000}"/>
    <cellStyle name="Category Name 2 5 2" xfId="16084" xr:uid="{00000000-0005-0000-0000-000071480000}"/>
    <cellStyle name="Category Name 2 5 3" xfId="20083" xr:uid="{00000000-0005-0000-0000-000072480000}"/>
    <cellStyle name="Category Name 2 6" xfId="16071" xr:uid="{00000000-0005-0000-0000-000073480000}"/>
    <cellStyle name="Category Name 2 7" xfId="20070" xr:uid="{00000000-0005-0000-0000-000074480000}"/>
    <cellStyle name="Category Name 3" xfId="11024" xr:uid="{00000000-0005-0000-0000-000075480000}"/>
    <cellStyle name="Category Name 3 2" xfId="11025" xr:uid="{00000000-0005-0000-0000-000076480000}"/>
    <cellStyle name="Category Name 3 2 2" xfId="11026" xr:uid="{00000000-0005-0000-0000-000077480000}"/>
    <cellStyle name="Category Name 3 2 2 2" xfId="16087" xr:uid="{00000000-0005-0000-0000-000078480000}"/>
    <cellStyle name="Category Name 3 2 2 3" xfId="20086" xr:uid="{00000000-0005-0000-0000-000079480000}"/>
    <cellStyle name="Category Name 3 2 3" xfId="16086" xr:uid="{00000000-0005-0000-0000-00007A480000}"/>
    <cellStyle name="Category Name 3 2 4" xfId="20085" xr:uid="{00000000-0005-0000-0000-00007B480000}"/>
    <cellStyle name="Category Name 3 3" xfId="11027" xr:uid="{00000000-0005-0000-0000-00007C480000}"/>
    <cellStyle name="Category Name 3 3 2" xfId="11028" xr:uid="{00000000-0005-0000-0000-00007D480000}"/>
    <cellStyle name="Category Name 3 3 2 2" xfId="16089" xr:uid="{00000000-0005-0000-0000-00007E480000}"/>
    <cellStyle name="Category Name 3 3 2 3" xfId="20088" xr:uid="{00000000-0005-0000-0000-00007F480000}"/>
    <cellStyle name="Category Name 3 3 3" xfId="16088" xr:uid="{00000000-0005-0000-0000-000080480000}"/>
    <cellStyle name="Category Name 3 3 4" xfId="20087" xr:uid="{00000000-0005-0000-0000-000081480000}"/>
    <cellStyle name="Category Name 3 4" xfId="11029" xr:uid="{00000000-0005-0000-0000-000082480000}"/>
    <cellStyle name="Category Name 3 4 2" xfId="16090" xr:uid="{00000000-0005-0000-0000-000083480000}"/>
    <cellStyle name="Category Name 3 4 3" xfId="20089" xr:uid="{00000000-0005-0000-0000-000084480000}"/>
    <cellStyle name="Category Name 3 5" xfId="16085" xr:uid="{00000000-0005-0000-0000-000085480000}"/>
    <cellStyle name="Category Name 3 6" xfId="20084" xr:uid="{00000000-0005-0000-0000-000086480000}"/>
    <cellStyle name="Category Name 4" xfId="11030" xr:uid="{00000000-0005-0000-0000-000087480000}"/>
    <cellStyle name="Category Name 4 2" xfId="11031" xr:uid="{00000000-0005-0000-0000-000088480000}"/>
    <cellStyle name="Category Name 4 2 2" xfId="11032" xr:uid="{00000000-0005-0000-0000-000089480000}"/>
    <cellStyle name="Category Name 4 2 2 2" xfId="16093" xr:uid="{00000000-0005-0000-0000-00008A480000}"/>
    <cellStyle name="Category Name 4 2 2 3" xfId="20092" xr:uid="{00000000-0005-0000-0000-00008B480000}"/>
    <cellStyle name="Category Name 4 2 3" xfId="16092" xr:uid="{00000000-0005-0000-0000-00008C480000}"/>
    <cellStyle name="Category Name 4 2 4" xfId="20091" xr:uid="{00000000-0005-0000-0000-00008D480000}"/>
    <cellStyle name="Category Name 4 3" xfId="11033" xr:uid="{00000000-0005-0000-0000-00008E480000}"/>
    <cellStyle name="Category Name 4 3 2" xfId="16094" xr:uid="{00000000-0005-0000-0000-00008F480000}"/>
    <cellStyle name="Category Name 4 3 3" xfId="20093" xr:uid="{00000000-0005-0000-0000-000090480000}"/>
    <cellStyle name="Category Name 4 4" xfId="16091" xr:uid="{00000000-0005-0000-0000-000091480000}"/>
    <cellStyle name="Category Name 4 5" xfId="20090" xr:uid="{00000000-0005-0000-0000-000092480000}"/>
    <cellStyle name="Category Name 5" xfId="11034" xr:uid="{00000000-0005-0000-0000-000093480000}"/>
    <cellStyle name="Category Name 5 2" xfId="11035" xr:uid="{00000000-0005-0000-0000-000094480000}"/>
    <cellStyle name="Category Name 5 2 2" xfId="11036" xr:uid="{00000000-0005-0000-0000-000095480000}"/>
    <cellStyle name="Category Name 5 2 2 2" xfId="16097" xr:uid="{00000000-0005-0000-0000-000096480000}"/>
    <cellStyle name="Category Name 5 2 2 3" xfId="20096" xr:uid="{00000000-0005-0000-0000-000097480000}"/>
    <cellStyle name="Category Name 5 2 3" xfId="16096" xr:uid="{00000000-0005-0000-0000-000098480000}"/>
    <cellStyle name="Category Name 5 2 4" xfId="20095" xr:uid="{00000000-0005-0000-0000-000099480000}"/>
    <cellStyle name="Category Name 5 3" xfId="11037" xr:uid="{00000000-0005-0000-0000-00009A480000}"/>
    <cellStyle name="Category Name 5 3 2" xfId="16098" xr:uid="{00000000-0005-0000-0000-00009B480000}"/>
    <cellStyle name="Category Name 5 3 3" xfId="20097" xr:uid="{00000000-0005-0000-0000-00009C480000}"/>
    <cellStyle name="Category Name 5 4" xfId="16095" xr:uid="{00000000-0005-0000-0000-00009D480000}"/>
    <cellStyle name="Category Name 5 5" xfId="20094" xr:uid="{00000000-0005-0000-0000-00009E480000}"/>
    <cellStyle name="Category Name 6" xfId="11038" xr:uid="{00000000-0005-0000-0000-00009F480000}"/>
    <cellStyle name="Category Name 6 2" xfId="16099" xr:uid="{00000000-0005-0000-0000-0000A0480000}"/>
    <cellStyle name="Category Name 6 3" xfId="20098" xr:uid="{00000000-0005-0000-0000-0000A1480000}"/>
    <cellStyle name="Category Name 7" xfId="16070" xr:uid="{00000000-0005-0000-0000-0000A2480000}"/>
    <cellStyle name="Category Name 8" xfId="20069" xr:uid="{00000000-0005-0000-0000-0000A3480000}"/>
    <cellStyle name="Celda de comprobación" xfId="11039" xr:uid="{00000000-0005-0000-0000-0000A4480000}"/>
    <cellStyle name="Celda vinculada" xfId="11040" xr:uid="{00000000-0005-0000-0000-0000A5480000}"/>
    <cellStyle name="Célula de Verificação" xfId="11041" xr:uid="{00000000-0005-0000-0000-0000A6480000}"/>
    <cellStyle name="Célula Vinculada" xfId="11042" xr:uid="{00000000-0005-0000-0000-0000A7480000}"/>
    <cellStyle name="Center" xfId="11043" xr:uid="{00000000-0005-0000-0000-0000A8480000}"/>
    <cellStyle name="Center 2" xfId="11044" xr:uid="{00000000-0005-0000-0000-0000A9480000}"/>
    <cellStyle name="Center 2 2" xfId="20263" xr:uid="{00000000-0005-0000-0000-0000AA480000}"/>
    <cellStyle name="Center 3" xfId="11045" xr:uid="{00000000-0005-0000-0000-0000AB480000}"/>
    <cellStyle name="Center 3 2" xfId="20264" xr:uid="{00000000-0005-0000-0000-0000AC480000}"/>
    <cellStyle name="Center 4" xfId="20265" xr:uid="{00000000-0005-0000-0000-0000AD480000}"/>
    <cellStyle name="CenterBold" xfId="11046" xr:uid="{00000000-0005-0000-0000-0000AE480000}"/>
    <cellStyle name="Centered Heading" xfId="11047" xr:uid="{00000000-0005-0000-0000-0000AF480000}"/>
    <cellStyle name="Centered Heading 2" xfId="11048" xr:uid="{00000000-0005-0000-0000-0000B0480000}"/>
    <cellStyle name="CenterItalic" xfId="11049" xr:uid="{00000000-0005-0000-0000-0000B1480000}"/>
    <cellStyle name="Cents" xfId="11050" xr:uid="{00000000-0005-0000-0000-0000B2480000}"/>
    <cellStyle name="Cents 2" xfId="11051" xr:uid="{00000000-0005-0000-0000-0000B3480000}"/>
    <cellStyle name="Changeable" xfId="11052" xr:uid="{00000000-0005-0000-0000-0000B4480000}"/>
    <cellStyle name="ChartingText" xfId="11053" xr:uid="{00000000-0005-0000-0000-0000B5480000}"/>
    <cellStyle name="ChartingText 2" xfId="11054" xr:uid="{00000000-0005-0000-0000-0000B6480000}"/>
    <cellStyle name="ChartingText 3" xfId="11055" xr:uid="{00000000-0005-0000-0000-0000B7480000}"/>
    <cellStyle name="ChartingText 4" xfId="11056" xr:uid="{00000000-0005-0000-0000-0000B8480000}"/>
    <cellStyle name="Check Cell 10" xfId="11057" xr:uid="{00000000-0005-0000-0000-0000B9480000}"/>
    <cellStyle name="Check Cell 11" xfId="11058" xr:uid="{00000000-0005-0000-0000-0000BA480000}"/>
    <cellStyle name="Check Cell 12" xfId="11059" xr:uid="{00000000-0005-0000-0000-0000BB480000}"/>
    <cellStyle name="Check Cell 13" xfId="11060" xr:uid="{00000000-0005-0000-0000-0000BC480000}"/>
    <cellStyle name="Check Cell 2" xfId="11061" xr:uid="{00000000-0005-0000-0000-0000BD480000}"/>
    <cellStyle name="Check Cell 3" xfId="11062" xr:uid="{00000000-0005-0000-0000-0000BE480000}"/>
    <cellStyle name="Check Cell 4" xfId="11063" xr:uid="{00000000-0005-0000-0000-0000BF480000}"/>
    <cellStyle name="Check Cell 5" xfId="11064" xr:uid="{00000000-0005-0000-0000-0000C0480000}"/>
    <cellStyle name="Check Cell 6" xfId="11065" xr:uid="{00000000-0005-0000-0000-0000C1480000}"/>
    <cellStyle name="Check Cell 7" xfId="11066" xr:uid="{00000000-0005-0000-0000-0000C2480000}"/>
    <cellStyle name="Check Cell 8" xfId="11067" xr:uid="{00000000-0005-0000-0000-0000C3480000}"/>
    <cellStyle name="Check Cell 9" xfId="11068" xr:uid="{00000000-0005-0000-0000-0000C4480000}"/>
    <cellStyle name="CHPTop" xfId="11069" xr:uid="{00000000-0005-0000-0000-0000C5480000}"/>
    <cellStyle name="Co. Names" xfId="11070" xr:uid="{00000000-0005-0000-0000-0000C6480000}"/>
    <cellStyle name="Code" xfId="11071" xr:uid="{00000000-0005-0000-0000-0000C7480000}"/>
    <cellStyle name="Code 2" xfId="11072" xr:uid="{00000000-0005-0000-0000-0000C8480000}"/>
    <cellStyle name="Colhead_left" xfId="11073" xr:uid="{00000000-0005-0000-0000-0000C9480000}"/>
    <cellStyle name="ColHeading" xfId="11074" xr:uid="{00000000-0005-0000-0000-0000CA480000}"/>
    <cellStyle name="colheadleft" xfId="11075" xr:uid="{00000000-0005-0000-0000-0000CB480000}"/>
    <cellStyle name="colheadright" xfId="11076" xr:uid="{00000000-0005-0000-0000-0000CC480000}"/>
    <cellStyle name="Color" xfId="11077" xr:uid="{00000000-0005-0000-0000-0000CD480000}"/>
    <cellStyle name="Color 2" xfId="11078" xr:uid="{00000000-0005-0000-0000-0000CE480000}"/>
    <cellStyle name="Column Header" xfId="11079" xr:uid="{00000000-0005-0000-0000-0000CF480000}"/>
    <cellStyle name="Column Header 2" xfId="11080" xr:uid="{00000000-0005-0000-0000-0000D0480000}"/>
    <cellStyle name="Column Headings" xfId="11081" xr:uid="{00000000-0005-0000-0000-0000D1480000}"/>
    <cellStyle name="Column_Title" xfId="11082" xr:uid="{00000000-0005-0000-0000-0000D2480000}"/>
    <cellStyle name="column1" xfId="11083" xr:uid="{00000000-0005-0000-0000-0000D3480000}"/>
    <cellStyle name="column1 2" xfId="11084" xr:uid="{00000000-0005-0000-0000-0000D4480000}"/>
    <cellStyle name="column1BigNoWrap" xfId="11085" xr:uid="{00000000-0005-0000-0000-0000D5480000}"/>
    <cellStyle name="column1BigNoWrap 2" xfId="11086" xr:uid="{00000000-0005-0000-0000-0000D6480000}"/>
    <cellStyle name="column1Date" xfId="11087" xr:uid="{00000000-0005-0000-0000-0000D7480000}"/>
    <cellStyle name="column1Date 2" xfId="11088" xr:uid="{00000000-0005-0000-0000-0000D8480000}"/>
    <cellStyle name="column1Date 2 2" xfId="11089" xr:uid="{00000000-0005-0000-0000-0000D9480000}"/>
    <cellStyle name="column1Date 3" xfId="11090" xr:uid="{00000000-0005-0000-0000-0000DA480000}"/>
    <cellStyle name="column1Date 4" xfId="11091" xr:uid="{00000000-0005-0000-0000-0000DB480000}"/>
    <cellStyle name="column1Date 5" xfId="11092" xr:uid="{00000000-0005-0000-0000-0000DC480000}"/>
    <cellStyle name="column2Date" xfId="11093" xr:uid="{00000000-0005-0000-0000-0000DD480000}"/>
    <cellStyle name="column2Date 2" xfId="11094" xr:uid="{00000000-0005-0000-0000-0000DE480000}"/>
    <cellStyle name="column2Date 3" xfId="11095" xr:uid="{00000000-0005-0000-0000-0000DF480000}"/>
    <cellStyle name="column2Date 3 2" xfId="20266" xr:uid="{00000000-0005-0000-0000-0000E0480000}"/>
    <cellStyle name="column3Date" xfId="11096" xr:uid="{00000000-0005-0000-0000-0000E1480000}"/>
    <cellStyle name="column3Date 2" xfId="11097" xr:uid="{00000000-0005-0000-0000-0000E2480000}"/>
    <cellStyle name="column3Date 3" xfId="11098" xr:uid="{00000000-0005-0000-0000-0000E3480000}"/>
    <cellStyle name="column3Date 3 2" xfId="20267" xr:uid="{00000000-0005-0000-0000-0000E4480000}"/>
    <cellStyle name="ColumnHeaderNormal" xfId="11099" xr:uid="{00000000-0005-0000-0000-0000E5480000}"/>
    <cellStyle name="ColumnHeaderNormal 2" xfId="11100" xr:uid="{00000000-0005-0000-0000-0000E6480000}"/>
    <cellStyle name="ColumnHeaderNormal 3" xfId="11101" xr:uid="{00000000-0005-0000-0000-0000E7480000}"/>
    <cellStyle name="ColumnHeaderNormal 4" xfId="11102" xr:uid="{00000000-0005-0000-0000-0000E8480000}"/>
    <cellStyle name="Comma" xfId="12427" builtinId="3"/>
    <cellStyle name="Comma  - Style1" xfId="11103" xr:uid="{00000000-0005-0000-0000-0000EA480000}"/>
    <cellStyle name="Comma  - Style2" xfId="11104" xr:uid="{00000000-0005-0000-0000-0000EB480000}"/>
    <cellStyle name="Comma  - Style3" xfId="11105" xr:uid="{00000000-0005-0000-0000-0000EC480000}"/>
    <cellStyle name="Comma  - Style4" xfId="11106" xr:uid="{00000000-0005-0000-0000-0000ED480000}"/>
    <cellStyle name="Comma  - Style5" xfId="11107" xr:uid="{00000000-0005-0000-0000-0000EE480000}"/>
    <cellStyle name="Comma  - Style6" xfId="11108" xr:uid="{00000000-0005-0000-0000-0000EF480000}"/>
    <cellStyle name="Comma  - Style7" xfId="11109" xr:uid="{00000000-0005-0000-0000-0000F0480000}"/>
    <cellStyle name="Comma  - Style8" xfId="11110" xr:uid="{00000000-0005-0000-0000-0000F1480000}"/>
    <cellStyle name="Comma %" xfId="11111" xr:uid="{00000000-0005-0000-0000-0000F2480000}"/>
    <cellStyle name="Comma (1)" xfId="11112" xr:uid="{00000000-0005-0000-0000-0000F3480000}"/>
    <cellStyle name="Comma (1) 2" xfId="11113" xr:uid="{00000000-0005-0000-0000-0000F4480000}"/>
    <cellStyle name="Comma (1) 2 2" xfId="11114" xr:uid="{00000000-0005-0000-0000-0000F5480000}"/>
    <cellStyle name="Comma (1) 3" xfId="11115" xr:uid="{00000000-0005-0000-0000-0000F6480000}"/>
    <cellStyle name="Comma (1) 4" xfId="11116" xr:uid="{00000000-0005-0000-0000-0000F7480000}"/>
    <cellStyle name="Comma (1) 5" xfId="11117" xr:uid="{00000000-0005-0000-0000-0000F8480000}"/>
    <cellStyle name="Comma ," xfId="11118" xr:uid="{00000000-0005-0000-0000-0000F9480000}"/>
    <cellStyle name="Comma [0] 2" xfId="11119" xr:uid="{00000000-0005-0000-0000-0000FA480000}"/>
    <cellStyle name="Comma [0] 2 2" xfId="11120" xr:uid="{00000000-0005-0000-0000-0000FB480000}"/>
    <cellStyle name="Comma [0] 3" xfId="11121" xr:uid="{00000000-0005-0000-0000-0000FC480000}"/>
    <cellStyle name="Comma [0] 3 2" xfId="11122" xr:uid="{00000000-0005-0000-0000-0000FD480000}"/>
    <cellStyle name="Comma [0] 4" xfId="11123" xr:uid="{00000000-0005-0000-0000-0000FE480000}"/>
    <cellStyle name="Comma [0] 5" xfId="11124" xr:uid="{00000000-0005-0000-0000-0000FF480000}"/>
    <cellStyle name="Comma [00]" xfId="11125" xr:uid="{00000000-0005-0000-0000-000000490000}"/>
    <cellStyle name="Comma [1]" xfId="11126" xr:uid="{00000000-0005-0000-0000-000001490000}"/>
    <cellStyle name="Comma [1] 2" xfId="11127" xr:uid="{00000000-0005-0000-0000-000002490000}"/>
    <cellStyle name="Comma [2]" xfId="11128" xr:uid="{00000000-0005-0000-0000-000003490000}"/>
    <cellStyle name="Comma [2] 2" xfId="11129" xr:uid="{00000000-0005-0000-0000-000004490000}"/>
    <cellStyle name="Comma [3]" xfId="11130" xr:uid="{00000000-0005-0000-0000-000005490000}"/>
    <cellStyle name="Comma [3] 2" xfId="11131" xr:uid="{00000000-0005-0000-0000-000006490000}"/>
    <cellStyle name="Comma [4]" xfId="11132" xr:uid="{00000000-0005-0000-0000-000007490000}"/>
    <cellStyle name="Comma 0" xfId="11133" xr:uid="{00000000-0005-0000-0000-000008490000}"/>
    <cellStyle name="Comma 0*" xfId="11134" xr:uid="{00000000-0005-0000-0000-000009490000}"/>
    <cellStyle name="Comma 0* 2" xfId="11135" xr:uid="{00000000-0005-0000-0000-00000A490000}"/>
    <cellStyle name="Comma 0.0" xfId="11136" xr:uid="{00000000-0005-0000-0000-00000B490000}"/>
    <cellStyle name="Comma 0.0 2" xfId="11137" xr:uid="{00000000-0005-0000-0000-00000C490000}"/>
    <cellStyle name="Comma 0.0%" xfId="11138" xr:uid="{00000000-0005-0000-0000-00000D490000}"/>
    <cellStyle name="Comma 0.0% 2" xfId="11139" xr:uid="{00000000-0005-0000-0000-00000E490000}"/>
    <cellStyle name="Comma 0.00" xfId="11140" xr:uid="{00000000-0005-0000-0000-00000F490000}"/>
    <cellStyle name="Comma 0.00 2" xfId="11141" xr:uid="{00000000-0005-0000-0000-000010490000}"/>
    <cellStyle name="Comma 0.00%" xfId="11142" xr:uid="{00000000-0005-0000-0000-000011490000}"/>
    <cellStyle name="Comma 0.00% 2" xfId="11143" xr:uid="{00000000-0005-0000-0000-000012490000}"/>
    <cellStyle name="Comma 0.00_Aprio - Public Comps1" xfId="11144" xr:uid="{00000000-0005-0000-0000-000013490000}"/>
    <cellStyle name="Comma 0.000" xfId="11145" xr:uid="{00000000-0005-0000-0000-000014490000}"/>
    <cellStyle name="Comma 0.000 2" xfId="11146" xr:uid="{00000000-0005-0000-0000-000015490000}"/>
    <cellStyle name="Comma 0.000%" xfId="11147" xr:uid="{00000000-0005-0000-0000-000016490000}"/>
    <cellStyle name="Comma 0.000% 2" xfId="11148" xr:uid="{00000000-0005-0000-0000-000017490000}"/>
    <cellStyle name="Comma 0.000_Aprio - Public Comps1" xfId="11149" xr:uid="{00000000-0005-0000-0000-000018490000}"/>
    <cellStyle name="Comma 0_comps" xfId="11150" xr:uid="{00000000-0005-0000-0000-000019490000}"/>
    <cellStyle name="Comma 10" xfId="11151" xr:uid="{00000000-0005-0000-0000-00001A490000}"/>
    <cellStyle name="Comma 10 2" xfId="20394" xr:uid="{00000000-0005-0000-0000-00001B490000}"/>
    <cellStyle name="Comma 11" xfId="11152" xr:uid="{00000000-0005-0000-0000-00001C490000}"/>
    <cellStyle name="Comma 12" xfId="11153" xr:uid="{00000000-0005-0000-0000-00001D490000}"/>
    <cellStyle name="Comma 13" xfId="1" xr:uid="{00000000-0005-0000-0000-00001E490000}"/>
    <cellStyle name="Comma 13 2" xfId="12428" xr:uid="{00000000-0005-0000-0000-00001F490000}"/>
    <cellStyle name="Comma 13 3" xfId="16384" xr:uid="{00000000-0005-0000-0000-000020490000}"/>
    <cellStyle name="Comma 14" xfId="11154" xr:uid="{00000000-0005-0000-0000-000021490000}"/>
    <cellStyle name="Comma 15" xfId="16217" xr:uid="{00000000-0005-0000-0000-000022490000}"/>
    <cellStyle name="Comma 15 2" xfId="20393" xr:uid="{00000000-0005-0000-0000-000023490000}"/>
    <cellStyle name="Comma 16" xfId="20268" xr:uid="{00000000-0005-0000-0000-000024490000}"/>
    <cellStyle name="Comma 16 2 3 2" xfId="20386" xr:uid="{00000000-0005-0000-0000-000025490000}"/>
    <cellStyle name="Comma 16 2 3 2 2" xfId="20397" xr:uid="{00000000-0005-0000-0000-000026490000}"/>
    <cellStyle name="Comma 16 2 3 2 2 2" xfId="20404" xr:uid="{00000000-0005-0000-0000-000027490000}"/>
    <cellStyle name="Comma 16 2 3 2 2 2 3 2 2" xfId="20424" xr:uid="{00000000-0005-0000-0000-000028490000}"/>
    <cellStyle name="Comma 16 2 3 2 2 3 2 2 2" xfId="20422" xr:uid="{00000000-0005-0000-0000-000029490000}"/>
    <cellStyle name="Comma 16 2 3 2 2 3 3" xfId="20415" xr:uid="{00000000-0005-0000-0000-00002A490000}"/>
    <cellStyle name="Comma 16 2 3 2 2 4 2 2" xfId="20416" xr:uid="{00000000-0005-0000-0000-00002B490000}"/>
    <cellStyle name="Comma 16 3" xfId="20399" xr:uid="{00000000-0005-0000-0000-00002C490000}"/>
    <cellStyle name="Comma 17" xfId="20407" xr:uid="{00000000-0005-0000-0000-00002D490000}"/>
    <cellStyle name="Comma 18" xfId="20409" xr:uid="{00000000-0005-0000-0000-00002E490000}"/>
    <cellStyle name="Comma 19" xfId="20412" xr:uid="{00000000-0005-0000-0000-00002F490000}"/>
    <cellStyle name="Comma 2" xfId="11155" xr:uid="{00000000-0005-0000-0000-000030490000}"/>
    <cellStyle name="Comma 2 2" xfId="11156" xr:uid="{00000000-0005-0000-0000-000031490000}"/>
    <cellStyle name="Comma 2 2 2" xfId="11157" xr:uid="{00000000-0005-0000-0000-000032490000}"/>
    <cellStyle name="Comma 2 3" xfId="11158" xr:uid="{00000000-0005-0000-0000-000033490000}"/>
    <cellStyle name="Comma 2 3 2" xfId="11159" xr:uid="{00000000-0005-0000-0000-000034490000}"/>
    <cellStyle name="Comma 2 3 3" xfId="11160" xr:uid="{00000000-0005-0000-0000-000035490000}"/>
    <cellStyle name="Comma 2 3 3 2" xfId="16100" xr:uid="{00000000-0005-0000-0000-000036490000}"/>
    <cellStyle name="Comma 2 3 3 3" xfId="20099" xr:uid="{00000000-0005-0000-0000-000037490000}"/>
    <cellStyle name="Comma 2 4" xfId="11161" xr:uid="{00000000-0005-0000-0000-000038490000}"/>
    <cellStyle name="Comma 2 4 2" xfId="11162" xr:uid="{00000000-0005-0000-0000-000039490000}"/>
    <cellStyle name="Comma 2 5" xfId="11163" xr:uid="{00000000-0005-0000-0000-00003A490000}"/>
    <cellStyle name="Comma 2 5 2" xfId="11164" xr:uid="{00000000-0005-0000-0000-00003B490000}"/>
    <cellStyle name="Comma 2 6" xfId="11165" xr:uid="{00000000-0005-0000-0000-00003C490000}"/>
    <cellStyle name="Comma 2*" xfId="11166" xr:uid="{00000000-0005-0000-0000-00003D490000}"/>
    <cellStyle name="Comma 2* 2" xfId="11167" xr:uid="{00000000-0005-0000-0000-00003E490000}"/>
    <cellStyle name="Comma 2_2008 SVB Financial Information v.2" xfId="11168" xr:uid="{00000000-0005-0000-0000-00003F490000}"/>
    <cellStyle name="Comma 24 2" xfId="20269" xr:uid="{00000000-0005-0000-0000-000040490000}"/>
    <cellStyle name="Comma 24 2 2" xfId="20270" xr:uid="{00000000-0005-0000-0000-000041490000}"/>
    <cellStyle name="Comma 3" xfId="11169" xr:uid="{00000000-0005-0000-0000-000042490000}"/>
    <cellStyle name="Comma 3 2" xfId="11170" xr:uid="{00000000-0005-0000-0000-000043490000}"/>
    <cellStyle name="Comma 3 2 2" xfId="11171" xr:uid="{00000000-0005-0000-0000-000044490000}"/>
    <cellStyle name="Comma 3 2 3" xfId="20271" xr:uid="{00000000-0005-0000-0000-000045490000}"/>
    <cellStyle name="Comma 3 3" xfId="11172" xr:uid="{00000000-0005-0000-0000-000046490000}"/>
    <cellStyle name="Comma 3 3 2" xfId="11173" xr:uid="{00000000-0005-0000-0000-000047490000}"/>
    <cellStyle name="Comma 3 4" xfId="11174" xr:uid="{00000000-0005-0000-0000-000048490000}"/>
    <cellStyle name="Comma 3 5" xfId="11175" xr:uid="{00000000-0005-0000-0000-000049490000}"/>
    <cellStyle name="Comma 3 6" xfId="16101" xr:uid="{00000000-0005-0000-0000-00004A490000}"/>
    <cellStyle name="Comma 3 7" xfId="20100" xr:uid="{00000000-0005-0000-0000-00004B490000}"/>
    <cellStyle name="Comma 3*" xfId="11176" xr:uid="{00000000-0005-0000-0000-00004C490000}"/>
    <cellStyle name="Comma 39" xfId="12426" xr:uid="{00000000-0005-0000-0000-00004D490000}"/>
    <cellStyle name="Comma 4" xfId="11177" xr:uid="{00000000-0005-0000-0000-00004E490000}"/>
    <cellStyle name="Comma 4 2" xfId="11178" xr:uid="{00000000-0005-0000-0000-00004F490000}"/>
    <cellStyle name="Comma 4 5" xfId="12425" xr:uid="{00000000-0005-0000-0000-000050490000}"/>
    <cellStyle name="Comma 5" xfId="11179" xr:uid="{00000000-0005-0000-0000-000051490000}"/>
    <cellStyle name="Comma 5 2" xfId="11180" xr:uid="{00000000-0005-0000-0000-000052490000}"/>
    <cellStyle name="Comma 6" xfId="11181" xr:uid="{00000000-0005-0000-0000-000053490000}"/>
    <cellStyle name="Comma 6 2" xfId="11182" xr:uid="{00000000-0005-0000-0000-000054490000}"/>
    <cellStyle name="Comma 6 2 2" xfId="16102" xr:uid="{00000000-0005-0000-0000-000055490000}"/>
    <cellStyle name="Comma 6 2 3" xfId="20101" xr:uid="{00000000-0005-0000-0000-000056490000}"/>
    <cellStyle name="Comma 6 3" xfId="11183" xr:uid="{00000000-0005-0000-0000-000057490000}"/>
    <cellStyle name="Comma 7" xfId="11184" xr:uid="{00000000-0005-0000-0000-000058490000}"/>
    <cellStyle name="Comma 7 2" xfId="11185" xr:uid="{00000000-0005-0000-0000-000059490000}"/>
    <cellStyle name="Comma 7 2 2" xfId="16103" xr:uid="{00000000-0005-0000-0000-00005A490000}"/>
    <cellStyle name="Comma 7 2 3" xfId="20102" xr:uid="{00000000-0005-0000-0000-00005B490000}"/>
    <cellStyle name="Comma 7 3" xfId="11186" xr:uid="{00000000-0005-0000-0000-00005C490000}"/>
    <cellStyle name="Comma 7 3 2" xfId="16104" xr:uid="{00000000-0005-0000-0000-00005D490000}"/>
    <cellStyle name="Comma 7 3 3" xfId="20103" xr:uid="{00000000-0005-0000-0000-00005E490000}"/>
    <cellStyle name="Comma 8" xfId="11187" xr:uid="{00000000-0005-0000-0000-00005F490000}"/>
    <cellStyle name="Comma 9" xfId="11188" xr:uid="{00000000-0005-0000-0000-000060490000}"/>
    <cellStyle name="Comma Input" xfId="11189" xr:uid="{00000000-0005-0000-0000-000061490000}"/>
    <cellStyle name="Comma Input 2" xfId="11190" xr:uid="{00000000-0005-0000-0000-000062490000}"/>
    <cellStyle name="Comma Input 2 2" xfId="11191" xr:uid="{00000000-0005-0000-0000-000063490000}"/>
    <cellStyle name="Comma Input 3" xfId="11192" xr:uid="{00000000-0005-0000-0000-000064490000}"/>
    <cellStyle name="Comma Input 4" xfId="11193" xr:uid="{00000000-0005-0000-0000-000065490000}"/>
    <cellStyle name="Comma Input 5" xfId="11194" xr:uid="{00000000-0005-0000-0000-000066490000}"/>
    <cellStyle name="comma zerodec" xfId="11195" xr:uid="{00000000-0005-0000-0000-000067490000}"/>
    <cellStyle name="Comma*" xfId="11196" xr:uid="{00000000-0005-0000-0000-000068490000}"/>
    <cellStyle name="Comma0" xfId="11197" xr:uid="{00000000-0005-0000-0000-000069490000}"/>
    <cellStyle name="Comma0 - Modelo1" xfId="11198" xr:uid="{00000000-0005-0000-0000-00006A490000}"/>
    <cellStyle name="Comma0 - Modelo1 2" xfId="11199" xr:uid="{00000000-0005-0000-0000-00006B490000}"/>
    <cellStyle name="Comma0 - Style1" xfId="11200" xr:uid="{00000000-0005-0000-0000-00006C490000}"/>
    <cellStyle name="Comma0 - Style1 2" xfId="11201" xr:uid="{00000000-0005-0000-0000-00006D490000}"/>
    <cellStyle name="Comma0 - Style2" xfId="11202" xr:uid="{00000000-0005-0000-0000-00006E490000}"/>
    <cellStyle name="Comma0 - Style3" xfId="11203" xr:uid="{00000000-0005-0000-0000-00006F490000}"/>
    <cellStyle name="Comma0 - Style4" xfId="11204" xr:uid="{00000000-0005-0000-0000-000070490000}"/>
    <cellStyle name="Comma0 2" xfId="11205" xr:uid="{00000000-0005-0000-0000-000071490000}"/>
    <cellStyle name="Comma0_~8944579" xfId="11206" xr:uid="{00000000-0005-0000-0000-000072490000}"/>
    <cellStyle name="Comma1" xfId="11207" xr:uid="{00000000-0005-0000-0000-000073490000}"/>
    <cellStyle name="Comma1 - Modelo2" xfId="11208" xr:uid="{00000000-0005-0000-0000-000074490000}"/>
    <cellStyle name="Comma1 - Modelo2 2" xfId="11209" xr:uid="{00000000-0005-0000-0000-000075490000}"/>
    <cellStyle name="Comma1 - Style2" xfId="11210" xr:uid="{00000000-0005-0000-0000-000076490000}"/>
    <cellStyle name="Comma1 - Style2 2" xfId="11211" xr:uid="{00000000-0005-0000-0000-000077490000}"/>
    <cellStyle name="Comma1 2" xfId="11212" xr:uid="{00000000-0005-0000-0000-000078490000}"/>
    <cellStyle name="Comma2" xfId="11213" xr:uid="{00000000-0005-0000-0000-000079490000}"/>
    <cellStyle name="Comma2 2" xfId="11214" xr:uid="{00000000-0005-0000-0000-00007A490000}"/>
    <cellStyle name="Comments" xfId="11215" xr:uid="{00000000-0005-0000-0000-00007B490000}"/>
    <cellStyle name="Company" xfId="11216" xr:uid="{00000000-0005-0000-0000-00007C490000}"/>
    <cellStyle name="Company 2" xfId="11217" xr:uid="{00000000-0005-0000-0000-00007D490000}"/>
    <cellStyle name="Company Name" xfId="11218" xr:uid="{00000000-0005-0000-0000-00007E490000}"/>
    <cellStyle name="Company Name 2" xfId="11219" xr:uid="{00000000-0005-0000-0000-00007F490000}"/>
    <cellStyle name="Company_Boston Power VD 01 31 2008 Model 02 26 2008" xfId="11220" xr:uid="{00000000-0005-0000-0000-000080490000}"/>
    <cellStyle name="CompanyName" xfId="11221" xr:uid="{00000000-0005-0000-0000-000081490000}"/>
    <cellStyle name="CompanyName 2" xfId="11222" xr:uid="{00000000-0005-0000-0000-000082490000}"/>
    <cellStyle name="Compressed" xfId="11223" xr:uid="{00000000-0005-0000-0000-000083490000}"/>
    <cellStyle name="Copied" xfId="11224" xr:uid="{00000000-0005-0000-0000-000084490000}"/>
    <cellStyle name="Copied 2" xfId="11225" xr:uid="{00000000-0005-0000-0000-000085490000}"/>
    <cellStyle name="COST1" xfId="11226" xr:uid="{00000000-0005-0000-0000-000086490000}"/>
    <cellStyle name="Coverage" xfId="11227" xr:uid="{00000000-0005-0000-0000-000087490000}"/>
    <cellStyle name="CR Comma" xfId="11228" xr:uid="{00000000-0005-0000-0000-000088490000}"/>
    <cellStyle name="CR Comma 2" xfId="11229" xr:uid="{00000000-0005-0000-0000-000089490000}"/>
    <cellStyle name="CR Currency" xfId="11230" xr:uid="{00000000-0005-0000-0000-00008A490000}"/>
    <cellStyle name="CR Currency 2" xfId="11231" xr:uid="{00000000-0005-0000-0000-00008B490000}"/>
    <cellStyle name="Curr $ [0]" xfId="11232" xr:uid="{00000000-0005-0000-0000-00008C490000}"/>
    <cellStyle name="Curr $ [0] 2" xfId="11233" xr:uid="{00000000-0005-0000-0000-00008D490000}"/>
    <cellStyle name="Curr $ [0] 3" xfId="11234" xr:uid="{00000000-0005-0000-0000-00008E490000}"/>
    <cellStyle name="Curr $ [2]" xfId="11235" xr:uid="{00000000-0005-0000-0000-00008F490000}"/>
    <cellStyle name="Curr $ [2] 2" xfId="11236" xr:uid="{00000000-0005-0000-0000-000090490000}"/>
    <cellStyle name="Curr $ [2] 3" xfId="11237" xr:uid="{00000000-0005-0000-0000-000091490000}"/>
    <cellStyle name="Curr $k [0]" xfId="11238" xr:uid="{00000000-0005-0000-0000-000092490000}"/>
    <cellStyle name="Curr $k [0] 2" xfId="11239" xr:uid="{00000000-0005-0000-0000-000093490000}"/>
    <cellStyle name="Curr $k [0] 3" xfId="11240" xr:uid="{00000000-0005-0000-0000-000094490000}"/>
    <cellStyle name="Curr £ [0]" xfId="11241" xr:uid="{00000000-0005-0000-0000-000095490000}"/>
    <cellStyle name="Curr £ [0] 2" xfId="11242" xr:uid="{00000000-0005-0000-0000-000096490000}"/>
    <cellStyle name="Curr £ [0] 3" xfId="11243" xr:uid="{00000000-0005-0000-0000-000097490000}"/>
    <cellStyle name="Curr £ [2]" xfId="11244" xr:uid="{00000000-0005-0000-0000-000098490000}"/>
    <cellStyle name="Curr £ [2] 2" xfId="11245" xr:uid="{00000000-0005-0000-0000-000099490000}"/>
    <cellStyle name="Curr £ [2] 3" xfId="11246" xr:uid="{00000000-0005-0000-0000-00009A490000}"/>
    <cellStyle name="CurRatio" xfId="11247" xr:uid="{00000000-0005-0000-0000-00009B490000}"/>
    <cellStyle name="Curren - Style2" xfId="11248" xr:uid="{00000000-0005-0000-0000-00009C490000}"/>
    <cellStyle name="Curren - Style2 2" xfId="11249" xr:uid="{00000000-0005-0000-0000-00009D490000}"/>
    <cellStyle name="Curren - Style4" xfId="11250" xr:uid="{00000000-0005-0000-0000-00009E490000}"/>
    <cellStyle name="Currency" xfId="20305" builtinId="4"/>
    <cellStyle name="Currency %" xfId="11251" xr:uid="{00000000-0005-0000-0000-0000A0490000}"/>
    <cellStyle name="Currency % 2" xfId="11252" xr:uid="{00000000-0005-0000-0000-0000A1490000}"/>
    <cellStyle name="Currency ($)" xfId="11253" xr:uid="{00000000-0005-0000-0000-0000A2490000}"/>
    <cellStyle name="Currency (£)" xfId="11254" xr:uid="{00000000-0005-0000-0000-0000A3490000}"/>
    <cellStyle name="Currency (0.00)" xfId="11255" xr:uid="{00000000-0005-0000-0000-0000A4490000}"/>
    <cellStyle name="Currency (0.00) 2" xfId="11256" xr:uid="{00000000-0005-0000-0000-0000A5490000}"/>
    <cellStyle name="Currency (0.00) 2 2" xfId="11257" xr:uid="{00000000-0005-0000-0000-0000A6490000}"/>
    <cellStyle name="Currency (0.00) 2 2 2" xfId="11258" xr:uid="{00000000-0005-0000-0000-0000A7490000}"/>
    <cellStyle name="Currency (0.00) 2 2 2 2" xfId="11259" xr:uid="{00000000-0005-0000-0000-0000A8490000}"/>
    <cellStyle name="Currency (0.00) 2 2 2 2 2" xfId="16109" xr:uid="{00000000-0005-0000-0000-0000A9490000}"/>
    <cellStyle name="Currency (0.00) 2 2 2 2 3" xfId="20108" xr:uid="{00000000-0005-0000-0000-0000AA490000}"/>
    <cellStyle name="Currency (0.00) 2 2 2 3" xfId="16108" xr:uid="{00000000-0005-0000-0000-0000AB490000}"/>
    <cellStyle name="Currency (0.00) 2 2 2 4" xfId="20107" xr:uid="{00000000-0005-0000-0000-0000AC490000}"/>
    <cellStyle name="Currency (0.00) 2 2 3" xfId="11260" xr:uid="{00000000-0005-0000-0000-0000AD490000}"/>
    <cellStyle name="Currency (0.00) 2 2 3 2" xfId="16110" xr:uid="{00000000-0005-0000-0000-0000AE490000}"/>
    <cellStyle name="Currency (0.00) 2 2 3 3" xfId="20109" xr:uid="{00000000-0005-0000-0000-0000AF490000}"/>
    <cellStyle name="Currency (0.00) 2 2 4" xfId="16107" xr:uid="{00000000-0005-0000-0000-0000B0490000}"/>
    <cellStyle name="Currency (0.00) 2 2 5" xfId="20106" xr:uid="{00000000-0005-0000-0000-0000B1490000}"/>
    <cellStyle name="Currency (0.00) 2 3" xfId="11261" xr:uid="{00000000-0005-0000-0000-0000B2490000}"/>
    <cellStyle name="Currency (0.00) 2 3 2" xfId="11262" xr:uid="{00000000-0005-0000-0000-0000B3490000}"/>
    <cellStyle name="Currency (0.00) 2 3 2 2" xfId="11263" xr:uid="{00000000-0005-0000-0000-0000B4490000}"/>
    <cellStyle name="Currency (0.00) 2 3 2 2 2" xfId="16113" xr:uid="{00000000-0005-0000-0000-0000B5490000}"/>
    <cellStyle name="Currency (0.00) 2 3 2 2 3" xfId="20112" xr:uid="{00000000-0005-0000-0000-0000B6490000}"/>
    <cellStyle name="Currency (0.00) 2 3 2 3" xfId="16112" xr:uid="{00000000-0005-0000-0000-0000B7490000}"/>
    <cellStyle name="Currency (0.00) 2 3 2 4" xfId="20111" xr:uid="{00000000-0005-0000-0000-0000B8490000}"/>
    <cellStyle name="Currency (0.00) 2 3 3" xfId="11264" xr:uid="{00000000-0005-0000-0000-0000B9490000}"/>
    <cellStyle name="Currency (0.00) 2 3 3 2" xfId="16114" xr:uid="{00000000-0005-0000-0000-0000BA490000}"/>
    <cellStyle name="Currency (0.00) 2 3 3 3" xfId="20113" xr:uid="{00000000-0005-0000-0000-0000BB490000}"/>
    <cellStyle name="Currency (0.00) 2 3 4" xfId="16111" xr:uid="{00000000-0005-0000-0000-0000BC490000}"/>
    <cellStyle name="Currency (0.00) 2 3 5" xfId="20110" xr:uid="{00000000-0005-0000-0000-0000BD490000}"/>
    <cellStyle name="Currency (0.00) 2 4" xfId="11265" xr:uid="{00000000-0005-0000-0000-0000BE490000}"/>
    <cellStyle name="Currency (0.00) 2 4 2" xfId="11266" xr:uid="{00000000-0005-0000-0000-0000BF490000}"/>
    <cellStyle name="Currency (0.00) 2 4 2 2" xfId="11267" xr:uid="{00000000-0005-0000-0000-0000C0490000}"/>
    <cellStyle name="Currency (0.00) 2 4 2 2 2" xfId="16117" xr:uid="{00000000-0005-0000-0000-0000C1490000}"/>
    <cellStyle name="Currency (0.00) 2 4 2 2 3" xfId="20116" xr:uid="{00000000-0005-0000-0000-0000C2490000}"/>
    <cellStyle name="Currency (0.00) 2 4 2 3" xfId="16116" xr:uid="{00000000-0005-0000-0000-0000C3490000}"/>
    <cellStyle name="Currency (0.00) 2 4 2 4" xfId="20115" xr:uid="{00000000-0005-0000-0000-0000C4490000}"/>
    <cellStyle name="Currency (0.00) 2 4 3" xfId="11268" xr:uid="{00000000-0005-0000-0000-0000C5490000}"/>
    <cellStyle name="Currency (0.00) 2 4 3 2" xfId="16118" xr:uid="{00000000-0005-0000-0000-0000C6490000}"/>
    <cellStyle name="Currency (0.00) 2 4 3 3" xfId="20117" xr:uid="{00000000-0005-0000-0000-0000C7490000}"/>
    <cellStyle name="Currency (0.00) 2 4 4" xfId="16115" xr:uid="{00000000-0005-0000-0000-0000C8490000}"/>
    <cellStyle name="Currency (0.00) 2 4 5" xfId="20114" xr:uid="{00000000-0005-0000-0000-0000C9490000}"/>
    <cellStyle name="Currency (0.00) 2 5" xfId="11269" xr:uid="{00000000-0005-0000-0000-0000CA490000}"/>
    <cellStyle name="Currency (0.00) 2 5 2" xfId="16119" xr:uid="{00000000-0005-0000-0000-0000CB490000}"/>
    <cellStyle name="Currency (0.00) 2 5 3" xfId="20118" xr:uid="{00000000-0005-0000-0000-0000CC490000}"/>
    <cellStyle name="Currency (0.00) 2 6" xfId="16106" xr:uid="{00000000-0005-0000-0000-0000CD490000}"/>
    <cellStyle name="Currency (0.00) 2 7" xfId="20105" xr:uid="{00000000-0005-0000-0000-0000CE490000}"/>
    <cellStyle name="Currency (0.00) 3" xfId="11270" xr:uid="{00000000-0005-0000-0000-0000CF490000}"/>
    <cellStyle name="Currency (0.00) 3 2" xfId="11271" xr:uid="{00000000-0005-0000-0000-0000D0490000}"/>
    <cellStyle name="Currency (0.00) 3 2 2" xfId="11272" xr:uid="{00000000-0005-0000-0000-0000D1490000}"/>
    <cellStyle name="Currency (0.00) 3 2 2 2" xfId="16122" xr:uid="{00000000-0005-0000-0000-0000D2490000}"/>
    <cellStyle name="Currency (0.00) 3 2 2 3" xfId="20121" xr:uid="{00000000-0005-0000-0000-0000D3490000}"/>
    <cellStyle name="Currency (0.00) 3 2 3" xfId="16121" xr:uid="{00000000-0005-0000-0000-0000D4490000}"/>
    <cellStyle name="Currency (0.00) 3 2 4" xfId="20120" xr:uid="{00000000-0005-0000-0000-0000D5490000}"/>
    <cellStyle name="Currency (0.00) 3 3" xfId="11273" xr:uid="{00000000-0005-0000-0000-0000D6490000}"/>
    <cellStyle name="Currency (0.00) 3 3 2" xfId="11274" xr:uid="{00000000-0005-0000-0000-0000D7490000}"/>
    <cellStyle name="Currency (0.00) 3 3 2 2" xfId="16124" xr:uid="{00000000-0005-0000-0000-0000D8490000}"/>
    <cellStyle name="Currency (0.00) 3 3 2 3" xfId="20123" xr:uid="{00000000-0005-0000-0000-0000D9490000}"/>
    <cellStyle name="Currency (0.00) 3 3 3" xfId="16123" xr:uid="{00000000-0005-0000-0000-0000DA490000}"/>
    <cellStyle name="Currency (0.00) 3 3 4" xfId="20122" xr:uid="{00000000-0005-0000-0000-0000DB490000}"/>
    <cellStyle name="Currency (0.00) 3 4" xfId="11275" xr:uid="{00000000-0005-0000-0000-0000DC490000}"/>
    <cellStyle name="Currency (0.00) 3 4 2" xfId="16125" xr:uid="{00000000-0005-0000-0000-0000DD490000}"/>
    <cellStyle name="Currency (0.00) 3 4 3" xfId="20124" xr:uid="{00000000-0005-0000-0000-0000DE490000}"/>
    <cellStyle name="Currency (0.00) 3 5" xfId="16120" xr:uid="{00000000-0005-0000-0000-0000DF490000}"/>
    <cellStyle name="Currency (0.00) 3 6" xfId="20119" xr:uid="{00000000-0005-0000-0000-0000E0490000}"/>
    <cellStyle name="Currency (0.00) 4" xfId="11276" xr:uid="{00000000-0005-0000-0000-0000E1490000}"/>
    <cellStyle name="Currency (0.00) 4 2" xfId="11277" xr:uid="{00000000-0005-0000-0000-0000E2490000}"/>
    <cellStyle name="Currency (0.00) 4 2 2" xfId="11278" xr:uid="{00000000-0005-0000-0000-0000E3490000}"/>
    <cellStyle name="Currency (0.00) 4 2 2 2" xfId="16128" xr:uid="{00000000-0005-0000-0000-0000E4490000}"/>
    <cellStyle name="Currency (0.00) 4 2 2 3" xfId="20127" xr:uid="{00000000-0005-0000-0000-0000E5490000}"/>
    <cellStyle name="Currency (0.00) 4 2 3" xfId="16127" xr:uid="{00000000-0005-0000-0000-0000E6490000}"/>
    <cellStyle name="Currency (0.00) 4 2 4" xfId="20126" xr:uid="{00000000-0005-0000-0000-0000E7490000}"/>
    <cellStyle name="Currency (0.00) 4 3" xfId="11279" xr:uid="{00000000-0005-0000-0000-0000E8490000}"/>
    <cellStyle name="Currency (0.00) 4 3 2" xfId="16129" xr:uid="{00000000-0005-0000-0000-0000E9490000}"/>
    <cellStyle name="Currency (0.00) 4 3 3" xfId="20128" xr:uid="{00000000-0005-0000-0000-0000EA490000}"/>
    <cellStyle name="Currency (0.00) 4 4" xfId="16126" xr:uid="{00000000-0005-0000-0000-0000EB490000}"/>
    <cellStyle name="Currency (0.00) 4 5" xfId="20125" xr:uid="{00000000-0005-0000-0000-0000EC490000}"/>
    <cellStyle name="Currency (0.00) 5" xfId="11280" xr:uid="{00000000-0005-0000-0000-0000ED490000}"/>
    <cellStyle name="Currency (0.00) 5 2" xfId="11281" xr:uid="{00000000-0005-0000-0000-0000EE490000}"/>
    <cellStyle name="Currency (0.00) 5 2 2" xfId="11282" xr:uid="{00000000-0005-0000-0000-0000EF490000}"/>
    <cellStyle name="Currency (0.00) 5 2 2 2" xfId="16132" xr:uid="{00000000-0005-0000-0000-0000F0490000}"/>
    <cellStyle name="Currency (0.00) 5 2 2 3" xfId="20131" xr:uid="{00000000-0005-0000-0000-0000F1490000}"/>
    <cellStyle name="Currency (0.00) 5 2 3" xfId="16131" xr:uid="{00000000-0005-0000-0000-0000F2490000}"/>
    <cellStyle name="Currency (0.00) 5 2 4" xfId="20130" xr:uid="{00000000-0005-0000-0000-0000F3490000}"/>
    <cellStyle name="Currency (0.00) 5 3" xfId="11283" xr:uid="{00000000-0005-0000-0000-0000F4490000}"/>
    <cellStyle name="Currency (0.00) 5 3 2" xfId="16133" xr:uid="{00000000-0005-0000-0000-0000F5490000}"/>
    <cellStyle name="Currency (0.00) 5 3 3" xfId="20132" xr:uid="{00000000-0005-0000-0000-0000F6490000}"/>
    <cellStyle name="Currency (0.00) 5 4" xfId="16130" xr:uid="{00000000-0005-0000-0000-0000F7490000}"/>
    <cellStyle name="Currency (0.00) 5 5" xfId="20129" xr:uid="{00000000-0005-0000-0000-0000F8490000}"/>
    <cellStyle name="Currency (0.00) 6" xfId="11284" xr:uid="{00000000-0005-0000-0000-0000F9490000}"/>
    <cellStyle name="Currency (0.00) 6 2" xfId="16134" xr:uid="{00000000-0005-0000-0000-0000FA490000}"/>
    <cellStyle name="Currency (0.00) 6 3" xfId="20133" xr:uid="{00000000-0005-0000-0000-0000FB490000}"/>
    <cellStyle name="Currency (0.00) 7" xfId="16105" xr:uid="{00000000-0005-0000-0000-0000FC490000}"/>
    <cellStyle name="Currency (0.00) 8" xfId="20104" xr:uid="{00000000-0005-0000-0000-0000FD490000}"/>
    <cellStyle name="Currency [0] 2" xfId="11285" xr:uid="{00000000-0005-0000-0000-0000FE490000}"/>
    <cellStyle name="Currency [0] 2 2" xfId="11286" xr:uid="{00000000-0005-0000-0000-0000FF490000}"/>
    <cellStyle name="Currency [00]" xfId="11287" xr:uid="{00000000-0005-0000-0000-0000004A0000}"/>
    <cellStyle name="Currency [1]" xfId="11288" xr:uid="{00000000-0005-0000-0000-0000014A0000}"/>
    <cellStyle name="Currency [1] 2" xfId="11289" xr:uid="{00000000-0005-0000-0000-0000024A0000}"/>
    <cellStyle name="Currency [1] 2 2" xfId="11290" xr:uid="{00000000-0005-0000-0000-0000034A0000}"/>
    <cellStyle name="Currency [1] 3" xfId="11291" xr:uid="{00000000-0005-0000-0000-0000044A0000}"/>
    <cellStyle name="Currency [1] 4" xfId="11292" xr:uid="{00000000-0005-0000-0000-0000054A0000}"/>
    <cellStyle name="Currency [1] 5" xfId="11293" xr:uid="{00000000-0005-0000-0000-0000064A0000}"/>
    <cellStyle name="Currency [2]" xfId="11294" xr:uid="{00000000-0005-0000-0000-0000074A0000}"/>
    <cellStyle name="Currency [3]" xfId="11295" xr:uid="{00000000-0005-0000-0000-0000084A0000}"/>
    <cellStyle name="Currency [3] 2" xfId="11296" xr:uid="{00000000-0005-0000-0000-0000094A0000}"/>
    <cellStyle name="Currency [4]" xfId="11297" xr:uid="{00000000-0005-0000-0000-00000A4A0000}"/>
    <cellStyle name="Currency 0" xfId="11298" xr:uid="{00000000-0005-0000-0000-00000B4A0000}"/>
    <cellStyle name="Currency 0 2" xfId="11299" xr:uid="{00000000-0005-0000-0000-00000C4A0000}"/>
    <cellStyle name="Currency 0.0" xfId="11300" xr:uid="{00000000-0005-0000-0000-00000D4A0000}"/>
    <cellStyle name="Currency 0.0%" xfId="11301" xr:uid="{00000000-0005-0000-0000-00000E4A0000}"/>
    <cellStyle name="Currency 0.0% 2" xfId="11302" xr:uid="{00000000-0005-0000-0000-00000F4A0000}"/>
    <cellStyle name="Currency 0.00" xfId="11303" xr:uid="{00000000-0005-0000-0000-0000104A0000}"/>
    <cellStyle name="Currency 0.00%" xfId="11304" xr:uid="{00000000-0005-0000-0000-0000114A0000}"/>
    <cellStyle name="Currency 0.00% 2" xfId="11305" xr:uid="{00000000-0005-0000-0000-0000124A0000}"/>
    <cellStyle name="Currency 0.000" xfId="11306" xr:uid="{00000000-0005-0000-0000-0000134A0000}"/>
    <cellStyle name="Currency 0.000%" xfId="11307" xr:uid="{00000000-0005-0000-0000-0000144A0000}"/>
    <cellStyle name="Currency 0.000% 2" xfId="11308" xr:uid="{00000000-0005-0000-0000-0000154A0000}"/>
    <cellStyle name="Currency 14" xfId="20311" xr:uid="{00000000-0005-0000-0000-0000164A0000}"/>
    <cellStyle name="Currency 2" xfId="3" xr:uid="{00000000-0005-0000-0000-0000174A0000}"/>
    <cellStyle name="Currency 2 2" xfId="11309" xr:uid="{00000000-0005-0000-0000-0000184A0000}"/>
    <cellStyle name="Currency 2 2 2" xfId="11310" xr:uid="{00000000-0005-0000-0000-0000194A0000}"/>
    <cellStyle name="Currency 2 2 2 2" xfId="11311" xr:uid="{00000000-0005-0000-0000-00001A4A0000}"/>
    <cellStyle name="Currency 2 2 2 2 2" xfId="16135" xr:uid="{00000000-0005-0000-0000-00001B4A0000}"/>
    <cellStyle name="Currency 2 2 2 2 3" xfId="20134" xr:uid="{00000000-0005-0000-0000-00001C4A0000}"/>
    <cellStyle name="Currency 2 2 3" xfId="11312" xr:uid="{00000000-0005-0000-0000-00001D4A0000}"/>
    <cellStyle name="Currency 2 2 3 2" xfId="16136" xr:uid="{00000000-0005-0000-0000-00001E4A0000}"/>
    <cellStyle name="Currency 2 2 3 3" xfId="20135" xr:uid="{00000000-0005-0000-0000-00001F4A0000}"/>
    <cellStyle name="Currency 2 3" xfId="11313" xr:uid="{00000000-0005-0000-0000-0000204A0000}"/>
    <cellStyle name="Currency 2 3 2" xfId="11314" xr:uid="{00000000-0005-0000-0000-0000214A0000}"/>
    <cellStyle name="Currency 2 4" xfId="11315" xr:uid="{00000000-0005-0000-0000-0000224A0000}"/>
    <cellStyle name="Currency 2 4 2" xfId="11316" xr:uid="{00000000-0005-0000-0000-0000234A0000}"/>
    <cellStyle name="Currency 2 5" xfId="11317" xr:uid="{00000000-0005-0000-0000-0000244A0000}"/>
    <cellStyle name="Currency 2 5 2" xfId="11318" xr:uid="{00000000-0005-0000-0000-0000254A0000}"/>
    <cellStyle name="Currency 2 6" xfId="11319" xr:uid="{00000000-0005-0000-0000-0000264A0000}"/>
    <cellStyle name="Currency 2 7" xfId="12430" xr:uid="{00000000-0005-0000-0000-0000274A0000}"/>
    <cellStyle name="Currency 2 8" xfId="16386" xr:uid="{00000000-0005-0000-0000-0000284A0000}"/>
    <cellStyle name="Currency 2*" xfId="11320" xr:uid="{00000000-0005-0000-0000-0000294A0000}"/>
    <cellStyle name="Currency 2_ Budgeted Income Statement for Y2008 (071508)" xfId="11321" xr:uid="{00000000-0005-0000-0000-00002A4A0000}"/>
    <cellStyle name="Currency 3" xfId="11322" xr:uid="{00000000-0005-0000-0000-00002B4A0000}"/>
    <cellStyle name="Currency 3 2" xfId="11323" xr:uid="{00000000-0005-0000-0000-00002C4A0000}"/>
    <cellStyle name="Currency 3*" xfId="11324" xr:uid="{00000000-0005-0000-0000-00002D4A0000}"/>
    <cellStyle name="Currency 3_ Budgeted Income Statement for Y2009 (071508)" xfId="11325" xr:uid="{00000000-0005-0000-0000-00002E4A0000}"/>
    <cellStyle name="Currency 39" xfId="20395" xr:uid="{00000000-0005-0000-0000-00002F4A0000}"/>
    <cellStyle name="Currency 4" xfId="11326" xr:uid="{00000000-0005-0000-0000-0000304A0000}"/>
    <cellStyle name="Currency 4 2" xfId="11327" xr:uid="{00000000-0005-0000-0000-0000314A0000}"/>
    <cellStyle name="Currency 4 2 2" xfId="11328" xr:uid="{00000000-0005-0000-0000-0000324A0000}"/>
    <cellStyle name="Currency 4 2 2 2" xfId="16137" xr:uid="{00000000-0005-0000-0000-0000334A0000}"/>
    <cellStyle name="Currency 4 2 2 3" xfId="20136" xr:uid="{00000000-0005-0000-0000-0000344A0000}"/>
    <cellStyle name="Currency 4 3" xfId="11329" xr:uid="{00000000-0005-0000-0000-0000354A0000}"/>
    <cellStyle name="Currency 4 3 2" xfId="16138" xr:uid="{00000000-0005-0000-0000-0000364A0000}"/>
    <cellStyle name="Currency 4 3 3" xfId="20137" xr:uid="{00000000-0005-0000-0000-0000374A0000}"/>
    <cellStyle name="Currency 5" xfId="11330" xr:uid="{00000000-0005-0000-0000-0000384A0000}"/>
    <cellStyle name="Currency 5 4" xfId="12423" xr:uid="{00000000-0005-0000-0000-0000394A0000}"/>
    <cellStyle name="Currency 6" xfId="11331" xr:uid="{00000000-0005-0000-0000-00003A4A0000}"/>
    <cellStyle name="Currency 6 2" xfId="16139" xr:uid="{00000000-0005-0000-0000-00003B4A0000}"/>
    <cellStyle name="Currency 6 3" xfId="20138" xr:uid="{00000000-0005-0000-0000-00003C4A0000}"/>
    <cellStyle name="Currency 7" xfId="16218" xr:uid="{00000000-0005-0000-0000-00003D4A0000}"/>
    <cellStyle name="Currency 7 2" xfId="20400" xr:uid="{00000000-0005-0000-0000-00003E4A0000}"/>
    <cellStyle name="Currency 7 2 2" xfId="20272" xr:uid="{00000000-0005-0000-0000-00003F4A0000}"/>
    <cellStyle name="Currency 8" xfId="20406" xr:uid="{00000000-0005-0000-0000-0000404A0000}"/>
    <cellStyle name="Currency 9" xfId="20410" xr:uid="{00000000-0005-0000-0000-0000414A0000}"/>
    <cellStyle name="Currency 9 3" xfId="20273" xr:uid="{00000000-0005-0000-0000-0000424A0000}"/>
    <cellStyle name="Currency 9 3 2" xfId="20274" xr:uid="{00000000-0005-0000-0000-0000434A0000}"/>
    <cellStyle name="Currency Input" xfId="11332" xr:uid="{00000000-0005-0000-0000-0000444A0000}"/>
    <cellStyle name="Currency Input 2" xfId="11333" xr:uid="{00000000-0005-0000-0000-0000454A0000}"/>
    <cellStyle name="Currency*" xfId="11334" xr:uid="{00000000-0005-0000-0000-0000464A0000}"/>
    <cellStyle name="Currency0" xfId="11335" xr:uid="{00000000-0005-0000-0000-0000474A0000}"/>
    <cellStyle name="Currency0 2" xfId="11336" xr:uid="{00000000-0005-0000-0000-0000484A0000}"/>
    <cellStyle name="Currency1" xfId="11337" xr:uid="{00000000-0005-0000-0000-0000494A0000}"/>
    <cellStyle name="Currency2" xfId="11338" xr:uid="{00000000-0005-0000-0000-00004A4A0000}"/>
    <cellStyle name="Currsmall" xfId="11339" xr:uid="{00000000-0005-0000-0000-00004B4A0000}"/>
    <cellStyle name="custom" xfId="11340" xr:uid="{00000000-0005-0000-0000-00004C4A0000}"/>
    <cellStyle name="d" xfId="11341" xr:uid="{00000000-0005-0000-0000-00004D4A0000}"/>
    <cellStyle name="d/m/yr" xfId="11342" xr:uid="{00000000-0005-0000-0000-00004E4A0000}"/>
    <cellStyle name="DARK" xfId="11343" xr:uid="{00000000-0005-0000-0000-00004F4A0000}"/>
    <cellStyle name="darren" xfId="11344" xr:uid="{00000000-0005-0000-0000-0000504A0000}"/>
    <cellStyle name="Dash" xfId="11345" xr:uid="{00000000-0005-0000-0000-0000514A0000}"/>
    <cellStyle name="Data entry" xfId="11346" xr:uid="{00000000-0005-0000-0000-0000524A0000}"/>
    <cellStyle name="Data Link" xfId="11347" xr:uid="{00000000-0005-0000-0000-0000534A0000}"/>
    <cellStyle name="DataBases" xfId="11348" xr:uid="{00000000-0005-0000-0000-0000544A0000}"/>
    <cellStyle name="DATASTYLE" xfId="11349" xr:uid="{00000000-0005-0000-0000-0000554A0000}"/>
    <cellStyle name="DataToHide" xfId="11350" xr:uid="{00000000-0005-0000-0000-0000564A0000}"/>
    <cellStyle name="Date" xfId="11351" xr:uid="{00000000-0005-0000-0000-0000574A0000}"/>
    <cellStyle name="Date - Style1" xfId="11352" xr:uid="{00000000-0005-0000-0000-0000584A0000}"/>
    <cellStyle name="Date - Style3" xfId="11353" xr:uid="{00000000-0005-0000-0000-0000594A0000}"/>
    <cellStyle name="Date [d-mmm-yy]" xfId="11354" xr:uid="{00000000-0005-0000-0000-00005A4A0000}"/>
    <cellStyle name="Date [d-mmm-yy] 2" xfId="20312" xr:uid="{00000000-0005-0000-0000-00005B4A0000}"/>
    <cellStyle name="Date [mm-d-yy]" xfId="11355" xr:uid="{00000000-0005-0000-0000-00005C4A0000}"/>
    <cellStyle name="Date [mm-d-yy] 2" xfId="20313" xr:uid="{00000000-0005-0000-0000-00005D4A0000}"/>
    <cellStyle name="Date [mm-d-yyyy]" xfId="11356" xr:uid="{00000000-0005-0000-0000-00005E4A0000}"/>
    <cellStyle name="Date [mm-d-yyyy] 2" xfId="11357" xr:uid="{00000000-0005-0000-0000-00005F4A0000}"/>
    <cellStyle name="Date [mmm-d-yyyy]" xfId="11358" xr:uid="{00000000-0005-0000-0000-0000604A0000}"/>
    <cellStyle name="Date [mmm-yy]" xfId="11359" xr:uid="{00000000-0005-0000-0000-0000614A0000}"/>
    <cellStyle name="Date [mmm-yy] 2" xfId="20314" xr:uid="{00000000-0005-0000-0000-0000624A0000}"/>
    <cellStyle name="Date 2" xfId="11360" xr:uid="{00000000-0005-0000-0000-0000634A0000}"/>
    <cellStyle name="Date Aligned" xfId="11361" xr:uid="{00000000-0005-0000-0000-0000644A0000}"/>
    <cellStyle name="Date Aligned*" xfId="11362" xr:uid="{00000000-0005-0000-0000-0000654A0000}"/>
    <cellStyle name="Date Aligned_comps" xfId="11363" xr:uid="{00000000-0005-0000-0000-0000664A0000}"/>
    <cellStyle name="Date Short" xfId="11364" xr:uid="{00000000-0005-0000-0000-0000674A0000}"/>
    <cellStyle name="Date Short 2" xfId="20315" xr:uid="{00000000-0005-0000-0000-0000684A0000}"/>
    <cellStyle name="Date Year" xfId="11365" xr:uid="{00000000-0005-0000-0000-0000694A0000}"/>
    <cellStyle name="Date_ACC_DIL Template" xfId="11366" xr:uid="{00000000-0005-0000-0000-00006A4A0000}"/>
    <cellStyle name="Date1" xfId="11367" xr:uid="{00000000-0005-0000-0000-00006B4A0000}"/>
    <cellStyle name="DateL" xfId="11368" xr:uid="{00000000-0005-0000-0000-00006C4A0000}"/>
    <cellStyle name="DateLong" xfId="11369" xr:uid="{00000000-0005-0000-0000-00006D4A0000}"/>
    <cellStyle name="DateLong 2" xfId="11370" xr:uid="{00000000-0005-0000-0000-00006E4A0000}"/>
    <cellStyle name="DateLong 3" xfId="11371" xr:uid="{00000000-0005-0000-0000-00006F4A0000}"/>
    <cellStyle name="DATES" xfId="11372" xr:uid="{00000000-0005-0000-0000-0000704A0000}"/>
    <cellStyle name="DATES 2" xfId="20316" xr:uid="{00000000-0005-0000-0000-0000714A0000}"/>
    <cellStyle name="DateShort" xfId="11373" xr:uid="{00000000-0005-0000-0000-0000724A0000}"/>
    <cellStyle name="DateShort 2" xfId="11374" xr:uid="{00000000-0005-0000-0000-0000734A0000}"/>
    <cellStyle name="DateShort 3" xfId="11375" xr:uid="{00000000-0005-0000-0000-0000744A0000}"/>
    <cellStyle name="DateYear" xfId="11376" xr:uid="{00000000-0005-0000-0000-0000754A0000}"/>
    <cellStyle name="DateYearEstimate" xfId="11377" xr:uid="{00000000-0005-0000-0000-0000764A0000}"/>
    <cellStyle name="DateYearEstimate 2" xfId="11378" xr:uid="{00000000-0005-0000-0000-0000774A0000}"/>
    <cellStyle name="DateYearEstimate 2 2" xfId="11379" xr:uid="{00000000-0005-0000-0000-0000784A0000}"/>
    <cellStyle name="DateYearEstimate 2 2 2" xfId="16142" xr:uid="{00000000-0005-0000-0000-0000794A0000}"/>
    <cellStyle name="DateYearEstimate 2 2 3" xfId="20141" xr:uid="{00000000-0005-0000-0000-00007A4A0000}"/>
    <cellStyle name="DateYearEstimate 2 3" xfId="16141" xr:uid="{00000000-0005-0000-0000-00007B4A0000}"/>
    <cellStyle name="DateYearEstimate 2 4" xfId="20140" xr:uid="{00000000-0005-0000-0000-00007C4A0000}"/>
    <cellStyle name="DateYearEstimate 3" xfId="11380" xr:uid="{00000000-0005-0000-0000-00007D4A0000}"/>
    <cellStyle name="DateYearEstimate 3 2" xfId="11381" xr:uid="{00000000-0005-0000-0000-00007E4A0000}"/>
    <cellStyle name="DateYearEstimate 3 2 2" xfId="16144" xr:uid="{00000000-0005-0000-0000-00007F4A0000}"/>
    <cellStyle name="DateYearEstimate 3 2 3" xfId="20143" xr:uid="{00000000-0005-0000-0000-0000804A0000}"/>
    <cellStyle name="DateYearEstimate 3 3" xfId="16143" xr:uid="{00000000-0005-0000-0000-0000814A0000}"/>
    <cellStyle name="DateYearEstimate 3 4" xfId="20142" xr:uid="{00000000-0005-0000-0000-0000824A0000}"/>
    <cellStyle name="DateYearEstimate 4" xfId="11382" xr:uid="{00000000-0005-0000-0000-0000834A0000}"/>
    <cellStyle name="DateYearEstimate 4 2" xfId="16145" xr:uid="{00000000-0005-0000-0000-0000844A0000}"/>
    <cellStyle name="DateYearEstimate 4 3" xfId="20144" xr:uid="{00000000-0005-0000-0000-0000854A0000}"/>
    <cellStyle name="DateYearEstimate 5" xfId="16140" xr:uid="{00000000-0005-0000-0000-0000864A0000}"/>
    <cellStyle name="DateYearEstimate 6" xfId="20139" xr:uid="{00000000-0005-0000-0000-0000874A0000}"/>
    <cellStyle name="DateYearWholeEstimate" xfId="11383" xr:uid="{00000000-0005-0000-0000-0000884A0000}"/>
    <cellStyle name="DateYearWholeEstimate 2" xfId="11384" xr:uid="{00000000-0005-0000-0000-0000894A0000}"/>
    <cellStyle name="DateYearWholeEstimate 2 2" xfId="11385" xr:uid="{00000000-0005-0000-0000-00008A4A0000}"/>
    <cellStyle name="DateYearWholeEstimate 2 2 2" xfId="16148" xr:uid="{00000000-0005-0000-0000-00008B4A0000}"/>
    <cellStyle name="DateYearWholeEstimate 2 2 3" xfId="20147" xr:uid="{00000000-0005-0000-0000-00008C4A0000}"/>
    <cellStyle name="DateYearWholeEstimate 2 3" xfId="16147" xr:uid="{00000000-0005-0000-0000-00008D4A0000}"/>
    <cellStyle name="DateYearWholeEstimate 2 4" xfId="20146" xr:uid="{00000000-0005-0000-0000-00008E4A0000}"/>
    <cellStyle name="DateYearWholeEstimate 3" xfId="11386" xr:uid="{00000000-0005-0000-0000-00008F4A0000}"/>
    <cellStyle name="DateYearWholeEstimate 3 2" xfId="11387" xr:uid="{00000000-0005-0000-0000-0000904A0000}"/>
    <cellStyle name="DateYearWholeEstimate 3 2 2" xfId="16150" xr:uid="{00000000-0005-0000-0000-0000914A0000}"/>
    <cellStyle name="DateYearWholeEstimate 3 2 3" xfId="20149" xr:uid="{00000000-0005-0000-0000-0000924A0000}"/>
    <cellStyle name="DateYearWholeEstimate 3 3" xfId="16149" xr:uid="{00000000-0005-0000-0000-0000934A0000}"/>
    <cellStyle name="DateYearWholeEstimate 3 4" xfId="20148" xr:uid="{00000000-0005-0000-0000-0000944A0000}"/>
    <cellStyle name="DateYearWholeEstimate 4" xfId="11388" xr:uid="{00000000-0005-0000-0000-0000954A0000}"/>
    <cellStyle name="DateYearWholeEstimate 4 2" xfId="16151" xr:uid="{00000000-0005-0000-0000-0000964A0000}"/>
    <cellStyle name="DateYearWholeEstimate 4 3" xfId="20150" xr:uid="{00000000-0005-0000-0000-0000974A0000}"/>
    <cellStyle name="DateYearWholeEstimate 5" xfId="16146" xr:uid="{00000000-0005-0000-0000-0000984A0000}"/>
    <cellStyle name="DateYearWholeEstimate 6" xfId="20145" xr:uid="{00000000-0005-0000-0000-0000994A0000}"/>
    <cellStyle name="Daydate" xfId="11389" xr:uid="{00000000-0005-0000-0000-00009A4A0000}"/>
    <cellStyle name="Day-Mon-Yr" xfId="11390" xr:uid="{00000000-0005-0000-0000-00009B4A0000}"/>
    <cellStyle name="Decimal" xfId="11391" xr:uid="{00000000-0005-0000-0000-00009C4A0000}"/>
    <cellStyle name="Decimal Number" xfId="11392" xr:uid="{00000000-0005-0000-0000-00009D4A0000}"/>
    <cellStyle name="default" xfId="11393" xr:uid="{00000000-0005-0000-0000-00009E4A0000}"/>
    <cellStyle name="Default SS" xfId="11394" xr:uid="{00000000-0005-0000-0000-00009F4A0000}"/>
    <cellStyle name="Default TB" xfId="11395" xr:uid="{00000000-0005-0000-0000-0000A04A0000}"/>
    <cellStyle name="Default_affinityfin12-11-06" xfId="11396" xr:uid="{00000000-0005-0000-0000-0000A14A0000}"/>
    <cellStyle name="DELTA" xfId="11397" xr:uid="{00000000-0005-0000-0000-0000A24A0000}"/>
    <cellStyle name="Dezimal [0]_!!!GO" xfId="11398" xr:uid="{00000000-0005-0000-0000-0000A34A0000}"/>
    <cellStyle name="Dezimal_!!!GO" xfId="11399" xr:uid="{00000000-0005-0000-0000-0000A44A0000}"/>
    <cellStyle name="Dollar" xfId="11400" xr:uid="{00000000-0005-0000-0000-0000A54A0000}"/>
    <cellStyle name="Dollar (zero dec)" xfId="11401" xr:uid="{00000000-0005-0000-0000-0000A64A0000}"/>
    <cellStyle name="Dollar 2" xfId="20317" xr:uid="{00000000-0005-0000-0000-0000A74A0000}"/>
    <cellStyle name="Dollar1" xfId="11402" xr:uid="{00000000-0005-0000-0000-0000A84A0000}"/>
    <cellStyle name="Dollar1Blue" xfId="11403" xr:uid="{00000000-0005-0000-0000-0000A94A0000}"/>
    <cellStyle name="Dollar2" xfId="11404" xr:uid="{00000000-0005-0000-0000-0000AA4A0000}"/>
    <cellStyle name="DOLLARLIN" xfId="11405" xr:uid="{00000000-0005-0000-0000-0000AB4A0000}"/>
    <cellStyle name="dollars" xfId="11406" xr:uid="{00000000-0005-0000-0000-0000AC4A0000}"/>
    <cellStyle name="Dollars []" xfId="11407" xr:uid="{00000000-0005-0000-0000-0000AD4A0000}"/>
    <cellStyle name="dollars 2" xfId="20318" xr:uid="{00000000-0005-0000-0000-0000AE4A0000}"/>
    <cellStyle name="dollars 3" xfId="20319" xr:uid="{00000000-0005-0000-0000-0000AF4A0000}"/>
    <cellStyle name="dollars_Book2" xfId="11408" xr:uid="{00000000-0005-0000-0000-0000B04A0000}"/>
    <cellStyle name="DOLLARSIN" xfId="11409" xr:uid="{00000000-0005-0000-0000-0000B14A0000}"/>
    <cellStyle name="DollarWhole" xfId="11410" xr:uid="{00000000-0005-0000-0000-0000B24A0000}"/>
    <cellStyle name="DollarWhole 2" xfId="20320" xr:uid="{00000000-0005-0000-0000-0000B34A0000}"/>
    <cellStyle name="Dotted Line" xfId="11411" xr:uid="{00000000-0005-0000-0000-0000B44A0000}"/>
    <cellStyle name="Double Accounting" xfId="11412" xr:uid="{00000000-0005-0000-0000-0000B54A0000}"/>
    <cellStyle name="Double Underline" xfId="11413" xr:uid="{00000000-0005-0000-0000-0000B64A0000}"/>
    <cellStyle name="Download" xfId="11414" xr:uid="{00000000-0005-0000-0000-0000B74A0000}"/>
    <cellStyle name="Download 2" xfId="20321" xr:uid="{00000000-0005-0000-0000-0000B84A0000}"/>
    <cellStyle name="Enter Currency (0)" xfId="11415" xr:uid="{00000000-0005-0000-0000-0000B94A0000}"/>
    <cellStyle name="Enter Currency (2)" xfId="11416" xr:uid="{00000000-0005-0000-0000-0000BA4A0000}"/>
    <cellStyle name="Enter Units (0)" xfId="11417" xr:uid="{00000000-0005-0000-0000-0000BB4A0000}"/>
    <cellStyle name="Enter Units (1)" xfId="11418" xr:uid="{00000000-0005-0000-0000-0000BC4A0000}"/>
    <cellStyle name="Enter Units (2)" xfId="11419" xr:uid="{00000000-0005-0000-0000-0000BD4A0000}"/>
    <cellStyle name="ENTER_DATA" xfId="11420" xr:uid="{00000000-0005-0000-0000-0000BE4A0000}"/>
    <cellStyle name="Entered" xfId="11421" xr:uid="{00000000-0005-0000-0000-0000BF4A0000}"/>
    <cellStyle name="Entities" xfId="11422" xr:uid="{00000000-0005-0000-0000-0000C04A0000}"/>
    <cellStyle name="Euro" xfId="11423" xr:uid="{00000000-0005-0000-0000-0000C14A0000}"/>
    <cellStyle name="Euro 10" xfId="11424" xr:uid="{00000000-0005-0000-0000-0000C24A0000}"/>
    <cellStyle name="Euro 11" xfId="11425" xr:uid="{00000000-0005-0000-0000-0000C34A0000}"/>
    <cellStyle name="Euro 2" xfId="11426" xr:uid="{00000000-0005-0000-0000-0000C44A0000}"/>
    <cellStyle name="Euro 3" xfId="11427" xr:uid="{00000000-0005-0000-0000-0000C54A0000}"/>
    <cellStyle name="Euro 4" xfId="11428" xr:uid="{00000000-0005-0000-0000-0000C64A0000}"/>
    <cellStyle name="Euro 5" xfId="11429" xr:uid="{00000000-0005-0000-0000-0000C74A0000}"/>
    <cellStyle name="Euro 6" xfId="11430" xr:uid="{00000000-0005-0000-0000-0000C84A0000}"/>
    <cellStyle name="Euro 7" xfId="11431" xr:uid="{00000000-0005-0000-0000-0000C94A0000}"/>
    <cellStyle name="Euro 8" xfId="11432" xr:uid="{00000000-0005-0000-0000-0000CA4A0000}"/>
    <cellStyle name="Euro 8 2" xfId="11433" xr:uid="{00000000-0005-0000-0000-0000CB4A0000}"/>
    <cellStyle name="Euro 9" xfId="11434" xr:uid="{00000000-0005-0000-0000-0000CC4A0000}"/>
    <cellStyle name="Euro 9 2" xfId="11435" xr:uid="{00000000-0005-0000-0000-0000CD4A0000}"/>
    <cellStyle name="Excel Built-in Comma" xfId="11436" xr:uid="{00000000-0005-0000-0000-0000CE4A0000}"/>
    <cellStyle name="Excel Built-in Normal" xfId="11437" xr:uid="{00000000-0005-0000-0000-0000CF4A0000}"/>
    <cellStyle name="Explanatory Text 10" xfId="11438" xr:uid="{00000000-0005-0000-0000-0000D04A0000}"/>
    <cellStyle name="Explanatory Text 11" xfId="11439" xr:uid="{00000000-0005-0000-0000-0000D14A0000}"/>
    <cellStyle name="Explanatory Text 12" xfId="11440" xr:uid="{00000000-0005-0000-0000-0000D24A0000}"/>
    <cellStyle name="Explanatory Text 13" xfId="11441" xr:uid="{00000000-0005-0000-0000-0000D34A0000}"/>
    <cellStyle name="Explanatory Text 2" xfId="11442" xr:uid="{00000000-0005-0000-0000-0000D44A0000}"/>
    <cellStyle name="Explanatory Text 3" xfId="11443" xr:uid="{00000000-0005-0000-0000-0000D54A0000}"/>
    <cellStyle name="Explanatory Text 4" xfId="11444" xr:uid="{00000000-0005-0000-0000-0000D64A0000}"/>
    <cellStyle name="Explanatory Text 5" xfId="11445" xr:uid="{00000000-0005-0000-0000-0000D74A0000}"/>
    <cellStyle name="Explanatory Text 6" xfId="11446" xr:uid="{00000000-0005-0000-0000-0000D84A0000}"/>
    <cellStyle name="Explanatory Text 7" xfId="11447" xr:uid="{00000000-0005-0000-0000-0000D94A0000}"/>
    <cellStyle name="Explanatory Text 8" xfId="11448" xr:uid="{00000000-0005-0000-0000-0000DA4A0000}"/>
    <cellStyle name="Explanatory Text 9" xfId="11449" xr:uid="{00000000-0005-0000-0000-0000DB4A0000}"/>
    <cellStyle name="F2" xfId="11450" xr:uid="{00000000-0005-0000-0000-0000DC4A0000}"/>
    <cellStyle name="F3" xfId="11451" xr:uid="{00000000-0005-0000-0000-0000DD4A0000}"/>
    <cellStyle name="F4" xfId="11452" xr:uid="{00000000-0005-0000-0000-0000DE4A0000}"/>
    <cellStyle name="F5" xfId="11453" xr:uid="{00000000-0005-0000-0000-0000DF4A0000}"/>
    <cellStyle name="F6" xfId="11454" xr:uid="{00000000-0005-0000-0000-0000E04A0000}"/>
    <cellStyle name="F7" xfId="11455" xr:uid="{00000000-0005-0000-0000-0000E14A0000}"/>
    <cellStyle name="F8" xfId="11456" xr:uid="{00000000-0005-0000-0000-0000E24A0000}"/>
    <cellStyle name="factsheet" xfId="11457" xr:uid="{00000000-0005-0000-0000-0000E34A0000}"/>
    <cellStyle name="Final_Data" xfId="11458" xr:uid="{00000000-0005-0000-0000-0000E44A0000}"/>
    <cellStyle name="First_nums" xfId="11459" xr:uid="{00000000-0005-0000-0000-0000E54A0000}"/>
    <cellStyle name="Fixed" xfId="11460" xr:uid="{00000000-0005-0000-0000-0000E64A0000}"/>
    <cellStyle name="Fixed [0]" xfId="11461" xr:uid="{00000000-0005-0000-0000-0000E74A0000}"/>
    <cellStyle name="Fixed_Burdick DCF Model -10" xfId="11462" xr:uid="{00000000-0005-0000-0000-0000E84A0000}"/>
    <cellStyle name="Fixed0" xfId="11463" xr:uid="{00000000-0005-0000-0000-0000E94A0000}"/>
    <cellStyle name="Fixed2 - Style2" xfId="11464" xr:uid="{00000000-0005-0000-0000-0000EA4A0000}"/>
    <cellStyle name="Fixlong" xfId="11465" xr:uid="{00000000-0005-0000-0000-0000EB4A0000}"/>
    <cellStyle name="Följd hyperlänk_Analysis of building cost to 300904.xls" xfId="11466" xr:uid="{00000000-0005-0000-0000-0000EC4A0000}"/>
    <cellStyle name="Följde hyperlänken_2001 EPS SUMMARY" xfId="11467" xr:uid="{00000000-0005-0000-0000-0000ED4A0000}"/>
    <cellStyle name="Footer" xfId="11468" xr:uid="{00000000-0005-0000-0000-0000EE4A0000}"/>
    <cellStyle name="Footnote" xfId="11469" xr:uid="{00000000-0005-0000-0000-0000EF4A0000}"/>
    <cellStyle name="Footnote 2" xfId="20322" xr:uid="{00000000-0005-0000-0000-0000F04A0000}"/>
    <cellStyle name="ForecastInput" xfId="11470" xr:uid="{00000000-0005-0000-0000-0000F14A0000}"/>
    <cellStyle name="Format Number Column" xfId="11471" xr:uid="{00000000-0005-0000-0000-0000F24A0000}"/>
    <cellStyle name="Formula" xfId="11472" xr:uid="{00000000-0005-0000-0000-0000F34A0000}"/>
    <cellStyle name="FRxAmtStyle" xfId="11473" xr:uid="{00000000-0005-0000-0000-0000F44A0000}"/>
    <cellStyle name="FRxAmtStyle 2" xfId="11474" xr:uid="{00000000-0005-0000-0000-0000F54A0000}"/>
    <cellStyle name="FRxCurrStyle" xfId="11475" xr:uid="{00000000-0005-0000-0000-0000F64A0000}"/>
    <cellStyle name="FRxPcntStyle" xfId="11476" xr:uid="{00000000-0005-0000-0000-0000F74A0000}"/>
    <cellStyle name="Global" xfId="11477" xr:uid="{00000000-0005-0000-0000-0000F84A0000}"/>
    <cellStyle name="Global 2" xfId="11478" xr:uid="{00000000-0005-0000-0000-0000F94A0000}"/>
    <cellStyle name="Global 2 2" xfId="11479" xr:uid="{00000000-0005-0000-0000-0000FA4A0000}"/>
    <cellStyle name="Global 2 2 2" xfId="16154" xr:uid="{00000000-0005-0000-0000-0000FB4A0000}"/>
    <cellStyle name="Global 2 2 3" xfId="20153" xr:uid="{00000000-0005-0000-0000-0000FC4A0000}"/>
    <cellStyle name="Global 2 3" xfId="16153" xr:uid="{00000000-0005-0000-0000-0000FD4A0000}"/>
    <cellStyle name="Global 2 4" xfId="20152" xr:uid="{00000000-0005-0000-0000-0000FE4A0000}"/>
    <cellStyle name="Global 3" xfId="11480" xr:uid="{00000000-0005-0000-0000-0000FF4A0000}"/>
    <cellStyle name="Global 3 2" xfId="11481" xr:uid="{00000000-0005-0000-0000-0000004B0000}"/>
    <cellStyle name="Global 3 2 2" xfId="16156" xr:uid="{00000000-0005-0000-0000-0000014B0000}"/>
    <cellStyle name="Global 3 2 3" xfId="20155" xr:uid="{00000000-0005-0000-0000-0000024B0000}"/>
    <cellStyle name="Global 3 3" xfId="16155" xr:uid="{00000000-0005-0000-0000-0000034B0000}"/>
    <cellStyle name="Global 3 4" xfId="20154" xr:uid="{00000000-0005-0000-0000-0000044B0000}"/>
    <cellStyle name="Global 4" xfId="11482" xr:uid="{00000000-0005-0000-0000-0000054B0000}"/>
    <cellStyle name="Global 4 2" xfId="16157" xr:uid="{00000000-0005-0000-0000-0000064B0000}"/>
    <cellStyle name="Global 4 3" xfId="20156" xr:uid="{00000000-0005-0000-0000-0000074B0000}"/>
    <cellStyle name="Global 5" xfId="16152" xr:uid="{00000000-0005-0000-0000-0000084B0000}"/>
    <cellStyle name="Global 6" xfId="20151" xr:uid="{00000000-0005-0000-0000-0000094B0000}"/>
    <cellStyle name="Good 10" xfId="11483" xr:uid="{00000000-0005-0000-0000-00000A4B0000}"/>
    <cellStyle name="Good 11" xfId="11484" xr:uid="{00000000-0005-0000-0000-00000B4B0000}"/>
    <cellStyle name="Good 12" xfId="11485" xr:uid="{00000000-0005-0000-0000-00000C4B0000}"/>
    <cellStyle name="Good 13" xfId="11486" xr:uid="{00000000-0005-0000-0000-00000D4B0000}"/>
    <cellStyle name="Good 2" xfId="11487" xr:uid="{00000000-0005-0000-0000-00000E4B0000}"/>
    <cellStyle name="Good 3" xfId="11488" xr:uid="{00000000-0005-0000-0000-00000F4B0000}"/>
    <cellStyle name="Good 4" xfId="11489" xr:uid="{00000000-0005-0000-0000-0000104B0000}"/>
    <cellStyle name="Good 5" xfId="11490" xr:uid="{00000000-0005-0000-0000-0000114B0000}"/>
    <cellStyle name="Good 6" xfId="11491" xr:uid="{00000000-0005-0000-0000-0000124B0000}"/>
    <cellStyle name="Good 7" xfId="11492" xr:uid="{00000000-0005-0000-0000-0000134B0000}"/>
    <cellStyle name="Good 8" xfId="11493" xr:uid="{00000000-0005-0000-0000-0000144B0000}"/>
    <cellStyle name="Good 9" xfId="11494" xr:uid="{00000000-0005-0000-0000-0000154B0000}"/>
    <cellStyle name="grayText2" xfId="11495" xr:uid="{00000000-0005-0000-0000-0000164B0000}"/>
    <cellStyle name="grayText2Big" xfId="11496" xr:uid="{00000000-0005-0000-0000-0000174B0000}"/>
    <cellStyle name="grayText2Big 2" xfId="20323" xr:uid="{00000000-0005-0000-0000-0000184B0000}"/>
    <cellStyle name="Grey" xfId="11497" xr:uid="{00000000-0005-0000-0000-0000194B0000}"/>
    <cellStyle name="Grey 2" xfId="11498" xr:uid="{00000000-0005-0000-0000-00001A4B0000}"/>
    <cellStyle name="Grey 3" xfId="11499" xr:uid="{00000000-0005-0000-0000-00001B4B0000}"/>
    <cellStyle name="Grey 4" xfId="11500" xr:uid="{00000000-0005-0000-0000-00001C4B0000}"/>
    <cellStyle name="Growth" xfId="11501" xr:uid="{00000000-0005-0000-0000-00001D4B0000}"/>
    <cellStyle name="Growth 2" xfId="20324" xr:uid="{00000000-0005-0000-0000-00001E4B0000}"/>
    <cellStyle name="GrowthRate" xfId="11502" xr:uid="{00000000-0005-0000-0000-00001F4B0000}"/>
    <cellStyle name="GrowthRate 2" xfId="20325" xr:uid="{00000000-0005-0000-0000-0000204B0000}"/>
    <cellStyle name="H 2" xfId="11503" xr:uid="{00000000-0005-0000-0000-0000214B0000}"/>
    <cellStyle name="hard no" xfId="11504" xr:uid="{00000000-0005-0000-0000-0000224B0000}"/>
    <cellStyle name="Hard Percent" xfId="11505" xr:uid="{00000000-0005-0000-0000-0000234B0000}"/>
    <cellStyle name="hardno" xfId="11506" xr:uid="{00000000-0005-0000-0000-0000244B0000}"/>
    <cellStyle name="Head" xfId="11507" xr:uid="{00000000-0005-0000-0000-0000254B0000}"/>
    <cellStyle name="header" xfId="11508" xr:uid="{00000000-0005-0000-0000-0000264B0000}"/>
    <cellStyle name="header 2" xfId="20326" xr:uid="{00000000-0005-0000-0000-0000274B0000}"/>
    <cellStyle name="Header Total" xfId="11509" xr:uid="{00000000-0005-0000-0000-0000284B0000}"/>
    <cellStyle name="Header_affinityfin12-11-06" xfId="11510" xr:uid="{00000000-0005-0000-0000-0000294B0000}"/>
    <cellStyle name="Header1" xfId="11511" xr:uid="{00000000-0005-0000-0000-00002A4B0000}"/>
    <cellStyle name="Header1 2" xfId="20327" xr:uid="{00000000-0005-0000-0000-00002B4B0000}"/>
    <cellStyle name="Header2" xfId="11512" xr:uid="{00000000-0005-0000-0000-00002C4B0000}"/>
    <cellStyle name="Header2 2" xfId="11513" xr:uid="{00000000-0005-0000-0000-00002D4B0000}"/>
    <cellStyle name="Header2 2 2" xfId="11514" xr:uid="{00000000-0005-0000-0000-00002E4B0000}"/>
    <cellStyle name="Header2 2 2 2" xfId="16159" xr:uid="{00000000-0005-0000-0000-00002F4B0000}"/>
    <cellStyle name="Header2 2 2 3" xfId="20158" xr:uid="{00000000-0005-0000-0000-0000304B0000}"/>
    <cellStyle name="Header2 2 3" xfId="16158" xr:uid="{00000000-0005-0000-0000-0000314B0000}"/>
    <cellStyle name="Header2 2 4" xfId="20157" xr:uid="{00000000-0005-0000-0000-0000324B0000}"/>
    <cellStyle name="Header2 3" xfId="11515" xr:uid="{00000000-0005-0000-0000-0000334B0000}"/>
    <cellStyle name="Header2 3 2" xfId="11516" xr:uid="{00000000-0005-0000-0000-0000344B0000}"/>
    <cellStyle name="Header2 3 2 2" xfId="16161" xr:uid="{00000000-0005-0000-0000-0000354B0000}"/>
    <cellStyle name="Header2 3 2 3" xfId="20160" xr:uid="{00000000-0005-0000-0000-0000364B0000}"/>
    <cellStyle name="Header2 3 3" xfId="16160" xr:uid="{00000000-0005-0000-0000-0000374B0000}"/>
    <cellStyle name="Header2 3 4" xfId="20159" xr:uid="{00000000-0005-0000-0000-0000384B0000}"/>
    <cellStyle name="Header3" xfId="11517" xr:uid="{00000000-0005-0000-0000-0000394B0000}"/>
    <cellStyle name="Header4" xfId="11518" xr:uid="{00000000-0005-0000-0000-00003A4B0000}"/>
    <cellStyle name="Heading" xfId="11519" xr:uid="{00000000-0005-0000-0000-00003B4B0000}"/>
    <cellStyle name="Heading 1 10" xfId="11520" xr:uid="{00000000-0005-0000-0000-00003C4B0000}"/>
    <cellStyle name="Heading 1 11" xfId="11521" xr:uid="{00000000-0005-0000-0000-00003D4B0000}"/>
    <cellStyle name="Heading 1 12" xfId="11522" xr:uid="{00000000-0005-0000-0000-00003E4B0000}"/>
    <cellStyle name="Heading 1 13" xfId="11523" xr:uid="{00000000-0005-0000-0000-00003F4B0000}"/>
    <cellStyle name="Heading 1 2" xfId="11524" xr:uid="{00000000-0005-0000-0000-0000404B0000}"/>
    <cellStyle name="Heading 1 3" xfId="11525" xr:uid="{00000000-0005-0000-0000-0000414B0000}"/>
    <cellStyle name="Heading 1 4" xfId="11526" xr:uid="{00000000-0005-0000-0000-0000424B0000}"/>
    <cellStyle name="Heading 1 5" xfId="11527" xr:uid="{00000000-0005-0000-0000-0000434B0000}"/>
    <cellStyle name="Heading 1 6" xfId="11528" xr:uid="{00000000-0005-0000-0000-0000444B0000}"/>
    <cellStyle name="Heading 1 7" xfId="11529" xr:uid="{00000000-0005-0000-0000-0000454B0000}"/>
    <cellStyle name="Heading 1 8" xfId="11530" xr:uid="{00000000-0005-0000-0000-0000464B0000}"/>
    <cellStyle name="Heading 1 9" xfId="11531" xr:uid="{00000000-0005-0000-0000-0000474B0000}"/>
    <cellStyle name="Heading 2 10" xfId="11532" xr:uid="{00000000-0005-0000-0000-0000484B0000}"/>
    <cellStyle name="Heading 2 11" xfId="11533" xr:uid="{00000000-0005-0000-0000-0000494B0000}"/>
    <cellStyle name="Heading 2 12" xfId="11534" xr:uid="{00000000-0005-0000-0000-00004A4B0000}"/>
    <cellStyle name="Heading 2 13" xfId="11535" xr:uid="{00000000-0005-0000-0000-00004B4B0000}"/>
    <cellStyle name="Heading 2 2" xfId="11536" xr:uid="{00000000-0005-0000-0000-00004C4B0000}"/>
    <cellStyle name="Heading 2 3" xfId="11537" xr:uid="{00000000-0005-0000-0000-00004D4B0000}"/>
    <cellStyle name="Heading 2 4" xfId="11538" xr:uid="{00000000-0005-0000-0000-00004E4B0000}"/>
    <cellStyle name="Heading 2 5" xfId="11539" xr:uid="{00000000-0005-0000-0000-00004F4B0000}"/>
    <cellStyle name="Heading 2 6" xfId="11540" xr:uid="{00000000-0005-0000-0000-0000504B0000}"/>
    <cellStyle name="Heading 2 7" xfId="11541" xr:uid="{00000000-0005-0000-0000-0000514B0000}"/>
    <cellStyle name="Heading 2 8" xfId="11542" xr:uid="{00000000-0005-0000-0000-0000524B0000}"/>
    <cellStyle name="Heading 2 9" xfId="11543" xr:uid="{00000000-0005-0000-0000-0000534B0000}"/>
    <cellStyle name="Heading 3 10" xfId="11544" xr:uid="{00000000-0005-0000-0000-0000544B0000}"/>
    <cellStyle name="Heading 3 11" xfId="11545" xr:uid="{00000000-0005-0000-0000-0000554B0000}"/>
    <cellStyle name="Heading 3 12" xfId="11546" xr:uid="{00000000-0005-0000-0000-0000564B0000}"/>
    <cellStyle name="Heading 3 13" xfId="11547" xr:uid="{00000000-0005-0000-0000-0000574B0000}"/>
    <cellStyle name="Heading 3 2" xfId="11548" xr:uid="{00000000-0005-0000-0000-0000584B0000}"/>
    <cellStyle name="Heading 3 3" xfId="11549" xr:uid="{00000000-0005-0000-0000-0000594B0000}"/>
    <cellStyle name="Heading 3 4" xfId="11550" xr:uid="{00000000-0005-0000-0000-00005A4B0000}"/>
    <cellStyle name="Heading 3 5" xfId="11551" xr:uid="{00000000-0005-0000-0000-00005B4B0000}"/>
    <cellStyle name="Heading 3 6" xfId="11552" xr:uid="{00000000-0005-0000-0000-00005C4B0000}"/>
    <cellStyle name="Heading 3 7" xfId="11553" xr:uid="{00000000-0005-0000-0000-00005D4B0000}"/>
    <cellStyle name="Heading 3 8" xfId="11554" xr:uid="{00000000-0005-0000-0000-00005E4B0000}"/>
    <cellStyle name="Heading 3 9" xfId="11555" xr:uid="{00000000-0005-0000-0000-00005F4B0000}"/>
    <cellStyle name="Heading 4 10" xfId="11556" xr:uid="{00000000-0005-0000-0000-0000604B0000}"/>
    <cellStyle name="Heading 4 11" xfId="11557" xr:uid="{00000000-0005-0000-0000-0000614B0000}"/>
    <cellStyle name="Heading 4 12" xfId="11558" xr:uid="{00000000-0005-0000-0000-0000624B0000}"/>
    <cellStyle name="Heading 4 13" xfId="11559" xr:uid="{00000000-0005-0000-0000-0000634B0000}"/>
    <cellStyle name="Heading 4 2" xfId="11560" xr:uid="{00000000-0005-0000-0000-0000644B0000}"/>
    <cellStyle name="Heading 4 3" xfId="11561" xr:uid="{00000000-0005-0000-0000-0000654B0000}"/>
    <cellStyle name="Heading 4 4" xfId="11562" xr:uid="{00000000-0005-0000-0000-0000664B0000}"/>
    <cellStyle name="Heading 4 5" xfId="11563" xr:uid="{00000000-0005-0000-0000-0000674B0000}"/>
    <cellStyle name="Heading 4 6" xfId="11564" xr:uid="{00000000-0005-0000-0000-0000684B0000}"/>
    <cellStyle name="Heading 4 7" xfId="11565" xr:uid="{00000000-0005-0000-0000-0000694B0000}"/>
    <cellStyle name="Heading 4 8" xfId="11566" xr:uid="{00000000-0005-0000-0000-00006A4B0000}"/>
    <cellStyle name="Heading 4 9" xfId="11567" xr:uid="{00000000-0005-0000-0000-00006B4B0000}"/>
    <cellStyle name="Heading 5" xfId="11568" xr:uid="{00000000-0005-0000-0000-00006C4B0000}"/>
    <cellStyle name="Heading No Underline" xfId="11569" xr:uid="{00000000-0005-0000-0000-00006D4B0000}"/>
    <cellStyle name="Heading With Underline" xfId="11570" xr:uid="{00000000-0005-0000-0000-00006E4B0000}"/>
    <cellStyle name="Heading With Underline 2" xfId="11571" xr:uid="{00000000-0005-0000-0000-00006F4B0000}"/>
    <cellStyle name="Heading With Underline 2 2" xfId="20275" xr:uid="{00000000-0005-0000-0000-0000704B0000}"/>
    <cellStyle name="Heading With Underline 3" xfId="11572" xr:uid="{00000000-0005-0000-0000-0000714B0000}"/>
    <cellStyle name="Heading With Underline 3 2" xfId="20276" xr:uid="{00000000-0005-0000-0000-0000724B0000}"/>
    <cellStyle name="Heading With Underline 4" xfId="20277" xr:uid="{00000000-0005-0000-0000-0000734B0000}"/>
    <cellStyle name="Heading1" xfId="11573" xr:uid="{00000000-0005-0000-0000-0000744B0000}"/>
    <cellStyle name="Heading2" xfId="11574" xr:uid="{00000000-0005-0000-0000-0000754B0000}"/>
    <cellStyle name="Heading3" xfId="11575" xr:uid="{00000000-0005-0000-0000-0000764B0000}"/>
    <cellStyle name="HEADINGS" xfId="11576" xr:uid="{00000000-0005-0000-0000-0000774B0000}"/>
    <cellStyle name="Headings2" xfId="11577" xr:uid="{00000000-0005-0000-0000-0000784B0000}"/>
    <cellStyle name="Headings2 2" xfId="11578" xr:uid="{00000000-0005-0000-0000-0000794B0000}"/>
    <cellStyle name="Headings2 2 2" xfId="11579" xr:uid="{00000000-0005-0000-0000-00007A4B0000}"/>
    <cellStyle name="Headings2 2 2 2" xfId="20163" xr:uid="{00000000-0005-0000-0000-00007B4B0000}"/>
    <cellStyle name="Headings2 2 3" xfId="20162" xr:uid="{00000000-0005-0000-0000-00007C4B0000}"/>
    <cellStyle name="Headings2 3" xfId="11580" xr:uid="{00000000-0005-0000-0000-00007D4B0000}"/>
    <cellStyle name="Headings2 3 2" xfId="11581" xr:uid="{00000000-0005-0000-0000-00007E4B0000}"/>
    <cellStyle name="Headings2 3 2 2" xfId="20165" xr:uid="{00000000-0005-0000-0000-00007F4B0000}"/>
    <cellStyle name="Headings2 3 3" xfId="20164" xr:uid="{00000000-0005-0000-0000-0000804B0000}"/>
    <cellStyle name="Headings2 4" xfId="11582" xr:uid="{00000000-0005-0000-0000-0000814B0000}"/>
    <cellStyle name="Headings2 4 2" xfId="20166" xr:uid="{00000000-0005-0000-0000-0000824B0000}"/>
    <cellStyle name="Headings2 5" xfId="20161" xr:uid="{00000000-0005-0000-0000-0000834B0000}"/>
    <cellStyle name="Headings2b" xfId="11583" xr:uid="{00000000-0005-0000-0000-0000844B0000}"/>
    <cellStyle name="Headings2b 2" xfId="11584" xr:uid="{00000000-0005-0000-0000-0000854B0000}"/>
    <cellStyle name="Headings2b 2 2" xfId="11585" xr:uid="{00000000-0005-0000-0000-0000864B0000}"/>
    <cellStyle name="Headings2b 2 2 2" xfId="20169" xr:uid="{00000000-0005-0000-0000-0000874B0000}"/>
    <cellStyle name="Headings2b 2 3" xfId="20168" xr:uid="{00000000-0005-0000-0000-0000884B0000}"/>
    <cellStyle name="Headings2b 3" xfId="11586" xr:uid="{00000000-0005-0000-0000-0000894B0000}"/>
    <cellStyle name="Headings2b 3 2" xfId="11587" xr:uid="{00000000-0005-0000-0000-00008A4B0000}"/>
    <cellStyle name="Headings2b 3 2 2" xfId="20171" xr:uid="{00000000-0005-0000-0000-00008B4B0000}"/>
    <cellStyle name="Headings2b 3 3" xfId="20170" xr:uid="{00000000-0005-0000-0000-00008C4B0000}"/>
    <cellStyle name="Headings2b 4" xfId="11588" xr:uid="{00000000-0005-0000-0000-00008D4B0000}"/>
    <cellStyle name="Headings2b 4 2" xfId="20172" xr:uid="{00000000-0005-0000-0000-00008E4B0000}"/>
    <cellStyle name="Headings2b 5" xfId="20167" xr:uid="{00000000-0005-0000-0000-00008F4B0000}"/>
    <cellStyle name="HEADINGSTOP" xfId="11589" xr:uid="{00000000-0005-0000-0000-0000904B0000}"/>
    <cellStyle name="Hidden" xfId="11590" xr:uid="{00000000-0005-0000-0000-0000914B0000}"/>
    <cellStyle name="HIDDEN 2" xfId="20328" xr:uid="{00000000-0005-0000-0000-0000924B0000}"/>
    <cellStyle name="HIGHLIGHT" xfId="11591" xr:uid="{00000000-0005-0000-0000-0000934B0000}"/>
    <cellStyle name="Hyperlänk_2000 DVD COSTS.xls" xfId="11592" xr:uid="{00000000-0005-0000-0000-0000944B0000}"/>
    <cellStyle name="Hyperlink 2" xfId="11593" xr:uid="{00000000-0005-0000-0000-0000954B0000}"/>
    <cellStyle name="Hyperlink 3" xfId="11594" xr:uid="{00000000-0005-0000-0000-0000964B0000}"/>
    <cellStyle name="IDEO" xfId="11595" xr:uid="{00000000-0005-0000-0000-0000974B0000}"/>
    <cellStyle name="iemens" xfId="11596" xr:uid="{00000000-0005-0000-0000-0000984B0000}"/>
    <cellStyle name="IncomeStatement" xfId="11597" xr:uid="{00000000-0005-0000-0000-0000994B0000}"/>
    <cellStyle name="IncomeStatement 2" xfId="20329" xr:uid="{00000000-0005-0000-0000-00009A4B0000}"/>
    <cellStyle name="Input [yellow]" xfId="11598" xr:uid="{00000000-0005-0000-0000-00009B4B0000}"/>
    <cellStyle name="Input [yellow] 2" xfId="11599" xr:uid="{00000000-0005-0000-0000-00009C4B0000}"/>
    <cellStyle name="Input [yellow] 3" xfId="11600" xr:uid="{00000000-0005-0000-0000-00009D4B0000}"/>
    <cellStyle name="Input [yellow] 4" xfId="11601" xr:uid="{00000000-0005-0000-0000-00009E4B0000}"/>
    <cellStyle name="Input 10" xfId="11602" xr:uid="{00000000-0005-0000-0000-00009F4B0000}"/>
    <cellStyle name="Input 11" xfId="11603" xr:uid="{00000000-0005-0000-0000-0000A04B0000}"/>
    <cellStyle name="Input 12" xfId="11604" xr:uid="{00000000-0005-0000-0000-0000A14B0000}"/>
    <cellStyle name="Input 13" xfId="11605" xr:uid="{00000000-0005-0000-0000-0000A24B0000}"/>
    <cellStyle name="Input 14" xfId="11606" xr:uid="{00000000-0005-0000-0000-0000A34B0000}"/>
    <cellStyle name="Input 15" xfId="11607" xr:uid="{00000000-0005-0000-0000-0000A44B0000}"/>
    <cellStyle name="Input 16" xfId="11608" xr:uid="{00000000-0005-0000-0000-0000A54B0000}"/>
    <cellStyle name="Input 2" xfId="11609" xr:uid="{00000000-0005-0000-0000-0000A64B0000}"/>
    <cellStyle name="Input 3" xfId="11610" xr:uid="{00000000-0005-0000-0000-0000A74B0000}"/>
    <cellStyle name="Input 4" xfId="11611" xr:uid="{00000000-0005-0000-0000-0000A84B0000}"/>
    <cellStyle name="Input 5" xfId="11612" xr:uid="{00000000-0005-0000-0000-0000A94B0000}"/>
    <cellStyle name="Input 6" xfId="11613" xr:uid="{00000000-0005-0000-0000-0000AA4B0000}"/>
    <cellStyle name="Input 7" xfId="11614" xr:uid="{00000000-0005-0000-0000-0000AB4B0000}"/>
    <cellStyle name="Input 8" xfId="11615" xr:uid="{00000000-0005-0000-0000-0000AC4B0000}"/>
    <cellStyle name="Input 9" xfId="11616" xr:uid="{00000000-0005-0000-0000-0000AD4B0000}"/>
    <cellStyle name="input cell" xfId="11617" xr:uid="{00000000-0005-0000-0000-0000AE4B0000}"/>
    <cellStyle name="Input Cells" xfId="11618" xr:uid="{00000000-0005-0000-0000-0000AF4B0000}"/>
    <cellStyle name="Input Currency" xfId="11619" xr:uid="{00000000-0005-0000-0000-0000B04B0000}"/>
    <cellStyle name="Input Currency 2" xfId="20330" xr:uid="{00000000-0005-0000-0000-0000B14B0000}"/>
    <cellStyle name="Input Date" xfId="11620" xr:uid="{00000000-0005-0000-0000-0000B24B0000}"/>
    <cellStyle name="Input Date 2" xfId="20331" xr:uid="{00000000-0005-0000-0000-0000B34B0000}"/>
    <cellStyle name="Input Fixed [0]" xfId="11621" xr:uid="{00000000-0005-0000-0000-0000B44B0000}"/>
    <cellStyle name="Input Fixed [0] 2" xfId="20332" xr:uid="{00000000-0005-0000-0000-0000B54B0000}"/>
    <cellStyle name="Input Normal" xfId="11622" xr:uid="{00000000-0005-0000-0000-0000B64B0000}"/>
    <cellStyle name="Input Normal 2" xfId="20333" xr:uid="{00000000-0005-0000-0000-0000B74B0000}"/>
    <cellStyle name="Input Percent" xfId="11623" xr:uid="{00000000-0005-0000-0000-0000B84B0000}"/>
    <cellStyle name="Input Percent [2]" xfId="11624" xr:uid="{00000000-0005-0000-0000-0000B94B0000}"/>
    <cellStyle name="Input Percent [2] 2" xfId="20334" xr:uid="{00000000-0005-0000-0000-0000BA4B0000}"/>
    <cellStyle name="Input Percent 2" xfId="20335" xr:uid="{00000000-0005-0000-0000-0000BB4B0000}"/>
    <cellStyle name="Input Percent 3" xfId="20336" xr:uid="{00000000-0005-0000-0000-0000BC4B0000}"/>
    <cellStyle name="Input Titles" xfId="11625" xr:uid="{00000000-0005-0000-0000-0000BD4B0000}"/>
    <cellStyle name="Input$" xfId="11626" xr:uid="{00000000-0005-0000-0000-0000BE4B0000}"/>
    <cellStyle name="Input$ 2" xfId="11627" xr:uid="{00000000-0005-0000-0000-0000BF4B0000}"/>
    <cellStyle name="Input$ 3" xfId="11628" xr:uid="{00000000-0005-0000-0000-0000C04B0000}"/>
    <cellStyle name="Input%" xfId="11629" xr:uid="{00000000-0005-0000-0000-0000C14B0000}"/>
    <cellStyle name="Input% 2" xfId="11630" xr:uid="{00000000-0005-0000-0000-0000C24B0000}"/>
    <cellStyle name="Input% 3" xfId="11631" xr:uid="{00000000-0005-0000-0000-0000C34B0000}"/>
    <cellStyle name="Input1" xfId="11632" xr:uid="{00000000-0005-0000-0000-0000C44B0000}"/>
    <cellStyle name="Input2" xfId="11633" xr:uid="{00000000-0005-0000-0000-0000C54B0000}"/>
    <cellStyle name="InputBlueFont" xfId="11634" xr:uid="{00000000-0005-0000-0000-0000C64B0000}"/>
    <cellStyle name="InputCell" xfId="11635" xr:uid="{00000000-0005-0000-0000-0000C74B0000}"/>
    <cellStyle name="InputCell 2" xfId="11636" xr:uid="{00000000-0005-0000-0000-0000C84B0000}"/>
    <cellStyle name="InputCell 2 2" xfId="11637" xr:uid="{00000000-0005-0000-0000-0000C94B0000}"/>
    <cellStyle name="InputCell 2 2 2" xfId="20175" xr:uid="{00000000-0005-0000-0000-0000CA4B0000}"/>
    <cellStyle name="InputCell 2 3" xfId="20174" xr:uid="{00000000-0005-0000-0000-0000CB4B0000}"/>
    <cellStyle name="InputCell 3" xfId="11638" xr:uid="{00000000-0005-0000-0000-0000CC4B0000}"/>
    <cellStyle name="InputCell 3 2" xfId="11639" xr:uid="{00000000-0005-0000-0000-0000CD4B0000}"/>
    <cellStyle name="InputCell 3 2 2" xfId="20177" xr:uid="{00000000-0005-0000-0000-0000CE4B0000}"/>
    <cellStyle name="InputCell 3 3" xfId="20176" xr:uid="{00000000-0005-0000-0000-0000CF4B0000}"/>
    <cellStyle name="InputCell 4" xfId="11640" xr:uid="{00000000-0005-0000-0000-0000D04B0000}"/>
    <cellStyle name="InputCell 4 2" xfId="20178" xr:uid="{00000000-0005-0000-0000-0000D14B0000}"/>
    <cellStyle name="InputCell 5" xfId="20173" xr:uid="{00000000-0005-0000-0000-0000D24B0000}"/>
    <cellStyle name="InputPop" xfId="11641" xr:uid="{00000000-0005-0000-0000-0000D34B0000}"/>
    <cellStyle name="InputPop 2" xfId="20337" xr:uid="{00000000-0005-0000-0000-0000D44B0000}"/>
    <cellStyle name="Inputs" xfId="11642" xr:uid="{00000000-0005-0000-0000-0000D54B0000}"/>
    <cellStyle name="Input-Text Only" xfId="11643" xr:uid="{00000000-0005-0000-0000-0000D64B0000}"/>
    <cellStyle name="Integer" xfId="11644" xr:uid="{00000000-0005-0000-0000-0000D74B0000}"/>
    <cellStyle name="Invisible" xfId="11645" xr:uid="{00000000-0005-0000-0000-0000D84B0000}"/>
    <cellStyle name="Invisible 2" xfId="11646" xr:uid="{00000000-0005-0000-0000-0000D94B0000}"/>
    <cellStyle name="Invisible 3" xfId="11647" xr:uid="{00000000-0005-0000-0000-0000DA4B0000}"/>
    <cellStyle name="Item" xfId="11648" xr:uid="{00000000-0005-0000-0000-0000DB4B0000}"/>
    <cellStyle name="ItemTypeClass" xfId="11649" xr:uid="{00000000-0005-0000-0000-0000DC4B0000}"/>
    <cellStyle name="ItemTypeClass 2" xfId="11650" xr:uid="{00000000-0005-0000-0000-0000DD4B0000}"/>
    <cellStyle name="ItemTypeClass 2 2" xfId="11651" xr:uid="{00000000-0005-0000-0000-0000DE4B0000}"/>
    <cellStyle name="ItemTypeClass 2 2 2" xfId="20181" xr:uid="{00000000-0005-0000-0000-0000DF4B0000}"/>
    <cellStyle name="ItemTypeClass 2 3" xfId="20180" xr:uid="{00000000-0005-0000-0000-0000E04B0000}"/>
    <cellStyle name="ItemTypeClass 3" xfId="11652" xr:uid="{00000000-0005-0000-0000-0000E14B0000}"/>
    <cellStyle name="ItemTypeClass 3 2" xfId="11653" xr:uid="{00000000-0005-0000-0000-0000E24B0000}"/>
    <cellStyle name="ItemTypeClass 3 2 2" xfId="20183" xr:uid="{00000000-0005-0000-0000-0000E34B0000}"/>
    <cellStyle name="ItemTypeClass 3 3" xfId="20182" xr:uid="{00000000-0005-0000-0000-0000E44B0000}"/>
    <cellStyle name="ItemTypeClass 4" xfId="11654" xr:uid="{00000000-0005-0000-0000-0000E54B0000}"/>
    <cellStyle name="ItemTypeClass 4 2" xfId="20184" xr:uid="{00000000-0005-0000-0000-0000E64B0000}"/>
    <cellStyle name="ItemTypeClass 5" xfId="20179" xr:uid="{00000000-0005-0000-0000-0000E74B0000}"/>
    <cellStyle name="Ivan" xfId="11655" xr:uid="{00000000-0005-0000-0000-0000E84B0000}"/>
    <cellStyle name="îÿî_x0002_" xfId="11656" xr:uid="{00000000-0005-0000-0000-0000E94B0000}"/>
    <cellStyle name="îÿî_x0002__x0010_" xfId="11657" xr:uid="{00000000-0005-0000-0000-0000EA4B0000}"/>
    <cellStyle name="îÿî_x0002__CardioSolutions 05 31 2007 Final Model 09 27 2007" xfId="11658" xr:uid="{00000000-0005-0000-0000-0000EB4B0000}"/>
    <cellStyle name="Jason" xfId="11659" xr:uid="{00000000-0005-0000-0000-0000EC4B0000}"/>
    <cellStyle name="JustOneDec" xfId="11660" xr:uid="{00000000-0005-0000-0000-0000ED4B0000}"/>
    <cellStyle name="JustOneDec 2" xfId="20338" xr:uid="{00000000-0005-0000-0000-0000EE4B0000}"/>
    <cellStyle name="Komma [0]_laroux" xfId="11661" xr:uid="{00000000-0005-0000-0000-0000EF4B0000}"/>
    <cellStyle name="Komma_laroux" xfId="11662" xr:uid="{00000000-0005-0000-0000-0000F04B0000}"/>
    <cellStyle name="Kommatecken [0]_2000 DVD COSTS.xls" xfId="11663" xr:uid="{00000000-0005-0000-0000-0000F14B0000}"/>
    <cellStyle name="KPMG Heading 1" xfId="11664" xr:uid="{00000000-0005-0000-0000-0000F24B0000}"/>
    <cellStyle name="KPMG Heading 2" xfId="11665" xr:uid="{00000000-0005-0000-0000-0000F34B0000}"/>
    <cellStyle name="KPMG Heading 3" xfId="11666" xr:uid="{00000000-0005-0000-0000-0000F44B0000}"/>
    <cellStyle name="KPMG Heading 4" xfId="11667" xr:uid="{00000000-0005-0000-0000-0000F54B0000}"/>
    <cellStyle name="KPMG Normal" xfId="11668" xr:uid="{00000000-0005-0000-0000-0000F64B0000}"/>
    <cellStyle name="KPMG Normal Text" xfId="11669" xr:uid="{00000000-0005-0000-0000-0000F74B0000}"/>
    <cellStyle name="KPMG Normal_2006 Model (3-2-06) v1 3" xfId="11670" xr:uid="{00000000-0005-0000-0000-0000F84B0000}"/>
    <cellStyle name="LABEL_NUMBER" xfId="11671" xr:uid="{00000000-0005-0000-0000-0000F94B0000}"/>
    <cellStyle name="Lable8Left" xfId="11672" xr:uid="{00000000-0005-0000-0000-0000FA4B0000}"/>
    <cellStyle name="Large Page Heading" xfId="11673" xr:uid="{00000000-0005-0000-0000-0000FB4B0000}"/>
    <cellStyle name="Last_nums" xfId="11674" xr:uid="{00000000-0005-0000-0000-0000FC4B0000}"/>
    <cellStyle name="left" xfId="11675" xr:uid="{00000000-0005-0000-0000-0000FD4B0000}"/>
    <cellStyle name="left 2" xfId="20339" xr:uid="{00000000-0005-0000-0000-0000FE4B0000}"/>
    <cellStyle name="Left Heading 1" xfId="11676" xr:uid="{00000000-0005-0000-0000-0000FF4B0000}"/>
    <cellStyle name="Left Heading 2" xfId="11677" xr:uid="{00000000-0005-0000-0000-0000004C0000}"/>
    <cellStyle name="leftStyle" xfId="11678" xr:uid="{00000000-0005-0000-0000-0000014C0000}"/>
    <cellStyle name="leftStyle2" xfId="11679" xr:uid="{00000000-0005-0000-0000-0000024C0000}"/>
    <cellStyle name="Lien hypertexte_NEGS" xfId="11680" xr:uid="{00000000-0005-0000-0000-0000034C0000}"/>
    <cellStyle name="LineBottom" xfId="11681" xr:uid="{00000000-0005-0000-0000-0000044C0000}"/>
    <cellStyle name="LineBottom 2" xfId="11682" xr:uid="{00000000-0005-0000-0000-0000054C0000}"/>
    <cellStyle name="LineBottom 2 2" xfId="20278" xr:uid="{00000000-0005-0000-0000-0000064C0000}"/>
    <cellStyle name="LineBottom 3" xfId="11683" xr:uid="{00000000-0005-0000-0000-0000074C0000}"/>
    <cellStyle name="LineBottom 3 2" xfId="20279" xr:uid="{00000000-0005-0000-0000-0000084C0000}"/>
    <cellStyle name="LineBottom 4" xfId="20280" xr:uid="{00000000-0005-0000-0000-0000094C0000}"/>
    <cellStyle name="LineItem" xfId="11684" xr:uid="{00000000-0005-0000-0000-00000A4C0000}"/>
    <cellStyle name="LineItems" xfId="11685" xr:uid="{00000000-0005-0000-0000-00000B4C0000}"/>
    <cellStyle name="LineItems 2" xfId="20340" xr:uid="{00000000-0005-0000-0000-00000C4C0000}"/>
    <cellStyle name="LineTop" xfId="11686" xr:uid="{00000000-0005-0000-0000-00000D4C0000}"/>
    <cellStyle name="LineTop 2" xfId="11687" xr:uid="{00000000-0005-0000-0000-00000E4C0000}"/>
    <cellStyle name="LineTop 2 2" xfId="11688" xr:uid="{00000000-0005-0000-0000-00000F4C0000}"/>
    <cellStyle name="LineTop 2 2 2" xfId="16164" xr:uid="{00000000-0005-0000-0000-0000104C0000}"/>
    <cellStyle name="LineTop 2 2 3" xfId="20187" xr:uid="{00000000-0005-0000-0000-0000114C0000}"/>
    <cellStyle name="LineTop 2 3" xfId="16163" xr:uid="{00000000-0005-0000-0000-0000124C0000}"/>
    <cellStyle name="LineTop 2 4" xfId="20186" xr:uid="{00000000-0005-0000-0000-0000134C0000}"/>
    <cellStyle name="LineTop 3" xfId="11689" xr:uid="{00000000-0005-0000-0000-0000144C0000}"/>
    <cellStyle name="LineTop 3 2" xfId="11690" xr:uid="{00000000-0005-0000-0000-0000154C0000}"/>
    <cellStyle name="LineTop 3 2 2" xfId="16166" xr:uid="{00000000-0005-0000-0000-0000164C0000}"/>
    <cellStyle name="LineTop 3 2 3" xfId="20189" xr:uid="{00000000-0005-0000-0000-0000174C0000}"/>
    <cellStyle name="LineTop 3 3" xfId="16165" xr:uid="{00000000-0005-0000-0000-0000184C0000}"/>
    <cellStyle name="LineTop 3 4" xfId="20188" xr:uid="{00000000-0005-0000-0000-0000194C0000}"/>
    <cellStyle name="LineTop 4" xfId="11691" xr:uid="{00000000-0005-0000-0000-00001A4C0000}"/>
    <cellStyle name="LineTop 4 2" xfId="16167" xr:uid="{00000000-0005-0000-0000-00001B4C0000}"/>
    <cellStyle name="LineTop 4 3" xfId="20190" xr:uid="{00000000-0005-0000-0000-00001C4C0000}"/>
    <cellStyle name="LineTop 5" xfId="16162" xr:uid="{00000000-0005-0000-0000-00001D4C0000}"/>
    <cellStyle name="LineTop 6" xfId="20185" xr:uid="{00000000-0005-0000-0000-00001E4C0000}"/>
    <cellStyle name="Link Currency (0)" xfId="11692" xr:uid="{00000000-0005-0000-0000-00001F4C0000}"/>
    <cellStyle name="Link Currency (2)" xfId="11693" xr:uid="{00000000-0005-0000-0000-0000204C0000}"/>
    <cellStyle name="Link Units (0)" xfId="11694" xr:uid="{00000000-0005-0000-0000-0000214C0000}"/>
    <cellStyle name="Link Units (1)" xfId="11695" xr:uid="{00000000-0005-0000-0000-0000224C0000}"/>
    <cellStyle name="Link Units (2)" xfId="11696" xr:uid="{00000000-0005-0000-0000-0000234C0000}"/>
    <cellStyle name="Linked Cell 10" xfId="11697" xr:uid="{00000000-0005-0000-0000-0000244C0000}"/>
    <cellStyle name="Linked Cell 11" xfId="11698" xr:uid="{00000000-0005-0000-0000-0000254C0000}"/>
    <cellStyle name="Linked Cell 12" xfId="11699" xr:uid="{00000000-0005-0000-0000-0000264C0000}"/>
    <cellStyle name="Linked Cell 13" xfId="11700" xr:uid="{00000000-0005-0000-0000-0000274C0000}"/>
    <cellStyle name="Linked Cell 2" xfId="11701" xr:uid="{00000000-0005-0000-0000-0000284C0000}"/>
    <cellStyle name="Linked Cell 3" xfId="11702" xr:uid="{00000000-0005-0000-0000-0000294C0000}"/>
    <cellStyle name="Linked Cell 4" xfId="11703" xr:uid="{00000000-0005-0000-0000-00002A4C0000}"/>
    <cellStyle name="Linked Cell 5" xfId="11704" xr:uid="{00000000-0005-0000-0000-00002B4C0000}"/>
    <cellStyle name="Linked Cell 6" xfId="11705" xr:uid="{00000000-0005-0000-0000-00002C4C0000}"/>
    <cellStyle name="Linked Cell 7" xfId="11706" xr:uid="{00000000-0005-0000-0000-00002D4C0000}"/>
    <cellStyle name="Linked Cell 8" xfId="11707" xr:uid="{00000000-0005-0000-0000-00002E4C0000}"/>
    <cellStyle name="Linked Cell 9" xfId="11708" xr:uid="{00000000-0005-0000-0000-00002F4C0000}"/>
    <cellStyle name="Linked Cells" xfId="11709" xr:uid="{00000000-0005-0000-0000-0000304C0000}"/>
    <cellStyle name="locked" xfId="11710" xr:uid="{00000000-0005-0000-0000-0000314C0000}"/>
    <cellStyle name="LookUpText" xfId="11711" xr:uid="{00000000-0005-0000-0000-0000324C0000}"/>
    <cellStyle name="lou" xfId="11712" xr:uid="{00000000-0005-0000-0000-0000334C0000}"/>
    <cellStyle name="m&amp;a" xfId="11713" xr:uid="{00000000-0005-0000-0000-0000344C0000}"/>
    <cellStyle name="ManualInput" xfId="11714" xr:uid="{00000000-0005-0000-0000-0000354C0000}"/>
    <cellStyle name="ManualInput 2" xfId="20341" xr:uid="{00000000-0005-0000-0000-0000364C0000}"/>
    <cellStyle name="Map Labels" xfId="11715" xr:uid="{00000000-0005-0000-0000-0000374C0000}"/>
    <cellStyle name="Map Legend" xfId="11716" xr:uid="{00000000-0005-0000-0000-0000384C0000}"/>
    <cellStyle name="Map Title" xfId="11717" xr:uid="{00000000-0005-0000-0000-0000394C0000}"/>
    <cellStyle name="Margins" xfId="11718" xr:uid="{00000000-0005-0000-0000-00003A4C0000}"/>
    <cellStyle name="Margins 2" xfId="20342" xr:uid="{00000000-0005-0000-0000-00003B4C0000}"/>
    <cellStyle name="Migliaia (0)_ACTUAL 31-12-95" xfId="11719" xr:uid="{00000000-0005-0000-0000-00003C4C0000}"/>
    <cellStyle name="Migliaia_ACTUAL 30-06-95.XLS" xfId="11720" xr:uid="{00000000-0005-0000-0000-00003D4C0000}"/>
    <cellStyle name="mil" xfId="11721" xr:uid="{00000000-0005-0000-0000-00003E4C0000}"/>
    <cellStyle name="Miles" xfId="11722" xr:uid="{00000000-0005-0000-0000-00003F4C0000}"/>
    <cellStyle name="Millares [0]_laroux" xfId="11723" xr:uid="{00000000-0005-0000-0000-0000404C0000}"/>
    <cellStyle name="Millares_laroux" xfId="11724" xr:uid="{00000000-0005-0000-0000-0000414C0000}"/>
    <cellStyle name="Milliers [0]_!!!GO" xfId="11725" xr:uid="{00000000-0005-0000-0000-0000424C0000}"/>
    <cellStyle name="Milliers 2" xfId="11726" xr:uid="{00000000-0005-0000-0000-0000434C0000}"/>
    <cellStyle name="Milliers_!!!GO" xfId="11727" xr:uid="{00000000-0005-0000-0000-0000444C0000}"/>
    <cellStyle name="Mills" xfId="11728" xr:uid="{00000000-0005-0000-0000-0000454C0000}"/>
    <cellStyle name="Mills 2" xfId="11729" xr:uid="{00000000-0005-0000-0000-0000464C0000}"/>
    <cellStyle name="Mills 2 2" xfId="20281" xr:uid="{00000000-0005-0000-0000-0000474C0000}"/>
    <cellStyle name="Mills 3" xfId="11730" xr:uid="{00000000-0005-0000-0000-0000484C0000}"/>
    <cellStyle name="Mills 3 2" xfId="20282" xr:uid="{00000000-0005-0000-0000-0000494C0000}"/>
    <cellStyle name="Mills 4" xfId="20283" xr:uid="{00000000-0005-0000-0000-00004A4C0000}"/>
    <cellStyle name="mm/d/yy" xfId="11731" xr:uid="{00000000-0005-0000-0000-00004B4C0000}"/>
    <cellStyle name="mm/dd/yy" xfId="11732" xr:uid="{00000000-0005-0000-0000-00004C4C0000}"/>
    <cellStyle name="MMM-YY" xfId="11733" xr:uid="{00000000-0005-0000-0000-00004D4C0000}"/>
    <cellStyle name="MMs1Place" xfId="11734" xr:uid="{00000000-0005-0000-0000-00004E4C0000}"/>
    <cellStyle name="MMs2Places" xfId="11735" xr:uid="{00000000-0005-0000-0000-00004F4C0000}"/>
    <cellStyle name="mo" xfId="11736" xr:uid="{00000000-0005-0000-0000-0000504C0000}"/>
    <cellStyle name="mo end" xfId="11737" xr:uid="{00000000-0005-0000-0000-0000514C0000}"/>
    <cellStyle name="mo_~8080122" xfId="11738" xr:uid="{00000000-0005-0000-0000-0000524C0000}"/>
    <cellStyle name="Model" xfId="11739" xr:uid="{00000000-0005-0000-0000-0000534C0000}"/>
    <cellStyle name="Moneda [0]_laroux" xfId="11740" xr:uid="{00000000-0005-0000-0000-0000544C0000}"/>
    <cellStyle name="Moneda_laroux" xfId="11741" xr:uid="{00000000-0005-0000-0000-0000554C0000}"/>
    <cellStyle name="Monétaire [0]_!!!GO" xfId="11742" xr:uid="{00000000-0005-0000-0000-0000564C0000}"/>
    <cellStyle name="Monétaire 2" xfId="11743" xr:uid="{00000000-0005-0000-0000-0000574C0000}"/>
    <cellStyle name="Monétaire 2 10" xfId="11744" xr:uid="{00000000-0005-0000-0000-0000584C0000}"/>
    <cellStyle name="Monétaire 2 2" xfId="11745" xr:uid="{00000000-0005-0000-0000-0000594C0000}"/>
    <cellStyle name="Monétaire 2 2 2" xfId="11746" xr:uid="{00000000-0005-0000-0000-00005A4C0000}"/>
    <cellStyle name="Monétaire 2 2 2 2" xfId="11747" xr:uid="{00000000-0005-0000-0000-00005B4C0000}"/>
    <cellStyle name="Monétaire 2 2 2 3" xfId="11748" xr:uid="{00000000-0005-0000-0000-00005C4C0000}"/>
    <cellStyle name="Monétaire 2 2 2 4" xfId="11749" xr:uid="{00000000-0005-0000-0000-00005D4C0000}"/>
    <cellStyle name="Monétaire 2 2 2 5" xfId="11750" xr:uid="{00000000-0005-0000-0000-00005E4C0000}"/>
    <cellStyle name="Monétaire 2 2 3" xfId="11751" xr:uid="{00000000-0005-0000-0000-00005F4C0000}"/>
    <cellStyle name="Monétaire 2 2 4" xfId="11752" xr:uid="{00000000-0005-0000-0000-0000604C0000}"/>
    <cellStyle name="Monétaire 2 2 5" xfId="11753" xr:uid="{00000000-0005-0000-0000-0000614C0000}"/>
    <cellStyle name="Monétaire 2 3" xfId="11754" xr:uid="{00000000-0005-0000-0000-0000624C0000}"/>
    <cellStyle name="Monétaire 2 4" xfId="11755" xr:uid="{00000000-0005-0000-0000-0000634C0000}"/>
    <cellStyle name="Monétaire 2 5" xfId="11756" xr:uid="{00000000-0005-0000-0000-0000644C0000}"/>
    <cellStyle name="Monétaire 2 6" xfId="11757" xr:uid="{00000000-0005-0000-0000-0000654C0000}"/>
    <cellStyle name="Monétaire 2 7" xfId="11758" xr:uid="{00000000-0005-0000-0000-0000664C0000}"/>
    <cellStyle name="Monétaire 2 8" xfId="11759" xr:uid="{00000000-0005-0000-0000-0000674C0000}"/>
    <cellStyle name="Monétaire 2 9" xfId="11760" xr:uid="{00000000-0005-0000-0000-0000684C0000}"/>
    <cellStyle name="Monétaire_!!!GO" xfId="11761" xr:uid="{00000000-0005-0000-0000-0000694C0000}"/>
    <cellStyle name="MonthYear" xfId="11762" xr:uid="{00000000-0005-0000-0000-00006A4C0000}"/>
    <cellStyle name="Mon-Yr" xfId="11763" xr:uid="{00000000-0005-0000-0000-00006B4C0000}"/>
    <cellStyle name="Mult No x" xfId="11764" xr:uid="{00000000-0005-0000-0000-00006C4C0000}"/>
    <cellStyle name="Mult No x 2" xfId="11765" xr:uid="{00000000-0005-0000-0000-00006D4C0000}"/>
    <cellStyle name="Mult No x 2 2" xfId="20284" xr:uid="{00000000-0005-0000-0000-00006E4C0000}"/>
    <cellStyle name="Mult No x 3" xfId="11766" xr:uid="{00000000-0005-0000-0000-00006F4C0000}"/>
    <cellStyle name="Mult No x 3 2" xfId="20285" xr:uid="{00000000-0005-0000-0000-0000704C0000}"/>
    <cellStyle name="Mult No x 4" xfId="20286" xr:uid="{00000000-0005-0000-0000-0000714C0000}"/>
    <cellStyle name="Mult With x" xfId="11767" xr:uid="{00000000-0005-0000-0000-0000724C0000}"/>
    <cellStyle name="Mult With x 2" xfId="11768" xr:uid="{00000000-0005-0000-0000-0000734C0000}"/>
    <cellStyle name="Mult With x 2 2" xfId="20287" xr:uid="{00000000-0005-0000-0000-0000744C0000}"/>
    <cellStyle name="Mult With x 3" xfId="11769" xr:uid="{00000000-0005-0000-0000-0000754C0000}"/>
    <cellStyle name="Mult With x 3 2" xfId="20288" xr:uid="{00000000-0005-0000-0000-0000764C0000}"/>
    <cellStyle name="Mult With x 4" xfId="20289" xr:uid="{00000000-0005-0000-0000-0000774C0000}"/>
    <cellStyle name="Multiple" xfId="11770" xr:uid="{00000000-0005-0000-0000-0000784C0000}"/>
    <cellStyle name="Multiple (no x)" xfId="11771" xr:uid="{00000000-0005-0000-0000-0000794C0000}"/>
    <cellStyle name="Multiple (x)" xfId="11772" xr:uid="{00000000-0005-0000-0000-00007A4C0000}"/>
    <cellStyle name="Multiple []" xfId="11773" xr:uid="{00000000-0005-0000-0000-00007B4C0000}"/>
    <cellStyle name="Multiple [0]" xfId="11774" xr:uid="{00000000-0005-0000-0000-00007C4C0000}"/>
    <cellStyle name="Multiple [0] []" xfId="11775" xr:uid="{00000000-0005-0000-0000-00007D4C0000}"/>
    <cellStyle name="Multiple [1]" xfId="11776" xr:uid="{00000000-0005-0000-0000-00007E4C0000}"/>
    <cellStyle name="Multiple [1] []" xfId="11777" xr:uid="{00000000-0005-0000-0000-00007F4C0000}"/>
    <cellStyle name="Multiple[,]" xfId="11778" xr:uid="{00000000-0005-0000-0000-0000804C0000}"/>
    <cellStyle name="Multiple[1]" xfId="11779" xr:uid="{00000000-0005-0000-0000-0000814C0000}"/>
    <cellStyle name="Multiple[2]" xfId="11780" xr:uid="{00000000-0005-0000-0000-0000824C0000}"/>
    <cellStyle name="Multiple_Abacus1" xfId="11781" xr:uid="{00000000-0005-0000-0000-0000834C0000}"/>
    <cellStyle name="MultipleBelow" xfId="11782" xr:uid="{00000000-0005-0000-0000-0000844C0000}"/>
    <cellStyle name="NA is zero" xfId="11783" xr:uid="{00000000-0005-0000-0000-0000854C0000}"/>
    <cellStyle name="NA is zero 2" xfId="20343" xr:uid="{00000000-0005-0000-0000-0000864C0000}"/>
    <cellStyle name="Neutral 10" xfId="11784" xr:uid="{00000000-0005-0000-0000-0000874C0000}"/>
    <cellStyle name="Neutral 11" xfId="11785" xr:uid="{00000000-0005-0000-0000-0000884C0000}"/>
    <cellStyle name="Neutral 12" xfId="11786" xr:uid="{00000000-0005-0000-0000-0000894C0000}"/>
    <cellStyle name="Neutral 13" xfId="11787" xr:uid="{00000000-0005-0000-0000-00008A4C0000}"/>
    <cellStyle name="Neutral 2" xfId="11788" xr:uid="{00000000-0005-0000-0000-00008B4C0000}"/>
    <cellStyle name="Neutral 3" xfId="11789" xr:uid="{00000000-0005-0000-0000-00008C4C0000}"/>
    <cellStyle name="Neutral 4" xfId="11790" xr:uid="{00000000-0005-0000-0000-00008D4C0000}"/>
    <cellStyle name="Neutral 5" xfId="11791" xr:uid="{00000000-0005-0000-0000-00008E4C0000}"/>
    <cellStyle name="Neutral 6" xfId="11792" xr:uid="{00000000-0005-0000-0000-00008F4C0000}"/>
    <cellStyle name="Neutral 7" xfId="11793" xr:uid="{00000000-0005-0000-0000-0000904C0000}"/>
    <cellStyle name="Neutral 8" xfId="11794" xr:uid="{00000000-0005-0000-0000-0000914C0000}"/>
    <cellStyle name="Neutral 9" xfId="11795" xr:uid="{00000000-0005-0000-0000-0000924C0000}"/>
    <cellStyle name="new" xfId="11796" xr:uid="{00000000-0005-0000-0000-0000934C0000}"/>
    <cellStyle name="NewColumnHeaderNormal" xfId="11797" xr:uid="{00000000-0005-0000-0000-0000944C0000}"/>
    <cellStyle name="NewPeso" xfId="11798" xr:uid="{00000000-0005-0000-0000-0000954C0000}"/>
    <cellStyle name="NewPeso 2" xfId="20344" xr:uid="{00000000-0005-0000-0000-0000964C0000}"/>
    <cellStyle name="NewSectionHeaderNormal" xfId="11799" xr:uid="{00000000-0005-0000-0000-0000974C0000}"/>
    <cellStyle name="NewSectionHeaderNormal 2" xfId="20345" xr:uid="{00000000-0005-0000-0000-0000984C0000}"/>
    <cellStyle name="NewTitleNormal" xfId="11800" xr:uid="{00000000-0005-0000-0000-0000994C0000}"/>
    <cellStyle name="No Border" xfId="11801" xr:uid="{00000000-0005-0000-0000-00009A4C0000}"/>
    <cellStyle name="No Border 2" xfId="20346" xr:uid="{00000000-0005-0000-0000-00009B4C0000}"/>
    <cellStyle name="no dec" xfId="11802" xr:uid="{00000000-0005-0000-0000-00009C4C0000}"/>
    <cellStyle name="nobuild" xfId="11803" xr:uid="{00000000-0005-0000-0000-00009D4C0000}"/>
    <cellStyle name="nonmultiple" xfId="11804" xr:uid="{00000000-0005-0000-0000-00009E4C0000}"/>
    <cellStyle name="NonPrint_Heading" xfId="11805" xr:uid="{00000000-0005-0000-0000-00009F4C0000}"/>
    <cellStyle name="Norm੎੎" xfId="11806" xr:uid="{00000000-0005-0000-0000-0000A04C0000}"/>
    <cellStyle name="Norm੎੎ 2" xfId="20347" xr:uid="{00000000-0005-0000-0000-0000A14C0000}"/>
    <cellStyle name="Normal" xfId="0" builtinId="0"/>
    <cellStyle name="Normal - Style1" xfId="11807" xr:uid="{00000000-0005-0000-0000-0000A34C0000}"/>
    <cellStyle name="Normal - Style2" xfId="11808" xr:uid="{00000000-0005-0000-0000-0000A44C0000}"/>
    <cellStyle name="Normal - Style2 2" xfId="11809" xr:uid="{00000000-0005-0000-0000-0000A54C0000}"/>
    <cellStyle name="Normal - Style3" xfId="11810" xr:uid="{00000000-0005-0000-0000-0000A64C0000}"/>
    <cellStyle name="Normal - Style4" xfId="11811" xr:uid="{00000000-0005-0000-0000-0000A74C0000}"/>
    <cellStyle name="Normal - Style5" xfId="11812" xr:uid="{00000000-0005-0000-0000-0000A84C0000}"/>
    <cellStyle name="Normal - Style6" xfId="11813" xr:uid="{00000000-0005-0000-0000-0000A94C0000}"/>
    <cellStyle name="Normal - Style7" xfId="11814" xr:uid="{00000000-0005-0000-0000-0000AA4C0000}"/>
    <cellStyle name="Normal - Style8" xfId="11815" xr:uid="{00000000-0005-0000-0000-0000AB4C0000}"/>
    <cellStyle name="Normal - Style8 2" xfId="11816" xr:uid="{00000000-0005-0000-0000-0000AC4C0000}"/>
    <cellStyle name="Normal [0]" xfId="11817" xr:uid="{00000000-0005-0000-0000-0000AD4C0000}"/>
    <cellStyle name="Normal [0] 2" xfId="20348" xr:uid="{00000000-0005-0000-0000-0000AE4C0000}"/>
    <cellStyle name="Normal [1]" xfId="11818" xr:uid="{00000000-0005-0000-0000-0000AF4C0000}"/>
    <cellStyle name="Normal [2]" xfId="11819" xr:uid="{00000000-0005-0000-0000-0000B04C0000}"/>
    <cellStyle name="Normal [2] 2" xfId="20349" xr:uid="{00000000-0005-0000-0000-0000B14C0000}"/>
    <cellStyle name="Normal [3]" xfId="11820" xr:uid="{00000000-0005-0000-0000-0000B24C0000}"/>
    <cellStyle name="Normal [3] 2" xfId="20350" xr:uid="{00000000-0005-0000-0000-0000B34C0000}"/>
    <cellStyle name="Normal 10" xfId="11821" xr:uid="{00000000-0005-0000-0000-0000B44C0000}"/>
    <cellStyle name="Normal 10 11 2" xfId="11822" xr:uid="{00000000-0005-0000-0000-0000B54C0000}"/>
    <cellStyle name="Normal 10 11 2 2" xfId="16168" xr:uid="{00000000-0005-0000-0000-0000B64C0000}"/>
    <cellStyle name="Normal 10 11 2 2 2" xfId="20310" xr:uid="{00000000-0005-0000-0000-0000B74C0000}"/>
    <cellStyle name="Normal 10 11 2 2 3" xfId="20381" xr:uid="{00000000-0005-0000-0000-0000B84C0000}"/>
    <cellStyle name="Normal 10 11 2 3" xfId="20191" xr:uid="{00000000-0005-0000-0000-0000B94C0000}"/>
    <cellStyle name="Normal 10 2" xfId="11823" xr:uid="{00000000-0005-0000-0000-0000BA4C0000}"/>
    <cellStyle name="Normal 10 2 2" xfId="20351" xr:uid="{00000000-0005-0000-0000-0000BB4C0000}"/>
    <cellStyle name="Normal 10 3" xfId="11824" xr:uid="{00000000-0005-0000-0000-0000BC4C0000}"/>
    <cellStyle name="Normal 10 4" xfId="11825" xr:uid="{00000000-0005-0000-0000-0000BD4C0000}"/>
    <cellStyle name="Normal 11" xfId="11826" xr:uid="{00000000-0005-0000-0000-0000BE4C0000}"/>
    <cellStyle name="Normal 11 2" xfId="11827" xr:uid="{00000000-0005-0000-0000-0000BF4C0000}"/>
    <cellStyle name="Normal 11 3" xfId="20307" xr:uid="{00000000-0005-0000-0000-0000C04C0000}"/>
    <cellStyle name="Normal 11 4" xfId="20380" xr:uid="{00000000-0005-0000-0000-0000C14C0000}"/>
    <cellStyle name="Normal 12" xfId="11828" xr:uid="{00000000-0005-0000-0000-0000C24C0000}"/>
    <cellStyle name="Normal 12 2" xfId="11829" xr:uid="{00000000-0005-0000-0000-0000C34C0000}"/>
    <cellStyle name="Normal 12 2 2" xfId="16169" xr:uid="{00000000-0005-0000-0000-0000C44C0000}"/>
    <cellStyle name="Normal 12 2 3" xfId="20192" xr:uid="{00000000-0005-0000-0000-0000C54C0000}"/>
    <cellStyle name="Normal 13" xfId="11830" xr:uid="{00000000-0005-0000-0000-0000C64C0000}"/>
    <cellStyle name="Normal 13 2" xfId="11831" xr:uid="{00000000-0005-0000-0000-0000C74C0000}"/>
    <cellStyle name="Normal 14" xfId="11832" xr:uid="{00000000-0005-0000-0000-0000C84C0000}"/>
    <cellStyle name="Normal 14 2" xfId="11833" xr:uid="{00000000-0005-0000-0000-0000C94C0000}"/>
    <cellStyle name="Normal 14 2 2" xfId="16170" xr:uid="{00000000-0005-0000-0000-0000CA4C0000}"/>
    <cellStyle name="Normal 14 2 3" xfId="20193" xr:uid="{00000000-0005-0000-0000-0000CB4C0000}"/>
    <cellStyle name="Normal 15" xfId="11834" xr:uid="{00000000-0005-0000-0000-0000CC4C0000}"/>
    <cellStyle name="Normal 15 2" xfId="11835" xr:uid="{00000000-0005-0000-0000-0000CD4C0000}"/>
    <cellStyle name="Normal 15 2 2" xfId="16171" xr:uid="{00000000-0005-0000-0000-0000CE4C0000}"/>
    <cellStyle name="Normal 15 2 3" xfId="20194" xr:uid="{00000000-0005-0000-0000-0000CF4C0000}"/>
    <cellStyle name="Normal 16" xfId="11836" xr:uid="{00000000-0005-0000-0000-0000D04C0000}"/>
    <cellStyle name="Normal 16 2" xfId="11837" xr:uid="{00000000-0005-0000-0000-0000D14C0000}"/>
    <cellStyle name="Normal 16 2 2" xfId="16172" xr:uid="{00000000-0005-0000-0000-0000D24C0000}"/>
    <cellStyle name="Normal 16 2 3" xfId="20195" xr:uid="{00000000-0005-0000-0000-0000D34C0000}"/>
    <cellStyle name="Normal 17" xfId="11838" xr:uid="{00000000-0005-0000-0000-0000D44C0000}"/>
    <cellStyle name="Normal 17 2" xfId="11839" xr:uid="{00000000-0005-0000-0000-0000D54C0000}"/>
    <cellStyle name="Normal 17 2 2" xfId="16173" xr:uid="{00000000-0005-0000-0000-0000D64C0000}"/>
    <cellStyle name="Normal 17 2 3" xfId="20196" xr:uid="{00000000-0005-0000-0000-0000D74C0000}"/>
    <cellStyle name="Normal 17 3" xfId="11840" xr:uid="{00000000-0005-0000-0000-0000D84C0000}"/>
    <cellStyle name="Normal 18" xfId="11841" xr:uid="{00000000-0005-0000-0000-0000D94C0000}"/>
    <cellStyle name="Normal 18 2" xfId="11842" xr:uid="{00000000-0005-0000-0000-0000DA4C0000}"/>
    <cellStyle name="Normal 18 2 2" xfId="16174" xr:uid="{00000000-0005-0000-0000-0000DB4C0000}"/>
    <cellStyle name="Normal 18 2 3" xfId="20197" xr:uid="{00000000-0005-0000-0000-0000DC4C0000}"/>
    <cellStyle name="Normal 19" xfId="11843" xr:uid="{00000000-0005-0000-0000-0000DD4C0000}"/>
    <cellStyle name="Normal 19 2" xfId="11844" xr:uid="{00000000-0005-0000-0000-0000DE4C0000}"/>
    <cellStyle name="Normal 19 2 2" xfId="16175" xr:uid="{00000000-0005-0000-0000-0000DF4C0000}"/>
    <cellStyle name="Normal 19 2 3" xfId="20198" xr:uid="{00000000-0005-0000-0000-0000E04C0000}"/>
    <cellStyle name="Normal 2" xfId="11845" xr:uid="{00000000-0005-0000-0000-0000E14C0000}"/>
    <cellStyle name="Normal 2 10" xfId="11846" xr:uid="{00000000-0005-0000-0000-0000E24C0000}"/>
    <cellStyle name="Normal 2 11" xfId="11847" xr:uid="{00000000-0005-0000-0000-0000E34C0000}"/>
    <cellStyle name="Normal 2 12" xfId="11848" xr:uid="{00000000-0005-0000-0000-0000E44C0000}"/>
    <cellStyle name="Normal 2 13" xfId="11849" xr:uid="{00000000-0005-0000-0000-0000E54C0000}"/>
    <cellStyle name="Normal 2 14" xfId="11850" xr:uid="{00000000-0005-0000-0000-0000E64C0000}"/>
    <cellStyle name="Normal 2 15" xfId="11851" xr:uid="{00000000-0005-0000-0000-0000E74C0000}"/>
    <cellStyle name="Normal 2 16" xfId="16176" xr:uid="{00000000-0005-0000-0000-0000E84C0000}"/>
    <cellStyle name="Normal 2 17" xfId="20199" xr:uid="{00000000-0005-0000-0000-0000E94C0000}"/>
    <cellStyle name="Normal 2 18" xfId="20382" xr:uid="{00000000-0005-0000-0000-0000EA4C0000}"/>
    <cellStyle name="Normal 2 2" xfId="11852" xr:uid="{00000000-0005-0000-0000-0000EB4C0000}"/>
    <cellStyle name="Normal 2 2 2" xfId="11853" xr:uid="{00000000-0005-0000-0000-0000EC4C0000}"/>
    <cellStyle name="Normal 2 2 3" xfId="11854" xr:uid="{00000000-0005-0000-0000-0000ED4C0000}"/>
    <cellStyle name="Normal 2 2 4" xfId="11855" xr:uid="{00000000-0005-0000-0000-0000EE4C0000}"/>
    <cellStyle name="Normal 2 2 5" xfId="20290" xr:uid="{00000000-0005-0000-0000-0000EF4C0000}"/>
    <cellStyle name="Normal 2 3" xfId="11856" xr:uid="{00000000-0005-0000-0000-0000F04C0000}"/>
    <cellStyle name="Normal 2 3 2" xfId="11857" xr:uid="{00000000-0005-0000-0000-0000F14C0000}"/>
    <cellStyle name="Normal 2 4" xfId="11858" xr:uid="{00000000-0005-0000-0000-0000F24C0000}"/>
    <cellStyle name="Normal 2 5" xfId="11859" xr:uid="{00000000-0005-0000-0000-0000F34C0000}"/>
    <cellStyle name="Normal 2 6" xfId="11860" xr:uid="{00000000-0005-0000-0000-0000F44C0000}"/>
    <cellStyle name="Normal 2 7" xfId="11861" xr:uid="{00000000-0005-0000-0000-0000F54C0000}"/>
    <cellStyle name="Normal 2 8" xfId="11862" xr:uid="{00000000-0005-0000-0000-0000F64C0000}"/>
    <cellStyle name="Normal 2 9" xfId="11863" xr:uid="{00000000-0005-0000-0000-0000F74C0000}"/>
    <cellStyle name="Normal 20" xfId="11864" xr:uid="{00000000-0005-0000-0000-0000F84C0000}"/>
    <cellStyle name="Normal 20 2" xfId="11865" xr:uid="{00000000-0005-0000-0000-0000F94C0000}"/>
    <cellStyle name="Normal 20 2 2" xfId="16177" xr:uid="{00000000-0005-0000-0000-0000FA4C0000}"/>
    <cellStyle name="Normal 20 2 3" xfId="20200" xr:uid="{00000000-0005-0000-0000-0000FB4C0000}"/>
    <cellStyle name="Normal 21" xfId="11866" xr:uid="{00000000-0005-0000-0000-0000FC4C0000}"/>
    <cellStyle name="Normal 21 2" xfId="20291" xr:uid="{00000000-0005-0000-0000-0000FD4C0000}"/>
    <cellStyle name="Normal 21 2 2 2" xfId="20387" xr:uid="{00000000-0005-0000-0000-0000FE4C0000}"/>
    <cellStyle name="Normal 21 2 2 2 2" xfId="20398" xr:uid="{00000000-0005-0000-0000-0000FF4C0000}"/>
    <cellStyle name="Normal 21 2 2 2 2 2" xfId="20403" xr:uid="{00000000-0005-0000-0000-0000004D0000}"/>
    <cellStyle name="Normal 21 2 2 2 2 3 2 2 2" xfId="20421" xr:uid="{00000000-0005-0000-0000-0000014D0000}"/>
    <cellStyle name="Normal 21 2 2 2 2 3 3" xfId="20414" xr:uid="{00000000-0005-0000-0000-0000024D0000}"/>
    <cellStyle name="Normal 21 2 2 2 2 4 2 2" xfId="20419" xr:uid="{00000000-0005-0000-0000-0000034D0000}"/>
    <cellStyle name="Normal 22" xfId="11867" xr:uid="{00000000-0005-0000-0000-0000044D0000}"/>
    <cellStyle name="Normal 23" xfId="11868" xr:uid="{00000000-0005-0000-0000-0000054D0000}"/>
    <cellStyle name="Normal 24" xfId="11869" xr:uid="{00000000-0005-0000-0000-0000064D0000}"/>
    <cellStyle name="Normal 25" xfId="11870" xr:uid="{00000000-0005-0000-0000-0000074D0000}"/>
    <cellStyle name="Normal 26" xfId="11871" xr:uid="{00000000-0005-0000-0000-0000084D0000}"/>
    <cellStyle name="Normal 27" xfId="11872" xr:uid="{00000000-0005-0000-0000-0000094D0000}"/>
    <cellStyle name="Normal 28" xfId="11873" xr:uid="{00000000-0005-0000-0000-00000A4D0000}"/>
    <cellStyle name="Normal 28 2" xfId="16178" xr:uid="{00000000-0005-0000-0000-00000B4D0000}"/>
    <cellStyle name="Normal 28 3" xfId="20201" xr:uid="{00000000-0005-0000-0000-00000C4D0000}"/>
    <cellStyle name="Normal 29" xfId="11874" xr:uid="{00000000-0005-0000-0000-00000D4D0000}"/>
    <cellStyle name="Normal 3" xfId="11875" xr:uid="{00000000-0005-0000-0000-00000E4D0000}"/>
    <cellStyle name="Normal 3 10" xfId="11876" xr:uid="{00000000-0005-0000-0000-00000F4D0000}"/>
    <cellStyle name="Normal 3 2" xfId="11877" xr:uid="{00000000-0005-0000-0000-0000104D0000}"/>
    <cellStyle name="Normal 3 2 2" xfId="11878" xr:uid="{00000000-0005-0000-0000-0000114D0000}"/>
    <cellStyle name="Normal 3 2 3" xfId="11879" xr:uid="{00000000-0005-0000-0000-0000124D0000}"/>
    <cellStyle name="Normal 3 2 4" xfId="11880" xr:uid="{00000000-0005-0000-0000-0000134D0000}"/>
    <cellStyle name="Normal 3 2 5" xfId="11881" xr:uid="{00000000-0005-0000-0000-0000144D0000}"/>
    <cellStyle name="Normal 3 3" xfId="11882" xr:uid="{00000000-0005-0000-0000-0000154D0000}"/>
    <cellStyle name="Normal 3 3 2" xfId="11883" xr:uid="{00000000-0005-0000-0000-0000164D0000}"/>
    <cellStyle name="Normal 3 3 3" xfId="11884" xr:uid="{00000000-0005-0000-0000-0000174D0000}"/>
    <cellStyle name="Normal 3 3 4" xfId="20292" xr:uid="{00000000-0005-0000-0000-0000184D0000}"/>
    <cellStyle name="Normal 3 4" xfId="11885" xr:uid="{00000000-0005-0000-0000-0000194D0000}"/>
    <cellStyle name="Normal 3 4 2" xfId="11886" xr:uid="{00000000-0005-0000-0000-00001A4D0000}"/>
    <cellStyle name="Normal 3 5" xfId="11887" xr:uid="{00000000-0005-0000-0000-00001B4D0000}"/>
    <cellStyle name="Normal 3 6" xfId="11888" xr:uid="{00000000-0005-0000-0000-00001C4D0000}"/>
    <cellStyle name="Normal 3 7" xfId="11889" xr:uid="{00000000-0005-0000-0000-00001D4D0000}"/>
    <cellStyle name="Normal 30" xfId="11890" xr:uid="{00000000-0005-0000-0000-00001E4D0000}"/>
    <cellStyle name="Normal 30 2" xfId="11891" xr:uid="{00000000-0005-0000-0000-00001F4D0000}"/>
    <cellStyle name="Normal 31" xfId="11892" xr:uid="{00000000-0005-0000-0000-0000204D0000}"/>
    <cellStyle name="Normal 32" xfId="11893" xr:uid="{00000000-0005-0000-0000-0000214D0000}"/>
    <cellStyle name="Normal 33" xfId="11894" xr:uid="{00000000-0005-0000-0000-0000224D0000}"/>
    <cellStyle name="Normal 33 2" xfId="11895" xr:uid="{00000000-0005-0000-0000-0000234D0000}"/>
    <cellStyle name="Normal 33 3" xfId="16179" xr:uid="{00000000-0005-0000-0000-0000244D0000}"/>
    <cellStyle name="Normal 33 4" xfId="20202" xr:uid="{00000000-0005-0000-0000-0000254D0000}"/>
    <cellStyle name="Normal 34" xfId="11896" xr:uid="{00000000-0005-0000-0000-0000264D0000}"/>
    <cellStyle name="Normal 35" xfId="11897" xr:uid="{00000000-0005-0000-0000-0000274D0000}"/>
    <cellStyle name="Normal 36" xfId="16216" xr:uid="{00000000-0005-0000-0000-0000284D0000}"/>
    <cellStyle name="Normal 36 2" xfId="20293" xr:uid="{00000000-0005-0000-0000-0000294D0000}"/>
    <cellStyle name="Normal 37" xfId="16219" xr:uid="{00000000-0005-0000-0000-00002A4D0000}"/>
    <cellStyle name="Normal 38" xfId="16382" xr:uid="{00000000-0005-0000-0000-00002B4D0000}"/>
    <cellStyle name="Normal 39" xfId="16383" xr:uid="{00000000-0005-0000-0000-00002C4D0000}"/>
    <cellStyle name="Normal 39 2 2" xfId="20385" xr:uid="{00000000-0005-0000-0000-00002D4D0000}"/>
    <cellStyle name="Normal 39 2 2 2" xfId="20396" xr:uid="{00000000-0005-0000-0000-00002E4D0000}"/>
    <cellStyle name="Normal 39 2 2 2 2" xfId="20402" xr:uid="{00000000-0005-0000-0000-00002F4D0000}"/>
    <cellStyle name="Normal 39 2 2 2 2 2 2 2 2" xfId="20425" xr:uid="{00000000-0005-0000-0000-0000304D0000}"/>
    <cellStyle name="Normal 39 2 2 2 2 2 3" xfId="20417" xr:uid="{00000000-0005-0000-0000-0000314D0000}"/>
    <cellStyle name="Normal 39 2 2 2 2 3 2 2" xfId="20423" xr:uid="{00000000-0005-0000-0000-0000324D0000}"/>
    <cellStyle name="Normal 39 2 2 2 3 2 2 2" xfId="20420" xr:uid="{00000000-0005-0000-0000-0000334D0000}"/>
    <cellStyle name="Normal 39 2 2 2 3 3" xfId="20413" xr:uid="{00000000-0005-0000-0000-0000344D0000}"/>
    <cellStyle name="Normal 39 2 2 2 4 2 2" xfId="20418" xr:uid="{00000000-0005-0000-0000-0000354D0000}"/>
    <cellStyle name="Normal 4" xfId="11898" xr:uid="{00000000-0005-0000-0000-0000364D0000}"/>
    <cellStyle name="Normal 4 2" xfId="11899" xr:uid="{00000000-0005-0000-0000-0000374D0000}"/>
    <cellStyle name="Normal 4 2 2" xfId="11900" xr:uid="{00000000-0005-0000-0000-0000384D0000}"/>
    <cellStyle name="Normal 4 2 3" xfId="20294" xr:uid="{00000000-0005-0000-0000-0000394D0000}"/>
    <cellStyle name="Normal 4 3" xfId="11901" xr:uid="{00000000-0005-0000-0000-00003A4D0000}"/>
    <cellStyle name="Normal 4 3 2" xfId="11902" xr:uid="{00000000-0005-0000-0000-00003B4D0000}"/>
    <cellStyle name="Normal 4 3 3" xfId="20295" xr:uid="{00000000-0005-0000-0000-00003C4D0000}"/>
    <cellStyle name="Normal 4 4" xfId="11903" xr:uid="{00000000-0005-0000-0000-00003D4D0000}"/>
    <cellStyle name="Normal 4 5" xfId="11904" xr:uid="{00000000-0005-0000-0000-00003E4D0000}"/>
    <cellStyle name="Normal 4 6" xfId="11905" xr:uid="{00000000-0005-0000-0000-00003F4D0000}"/>
    <cellStyle name="Normal 40" xfId="20306" xr:uid="{00000000-0005-0000-0000-0000404D0000}"/>
    <cellStyle name="Normal 41" xfId="20391" xr:uid="{00000000-0005-0000-0000-0000414D0000}"/>
    <cellStyle name="Normal 42" xfId="20405" xr:uid="{00000000-0005-0000-0000-0000424D0000}"/>
    <cellStyle name="Normal 42 2" xfId="20389" xr:uid="{00000000-0005-0000-0000-0000434D0000}"/>
    <cellStyle name="Normal 43" xfId="20408" xr:uid="{00000000-0005-0000-0000-0000444D0000}"/>
    <cellStyle name="Normal 43 2" xfId="20388" xr:uid="{00000000-0005-0000-0000-0000454D0000}"/>
    <cellStyle name="Normal 44" xfId="20411" xr:uid="{00000000-0005-0000-0000-0000464D0000}"/>
    <cellStyle name="Normal 5" xfId="11906" xr:uid="{00000000-0005-0000-0000-0000474D0000}"/>
    <cellStyle name="Normal 5 2" xfId="11907" xr:uid="{00000000-0005-0000-0000-0000484D0000}"/>
    <cellStyle name="Normal 5 2 2" xfId="11908" xr:uid="{00000000-0005-0000-0000-0000494D0000}"/>
    <cellStyle name="Normal 5 3" xfId="11909" xr:uid="{00000000-0005-0000-0000-00004A4D0000}"/>
    <cellStyle name="Normal 5 4" xfId="11910" xr:uid="{00000000-0005-0000-0000-00004B4D0000}"/>
    <cellStyle name="Normal 6" xfId="11911" xr:uid="{00000000-0005-0000-0000-00004C4D0000}"/>
    <cellStyle name="Normal 6 2" xfId="11912" xr:uid="{00000000-0005-0000-0000-00004D4D0000}"/>
    <cellStyle name="Normal 6 2 2" xfId="11913" xr:uid="{00000000-0005-0000-0000-00004E4D0000}"/>
    <cellStyle name="Normal 6 3" xfId="11914" xr:uid="{00000000-0005-0000-0000-00004F4D0000}"/>
    <cellStyle name="Normal 60" xfId="12421" xr:uid="{00000000-0005-0000-0000-0000504D0000}"/>
    <cellStyle name="Normal 66" xfId="11915" xr:uid="{00000000-0005-0000-0000-0000514D0000}"/>
    <cellStyle name="Normal 7" xfId="11916" xr:uid="{00000000-0005-0000-0000-0000524D0000}"/>
    <cellStyle name="Normal 7 2" xfId="11917" xr:uid="{00000000-0005-0000-0000-0000534D0000}"/>
    <cellStyle name="Normal 7 3" xfId="11918" xr:uid="{00000000-0005-0000-0000-0000544D0000}"/>
    <cellStyle name="Normal 8" xfId="11919" xr:uid="{00000000-0005-0000-0000-0000554D0000}"/>
    <cellStyle name="Normal 8 2" xfId="11920" xr:uid="{00000000-0005-0000-0000-0000564D0000}"/>
    <cellStyle name="Normal 8 2 2" xfId="16180" xr:uid="{00000000-0005-0000-0000-0000574D0000}"/>
    <cellStyle name="Normal 8 2 3" xfId="20203" xr:uid="{00000000-0005-0000-0000-0000584D0000}"/>
    <cellStyle name="Normal 88" xfId="20401" xr:uid="{00000000-0005-0000-0000-0000594D0000}"/>
    <cellStyle name="Normal 9" xfId="11921" xr:uid="{00000000-0005-0000-0000-00005A4D0000}"/>
    <cellStyle name="Normal 9 2" xfId="11922" xr:uid="{00000000-0005-0000-0000-00005B4D0000}"/>
    <cellStyle name="Normal 9 2 2" xfId="16181" xr:uid="{00000000-0005-0000-0000-00005C4D0000}"/>
    <cellStyle name="Normal 9 2 3" xfId="20204" xr:uid="{00000000-0005-0000-0000-00005D4D0000}"/>
    <cellStyle name="Normal Bold" xfId="11923" xr:uid="{00000000-0005-0000-0000-00005E4D0000}"/>
    <cellStyle name="Normal Bold 2" xfId="20352" xr:uid="{00000000-0005-0000-0000-00005F4D0000}"/>
    <cellStyle name="Normal Currency" xfId="11924" xr:uid="{00000000-0005-0000-0000-0000604D0000}"/>
    <cellStyle name="Normal Dollar" xfId="11925" xr:uid="{00000000-0005-0000-0000-0000614D0000}"/>
    <cellStyle name="Normal- Enter (1)" xfId="11926" xr:uid="{00000000-0005-0000-0000-0000624D0000}"/>
    <cellStyle name="Normal Number" xfId="11927" xr:uid="{00000000-0005-0000-0000-0000634D0000}"/>
    <cellStyle name="Normal Pct" xfId="11928" xr:uid="{00000000-0005-0000-0000-0000644D0000}"/>
    <cellStyle name="Normal Pct 2" xfId="20353" xr:uid="{00000000-0005-0000-0000-0000654D0000}"/>
    <cellStyle name="Normal/DBL" xfId="11929" xr:uid="{00000000-0005-0000-0000-0000664D0000}"/>
    <cellStyle name="Normal_Input Sheet" xfId="20308" xr:uid="{00000000-0005-0000-0000-0000674D0000}"/>
    <cellStyle name="Normal_LG RECON PPA 7.03.08" xfId="20390" xr:uid="{00000000-0005-0000-0000-0000684D0000}"/>
    <cellStyle name="Normal_NEW-WACC" xfId="20379" xr:uid="{00000000-0005-0000-0000-0000694D0000}"/>
    <cellStyle name="Normal_WACC calc" xfId="20392" xr:uid="{00000000-0005-0000-0000-00006A4D0000}"/>
    <cellStyle name="Normal1" xfId="11930" xr:uid="{00000000-0005-0000-0000-00006B4D0000}"/>
    <cellStyle name="Normal1 2" xfId="20354" xr:uid="{00000000-0005-0000-0000-00006C4D0000}"/>
    <cellStyle name="Normal1Places" xfId="11931" xr:uid="{00000000-0005-0000-0000-00006D4D0000}"/>
    <cellStyle name="Normal1Places 2" xfId="20355" xr:uid="{00000000-0005-0000-0000-00006E4D0000}"/>
    <cellStyle name="Normal2" xfId="11932" xr:uid="{00000000-0005-0000-0000-00006F4D0000}"/>
    <cellStyle name="Normal2Places" xfId="11933" xr:uid="{00000000-0005-0000-0000-0000704D0000}"/>
    <cellStyle name="Normal2Places 2" xfId="20356" xr:uid="{00000000-0005-0000-0000-0000714D0000}"/>
    <cellStyle name="Normal3Places" xfId="11934" xr:uid="{00000000-0005-0000-0000-0000724D0000}"/>
    <cellStyle name="Normal8" xfId="11935" xr:uid="{00000000-0005-0000-0000-0000734D0000}"/>
    <cellStyle name="NormalBlue" xfId="11936" xr:uid="{00000000-0005-0000-0000-0000744D0000}"/>
    <cellStyle name="NormalBold" xfId="11937" xr:uid="{00000000-0005-0000-0000-0000754D0000}"/>
    <cellStyle name="NormalBold 2" xfId="20357" xr:uid="{00000000-0005-0000-0000-0000764D0000}"/>
    <cellStyle name="Normale_ACTUAL 30-06-95.XLS" xfId="11938" xr:uid="{00000000-0005-0000-0000-0000774D0000}"/>
    <cellStyle name="Normal-Entry" xfId="11939" xr:uid="{00000000-0005-0000-0000-0000784D0000}"/>
    <cellStyle name="NormalEPS" xfId="11940" xr:uid="{00000000-0005-0000-0000-0000794D0000}"/>
    <cellStyle name="NormalGB" xfId="11941" xr:uid="{00000000-0005-0000-0000-00007A4D0000}"/>
    <cellStyle name="NormalGB 2" xfId="20358" xr:uid="{00000000-0005-0000-0000-00007B4D0000}"/>
    <cellStyle name="NormalHelv" xfId="11942" xr:uid="{00000000-0005-0000-0000-00007C4D0000}"/>
    <cellStyle name="Normal-Input(1)" xfId="11943" xr:uid="{00000000-0005-0000-0000-00007D4D0000}"/>
    <cellStyle name="NormalJEM" xfId="11944" xr:uid="{00000000-0005-0000-0000-00007E4D0000}"/>
    <cellStyle name="normální_M Schedules 2008 v02 - pracovní" xfId="11945" xr:uid="{00000000-0005-0000-0000-00007F4D0000}"/>
    <cellStyle name="NormalPop" xfId="11946" xr:uid="{00000000-0005-0000-0000-0000804D0000}"/>
    <cellStyle name="NormalPop 2" xfId="20359" xr:uid="{00000000-0005-0000-0000-0000814D0000}"/>
    <cellStyle name="Note 10" xfId="11947" xr:uid="{00000000-0005-0000-0000-0000824D0000}"/>
    <cellStyle name="Note 10 2" xfId="11948" xr:uid="{00000000-0005-0000-0000-0000834D0000}"/>
    <cellStyle name="Note 10 2 2" xfId="16182" xr:uid="{00000000-0005-0000-0000-0000844D0000}"/>
    <cellStyle name="Note 10 2 3" xfId="20205" xr:uid="{00000000-0005-0000-0000-0000854D0000}"/>
    <cellStyle name="Note 11" xfId="11949" xr:uid="{00000000-0005-0000-0000-0000864D0000}"/>
    <cellStyle name="Note 11 2" xfId="11950" xr:uid="{00000000-0005-0000-0000-0000874D0000}"/>
    <cellStyle name="Note 11 2 2" xfId="16183" xr:uid="{00000000-0005-0000-0000-0000884D0000}"/>
    <cellStyle name="Note 11 2 3" xfId="20206" xr:uid="{00000000-0005-0000-0000-0000894D0000}"/>
    <cellStyle name="Note 12" xfId="11951" xr:uid="{00000000-0005-0000-0000-00008A4D0000}"/>
    <cellStyle name="Note 12 2" xfId="11952" xr:uid="{00000000-0005-0000-0000-00008B4D0000}"/>
    <cellStyle name="Note 12 2 2" xfId="16184" xr:uid="{00000000-0005-0000-0000-00008C4D0000}"/>
    <cellStyle name="Note 12 2 3" xfId="20207" xr:uid="{00000000-0005-0000-0000-00008D4D0000}"/>
    <cellStyle name="Note 13" xfId="11953" xr:uid="{00000000-0005-0000-0000-00008E4D0000}"/>
    <cellStyle name="Note 13 2" xfId="11954" xr:uid="{00000000-0005-0000-0000-00008F4D0000}"/>
    <cellStyle name="Note 13 2 2" xfId="16185" xr:uid="{00000000-0005-0000-0000-0000904D0000}"/>
    <cellStyle name="Note 13 2 3" xfId="20208" xr:uid="{00000000-0005-0000-0000-0000914D0000}"/>
    <cellStyle name="Note 14" xfId="11955" xr:uid="{00000000-0005-0000-0000-0000924D0000}"/>
    <cellStyle name="Note 15" xfId="11956" xr:uid="{00000000-0005-0000-0000-0000934D0000}"/>
    <cellStyle name="Note 2" xfId="11957" xr:uid="{00000000-0005-0000-0000-0000944D0000}"/>
    <cellStyle name="Note 2 2" xfId="11958" xr:uid="{00000000-0005-0000-0000-0000954D0000}"/>
    <cellStyle name="Note 2 2 2" xfId="16186" xr:uid="{00000000-0005-0000-0000-0000964D0000}"/>
    <cellStyle name="Note 2 2 3" xfId="20209" xr:uid="{00000000-0005-0000-0000-0000974D0000}"/>
    <cellStyle name="Note 3" xfId="11959" xr:uid="{00000000-0005-0000-0000-0000984D0000}"/>
    <cellStyle name="Note 3 2" xfId="11960" xr:uid="{00000000-0005-0000-0000-0000994D0000}"/>
    <cellStyle name="Note 3 2 2" xfId="16187" xr:uid="{00000000-0005-0000-0000-00009A4D0000}"/>
    <cellStyle name="Note 3 2 3" xfId="20210" xr:uid="{00000000-0005-0000-0000-00009B4D0000}"/>
    <cellStyle name="Note 4" xfId="11961" xr:uid="{00000000-0005-0000-0000-00009C4D0000}"/>
    <cellStyle name="Note 4 2" xfId="11962" xr:uid="{00000000-0005-0000-0000-00009D4D0000}"/>
    <cellStyle name="Note 4 2 2" xfId="16188" xr:uid="{00000000-0005-0000-0000-00009E4D0000}"/>
    <cellStyle name="Note 4 2 3" xfId="20211" xr:uid="{00000000-0005-0000-0000-00009F4D0000}"/>
    <cellStyle name="Note 5" xfId="11963" xr:uid="{00000000-0005-0000-0000-0000A04D0000}"/>
    <cellStyle name="Note 5 2" xfId="11964" xr:uid="{00000000-0005-0000-0000-0000A14D0000}"/>
    <cellStyle name="Note 5 2 2" xfId="16189" xr:uid="{00000000-0005-0000-0000-0000A24D0000}"/>
    <cellStyle name="Note 5 2 3" xfId="20212" xr:uid="{00000000-0005-0000-0000-0000A34D0000}"/>
    <cellStyle name="Note 6" xfId="11965" xr:uid="{00000000-0005-0000-0000-0000A44D0000}"/>
    <cellStyle name="Note 6 2" xfId="11966" xr:uid="{00000000-0005-0000-0000-0000A54D0000}"/>
    <cellStyle name="Note 6 2 2" xfId="16190" xr:uid="{00000000-0005-0000-0000-0000A64D0000}"/>
    <cellStyle name="Note 6 2 3" xfId="20213" xr:uid="{00000000-0005-0000-0000-0000A74D0000}"/>
    <cellStyle name="Note 7" xfId="11967" xr:uid="{00000000-0005-0000-0000-0000A84D0000}"/>
    <cellStyle name="Note 7 2" xfId="11968" xr:uid="{00000000-0005-0000-0000-0000A94D0000}"/>
    <cellStyle name="Note 7 2 2" xfId="16191" xr:uid="{00000000-0005-0000-0000-0000AA4D0000}"/>
    <cellStyle name="Note 7 2 3" xfId="20214" xr:uid="{00000000-0005-0000-0000-0000AB4D0000}"/>
    <cellStyle name="Note 8" xfId="11969" xr:uid="{00000000-0005-0000-0000-0000AC4D0000}"/>
    <cellStyle name="Note 8 2" xfId="11970" xr:uid="{00000000-0005-0000-0000-0000AD4D0000}"/>
    <cellStyle name="Note 8 2 2" xfId="16192" xr:uid="{00000000-0005-0000-0000-0000AE4D0000}"/>
    <cellStyle name="Note 8 2 3" xfId="20215" xr:uid="{00000000-0005-0000-0000-0000AF4D0000}"/>
    <cellStyle name="Note 9" xfId="11971" xr:uid="{00000000-0005-0000-0000-0000B04D0000}"/>
    <cellStyle name="Note 9 2" xfId="11972" xr:uid="{00000000-0005-0000-0000-0000B14D0000}"/>
    <cellStyle name="Note 9 2 2" xfId="16193" xr:uid="{00000000-0005-0000-0000-0000B24D0000}"/>
    <cellStyle name="Note 9 2 3" xfId="20216" xr:uid="{00000000-0005-0000-0000-0000B34D0000}"/>
    <cellStyle name="NPPESalesPct" xfId="11973" xr:uid="{00000000-0005-0000-0000-0000B44D0000}"/>
    <cellStyle name="NPPESalesPct 2" xfId="20360" xr:uid="{00000000-0005-0000-0000-0000B54D0000}"/>
    <cellStyle name="Num1" xfId="11974" xr:uid="{00000000-0005-0000-0000-0000B64D0000}"/>
    <cellStyle name="Num1Blue" xfId="11975" xr:uid="{00000000-0005-0000-0000-0000B74D0000}"/>
    <cellStyle name="num1Style" xfId="11976" xr:uid="{00000000-0005-0000-0000-0000B84D0000}"/>
    <cellStyle name="num1Styleb" xfId="11977" xr:uid="{00000000-0005-0000-0000-0000B94D0000}"/>
    <cellStyle name="Num2" xfId="11978" xr:uid="{00000000-0005-0000-0000-0000BA4D0000}"/>
    <cellStyle name="num4Style" xfId="11979" xr:uid="{00000000-0005-0000-0000-0000BB4D0000}"/>
    <cellStyle name="num4Styleb" xfId="11980" xr:uid="{00000000-0005-0000-0000-0000BC4D0000}"/>
    <cellStyle name="Number" xfId="11981" xr:uid="{00000000-0005-0000-0000-0000BD4D0000}"/>
    <cellStyle name="Number 2" xfId="20361" xr:uid="{00000000-0005-0000-0000-0000BE4D0000}"/>
    <cellStyle name="numbers" xfId="11982" xr:uid="{00000000-0005-0000-0000-0000BF4D0000}"/>
    <cellStyle name="numbers 2" xfId="20362" xr:uid="{00000000-0005-0000-0000-0000C04D0000}"/>
    <cellStyle name="numPStyle" xfId="11983" xr:uid="{00000000-0005-0000-0000-0000C14D0000}"/>
    <cellStyle name="numPStyleb" xfId="11984" xr:uid="{00000000-0005-0000-0000-0000C24D0000}"/>
    <cellStyle name="numXStyle" xfId="11985" xr:uid="{00000000-0005-0000-0000-0000C34D0000}"/>
    <cellStyle name="numXStyleb" xfId="11986" xr:uid="{00000000-0005-0000-0000-0000C44D0000}"/>
    <cellStyle name="Œ…‹æ_Ø‚è [0.00]_Affiliate Fcst Inputs" xfId="11987" xr:uid="{00000000-0005-0000-0000-0000C54D0000}"/>
    <cellStyle name="Œ…‹æØ‚è [0.00]_!!!GO" xfId="11988" xr:uid="{00000000-0005-0000-0000-0000C64D0000}"/>
    <cellStyle name="Œ…‹æØ‚è_!!!GO" xfId="11989" xr:uid="{00000000-0005-0000-0000-0000C74D0000}"/>
    <cellStyle name="OScommands" xfId="11990" xr:uid="{00000000-0005-0000-0000-0000C84D0000}"/>
    <cellStyle name="OSW_ColumnLabels" xfId="11991" xr:uid="{00000000-0005-0000-0000-0000C94D0000}"/>
    <cellStyle name="Output 10" xfId="11992" xr:uid="{00000000-0005-0000-0000-0000CA4D0000}"/>
    <cellStyle name="Output 11" xfId="11993" xr:uid="{00000000-0005-0000-0000-0000CB4D0000}"/>
    <cellStyle name="Output 12" xfId="11994" xr:uid="{00000000-0005-0000-0000-0000CC4D0000}"/>
    <cellStyle name="Output 13" xfId="11995" xr:uid="{00000000-0005-0000-0000-0000CD4D0000}"/>
    <cellStyle name="Output 2" xfId="11996" xr:uid="{00000000-0005-0000-0000-0000CE4D0000}"/>
    <cellStyle name="Output 3" xfId="11997" xr:uid="{00000000-0005-0000-0000-0000CF4D0000}"/>
    <cellStyle name="Output 4" xfId="11998" xr:uid="{00000000-0005-0000-0000-0000D04D0000}"/>
    <cellStyle name="Output 5" xfId="11999" xr:uid="{00000000-0005-0000-0000-0000D14D0000}"/>
    <cellStyle name="Output 6" xfId="12000" xr:uid="{00000000-0005-0000-0000-0000D24D0000}"/>
    <cellStyle name="Output 7" xfId="12001" xr:uid="{00000000-0005-0000-0000-0000D34D0000}"/>
    <cellStyle name="Output 8" xfId="12002" xr:uid="{00000000-0005-0000-0000-0000D44D0000}"/>
    <cellStyle name="Output 9" xfId="12003" xr:uid="{00000000-0005-0000-0000-0000D54D0000}"/>
    <cellStyle name="Output Amounts" xfId="12004" xr:uid="{00000000-0005-0000-0000-0000D64D0000}"/>
    <cellStyle name="Output Column Headings" xfId="12005" xr:uid="{00000000-0005-0000-0000-0000D74D0000}"/>
    <cellStyle name="Output Line Items" xfId="12006" xr:uid="{00000000-0005-0000-0000-0000D84D0000}"/>
    <cellStyle name="Output Report Heading" xfId="12007" xr:uid="{00000000-0005-0000-0000-0000D94D0000}"/>
    <cellStyle name="Output Report Title" xfId="12008" xr:uid="{00000000-0005-0000-0000-0000DA4D0000}"/>
    <cellStyle name="Outputs" xfId="12009" xr:uid="{00000000-0005-0000-0000-0000DB4D0000}"/>
    <cellStyle name="Outputs 2" xfId="12010" xr:uid="{00000000-0005-0000-0000-0000DC4D0000}"/>
    <cellStyle name="Outputs 2 2" xfId="20296" xr:uid="{00000000-0005-0000-0000-0000DD4D0000}"/>
    <cellStyle name="Outputs 3" xfId="12011" xr:uid="{00000000-0005-0000-0000-0000DE4D0000}"/>
    <cellStyle name="Outputs 3 2" xfId="20297" xr:uid="{00000000-0005-0000-0000-0000DF4D0000}"/>
    <cellStyle name="Outputs 4" xfId="20298" xr:uid="{00000000-0005-0000-0000-0000E04D0000}"/>
    <cellStyle name="OVER" xfId="12012" xr:uid="{00000000-0005-0000-0000-0000E14D0000}"/>
    <cellStyle name="p" xfId="12013" xr:uid="{00000000-0005-0000-0000-0000E24D0000}"/>
    <cellStyle name="P&amp;L Numbers" xfId="12014" xr:uid="{00000000-0005-0000-0000-0000E34D0000}"/>
    <cellStyle name="p_DCF" xfId="12015" xr:uid="{00000000-0005-0000-0000-0000E44D0000}"/>
    <cellStyle name="Page Heading" xfId="12016" xr:uid="{00000000-0005-0000-0000-0000E54D0000}"/>
    <cellStyle name="Page Heading Large" xfId="12017" xr:uid="{00000000-0005-0000-0000-0000E64D0000}"/>
    <cellStyle name="Page Heading Small" xfId="12018" xr:uid="{00000000-0005-0000-0000-0000E74D0000}"/>
    <cellStyle name="Page Number" xfId="12019" xr:uid="{00000000-0005-0000-0000-0000E84D0000}"/>
    <cellStyle name="paint" xfId="12020" xr:uid="{00000000-0005-0000-0000-0000E94D0000}"/>
    <cellStyle name="Palatino" xfId="12021" xr:uid="{00000000-0005-0000-0000-0000EA4D0000}"/>
    <cellStyle name="pc1" xfId="12022" xr:uid="{00000000-0005-0000-0000-0000EB4D0000}"/>
    <cellStyle name="pc1 2" xfId="20363" xr:uid="{00000000-0005-0000-0000-0000EC4D0000}"/>
    <cellStyle name="pct_sub" xfId="12023" xr:uid="{00000000-0005-0000-0000-0000ED4D0000}"/>
    <cellStyle name="per.style" xfId="12024" xr:uid="{00000000-0005-0000-0000-0000EE4D0000}"/>
    <cellStyle name="per.style 2" xfId="20364" xr:uid="{00000000-0005-0000-0000-0000EF4D0000}"/>
    <cellStyle name="Percen" xfId="12025" xr:uid="{00000000-0005-0000-0000-0000F04D0000}"/>
    <cellStyle name="Percen - Style1" xfId="12026" xr:uid="{00000000-0005-0000-0000-0000F14D0000}"/>
    <cellStyle name="Percen - Style5" xfId="12027" xr:uid="{00000000-0005-0000-0000-0000F24D0000}"/>
    <cellStyle name="Percent" xfId="12422" builtinId="5"/>
    <cellStyle name="Percent %" xfId="12028" xr:uid="{00000000-0005-0000-0000-0000F44D0000}"/>
    <cellStyle name="Percent % Long Underline" xfId="12029" xr:uid="{00000000-0005-0000-0000-0000F54D0000}"/>
    <cellStyle name="Percent (0)" xfId="12030" xr:uid="{00000000-0005-0000-0000-0000F64D0000}"/>
    <cellStyle name="Percent (1)" xfId="12031" xr:uid="{00000000-0005-0000-0000-0000F74D0000}"/>
    <cellStyle name="Percent (2)" xfId="12032" xr:uid="{00000000-0005-0000-0000-0000F84D0000}"/>
    <cellStyle name="Percent [0]" xfId="12033" xr:uid="{00000000-0005-0000-0000-0000F94D0000}"/>
    <cellStyle name="Percent [00]" xfId="12034" xr:uid="{00000000-0005-0000-0000-0000FA4D0000}"/>
    <cellStyle name="Percent [1]" xfId="12035" xr:uid="{00000000-0005-0000-0000-0000FB4D0000}"/>
    <cellStyle name="Percent [1] 2" xfId="20365" xr:uid="{00000000-0005-0000-0000-0000FC4D0000}"/>
    <cellStyle name="Percent [1][]" xfId="12036" xr:uid="{00000000-0005-0000-0000-0000FD4D0000}"/>
    <cellStyle name="Percent [1]_Aprio - Public Comps1" xfId="12037" xr:uid="{00000000-0005-0000-0000-0000FE4D0000}"/>
    <cellStyle name="Percent [2]" xfId="12038" xr:uid="{00000000-0005-0000-0000-0000FF4D0000}"/>
    <cellStyle name="Percent [2] 2" xfId="12039" xr:uid="{00000000-0005-0000-0000-0000004E0000}"/>
    <cellStyle name="Percent [2] 3" xfId="12040" xr:uid="{00000000-0005-0000-0000-0000014E0000}"/>
    <cellStyle name="Percent 0.0%" xfId="12041" xr:uid="{00000000-0005-0000-0000-0000024E0000}"/>
    <cellStyle name="Percent 0.0% Long Underline" xfId="12042" xr:uid="{00000000-0005-0000-0000-0000034E0000}"/>
    <cellStyle name="Percent 0.00%" xfId="12043" xr:uid="{00000000-0005-0000-0000-0000044E0000}"/>
    <cellStyle name="Percent 0.00% Long Underline" xfId="12044" xr:uid="{00000000-0005-0000-0000-0000054E0000}"/>
    <cellStyle name="Percent 0.000%" xfId="12045" xr:uid="{00000000-0005-0000-0000-0000064E0000}"/>
    <cellStyle name="Percent 0.000% Long Underline" xfId="12046" xr:uid="{00000000-0005-0000-0000-0000074E0000}"/>
    <cellStyle name="Percent 0.000%_Aprio - Public Comps1" xfId="12047" xr:uid="{00000000-0005-0000-0000-0000084E0000}"/>
    <cellStyle name="Percent 1" xfId="12048" xr:uid="{00000000-0005-0000-0000-0000094E0000}"/>
    <cellStyle name="Percent 10" xfId="2" xr:uid="{00000000-0005-0000-0000-00000A4E0000}"/>
    <cellStyle name="Percent 10 2" xfId="12429" xr:uid="{00000000-0005-0000-0000-00000B4E0000}"/>
    <cellStyle name="Percent 10 3" xfId="16385" xr:uid="{00000000-0005-0000-0000-00000C4E0000}"/>
    <cellStyle name="Percent 11" xfId="12049" xr:uid="{00000000-0005-0000-0000-00000D4E0000}"/>
    <cellStyle name="Percent 12" xfId="12050" xr:uid="{00000000-0005-0000-0000-00000E4E0000}"/>
    <cellStyle name="Percent 13" xfId="12051" xr:uid="{00000000-0005-0000-0000-00000F4E0000}"/>
    <cellStyle name="Percent 13 2" xfId="16194" xr:uid="{00000000-0005-0000-0000-0000104E0000}"/>
    <cellStyle name="Percent 13 3" xfId="20217" xr:uid="{00000000-0005-0000-0000-0000114E0000}"/>
    <cellStyle name="Percent 14" xfId="12052" xr:uid="{00000000-0005-0000-0000-0000124E0000}"/>
    <cellStyle name="Percent 15" xfId="12053" xr:uid="{00000000-0005-0000-0000-0000134E0000}"/>
    <cellStyle name="Percent 16" xfId="20366" xr:uid="{00000000-0005-0000-0000-0000144E0000}"/>
    <cellStyle name="Percent 18" xfId="20384" xr:uid="{00000000-0005-0000-0000-0000154E0000}"/>
    <cellStyle name="Percent 2" xfId="12054" xr:uid="{00000000-0005-0000-0000-0000164E0000}"/>
    <cellStyle name="Percent 2 2" xfId="12055" xr:uid="{00000000-0005-0000-0000-0000174E0000}"/>
    <cellStyle name="Percent 2 2 2" xfId="12056" xr:uid="{00000000-0005-0000-0000-0000184E0000}"/>
    <cellStyle name="Percent 2 3" xfId="12057" xr:uid="{00000000-0005-0000-0000-0000194E0000}"/>
    <cellStyle name="Percent 2 3 2" xfId="12058" xr:uid="{00000000-0005-0000-0000-00001A4E0000}"/>
    <cellStyle name="Percent 2 4" xfId="12059" xr:uid="{00000000-0005-0000-0000-00001B4E0000}"/>
    <cellStyle name="Percent 2 4 2" xfId="12060" xr:uid="{00000000-0005-0000-0000-00001C4E0000}"/>
    <cellStyle name="Percent 2 5" xfId="12061" xr:uid="{00000000-0005-0000-0000-00001D4E0000}"/>
    <cellStyle name="Percent 2 6" xfId="12062" xr:uid="{00000000-0005-0000-0000-00001E4E0000}"/>
    <cellStyle name="Percent 2 7" xfId="16195" xr:uid="{00000000-0005-0000-0000-00001F4E0000}"/>
    <cellStyle name="Percent 2 8" xfId="20218" xr:uid="{00000000-0005-0000-0000-0000204E0000}"/>
    <cellStyle name="Percent 2 9" xfId="20383" xr:uid="{00000000-0005-0000-0000-0000214E0000}"/>
    <cellStyle name="Percent 3" xfId="12063" xr:uid="{00000000-0005-0000-0000-0000224E0000}"/>
    <cellStyle name="Percent 3 2" xfId="12064" xr:uid="{00000000-0005-0000-0000-0000234E0000}"/>
    <cellStyle name="Percent 3 2 2" xfId="12065" xr:uid="{00000000-0005-0000-0000-0000244E0000}"/>
    <cellStyle name="Percent 3 2 3" xfId="20299" xr:uid="{00000000-0005-0000-0000-0000254E0000}"/>
    <cellStyle name="Percent 3 3" xfId="12066" xr:uid="{00000000-0005-0000-0000-0000264E0000}"/>
    <cellStyle name="Percent 3 4" xfId="12067" xr:uid="{00000000-0005-0000-0000-0000274E0000}"/>
    <cellStyle name="Percent 3 5" xfId="12068" xr:uid="{00000000-0005-0000-0000-0000284E0000}"/>
    <cellStyle name="Percent 4" xfId="12069" xr:uid="{00000000-0005-0000-0000-0000294E0000}"/>
    <cellStyle name="Percent 4 2" xfId="12070" xr:uid="{00000000-0005-0000-0000-00002A4E0000}"/>
    <cellStyle name="Percent 5" xfId="12071" xr:uid="{00000000-0005-0000-0000-00002B4E0000}"/>
    <cellStyle name="Percent 6" xfId="12072" xr:uid="{00000000-0005-0000-0000-00002C4E0000}"/>
    <cellStyle name="Percent 7" xfId="12073" xr:uid="{00000000-0005-0000-0000-00002D4E0000}"/>
    <cellStyle name="Percent 7 3" xfId="12424" xr:uid="{00000000-0005-0000-0000-00002E4E0000}"/>
    <cellStyle name="Percent 8" xfId="12074" xr:uid="{00000000-0005-0000-0000-00002F4E0000}"/>
    <cellStyle name="Percent 8 2" xfId="20309" xr:uid="{00000000-0005-0000-0000-0000304E0000}"/>
    <cellStyle name="Percent 8 3" xfId="12075" xr:uid="{00000000-0005-0000-0000-0000314E0000}"/>
    <cellStyle name="Percent 9" xfId="12076" xr:uid="{00000000-0005-0000-0000-0000324E0000}"/>
    <cellStyle name="Percent Decimal" xfId="12077" xr:uid="{00000000-0005-0000-0000-0000334E0000}"/>
    <cellStyle name="Percent Hard" xfId="12078" xr:uid="{00000000-0005-0000-0000-0000344E0000}"/>
    <cellStyle name="Percent Hard 2" xfId="20367" xr:uid="{00000000-0005-0000-0000-0000354E0000}"/>
    <cellStyle name="Percent Input" xfId="12079" xr:uid="{00000000-0005-0000-0000-0000364E0000}"/>
    <cellStyle name="Percent Input 2" xfId="20368" xr:uid="{00000000-0005-0000-0000-0000374E0000}"/>
    <cellStyle name="Percent*" xfId="12080" xr:uid="{00000000-0005-0000-0000-0000384E0000}"/>
    <cellStyle name="Percent1" xfId="12081" xr:uid="{00000000-0005-0000-0000-0000394E0000}"/>
    <cellStyle name="Percent1Blue" xfId="12082" xr:uid="{00000000-0005-0000-0000-00003A4E0000}"/>
    <cellStyle name="Percent2" xfId="12083" xr:uid="{00000000-0005-0000-0000-00003B4E0000}"/>
    <cellStyle name="Percent2 [0]" xfId="12084" xr:uid="{00000000-0005-0000-0000-00003C4E0000}"/>
    <cellStyle name="Percent2 [1]" xfId="12085" xr:uid="{00000000-0005-0000-0000-00003D4E0000}"/>
    <cellStyle name="Percent2Blue" xfId="12086" xr:uid="{00000000-0005-0000-0000-00003E4E0000}"/>
    <cellStyle name="Percentage" xfId="12087" xr:uid="{00000000-0005-0000-0000-00003F4E0000}"/>
    <cellStyle name="PercentChange" xfId="12088" xr:uid="{00000000-0005-0000-0000-0000404E0000}"/>
    <cellStyle name="PercentDash0" xfId="12089" xr:uid="{00000000-0005-0000-0000-0000414E0000}"/>
    <cellStyle name="PercentF [0]" xfId="12090" xr:uid="{00000000-0005-0000-0000-0000424E0000}"/>
    <cellStyle name="PercentF [1]" xfId="12091" xr:uid="{00000000-0005-0000-0000-0000434E0000}"/>
    <cellStyle name="PercentSales" xfId="12092" xr:uid="{00000000-0005-0000-0000-0000444E0000}"/>
    <cellStyle name="PercentSales 2" xfId="20369" xr:uid="{00000000-0005-0000-0000-0000454E0000}"/>
    <cellStyle name="PercentText0" xfId="12093" xr:uid="{00000000-0005-0000-0000-0000464E0000}"/>
    <cellStyle name="Periods" xfId="12094" xr:uid="{00000000-0005-0000-0000-0000474E0000}"/>
    <cellStyle name="Perlong" xfId="12095" xr:uid="{00000000-0005-0000-0000-0000484E0000}"/>
    <cellStyle name="Plain" xfId="12096" xr:uid="{00000000-0005-0000-0000-0000494E0000}"/>
    <cellStyle name="Plan" xfId="12097" xr:uid="{00000000-0005-0000-0000-00004A4E0000}"/>
    <cellStyle name="pound" xfId="12098" xr:uid="{00000000-0005-0000-0000-00004B4E0000}"/>
    <cellStyle name="pound 2" xfId="20370" xr:uid="{00000000-0005-0000-0000-00004C4E0000}"/>
    <cellStyle name="Pourcentage 2" xfId="12099" xr:uid="{00000000-0005-0000-0000-00004D4E0000}"/>
    <cellStyle name="Pourcentage 3" xfId="12100" xr:uid="{00000000-0005-0000-0000-00004E4E0000}"/>
    <cellStyle name="PrePop Currency (0)" xfId="12101" xr:uid="{00000000-0005-0000-0000-00004F4E0000}"/>
    <cellStyle name="PrePop Currency (2)" xfId="12102" xr:uid="{00000000-0005-0000-0000-0000504E0000}"/>
    <cellStyle name="PrePop Units (0)" xfId="12103" xr:uid="{00000000-0005-0000-0000-0000514E0000}"/>
    <cellStyle name="PrePop Units (1)" xfId="12104" xr:uid="{00000000-0005-0000-0000-0000524E0000}"/>
    <cellStyle name="PrePop Units (2)" xfId="12105" xr:uid="{00000000-0005-0000-0000-0000534E0000}"/>
    <cellStyle name="Price" xfId="12106" xr:uid="{00000000-0005-0000-0000-0000544E0000}"/>
    <cellStyle name="pricing" xfId="12107" xr:uid="{00000000-0005-0000-0000-0000554E0000}"/>
    <cellStyle name="Private" xfId="12108" xr:uid="{00000000-0005-0000-0000-0000564E0000}"/>
    <cellStyle name="Private1" xfId="12109" xr:uid="{00000000-0005-0000-0000-0000574E0000}"/>
    <cellStyle name="Product Title" xfId="12110" xr:uid="{00000000-0005-0000-0000-0000584E0000}"/>
    <cellStyle name="PROJECT" xfId="12111" xr:uid="{00000000-0005-0000-0000-0000594E0000}"/>
    <cellStyle name="PROJECT R" xfId="12112" xr:uid="{00000000-0005-0000-0000-00005A4E0000}"/>
    <cellStyle name="PROJECT_Boston Power VD 01 31 2008 Model 02 26 2008" xfId="12113" xr:uid="{00000000-0005-0000-0000-00005B4E0000}"/>
    <cellStyle name="Protected" xfId="12114" xr:uid="{00000000-0005-0000-0000-00005C4E0000}"/>
    <cellStyle name="Protection" xfId="12115" xr:uid="{00000000-0005-0000-0000-00005D4E0000}"/>
    <cellStyle name="PSChar" xfId="12116" xr:uid="{00000000-0005-0000-0000-00005E4E0000}"/>
    <cellStyle name="PSDate" xfId="12117" xr:uid="{00000000-0005-0000-0000-00005F4E0000}"/>
    <cellStyle name="PSDec" xfId="12118" xr:uid="{00000000-0005-0000-0000-0000604E0000}"/>
    <cellStyle name="PSHeading" xfId="12119" xr:uid="{00000000-0005-0000-0000-0000614E0000}"/>
    <cellStyle name="PSHeading 2" xfId="20371" xr:uid="{00000000-0005-0000-0000-0000624E0000}"/>
    <cellStyle name="PSInt" xfId="12120" xr:uid="{00000000-0005-0000-0000-0000634E0000}"/>
    <cellStyle name="PSSpacer" xfId="12121" xr:uid="{00000000-0005-0000-0000-0000644E0000}"/>
    <cellStyle name="question" xfId="12122" xr:uid="{00000000-0005-0000-0000-0000654E0000}"/>
    <cellStyle name="Ratio (1)" xfId="12123" xr:uid="{00000000-0005-0000-0000-0000664E0000}"/>
    <cellStyle name="Ratio (2)" xfId="12124" xr:uid="{00000000-0005-0000-0000-0000674E0000}"/>
    <cellStyle name="Ratio_U (1)" xfId="12125" xr:uid="{00000000-0005-0000-0000-0000684E0000}"/>
    <cellStyle name="RatioX" xfId="12126" xr:uid="{00000000-0005-0000-0000-0000694E0000}"/>
    <cellStyle name="Read" xfId="12127" xr:uid="{00000000-0005-0000-0000-00006A4E0000}"/>
    <cellStyle name="Read$" xfId="12128" xr:uid="{00000000-0005-0000-0000-00006B4E0000}"/>
    <cellStyle name="Read%" xfId="12129" xr:uid="{00000000-0005-0000-0000-00006C4E0000}"/>
    <cellStyle name="ReadInData" xfId="12130" xr:uid="{00000000-0005-0000-0000-00006D4E0000}"/>
    <cellStyle name="Réalisé" xfId="12131" xr:uid="{00000000-0005-0000-0000-00006E4E0000}"/>
    <cellStyle name="Red font" xfId="12132" xr:uid="{00000000-0005-0000-0000-00006F4E0000}"/>
    <cellStyle name="Red Text" xfId="12133" xr:uid="{00000000-0005-0000-0000-0000704E0000}"/>
    <cellStyle name="regstoresfromspecstores" xfId="12134" xr:uid="{00000000-0005-0000-0000-0000714E0000}"/>
    <cellStyle name="Regular" xfId="12135" xr:uid="{00000000-0005-0000-0000-0000724E0000}"/>
    <cellStyle name="ReportNums" xfId="12136" xr:uid="{00000000-0005-0000-0000-0000734E0000}"/>
    <cellStyle name="ReportNums 2" xfId="12137" xr:uid="{00000000-0005-0000-0000-0000744E0000}"/>
    <cellStyle name="ReportNums 2 2" xfId="12138" xr:uid="{00000000-0005-0000-0000-0000754E0000}"/>
    <cellStyle name="ReportNums 2 2 2" xfId="16197" xr:uid="{00000000-0005-0000-0000-0000764E0000}"/>
    <cellStyle name="ReportNums 2 2 3" xfId="20220" xr:uid="{00000000-0005-0000-0000-0000774E0000}"/>
    <cellStyle name="ReportNums 2 3" xfId="16196" xr:uid="{00000000-0005-0000-0000-0000784E0000}"/>
    <cellStyle name="ReportNums 2 4" xfId="20219" xr:uid="{00000000-0005-0000-0000-0000794E0000}"/>
    <cellStyle name="ReportNums 3" xfId="12139" xr:uid="{00000000-0005-0000-0000-00007A4E0000}"/>
    <cellStyle name="ReportNums 3 2" xfId="12140" xr:uid="{00000000-0005-0000-0000-00007B4E0000}"/>
    <cellStyle name="ReportNums 3 2 2" xfId="16199" xr:uid="{00000000-0005-0000-0000-00007C4E0000}"/>
    <cellStyle name="ReportNums 3 2 3" xfId="20222" xr:uid="{00000000-0005-0000-0000-00007D4E0000}"/>
    <cellStyle name="ReportNums 3 3" xfId="16198" xr:uid="{00000000-0005-0000-0000-00007E4E0000}"/>
    <cellStyle name="ReportNums 3 4" xfId="20221" xr:uid="{00000000-0005-0000-0000-00007F4E0000}"/>
    <cellStyle name="Results % 3 dp" xfId="12141" xr:uid="{00000000-0005-0000-0000-0000804E0000}"/>
    <cellStyle name="Results 3 dp" xfId="12142" xr:uid="{00000000-0005-0000-0000-0000814E0000}"/>
    <cellStyle name="RevList" xfId="12143" xr:uid="{00000000-0005-0000-0000-0000824E0000}"/>
    <cellStyle name="Right Heading 1" xfId="12144" xr:uid="{00000000-0005-0000-0000-0000834E0000}"/>
    <cellStyle name="Right Heading 2" xfId="12145" xr:uid="{00000000-0005-0000-0000-0000844E0000}"/>
    <cellStyle name="Row Headings" xfId="12146" xr:uid="{00000000-0005-0000-0000-0000854E0000}"/>
    <cellStyle name="Row Lvl 1" xfId="12147" xr:uid="{00000000-0005-0000-0000-0000864E0000}"/>
    <cellStyle name="Row Lvl 2" xfId="12148" xr:uid="{00000000-0005-0000-0000-0000874E0000}"/>
    <cellStyle name="s]_x000d__x000a_load=nwpopup.exe_x000d__x000a_run=_x000d__x000a_Beep=yes_x000d__x000a_NullPort=None_x000d__x000a_BorderWidth=3_x000d__x000a_CursorBlinkRate=530_x000d__x000a_DoubleClickSpeed=452_x000d__x000a_Programs" xfId="12149" xr:uid="{00000000-0005-0000-0000-0000884E0000}"/>
    <cellStyle name="Salomon Logo" xfId="12150" xr:uid="{00000000-0005-0000-0000-0000894E0000}"/>
    <cellStyle name="SAPBEXaggData" xfId="12151" xr:uid="{00000000-0005-0000-0000-00008A4E0000}"/>
    <cellStyle name="SAPBEXaggDataEmph" xfId="12152" xr:uid="{00000000-0005-0000-0000-00008B4E0000}"/>
    <cellStyle name="SAPBEXaggItem" xfId="12153" xr:uid="{00000000-0005-0000-0000-00008C4E0000}"/>
    <cellStyle name="SAPBEXchaText" xfId="12154" xr:uid="{00000000-0005-0000-0000-00008D4E0000}"/>
    <cellStyle name="SAPBEXexcBad7" xfId="12155" xr:uid="{00000000-0005-0000-0000-00008E4E0000}"/>
    <cellStyle name="SAPBEXexcBad8" xfId="12156" xr:uid="{00000000-0005-0000-0000-00008F4E0000}"/>
    <cellStyle name="SAPBEXexcBad9" xfId="12157" xr:uid="{00000000-0005-0000-0000-0000904E0000}"/>
    <cellStyle name="SAPBEXexcCritical4" xfId="12158" xr:uid="{00000000-0005-0000-0000-0000914E0000}"/>
    <cellStyle name="SAPBEXexcCritical5" xfId="12159" xr:uid="{00000000-0005-0000-0000-0000924E0000}"/>
    <cellStyle name="SAPBEXexcCritical6" xfId="12160" xr:uid="{00000000-0005-0000-0000-0000934E0000}"/>
    <cellStyle name="SAPBEXexcGood1" xfId="12161" xr:uid="{00000000-0005-0000-0000-0000944E0000}"/>
    <cellStyle name="SAPBEXexcGood2" xfId="12162" xr:uid="{00000000-0005-0000-0000-0000954E0000}"/>
    <cellStyle name="SAPBEXexcGood3" xfId="12163" xr:uid="{00000000-0005-0000-0000-0000964E0000}"/>
    <cellStyle name="SAPBEXfilterDrill" xfId="12164" xr:uid="{00000000-0005-0000-0000-0000974E0000}"/>
    <cellStyle name="SAPBEXfilterItem" xfId="12165" xr:uid="{00000000-0005-0000-0000-0000984E0000}"/>
    <cellStyle name="SAPBEXfilterText" xfId="12166" xr:uid="{00000000-0005-0000-0000-0000994E0000}"/>
    <cellStyle name="SAPBEXformats" xfId="12167" xr:uid="{00000000-0005-0000-0000-00009A4E0000}"/>
    <cellStyle name="SAPBEXheaderItem" xfId="12168" xr:uid="{00000000-0005-0000-0000-00009B4E0000}"/>
    <cellStyle name="SAPBEXheaderText" xfId="12169" xr:uid="{00000000-0005-0000-0000-00009C4E0000}"/>
    <cellStyle name="SAPBEXresData" xfId="12170" xr:uid="{00000000-0005-0000-0000-00009D4E0000}"/>
    <cellStyle name="SAPBEXresDataEmph" xfId="12171" xr:uid="{00000000-0005-0000-0000-00009E4E0000}"/>
    <cellStyle name="SAPBEXresItem" xfId="12172" xr:uid="{00000000-0005-0000-0000-00009F4E0000}"/>
    <cellStyle name="SAPBEXstdData" xfId="12173" xr:uid="{00000000-0005-0000-0000-0000A04E0000}"/>
    <cellStyle name="SAPBEXstdDataEmph" xfId="12174" xr:uid="{00000000-0005-0000-0000-0000A14E0000}"/>
    <cellStyle name="SAPBEXstdItem" xfId="12175" xr:uid="{00000000-0005-0000-0000-0000A24E0000}"/>
    <cellStyle name="SAPBEXtitle" xfId="12176" xr:uid="{00000000-0005-0000-0000-0000A34E0000}"/>
    <cellStyle name="SAPBEXundefined" xfId="12177" xr:uid="{00000000-0005-0000-0000-0000A44E0000}"/>
    <cellStyle name="SAPKey" xfId="12178" xr:uid="{00000000-0005-0000-0000-0000A54E0000}"/>
    <cellStyle name="SAPKey 2" xfId="12179" xr:uid="{00000000-0005-0000-0000-0000A64E0000}"/>
    <cellStyle name="SAPKey 3" xfId="12180" xr:uid="{00000000-0005-0000-0000-0000A74E0000}"/>
    <cellStyle name="SAPLocked" xfId="12181" xr:uid="{00000000-0005-0000-0000-0000A84E0000}"/>
    <cellStyle name="SAPLocked 2" xfId="12182" xr:uid="{00000000-0005-0000-0000-0000A94E0000}"/>
    <cellStyle name="SAPLocked 3" xfId="12183" xr:uid="{00000000-0005-0000-0000-0000AA4E0000}"/>
    <cellStyle name="SAPOutput" xfId="12184" xr:uid="{00000000-0005-0000-0000-0000AB4E0000}"/>
    <cellStyle name="SAPOutput 2" xfId="12185" xr:uid="{00000000-0005-0000-0000-0000AC4E0000}"/>
    <cellStyle name="SAPOutput 3" xfId="12186" xr:uid="{00000000-0005-0000-0000-0000AD4E0000}"/>
    <cellStyle name="SAPSpace" xfId="12187" xr:uid="{00000000-0005-0000-0000-0000AE4E0000}"/>
    <cellStyle name="SAPSpace 2" xfId="12188" xr:uid="{00000000-0005-0000-0000-0000AF4E0000}"/>
    <cellStyle name="SAPSpace 3" xfId="12189" xr:uid="{00000000-0005-0000-0000-0000B04E0000}"/>
    <cellStyle name="SAPText" xfId="12190" xr:uid="{00000000-0005-0000-0000-0000B14E0000}"/>
    <cellStyle name="SAPText 2" xfId="12191" xr:uid="{00000000-0005-0000-0000-0000B24E0000}"/>
    <cellStyle name="SAPText 3" xfId="12192" xr:uid="{00000000-0005-0000-0000-0000B34E0000}"/>
    <cellStyle name="SAPUnLocked" xfId="12193" xr:uid="{00000000-0005-0000-0000-0000B44E0000}"/>
    <cellStyle name="SAPUnLocked 2" xfId="12194" xr:uid="{00000000-0005-0000-0000-0000B54E0000}"/>
    <cellStyle name="SAPUnLocked 3" xfId="12195" xr:uid="{00000000-0005-0000-0000-0000B64E0000}"/>
    <cellStyle name="sbt2" xfId="12196" xr:uid="{00000000-0005-0000-0000-0000B74E0000}"/>
    <cellStyle name="sbt2 2" xfId="12197" xr:uid="{00000000-0005-0000-0000-0000B84E0000}"/>
    <cellStyle name="sbt2 2 2" xfId="12198" xr:uid="{00000000-0005-0000-0000-0000B94E0000}"/>
    <cellStyle name="sbt2 2 2 2" xfId="20225" xr:uid="{00000000-0005-0000-0000-0000BA4E0000}"/>
    <cellStyle name="sbt2 2 3" xfId="20224" xr:uid="{00000000-0005-0000-0000-0000BB4E0000}"/>
    <cellStyle name="sbt2 3" xfId="12199" xr:uid="{00000000-0005-0000-0000-0000BC4E0000}"/>
    <cellStyle name="sbt2 3 2" xfId="12200" xr:uid="{00000000-0005-0000-0000-0000BD4E0000}"/>
    <cellStyle name="sbt2 3 2 2" xfId="20227" xr:uid="{00000000-0005-0000-0000-0000BE4E0000}"/>
    <cellStyle name="sbt2 3 3" xfId="20226" xr:uid="{00000000-0005-0000-0000-0000BF4E0000}"/>
    <cellStyle name="sbt2 4" xfId="12201" xr:uid="{00000000-0005-0000-0000-0000C04E0000}"/>
    <cellStyle name="sbt2 4 2" xfId="20228" xr:uid="{00000000-0005-0000-0000-0000C14E0000}"/>
    <cellStyle name="sbt2 5" xfId="20223" xr:uid="{00000000-0005-0000-0000-0000C24E0000}"/>
    <cellStyle name="SectionHeaderNormal" xfId="12202" xr:uid="{00000000-0005-0000-0000-0000C34E0000}"/>
    <cellStyle name="SectionHeading" xfId="12203" xr:uid="{00000000-0005-0000-0000-0000C44E0000}"/>
    <cellStyle name="SectionHeading 2" xfId="12204" xr:uid="{00000000-0005-0000-0000-0000C54E0000}"/>
    <cellStyle name="SectionHeading 2 2" xfId="12205" xr:uid="{00000000-0005-0000-0000-0000C64E0000}"/>
    <cellStyle name="SectionHeading 2 2 2" xfId="16202" xr:uid="{00000000-0005-0000-0000-0000C74E0000}"/>
    <cellStyle name="SectionHeading 2 2 3" xfId="20231" xr:uid="{00000000-0005-0000-0000-0000C84E0000}"/>
    <cellStyle name="SectionHeading 2 3" xfId="16201" xr:uid="{00000000-0005-0000-0000-0000C94E0000}"/>
    <cellStyle name="SectionHeading 2 4" xfId="20230" xr:uid="{00000000-0005-0000-0000-0000CA4E0000}"/>
    <cellStyle name="SectionHeading 3" xfId="12206" xr:uid="{00000000-0005-0000-0000-0000CB4E0000}"/>
    <cellStyle name="SectionHeading 3 2" xfId="12207" xr:uid="{00000000-0005-0000-0000-0000CC4E0000}"/>
    <cellStyle name="SectionHeading 3 2 2" xfId="16204" xr:uid="{00000000-0005-0000-0000-0000CD4E0000}"/>
    <cellStyle name="SectionHeading 3 2 3" xfId="20233" xr:uid="{00000000-0005-0000-0000-0000CE4E0000}"/>
    <cellStyle name="SectionHeading 3 3" xfId="16203" xr:uid="{00000000-0005-0000-0000-0000CF4E0000}"/>
    <cellStyle name="SectionHeading 3 4" xfId="20232" xr:uid="{00000000-0005-0000-0000-0000D04E0000}"/>
    <cellStyle name="SectionHeading 4" xfId="12208" xr:uid="{00000000-0005-0000-0000-0000D14E0000}"/>
    <cellStyle name="SectionHeading 4 2" xfId="16205" xr:uid="{00000000-0005-0000-0000-0000D24E0000}"/>
    <cellStyle name="SectionHeading 4 3" xfId="20234" xr:uid="{00000000-0005-0000-0000-0000D34E0000}"/>
    <cellStyle name="SectionHeading 5" xfId="16200" xr:uid="{00000000-0005-0000-0000-0000D44E0000}"/>
    <cellStyle name="SectionHeading 6" xfId="20229" xr:uid="{00000000-0005-0000-0000-0000D54E0000}"/>
    <cellStyle name="SGD 2" xfId="12209" xr:uid="{00000000-0005-0000-0000-0000D64E0000}"/>
    <cellStyle name="SGD 2 2" xfId="20372" xr:uid="{00000000-0005-0000-0000-0000D74E0000}"/>
    <cellStyle name="Shaded" xfId="12210" xr:uid="{00000000-0005-0000-0000-0000D84E0000}"/>
    <cellStyle name="SHADEDSTORES" xfId="12211" xr:uid="{00000000-0005-0000-0000-0000D94E0000}"/>
    <cellStyle name="SHADEDSTORES 2" xfId="12212" xr:uid="{00000000-0005-0000-0000-0000DA4E0000}"/>
    <cellStyle name="SHADEDSTORES 2 2" xfId="12213" xr:uid="{00000000-0005-0000-0000-0000DB4E0000}"/>
    <cellStyle name="SHADEDSTORES 2 2 2" xfId="16207" xr:uid="{00000000-0005-0000-0000-0000DC4E0000}"/>
    <cellStyle name="SHADEDSTORES 2 2 3" xfId="20236" xr:uid="{00000000-0005-0000-0000-0000DD4E0000}"/>
    <cellStyle name="SHADEDSTORES 2 3" xfId="16206" xr:uid="{00000000-0005-0000-0000-0000DE4E0000}"/>
    <cellStyle name="SHADEDSTORES 2 4" xfId="20235" xr:uid="{00000000-0005-0000-0000-0000DF4E0000}"/>
    <cellStyle name="SHADEDSTORES 3" xfId="12214" xr:uid="{00000000-0005-0000-0000-0000E04E0000}"/>
    <cellStyle name="SHADEDSTORES 3 2" xfId="12215" xr:uid="{00000000-0005-0000-0000-0000E14E0000}"/>
    <cellStyle name="SHADEDSTORES 3 2 2" xfId="16209" xr:uid="{00000000-0005-0000-0000-0000E24E0000}"/>
    <cellStyle name="SHADEDSTORES 3 2 3" xfId="20238" xr:uid="{00000000-0005-0000-0000-0000E34E0000}"/>
    <cellStyle name="SHADEDSTORES 3 3" xfId="16208" xr:uid="{00000000-0005-0000-0000-0000E44E0000}"/>
    <cellStyle name="SHADEDSTORES 3 4" xfId="20237" xr:uid="{00000000-0005-0000-0000-0000E54E0000}"/>
    <cellStyle name="Shading" xfId="12216" xr:uid="{00000000-0005-0000-0000-0000E64E0000}"/>
    <cellStyle name="Shares" xfId="12217" xr:uid="{00000000-0005-0000-0000-0000E74E0000}"/>
    <cellStyle name="Shares 2" xfId="20373" xr:uid="{00000000-0005-0000-0000-0000E84E0000}"/>
    <cellStyle name="sharesout" xfId="12218" xr:uid="{00000000-0005-0000-0000-0000E94E0000}"/>
    <cellStyle name="sharesout 2" xfId="12219" xr:uid="{00000000-0005-0000-0000-0000EA4E0000}"/>
    <cellStyle name="sharesout 2 2" xfId="12220" xr:uid="{00000000-0005-0000-0000-0000EB4E0000}"/>
    <cellStyle name="sharesout 2 2 2" xfId="16212" xr:uid="{00000000-0005-0000-0000-0000EC4E0000}"/>
    <cellStyle name="sharesout 2 2 3" xfId="20241" xr:uid="{00000000-0005-0000-0000-0000ED4E0000}"/>
    <cellStyle name="sharesout 2 3" xfId="16211" xr:uid="{00000000-0005-0000-0000-0000EE4E0000}"/>
    <cellStyle name="sharesout 2 4" xfId="20240" xr:uid="{00000000-0005-0000-0000-0000EF4E0000}"/>
    <cellStyle name="sharesout 3" xfId="12221" xr:uid="{00000000-0005-0000-0000-0000F04E0000}"/>
    <cellStyle name="sharesout 3 2" xfId="12222" xr:uid="{00000000-0005-0000-0000-0000F14E0000}"/>
    <cellStyle name="sharesout 3 2 2" xfId="16214" xr:uid="{00000000-0005-0000-0000-0000F24E0000}"/>
    <cellStyle name="sharesout 3 2 3" xfId="20243" xr:uid="{00000000-0005-0000-0000-0000F34E0000}"/>
    <cellStyle name="sharesout 3 3" xfId="16213" xr:uid="{00000000-0005-0000-0000-0000F44E0000}"/>
    <cellStyle name="sharesout 3 4" xfId="20242" xr:uid="{00000000-0005-0000-0000-0000F54E0000}"/>
    <cellStyle name="sharesout 4" xfId="12223" xr:uid="{00000000-0005-0000-0000-0000F64E0000}"/>
    <cellStyle name="sharesout 4 2" xfId="16215" xr:uid="{00000000-0005-0000-0000-0000F74E0000}"/>
    <cellStyle name="sharesout 4 3" xfId="20244" xr:uid="{00000000-0005-0000-0000-0000F84E0000}"/>
    <cellStyle name="sharesout 5" xfId="16210" xr:uid="{00000000-0005-0000-0000-0000F94E0000}"/>
    <cellStyle name="sharesout 6" xfId="20239" xr:uid="{00000000-0005-0000-0000-0000FA4E0000}"/>
    <cellStyle name="Sheetmult" xfId="12224" xr:uid="{00000000-0005-0000-0000-0000FB4E0000}"/>
    <cellStyle name="ShOut" xfId="12225" xr:uid="{00000000-0005-0000-0000-0000FC4E0000}"/>
    <cellStyle name="Shtmultx" xfId="12226" xr:uid="{00000000-0005-0000-0000-0000FD4E0000}"/>
    <cellStyle name="Single Accounting" xfId="12227" xr:uid="{00000000-0005-0000-0000-0000FE4E0000}"/>
    <cellStyle name="Single Border" xfId="12228" xr:uid="{00000000-0005-0000-0000-0000FF4E0000}"/>
    <cellStyle name="Single Border 2" xfId="12229" xr:uid="{00000000-0005-0000-0000-0000004F0000}"/>
    <cellStyle name="Single Border 2 2" xfId="20300" xr:uid="{00000000-0005-0000-0000-0000014F0000}"/>
    <cellStyle name="Single Border 3" xfId="12230" xr:uid="{00000000-0005-0000-0000-0000024F0000}"/>
    <cellStyle name="Single Border 3 2" xfId="20301" xr:uid="{00000000-0005-0000-0000-0000034F0000}"/>
    <cellStyle name="Single Border 4" xfId="20302" xr:uid="{00000000-0005-0000-0000-0000044F0000}"/>
    <cellStyle name="Size10Pt" xfId="12231" xr:uid="{00000000-0005-0000-0000-0000054F0000}"/>
    <cellStyle name="Size10Pt 2" xfId="20374" xr:uid="{00000000-0005-0000-0000-0000064F0000}"/>
    <cellStyle name="Size12Pt" xfId="12232" xr:uid="{00000000-0005-0000-0000-0000074F0000}"/>
    <cellStyle name="Size12Pt 2" xfId="20375" xr:uid="{00000000-0005-0000-0000-0000084F0000}"/>
    <cellStyle name="Small Page Heading" xfId="12233" xr:uid="{00000000-0005-0000-0000-0000094F0000}"/>
    <cellStyle name="specstores" xfId="12234" xr:uid="{00000000-0005-0000-0000-00000A4F0000}"/>
    <cellStyle name="Standaard_laroux" xfId="12235" xr:uid="{00000000-0005-0000-0000-00000B4F0000}"/>
    <cellStyle name="STANDARD" xfId="12236" xr:uid="{00000000-0005-0000-0000-00000C4F0000}"/>
    <cellStyle name="Std Currency" xfId="12237" xr:uid="{00000000-0005-0000-0000-00000D4F0000}"/>
    <cellStyle name="Std Input" xfId="12238" xr:uid="{00000000-0005-0000-0000-00000E4F0000}"/>
    <cellStyle name="Std Number" xfId="12239" xr:uid="{00000000-0005-0000-0000-00000F4F0000}"/>
    <cellStyle name="Std Percent" xfId="12240" xr:uid="{00000000-0005-0000-0000-0000104F0000}"/>
    <cellStyle name="Std Text" xfId="12241" xr:uid="{00000000-0005-0000-0000-0000114F0000}"/>
    <cellStyle name="Strange" xfId="12242" xr:uid="{00000000-0005-0000-0000-0000124F0000}"/>
    <cellStyle name="Strange 2" xfId="20376" xr:uid="{00000000-0005-0000-0000-0000134F0000}"/>
    <cellStyle name="Strikethru" xfId="12243" xr:uid="{00000000-0005-0000-0000-0000144F0000}"/>
    <cellStyle name="STYL1 - Style1" xfId="12244" xr:uid="{00000000-0005-0000-0000-0000154F0000}"/>
    <cellStyle name="STYL1 - Style1 2" xfId="12245" xr:uid="{00000000-0005-0000-0000-0000164F0000}"/>
    <cellStyle name="Style 1" xfId="12246" xr:uid="{00000000-0005-0000-0000-0000174F0000}"/>
    <cellStyle name="Style 2" xfId="12247" xr:uid="{00000000-0005-0000-0000-0000184F0000}"/>
    <cellStyle name="Style 21" xfId="12248" xr:uid="{00000000-0005-0000-0000-0000194F0000}"/>
    <cellStyle name="Style 22" xfId="12249" xr:uid="{00000000-0005-0000-0000-00001A4F0000}"/>
    <cellStyle name="Style 23" xfId="12250" xr:uid="{00000000-0005-0000-0000-00001B4F0000}"/>
    <cellStyle name="Style 24" xfId="12251" xr:uid="{00000000-0005-0000-0000-00001C4F0000}"/>
    <cellStyle name="Style 25" xfId="12252" xr:uid="{00000000-0005-0000-0000-00001D4F0000}"/>
    <cellStyle name="Style 26" xfId="12253" xr:uid="{00000000-0005-0000-0000-00001E4F0000}"/>
    <cellStyle name="Style 27" xfId="12254" xr:uid="{00000000-0005-0000-0000-00001F4F0000}"/>
    <cellStyle name="Style 28" xfId="12255" xr:uid="{00000000-0005-0000-0000-0000204F0000}"/>
    <cellStyle name="Style 29" xfId="12256" xr:uid="{00000000-0005-0000-0000-0000214F0000}"/>
    <cellStyle name="Style 3" xfId="12257" xr:uid="{00000000-0005-0000-0000-0000224F0000}"/>
    <cellStyle name="Style 30" xfId="12258" xr:uid="{00000000-0005-0000-0000-0000234F0000}"/>
    <cellStyle name="Style 31" xfId="12259" xr:uid="{00000000-0005-0000-0000-0000244F0000}"/>
    <cellStyle name="Style 32" xfId="12260" xr:uid="{00000000-0005-0000-0000-0000254F0000}"/>
    <cellStyle name="Style 33" xfId="12261" xr:uid="{00000000-0005-0000-0000-0000264F0000}"/>
    <cellStyle name="Style 33 2" xfId="20377" xr:uid="{00000000-0005-0000-0000-0000274F0000}"/>
    <cellStyle name="Style 34" xfId="12262" xr:uid="{00000000-0005-0000-0000-0000284F0000}"/>
    <cellStyle name="Style 34 2" xfId="20378" xr:uid="{00000000-0005-0000-0000-0000294F0000}"/>
    <cellStyle name="Style 35" xfId="12263" xr:uid="{00000000-0005-0000-0000-00002A4F0000}"/>
    <cellStyle name="Style 36" xfId="12264" xr:uid="{00000000-0005-0000-0000-00002B4F0000}"/>
    <cellStyle name="Style 37" xfId="12265" xr:uid="{00000000-0005-0000-0000-00002C4F0000}"/>
    <cellStyle name="Style 38" xfId="12266" xr:uid="{00000000-0005-0000-0000-00002D4F0000}"/>
    <cellStyle name="Style 39" xfId="12267" xr:uid="{00000000-0005-0000-0000-00002E4F0000}"/>
    <cellStyle name="Style 4" xfId="12268" xr:uid="{00000000-0005-0000-0000-00002F4F0000}"/>
    <cellStyle name="Style 40" xfId="12269" xr:uid="{00000000-0005-0000-0000-0000304F0000}"/>
    <cellStyle name="Style 41" xfId="12270" xr:uid="{00000000-0005-0000-0000-0000314F0000}"/>
    <cellStyle name="Style 42" xfId="12271" xr:uid="{00000000-0005-0000-0000-0000324F0000}"/>
    <cellStyle name="Style 43" xfId="12272" xr:uid="{00000000-0005-0000-0000-0000334F0000}"/>
    <cellStyle name="Style 44" xfId="12273" xr:uid="{00000000-0005-0000-0000-0000344F0000}"/>
    <cellStyle name="Style 44 2" xfId="12274" xr:uid="{00000000-0005-0000-0000-0000354F0000}"/>
    <cellStyle name="Style 45" xfId="12275" xr:uid="{00000000-0005-0000-0000-0000364F0000}"/>
    <cellStyle name="Style 45 2" xfId="12276" xr:uid="{00000000-0005-0000-0000-0000374F0000}"/>
    <cellStyle name="Style 46" xfId="12277" xr:uid="{00000000-0005-0000-0000-0000384F0000}"/>
    <cellStyle name="Style 46 2" xfId="12278" xr:uid="{00000000-0005-0000-0000-0000394F0000}"/>
    <cellStyle name="Style 47" xfId="12279" xr:uid="{00000000-0005-0000-0000-00003A4F0000}"/>
    <cellStyle name="Style 47 2" xfId="12280" xr:uid="{00000000-0005-0000-0000-00003B4F0000}"/>
    <cellStyle name="Style 48" xfId="12281" xr:uid="{00000000-0005-0000-0000-00003C4F0000}"/>
    <cellStyle name="Style 48 2" xfId="12282" xr:uid="{00000000-0005-0000-0000-00003D4F0000}"/>
    <cellStyle name="Style 49" xfId="12283" xr:uid="{00000000-0005-0000-0000-00003E4F0000}"/>
    <cellStyle name="Style 49 2" xfId="12284" xr:uid="{00000000-0005-0000-0000-00003F4F0000}"/>
    <cellStyle name="Style 5" xfId="12285" xr:uid="{00000000-0005-0000-0000-0000404F0000}"/>
    <cellStyle name="Style 50" xfId="12286" xr:uid="{00000000-0005-0000-0000-0000414F0000}"/>
    <cellStyle name="Style 50 2" xfId="12287" xr:uid="{00000000-0005-0000-0000-0000424F0000}"/>
    <cellStyle name="Style 51" xfId="12288" xr:uid="{00000000-0005-0000-0000-0000434F0000}"/>
    <cellStyle name="Style 51 2" xfId="12289" xr:uid="{00000000-0005-0000-0000-0000444F0000}"/>
    <cellStyle name="Style 51 3" xfId="12290" xr:uid="{00000000-0005-0000-0000-0000454F0000}"/>
    <cellStyle name="Style 52" xfId="12291" xr:uid="{00000000-0005-0000-0000-0000464F0000}"/>
    <cellStyle name="Style 53" xfId="12292" xr:uid="{00000000-0005-0000-0000-0000474F0000}"/>
    <cellStyle name="Style 54" xfId="12293" xr:uid="{00000000-0005-0000-0000-0000484F0000}"/>
    <cellStyle name="Style 55" xfId="12294" xr:uid="{00000000-0005-0000-0000-0000494F0000}"/>
    <cellStyle name="Style 56" xfId="12295" xr:uid="{00000000-0005-0000-0000-00004A4F0000}"/>
    <cellStyle name="Style 57" xfId="12296" xr:uid="{00000000-0005-0000-0000-00004B4F0000}"/>
    <cellStyle name="Style 58" xfId="12297" xr:uid="{00000000-0005-0000-0000-00004C4F0000}"/>
    <cellStyle name="Style 59" xfId="12298" xr:uid="{00000000-0005-0000-0000-00004D4F0000}"/>
    <cellStyle name="Style 6" xfId="12299" xr:uid="{00000000-0005-0000-0000-00004E4F0000}"/>
    <cellStyle name="Style 60" xfId="12300" xr:uid="{00000000-0005-0000-0000-00004F4F0000}"/>
    <cellStyle name="Style 61" xfId="12301" xr:uid="{00000000-0005-0000-0000-0000504F0000}"/>
    <cellStyle name="Style 62" xfId="12302" xr:uid="{00000000-0005-0000-0000-0000514F0000}"/>
    <cellStyle name="Style 63" xfId="12303" xr:uid="{00000000-0005-0000-0000-0000524F0000}"/>
    <cellStyle name="Style 64" xfId="12304" xr:uid="{00000000-0005-0000-0000-0000534F0000}"/>
    <cellStyle name="Style 65" xfId="12305" xr:uid="{00000000-0005-0000-0000-0000544F0000}"/>
    <cellStyle name="Style 66" xfId="12306" xr:uid="{00000000-0005-0000-0000-0000554F0000}"/>
    <cellStyle name="Style 67" xfId="12307" xr:uid="{00000000-0005-0000-0000-0000564F0000}"/>
    <cellStyle name="Style 68" xfId="12308" xr:uid="{00000000-0005-0000-0000-0000574F0000}"/>
    <cellStyle name="Style 69" xfId="12309" xr:uid="{00000000-0005-0000-0000-0000584F0000}"/>
    <cellStyle name="Style 7" xfId="12310" xr:uid="{00000000-0005-0000-0000-0000594F0000}"/>
    <cellStyle name="Style 70" xfId="12311" xr:uid="{00000000-0005-0000-0000-00005A4F0000}"/>
    <cellStyle name="Style 71" xfId="12312" xr:uid="{00000000-0005-0000-0000-00005B4F0000}"/>
    <cellStyle name="Style 72" xfId="12313" xr:uid="{00000000-0005-0000-0000-00005C4F0000}"/>
    <cellStyle name="Style 73" xfId="12314" xr:uid="{00000000-0005-0000-0000-00005D4F0000}"/>
    <cellStyle name="Style 74" xfId="12315" xr:uid="{00000000-0005-0000-0000-00005E4F0000}"/>
    <cellStyle name="Style 75" xfId="12316" xr:uid="{00000000-0005-0000-0000-00005F4F0000}"/>
    <cellStyle name="Style 76" xfId="12317" xr:uid="{00000000-0005-0000-0000-0000604F0000}"/>
    <cellStyle name="Style 77" xfId="12318" xr:uid="{00000000-0005-0000-0000-0000614F0000}"/>
    <cellStyle name="Style 77 2" xfId="12319" xr:uid="{00000000-0005-0000-0000-0000624F0000}"/>
    <cellStyle name="Style 78" xfId="12320" xr:uid="{00000000-0005-0000-0000-0000634F0000}"/>
    <cellStyle name="Style 79" xfId="12321" xr:uid="{00000000-0005-0000-0000-0000644F0000}"/>
    <cellStyle name="Style 8" xfId="12322" xr:uid="{00000000-0005-0000-0000-0000654F0000}"/>
    <cellStyle name="Style 80" xfId="12323" xr:uid="{00000000-0005-0000-0000-0000664F0000}"/>
    <cellStyle name="Style 85" xfId="12324" xr:uid="{00000000-0005-0000-0000-0000674F0000}"/>
    <cellStyle name="Style 87" xfId="12325" xr:uid="{00000000-0005-0000-0000-0000684F0000}"/>
    <cellStyle name="Style 9" xfId="12326" xr:uid="{00000000-0005-0000-0000-0000694F0000}"/>
    <cellStyle name="Style 91" xfId="12327" xr:uid="{00000000-0005-0000-0000-00006A4F0000}"/>
    <cellStyle name="Style 93" xfId="12328" xr:uid="{00000000-0005-0000-0000-00006B4F0000}"/>
    <cellStyle name="STYLE1" xfId="12329" xr:uid="{00000000-0005-0000-0000-00006C4F0000}"/>
    <cellStyle name="STYLE1 2" xfId="12330" xr:uid="{00000000-0005-0000-0000-00006D4F0000}"/>
    <cellStyle name="STYLE10" xfId="12331" xr:uid="{00000000-0005-0000-0000-00006E4F0000}"/>
    <cellStyle name="STYLE10 2" xfId="12332" xr:uid="{00000000-0005-0000-0000-00006F4F0000}"/>
    <cellStyle name="STYLE11" xfId="12333" xr:uid="{00000000-0005-0000-0000-0000704F0000}"/>
    <cellStyle name="STYLE11 2" xfId="12334" xr:uid="{00000000-0005-0000-0000-0000714F0000}"/>
    <cellStyle name="STYLE12" xfId="12335" xr:uid="{00000000-0005-0000-0000-0000724F0000}"/>
    <cellStyle name="STYLE12 2" xfId="12336" xr:uid="{00000000-0005-0000-0000-0000734F0000}"/>
    <cellStyle name="STYLE13" xfId="12337" xr:uid="{00000000-0005-0000-0000-0000744F0000}"/>
    <cellStyle name="STYLE14" xfId="12338" xr:uid="{00000000-0005-0000-0000-0000754F0000}"/>
    <cellStyle name="STYLE15" xfId="12339" xr:uid="{00000000-0005-0000-0000-0000764F0000}"/>
    <cellStyle name="STYLE2" xfId="12340" xr:uid="{00000000-0005-0000-0000-0000774F0000}"/>
    <cellStyle name="STYLE2 2" xfId="12341" xr:uid="{00000000-0005-0000-0000-0000784F0000}"/>
    <cellStyle name="STYLE2 3" xfId="12342" xr:uid="{00000000-0005-0000-0000-0000794F0000}"/>
    <cellStyle name="STYLE3" xfId="12343" xr:uid="{00000000-0005-0000-0000-00007A4F0000}"/>
    <cellStyle name="STYLE3 2" xfId="12344" xr:uid="{00000000-0005-0000-0000-00007B4F0000}"/>
    <cellStyle name="STYLE3 3" xfId="12345" xr:uid="{00000000-0005-0000-0000-00007C4F0000}"/>
    <cellStyle name="STYLE4" xfId="12346" xr:uid="{00000000-0005-0000-0000-00007D4F0000}"/>
    <cellStyle name="STYLE4 2" xfId="12347" xr:uid="{00000000-0005-0000-0000-00007E4F0000}"/>
    <cellStyle name="STYLE4 2 2" xfId="12348" xr:uid="{00000000-0005-0000-0000-00007F4F0000}"/>
    <cellStyle name="STYLE4 2 2 2" xfId="12349" xr:uid="{00000000-0005-0000-0000-0000804F0000}"/>
    <cellStyle name="STYLE4 2 3" xfId="12350" xr:uid="{00000000-0005-0000-0000-0000814F0000}"/>
    <cellStyle name="STYLE4 3" xfId="12351" xr:uid="{00000000-0005-0000-0000-0000824F0000}"/>
    <cellStyle name="STYLE4 4" xfId="12352" xr:uid="{00000000-0005-0000-0000-0000834F0000}"/>
    <cellStyle name="STYLE4_3VR Common Stock Valuation Analysis Version 2" xfId="12353" xr:uid="{00000000-0005-0000-0000-0000844F0000}"/>
    <cellStyle name="STYLE5" xfId="12354" xr:uid="{00000000-0005-0000-0000-0000854F0000}"/>
    <cellStyle name="STYLE5 2" xfId="12355" xr:uid="{00000000-0005-0000-0000-0000864F0000}"/>
    <cellStyle name="STYLE5_BS Jan 05 with Plan 0222" xfId="12356" xr:uid="{00000000-0005-0000-0000-0000874F0000}"/>
    <cellStyle name="STYLE6" xfId="12357" xr:uid="{00000000-0005-0000-0000-0000884F0000}"/>
    <cellStyle name="STYLE6 2" xfId="12358" xr:uid="{00000000-0005-0000-0000-0000894F0000}"/>
    <cellStyle name="STYLE6_BS" xfId="12359" xr:uid="{00000000-0005-0000-0000-00008A4F0000}"/>
    <cellStyle name="STYLE7" xfId="12360" xr:uid="{00000000-0005-0000-0000-00008B4F0000}"/>
    <cellStyle name="STYLE7 2" xfId="12361" xr:uid="{00000000-0005-0000-0000-00008C4F0000}"/>
    <cellStyle name="STYLE7 3" xfId="12362" xr:uid="{00000000-0005-0000-0000-00008D4F0000}"/>
    <cellStyle name="STYLE7_BS Jan 05 with Plan 0222" xfId="12363" xr:uid="{00000000-0005-0000-0000-00008E4F0000}"/>
    <cellStyle name="STYLE8" xfId="12364" xr:uid="{00000000-0005-0000-0000-00008F4F0000}"/>
    <cellStyle name="STYLE8 2" xfId="12365" xr:uid="{00000000-0005-0000-0000-0000904F0000}"/>
    <cellStyle name="STYLE8 3" xfId="12366" xr:uid="{00000000-0005-0000-0000-0000914F0000}"/>
    <cellStyle name="STYLE8_BS Jan 05 with Plan 0222" xfId="12367" xr:uid="{00000000-0005-0000-0000-0000924F0000}"/>
    <cellStyle name="STYLE9" xfId="12368" xr:uid="{00000000-0005-0000-0000-0000934F0000}"/>
    <cellStyle name="STYLE9 2" xfId="12369" xr:uid="{00000000-0005-0000-0000-0000944F0000}"/>
    <cellStyle name="STYLE9 3" xfId="12370" xr:uid="{00000000-0005-0000-0000-0000954F0000}"/>
    <cellStyle name="STYLE9_Exec " xfId="12371" xr:uid="{00000000-0005-0000-0000-0000964F0000}"/>
    <cellStyle name="subhead" xfId="12372" xr:uid="{00000000-0005-0000-0000-0000974F0000}"/>
    <cellStyle name="Sub-Heading" xfId="12373" xr:uid="{00000000-0005-0000-0000-0000984F0000}"/>
    <cellStyle name="Subscribers" xfId="12374" xr:uid="{00000000-0005-0000-0000-0000994F0000}"/>
    <cellStyle name="SubScript" xfId="12375" xr:uid="{00000000-0005-0000-0000-00009A4F0000}"/>
    <cellStyle name="subt1" xfId="12376" xr:uid="{00000000-0005-0000-0000-00009B4F0000}"/>
    <cellStyle name="Subtitle" xfId="12377" xr:uid="{00000000-0005-0000-0000-00009C4F0000}"/>
    <cellStyle name="Subtotal" xfId="12378" xr:uid="{00000000-0005-0000-0000-00009D4F0000}"/>
    <cellStyle name="Summary" xfId="12379" xr:uid="{00000000-0005-0000-0000-00009E4F0000}"/>
    <cellStyle name="SuperScript" xfId="12380" xr:uid="{00000000-0005-0000-0000-00009F4F0000}"/>
    <cellStyle name="Table" xfId="12381" xr:uid="{00000000-0005-0000-0000-0000A04F0000}"/>
    <cellStyle name="Table Bottom" xfId="12382" xr:uid="{00000000-0005-0000-0000-0000A14F0000}"/>
    <cellStyle name="Table Col Head" xfId="12383" xr:uid="{00000000-0005-0000-0000-0000A24F0000}"/>
    <cellStyle name="Table Head" xfId="12384" xr:uid="{00000000-0005-0000-0000-0000A34F0000}"/>
    <cellStyle name="Table Head Aligned" xfId="12385" xr:uid="{00000000-0005-0000-0000-0000A44F0000}"/>
    <cellStyle name="Table Head Aligned 2" xfId="12386" xr:uid="{00000000-0005-0000-0000-0000A54F0000}"/>
    <cellStyle name="Table Head Aligned 3" xfId="12387" xr:uid="{00000000-0005-0000-0000-0000A64F0000}"/>
    <cellStyle name="Table Head Blue" xfId="12388" xr:uid="{00000000-0005-0000-0000-0000A74F0000}"/>
    <cellStyle name="Table Head Green" xfId="12389" xr:uid="{00000000-0005-0000-0000-0000A84F0000}"/>
    <cellStyle name="Table Head Green 2" xfId="12390" xr:uid="{00000000-0005-0000-0000-0000A94F0000}"/>
    <cellStyle name="Table Head Green 3" xfId="12391" xr:uid="{00000000-0005-0000-0000-0000AA4F0000}"/>
    <cellStyle name="Table Head_Cash Flow" xfId="12392" xr:uid="{00000000-0005-0000-0000-0000AB4F0000}"/>
    <cellStyle name="Table Sub Head" xfId="12393" xr:uid="{00000000-0005-0000-0000-0000AC4F0000}"/>
    <cellStyle name="Table Sub Heading" xfId="12394" xr:uid="{00000000-0005-0000-0000-0000AD4F0000}"/>
    <cellStyle name="Table Text" xfId="12395" xr:uid="{00000000-0005-0000-0000-0000AE4F0000}"/>
    <cellStyle name="Table Title" xfId="12396" xr:uid="{00000000-0005-0000-0000-0000AF4F0000}"/>
    <cellStyle name="Table Top" xfId="12397" xr:uid="{00000000-0005-0000-0000-0000B04F0000}"/>
    <cellStyle name="Table Unites" xfId="12398" xr:uid="{00000000-0005-0000-0000-0000B14F0000}"/>
    <cellStyle name="Table Units" xfId="12399" xr:uid="{00000000-0005-0000-0000-0000B24F0000}"/>
    <cellStyle name="Table_Eric CapIQ unlinked v1" xfId="12400" xr:uid="{00000000-0005-0000-0000-0000B34F0000}"/>
    <cellStyle name="TableBase" xfId="12401" xr:uid="{00000000-0005-0000-0000-0000B44F0000}"/>
    <cellStyle name="TableColumnHeading" xfId="12402" xr:uid="{00000000-0005-0000-0000-0000B54F0000}"/>
    <cellStyle name="TableHead" xfId="12403" xr:uid="{00000000-0005-0000-0000-0000B64F0000}"/>
    <cellStyle name="TableSubTitleItalic" xfId="12404" xr:uid="{00000000-0005-0000-0000-0000B74F0000}"/>
    <cellStyle name="TableText" xfId="12405" xr:uid="{00000000-0005-0000-0000-0000B84F0000}"/>
    <cellStyle name="TableTitle" xfId="12406" xr:uid="{00000000-0005-0000-0000-0000B94F0000}"/>
    <cellStyle name="TABLETXT" xfId="12407" xr:uid="{00000000-0005-0000-0000-0000BA4F0000}"/>
    <cellStyle name="test" xfId="12408" xr:uid="{00000000-0005-0000-0000-0000BB4F0000}"/>
    <cellStyle name="Test [green]" xfId="12409" xr:uid="{00000000-0005-0000-0000-0000BC4F0000}"/>
    <cellStyle name="Text" xfId="12410" xr:uid="{00000000-0005-0000-0000-0000BD4F0000}"/>
    <cellStyle name="Text 1" xfId="12411" xr:uid="{00000000-0005-0000-0000-0000BE4F0000}"/>
    <cellStyle name="Text Head 1" xfId="12412" xr:uid="{00000000-0005-0000-0000-0000BF4F0000}"/>
    <cellStyle name="Text Indent A" xfId="12413" xr:uid="{00000000-0005-0000-0000-0000C04F0000}"/>
    <cellStyle name="Text Indent B" xfId="12414" xr:uid="{00000000-0005-0000-0000-0000C14F0000}"/>
    <cellStyle name="Text Indent C" xfId="12415" xr:uid="{00000000-0005-0000-0000-0000C24F0000}"/>
    <cellStyle name="Text Wrap" xfId="12416" xr:uid="{00000000-0005-0000-0000-0000C34F0000}"/>
    <cellStyle name="TextBold" xfId="12417" xr:uid="{00000000-0005-0000-0000-0000C44F0000}"/>
    <cellStyle name="TextDys0" xfId="12418" xr:uid="{00000000-0005-0000-0000-0000C54F0000}"/>
    <cellStyle name="TextNormal" xfId="20303" xr:uid="{00000000-0005-0000-0000-0000C64F0000}"/>
    <cellStyle name="Title 2" xfId="20304" xr:uid="{00000000-0005-0000-0000-0000C74F0000}"/>
    <cellStyle name="Total 2" xfId="12419" xr:uid="{00000000-0005-0000-0000-0000C84F0000}"/>
    <cellStyle name="Warning Text 2" xfId="12420" xr:uid="{00000000-0005-0000-0000-0000C94F0000}"/>
  </cellStyles>
  <dxfs count="418">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ill>
        <patternFill>
          <bgColor rgb="FFFF0000"/>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font>
    </dxf>
    <dxf>
      <font>
        <color theme="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ill>
        <patternFill patternType="solid">
          <bgColor rgb="FFFFFF00"/>
        </patternFill>
      </fill>
    </dxf>
    <dxf>
      <fill>
        <patternFill patternType="solid">
          <bgColor rgb="FFFFFF00"/>
        </patternFill>
      </fill>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ont>
        <b/>
        <i val="0"/>
      </font>
    </dxf>
    <dxf>
      <font>
        <b/>
        <i val="0"/>
      </font>
    </dxf>
    <dxf>
      <font>
        <b/>
        <i val="0"/>
      </font>
    </dxf>
    <dxf>
      <fill>
        <patternFill patternType="solid">
          <bgColor rgb="FFFFFF00"/>
        </patternFill>
      </fill>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00FF"/>
      <color rgb="FF008000"/>
      <color rgb="FFEDEDED"/>
      <color rgb="FF009900"/>
      <color rgb="FF000000"/>
      <color rgb="FF808080"/>
      <color rgb="FFDCE6F1"/>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externalLink" Target="externalLinks/externalLink24.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externalLink" Target="externalLinks/externalLink19.xml"/><Relationship Id="rId16" Type="http://schemas.openxmlformats.org/officeDocument/2006/relationships/worksheet" Target="worksheets/sheet16.xml"/><Relationship Id="rId107" Type="http://schemas.openxmlformats.org/officeDocument/2006/relationships/externalLink" Target="externalLinks/externalLink14.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9.xml"/><Relationship Id="rId123" Type="http://schemas.openxmlformats.org/officeDocument/2006/relationships/externalLink" Target="externalLinks/externalLink30.xml"/><Relationship Id="rId128" Type="http://schemas.openxmlformats.org/officeDocument/2006/relationships/theme" Target="theme/theme1.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externalLink" Target="externalLinks/externalLink7.xml"/><Relationship Id="rId105" Type="http://schemas.openxmlformats.org/officeDocument/2006/relationships/externalLink" Target="externalLinks/externalLink12.xml"/><Relationship Id="rId113" Type="http://schemas.openxmlformats.org/officeDocument/2006/relationships/externalLink" Target="externalLinks/externalLink20.xml"/><Relationship Id="rId118" Type="http://schemas.openxmlformats.org/officeDocument/2006/relationships/externalLink" Target="externalLinks/externalLink25.xml"/><Relationship Id="rId126" Type="http://schemas.openxmlformats.org/officeDocument/2006/relationships/externalLink" Target="externalLinks/externalLink3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externalLink" Target="externalLinks/externalLink5.xml"/><Relationship Id="rId121" Type="http://schemas.openxmlformats.org/officeDocument/2006/relationships/externalLink" Target="externalLinks/externalLink2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externalLink" Target="externalLinks/externalLink10.xml"/><Relationship Id="rId108" Type="http://schemas.openxmlformats.org/officeDocument/2006/relationships/externalLink" Target="externalLinks/externalLink15.xml"/><Relationship Id="rId116" Type="http://schemas.openxmlformats.org/officeDocument/2006/relationships/externalLink" Target="externalLinks/externalLink23.xml"/><Relationship Id="rId124" Type="http://schemas.openxmlformats.org/officeDocument/2006/relationships/externalLink" Target="externalLinks/externalLink31.xml"/><Relationship Id="rId129"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externalLink" Target="externalLinks/externalLink3.xml"/><Relationship Id="rId111" Type="http://schemas.openxmlformats.org/officeDocument/2006/relationships/externalLink" Target="externalLinks/externalLink18.xml"/><Relationship Id="rId13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externalLink" Target="externalLinks/externalLink13.xml"/><Relationship Id="rId114" Type="http://schemas.openxmlformats.org/officeDocument/2006/relationships/externalLink" Target="externalLinks/externalLink21.xml"/><Relationship Id="rId119" Type="http://schemas.openxmlformats.org/officeDocument/2006/relationships/externalLink" Target="externalLinks/externalLink26.xml"/><Relationship Id="rId127" Type="http://schemas.openxmlformats.org/officeDocument/2006/relationships/externalLink" Target="externalLinks/externalLink34.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externalLink" Target="externalLinks/externalLink1.xml"/><Relationship Id="rId99" Type="http://schemas.openxmlformats.org/officeDocument/2006/relationships/externalLink" Target="externalLinks/externalLink6.xml"/><Relationship Id="rId101" Type="http://schemas.openxmlformats.org/officeDocument/2006/relationships/externalLink" Target="externalLinks/externalLink8.xml"/><Relationship Id="rId122" Type="http://schemas.openxmlformats.org/officeDocument/2006/relationships/externalLink" Target="externalLinks/externalLink29.xml"/><Relationship Id="rId13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6.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4.xml"/><Relationship Id="rId104" Type="http://schemas.openxmlformats.org/officeDocument/2006/relationships/externalLink" Target="externalLinks/externalLink11.xml"/><Relationship Id="rId120" Type="http://schemas.openxmlformats.org/officeDocument/2006/relationships/externalLink" Target="externalLinks/externalLink27.xml"/><Relationship Id="rId125" Type="http://schemas.openxmlformats.org/officeDocument/2006/relationships/externalLink" Target="externalLinks/externalLink32.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externalLink" Target="externalLinks/externalLink17.xml"/><Relationship Id="rId115" Type="http://schemas.openxmlformats.org/officeDocument/2006/relationships/externalLink" Target="externalLinks/externalLink22.xml"/><Relationship Id="rId131" Type="http://schemas.openxmlformats.org/officeDocument/2006/relationships/calcChain" Target="calcChain.xml"/><Relationship Id="rId61" Type="http://schemas.openxmlformats.org/officeDocument/2006/relationships/worksheet" Target="worksheets/sheet61.xml"/><Relationship Id="rId82" Type="http://schemas.openxmlformats.org/officeDocument/2006/relationships/worksheet" Target="worksheets/sheet8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7989848376394E-2"/>
          <c:y val="4.1270586790686251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D97-40E8-871E-C189FCF72A4F}"/>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D97-40E8-871E-C189FCF72A4F}"/>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D97-40E8-871E-C189FCF72A4F}"/>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D97-40E8-871E-C189FCF72A4F}"/>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D97-40E8-871E-C189FCF72A4F}"/>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D97-40E8-871E-C189FCF72A4F}"/>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D97-40E8-871E-C189FCF72A4F}"/>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F-2D97-40E8-871E-C189FCF72A4F}"/>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1-2D97-40E8-871E-C189FCF72A4F}"/>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13-2D97-40E8-871E-C189FCF72A4F}"/>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13-2D97-40E8-871E-C189FCF72A4F}"/>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('Cap Table'!$D$7:$H$7,'Cap Table'!$B$13)</c:f>
              <c:strCache>
                <c:ptCount val="6"/>
                <c:pt idx="0">
                  <c:v>Series Seed</c:v>
                </c:pt>
                <c:pt idx="1">
                  <c:v>Series Seed-1</c:v>
                </c:pt>
                <c:pt idx="2">
                  <c:v>Series A</c:v>
                </c:pt>
                <c:pt idx="3">
                  <c:v>Series B</c:v>
                </c:pt>
                <c:pt idx="4">
                  <c:v>Common</c:v>
                </c:pt>
                <c:pt idx="5">
                  <c:v>Options Outstanding </c:v>
                </c:pt>
              </c:strCache>
            </c:strRef>
          </c:cat>
          <c:val>
            <c:numRef>
              <c:f>('Cap Table'!$D$16:$H$16,'Cap Table'!$J$13)</c:f>
              <c:numCache>
                <c:formatCode>_(* #,##0.0_);_(* \(#,##0.0\);_(* "-"_);_(@_)</c:formatCode>
                <c:ptCount val="6"/>
                <c:pt idx="0">
                  <c:v>1010.456</c:v>
                </c:pt>
                <c:pt idx="1">
                  <c:v>1787.64</c:v>
                </c:pt>
                <c:pt idx="2">
                  <c:v>6120.1109999999999</c:v>
                </c:pt>
                <c:pt idx="3">
                  <c:v>5097.5659999999998</c:v>
                </c:pt>
                <c:pt idx="4">
                  <c:v>6958.7479999999996</c:v>
                </c:pt>
                <c:pt idx="5">
                  <c:v>1737.874</c:v>
                </c:pt>
              </c:numCache>
            </c:numRef>
          </c:val>
          <c:extLst>
            <c:ext xmlns:c16="http://schemas.microsoft.com/office/drawing/2014/chart" uri="{C3380CC4-5D6E-409C-BE32-E72D297353CC}">
              <c16:uniqueId val="{00000014-2D97-40E8-871E-C189FCF72A4F}"/>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Balance ($000's)</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lineChart>
        <c:grouping val="standard"/>
        <c:varyColors val="0"/>
        <c:ser>
          <c:idx val="0"/>
          <c:order val="0"/>
          <c:spPr>
            <a:ln w="22225" cap="rnd">
              <a:solidFill>
                <a:schemeClr val="accent1"/>
              </a:solidFill>
            </a:ln>
            <a:effectLst>
              <a:glow rad="139700">
                <a:schemeClr val="accent1">
                  <a:satMod val="175000"/>
                  <a:alpha val="14000"/>
                </a:schemeClr>
              </a:glow>
            </a:effectLst>
          </c:spPr>
          <c:marker>
            <c:symbol val="none"/>
          </c:marker>
          <c:cat>
            <c:multiLvlStrRef>
              <c:f>'Cash Burn'!$D$79:$AY$80</c:f>
              <c:multiLvlStrCache>
                <c:ptCount val="48"/>
                <c:lvl>
                  <c:pt idx="0">
                    <c:v>Jan</c:v>
                  </c:pt>
                  <c:pt idx="1">
                    <c:v>Feb</c:v>
                  </c:pt>
                  <c:pt idx="2">
                    <c:v>March</c:v>
                  </c:pt>
                  <c:pt idx="3">
                    <c:v>April</c:v>
                  </c:pt>
                  <c:pt idx="4">
                    <c:v>May</c:v>
                  </c:pt>
                  <c:pt idx="5">
                    <c:v>June</c:v>
                  </c:pt>
                  <c:pt idx="6">
                    <c:v>July</c:v>
                  </c:pt>
                  <c:pt idx="7">
                    <c:v>Aug</c:v>
                  </c:pt>
                  <c:pt idx="8">
                    <c:v>Sept</c:v>
                  </c:pt>
                  <c:pt idx="9">
                    <c:v>Oct</c:v>
                  </c:pt>
                  <c:pt idx="10">
                    <c:v>Nov</c:v>
                  </c:pt>
                  <c:pt idx="11">
                    <c:v>Dec</c:v>
                  </c:pt>
                  <c:pt idx="12">
                    <c:v>Jan</c:v>
                  </c:pt>
                  <c:pt idx="13">
                    <c:v>Feb</c:v>
                  </c:pt>
                  <c:pt idx="14">
                    <c:v>March</c:v>
                  </c:pt>
                  <c:pt idx="15">
                    <c:v>April</c:v>
                  </c:pt>
                  <c:pt idx="16">
                    <c:v>May</c:v>
                  </c:pt>
                  <c:pt idx="17">
                    <c:v>June</c:v>
                  </c:pt>
                  <c:pt idx="18">
                    <c:v>July</c:v>
                  </c:pt>
                  <c:pt idx="19">
                    <c:v>Aug</c:v>
                  </c:pt>
                  <c:pt idx="20">
                    <c:v>Sept</c:v>
                  </c:pt>
                  <c:pt idx="21">
                    <c:v>Oct</c:v>
                  </c:pt>
                  <c:pt idx="22">
                    <c:v>Nov</c:v>
                  </c:pt>
                  <c:pt idx="23">
                    <c:v>Dec</c:v>
                  </c:pt>
                  <c:pt idx="24">
                    <c:v>Jan</c:v>
                  </c:pt>
                  <c:pt idx="25">
                    <c:v>Feb</c:v>
                  </c:pt>
                  <c:pt idx="26">
                    <c:v>March</c:v>
                  </c:pt>
                  <c:pt idx="27">
                    <c:v>April</c:v>
                  </c:pt>
                  <c:pt idx="28">
                    <c:v>May</c:v>
                  </c:pt>
                  <c:pt idx="29">
                    <c:v>June</c:v>
                  </c:pt>
                  <c:pt idx="30">
                    <c:v>July</c:v>
                  </c:pt>
                  <c:pt idx="31">
                    <c:v>Aug</c:v>
                  </c:pt>
                  <c:pt idx="32">
                    <c:v>Sept</c:v>
                  </c:pt>
                  <c:pt idx="33">
                    <c:v>Oct</c:v>
                  </c:pt>
                  <c:pt idx="34">
                    <c:v>Nov</c:v>
                  </c:pt>
                  <c:pt idx="35">
                    <c:v>Dec</c:v>
                  </c:pt>
                  <c:pt idx="36">
                    <c:v>Jan</c:v>
                  </c:pt>
                  <c:pt idx="37">
                    <c:v>Feb</c:v>
                  </c:pt>
                  <c:pt idx="38">
                    <c:v>March</c:v>
                  </c:pt>
                  <c:pt idx="39">
                    <c:v>April</c:v>
                  </c:pt>
                  <c:pt idx="40">
                    <c:v>May</c:v>
                  </c:pt>
                  <c:pt idx="41">
                    <c:v>June</c:v>
                  </c:pt>
                  <c:pt idx="42">
                    <c:v>July</c:v>
                  </c:pt>
                  <c:pt idx="43">
                    <c:v>Aug</c:v>
                  </c:pt>
                  <c:pt idx="44">
                    <c:v>Sept</c:v>
                  </c:pt>
                  <c:pt idx="45">
                    <c:v>Oct</c:v>
                  </c:pt>
                  <c:pt idx="46">
                    <c:v>Nov</c:v>
                  </c:pt>
                  <c:pt idx="47">
                    <c:v>Dec</c:v>
                  </c:pt>
                </c:lvl>
                <c:lvl>
                  <c:pt idx="0">
                    <c:v>2018</c:v>
                  </c:pt>
                  <c:pt idx="12">
                    <c:v>2019</c:v>
                  </c:pt>
                  <c:pt idx="24">
                    <c:v>2020</c:v>
                  </c:pt>
                  <c:pt idx="36">
                    <c:v>2021</c:v>
                  </c:pt>
                </c:lvl>
              </c:multiLvlStrCache>
            </c:multiLvlStrRef>
          </c:cat>
          <c:val>
            <c:numRef>
              <c:f>'Cash Burn'!$D$81:$AY$81</c:f>
              <c:numCache>
                <c:formatCode>General</c:formatCode>
                <c:ptCount val="48"/>
                <c:pt idx="0">
                  <c:v>26568.865850000002</c:v>
                </c:pt>
                <c:pt idx="1">
                  <c:v>25050.308229999999</c:v>
                </c:pt>
                <c:pt idx="2">
                  <c:v>24261.385850000002</c:v>
                </c:pt>
                <c:pt idx="3">
                  <c:v>23612.678080000002</c:v>
                </c:pt>
                <c:pt idx="4">
                  <c:v>22488.679100000001</c:v>
                </c:pt>
                <c:pt idx="5">
                  <c:v>21572.440170000002</c:v>
                </c:pt>
                <c:pt idx="6">
                  <c:v>20670.756710000001</c:v>
                </c:pt>
                <c:pt idx="7">
                  <c:v>18932.273240000002</c:v>
                </c:pt>
                <c:pt idx="8">
                  <c:v>18130.615380000003</c:v>
                </c:pt>
                <c:pt idx="9">
                  <c:v>16739.838150000003</c:v>
                </c:pt>
                <c:pt idx="10">
                  <c:v>15392.171416966843</c:v>
                </c:pt>
                <c:pt idx="11">
                  <c:v>13636.309120085947</c:v>
                </c:pt>
                <c:pt idx="12">
                  <c:v>12086.864928602943</c:v>
                </c:pt>
                <c:pt idx="13">
                  <c:v>10383.155529087328</c:v>
                </c:pt>
                <c:pt idx="14">
                  <c:v>9341.1188645177699</c:v>
                </c:pt>
                <c:pt idx="15">
                  <c:v>8274.0465237074623</c:v>
                </c:pt>
                <c:pt idx="16">
                  <c:v>6913.4901017823331</c:v>
                </c:pt>
                <c:pt idx="17">
                  <c:v>6372.515664459328</c:v>
                </c:pt>
                <c:pt idx="18">
                  <c:v>5470.1868736275446</c:v>
                </c:pt>
                <c:pt idx="19">
                  <c:v>4684.0679664027666</c:v>
                </c:pt>
                <c:pt idx="20">
                  <c:v>3873.4342736670783</c:v>
                </c:pt>
                <c:pt idx="21">
                  <c:v>2675.2012484974416</c:v>
                </c:pt>
                <c:pt idx="22">
                  <c:v>1127.4799993721185</c:v>
                </c:pt>
                <c:pt idx="23">
                  <c:v>91.964099151010515</c:v>
                </c:pt>
                <c:pt idx="24">
                  <c:v>-1566.1428006567644</c:v>
                </c:pt>
                <c:pt idx="25">
                  <c:v>-3702.5158476867614</c:v>
                </c:pt>
                <c:pt idx="26">
                  <c:v>-4808.7866461056474</c:v>
                </c:pt>
                <c:pt idx="27">
                  <c:v>-6173.8970945245328</c:v>
                </c:pt>
                <c:pt idx="28">
                  <c:v>-8049.7840707211963</c:v>
                </c:pt>
                <c:pt idx="29">
                  <c:v>-9356.0340869178599</c:v>
                </c:pt>
                <c:pt idx="30">
                  <c:v>-10833.107513114524</c:v>
                </c:pt>
                <c:pt idx="31">
                  <c:v>-12450.233289311189</c:v>
                </c:pt>
                <c:pt idx="32">
                  <c:v>-13854.202592174519</c:v>
                </c:pt>
                <c:pt idx="33">
                  <c:v>-15416.148795037849</c:v>
                </c:pt>
                <c:pt idx="34">
                  <c:v>-17775.974797901181</c:v>
                </c:pt>
                <c:pt idx="35">
                  <c:v>-19006.777200764511</c:v>
                </c:pt>
                <c:pt idx="36">
                  <c:v>-20664.189815681275</c:v>
                </c:pt>
                <c:pt idx="37">
                  <c:v>-24238.188188931374</c:v>
                </c:pt>
                <c:pt idx="38">
                  <c:v>-26566.950441348137</c:v>
                </c:pt>
                <c:pt idx="39">
                  <c:v>-29261.286093764902</c:v>
                </c:pt>
                <c:pt idx="40">
                  <c:v>-31147.756746181662</c:v>
                </c:pt>
                <c:pt idx="41">
                  <c:v>-32305.185398598423</c:v>
                </c:pt>
                <c:pt idx="42">
                  <c:v>-33275.49305101519</c:v>
                </c:pt>
                <c:pt idx="43">
                  <c:v>-34180.713099265282</c:v>
                </c:pt>
                <c:pt idx="44">
                  <c:v>-35056.029014459826</c:v>
                </c:pt>
                <c:pt idx="45">
                  <c:v>-36222.278401876589</c:v>
                </c:pt>
                <c:pt idx="46">
                  <c:v>-37567.630367071128</c:v>
                </c:pt>
                <c:pt idx="47">
                  <c:v>-38419.575537821227</c:v>
                </c:pt>
              </c:numCache>
            </c:numRef>
          </c:val>
          <c:smooth val="0"/>
          <c:extLst>
            <c:ext xmlns:c16="http://schemas.microsoft.com/office/drawing/2014/chart" uri="{C3380CC4-5D6E-409C-BE32-E72D297353CC}">
              <c16:uniqueId val="{00000000-010B-4A69-897B-D72D47E07063}"/>
            </c:ext>
          </c:extLst>
        </c:ser>
        <c:dLbls>
          <c:showLegendKey val="0"/>
          <c:showVal val="0"/>
          <c:showCatName val="0"/>
          <c:showSerName val="0"/>
          <c:showPercent val="0"/>
          <c:showBubbleSize val="0"/>
        </c:dLbls>
        <c:smooth val="0"/>
        <c:axId val="416413616"/>
        <c:axId val="416411264"/>
      </c:lineChart>
      <c:catAx>
        <c:axId val="416413616"/>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11264"/>
        <c:crosses val="autoZero"/>
        <c:auto val="1"/>
        <c:lblAlgn val="ctr"/>
        <c:lblOffset val="100"/>
        <c:noMultiLvlLbl val="0"/>
      </c:catAx>
      <c:valAx>
        <c:axId val="416411264"/>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164136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3.xml.rels><?xml version="1.0" encoding="UTF-8" standalone="yes"?>
<Relationships xmlns="http://schemas.openxmlformats.org/package/2006/relationships"><Relationship Id="rId1" Type="http://schemas.openxmlformats.org/officeDocument/2006/relationships/image" Target="../media/image6.png"/></Relationships>
</file>

<file path=xl/drawings/_rels/drawing14.xml.rels><?xml version="1.0" encoding="UTF-8" standalone="yes"?>
<Relationships xmlns="http://schemas.openxmlformats.org/package/2006/relationships"><Relationship Id="rId1"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6.png"/></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0.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2638425</xdr:colOff>
      <xdr:row>26</xdr:row>
      <xdr:rowOff>142875</xdr:rowOff>
    </xdr:from>
    <xdr:to>
      <xdr:col>3</xdr:col>
      <xdr:colOff>5400675</xdr:colOff>
      <xdr:row>28</xdr:row>
      <xdr:rowOff>85725</xdr:rowOff>
    </xdr:to>
    <xdr:pic>
      <xdr:nvPicPr>
        <xdr:cNvPr id="3" name="Picture 6">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19550" y="5172075"/>
          <a:ext cx="276225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3019425</xdr:colOff>
      <xdr:row>28</xdr:row>
      <xdr:rowOff>161925</xdr:rowOff>
    </xdr:from>
    <xdr:to>
      <xdr:col>3</xdr:col>
      <xdr:colOff>5000625</xdr:colOff>
      <xdr:row>29</xdr:row>
      <xdr:rowOff>180975</xdr:rowOff>
    </xdr:to>
    <xdr:pic>
      <xdr:nvPicPr>
        <xdr:cNvPr id="5" name="Picture 8" descr="A close up of a logo&#10;&#10;Description generated with very high confidence">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00550" y="5667375"/>
          <a:ext cx="1981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2914649</xdr:colOff>
      <xdr:row>1</xdr:row>
      <xdr:rowOff>57149</xdr:rowOff>
    </xdr:from>
    <xdr:to>
      <xdr:col>3</xdr:col>
      <xdr:colOff>5604061</xdr:colOff>
      <xdr:row>6</xdr:row>
      <xdr:rowOff>66674</xdr:rowOff>
    </xdr:to>
    <xdr:pic>
      <xdr:nvPicPr>
        <xdr:cNvPr id="7" name="Picture 6" descr="https://image.pitchbook.com/mO6lD33DzB8JHQtsVBdOqnZe1jB1508499686445_200x200?uq=fk7c9efO">
          <a:extLst>
            <a:ext uri="{FF2B5EF4-FFF2-40B4-BE49-F238E27FC236}">
              <a16:creationId xmlns:a16="http://schemas.microsoft.com/office/drawing/2014/main" id="{4D415748-C74F-42CA-9343-B606A20D814C}"/>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251" t="34723" r="6944" b="35763"/>
        <a:stretch/>
      </xdr:blipFill>
      <xdr:spPr bwMode="auto">
        <a:xfrm>
          <a:off x="4295774" y="238124"/>
          <a:ext cx="2689412" cy="914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1771650</xdr:colOff>
      <xdr:row>25</xdr:row>
      <xdr:rowOff>104775</xdr:rowOff>
    </xdr:from>
    <xdr:to>
      <xdr:col>3</xdr:col>
      <xdr:colOff>4533900</xdr:colOff>
      <xdr:row>27</xdr:row>
      <xdr:rowOff>47625</xdr:rowOff>
    </xdr:to>
    <xdr:pic>
      <xdr:nvPicPr>
        <xdr:cNvPr id="2" name="Picture 6">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527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2057400</xdr:colOff>
      <xdr:row>28</xdr:row>
      <xdr:rowOff>9525</xdr:rowOff>
    </xdr:from>
    <xdr:to>
      <xdr:col>3</xdr:col>
      <xdr:colOff>4038600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385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1876425</xdr:colOff>
      <xdr:row>25</xdr:row>
      <xdr:rowOff>114300</xdr:rowOff>
    </xdr:from>
    <xdr:to>
      <xdr:col>3</xdr:col>
      <xdr:colOff>4638675</xdr:colOff>
      <xdr:row>27</xdr:row>
      <xdr:rowOff>57150</xdr:rowOff>
    </xdr:to>
    <xdr:pic>
      <xdr:nvPicPr>
        <xdr:cNvPr id="2" name="Picture 6">
          <a:extLst>
            <a:ext uri="{FF2B5EF4-FFF2-40B4-BE49-F238E27FC236}">
              <a16:creationId xmlns:a16="http://schemas.microsoft.com/office/drawing/2014/main" id="{00000000-0008-0000-0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86100" y="533400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2162175</xdr:colOff>
      <xdr:row>28</xdr:row>
      <xdr:rowOff>19050</xdr:rowOff>
    </xdr:from>
    <xdr:to>
      <xdr:col>3</xdr:col>
      <xdr:colOff>4143375</xdr:colOff>
      <xdr:row>28</xdr:row>
      <xdr:rowOff>228600</xdr:rowOff>
    </xdr:to>
    <xdr:pic>
      <xdr:nvPicPr>
        <xdr:cNvPr id="3" name="Picture 8" descr="A close up of a logo&#10;&#10;Description generated with very high confidence">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71850" y="591502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1657350</xdr:colOff>
      <xdr:row>25</xdr:row>
      <xdr:rowOff>104775</xdr:rowOff>
    </xdr:from>
    <xdr:to>
      <xdr:col>3</xdr:col>
      <xdr:colOff>4419600</xdr:colOff>
      <xdr:row>27</xdr:row>
      <xdr:rowOff>47625</xdr:rowOff>
    </xdr:to>
    <xdr:pic>
      <xdr:nvPicPr>
        <xdr:cNvPr id="2" name="Picture 6">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9525</xdr:rowOff>
    </xdr:from>
    <xdr:to>
      <xdr:col>3</xdr:col>
      <xdr:colOff>3924300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1809750</xdr:colOff>
      <xdr:row>25</xdr:row>
      <xdr:rowOff>104775</xdr:rowOff>
    </xdr:from>
    <xdr:to>
      <xdr:col>3</xdr:col>
      <xdr:colOff>4572000</xdr:colOff>
      <xdr:row>27</xdr:row>
      <xdr:rowOff>47625</xdr:rowOff>
    </xdr:to>
    <xdr:pic>
      <xdr:nvPicPr>
        <xdr:cNvPr id="2" name="Picture 6">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908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2095500</xdr:colOff>
      <xdr:row>28</xdr:row>
      <xdr:rowOff>9525</xdr:rowOff>
    </xdr:from>
    <xdr:to>
      <xdr:col>3</xdr:col>
      <xdr:colOff>4076700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766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1695450</xdr:colOff>
      <xdr:row>25</xdr:row>
      <xdr:rowOff>104775</xdr:rowOff>
    </xdr:from>
    <xdr:to>
      <xdr:col>3</xdr:col>
      <xdr:colOff>4457700</xdr:colOff>
      <xdr:row>27</xdr:row>
      <xdr:rowOff>47625</xdr:rowOff>
    </xdr:to>
    <xdr:pic>
      <xdr:nvPicPr>
        <xdr:cNvPr id="2" name="Picture 6">
          <a:extLst>
            <a:ext uri="{FF2B5EF4-FFF2-40B4-BE49-F238E27FC236}">
              <a16:creationId xmlns:a16="http://schemas.microsoft.com/office/drawing/2014/main" id="{00000000-0008-0000-1F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76575"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1981200</xdr:colOff>
      <xdr:row>28</xdr:row>
      <xdr:rowOff>9525</xdr:rowOff>
    </xdr:from>
    <xdr:to>
      <xdr:col>3</xdr:col>
      <xdr:colOff>3962400</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1F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62325"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1657350</xdr:colOff>
      <xdr:row>25</xdr:row>
      <xdr:rowOff>123825</xdr:rowOff>
    </xdr:from>
    <xdr:to>
      <xdr:col>3</xdr:col>
      <xdr:colOff>4419600</xdr:colOff>
      <xdr:row>27</xdr:row>
      <xdr:rowOff>66675</xdr:rowOff>
    </xdr:to>
    <xdr:pic>
      <xdr:nvPicPr>
        <xdr:cNvPr id="2" name="Picture 6">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38475" y="534352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1943100</xdr:colOff>
      <xdr:row>28</xdr:row>
      <xdr:rowOff>28575</xdr:rowOff>
    </xdr:from>
    <xdr:to>
      <xdr:col>3</xdr:col>
      <xdr:colOff>3924300</xdr:colOff>
      <xdr:row>29</xdr:row>
      <xdr:rowOff>0</xdr:rowOff>
    </xdr:to>
    <xdr:pic>
      <xdr:nvPicPr>
        <xdr:cNvPr id="3" name="Picture 8" descr="A close up of a logo&#10;&#10;Description generated with very high confidence">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592455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11</xdr:col>
      <xdr:colOff>314325</xdr:colOff>
      <xdr:row>6</xdr:row>
      <xdr:rowOff>9525</xdr:rowOff>
    </xdr:from>
    <xdr:to>
      <xdr:col>20</xdr:col>
      <xdr:colOff>177165</xdr:colOff>
      <xdr:row>20</xdr:row>
      <xdr:rowOff>91440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1743075</xdr:colOff>
      <xdr:row>25</xdr:row>
      <xdr:rowOff>104775</xdr:rowOff>
    </xdr:from>
    <xdr:to>
      <xdr:col>3</xdr:col>
      <xdr:colOff>4505325</xdr:colOff>
      <xdr:row>27</xdr:row>
      <xdr:rowOff>47625</xdr:rowOff>
    </xdr:to>
    <xdr:pic>
      <xdr:nvPicPr>
        <xdr:cNvPr id="2" name="Picture 6">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5324475"/>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2028825</xdr:colOff>
      <xdr:row>28</xdr:row>
      <xdr:rowOff>9525</xdr:rowOff>
    </xdr:from>
    <xdr:to>
      <xdr:col>3</xdr:col>
      <xdr:colOff>4010025</xdr:colOff>
      <xdr:row>28</xdr:row>
      <xdr:rowOff>219075</xdr:rowOff>
    </xdr:to>
    <xdr:pic>
      <xdr:nvPicPr>
        <xdr:cNvPr id="3" name="Picture 8" descr="A close up of a logo&#10;&#10;Description generated with very high confidence">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09950" y="5905500"/>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23</xdr:col>
      <xdr:colOff>47625</xdr:colOff>
      <xdr:row>49</xdr:row>
      <xdr:rowOff>228600</xdr:rowOff>
    </xdr:from>
    <xdr:to>
      <xdr:col>25</xdr:col>
      <xdr:colOff>314326</xdr:colOff>
      <xdr:row>56</xdr:row>
      <xdr:rowOff>66675</xdr:rowOff>
    </xdr:to>
    <xdr:pic>
      <xdr:nvPicPr>
        <xdr:cNvPr id="5" name="Picture 4">
          <a:extLst>
            <a:ext uri="{FF2B5EF4-FFF2-40B4-BE49-F238E27FC236}">
              <a16:creationId xmlns:a16="http://schemas.microsoft.com/office/drawing/2014/main"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3</xdr:col>
      <xdr:colOff>2019300</xdr:colOff>
      <xdr:row>23</xdr:row>
      <xdr:rowOff>104775</xdr:rowOff>
    </xdr:from>
    <xdr:to>
      <xdr:col>3</xdr:col>
      <xdr:colOff>4781550</xdr:colOff>
      <xdr:row>25</xdr:row>
      <xdr:rowOff>47625</xdr:rowOff>
    </xdr:to>
    <xdr:pic>
      <xdr:nvPicPr>
        <xdr:cNvPr id="3" name="Picture 6">
          <a:extLst>
            <a:ext uri="{FF2B5EF4-FFF2-40B4-BE49-F238E27FC236}">
              <a16:creationId xmlns:a16="http://schemas.microsoft.com/office/drawing/2014/main" id="{00000000-0008-0000-3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00425" y="5314950"/>
          <a:ext cx="2762250" cy="428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2305050</xdr:colOff>
      <xdr:row>26</xdr:row>
      <xdr:rowOff>9525</xdr:rowOff>
    </xdr:from>
    <xdr:to>
      <xdr:col>3</xdr:col>
      <xdr:colOff>4286250</xdr:colOff>
      <xdr:row>26</xdr:row>
      <xdr:rowOff>219075</xdr:rowOff>
    </xdr:to>
    <xdr:pic>
      <xdr:nvPicPr>
        <xdr:cNvPr id="4" name="Picture 8" descr="A close up of a logo&#10;&#10;Description generated with very high confidence">
          <a:extLst>
            <a:ext uri="{FF2B5EF4-FFF2-40B4-BE49-F238E27FC236}">
              <a16:creationId xmlns:a16="http://schemas.microsoft.com/office/drawing/2014/main" id="{00000000-0008-0000-36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6175" y="5895975"/>
          <a:ext cx="1981200"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1809750</xdr:colOff>
      <xdr:row>1</xdr:row>
      <xdr:rowOff>15875</xdr:rowOff>
    </xdr:from>
    <xdr:to>
      <xdr:col>3</xdr:col>
      <xdr:colOff>4499162</xdr:colOff>
      <xdr:row>6</xdr:row>
      <xdr:rowOff>80496</xdr:rowOff>
    </xdr:to>
    <xdr:pic>
      <xdr:nvPicPr>
        <xdr:cNvPr id="5" name="Picture 4" descr="https://image.pitchbook.com/mO6lD33DzB8JHQtsVBdOqnZe1jB1508499686445_200x200?uq=fk7c9efO">
          <a:extLst>
            <a:ext uri="{FF2B5EF4-FFF2-40B4-BE49-F238E27FC236}">
              <a16:creationId xmlns:a16="http://schemas.microsoft.com/office/drawing/2014/main" id="{E5B78CE3-3EB0-401C-8664-CFD88ACAC610}"/>
            </a:ext>
          </a:extLst>
        </xdr:cNvPr>
        <xdr:cNvPicPr>
          <a:picLocks noChangeAspect="1" noChangeArrowheads="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6251" t="34723" r="6944" b="35763"/>
        <a:stretch/>
      </xdr:blipFill>
      <xdr:spPr bwMode="auto">
        <a:xfrm>
          <a:off x="3190875" y="190500"/>
          <a:ext cx="2689412" cy="9377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3</xdr:col>
      <xdr:colOff>552450</xdr:colOff>
      <xdr:row>13</xdr:row>
      <xdr:rowOff>104774</xdr:rowOff>
    </xdr:from>
    <xdr:to>
      <xdr:col>16</xdr:col>
      <xdr:colOff>723900</xdr:colOff>
      <xdr:row>35</xdr:row>
      <xdr:rowOff>19049</xdr:rowOff>
    </xdr:to>
    <xdr:graphicFrame macro="">
      <xdr:nvGraphicFramePr>
        <xdr:cNvPr id="2" name="Chart 1">
          <a:extLst>
            <a:ext uri="{FF2B5EF4-FFF2-40B4-BE49-F238E27FC236}">
              <a16:creationId xmlns:a16="http://schemas.microsoft.com/office/drawing/2014/main" id="{CB8B4889-AD03-4472-932D-F1AEB897B5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1567834</xdr:colOff>
      <xdr:row>1</xdr:row>
      <xdr:rowOff>102247</xdr:rowOff>
    </xdr:to>
    <xdr:pic>
      <xdr:nvPicPr>
        <xdr:cNvPr id="2" name="그림 49">
          <a:extLst>
            <a:ext uri="{FF2B5EF4-FFF2-40B4-BE49-F238E27FC236}">
              <a16:creationId xmlns:a16="http://schemas.microsoft.com/office/drawing/2014/main" id="{81974737-1764-46C0-BFE4-08E15DE6FBC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567834" cy="29274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1567834</xdr:colOff>
      <xdr:row>1</xdr:row>
      <xdr:rowOff>102247</xdr:rowOff>
    </xdr:to>
    <xdr:pic>
      <xdr:nvPicPr>
        <xdr:cNvPr id="2" name="그림 49">
          <a:extLst>
            <a:ext uri="{FF2B5EF4-FFF2-40B4-BE49-F238E27FC236}">
              <a16:creationId xmlns:a16="http://schemas.microsoft.com/office/drawing/2014/main" id="{5D181AD3-9E44-4DBC-AE43-4975C61306E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567834" cy="29274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1567834</xdr:colOff>
      <xdr:row>1</xdr:row>
      <xdr:rowOff>102247</xdr:rowOff>
    </xdr:to>
    <xdr:pic>
      <xdr:nvPicPr>
        <xdr:cNvPr id="2" name="그림 49">
          <a:extLst>
            <a:ext uri="{FF2B5EF4-FFF2-40B4-BE49-F238E27FC236}">
              <a16:creationId xmlns:a16="http://schemas.microsoft.com/office/drawing/2014/main" id="{DB42AA0A-0C55-44A9-95D5-16F0A4EA8DE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567834" cy="29274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15</xdr:col>
      <xdr:colOff>0</xdr:colOff>
      <xdr:row>0</xdr:row>
      <xdr:rowOff>0</xdr:rowOff>
    </xdr:from>
    <xdr:ext cx="952500" cy="476250"/>
    <xdr:pic>
      <xdr:nvPicPr>
        <xdr:cNvPr id="2" name="Image 1" descr="Picture">
          <a:extLst>
            <a:ext uri="{FF2B5EF4-FFF2-40B4-BE49-F238E27FC236}">
              <a16:creationId xmlns:a16="http://schemas.microsoft.com/office/drawing/2014/main" id="{3923311C-DBCA-48A6-A5D1-564035C1BFBE}"/>
            </a:ext>
          </a:extLst>
        </xdr:cNvPr>
        <xdr:cNvPicPr/>
      </xdr:nvPicPr>
      <xdr:blipFill>
        <a:blip xmlns:r="http://schemas.openxmlformats.org/officeDocument/2006/relationships" r:embed="rId1" cstate="print"/>
        <a:stretch>
          <a:fillRect/>
        </a:stretch>
      </xdr:blipFill>
      <xdr:spPr>
        <a:xfrm>
          <a:off x="9144000" y="0"/>
          <a:ext cx="952500" cy="476250"/>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xdr:oneCellAnchor>
    <xdr:from>
      <xdr:col>17</xdr:col>
      <xdr:colOff>0</xdr:colOff>
      <xdr:row>0</xdr:row>
      <xdr:rowOff>0</xdr:rowOff>
    </xdr:from>
    <xdr:ext cx="952500" cy="476250"/>
    <xdr:pic>
      <xdr:nvPicPr>
        <xdr:cNvPr id="2" name="Image 1" descr="Picture">
          <a:extLst>
            <a:ext uri="{FF2B5EF4-FFF2-40B4-BE49-F238E27FC236}">
              <a16:creationId xmlns:a16="http://schemas.microsoft.com/office/drawing/2014/main" id="{6784041C-5E0B-4116-B5F3-120DEE0A4E87}"/>
            </a:ext>
          </a:extLst>
        </xdr:cNvPr>
        <xdr:cNvPicPr/>
      </xdr:nvPicPr>
      <xdr:blipFill>
        <a:blip xmlns:r="http://schemas.openxmlformats.org/officeDocument/2006/relationships" r:embed="rId1" cstate="print"/>
        <a:stretch>
          <a:fillRect/>
        </a:stretch>
      </xdr:blipFill>
      <xdr:spPr>
        <a:xfrm>
          <a:off x="10363200" y="0"/>
          <a:ext cx="952500" cy="476250"/>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oneCellAnchor>
    <xdr:from>
      <xdr:col>11</xdr:col>
      <xdr:colOff>0</xdr:colOff>
      <xdr:row>0</xdr:row>
      <xdr:rowOff>0</xdr:rowOff>
    </xdr:from>
    <xdr:ext cx="952500" cy="476250"/>
    <xdr:pic>
      <xdr:nvPicPr>
        <xdr:cNvPr id="2" name="Image 1" descr="Picture">
          <a:extLst>
            <a:ext uri="{FF2B5EF4-FFF2-40B4-BE49-F238E27FC236}">
              <a16:creationId xmlns:a16="http://schemas.microsoft.com/office/drawing/2014/main" id="{00C5B3C7-DD83-48A7-99E1-A6AC824AD658}"/>
            </a:ext>
          </a:extLst>
        </xdr:cNvPr>
        <xdr:cNvPicPr/>
      </xdr:nvPicPr>
      <xdr:blipFill>
        <a:blip xmlns:r="http://schemas.openxmlformats.org/officeDocument/2006/relationships" r:embed="rId1" cstate="print"/>
        <a:stretch>
          <a:fillRect/>
        </a:stretch>
      </xdr:blipFill>
      <xdr:spPr>
        <a:xfrm>
          <a:off x="6705600" y="0"/>
          <a:ext cx="952500" cy="476250"/>
        </a:xfrm>
        <a:prstGeom prst="rect">
          <a:avLst/>
        </a:prstGeom>
      </xdr:spPr>
    </xdr:pic>
    <xdr:clientData/>
  </xdr:oneCellAnchor>
</xdr:wsDr>
</file>

<file path=xl/drawings/drawing19.xml><?xml version="1.0" encoding="utf-8"?>
<xdr:wsDr xmlns:xdr="http://schemas.openxmlformats.org/drawingml/2006/spreadsheetDrawing" xmlns:a="http://schemas.openxmlformats.org/drawingml/2006/main">
  <xdr:oneCellAnchor>
    <xdr:from>
      <xdr:col>11</xdr:col>
      <xdr:colOff>0</xdr:colOff>
      <xdr:row>0</xdr:row>
      <xdr:rowOff>0</xdr:rowOff>
    </xdr:from>
    <xdr:ext cx="952500" cy="476250"/>
    <xdr:pic>
      <xdr:nvPicPr>
        <xdr:cNvPr id="2" name="Image 1" descr="Picture">
          <a:extLst>
            <a:ext uri="{FF2B5EF4-FFF2-40B4-BE49-F238E27FC236}">
              <a16:creationId xmlns:a16="http://schemas.microsoft.com/office/drawing/2014/main" id="{F02A1D1C-43BF-48DD-ACF0-13E846244E95}"/>
            </a:ext>
          </a:extLst>
        </xdr:cNvPr>
        <xdr:cNvPicPr/>
      </xdr:nvPicPr>
      <xdr:blipFill>
        <a:blip xmlns:r="http://schemas.openxmlformats.org/officeDocument/2006/relationships" r:embed="rId1" cstate="print"/>
        <a:stretch>
          <a:fillRect/>
        </a:stretch>
      </xdr:blipFill>
      <xdr:spPr>
        <a:xfrm>
          <a:off x="6705600" y="0"/>
          <a:ext cx="952500" cy="476250"/>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T:\Billy%20Feb-2004\Valuation\GIR%20Models\June%202004\De%20Vere%20for%20clients.xl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Scenarios%20for%20July%202016%20BOD%20mee"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TEMP\SWE%20Credit%20Rating%20Graph%206_28_00.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Caroline%20Model.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E:\Users\Sheri\Documents\PMV%20Pharma\2D_REPNew2.4.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E:\Users\Sheri\Desktop\Downloads\CAPRAPSCHED.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F:\2004%2005%20SCS%20UK%20management%20account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Valuation\RNA%20Advisors\Vivace%20Therapeutics\VD%2005.31.2016\4%20-%20Provided%20by%20Client\Previous%20Valuation\Vivace%20Therapeutics,%20Inc.%2003.31.15%20Final%20Exhibits%2006.12.15.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sa14\ComSHR\Valuation\RNA%20Advisors\Kiromic\409A%20VD%2005.31.2017\6%20-%20Analysis\Kiromic,%20Inc.%20IRC%20409a%20VD%2005.31.17%20Draft%20Exhibits%202017.08.02.xlsm"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biodesix.local\Finance\Finance\Planning%20Model\NEW-Data%20Room\1.%20Financial\1.1%20Financial%20Model\1.1%20Biodesix%20-%20Financial%20Model%20(03.30.17)%20RNA%20Advisors.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OLD_Trucode%20Gene%20Repair%20IRC%20409a%20VD%2010.31.18%20Draft%20Exhibits%202018.11.20.xlsm"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sa14\ComSHR\Projects\2012\Cascade_ESOP\Analysis\Cascade%20ESOP%20jan%2031%202012%20analysis%2003232012_working.xlsx"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sa14\ComSHR\Users\Chad%20i\Dropbox\1.%20Work\Projects\Veltona\MasterModel_10-01-2012_Gift_exhibits_03392013_working.xlsm"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sa14\ComSHR\Projects\2014\Recor_ASC%20350\Analysis\ReCor%20Medical%2012.31.13%20ASC%20350%20(working%20DRAFT).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a14\ComSHR\VPA\Certified%20Folder%20Display%20Services_Estate%20Tax\Analysis\Exhibits\Certified%20Folder%20Display%20Service,%20Inc.%20Estate_Tax%204-19-2013%20Draft_09172013.v4.xlsx"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sa14\ComSHR\Projects\2013\Innovative%20Interfaces_409a\Analysis\Innovative%20Interfaces%20ASC%20718%20-%20IRC%20409a_9.30.13_FINAL.xlsm"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sa14\ComSHR\Users\pagrawal\Desktop\Aduro%20409A%202014.09.30%20VD%20Exhibits%20DRAFT%202014.11.16.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G:\Users\pagrawal\Desktop\Aduro%20409A%202014.09.30%20VD%20Exhibits%20DRAFT%202014.11.16.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sa14\ComSHR\Users\John%20Hentrich\Desktop\TakeLessons%2001-31-2013_409a%20exhibits_02072013.xlsm"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Valuation\RNA%20Advisors\Expertus\6%20-%20Analysis\Expertus%20VD%2002.28.2015%20IP%20Valuation%2003.11.2015.xlsx"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PathMissing" Target="SUB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C:\Users\zk0hqca\AppData\Local\Microsoft\Windows\Temporary%20Internet%20Files\Content.Outlook\H0AK0FPT\Consol%20Report%20FY13-15_12032016.xlsx" TargetMode="External"/></Relationships>
</file>

<file path=xl/externalLinks/_rels/externalLink33.xml.rels><?xml version="1.0" encoding="UTF-8" standalone="yes"?>
<Relationships xmlns="http://schemas.openxmlformats.org/package/2006/relationships"><Relationship Id="rId1" Type="http://schemas.microsoft.com/office/2006/relationships/xlExternalLinkPath/xlPathMissing" Target="Worksheet%20in%20(C)%207150%20FAS%20123%20Calculation"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PathMissing" Target="Cflow11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er"/>
      <sheetName val="De Vere"/>
      <sheetName val="Sum-of-the-parts"/>
      <sheetName val="DCF"/>
      <sheetName val="Reg AC"/>
      <sheetName val="Disclosures"/>
    </sheetNames>
    <sheetDataSet>
      <sheetData sheetId="0"/>
      <sheetData sheetId="1" refreshError="1"/>
      <sheetData sheetId="2"/>
      <sheetData sheetId="3"/>
      <sheetData sheetId="4"/>
      <sheetData sheetId="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FINANCIALS"/>
      <sheetName val="CAPITAL"/>
      <sheetName val="Do not use"/>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Notes"/>
      <sheetName val="ImportHistory"/>
      <sheetName val="Data"/>
      <sheetName val="Cover"/>
      <sheetName val="Fin Perf "/>
      <sheetName val="SO Credit level 7 5 yr "/>
      <sheetName val="SO Credit level 7 10yr"/>
      <sheetName val="SO Credit level 7 20yr "/>
      <sheetName val="SO Credit level 8 5 yr"/>
      <sheetName val="SO Credit level 8 10yr"/>
      <sheetName val="SO Credit level 8 20yr"/>
      <sheetName val="Total Company ratio"/>
      <sheetName val="Total Company Income"/>
      <sheetName val="Total Comapny BS CF"/>
      <sheetName val="Total Comapny coverage ratio "/>
      <sheetName val="SO Credit level 4"/>
      <sheetName val="SO Credit level 5"/>
      <sheetName val="Regional Simple Averages"/>
      <sheetName val="ERPs by country"/>
      <sheetName val="FINANCIALS"/>
      <sheetName val="Discounted Cash Flow Model"/>
      <sheetName val="Main"/>
      <sheetName val="CSH"/>
      <sheetName val="Advanc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D Items &amp; Notes"/>
      <sheetName val="Input Sheet"/>
      <sheetName val="Financials"/>
      <sheetName val="Debt Schedules"/>
      <sheetName val="IRR &amp; Primary vs Secondary"/>
      <sheetName val="AVP"/>
      <sheetName val="Module1"/>
      <sheetName val="NEW FINANCIALS"/>
    </sheetNames>
    <sheetDataSet>
      <sheetData sheetId="0" refreshError="1"/>
      <sheetData sheetId="1" refreshError="1"/>
      <sheetData sheetId="2"/>
      <sheetData sheetId="3" refreshError="1"/>
      <sheetData sheetId="4"/>
      <sheetData sheetId="5" refreshError="1"/>
      <sheetData sheetId="6" refreshError="1"/>
      <sheetData sheetId="7"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
    </sheetNames>
    <sheetDataSet>
      <sheetData sheetId="0"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REE VARIABLES"/>
    </sheetNames>
    <sheetDataSet>
      <sheetData sheetId="0"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_CIQHiddenCacheSheet"/>
      <sheetName val="Cover Page"/>
      <sheetName val="TOC"/>
      <sheetName val="ValSum"/>
      <sheetName val="Allocation Methods --&gt;"/>
      <sheetName val="PWERM"/>
      <sheetName val="Prob. of Exit"/>
      <sheetName val="Tranche Calculation"/>
      <sheetName val="WACC PWERM"/>
      <sheetName val="Financials --&gt;"/>
      <sheetName val="Hist IS"/>
      <sheetName val="Hist BS"/>
      <sheetName val="Captable details--&gt;"/>
      <sheetName val="Cap"/>
      <sheetName val="EconRights"/>
      <sheetName val="Waterfall"/>
      <sheetName val="GPC Approach --&gt;"/>
      <sheetName val="Revenue &amp; EBITDA Analysis"/>
      <sheetName val="Comps Description"/>
      <sheetName val="GT Approach --&gt;"/>
      <sheetName val="Transaction Metrics"/>
      <sheetName val="Transaction Desc."/>
      <sheetName val="Supporting Schedules --&gt;"/>
      <sheetName val="IPO Data"/>
      <sheetName val="Not Used --&gt;"/>
      <sheetName val="OPM I"/>
      <sheetName val="OPM II"/>
      <sheetName val="DLOM"/>
      <sheetName val="AssetVol"/>
      <sheetName val="Equity Volatility "/>
      <sheetName val="rNPV Approach --&gt;"/>
      <sheetName val="rNPV"/>
      <sheetName val="Beta"/>
      <sheetName val="Kcapital"/>
      <sheetName val="rNPV Workings"/>
      <sheetName val="Kcapital VC Return"/>
      <sheetName val="Sheet1"/>
      <sheetName val="Equity Allocation"/>
      <sheetName val="PWERM_nEW"/>
      <sheetName val="Mandelbaum Factors"/>
      <sheetName val="Multiples Analysis"/>
      <sheetName val="Key Metrics"/>
      <sheetName val="Transaction Valuation"/>
      <sheetName val="PBC --&gt;"/>
      <sheetName val="Summary"/>
      <sheetName val="2007 Plan"/>
      <sheetName val="IPO Data (3)"/>
      <sheetName val="Future Financing"/>
      <sheetName val="Risk Free Rates"/>
      <sheetName val="Equity Volatility - old"/>
      <sheetName val="Workpaper --&gt; "/>
    </sheetNames>
    <sheetDataSet>
      <sheetData sheetId="0">
        <row r="1">
          <cell r="C1" t="str">
            <v>Vivace Therapeutics, Inc.</v>
          </cell>
        </row>
        <row r="2">
          <cell r="C2">
            <v>42094</v>
          </cell>
        </row>
        <row r="4">
          <cell r="C4" t="str">
            <v>Common Stock Valuation as of March 31, 2015</v>
          </cell>
        </row>
        <row r="14">
          <cell r="C14" t="str">
            <v>CY 2015</v>
          </cell>
        </row>
        <row r="15">
          <cell r="C15" t="str">
            <v>CY 2016</v>
          </cell>
        </row>
        <row r="16">
          <cell r="C16" t="str">
            <v>CY 2017</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eadcount"/>
      <sheetName val="Debt"/>
      <sheetName val="P&amp;V"/>
      <sheetName val="Summary"/>
      <sheetName val="Annual IS Expense Assumptions"/>
      <sheetName val="Revenue Assumptions and Summary"/>
      <sheetName val="Quarterly Income Statement"/>
      <sheetName val="Quarterly Balance Sheet"/>
      <sheetName val="Quarterly Cashflow Statement"/>
      <sheetName val="COGS Actual"/>
      <sheetName val="VeriStrat Revenue Forecast"/>
      <sheetName val="GeneStrat Revenue Forecast"/>
      <sheetName val="BDX010 Revenue Forecast"/>
      <sheetName val="ITx-Melanoma Revenue Forecast"/>
      <sheetName val="ITx-Lung Revenue Forecast"/>
      <sheetName val="Ovarian Revenue Forecast"/>
      <sheetName val="CDx Revenue Forecast"/>
      <sheetName val="Bus Dev Revenue"/>
      <sheetName val="License Royalty Income"/>
      <sheetName val="Selling Expenses"/>
      <sheetName val="Data export for P&amp;L"/>
      <sheetName val="VeriStrat_Sales_Model"/>
      <sheetName val="BDX010"/>
      <sheetName val="ImmunoDX-Melanoma"/>
      <sheetName val="ImmunoDX-Lung"/>
      <sheetName val="Ovarian"/>
      <sheetName val="CDX3"/>
      <sheetName val="CDX4"/>
      <sheetName val="CDX5"/>
      <sheetName val="CDX6"/>
      <sheetName val="SalesRepsAdded"/>
      <sheetName val="Lookup"/>
      <sheetName val="2 Monthly Expense Actuals"/>
    </sheetNames>
    <sheetDataSet>
      <sheetData sheetId="0" refreshError="1"/>
      <sheetData sheetId="1" refreshError="1"/>
      <sheetData sheetId="2" refreshError="1"/>
      <sheetData sheetId="3" refreshError="1"/>
      <sheetData sheetId="4" refreshError="1"/>
      <sheetData sheetId="5">
        <row r="24">
          <cell r="T24" t="str">
            <v>Sales Rep</v>
          </cell>
        </row>
        <row r="25">
          <cell r="T25" t="str">
            <v>Account Manager</v>
          </cell>
        </row>
      </sheetData>
      <sheetData sheetId="6"/>
      <sheetData sheetId="7"/>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ow r="2">
          <cell r="K2">
            <v>42552</v>
          </cell>
        </row>
        <row r="3">
          <cell r="K3">
            <v>42583</v>
          </cell>
        </row>
        <row r="4">
          <cell r="K4">
            <v>42614</v>
          </cell>
        </row>
        <row r="5">
          <cell r="K5">
            <v>42644</v>
          </cell>
        </row>
        <row r="6">
          <cell r="K6">
            <v>42675</v>
          </cell>
        </row>
        <row r="7">
          <cell r="K7">
            <v>42705</v>
          </cell>
        </row>
        <row r="8">
          <cell r="K8">
            <v>42736</v>
          </cell>
        </row>
        <row r="9">
          <cell r="K9">
            <v>42767</v>
          </cell>
        </row>
        <row r="10">
          <cell r="K10">
            <v>42795</v>
          </cell>
        </row>
        <row r="11">
          <cell r="K11">
            <v>42826</v>
          </cell>
        </row>
        <row r="12">
          <cell r="K12">
            <v>42856</v>
          </cell>
        </row>
        <row r="13">
          <cell r="K13">
            <v>42887</v>
          </cell>
        </row>
        <row r="14">
          <cell r="K14">
            <v>42917</v>
          </cell>
        </row>
        <row r="15">
          <cell r="K15">
            <v>42948</v>
          </cell>
        </row>
        <row r="16">
          <cell r="K16">
            <v>42979</v>
          </cell>
        </row>
        <row r="17">
          <cell r="K17">
            <v>43009</v>
          </cell>
        </row>
        <row r="18">
          <cell r="K18">
            <v>43040</v>
          </cell>
        </row>
        <row r="19">
          <cell r="K19">
            <v>43070</v>
          </cell>
        </row>
        <row r="20">
          <cell r="K20">
            <v>43101</v>
          </cell>
        </row>
        <row r="21">
          <cell r="K21">
            <v>43132</v>
          </cell>
        </row>
        <row r="22">
          <cell r="K22">
            <v>43160</v>
          </cell>
        </row>
        <row r="23">
          <cell r="K23">
            <v>43191</v>
          </cell>
        </row>
        <row r="24">
          <cell r="K24">
            <v>43221</v>
          </cell>
        </row>
        <row r="25">
          <cell r="K25">
            <v>43252</v>
          </cell>
        </row>
        <row r="26">
          <cell r="K26">
            <v>43282</v>
          </cell>
        </row>
        <row r="27">
          <cell r="K27">
            <v>43313</v>
          </cell>
        </row>
        <row r="28">
          <cell r="K28">
            <v>43344</v>
          </cell>
        </row>
        <row r="29">
          <cell r="K29">
            <v>43374</v>
          </cell>
        </row>
        <row r="30">
          <cell r="K30">
            <v>43405</v>
          </cell>
        </row>
        <row r="31">
          <cell r="K31">
            <v>43435</v>
          </cell>
        </row>
        <row r="32">
          <cell r="K32">
            <v>43466</v>
          </cell>
        </row>
        <row r="33">
          <cell r="K33">
            <v>43497</v>
          </cell>
        </row>
        <row r="34">
          <cell r="K34">
            <v>43525</v>
          </cell>
        </row>
        <row r="35">
          <cell r="K35">
            <v>43556</v>
          </cell>
        </row>
        <row r="36">
          <cell r="K36">
            <v>43586</v>
          </cell>
        </row>
        <row r="37">
          <cell r="K37">
            <v>43617</v>
          </cell>
        </row>
        <row r="38">
          <cell r="K38">
            <v>43647</v>
          </cell>
        </row>
        <row r="39">
          <cell r="K39">
            <v>43678</v>
          </cell>
        </row>
        <row r="40">
          <cell r="K40">
            <v>43709</v>
          </cell>
        </row>
        <row r="41">
          <cell r="K41">
            <v>43739</v>
          </cell>
        </row>
        <row r="42">
          <cell r="K42">
            <v>43770</v>
          </cell>
        </row>
        <row r="43">
          <cell r="K43">
            <v>43800</v>
          </cell>
        </row>
        <row r="44">
          <cell r="K44">
            <v>43831</v>
          </cell>
        </row>
        <row r="45">
          <cell r="K45">
            <v>43862</v>
          </cell>
        </row>
        <row r="46">
          <cell r="K46">
            <v>43891</v>
          </cell>
        </row>
        <row r="47">
          <cell r="K47">
            <v>43922</v>
          </cell>
        </row>
        <row r="48">
          <cell r="K48">
            <v>43952</v>
          </cell>
        </row>
        <row r="49">
          <cell r="K49">
            <v>43983</v>
          </cell>
        </row>
        <row r="50">
          <cell r="K50">
            <v>44013</v>
          </cell>
        </row>
        <row r="51">
          <cell r="K51">
            <v>44044</v>
          </cell>
        </row>
        <row r="52">
          <cell r="K52">
            <v>44075</v>
          </cell>
        </row>
        <row r="53">
          <cell r="K53">
            <v>44105</v>
          </cell>
        </row>
        <row r="54">
          <cell r="K54">
            <v>44136</v>
          </cell>
        </row>
        <row r="55">
          <cell r="K55">
            <v>44166</v>
          </cell>
        </row>
      </sheetData>
      <sheetData sheetId="32"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Change Log"/>
      <sheetName val="_CIQHiddenCacheSheet"/>
      <sheetName val="Notes &amp; Assumptions"/>
      <sheetName val="Checklist"/>
      <sheetName val="Exhibits--&gt;&gt;"/>
      <sheetName val="Title"/>
      <sheetName val="Outline"/>
      <sheetName val="Val Summ"/>
      <sheetName val="Allocation Method &gt;&gt;"/>
      <sheetName val="PWERM"/>
      <sheetName val="Exit Probability"/>
      <sheetName val="PoTS"/>
      <sheetName val="FS &gt;&gt;"/>
      <sheetName val="Forecast"/>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Econ Rights"/>
      <sheetName val="Support FP &gt;&gt;"/>
      <sheetName val="PWERM DLOM"/>
      <sheetName val="Asset Vol_IPO Phase Ib"/>
      <sheetName val="Asset Vol_IPO Phase II"/>
      <sheetName val="Asset Vol_M&amp;A Phase Ib"/>
      <sheetName val="Asset Vol_M&amp;A Phase II"/>
      <sheetName val="Equity Vol"/>
      <sheetName val="Risk-Free Rates"/>
      <sheetName val="Non-Diversification Risk"/>
      <sheetName val="IPO Data_BioPharma"/>
      <sheetName val="Licensing Deals"/>
      <sheetName val="IPO Data_Comparable"/>
      <sheetName val="Title_Workpapers &gt; &gt;"/>
      <sheetName val="Outline_Workpapers"/>
      <sheetName val="Hybrid OPM"/>
      <sheetName val="OPM 1_Hybrid"/>
      <sheetName val="OPM 2_Hybrid"/>
      <sheetName val="DLOM Hybrid"/>
      <sheetName val="Asset Vol_Hybrid"/>
      <sheetName val="Asset Vol_Hybrid OPM DLOM"/>
      <sheetName val="Risk-Free Rates_Hybrid"/>
      <sheetName val="Do Not Print &gt; &gt;"/>
      <sheetName val="Asset Vol_IPO Phase Ib DLOM"/>
      <sheetName val="Asset Vol_IPO Phase II DLOM"/>
      <sheetName val="Market Trends since Prior Val"/>
      <sheetName val="Comparative Sheet"/>
      <sheetName val="OPM Implied Series B"/>
      <sheetName val="OPM 1_Implied Series B"/>
      <sheetName val="OPM 2_Implied Series B"/>
      <sheetName val="DLOM_Implied Series B"/>
      <sheetName val="Asset Vol_Implied Series B"/>
      <sheetName val="Asset Vol_DLOM_Implied Series B"/>
      <sheetName val="Risk-Free Rates_OPM"/>
      <sheetName val="OPM 1 OIP"/>
      <sheetName val="OPM 2_OIP "/>
      <sheetName val="Full DLOM_OPM"/>
      <sheetName val="Asset Vol_OPM_OIP"/>
      <sheetName val="Asset Vol_DLOM"/>
      <sheetName val="IPO Waterfall"/>
      <sheetName val="PBC -&gt;&gt;&gt;"/>
      <sheetName val="Cash Burn"/>
      <sheetName val="Operating Income Statement"/>
      <sheetName val="SEC Income Statement"/>
      <sheetName val="Income Statement Sept"/>
      <sheetName val="Income Statement"/>
      <sheetName val="Balance Sheet September"/>
      <sheetName val="Balance Sheet"/>
      <sheetName val="Detailed Cap"/>
      <sheetName val="Options &amp; RSUs"/>
      <sheetName val="Certificates"/>
      <sheetName val="Vesting Details"/>
      <sheetName val="CAPIQ -&gt;&gt;&gt;"/>
      <sheetName val="Capital IQ Sheet-GPC"/>
      <sheetName val="Capital IQ Sheet-STM"/>
      <sheetName val="GPC Linked"/>
      <sheetName val="STM Linked"/>
      <sheetName val="&lt;DO NOT INCLUDE&gt;"/>
      <sheetName val="PWERM Waterfall n Allocation"/>
      <sheetName val="Incremental DLOM"/>
      <sheetName val="Asset Vol_PWERM"/>
      <sheetName val="Class Vol"/>
      <sheetName val="Incremental DLOM_OPM"/>
      <sheetName val="Class Vol_ OPM"/>
      <sheetName val="List Data"/>
      <sheetName val="Template Details"/>
      <sheetName val="OPM 1 Hybrid not to use"/>
      <sheetName val="OPM 2 Hybrid not to use"/>
      <sheetName val="Depreciation - MACRS"/>
      <sheetName val="WACC CAPM"/>
      <sheetName val="Beta Calc"/>
      <sheetName val="GCM SUMM"/>
      <sheetName val="Comp.2"/>
      <sheetName val="Comp.5"/>
      <sheetName val="GTM SUMM"/>
      <sheetName val="Asset Vol_IPO Late"/>
      <sheetName val="Asset Vol_M&amp;A Early"/>
      <sheetName val="Asset Vol_M&amp;A Late"/>
      <sheetName val="Control Premium Summary"/>
      <sheetName val="Comp.4"/>
      <sheetName val="DLOM Rest Stock"/>
      <sheetName val="Lack Voting"/>
      <sheetName val="IPO Data_Med Device"/>
      <sheetName val="IPO Data_Diagnosti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row r="66">
          <cell r="N66">
            <v>20974521</v>
          </cell>
        </row>
      </sheetData>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TBD"/>
      <sheetName val="Inputs"/>
      <sheetName val="Summary"/>
      <sheetName val="DCF"/>
      <sheetName val="Depr"/>
      <sheetName val="2011 Client TBU"/>
      <sheetName val="WorkingCapital"/>
      <sheetName val="GPC-EV"/>
      <sheetName val="Trx-EV"/>
      <sheetName val="BS"/>
      <sheetName val="BSCS"/>
      <sheetName val="IS"/>
      <sheetName val="ISCS"/>
      <sheetName val="Expense Detail"/>
      <sheetName val="S Election"/>
      <sheetName val="ctrl premium"/>
      <sheetName val="DLOM TBU"/>
      <sheetName val="WACC"/>
      <sheetName val="Beta TBU"/>
      <sheetName val="GPC-op mul"/>
      <sheetName val="GPC-BEV"/>
      <sheetName val="GPC-oper metrics"/>
      <sheetName val="GPC-oper margins"/>
      <sheetName val="GPC-Growth"/>
      <sheetName val="GPC-Ratios Margins"/>
      <sheetName val="GPC Desc"/>
      <sheetName val="SimTrans Filtered Data"/>
      <sheetName val="WP=&gt;"/>
      <sheetName val="Beta TBU_WK"/>
      <sheetName val="_CIQHiddenCacheSheet"/>
      <sheetName val="GPC-BEV_WK"/>
      <sheetName val="GPC-oper metrics_WK"/>
      <sheetName val="GPC Desc_WK"/>
      <sheetName val="GPC-Growth_WK"/>
      <sheetName val="GPC-Ratios Margins_WK"/>
      <sheetName val="SimTrans Filtered Data_WK"/>
      <sheetName val="beta calc"/>
      <sheetName val="H15b"/>
      <sheetName val="adjusted BEV to Rev"/>
      <sheetName val="adjusted BEV to EBITDA"/>
      <sheetName val="size adj calc"/>
      <sheetName val="h15"/>
      <sheetName val="regression"/>
      <sheetName val="trx regression"/>
      <sheetName val="client data&gt;"/>
      <sheetName val="Client Projections"/>
      <sheetName val="FMV Study&gt;"/>
      <sheetName val="Company data"/>
      <sheetName val="FMV Summary"/>
      <sheetName val="Output Tables"/>
      <sheetName val="Output Subjective Factors"/>
      <sheetName val="Data"/>
      <sheetName val="Sort by holding period"/>
      <sheetName val="Block size 1yr"/>
      <sheetName val="Block size 2yr"/>
      <sheetName val="Dollar Size of transaction"/>
      <sheetName val="Net Income"/>
      <sheetName val="MV of Equity"/>
      <sheetName val="Revenue"/>
      <sheetName val="Total Assets"/>
      <sheetName val="Registration Rights"/>
      <sheetName val="stop"/>
      <sheetName val="Cap"/>
      <sheetName val="Rankings"/>
      <sheetName val="Sales Seasonality by Month"/>
    </sheetNames>
    <sheetDataSet>
      <sheetData sheetId="0"/>
      <sheetData sheetId="1">
        <row r="5">
          <cell r="F5">
            <v>40939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ow r="8">
          <cell r="A8">
            <v>40907</v>
          </cell>
        </row>
        <row r="9">
          <cell r="A9">
            <v>40877</v>
          </cell>
        </row>
        <row r="10">
          <cell r="A10">
            <v>40847</v>
          </cell>
        </row>
        <row r="11">
          <cell r="A11">
            <v>40816</v>
          </cell>
        </row>
        <row r="12">
          <cell r="A12">
            <v>40786</v>
          </cell>
        </row>
        <row r="13">
          <cell r="A13">
            <v>40753</v>
          </cell>
        </row>
        <row r="14">
          <cell r="A14">
            <v>40724</v>
          </cell>
        </row>
        <row r="15">
          <cell r="A15">
            <v>40694</v>
          </cell>
        </row>
        <row r="16">
          <cell r="A16">
            <v>40662</v>
          </cell>
        </row>
        <row r="17">
          <cell r="A17">
            <v>40633</v>
          </cell>
        </row>
        <row r="18">
          <cell r="A18">
            <v>40602</v>
          </cell>
        </row>
        <row r="19">
          <cell r="A19">
            <v>40574</v>
          </cell>
        </row>
        <row r="20">
          <cell r="A20">
            <v>40543</v>
          </cell>
        </row>
        <row r="21">
          <cell r="A21">
            <v>40512</v>
          </cell>
        </row>
        <row r="22">
          <cell r="A22">
            <v>40480</v>
          </cell>
        </row>
        <row r="23">
          <cell r="A23">
            <v>40451</v>
          </cell>
        </row>
        <row r="24">
          <cell r="A24">
            <v>40421</v>
          </cell>
        </row>
        <row r="25">
          <cell r="A25">
            <v>40389</v>
          </cell>
        </row>
        <row r="26">
          <cell r="A26">
            <v>40359</v>
          </cell>
        </row>
        <row r="27">
          <cell r="A27">
            <v>40326</v>
          </cell>
        </row>
        <row r="28">
          <cell r="A28">
            <v>40298</v>
          </cell>
        </row>
        <row r="29">
          <cell r="A29">
            <v>40268</v>
          </cell>
        </row>
        <row r="30">
          <cell r="A30">
            <v>40235</v>
          </cell>
        </row>
        <row r="31">
          <cell r="A31">
            <v>40207</v>
          </cell>
        </row>
        <row r="32">
          <cell r="A32">
            <v>40178</v>
          </cell>
        </row>
        <row r="33">
          <cell r="A33">
            <v>40147</v>
          </cell>
        </row>
        <row r="34">
          <cell r="A34">
            <v>40116</v>
          </cell>
        </row>
        <row r="35">
          <cell r="A35">
            <v>40086</v>
          </cell>
        </row>
        <row r="36">
          <cell r="A36">
            <v>40056</v>
          </cell>
        </row>
        <row r="37">
          <cell r="A37">
            <v>40025</v>
          </cell>
        </row>
        <row r="38">
          <cell r="A38">
            <v>39994</v>
          </cell>
        </row>
        <row r="39">
          <cell r="A39">
            <v>39962</v>
          </cell>
        </row>
        <row r="40">
          <cell r="A40">
            <v>39933</v>
          </cell>
        </row>
        <row r="41">
          <cell r="A41">
            <v>39903</v>
          </cell>
        </row>
        <row r="42">
          <cell r="A42">
            <v>39871</v>
          </cell>
        </row>
        <row r="43">
          <cell r="A43">
            <v>39843</v>
          </cell>
        </row>
        <row r="44">
          <cell r="A44">
            <v>39813</v>
          </cell>
        </row>
        <row r="45">
          <cell r="A45">
            <v>39780</v>
          </cell>
        </row>
        <row r="46">
          <cell r="A46">
            <v>39752</v>
          </cell>
        </row>
        <row r="47">
          <cell r="A47">
            <v>39721</v>
          </cell>
        </row>
        <row r="48">
          <cell r="A48">
            <v>39689</v>
          </cell>
        </row>
        <row r="49">
          <cell r="A49">
            <v>39660</v>
          </cell>
        </row>
        <row r="50">
          <cell r="A50">
            <v>39629</v>
          </cell>
        </row>
        <row r="51">
          <cell r="A51">
            <v>39598</v>
          </cell>
        </row>
        <row r="52">
          <cell r="A52">
            <v>39568</v>
          </cell>
        </row>
        <row r="53">
          <cell r="A53">
            <v>39538</v>
          </cell>
        </row>
        <row r="54">
          <cell r="A54">
            <v>39507</v>
          </cell>
        </row>
        <row r="55">
          <cell r="A55">
            <v>39478</v>
          </cell>
        </row>
        <row r="56">
          <cell r="A56">
            <v>39447</v>
          </cell>
        </row>
        <row r="57">
          <cell r="A57">
            <v>39416</v>
          </cell>
        </row>
        <row r="58">
          <cell r="A58">
            <v>39386</v>
          </cell>
        </row>
        <row r="59">
          <cell r="A59">
            <v>39353</v>
          </cell>
        </row>
        <row r="60">
          <cell r="A60">
            <v>39325</v>
          </cell>
        </row>
        <row r="61">
          <cell r="A61">
            <v>39294</v>
          </cell>
        </row>
        <row r="62">
          <cell r="A62">
            <v>39262</v>
          </cell>
        </row>
        <row r="63">
          <cell r="A63">
            <v>39233</v>
          </cell>
        </row>
        <row r="64">
          <cell r="A64">
            <v>39202</v>
          </cell>
        </row>
        <row r="65">
          <cell r="A65">
            <v>39171</v>
          </cell>
        </row>
        <row r="66">
          <cell r="A66">
            <v>39141</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
      <sheetName val="Cover"/>
      <sheetName val="Page No.(B&amp;K)"/>
      <sheetName val="DLOM(FMV)"/>
      <sheetName val="Inputs_HoldCo"/>
      <sheetName val="trans fly (Veltona)"/>
      <sheetName val="Summary(old)"/>
      <sheetName val="Adj BS_HoldCo"/>
      <sheetName val="HoldCo BS"/>
      <sheetName val="HoldCo_DLOC"/>
      <sheetName val="HoldCo_DLOC_Subj"/>
      <sheetName val="DLOM"/>
      <sheetName val="Vol (5.0) yr"/>
      <sheetName val="Inputs_HoldCo (2)"/>
      <sheetName val="trans fly (HoldCo 2)"/>
      <sheetName val="Adj HoldCo (2)"/>
      <sheetName val="HoldCo (2) BS"/>
      <sheetName val="Inputs (B&amp;K)"/>
      <sheetName val="trans fly (B&amp;K)"/>
      <sheetName val="Reconciliation (B&amp;K)"/>
      <sheetName val="DCF"/>
      <sheetName val="DFNWC"/>
      <sheetName val="DFNWC_Mkt"/>
      <sheetName val="Dep"/>
      <sheetName val="Beta"/>
      <sheetName val="WACC"/>
      <sheetName val="Forecast"/>
      <sheetName val="GPC"/>
      <sheetName val="adjusted BEV to Rev"/>
      <sheetName val="adjusted BEV to EBITDA"/>
      <sheetName val="GPC-BEV"/>
      <sheetName val="GPC-oper metrics"/>
      <sheetName val="GPC-oper margins"/>
      <sheetName val="GPC-RevGrowth"/>
      <sheetName val="GPC-EBITDAGrowth"/>
      <sheetName val="size adj calc"/>
      <sheetName val="GPC - BS"/>
      <sheetName val="GPC - CapEx"/>
      <sheetName val="GPC Desc"/>
      <sheetName val="Trx"/>
      <sheetName val="trx_data"/>
      <sheetName val="Trx Desc"/>
      <sheetName val="BS"/>
      <sheetName val="BSCS"/>
      <sheetName val="IS"/>
      <sheetName val="ISCS"/>
      <sheetName val="DLOC"/>
      <sheetName val="DLOC_Subj"/>
      <sheetName val="Inputs (2)"/>
      <sheetName val="trans fly (Sefram)"/>
      <sheetName val="Reconciliation (SeFram)"/>
      <sheetName val="DCF (2)"/>
      <sheetName val="DFNWC (2)"/>
      <sheetName val="DFNWC_Mkt (2)"/>
      <sheetName val="Beta (2)"/>
      <sheetName val="WACC (2)"/>
      <sheetName val="Forecast (2new)"/>
      <sheetName val="Dep (2)"/>
      <sheetName val="GPC (2)"/>
      <sheetName val="adjusted BEV to Rev (2)"/>
      <sheetName val="adjusted BEV to EBITDA (2)"/>
      <sheetName val="GPC-BEV (2)"/>
      <sheetName val="GPC-oper metrics (2)"/>
      <sheetName val="GPC-oper margins (2)"/>
      <sheetName val="GPC-RevGrowth (2)"/>
      <sheetName val="GPC-EBITDAGrowth (2)"/>
      <sheetName val="size adj calc (2)"/>
      <sheetName val="GPC - BS (2)"/>
      <sheetName val="GPC - CapEx (2)"/>
      <sheetName val="GPC Desc (2)"/>
      <sheetName val="Trx (2)"/>
      <sheetName val="trx_data (2)"/>
      <sheetName val="Trx Desc (2)"/>
      <sheetName val="BS (2"/>
      <sheetName val="BSCS (2)"/>
      <sheetName val="IS (2)"/>
      <sheetName val="ISCS (2)"/>
      <sheetName val="DLOC (2)(old)"/>
      <sheetName val="DLOC_Subj (2)(old)"/>
      <sheetName val="Inputs (3)"/>
      <sheetName val="trans fly (CalTest)"/>
      <sheetName val="Reconciliation (Cal Test)"/>
      <sheetName val="DCF (3)"/>
      <sheetName val="DFNWC (3)"/>
      <sheetName val="DFNWC_Mkt (3)"/>
      <sheetName val="WACC (3)"/>
      <sheetName val="Beta (3)"/>
      <sheetName val="Forecast (3)"/>
      <sheetName val="GPC (3)"/>
      <sheetName val="adjusted BEV to Rev (3)"/>
      <sheetName val="adjusted BEV to EBITDA (3)"/>
      <sheetName val="GPC-BEV (3)"/>
      <sheetName val="GPC-oper metrics (3)"/>
      <sheetName val="GPC-oper margins (3)"/>
      <sheetName val="GPC-RevGrowth (3)"/>
      <sheetName val="GPC-EBITDAGrowth (3)"/>
      <sheetName val="size adj calc (3)"/>
      <sheetName val="GPC - BS (3)"/>
      <sheetName val="GPC - CapEx (3)"/>
      <sheetName val="GPC Desc (3)"/>
      <sheetName val="Trx (3)"/>
      <sheetName val="trx_data (3)"/>
      <sheetName val="Trx Desc (3)"/>
      <sheetName val="BS (3)"/>
      <sheetName val="BSCS (3)"/>
      <sheetName val="IS (3)"/>
      <sheetName val="DLOC (3)"/>
      <sheetName val="DLOC_Subj (3)(old)"/>
      <sheetName val="_CIQHiddenCacheSheet"/>
      <sheetName val="NOL (3)"/>
      <sheetName val="Inputs (4)"/>
      <sheetName val="trans fly (Lodestar)"/>
      <sheetName val="Reconciliation (Lodestar)"/>
      <sheetName val="DCF (4)"/>
      <sheetName val="DFNWC (4)"/>
      <sheetName val="DFNWC_Mkt (4)"/>
      <sheetName val="WACC (4new)"/>
      <sheetName val="Beta (4)"/>
      <sheetName val="Forecast (4new)"/>
      <sheetName val="GPC (4)"/>
      <sheetName val="adjusted BEV to Rev (4)"/>
      <sheetName val="adjusted BEV to EBITDA (4)"/>
      <sheetName val="GPC-BEV (4)"/>
      <sheetName val="GPC-oper metrics (4)"/>
      <sheetName val="GPC-oper margins (4)"/>
      <sheetName val="GPC-RevGrowth (4)"/>
      <sheetName val="GPC-EBITDAGrowth (4)"/>
      <sheetName val="size adj calc (4)"/>
      <sheetName val="GPC - BS (4)"/>
      <sheetName val="GPC - CapEx (4)"/>
      <sheetName val="GPC Desc (4)"/>
      <sheetName val="Trx (4)"/>
      <sheetName val="trx_data (4)"/>
      <sheetName val="Trx Desc (4)"/>
      <sheetName val="BS (4new)"/>
      <sheetName val="BSCS (4new)"/>
      <sheetName val="IS (4new)"/>
      <sheetName val="IS (4new) (2)"/>
      <sheetName val="DLOC (4)(old)"/>
      <sheetName val="DLOC_Subj (4)(old)"/>
      <sheetName val="Inputs (5)"/>
      <sheetName val="trans fly (B+K Taiwan)"/>
      <sheetName val="Reconciliation (B+K Taiwan)"/>
      <sheetName val="DCF (5)"/>
      <sheetName val="DFNWC (5)"/>
      <sheetName val="DFNWC_Mkt (5)"/>
      <sheetName val="Dep (5)"/>
      <sheetName val="Beta (5)"/>
      <sheetName val="WACC (5)new)"/>
      <sheetName val="Forecast (5)"/>
      <sheetName val="GPC (5)"/>
      <sheetName val="adjusted BEV to Rev (5)"/>
      <sheetName val="adjusted BEV to EBITDA (5)"/>
      <sheetName val="GPC-BEV (5)"/>
      <sheetName val="GPC-oper metrics (5)"/>
      <sheetName val="GPC-oper margins (5)"/>
      <sheetName val="GPC-RevGrowth (5)"/>
      <sheetName val="GPC-EBITDAGrowth (5)"/>
      <sheetName val="size adj calc (5)"/>
      <sheetName val="GPC - BS (5)"/>
      <sheetName val="GPC - CapEx (5)"/>
      <sheetName val="GPC Desc (5)"/>
      <sheetName val="Trx (5)"/>
      <sheetName val="trx_data (5)"/>
      <sheetName val="Trx Desc (5)"/>
      <sheetName val="BS (5new)"/>
      <sheetName val="BSCS (5new)"/>
      <sheetName val="IS (5new)"/>
      <sheetName val="IS (5new) (2)"/>
      <sheetName val="DLOC (5)(old)"/>
      <sheetName val="DLOC_Subj (5)(old)"/>
      <sheetName val="WP&gt;&gt;&gt;"/>
      <sheetName val="TWD Gov Bond"/>
      <sheetName val="BETA calc"/>
      <sheetName val="volc calc"/>
      <sheetName val="Treasuries"/>
      <sheetName val="GPC-op mul_WkPaper"/>
      <sheetName val="CtrlPremiumSupplement"/>
      <sheetName val="To Be Deleted_Not Using&gt;&gt;&gt;&gt;"/>
      <sheetName val="DLOM(PS)"/>
      <sheetName val="DCF(Exit)(old)"/>
      <sheetName val="DCF(GG)_Extended"/>
      <sheetName val="WACC (5)(old)"/>
    </sheetNames>
    <sheetDataSet>
      <sheetData sheetId="0" refreshError="1"/>
      <sheetData sheetId="1" refreshError="1"/>
      <sheetData sheetId="2">
        <row r="29">
          <cell r="G29" t="str">
            <v>Exhibit</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6">
          <cell r="L6">
            <v>3</v>
          </cell>
        </row>
      </sheetData>
      <sheetData sheetId="13" refreshError="1"/>
      <sheetData sheetId="14" refreshError="1"/>
      <sheetData sheetId="15" refreshError="1"/>
      <sheetData sheetId="16" refreshError="1"/>
      <sheetData sheetId="17">
        <row r="3">
          <cell r="F3" t="str">
            <v>B&amp;K Precision Corp.</v>
          </cell>
        </row>
        <row r="28">
          <cell r="K28" t="str">
            <v>AMEX:API</v>
          </cell>
        </row>
        <row r="29">
          <cell r="K29" t="str">
            <v>NYSE:ARX</v>
          </cell>
        </row>
        <row r="30">
          <cell r="K30" t="str">
            <v>NYSE:CTS</v>
          </cell>
        </row>
        <row r="31">
          <cell r="K31" t="str">
            <v>NYSE:ESE</v>
          </cell>
        </row>
        <row r="32">
          <cell r="K32" t="str">
            <v>NasdaqCM:LUNA</v>
          </cell>
        </row>
        <row r="33">
          <cell r="K33" t="str">
            <v>NasdaqGS:MEAS</v>
          </cell>
        </row>
        <row r="34">
          <cell r="K34" t="str">
            <v>NasdaqCM:SMIT</v>
          </cell>
        </row>
        <row r="35">
          <cell r="K35" t="str">
            <v>NYSE:SCX</v>
          </cell>
        </row>
        <row r="36">
          <cell r="K36" t="str">
            <v>AMEX:WGA</v>
          </cell>
        </row>
        <row r="37">
          <cell r="K37" t="str">
            <v>AMEX:WTT</v>
          </cell>
        </row>
      </sheetData>
      <sheetData sheetId="18" refreshError="1"/>
      <sheetData sheetId="19" refreshError="1"/>
      <sheetData sheetId="20" refreshError="1"/>
      <sheetData sheetId="21" refreshError="1"/>
      <sheetData sheetId="22" refreshError="1"/>
      <sheetData sheetId="23" refreshError="1"/>
      <sheetData sheetId="24">
        <row r="56">
          <cell r="R56">
            <v>0</v>
          </cell>
        </row>
      </sheetData>
      <sheetData sheetId="25" refreshError="1"/>
      <sheetData sheetId="26" refreshError="1"/>
      <sheetData sheetId="27">
        <row r="10">
          <cell r="H10">
            <v>12784966</v>
          </cell>
        </row>
      </sheetData>
      <sheetData sheetId="28" refreshError="1"/>
      <sheetData sheetId="29" refreshError="1"/>
      <sheetData sheetId="30">
        <row r="1">
          <cell r="R1" t="str">
            <v>Exhibit 3, Page 4</v>
          </cell>
        </row>
      </sheetData>
      <sheetData sheetId="31">
        <row r="1">
          <cell r="L1" t="str">
            <v>Exhibit 3, Page 5</v>
          </cell>
        </row>
      </sheetData>
      <sheetData sheetId="32" refreshError="1"/>
      <sheetData sheetId="33" refreshError="1"/>
      <sheetData sheetId="34" refreshError="1"/>
      <sheetData sheetId="35">
        <row r="50">
          <cell r="AA50">
            <v>15484.94</v>
          </cell>
        </row>
      </sheetData>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ow r="1">
          <cell r="J1" t="str">
            <v>Exhibit 7, Page 1</v>
          </cell>
        </row>
      </sheetData>
      <sheetData sheetId="45" refreshError="1"/>
      <sheetData sheetId="46" refreshError="1"/>
      <sheetData sheetId="47" refreshError="1"/>
      <sheetData sheetId="48">
        <row r="12">
          <cell r="F12" t="str">
            <v>(Values as presented)</v>
          </cell>
        </row>
        <row r="28">
          <cell r="K28" t="str">
            <v>AMEX:API</v>
          </cell>
        </row>
        <row r="29">
          <cell r="K29" t="str">
            <v>NYSE:ARX</v>
          </cell>
        </row>
        <row r="30">
          <cell r="K30" t="str">
            <v>NYSE:CTS</v>
          </cell>
        </row>
        <row r="31">
          <cell r="K31" t="str">
            <v>NYSE:ESE</v>
          </cell>
        </row>
        <row r="32">
          <cell r="K32" t="str">
            <v>NasdaqCM:LUNA</v>
          </cell>
        </row>
        <row r="33">
          <cell r="K33" t="str">
            <v>NasdaqGS:MEAS</v>
          </cell>
        </row>
        <row r="34">
          <cell r="K34" t="str">
            <v>NasdaqCM:SMIT</v>
          </cell>
        </row>
        <row r="35">
          <cell r="K35" t="str">
            <v>NYSE:SCX</v>
          </cell>
        </row>
        <row r="36">
          <cell r="K36" t="str">
            <v>AMEX:WGA</v>
          </cell>
        </row>
        <row r="37">
          <cell r="K37" t="str">
            <v>AMEX:WTT</v>
          </cell>
        </row>
      </sheetData>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ow r="28">
          <cell r="K28" t="str">
            <v>AMEX:API</v>
          </cell>
        </row>
        <row r="29">
          <cell r="K29" t="str">
            <v>NYSE:ARX</v>
          </cell>
        </row>
        <row r="30">
          <cell r="K30" t="str">
            <v>NYSE:CTS</v>
          </cell>
        </row>
        <row r="31">
          <cell r="K31" t="str">
            <v>NYSE:ESE</v>
          </cell>
        </row>
        <row r="32">
          <cell r="K32" t="str">
            <v>NasdaqCM:LUNA</v>
          </cell>
        </row>
        <row r="33">
          <cell r="K33" t="str">
            <v>NasdaqGS:MEAS</v>
          </cell>
        </row>
        <row r="34">
          <cell r="K34" t="str">
            <v>NasdaqCM:SMIT</v>
          </cell>
        </row>
        <row r="35">
          <cell r="K35" t="str">
            <v>NYSE:SCX</v>
          </cell>
        </row>
        <row r="36">
          <cell r="K36" t="str">
            <v>AMEX:WGA</v>
          </cell>
        </row>
        <row r="37">
          <cell r="K37" t="str">
            <v>AMEX:WTT</v>
          </cell>
        </row>
      </sheetData>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ow r="28">
          <cell r="K28" t="str">
            <v>AMEX:API</v>
          </cell>
        </row>
        <row r="29">
          <cell r="K29" t="str">
            <v>NYSE:ARX</v>
          </cell>
        </row>
        <row r="30">
          <cell r="K30" t="str">
            <v>NYSE:CTS</v>
          </cell>
        </row>
        <row r="31">
          <cell r="K31" t="str">
            <v>NYSE:ESE</v>
          </cell>
        </row>
        <row r="32">
          <cell r="K32" t="str">
            <v>NasdaqCM:LUNA</v>
          </cell>
        </row>
        <row r="33">
          <cell r="K33" t="str">
            <v>NasdaqGS:MEAS</v>
          </cell>
        </row>
        <row r="34">
          <cell r="K34" t="str">
            <v>NasdaqCM:SMIT</v>
          </cell>
        </row>
        <row r="35">
          <cell r="K35" t="str">
            <v>NYSE:SCX</v>
          </cell>
        </row>
        <row r="36">
          <cell r="K36" t="str">
            <v>AMEX:WGA</v>
          </cell>
        </row>
        <row r="37">
          <cell r="K37" t="str">
            <v>AMEX:WTT</v>
          </cell>
        </row>
      </sheetData>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ow r="12">
          <cell r="F12" t="str">
            <v>(Values as presented)</v>
          </cell>
        </row>
        <row r="28">
          <cell r="K28" t="str">
            <v>AMEX:API</v>
          </cell>
        </row>
        <row r="29">
          <cell r="K29" t="str">
            <v>NYSE:ARX</v>
          </cell>
        </row>
        <row r="30">
          <cell r="K30" t="str">
            <v>NYSE:CTS</v>
          </cell>
        </row>
        <row r="31">
          <cell r="K31" t="str">
            <v>NYSE:ESE</v>
          </cell>
        </row>
        <row r="32">
          <cell r="K32" t="str">
            <v>NasdaqCM:LUNA</v>
          </cell>
        </row>
        <row r="33">
          <cell r="K33" t="str">
            <v>NasdaqGS:MEAS</v>
          </cell>
        </row>
        <row r="34">
          <cell r="K34" t="str">
            <v>NasdaqCM:SMIT</v>
          </cell>
        </row>
        <row r="35">
          <cell r="K35" t="str">
            <v>NYSE:SCX</v>
          </cell>
        </row>
        <row r="36">
          <cell r="K36" t="str">
            <v>AMEX:WGA</v>
          </cell>
        </row>
        <row r="37">
          <cell r="K37" t="str">
            <v>AMEX:WTT</v>
          </cell>
        </row>
      </sheetData>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ow r="7">
          <cell r="B7">
            <v>41183</v>
          </cell>
        </row>
      </sheetData>
      <sheetData sheetId="175"/>
      <sheetData sheetId="176">
        <row r="22">
          <cell r="F22">
            <v>0</v>
          </cell>
        </row>
      </sheetData>
      <sheetData sheetId="177">
        <row r="9">
          <cell r="Q9" t="str">
            <v>IQTR138485233</v>
          </cell>
        </row>
        <row r="10">
          <cell r="Q10" t="str">
            <v>IQTR128313244</v>
          </cell>
        </row>
        <row r="11">
          <cell r="Q11" t="str">
            <v>IQTR118417930</v>
          </cell>
        </row>
        <row r="12">
          <cell r="Q12" t="str">
            <v>IQTR118229513</v>
          </cell>
        </row>
        <row r="13">
          <cell r="Q13" t="str">
            <v>IQTR116248512</v>
          </cell>
        </row>
        <row r="14">
          <cell r="Q14" t="str">
            <v>IQTR115024220</v>
          </cell>
        </row>
        <row r="15">
          <cell r="Q15" t="str">
            <v>IQTR113907843</v>
          </cell>
        </row>
        <row r="16">
          <cell r="Q16" t="str">
            <v>IQTR113060964</v>
          </cell>
        </row>
        <row r="17">
          <cell r="Q17" t="str">
            <v>IQTR111529236</v>
          </cell>
        </row>
        <row r="18">
          <cell r="Q18" t="str">
            <v>IQTR104717652</v>
          </cell>
        </row>
        <row r="19">
          <cell r="Q19" t="str">
            <v>IQTR81598106</v>
          </cell>
        </row>
        <row r="20">
          <cell r="Q20" t="str">
            <v>IQTR47489018</v>
          </cell>
        </row>
        <row r="21">
          <cell r="Q21" t="str">
            <v>IQTR39745685</v>
          </cell>
        </row>
        <row r="22">
          <cell r="Q22" t="str">
            <v>IQTR38613594</v>
          </cell>
        </row>
        <row r="23">
          <cell r="Q23" t="str">
            <v>IQTR38576352</v>
          </cell>
        </row>
        <row r="24">
          <cell r="Q24" t="str">
            <v>IQTR37993055</v>
          </cell>
        </row>
        <row r="25">
          <cell r="Q25" t="str">
            <v>IQTR35131731</v>
          </cell>
        </row>
      </sheetData>
      <sheetData sheetId="178" refreshError="1"/>
      <sheetData sheetId="179" refreshError="1"/>
      <sheetData sheetId="180" refreshError="1"/>
      <sheetData sheetId="181" refreshError="1"/>
      <sheetData sheetId="182"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meline"/>
      <sheetName val="Inputs"/>
      <sheetName val="EXHIBITS &gt;&gt;"/>
      <sheetName val="Cover Sheet"/>
      <sheetName val="TOC"/>
      <sheetName val="Step1"/>
      <sheetName val="Reconcile"/>
      <sheetName val="DCF (Exit X)"/>
      <sheetName val="DFNWC"/>
      <sheetName val="discount rate"/>
      <sheetName val="REV MULTIPLE"/>
      <sheetName val="Backsolve"/>
      <sheetName val="OPM_Summary (BS)"/>
      <sheetName val="OPM_Summary notes (BS)"/>
      <sheetName val="Breakpoints (BS)"/>
      <sheetName val="CapPrivate"/>
      <sheetName val="LiqCalc"/>
      <sheetName val="_CIQHiddenCacheSheet"/>
      <sheetName val="VS_Return on IC"/>
      <sheetName val="M&amp;A data"/>
      <sheetName val="IPO data"/>
      <sheetName val="BS"/>
      <sheetName val="IS"/>
      <sheetName val="Stay Private Volatility"/>
      <sheetName val="GPC_BEV"/>
      <sheetName val="GPC_Metrics"/>
      <sheetName val="GPC_Margins"/>
      <sheetName val="GPC_WC"/>
      <sheetName val="GPC_D&amp;A"/>
      <sheetName val="GPC_CAPEX"/>
      <sheetName val="GPC_BETA"/>
      <sheetName val="GPC_SIZEADJ"/>
      <sheetName val="GPC Desc"/>
      <sheetName val="NOL"/>
      <sheetName val="WORKPAPERS &gt;&gt;"/>
      <sheetName val="EBITDA MULTIPLE"/>
      <sheetName val="mgmt fc"/>
      <sheetName val="Vol. Calc"/>
      <sheetName val="Rates Interp"/>
      <sheetName val="Rec Controlling"/>
      <sheetName val="DCF (GG)"/>
      <sheetName val="Depreciation"/>
      <sheetName val="VC Summary"/>
      <sheetName val="DLOM_Volatility"/>
      <sheetName val="Investment"/>
      <sheetName val="control premium"/>
      <sheetName val="CLIENT DATA&gt;&gt;&gt;"/>
      <sheetName val="BS Dec31"/>
      <sheetName val="IS 2013"/>
      <sheetName val="BS Dec4"/>
      <sheetName val="IS Dec12-Nov13"/>
      <sheetName val="PBC - Summary Cap Table"/>
      <sheetName val="PBC - options report"/>
      <sheetName val="DFNWC forecast"/>
      <sheetName val="Summary Cap Table (2)"/>
      <sheetName val="Detail Cap Table (2)"/>
      <sheetName val="Stock Transaction Ledger (2)"/>
      <sheetName val="Options-Detail (2)"/>
      <sheetName val="Warrants (2)"/>
      <sheetName val="NOT USED &gt;&gt;"/>
      <sheetName val="Summary"/>
      <sheetName val="DLOM"/>
      <sheetName val="CapSummary"/>
      <sheetName val="PWERM1"/>
      <sheetName val="PWERM 1 Notes"/>
      <sheetName val="PWERM 2"/>
      <sheetName val="Proceeds"/>
      <sheetName val="IPO Volatility"/>
      <sheetName val="Backsolve sum"/>
      <sheetName val="OPM_Summary"/>
      <sheetName val="OPM_Summary notes"/>
      <sheetName val="Breakpoints"/>
      <sheetName val="OPM_Volatility"/>
      <sheetName val="Warrant Volatility"/>
      <sheetName val="GPC Metrics"/>
      <sheetName val="VC Rates"/>
      <sheetName val="Implied OPM Vol."/>
      <sheetName val="VC Rates (Biotech)"/>
      <sheetName val="VS-summary"/>
      <sheetName val="VS-data"/>
      <sheetName val="Cap-Outstanding"/>
      <sheetName val="WACC"/>
      <sheetName val="Beta"/>
      <sheetName val="control premium data"/>
      <sheetName val="CtrlPremiumSupplement"/>
      <sheetName val="Inputs (2)"/>
      <sheetName val="Inputs (3)"/>
      <sheetName val="Inputs (4)"/>
      <sheetName val="Inputs (5)"/>
      <sheetName val="Inputs (B&amp;K)"/>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XHIBITS &gt;&gt;"/>
      <sheetName val="Cover Sheet"/>
      <sheetName val="Summary"/>
      <sheetName val="_CIQHiddenCacheSheet"/>
      <sheetName val="Total Equity"/>
      <sheetName val="CapEarn_ChancMethod"/>
      <sheetName val="Cap_Treharne1"/>
      <sheetName val="Cap_Treharne2"/>
      <sheetName val="Normalized IS"/>
      <sheetName val="DFNWC"/>
      <sheetName val="Personal Tax Rate"/>
      <sheetName val="TRX"/>
      <sheetName val="TRX_Data (Pratts)"/>
      <sheetName val="Consolidated BS"/>
      <sheetName val="Consolidated IS"/>
      <sheetName val="WACC"/>
      <sheetName val="Deferred Revenue"/>
      <sheetName val="GPC - CTMM"/>
      <sheetName val="BS-u.s."/>
      <sheetName val="IS-u.s."/>
      <sheetName val="BS-canada"/>
      <sheetName val="IS-canada"/>
      <sheetName val="CapEarn_C-Corp"/>
      <sheetName val="WORKPAPERS &gt;&gt;"/>
      <sheetName val="IS consolidation worksheet"/>
      <sheetName val="Pratts_Data"/>
      <sheetName val="VIX"/>
      <sheetName val="Vol. Calc"/>
      <sheetName val="Rates Interp"/>
      <sheetName val="CLIENT_DATA &gt;&gt;"/>
      <sheetName val="client_Consolidating_12-31-12"/>
      <sheetName val="client_cons_BS 4-19"/>
      <sheetName val="client_IS_3-31"/>
      <sheetName val="client_BS_3-31"/>
      <sheetName val="client_BS-canada_3-31"/>
      <sheetName val="client_IS-canada_3-31"/>
      <sheetName val="NOT USED &gt;&gt;"/>
      <sheetName val="Ctrl Premium Data"/>
      <sheetName val="NOL"/>
      <sheetName val="DLOM"/>
      <sheetName val="Volatility"/>
      <sheetName val="GPC"/>
      <sheetName val="adj. BEV - Rev"/>
      <sheetName val="adj. BEV-EBITDA"/>
      <sheetName val="Size Adj"/>
      <sheetName val="1. GPC - BEV"/>
      <sheetName val="2. GPC - oper metrics"/>
      <sheetName val="3. GPC - oper margin"/>
      <sheetName val="4. GPC - RevGrowth"/>
      <sheetName val="5. GPC-EBITDAGrowth"/>
      <sheetName val="6. GPC-capex"/>
      <sheetName val="7. GPC-BS"/>
      <sheetName val="8. GPC WC"/>
      <sheetName val="9. GPC Desc"/>
      <sheetName val="GPC WkPapers&gt;&gt;&gt;"/>
      <sheetName val="GPC_Selection Analysis"/>
      <sheetName val="Valuation Multiples"/>
      <sheetName val="Market Changes"/>
      <sheetName val="Comp #1"/>
      <sheetName val="Comp #2"/>
      <sheetName val="Comp #3"/>
      <sheetName val="Comp #4"/>
      <sheetName val="Comp #5"/>
      <sheetName val="Comp #6"/>
      <sheetName val="Comp #7"/>
      <sheetName val="Comp #8"/>
      <sheetName val="Comp #9"/>
      <sheetName val="Comp #10"/>
      <sheetName val="Comp #11"/>
      <sheetName val="Comp #12"/>
      <sheetName val="Comp #13"/>
      <sheetName val="Comp #14"/>
      <sheetName val="Comp #15"/>
      <sheetName val="Beta"/>
      <sheetName val="Trx_Data"/>
      <sheetName val="Trx_Desc"/>
      <sheetName val="ctrl premium"/>
      <sheetName val="Cost Approach - Adj. BS"/>
      <sheetName val="DLOM - FMV"/>
    </sheetNames>
    <sheetDataSet>
      <sheetData sheetId="0">
        <row r="35">
          <cell r="I35" t="str">
            <v>(User access restricted)</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ow r="10">
          <cell r="B10">
            <v>41383</v>
          </cell>
        </row>
        <row r="11">
          <cell r="B11">
            <v>41382</v>
          </cell>
        </row>
        <row r="12">
          <cell r="B12">
            <v>41381</v>
          </cell>
        </row>
        <row r="13">
          <cell r="B13">
            <v>41380</v>
          </cell>
        </row>
        <row r="14">
          <cell r="B14">
            <v>41379</v>
          </cell>
        </row>
        <row r="15">
          <cell r="B15">
            <v>41376</v>
          </cell>
        </row>
        <row r="16">
          <cell r="B16">
            <v>41375</v>
          </cell>
        </row>
        <row r="17">
          <cell r="B17">
            <v>41374</v>
          </cell>
        </row>
        <row r="18">
          <cell r="B18">
            <v>41373</v>
          </cell>
        </row>
        <row r="19">
          <cell r="B19">
            <v>41372</v>
          </cell>
        </row>
        <row r="20">
          <cell r="B20">
            <v>41369</v>
          </cell>
        </row>
        <row r="21">
          <cell r="B21">
            <v>41368</v>
          </cell>
        </row>
        <row r="22">
          <cell r="B22">
            <v>41367</v>
          </cell>
        </row>
        <row r="23">
          <cell r="B23">
            <v>41366</v>
          </cell>
        </row>
        <row r="24">
          <cell r="B24">
            <v>41365</v>
          </cell>
        </row>
        <row r="25">
          <cell r="B25">
            <v>41361</v>
          </cell>
        </row>
        <row r="26">
          <cell r="B26">
            <v>41360</v>
          </cell>
        </row>
        <row r="27">
          <cell r="B27">
            <v>41359</v>
          </cell>
        </row>
        <row r="28">
          <cell r="B28">
            <v>41358</v>
          </cell>
        </row>
        <row r="29">
          <cell r="B29">
            <v>41355</v>
          </cell>
        </row>
        <row r="30">
          <cell r="B30">
            <v>41354</v>
          </cell>
        </row>
        <row r="31">
          <cell r="B31">
            <v>41353</v>
          </cell>
        </row>
        <row r="32">
          <cell r="B32">
            <v>41352</v>
          </cell>
        </row>
        <row r="33">
          <cell r="B33">
            <v>41351</v>
          </cell>
        </row>
        <row r="34">
          <cell r="B34">
            <v>41348</v>
          </cell>
        </row>
        <row r="35">
          <cell r="B35">
            <v>41347</v>
          </cell>
        </row>
        <row r="36">
          <cell r="B36">
            <v>41346</v>
          </cell>
        </row>
        <row r="37">
          <cell r="B37">
            <v>41345</v>
          </cell>
        </row>
        <row r="38">
          <cell r="B38">
            <v>41344</v>
          </cell>
        </row>
        <row r="39">
          <cell r="B39">
            <v>41341</v>
          </cell>
        </row>
        <row r="40">
          <cell r="B40">
            <v>41340</v>
          </cell>
        </row>
        <row r="41">
          <cell r="B41">
            <v>41339</v>
          </cell>
        </row>
        <row r="42">
          <cell r="B42">
            <v>41338</v>
          </cell>
        </row>
        <row r="43">
          <cell r="B43">
            <v>41337</v>
          </cell>
        </row>
        <row r="44">
          <cell r="B44">
            <v>41334</v>
          </cell>
        </row>
        <row r="45">
          <cell r="B45">
            <v>41333</v>
          </cell>
        </row>
        <row r="46">
          <cell r="B46">
            <v>41332</v>
          </cell>
        </row>
        <row r="47">
          <cell r="B47">
            <v>41331</v>
          </cell>
        </row>
        <row r="48">
          <cell r="B48">
            <v>41330</v>
          </cell>
        </row>
        <row r="49">
          <cell r="B49">
            <v>41327</v>
          </cell>
        </row>
        <row r="50">
          <cell r="B50">
            <v>41326</v>
          </cell>
        </row>
        <row r="51">
          <cell r="B51">
            <v>41325</v>
          </cell>
        </row>
        <row r="52">
          <cell r="B52">
            <v>41324</v>
          </cell>
        </row>
        <row r="53">
          <cell r="B53">
            <v>41320</v>
          </cell>
        </row>
        <row r="54">
          <cell r="B54">
            <v>41319</v>
          </cell>
        </row>
        <row r="55">
          <cell r="B55">
            <v>41318</v>
          </cell>
        </row>
        <row r="56">
          <cell r="B56">
            <v>41317</v>
          </cell>
        </row>
        <row r="57">
          <cell r="B57">
            <v>41316</v>
          </cell>
        </row>
        <row r="58">
          <cell r="B58">
            <v>41313</v>
          </cell>
        </row>
        <row r="59">
          <cell r="B59">
            <v>41312</v>
          </cell>
        </row>
        <row r="60">
          <cell r="B60">
            <v>41311</v>
          </cell>
        </row>
        <row r="61">
          <cell r="B61">
            <v>41310</v>
          </cell>
        </row>
        <row r="62">
          <cell r="B62">
            <v>41309</v>
          </cell>
        </row>
        <row r="63">
          <cell r="B63">
            <v>41306</v>
          </cell>
        </row>
        <row r="64">
          <cell r="B64">
            <v>41305</v>
          </cell>
        </row>
        <row r="65">
          <cell r="B65">
            <v>41304</v>
          </cell>
        </row>
        <row r="66">
          <cell r="B66">
            <v>41303</v>
          </cell>
        </row>
        <row r="67">
          <cell r="B67">
            <v>41302</v>
          </cell>
        </row>
        <row r="68">
          <cell r="B68">
            <v>41299</v>
          </cell>
        </row>
        <row r="69">
          <cell r="B69">
            <v>41298</v>
          </cell>
        </row>
        <row r="70">
          <cell r="B70">
            <v>41297</v>
          </cell>
        </row>
        <row r="71">
          <cell r="B71">
            <v>41296</v>
          </cell>
        </row>
        <row r="72">
          <cell r="B72">
            <v>41292</v>
          </cell>
        </row>
        <row r="73">
          <cell r="B73">
            <v>41291</v>
          </cell>
        </row>
        <row r="74">
          <cell r="B74">
            <v>41290</v>
          </cell>
        </row>
        <row r="75">
          <cell r="B75">
            <v>41289</v>
          </cell>
        </row>
        <row r="76">
          <cell r="B76">
            <v>41288</v>
          </cell>
        </row>
        <row r="77">
          <cell r="B77">
            <v>41285</v>
          </cell>
        </row>
        <row r="78">
          <cell r="B78">
            <v>41284</v>
          </cell>
        </row>
        <row r="79">
          <cell r="B79">
            <v>41283</v>
          </cell>
        </row>
        <row r="80">
          <cell r="B80">
            <v>41282</v>
          </cell>
        </row>
        <row r="81">
          <cell r="B81">
            <v>41281</v>
          </cell>
        </row>
        <row r="82">
          <cell r="B82">
            <v>41278</v>
          </cell>
        </row>
        <row r="83">
          <cell r="B83">
            <v>41277</v>
          </cell>
        </row>
        <row r="84">
          <cell r="B84">
            <v>41276</v>
          </cell>
        </row>
        <row r="85">
          <cell r="B85">
            <v>41274</v>
          </cell>
        </row>
        <row r="86">
          <cell r="B86">
            <v>41271</v>
          </cell>
        </row>
        <row r="87">
          <cell r="B87">
            <v>41270</v>
          </cell>
        </row>
        <row r="88">
          <cell r="B88">
            <v>41269</v>
          </cell>
        </row>
        <row r="89">
          <cell r="B89">
            <v>41267</v>
          </cell>
        </row>
        <row r="90">
          <cell r="B90">
            <v>41264</v>
          </cell>
        </row>
        <row r="91">
          <cell r="B91">
            <v>41263</v>
          </cell>
        </row>
        <row r="92">
          <cell r="B92">
            <v>41262</v>
          </cell>
        </row>
        <row r="93">
          <cell r="B93">
            <v>41261</v>
          </cell>
        </row>
        <row r="94">
          <cell r="B94">
            <v>41260</v>
          </cell>
        </row>
        <row r="95">
          <cell r="B95">
            <v>41257</v>
          </cell>
        </row>
        <row r="96">
          <cell r="B96">
            <v>41256</v>
          </cell>
        </row>
        <row r="97">
          <cell r="B97">
            <v>41255</v>
          </cell>
        </row>
        <row r="98">
          <cell r="B98">
            <v>41254</v>
          </cell>
        </row>
        <row r="99">
          <cell r="B99">
            <v>41253</v>
          </cell>
        </row>
        <row r="100">
          <cell r="B100">
            <v>41250</v>
          </cell>
        </row>
        <row r="101">
          <cell r="B101">
            <v>41249</v>
          </cell>
        </row>
        <row r="102">
          <cell r="B102">
            <v>41248</v>
          </cell>
        </row>
        <row r="103">
          <cell r="B103">
            <v>41247</v>
          </cell>
        </row>
        <row r="104">
          <cell r="B104">
            <v>41246</v>
          </cell>
        </row>
        <row r="105">
          <cell r="B105">
            <v>41243</v>
          </cell>
        </row>
        <row r="106">
          <cell r="B106">
            <v>41242</v>
          </cell>
        </row>
        <row r="107">
          <cell r="B107">
            <v>41241</v>
          </cell>
        </row>
        <row r="108">
          <cell r="B108">
            <v>41240</v>
          </cell>
        </row>
        <row r="109">
          <cell r="B109">
            <v>41239</v>
          </cell>
        </row>
        <row r="110">
          <cell r="B110">
            <v>41236</v>
          </cell>
        </row>
        <row r="111">
          <cell r="B111">
            <v>41234</v>
          </cell>
        </row>
        <row r="112">
          <cell r="B112">
            <v>41233</v>
          </cell>
        </row>
        <row r="113">
          <cell r="B113">
            <v>41232</v>
          </cell>
        </row>
        <row r="114">
          <cell r="B114">
            <v>41229</v>
          </cell>
        </row>
        <row r="115">
          <cell r="B115">
            <v>41228</v>
          </cell>
        </row>
        <row r="116">
          <cell r="B116">
            <v>41227</v>
          </cell>
        </row>
        <row r="117">
          <cell r="B117">
            <v>41226</v>
          </cell>
        </row>
        <row r="118">
          <cell r="B118">
            <v>41225</v>
          </cell>
        </row>
        <row r="119">
          <cell r="B119">
            <v>41222</v>
          </cell>
        </row>
        <row r="120">
          <cell r="B120">
            <v>41221</v>
          </cell>
        </row>
        <row r="121">
          <cell r="B121">
            <v>41220</v>
          </cell>
        </row>
        <row r="122">
          <cell r="B122">
            <v>41219</v>
          </cell>
        </row>
        <row r="123">
          <cell r="B123">
            <v>41218</v>
          </cell>
        </row>
        <row r="124">
          <cell r="B124">
            <v>41215</v>
          </cell>
        </row>
        <row r="125">
          <cell r="B125">
            <v>41214</v>
          </cell>
        </row>
        <row r="126">
          <cell r="B126">
            <v>41213</v>
          </cell>
        </row>
        <row r="127">
          <cell r="B127">
            <v>41208</v>
          </cell>
        </row>
        <row r="128">
          <cell r="B128">
            <v>41207</v>
          </cell>
        </row>
        <row r="129">
          <cell r="B129">
            <v>41206</v>
          </cell>
        </row>
        <row r="130">
          <cell r="B130">
            <v>41205</v>
          </cell>
        </row>
        <row r="131">
          <cell r="B131">
            <v>41204</v>
          </cell>
        </row>
        <row r="132">
          <cell r="B132">
            <v>41201</v>
          </cell>
        </row>
        <row r="133">
          <cell r="B133">
            <v>41200</v>
          </cell>
        </row>
        <row r="134">
          <cell r="B134">
            <v>41199</v>
          </cell>
        </row>
        <row r="135">
          <cell r="B135">
            <v>41198</v>
          </cell>
        </row>
        <row r="136">
          <cell r="B136">
            <v>41197</v>
          </cell>
        </row>
        <row r="137">
          <cell r="B137">
            <v>41194</v>
          </cell>
        </row>
        <row r="138">
          <cell r="B138">
            <v>41193</v>
          </cell>
        </row>
        <row r="139">
          <cell r="B139">
            <v>41192</v>
          </cell>
        </row>
        <row r="140">
          <cell r="B140">
            <v>41191</v>
          </cell>
        </row>
        <row r="141">
          <cell r="B141">
            <v>41190</v>
          </cell>
        </row>
        <row r="142">
          <cell r="B142">
            <v>41187</v>
          </cell>
        </row>
        <row r="143">
          <cell r="B143">
            <v>41186</v>
          </cell>
        </row>
        <row r="144">
          <cell r="B144">
            <v>41185</v>
          </cell>
        </row>
        <row r="145">
          <cell r="B145">
            <v>41184</v>
          </cell>
        </row>
        <row r="146">
          <cell r="B146">
            <v>41183</v>
          </cell>
        </row>
        <row r="147">
          <cell r="B147">
            <v>41180</v>
          </cell>
        </row>
        <row r="148">
          <cell r="B148">
            <v>41179</v>
          </cell>
        </row>
        <row r="149">
          <cell r="B149">
            <v>41178</v>
          </cell>
        </row>
        <row r="150">
          <cell r="B150">
            <v>41177</v>
          </cell>
        </row>
        <row r="151">
          <cell r="B151">
            <v>41176</v>
          </cell>
        </row>
        <row r="152">
          <cell r="B152">
            <v>41173</v>
          </cell>
        </row>
        <row r="153">
          <cell r="B153">
            <v>41172</v>
          </cell>
        </row>
        <row r="154">
          <cell r="B154">
            <v>41171</v>
          </cell>
        </row>
        <row r="155">
          <cell r="B155">
            <v>41170</v>
          </cell>
        </row>
        <row r="156">
          <cell r="B156">
            <v>41169</v>
          </cell>
        </row>
        <row r="157">
          <cell r="B157">
            <v>41166</v>
          </cell>
        </row>
        <row r="158">
          <cell r="B158">
            <v>41165</v>
          </cell>
        </row>
        <row r="159">
          <cell r="B159">
            <v>41164</v>
          </cell>
        </row>
        <row r="160">
          <cell r="B160">
            <v>41163</v>
          </cell>
        </row>
        <row r="161">
          <cell r="B161">
            <v>41162</v>
          </cell>
        </row>
        <row r="162">
          <cell r="B162">
            <v>41159</v>
          </cell>
        </row>
        <row r="163">
          <cell r="B163">
            <v>41158</v>
          </cell>
        </row>
        <row r="164">
          <cell r="B164">
            <v>41157</v>
          </cell>
        </row>
        <row r="165">
          <cell r="B165">
            <v>41156</v>
          </cell>
        </row>
        <row r="166">
          <cell r="B166">
            <v>41152</v>
          </cell>
        </row>
        <row r="167">
          <cell r="B167">
            <v>41151</v>
          </cell>
        </row>
        <row r="168">
          <cell r="B168">
            <v>41150</v>
          </cell>
        </row>
        <row r="169">
          <cell r="B169">
            <v>41149</v>
          </cell>
        </row>
        <row r="170">
          <cell r="B170">
            <v>41148</v>
          </cell>
        </row>
        <row r="171">
          <cell r="B171">
            <v>41145</v>
          </cell>
        </row>
        <row r="172">
          <cell r="B172">
            <v>41144</v>
          </cell>
        </row>
        <row r="173">
          <cell r="B173">
            <v>41143</v>
          </cell>
        </row>
        <row r="174">
          <cell r="B174">
            <v>41142</v>
          </cell>
        </row>
        <row r="175">
          <cell r="B175">
            <v>41141</v>
          </cell>
        </row>
        <row r="176">
          <cell r="B176">
            <v>41138</v>
          </cell>
        </row>
        <row r="177">
          <cell r="B177">
            <v>41137</v>
          </cell>
        </row>
        <row r="178">
          <cell r="B178">
            <v>41136</v>
          </cell>
        </row>
        <row r="179">
          <cell r="B179">
            <v>41135</v>
          </cell>
        </row>
        <row r="180">
          <cell r="B180">
            <v>41134</v>
          </cell>
        </row>
        <row r="181">
          <cell r="B181">
            <v>41131</v>
          </cell>
        </row>
        <row r="182">
          <cell r="B182">
            <v>41130</v>
          </cell>
        </row>
        <row r="183">
          <cell r="B183">
            <v>41129</v>
          </cell>
        </row>
        <row r="184">
          <cell r="B184">
            <v>41128</v>
          </cell>
        </row>
        <row r="185">
          <cell r="B185">
            <v>41127</v>
          </cell>
        </row>
        <row r="186">
          <cell r="B186">
            <v>41124</v>
          </cell>
        </row>
        <row r="187">
          <cell r="B187">
            <v>41123</v>
          </cell>
        </row>
        <row r="188">
          <cell r="B188">
            <v>41122</v>
          </cell>
        </row>
        <row r="189">
          <cell r="B189">
            <v>41121</v>
          </cell>
        </row>
        <row r="190">
          <cell r="B190">
            <v>41120</v>
          </cell>
        </row>
        <row r="191">
          <cell r="B191">
            <v>41117</v>
          </cell>
        </row>
        <row r="192">
          <cell r="B192">
            <v>41116</v>
          </cell>
        </row>
        <row r="193">
          <cell r="B193">
            <v>41115</v>
          </cell>
        </row>
        <row r="194">
          <cell r="B194">
            <v>41114</v>
          </cell>
        </row>
        <row r="195">
          <cell r="B195">
            <v>41113</v>
          </cell>
        </row>
        <row r="196">
          <cell r="B196">
            <v>41110</v>
          </cell>
        </row>
        <row r="197">
          <cell r="B197">
            <v>41109</v>
          </cell>
        </row>
        <row r="198">
          <cell r="B198">
            <v>41108</v>
          </cell>
        </row>
        <row r="199">
          <cell r="B199">
            <v>41107</v>
          </cell>
        </row>
        <row r="200">
          <cell r="B200">
            <v>41106</v>
          </cell>
        </row>
        <row r="201">
          <cell r="B201">
            <v>41103</v>
          </cell>
        </row>
        <row r="202">
          <cell r="B202">
            <v>41102</v>
          </cell>
        </row>
        <row r="203">
          <cell r="B203">
            <v>41101</v>
          </cell>
        </row>
        <row r="204">
          <cell r="B204">
            <v>41100</v>
          </cell>
        </row>
        <row r="205">
          <cell r="B205">
            <v>41099</v>
          </cell>
        </row>
        <row r="206">
          <cell r="B206">
            <v>41096</v>
          </cell>
        </row>
        <row r="207">
          <cell r="B207">
            <v>41095</v>
          </cell>
        </row>
        <row r="208">
          <cell r="B208">
            <v>41093</v>
          </cell>
        </row>
        <row r="209">
          <cell r="B209">
            <v>41092</v>
          </cell>
        </row>
        <row r="210">
          <cell r="B210">
            <v>41089</v>
          </cell>
        </row>
        <row r="211">
          <cell r="B211">
            <v>41088</v>
          </cell>
        </row>
        <row r="212">
          <cell r="B212">
            <v>41087</v>
          </cell>
        </row>
        <row r="213">
          <cell r="B213">
            <v>41086</v>
          </cell>
        </row>
        <row r="214">
          <cell r="B214">
            <v>41085</v>
          </cell>
        </row>
        <row r="215">
          <cell r="B215">
            <v>41082</v>
          </cell>
        </row>
        <row r="216">
          <cell r="B216">
            <v>41081</v>
          </cell>
        </row>
        <row r="217">
          <cell r="B217">
            <v>41080</v>
          </cell>
        </row>
        <row r="218">
          <cell r="B218">
            <v>41079</v>
          </cell>
        </row>
        <row r="219">
          <cell r="B219">
            <v>41078</v>
          </cell>
        </row>
        <row r="220">
          <cell r="B220">
            <v>41075</v>
          </cell>
        </row>
        <row r="221">
          <cell r="B221">
            <v>41074</v>
          </cell>
        </row>
        <row r="222">
          <cell r="B222">
            <v>41073</v>
          </cell>
        </row>
        <row r="223">
          <cell r="B223">
            <v>41072</v>
          </cell>
        </row>
        <row r="224">
          <cell r="B224">
            <v>41071</v>
          </cell>
        </row>
        <row r="225">
          <cell r="B225">
            <v>41068</v>
          </cell>
        </row>
        <row r="226">
          <cell r="B226">
            <v>41067</v>
          </cell>
        </row>
        <row r="227">
          <cell r="B227">
            <v>41066</v>
          </cell>
        </row>
        <row r="228">
          <cell r="B228">
            <v>41065</v>
          </cell>
        </row>
        <row r="229">
          <cell r="B229">
            <v>41064</v>
          </cell>
        </row>
        <row r="230">
          <cell r="B230">
            <v>41061</v>
          </cell>
        </row>
        <row r="231">
          <cell r="B231">
            <v>41060</v>
          </cell>
        </row>
        <row r="232">
          <cell r="B232">
            <v>41059</v>
          </cell>
        </row>
        <row r="233">
          <cell r="B233">
            <v>41058</v>
          </cell>
        </row>
        <row r="234">
          <cell r="B234">
            <v>41054</v>
          </cell>
        </row>
        <row r="235">
          <cell r="B235">
            <v>41053</v>
          </cell>
        </row>
        <row r="236">
          <cell r="B236">
            <v>41052</v>
          </cell>
        </row>
        <row r="237">
          <cell r="B237">
            <v>41051</v>
          </cell>
        </row>
        <row r="238">
          <cell r="B238">
            <v>41050</v>
          </cell>
        </row>
        <row r="239">
          <cell r="B239">
            <v>41047</v>
          </cell>
        </row>
        <row r="240">
          <cell r="B240">
            <v>41046</v>
          </cell>
        </row>
        <row r="241">
          <cell r="B241">
            <v>41045</v>
          </cell>
        </row>
        <row r="242">
          <cell r="B242">
            <v>41044</v>
          </cell>
        </row>
        <row r="243">
          <cell r="B243">
            <v>41043</v>
          </cell>
        </row>
        <row r="244">
          <cell r="B244">
            <v>41040</v>
          </cell>
        </row>
        <row r="245">
          <cell r="B245">
            <v>41039</v>
          </cell>
        </row>
        <row r="246">
          <cell r="B246">
            <v>41038</v>
          </cell>
        </row>
        <row r="247">
          <cell r="B247">
            <v>41037</v>
          </cell>
        </row>
        <row r="248">
          <cell r="B248">
            <v>41036</v>
          </cell>
        </row>
        <row r="249">
          <cell r="B249">
            <v>41033</v>
          </cell>
        </row>
        <row r="250">
          <cell r="B250">
            <v>41032</v>
          </cell>
        </row>
        <row r="251">
          <cell r="B251">
            <v>41031</v>
          </cell>
        </row>
        <row r="252">
          <cell r="B252">
            <v>41030</v>
          </cell>
        </row>
        <row r="253">
          <cell r="B253">
            <v>41029</v>
          </cell>
        </row>
        <row r="254">
          <cell r="B254">
            <v>41026</v>
          </cell>
        </row>
        <row r="255">
          <cell r="B255">
            <v>41025</v>
          </cell>
        </row>
        <row r="256">
          <cell r="B256">
            <v>41024</v>
          </cell>
        </row>
        <row r="257">
          <cell r="B257">
            <v>41023</v>
          </cell>
        </row>
        <row r="258">
          <cell r="B258">
            <v>41022</v>
          </cell>
        </row>
        <row r="259">
          <cell r="B259">
            <v>41019</v>
          </cell>
        </row>
        <row r="260">
          <cell r="B260">
            <v>41018</v>
          </cell>
        </row>
        <row r="261">
          <cell r="B261">
            <v>41017</v>
          </cell>
        </row>
        <row r="262">
          <cell r="B262">
            <v>41016</v>
          </cell>
        </row>
        <row r="263">
          <cell r="B263">
            <v>41015</v>
          </cell>
        </row>
        <row r="264">
          <cell r="B264">
            <v>41012</v>
          </cell>
        </row>
        <row r="265">
          <cell r="B265">
            <v>41011</v>
          </cell>
        </row>
        <row r="266">
          <cell r="B266">
            <v>41010</v>
          </cell>
        </row>
        <row r="267">
          <cell r="B267">
            <v>41009</v>
          </cell>
        </row>
        <row r="268">
          <cell r="B268">
            <v>41008</v>
          </cell>
        </row>
        <row r="269">
          <cell r="B269">
            <v>41004</v>
          </cell>
        </row>
        <row r="270">
          <cell r="B270">
            <v>41003</v>
          </cell>
        </row>
        <row r="271">
          <cell r="B271">
            <v>41002</v>
          </cell>
        </row>
        <row r="272">
          <cell r="B272">
            <v>41001</v>
          </cell>
        </row>
        <row r="273">
          <cell r="B273">
            <v>40998</v>
          </cell>
        </row>
        <row r="274">
          <cell r="B274">
            <v>40997</v>
          </cell>
        </row>
        <row r="275">
          <cell r="B275">
            <v>40996</v>
          </cell>
        </row>
        <row r="276">
          <cell r="B276">
            <v>40995</v>
          </cell>
        </row>
        <row r="277">
          <cell r="B277">
            <v>40994</v>
          </cell>
        </row>
        <row r="278">
          <cell r="B278">
            <v>40991</v>
          </cell>
        </row>
        <row r="279">
          <cell r="B279">
            <v>40990</v>
          </cell>
        </row>
        <row r="280">
          <cell r="B280">
            <v>40989</v>
          </cell>
        </row>
        <row r="281">
          <cell r="B281">
            <v>40988</v>
          </cell>
        </row>
        <row r="282">
          <cell r="B282">
            <v>40987</v>
          </cell>
        </row>
        <row r="283">
          <cell r="B283">
            <v>40984</v>
          </cell>
        </row>
        <row r="284">
          <cell r="B284">
            <v>40983</v>
          </cell>
        </row>
        <row r="285">
          <cell r="B285">
            <v>40982</v>
          </cell>
        </row>
        <row r="286">
          <cell r="B286">
            <v>40981</v>
          </cell>
        </row>
        <row r="287">
          <cell r="B287">
            <v>40980</v>
          </cell>
        </row>
        <row r="288">
          <cell r="B288">
            <v>40977</v>
          </cell>
        </row>
        <row r="289">
          <cell r="B289">
            <v>40976</v>
          </cell>
        </row>
        <row r="290">
          <cell r="B290">
            <v>40975</v>
          </cell>
        </row>
        <row r="291">
          <cell r="B291">
            <v>40974</v>
          </cell>
        </row>
        <row r="292">
          <cell r="B292">
            <v>40973</v>
          </cell>
        </row>
        <row r="293">
          <cell r="B293">
            <v>40970</v>
          </cell>
        </row>
        <row r="294">
          <cell r="B294">
            <v>40969</v>
          </cell>
        </row>
        <row r="295">
          <cell r="B295">
            <v>40968</v>
          </cell>
        </row>
        <row r="296">
          <cell r="B296">
            <v>40967</v>
          </cell>
        </row>
        <row r="297">
          <cell r="B297">
            <v>40966</v>
          </cell>
        </row>
        <row r="298">
          <cell r="B298">
            <v>40963</v>
          </cell>
        </row>
        <row r="299">
          <cell r="B299">
            <v>40962</v>
          </cell>
        </row>
        <row r="300">
          <cell r="B300">
            <v>40961</v>
          </cell>
        </row>
        <row r="301">
          <cell r="B301">
            <v>40960</v>
          </cell>
        </row>
        <row r="302">
          <cell r="B302">
            <v>40956</v>
          </cell>
        </row>
        <row r="303">
          <cell r="B303">
            <v>40955</v>
          </cell>
        </row>
        <row r="304">
          <cell r="B304">
            <v>40954</v>
          </cell>
        </row>
        <row r="305">
          <cell r="B305">
            <v>40953</v>
          </cell>
        </row>
        <row r="306">
          <cell r="B306">
            <v>40952</v>
          </cell>
        </row>
        <row r="307">
          <cell r="B307">
            <v>40949</v>
          </cell>
        </row>
        <row r="308">
          <cell r="B308">
            <v>40948</v>
          </cell>
        </row>
        <row r="309">
          <cell r="B309">
            <v>40947</v>
          </cell>
        </row>
        <row r="310">
          <cell r="B310">
            <v>40946</v>
          </cell>
        </row>
        <row r="311">
          <cell r="B311">
            <v>40945</v>
          </cell>
        </row>
        <row r="312">
          <cell r="B312">
            <v>40942</v>
          </cell>
        </row>
        <row r="313">
          <cell r="B313">
            <v>40941</v>
          </cell>
        </row>
        <row r="314">
          <cell r="B314">
            <v>40940</v>
          </cell>
        </row>
        <row r="315">
          <cell r="B315">
            <v>40939</v>
          </cell>
        </row>
        <row r="316">
          <cell r="B316">
            <v>40938</v>
          </cell>
        </row>
        <row r="317">
          <cell r="B317">
            <v>40935</v>
          </cell>
        </row>
        <row r="318">
          <cell r="B318">
            <v>40934</v>
          </cell>
        </row>
        <row r="319">
          <cell r="B319">
            <v>40933</v>
          </cell>
        </row>
        <row r="320">
          <cell r="B320">
            <v>40932</v>
          </cell>
        </row>
        <row r="321">
          <cell r="B321">
            <v>40931</v>
          </cell>
        </row>
        <row r="322">
          <cell r="B322">
            <v>40928</v>
          </cell>
        </row>
        <row r="323">
          <cell r="B323">
            <v>40927</v>
          </cell>
        </row>
        <row r="324">
          <cell r="B324">
            <v>40926</v>
          </cell>
        </row>
        <row r="325">
          <cell r="B325">
            <v>40925</v>
          </cell>
        </row>
        <row r="326">
          <cell r="B326">
            <v>40921</v>
          </cell>
        </row>
        <row r="327">
          <cell r="B327">
            <v>40920</v>
          </cell>
        </row>
        <row r="328">
          <cell r="B328">
            <v>40919</v>
          </cell>
        </row>
        <row r="329">
          <cell r="B329">
            <v>40918</v>
          </cell>
        </row>
        <row r="330">
          <cell r="B330">
            <v>40917</v>
          </cell>
        </row>
        <row r="331">
          <cell r="B331">
            <v>40914</v>
          </cell>
        </row>
        <row r="332">
          <cell r="B332">
            <v>40913</v>
          </cell>
        </row>
        <row r="333">
          <cell r="B333">
            <v>40912</v>
          </cell>
        </row>
        <row r="334">
          <cell r="B334">
            <v>40911</v>
          </cell>
        </row>
        <row r="335">
          <cell r="B335">
            <v>40907</v>
          </cell>
        </row>
        <row r="336">
          <cell r="B336">
            <v>40906</v>
          </cell>
        </row>
        <row r="337">
          <cell r="B337">
            <v>40905</v>
          </cell>
        </row>
        <row r="338">
          <cell r="B338">
            <v>40904</v>
          </cell>
        </row>
        <row r="339">
          <cell r="B339">
            <v>40900</v>
          </cell>
        </row>
        <row r="340">
          <cell r="B340">
            <v>40899</v>
          </cell>
        </row>
        <row r="341">
          <cell r="B341">
            <v>40898</v>
          </cell>
        </row>
        <row r="342">
          <cell r="B342">
            <v>40897</v>
          </cell>
        </row>
        <row r="343">
          <cell r="B343">
            <v>40896</v>
          </cell>
        </row>
        <row r="344">
          <cell r="B344">
            <v>40893</v>
          </cell>
        </row>
        <row r="345">
          <cell r="B345">
            <v>40892</v>
          </cell>
        </row>
        <row r="346">
          <cell r="B346">
            <v>40891</v>
          </cell>
        </row>
        <row r="347">
          <cell r="B347">
            <v>40890</v>
          </cell>
        </row>
        <row r="348">
          <cell r="B348">
            <v>40889</v>
          </cell>
        </row>
        <row r="349">
          <cell r="B349">
            <v>40886</v>
          </cell>
        </row>
        <row r="350">
          <cell r="B350">
            <v>40885</v>
          </cell>
        </row>
        <row r="351">
          <cell r="B351">
            <v>40884</v>
          </cell>
        </row>
        <row r="352">
          <cell r="B352">
            <v>40883</v>
          </cell>
        </row>
        <row r="353">
          <cell r="B353">
            <v>40882</v>
          </cell>
        </row>
        <row r="354">
          <cell r="B354">
            <v>40879</v>
          </cell>
        </row>
        <row r="355">
          <cell r="B355">
            <v>40878</v>
          </cell>
        </row>
        <row r="356">
          <cell r="B356">
            <v>40877</v>
          </cell>
        </row>
        <row r="357">
          <cell r="B357">
            <v>40876</v>
          </cell>
        </row>
        <row r="358">
          <cell r="B358">
            <v>40875</v>
          </cell>
        </row>
        <row r="359">
          <cell r="B359">
            <v>40872</v>
          </cell>
        </row>
        <row r="360">
          <cell r="B360">
            <v>40870</v>
          </cell>
        </row>
        <row r="361">
          <cell r="B361">
            <v>40869</v>
          </cell>
        </row>
        <row r="362">
          <cell r="B362">
            <v>40868</v>
          </cell>
        </row>
        <row r="363">
          <cell r="B363">
            <v>40865</v>
          </cell>
        </row>
        <row r="364">
          <cell r="B364">
            <v>40864</v>
          </cell>
        </row>
        <row r="365">
          <cell r="B365">
            <v>40863</v>
          </cell>
        </row>
        <row r="366">
          <cell r="B366">
            <v>40862</v>
          </cell>
        </row>
        <row r="367">
          <cell r="B367">
            <v>40861</v>
          </cell>
        </row>
        <row r="368">
          <cell r="B368">
            <v>40858</v>
          </cell>
        </row>
        <row r="369">
          <cell r="B369">
            <v>40857</v>
          </cell>
        </row>
        <row r="370">
          <cell r="B370">
            <v>40856</v>
          </cell>
        </row>
        <row r="371">
          <cell r="B371">
            <v>40855</v>
          </cell>
        </row>
        <row r="372">
          <cell r="B372">
            <v>40854</v>
          </cell>
        </row>
        <row r="373">
          <cell r="B373">
            <v>40851</v>
          </cell>
        </row>
        <row r="374">
          <cell r="B374">
            <v>40850</v>
          </cell>
        </row>
        <row r="375">
          <cell r="B375">
            <v>40849</v>
          </cell>
        </row>
        <row r="376">
          <cell r="B376">
            <v>40848</v>
          </cell>
        </row>
        <row r="377">
          <cell r="B377">
            <v>40847</v>
          </cell>
        </row>
        <row r="378">
          <cell r="B378">
            <v>40844</v>
          </cell>
        </row>
        <row r="379">
          <cell r="B379">
            <v>40843</v>
          </cell>
        </row>
        <row r="380">
          <cell r="B380">
            <v>40842</v>
          </cell>
        </row>
        <row r="381">
          <cell r="B381">
            <v>40841</v>
          </cell>
        </row>
        <row r="382">
          <cell r="B382">
            <v>40840</v>
          </cell>
        </row>
        <row r="383">
          <cell r="B383">
            <v>40837</v>
          </cell>
        </row>
        <row r="384">
          <cell r="B384">
            <v>40836</v>
          </cell>
        </row>
        <row r="385">
          <cell r="B385">
            <v>40835</v>
          </cell>
        </row>
        <row r="386">
          <cell r="B386">
            <v>40834</v>
          </cell>
        </row>
        <row r="387">
          <cell r="B387">
            <v>40833</v>
          </cell>
        </row>
        <row r="388">
          <cell r="B388">
            <v>40830</v>
          </cell>
        </row>
        <row r="389">
          <cell r="B389">
            <v>40829</v>
          </cell>
        </row>
        <row r="390">
          <cell r="B390">
            <v>40828</v>
          </cell>
        </row>
        <row r="391">
          <cell r="B391">
            <v>40827</v>
          </cell>
        </row>
        <row r="392">
          <cell r="B392">
            <v>40826</v>
          </cell>
        </row>
        <row r="393">
          <cell r="B393">
            <v>40823</v>
          </cell>
        </row>
        <row r="394">
          <cell r="B394">
            <v>40822</v>
          </cell>
        </row>
        <row r="395">
          <cell r="B395">
            <v>40821</v>
          </cell>
        </row>
        <row r="396">
          <cell r="B396">
            <v>40820</v>
          </cell>
        </row>
        <row r="397">
          <cell r="B397">
            <v>40819</v>
          </cell>
        </row>
        <row r="398">
          <cell r="B398">
            <v>40816</v>
          </cell>
        </row>
        <row r="399">
          <cell r="B399">
            <v>40815</v>
          </cell>
        </row>
        <row r="400">
          <cell r="B400">
            <v>40814</v>
          </cell>
        </row>
        <row r="401">
          <cell r="B401">
            <v>40813</v>
          </cell>
        </row>
        <row r="402">
          <cell r="B402">
            <v>40812</v>
          </cell>
        </row>
        <row r="403">
          <cell r="B403">
            <v>40809</v>
          </cell>
        </row>
        <row r="404">
          <cell r="B404">
            <v>40808</v>
          </cell>
        </row>
        <row r="405">
          <cell r="B405">
            <v>40807</v>
          </cell>
        </row>
        <row r="406">
          <cell r="B406">
            <v>40806</v>
          </cell>
        </row>
        <row r="407">
          <cell r="B407">
            <v>40805</v>
          </cell>
        </row>
        <row r="408">
          <cell r="B408">
            <v>40802</v>
          </cell>
        </row>
        <row r="409">
          <cell r="B409">
            <v>40801</v>
          </cell>
        </row>
        <row r="410">
          <cell r="B410">
            <v>40800</v>
          </cell>
        </row>
        <row r="411">
          <cell r="B411">
            <v>40799</v>
          </cell>
        </row>
        <row r="412">
          <cell r="B412">
            <v>40798</v>
          </cell>
        </row>
        <row r="413">
          <cell r="B413">
            <v>40795</v>
          </cell>
        </row>
        <row r="414">
          <cell r="B414">
            <v>40794</v>
          </cell>
        </row>
        <row r="415">
          <cell r="B415">
            <v>40793</v>
          </cell>
        </row>
        <row r="416">
          <cell r="B416">
            <v>40792</v>
          </cell>
        </row>
        <row r="417">
          <cell r="B417">
            <v>40788</v>
          </cell>
        </row>
        <row r="418">
          <cell r="B418">
            <v>40787</v>
          </cell>
        </row>
        <row r="419">
          <cell r="B419">
            <v>40786</v>
          </cell>
        </row>
        <row r="420">
          <cell r="B420">
            <v>40785</v>
          </cell>
        </row>
        <row r="421">
          <cell r="B421">
            <v>40784</v>
          </cell>
        </row>
        <row r="422">
          <cell r="B422">
            <v>40781</v>
          </cell>
        </row>
        <row r="423">
          <cell r="B423">
            <v>40780</v>
          </cell>
        </row>
        <row r="424">
          <cell r="B424">
            <v>40779</v>
          </cell>
        </row>
        <row r="425">
          <cell r="B425">
            <v>40778</v>
          </cell>
        </row>
        <row r="426">
          <cell r="B426">
            <v>40777</v>
          </cell>
        </row>
        <row r="427">
          <cell r="B427">
            <v>40774</v>
          </cell>
        </row>
        <row r="428">
          <cell r="B428">
            <v>40773</v>
          </cell>
        </row>
        <row r="429">
          <cell r="B429">
            <v>40772</v>
          </cell>
        </row>
        <row r="430">
          <cell r="B430">
            <v>40771</v>
          </cell>
        </row>
        <row r="431">
          <cell r="B431">
            <v>40770</v>
          </cell>
        </row>
        <row r="432">
          <cell r="B432">
            <v>40767</v>
          </cell>
        </row>
        <row r="433">
          <cell r="B433">
            <v>40766</v>
          </cell>
        </row>
        <row r="434">
          <cell r="B434">
            <v>40765</v>
          </cell>
        </row>
        <row r="435">
          <cell r="B435">
            <v>40764</v>
          </cell>
        </row>
        <row r="436">
          <cell r="B436">
            <v>40763</v>
          </cell>
        </row>
        <row r="437">
          <cell r="B437">
            <v>40760</v>
          </cell>
        </row>
        <row r="438">
          <cell r="B438">
            <v>40759</v>
          </cell>
        </row>
        <row r="439">
          <cell r="B439">
            <v>40758</v>
          </cell>
        </row>
        <row r="440">
          <cell r="B440">
            <v>40757</v>
          </cell>
        </row>
        <row r="441">
          <cell r="B441">
            <v>40756</v>
          </cell>
        </row>
        <row r="442">
          <cell r="B442">
            <v>40753</v>
          </cell>
        </row>
        <row r="443">
          <cell r="B443">
            <v>40752</v>
          </cell>
        </row>
        <row r="444">
          <cell r="B444">
            <v>40751</v>
          </cell>
        </row>
        <row r="445">
          <cell r="B445">
            <v>40750</v>
          </cell>
        </row>
        <row r="446">
          <cell r="B446">
            <v>40749</v>
          </cell>
        </row>
        <row r="447">
          <cell r="B447">
            <v>40746</v>
          </cell>
        </row>
        <row r="448">
          <cell r="B448">
            <v>40745</v>
          </cell>
        </row>
        <row r="449">
          <cell r="B449">
            <v>40744</v>
          </cell>
        </row>
        <row r="450">
          <cell r="B450">
            <v>40743</v>
          </cell>
        </row>
        <row r="451">
          <cell r="B451">
            <v>40742</v>
          </cell>
        </row>
        <row r="452">
          <cell r="B452">
            <v>40739</v>
          </cell>
        </row>
        <row r="453">
          <cell r="B453">
            <v>40738</v>
          </cell>
        </row>
        <row r="454">
          <cell r="B454">
            <v>40737</v>
          </cell>
        </row>
        <row r="455">
          <cell r="B455">
            <v>40736</v>
          </cell>
        </row>
        <row r="456">
          <cell r="B456">
            <v>40735</v>
          </cell>
        </row>
        <row r="457">
          <cell r="B457">
            <v>40732</v>
          </cell>
        </row>
        <row r="458">
          <cell r="B458">
            <v>40731</v>
          </cell>
        </row>
        <row r="459">
          <cell r="B459">
            <v>40730</v>
          </cell>
        </row>
        <row r="460">
          <cell r="B460">
            <v>40729</v>
          </cell>
        </row>
        <row r="461">
          <cell r="B461">
            <v>40725</v>
          </cell>
        </row>
        <row r="462">
          <cell r="B462">
            <v>40724</v>
          </cell>
        </row>
        <row r="463">
          <cell r="B463">
            <v>40723</v>
          </cell>
        </row>
        <row r="464">
          <cell r="B464">
            <v>40722</v>
          </cell>
        </row>
        <row r="465">
          <cell r="B465">
            <v>40721</v>
          </cell>
        </row>
        <row r="466">
          <cell r="B466">
            <v>40718</v>
          </cell>
        </row>
        <row r="467">
          <cell r="B467">
            <v>40717</v>
          </cell>
        </row>
        <row r="468">
          <cell r="B468">
            <v>40716</v>
          </cell>
        </row>
        <row r="469">
          <cell r="B469">
            <v>40715</v>
          </cell>
        </row>
        <row r="470">
          <cell r="B470">
            <v>40714</v>
          </cell>
        </row>
        <row r="471">
          <cell r="B471">
            <v>40711</v>
          </cell>
        </row>
        <row r="472">
          <cell r="B472">
            <v>40710</v>
          </cell>
        </row>
        <row r="473">
          <cell r="B473">
            <v>40709</v>
          </cell>
        </row>
        <row r="474">
          <cell r="B474">
            <v>40708</v>
          </cell>
        </row>
        <row r="475">
          <cell r="B475">
            <v>40707</v>
          </cell>
        </row>
        <row r="476">
          <cell r="B476">
            <v>40704</v>
          </cell>
        </row>
        <row r="477">
          <cell r="B477">
            <v>40703</v>
          </cell>
        </row>
        <row r="478">
          <cell r="B478">
            <v>40702</v>
          </cell>
        </row>
        <row r="479">
          <cell r="B479">
            <v>40701</v>
          </cell>
        </row>
        <row r="480">
          <cell r="B480">
            <v>40700</v>
          </cell>
        </row>
        <row r="481">
          <cell r="B481">
            <v>40697</v>
          </cell>
        </row>
        <row r="482">
          <cell r="B482">
            <v>40696</v>
          </cell>
        </row>
        <row r="483">
          <cell r="B483">
            <v>40695</v>
          </cell>
        </row>
        <row r="484">
          <cell r="B484">
            <v>40694</v>
          </cell>
        </row>
        <row r="485">
          <cell r="B485">
            <v>40690</v>
          </cell>
        </row>
        <row r="486">
          <cell r="B486">
            <v>40689</v>
          </cell>
        </row>
        <row r="487">
          <cell r="B487">
            <v>40688</v>
          </cell>
        </row>
        <row r="488">
          <cell r="B488">
            <v>40687</v>
          </cell>
        </row>
        <row r="489">
          <cell r="B489">
            <v>40686</v>
          </cell>
        </row>
        <row r="490">
          <cell r="B490">
            <v>40683</v>
          </cell>
        </row>
        <row r="491">
          <cell r="B491">
            <v>40682</v>
          </cell>
        </row>
        <row r="492">
          <cell r="B492">
            <v>40681</v>
          </cell>
        </row>
        <row r="493">
          <cell r="B493">
            <v>40680</v>
          </cell>
        </row>
        <row r="494">
          <cell r="B494">
            <v>40679</v>
          </cell>
        </row>
        <row r="495">
          <cell r="B495">
            <v>40676</v>
          </cell>
        </row>
        <row r="496">
          <cell r="B496">
            <v>40675</v>
          </cell>
        </row>
        <row r="497">
          <cell r="B497">
            <v>40674</v>
          </cell>
        </row>
        <row r="498">
          <cell r="B498">
            <v>40673</v>
          </cell>
        </row>
        <row r="499">
          <cell r="B499">
            <v>40672</v>
          </cell>
        </row>
        <row r="500">
          <cell r="B500">
            <v>40669</v>
          </cell>
        </row>
        <row r="501">
          <cell r="B501">
            <v>40668</v>
          </cell>
        </row>
        <row r="502">
          <cell r="B502">
            <v>40667</v>
          </cell>
        </row>
        <row r="503">
          <cell r="B503">
            <v>40666</v>
          </cell>
        </row>
        <row r="504">
          <cell r="B504">
            <v>40665</v>
          </cell>
        </row>
        <row r="505">
          <cell r="B505">
            <v>40662</v>
          </cell>
        </row>
        <row r="506">
          <cell r="B506">
            <v>40661</v>
          </cell>
        </row>
        <row r="507">
          <cell r="B507">
            <v>40660</v>
          </cell>
        </row>
        <row r="508">
          <cell r="B508">
            <v>40659</v>
          </cell>
        </row>
        <row r="509">
          <cell r="B509">
            <v>40658</v>
          </cell>
        </row>
        <row r="510">
          <cell r="B510">
            <v>40654</v>
          </cell>
        </row>
        <row r="511">
          <cell r="B511">
            <v>40653</v>
          </cell>
        </row>
        <row r="512">
          <cell r="B512">
            <v>40652</v>
          </cell>
        </row>
        <row r="513">
          <cell r="B513">
            <v>40651</v>
          </cell>
        </row>
        <row r="514">
          <cell r="B514">
            <v>40648</v>
          </cell>
        </row>
        <row r="515">
          <cell r="B515">
            <v>40647</v>
          </cell>
        </row>
        <row r="516">
          <cell r="B516">
            <v>40646</v>
          </cell>
        </row>
        <row r="517">
          <cell r="B517">
            <v>40645</v>
          </cell>
        </row>
        <row r="518">
          <cell r="B518">
            <v>40644</v>
          </cell>
        </row>
        <row r="519">
          <cell r="B519">
            <v>40641</v>
          </cell>
        </row>
        <row r="520">
          <cell r="B520">
            <v>40640</v>
          </cell>
        </row>
        <row r="521">
          <cell r="B521">
            <v>40639</v>
          </cell>
        </row>
        <row r="522">
          <cell r="B522">
            <v>40638</v>
          </cell>
        </row>
        <row r="523">
          <cell r="B523">
            <v>40637</v>
          </cell>
        </row>
        <row r="524">
          <cell r="B524">
            <v>40634</v>
          </cell>
        </row>
        <row r="525">
          <cell r="B525">
            <v>40633</v>
          </cell>
        </row>
        <row r="526">
          <cell r="B526">
            <v>40632</v>
          </cell>
        </row>
        <row r="527">
          <cell r="B527">
            <v>40631</v>
          </cell>
        </row>
        <row r="528">
          <cell r="B528">
            <v>40630</v>
          </cell>
        </row>
        <row r="529">
          <cell r="B529">
            <v>40627</v>
          </cell>
        </row>
        <row r="530">
          <cell r="B530">
            <v>40626</v>
          </cell>
        </row>
        <row r="531">
          <cell r="B531">
            <v>40625</v>
          </cell>
        </row>
        <row r="532">
          <cell r="B532">
            <v>40624</v>
          </cell>
        </row>
        <row r="533">
          <cell r="B533">
            <v>40623</v>
          </cell>
        </row>
        <row r="534">
          <cell r="B534">
            <v>40620</v>
          </cell>
        </row>
        <row r="535">
          <cell r="B535">
            <v>40619</v>
          </cell>
        </row>
        <row r="536">
          <cell r="B536">
            <v>40618</v>
          </cell>
        </row>
        <row r="537">
          <cell r="B537">
            <v>40617</v>
          </cell>
        </row>
        <row r="538">
          <cell r="B538">
            <v>40616</v>
          </cell>
        </row>
        <row r="539">
          <cell r="B539">
            <v>40613</v>
          </cell>
        </row>
        <row r="540">
          <cell r="B540">
            <v>40612</v>
          </cell>
        </row>
        <row r="541">
          <cell r="B541">
            <v>40611</v>
          </cell>
        </row>
        <row r="542">
          <cell r="B542">
            <v>40610</v>
          </cell>
        </row>
        <row r="543">
          <cell r="B543">
            <v>40609</v>
          </cell>
        </row>
        <row r="544">
          <cell r="B544">
            <v>40606</v>
          </cell>
        </row>
        <row r="545">
          <cell r="B545">
            <v>40605</v>
          </cell>
        </row>
        <row r="546">
          <cell r="B546">
            <v>40604</v>
          </cell>
        </row>
        <row r="547">
          <cell r="B547">
            <v>40603</v>
          </cell>
        </row>
        <row r="548">
          <cell r="B548">
            <v>40602</v>
          </cell>
        </row>
        <row r="549">
          <cell r="B549">
            <v>40599</v>
          </cell>
        </row>
        <row r="550">
          <cell r="B550">
            <v>40598</v>
          </cell>
        </row>
        <row r="551">
          <cell r="B551">
            <v>40597</v>
          </cell>
        </row>
        <row r="552">
          <cell r="B552">
            <v>40596</v>
          </cell>
        </row>
        <row r="553">
          <cell r="B553">
            <v>40592</v>
          </cell>
        </row>
        <row r="554">
          <cell r="B554">
            <v>40591</v>
          </cell>
        </row>
        <row r="555">
          <cell r="B555">
            <v>40590</v>
          </cell>
        </row>
        <row r="556">
          <cell r="B556">
            <v>40589</v>
          </cell>
        </row>
        <row r="557">
          <cell r="B557">
            <v>40588</v>
          </cell>
        </row>
        <row r="558">
          <cell r="B558">
            <v>40585</v>
          </cell>
        </row>
        <row r="559">
          <cell r="B559">
            <v>40584</v>
          </cell>
        </row>
        <row r="560">
          <cell r="B560">
            <v>40583</v>
          </cell>
        </row>
        <row r="561">
          <cell r="B561">
            <v>40582</v>
          </cell>
        </row>
        <row r="562">
          <cell r="B562">
            <v>40581</v>
          </cell>
        </row>
        <row r="563">
          <cell r="B563">
            <v>40578</v>
          </cell>
        </row>
        <row r="564">
          <cell r="B564">
            <v>40577</v>
          </cell>
        </row>
        <row r="565">
          <cell r="B565">
            <v>40576</v>
          </cell>
        </row>
        <row r="566">
          <cell r="B566">
            <v>40575</v>
          </cell>
        </row>
        <row r="567">
          <cell r="B567">
            <v>40574</v>
          </cell>
        </row>
        <row r="568">
          <cell r="B568">
            <v>40571</v>
          </cell>
        </row>
        <row r="569">
          <cell r="B569">
            <v>40570</v>
          </cell>
        </row>
        <row r="570">
          <cell r="B570">
            <v>40569</v>
          </cell>
        </row>
        <row r="571">
          <cell r="B571">
            <v>40568</v>
          </cell>
        </row>
        <row r="572">
          <cell r="B572">
            <v>40567</v>
          </cell>
        </row>
        <row r="573">
          <cell r="B573">
            <v>40564</v>
          </cell>
        </row>
        <row r="574">
          <cell r="B574">
            <v>40563</v>
          </cell>
        </row>
        <row r="575">
          <cell r="B575">
            <v>40562</v>
          </cell>
        </row>
        <row r="576">
          <cell r="B576">
            <v>40561</v>
          </cell>
        </row>
        <row r="577">
          <cell r="B577">
            <v>40557</v>
          </cell>
        </row>
        <row r="578">
          <cell r="B578">
            <v>40556</v>
          </cell>
        </row>
        <row r="579">
          <cell r="B579">
            <v>40555</v>
          </cell>
        </row>
        <row r="580">
          <cell r="B580">
            <v>40554</v>
          </cell>
        </row>
        <row r="581">
          <cell r="B581">
            <v>40553</v>
          </cell>
        </row>
        <row r="582">
          <cell r="B582">
            <v>40550</v>
          </cell>
        </row>
        <row r="583">
          <cell r="B583">
            <v>40549</v>
          </cell>
        </row>
        <row r="584">
          <cell r="B584">
            <v>40548</v>
          </cell>
        </row>
        <row r="585">
          <cell r="B585">
            <v>40547</v>
          </cell>
        </row>
        <row r="586">
          <cell r="B586">
            <v>40546</v>
          </cell>
        </row>
        <row r="587">
          <cell r="B587">
            <v>40543</v>
          </cell>
        </row>
        <row r="588">
          <cell r="B588">
            <v>40542</v>
          </cell>
        </row>
        <row r="589">
          <cell r="B589">
            <v>40541</v>
          </cell>
        </row>
        <row r="590">
          <cell r="B590">
            <v>40540</v>
          </cell>
        </row>
        <row r="591">
          <cell r="B591">
            <v>40539</v>
          </cell>
        </row>
        <row r="592">
          <cell r="B592">
            <v>40535</v>
          </cell>
        </row>
        <row r="593">
          <cell r="B593">
            <v>40534</v>
          </cell>
        </row>
        <row r="594">
          <cell r="B594">
            <v>40533</v>
          </cell>
        </row>
        <row r="595">
          <cell r="B595">
            <v>40532</v>
          </cell>
        </row>
        <row r="596">
          <cell r="B596">
            <v>40529</v>
          </cell>
        </row>
        <row r="597">
          <cell r="B597">
            <v>40528</v>
          </cell>
        </row>
        <row r="598">
          <cell r="B598">
            <v>40527</v>
          </cell>
        </row>
        <row r="599">
          <cell r="B599">
            <v>40526</v>
          </cell>
        </row>
        <row r="600">
          <cell r="B600">
            <v>40525</v>
          </cell>
        </row>
        <row r="601">
          <cell r="B601">
            <v>40522</v>
          </cell>
        </row>
        <row r="602">
          <cell r="B602">
            <v>40521</v>
          </cell>
        </row>
        <row r="603">
          <cell r="B603">
            <v>40520</v>
          </cell>
        </row>
        <row r="604">
          <cell r="B604">
            <v>40519</v>
          </cell>
        </row>
        <row r="605">
          <cell r="B605">
            <v>40518</v>
          </cell>
        </row>
        <row r="606">
          <cell r="B606">
            <v>40515</v>
          </cell>
        </row>
        <row r="607">
          <cell r="B607">
            <v>40514</v>
          </cell>
        </row>
        <row r="608">
          <cell r="B608">
            <v>40513</v>
          </cell>
        </row>
        <row r="609">
          <cell r="B609">
            <v>40512</v>
          </cell>
        </row>
        <row r="610">
          <cell r="B610">
            <v>40511</v>
          </cell>
        </row>
        <row r="611">
          <cell r="B611">
            <v>40508</v>
          </cell>
        </row>
        <row r="612">
          <cell r="B612">
            <v>40506</v>
          </cell>
        </row>
        <row r="613">
          <cell r="B613">
            <v>40505</v>
          </cell>
        </row>
        <row r="614">
          <cell r="B614">
            <v>40504</v>
          </cell>
        </row>
        <row r="615">
          <cell r="B615">
            <v>40501</v>
          </cell>
        </row>
        <row r="616">
          <cell r="B616">
            <v>40500</v>
          </cell>
        </row>
        <row r="617">
          <cell r="B617">
            <v>40499</v>
          </cell>
        </row>
        <row r="618">
          <cell r="B618">
            <v>40498</v>
          </cell>
        </row>
        <row r="619">
          <cell r="B619">
            <v>40497</v>
          </cell>
        </row>
        <row r="620">
          <cell r="B620">
            <v>40494</v>
          </cell>
        </row>
        <row r="621">
          <cell r="B621">
            <v>40493</v>
          </cell>
        </row>
        <row r="622">
          <cell r="B622">
            <v>40492</v>
          </cell>
        </row>
        <row r="623">
          <cell r="B623">
            <v>40491</v>
          </cell>
        </row>
        <row r="624">
          <cell r="B624">
            <v>40490</v>
          </cell>
        </row>
        <row r="625">
          <cell r="B625">
            <v>40487</v>
          </cell>
        </row>
        <row r="626">
          <cell r="B626">
            <v>40486</v>
          </cell>
        </row>
        <row r="627">
          <cell r="B627">
            <v>40485</v>
          </cell>
        </row>
        <row r="628">
          <cell r="B628">
            <v>40484</v>
          </cell>
        </row>
        <row r="629">
          <cell r="B629">
            <v>40483</v>
          </cell>
        </row>
        <row r="630">
          <cell r="B630">
            <v>40480</v>
          </cell>
        </row>
        <row r="631">
          <cell r="B631">
            <v>40479</v>
          </cell>
        </row>
        <row r="632">
          <cell r="B632">
            <v>40478</v>
          </cell>
        </row>
        <row r="633">
          <cell r="B633">
            <v>40477</v>
          </cell>
        </row>
        <row r="634">
          <cell r="B634">
            <v>40476</v>
          </cell>
        </row>
        <row r="635">
          <cell r="B635">
            <v>40473</v>
          </cell>
        </row>
        <row r="636">
          <cell r="B636">
            <v>40472</v>
          </cell>
        </row>
        <row r="637">
          <cell r="B637">
            <v>40471</v>
          </cell>
        </row>
        <row r="638">
          <cell r="B638">
            <v>40470</v>
          </cell>
        </row>
        <row r="639">
          <cell r="B639">
            <v>40469</v>
          </cell>
        </row>
        <row r="640">
          <cell r="B640">
            <v>40466</v>
          </cell>
        </row>
        <row r="641">
          <cell r="B641">
            <v>40465</v>
          </cell>
        </row>
        <row r="642">
          <cell r="B642">
            <v>40464</v>
          </cell>
        </row>
        <row r="643">
          <cell r="B643">
            <v>40463</v>
          </cell>
        </row>
        <row r="644">
          <cell r="B644">
            <v>40462</v>
          </cell>
        </row>
        <row r="645">
          <cell r="B645">
            <v>40459</v>
          </cell>
        </row>
        <row r="646">
          <cell r="B646">
            <v>40458</v>
          </cell>
        </row>
        <row r="647">
          <cell r="B647">
            <v>40457</v>
          </cell>
        </row>
        <row r="648">
          <cell r="B648">
            <v>40456</v>
          </cell>
        </row>
        <row r="649">
          <cell r="B649">
            <v>40455</v>
          </cell>
        </row>
        <row r="650">
          <cell r="B650">
            <v>40452</v>
          </cell>
        </row>
        <row r="651">
          <cell r="B651">
            <v>40451</v>
          </cell>
        </row>
        <row r="652">
          <cell r="B652">
            <v>40450</v>
          </cell>
        </row>
        <row r="653">
          <cell r="B653">
            <v>40449</v>
          </cell>
        </row>
        <row r="654">
          <cell r="B654">
            <v>40448</v>
          </cell>
        </row>
        <row r="655">
          <cell r="B655">
            <v>40445</v>
          </cell>
        </row>
        <row r="656">
          <cell r="B656">
            <v>40444</v>
          </cell>
        </row>
        <row r="657">
          <cell r="B657">
            <v>40443</v>
          </cell>
        </row>
        <row r="658">
          <cell r="B658">
            <v>40442</v>
          </cell>
        </row>
        <row r="659">
          <cell r="B659">
            <v>40441</v>
          </cell>
        </row>
        <row r="660">
          <cell r="B660">
            <v>40438</v>
          </cell>
        </row>
        <row r="661">
          <cell r="B661">
            <v>40437</v>
          </cell>
        </row>
        <row r="662">
          <cell r="B662">
            <v>40436</v>
          </cell>
        </row>
        <row r="663">
          <cell r="B663">
            <v>40435</v>
          </cell>
        </row>
        <row r="664">
          <cell r="B664">
            <v>40434</v>
          </cell>
        </row>
        <row r="665">
          <cell r="B665">
            <v>40431</v>
          </cell>
        </row>
        <row r="666">
          <cell r="B666">
            <v>40430</v>
          </cell>
        </row>
        <row r="667">
          <cell r="B667">
            <v>40429</v>
          </cell>
        </row>
        <row r="668">
          <cell r="B668">
            <v>40428</v>
          </cell>
        </row>
        <row r="669">
          <cell r="B669">
            <v>40424</v>
          </cell>
        </row>
        <row r="670">
          <cell r="B670">
            <v>40423</v>
          </cell>
        </row>
        <row r="671">
          <cell r="B671">
            <v>40422</v>
          </cell>
        </row>
        <row r="672">
          <cell r="B672">
            <v>40421</v>
          </cell>
        </row>
        <row r="673">
          <cell r="B673">
            <v>40420</v>
          </cell>
        </row>
        <row r="674">
          <cell r="B674">
            <v>40417</v>
          </cell>
        </row>
        <row r="675">
          <cell r="B675">
            <v>40416</v>
          </cell>
        </row>
        <row r="676">
          <cell r="B676">
            <v>40415</v>
          </cell>
        </row>
        <row r="677">
          <cell r="B677">
            <v>40414</v>
          </cell>
        </row>
        <row r="678">
          <cell r="B678">
            <v>40413</v>
          </cell>
        </row>
        <row r="679">
          <cell r="B679">
            <v>40410</v>
          </cell>
        </row>
        <row r="680">
          <cell r="B680">
            <v>40409</v>
          </cell>
        </row>
        <row r="681">
          <cell r="B681">
            <v>40408</v>
          </cell>
        </row>
        <row r="682">
          <cell r="B682">
            <v>40407</v>
          </cell>
        </row>
        <row r="683">
          <cell r="B683">
            <v>40406</v>
          </cell>
        </row>
        <row r="684">
          <cell r="B684">
            <v>40403</v>
          </cell>
        </row>
        <row r="685">
          <cell r="B685">
            <v>40402</v>
          </cell>
        </row>
        <row r="686">
          <cell r="B686">
            <v>40401</v>
          </cell>
        </row>
        <row r="687">
          <cell r="B687">
            <v>40400</v>
          </cell>
        </row>
        <row r="688">
          <cell r="B688">
            <v>40399</v>
          </cell>
        </row>
        <row r="689">
          <cell r="B689">
            <v>40396</v>
          </cell>
        </row>
        <row r="690">
          <cell r="B690">
            <v>40395</v>
          </cell>
        </row>
        <row r="691">
          <cell r="B691">
            <v>40394</v>
          </cell>
        </row>
        <row r="692">
          <cell r="B692">
            <v>40393</v>
          </cell>
        </row>
        <row r="693">
          <cell r="B693">
            <v>40392</v>
          </cell>
        </row>
        <row r="694">
          <cell r="B694">
            <v>40389</v>
          </cell>
        </row>
        <row r="695">
          <cell r="B695">
            <v>40388</v>
          </cell>
        </row>
        <row r="696">
          <cell r="B696">
            <v>40387</v>
          </cell>
        </row>
        <row r="697">
          <cell r="B697">
            <v>40386</v>
          </cell>
        </row>
        <row r="698">
          <cell r="B698">
            <v>40385</v>
          </cell>
        </row>
        <row r="699">
          <cell r="B699">
            <v>40382</v>
          </cell>
        </row>
        <row r="700">
          <cell r="B700">
            <v>40381</v>
          </cell>
        </row>
        <row r="701">
          <cell r="B701">
            <v>40380</v>
          </cell>
        </row>
        <row r="702">
          <cell r="B702">
            <v>40379</v>
          </cell>
        </row>
        <row r="703">
          <cell r="B703">
            <v>40378</v>
          </cell>
        </row>
        <row r="704">
          <cell r="B704">
            <v>40375</v>
          </cell>
        </row>
        <row r="705">
          <cell r="B705">
            <v>40374</v>
          </cell>
        </row>
        <row r="706">
          <cell r="B706">
            <v>40373</v>
          </cell>
        </row>
        <row r="707">
          <cell r="B707">
            <v>40372</v>
          </cell>
        </row>
        <row r="708">
          <cell r="B708">
            <v>40371</v>
          </cell>
        </row>
        <row r="709">
          <cell r="B709">
            <v>40368</v>
          </cell>
        </row>
        <row r="710">
          <cell r="B710">
            <v>40367</v>
          </cell>
        </row>
        <row r="711">
          <cell r="B711">
            <v>40366</v>
          </cell>
        </row>
        <row r="712">
          <cell r="B712">
            <v>40365</v>
          </cell>
        </row>
        <row r="713">
          <cell r="B713">
            <v>40361</v>
          </cell>
        </row>
        <row r="714">
          <cell r="B714">
            <v>40360</v>
          </cell>
        </row>
        <row r="715">
          <cell r="B715">
            <v>40359</v>
          </cell>
        </row>
        <row r="716">
          <cell r="B716">
            <v>40358</v>
          </cell>
        </row>
        <row r="717">
          <cell r="B717">
            <v>40357</v>
          </cell>
        </row>
        <row r="718">
          <cell r="B718">
            <v>40354</v>
          </cell>
        </row>
        <row r="719">
          <cell r="B719">
            <v>40353</v>
          </cell>
        </row>
        <row r="720">
          <cell r="B720">
            <v>40352</v>
          </cell>
        </row>
        <row r="721">
          <cell r="B721">
            <v>40351</v>
          </cell>
        </row>
        <row r="722">
          <cell r="B722">
            <v>40350</v>
          </cell>
        </row>
        <row r="723">
          <cell r="B723">
            <v>40347</v>
          </cell>
        </row>
        <row r="724">
          <cell r="B724">
            <v>40346</v>
          </cell>
        </row>
        <row r="725">
          <cell r="B725">
            <v>40345</v>
          </cell>
        </row>
        <row r="726">
          <cell r="B726">
            <v>40344</v>
          </cell>
        </row>
        <row r="727">
          <cell r="B727">
            <v>40343</v>
          </cell>
        </row>
        <row r="728">
          <cell r="B728">
            <v>40340</v>
          </cell>
        </row>
        <row r="729">
          <cell r="B729">
            <v>40339</v>
          </cell>
        </row>
        <row r="730">
          <cell r="B730">
            <v>40338</v>
          </cell>
        </row>
        <row r="731">
          <cell r="B731">
            <v>40337</v>
          </cell>
        </row>
        <row r="732">
          <cell r="B732">
            <v>40336</v>
          </cell>
        </row>
        <row r="733">
          <cell r="B733">
            <v>40333</v>
          </cell>
        </row>
        <row r="734">
          <cell r="B734">
            <v>40332</v>
          </cell>
        </row>
        <row r="735">
          <cell r="B735">
            <v>40331</v>
          </cell>
        </row>
        <row r="736">
          <cell r="B736">
            <v>40330</v>
          </cell>
        </row>
        <row r="737">
          <cell r="B737">
            <v>40326</v>
          </cell>
        </row>
        <row r="738">
          <cell r="B738">
            <v>40325</v>
          </cell>
        </row>
        <row r="739">
          <cell r="B739">
            <v>40324</v>
          </cell>
        </row>
        <row r="740">
          <cell r="B740">
            <v>40323</v>
          </cell>
        </row>
        <row r="741">
          <cell r="B741">
            <v>40322</v>
          </cell>
        </row>
        <row r="742">
          <cell r="B742">
            <v>40319</v>
          </cell>
        </row>
        <row r="743">
          <cell r="B743">
            <v>40318</v>
          </cell>
        </row>
        <row r="744">
          <cell r="B744">
            <v>40317</v>
          </cell>
        </row>
        <row r="745">
          <cell r="B745">
            <v>40316</v>
          </cell>
        </row>
        <row r="746">
          <cell r="B746">
            <v>40315</v>
          </cell>
        </row>
        <row r="747">
          <cell r="B747">
            <v>40312</v>
          </cell>
        </row>
        <row r="748">
          <cell r="B748">
            <v>40311</v>
          </cell>
        </row>
        <row r="749">
          <cell r="B749">
            <v>40310</v>
          </cell>
        </row>
        <row r="750">
          <cell r="B750">
            <v>40309</v>
          </cell>
        </row>
        <row r="751">
          <cell r="B751">
            <v>40308</v>
          </cell>
        </row>
        <row r="752">
          <cell r="B752">
            <v>40305</v>
          </cell>
        </row>
        <row r="753">
          <cell r="B753">
            <v>40304</v>
          </cell>
        </row>
        <row r="754">
          <cell r="B754">
            <v>40303</v>
          </cell>
        </row>
        <row r="755">
          <cell r="B755">
            <v>40302</v>
          </cell>
        </row>
        <row r="756">
          <cell r="B756">
            <v>40301</v>
          </cell>
        </row>
        <row r="757">
          <cell r="B757">
            <v>40298</v>
          </cell>
        </row>
        <row r="758">
          <cell r="B758">
            <v>40297</v>
          </cell>
        </row>
        <row r="759">
          <cell r="B759">
            <v>40296</v>
          </cell>
        </row>
        <row r="760">
          <cell r="B760">
            <v>40295</v>
          </cell>
        </row>
        <row r="761">
          <cell r="B761">
            <v>40294</v>
          </cell>
        </row>
        <row r="762">
          <cell r="B762">
            <v>40291</v>
          </cell>
        </row>
        <row r="763">
          <cell r="B763">
            <v>40290</v>
          </cell>
        </row>
        <row r="764">
          <cell r="B764">
            <v>40289</v>
          </cell>
        </row>
        <row r="765">
          <cell r="B765">
            <v>40288</v>
          </cell>
        </row>
        <row r="766">
          <cell r="B766">
            <v>40287</v>
          </cell>
        </row>
        <row r="767">
          <cell r="B767">
            <v>40284</v>
          </cell>
        </row>
        <row r="768">
          <cell r="B768">
            <v>40283</v>
          </cell>
        </row>
        <row r="769">
          <cell r="B769">
            <v>40282</v>
          </cell>
        </row>
        <row r="770">
          <cell r="B770">
            <v>40281</v>
          </cell>
        </row>
        <row r="771">
          <cell r="B771">
            <v>40280</v>
          </cell>
        </row>
        <row r="772">
          <cell r="B772">
            <v>40277</v>
          </cell>
        </row>
        <row r="773">
          <cell r="B773">
            <v>40276</v>
          </cell>
        </row>
        <row r="774">
          <cell r="B774">
            <v>40275</v>
          </cell>
        </row>
        <row r="775">
          <cell r="B775">
            <v>40274</v>
          </cell>
        </row>
        <row r="776">
          <cell r="B776">
            <v>40273</v>
          </cell>
        </row>
        <row r="777">
          <cell r="B777">
            <v>40269</v>
          </cell>
        </row>
        <row r="778">
          <cell r="B778">
            <v>40268</v>
          </cell>
        </row>
        <row r="779">
          <cell r="B779">
            <v>40267</v>
          </cell>
        </row>
        <row r="780">
          <cell r="B780">
            <v>40266</v>
          </cell>
        </row>
        <row r="781">
          <cell r="B781">
            <v>40263</v>
          </cell>
        </row>
        <row r="782">
          <cell r="B782">
            <v>40262</v>
          </cell>
        </row>
        <row r="783">
          <cell r="B783">
            <v>40261</v>
          </cell>
        </row>
        <row r="784">
          <cell r="B784">
            <v>40260</v>
          </cell>
        </row>
        <row r="785">
          <cell r="B785">
            <v>40259</v>
          </cell>
        </row>
        <row r="786">
          <cell r="B786">
            <v>40256</v>
          </cell>
        </row>
        <row r="787">
          <cell r="B787">
            <v>40255</v>
          </cell>
        </row>
        <row r="788">
          <cell r="B788">
            <v>40254</v>
          </cell>
        </row>
        <row r="789">
          <cell r="B789">
            <v>40253</v>
          </cell>
        </row>
        <row r="790">
          <cell r="B790">
            <v>40252</v>
          </cell>
        </row>
        <row r="791">
          <cell r="B791">
            <v>40249</v>
          </cell>
        </row>
        <row r="792">
          <cell r="B792">
            <v>40248</v>
          </cell>
        </row>
        <row r="793">
          <cell r="B793">
            <v>40247</v>
          </cell>
        </row>
        <row r="794">
          <cell r="B794">
            <v>40246</v>
          </cell>
        </row>
        <row r="795">
          <cell r="B795">
            <v>40245</v>
          </cell>
        </row>
        <row r="796">
          <cell r="B796">
            <v>40242</v>
          </cell>
        </row>
        <row r="797">
          <cell r="B797">
            <v>40241</v>
          </cell>
        </row>
        <row r="798">
          <cell r="B798">
            <v>40240</v>
          </cell>
        </row>
        <row r="799">
          <cell r="B799">
            <v>40239</v>
          </cell>
        </row>
        <row r="800">
          <cell r="B800">
            <v>40238</v>
          </cell>
        </row>
        <row r="801">
          <cell r="B801">
            <v>40235</v>
          </cell>
        </row>
        <row r="802">
          <cell r="B802">
            <v>40234</v>
          </cell>
        </row>
        <row r="803">
          <cell r="B803">
            <v>40233</v>
          </cell>
        </row>
        <row r="804">
          <cell r="B804">
            <v>40232</v>
          </cell>
        </row>
        <row r="805">
          <cell r="B805">
            <v>40231</v>
          </cell>
        </row>
        <row r="806">
          <cell r="B806">
            <v>40228</v>
          </cell>
        </row>
        <row r="807">
          <cell r="B807">
            <v>40227</v>
          </cell>
        </row>
        <row r="808">
          <cell r="B808">
            <v>40226</v>
          </cell>
        </row>
        <row r="809">
          <cell r="B809">
            <v>40225</v>
          </cell>
        </row>
        <row r="810">
          <cell r="B810">
            <v>40221</v>
          </cell>
        </row>
        <row r="811">
          <cell r="B811">
            <v>40220</v>
          </cell>
        </row>
        <row r="812">
          <cell r="B812">
            <v>40219</v>
          </cell>
        </row>
        <row r="813">
          <cell r="B813">
            <v>40218</v>
          </cell>
        </row>
        <row r="814">
          <cell r="B814">
            <v>40217</v>
          </cell>
        </row>
        <row r="815">
          <cell r="B815">
            <v>40214</v>
          </cell>
        </row>
        <row r="816">
          <cell r="B816">
            <v>40213</v>
          </cell>
        </row>
        <row r="817">
          <cell r="B817">
            <v>40212</v>
          </cell>
        </row>
        <row r="818">
          <cell r="B818">
            <v>40211</v>
          </cell>
        </row>
        <row r="819">
          <cell r="B819">
            <v>40210</v>
          </cell>
        </row>
        <row r="820">
          <cell r="B820">
            <v>40207</v>
          </cell>
        </row>
        <row r="821">
          <cell r="B821">
            <v>40206</v>
          </cell>
        </row>
        <row r="822">
          <cell r="B822">
            <v>40205</v>
          </cell>
        </row>
        <row r="823">
          <cell r="B823">
            <v>40204</v>
          </cell>
        </row>
        <row r="824">
          <cell r="B824">
            <v>40203</v>
          </cell>
        </row>
        <row r="825">
          <cell r="B825">
            <v>40200</v>
          </cell>
        </row>
        <row r="826">
          <cell r="B826">
            <v>40199</v>
          </cell>
        </row>
        <row r="827">
          <cell r="B827">
            <v>40198</v>
          </cell>
        </row>
        <row r="828">
          <cell r="B828">
            <v>40197</v>
          </cell>
        </row>
        <row r="829">
          <cell r="B829">
            <v>40193</v>
          </cell>
        </row>
        <row r="830">
          <cell r="B830">
            <v>40192</v>
          </cell>
        </row>
        <row r="831">
          <cell r="B831">
            <v>40191</v>
          </cell>
        </row>
        <row r="832">
          <cell r="B832">
            <v>40190</v>
          </cell>
        </row>
        <row r="833">
          <cell r="B833">
            <v>40189</v>
          </cell>
        </row>
        <row r="834">
          <cell r="B834">
            <v>40186</v>
          </cell>
        </row>
        <row r="835">
          <cell r="B835">
            <v>40185</v>
          </cell>
        </row>
        <row r="836">
          <cell r="B836">
            <v>40184</v>
          </cell>
        </row>
        <row r="837">
          <cell r="B837">
            <v>40183</v>
          </cell>
        </row>
        <row r="838">
          <cell r="B838">
            <v>40182</v>
          </cell>
        </row>
        <row r="839">
          <cell r="B839">
            <v>40178</v>
          </cell>
        </row>
        <row r="840">
          <cell r="B840">
            <v>40177</v>
          </cell>
        </row>
        <row r="841">
          <cell r="B841">
            <v>40176</v>
          </cell>
        </row>
        <row r="842">
          <cell r="B842">
            <v>40175</v>
          </cell>
        </row>
        <row r="843">
          <cell r="B843">
            <v>40171</v>
          </cell>
        </row>
        <row r="844">
          <cell r="B844">
            <v>40170</v>
          </cell>
        </row>
        <row r="845">
          <cell r="B845">
            <v>40169</v>
          </cell>
        </row>
        <row r="846">
          <cell r="B846">
            <v>40168</v>
          </cell>
        </row>
        <row r="847">
          <cell r="B847">
            <v>40165</v>
          </cell>
        </row>
        <row r="848">
          <cell r="B848">
            <v>40164</v>
          </cell>
        </row>
        <row r="849">
          <cell r="B849">
            <v>40163</v>
          </cell>
        </row>
        <row r="850">
          <cell r="B850">
            <v>40162</v>
          </cell>
        </row>
        <row r="851">
          <cell r="B851">
            <v>40161</v>
          </cell>
        </row>
        <row r="852">
          <cell r="B852">
            <v>40158</v>
          </cell>
        </row>
        <row r="853">
          <cell r="B853">
            <v>40157</v>
          </cell>
        </row>
        <row r="854">
          <cell r="B854">
            <v>40156</v>
          </cell>
        </row>
        <row r="855">
          <cell r="B855">
            <v>40155</v>
          </cell>
        </row>
        <row r="856">
          <cell r="B856">
            <v>40154</v>
          </cell>
        </row>
        <row r="857">
          <cell r="B857">
            <v>40151</v>
          </cell>
        </row>
        <row r="858">
          <cell r="B858">
            <v>40150</v>
          </cell>
        </row>
        <row r="859">
          <cell r="B859">
            <v>40149</v>
          </cell>
        </row>
        <row r="860">
          <cell r="B860">
            <v>40148</v>
          </cell>
        </row>
        <row r="861">
          <cell r="B861">
            <v>40147</v>
          </cell>
        </row>
        <row r="862">
          <cell r="B862">
            <v>40144</v>
          </cell>
        </row>
        <row r="863">
          <cell r="B863">
            <v>40142</v>
          </cell>
        </row>
        <row r="864">
          <cell r="B864">
            <v>40141</v>
          </cell>
        </row>
        <row r="865">
          <cell r="B865">
            <v>40140</v>
          </cell>
        </row>
        <row r="866">
          <cell r="B866">
            <v>40137</v>
          </cell>
        </row>
        <row r="867">
          <cell r="B867">
            <v>40136</v>
          </cell>
        </row>
        <row r="868">
          <cell r="B868">
            <v>40135</v>
          </cell>
        </row>
        <row r="869">
          <cell r="B869">
            <v>40134</v>
          </cell>
        </row>
        <row r="870">
          <cell r="B870">
            <v>40133</v>
          </cell>
        </row>
        <row r="871">
          <cell r="B871">
            <v>40130</v>
          </cell>
        </row>
        <row r="872">
          <cell r="B872">
            <v>40129</v>
          </cell>
        </row>
        <row r="873">
          <cell r="B873">
            <v>40128</v>
          </cell>
        </row>
        <row r="874">
          <cell r="B874">
            <v>40127</v>
          </cell>
        </row>
        <row r="875">
          <cell r="B875">
            <v>40126</v>
          </cell>
        </row>
        <row r="876">
          <cell r="B876">
            <v>40123</v>
          </cell>
        </row>
        <row r="877">
          <cell r="B877">
            <v>40122</v>
          </cell>
        </row>
        <row r="878">
          <cell r="B878">
            <v>40121</v>
          </cell>
        </row>
        <row r="879">
          <cell r="B879">
            <v>40120</v>
          </cell>
        </row>
        <row r="880">
          <cell r="B880">
            <v>40119</v>
          </cell>
        </row>
        <row r="881">
          <cell r="B881">
            <v>40116</v>
          </cell>
        </row>
        <row r="882">
          <cell r="B882">
            <v>40115</v>
          </cell>
        </row>
        <row r="883">
          <cell r="B883">
            <v>40114</v>
          </cell>
        </row>
        <row r="884">
          <cell r="B884">
            <v>40113</v>
          </cell>
        </row>
        <row r="885">
          <cell r="B885">
            <v>40112</v>
          </cell>
        </row>
        <row r="886">
          <cell r="B886">
            <v>40109</v>
          </cell>
        </row>
        <row r="887">
          <cell r="B887">
            <v>40108</v>
          </cell>
        </row>
        <row r="888">
          <cell r="B888">
            <v>40107</v>
          </cell>
        </row>
        <row r="889">
          <cell r="B889">
            <v>40106</v>
          </cell>
        </row>
        <row r="890">
          <cell r="B890">
            <v>40105</v>
          </cell>
        </row>
        <row r="891">
          <cell r="B891">
            <v>40102</v>
          </cell>
        </row>
        <row r="892">
          <cell r="B892">
            <v>40101</v>
          </cell>
        </row>
        <row r="893">
          <cell r="B893">
            <v>40100</v>
          </cell>
        </row>
        <row r="894">
          <cell r="B894">
            <v>40099</v>
          </cell>
        </row>
        <row r="895">
          <cell r="B895">
            <v>40098</v>
          </cell>
        </row>
        <row r="896">
          <cell r="B896">
            <v>40095</v>
          </cell>
        </row>
        <row r="897">
          <cell r="B897">
            <v>40094</v>
          </cell>
        </row>
        <row r="898">
          <cell r="B898">
            <v>40093</v>
          </cell>
        </row>
        <row r="899">
          <cell r="B899">
            <v>40092</v>
          </cell>
        </row>
        <row r="900">
          <cell r="B900">
            <v>40091</v>
          </cell>
        </row>
        <row r="901">
          <cell r="B901">
            <v>40088</v>
          </cell>
        </row>
        <row r="902">
          <cell r="B902">
            <v>40087</v>
          </cell>
        </row>
        <row r="903">
          <cell r="B903">
            <v>40086</v>
          </cell>
        </row>
        <row r="904">
          <cell r="B904">
            <v>40085</v>
          </cell>
        </row>
        <row r="905">
          <cell r="B905">
            <v>40084</v>
          </cell>
        </row>
        <row r="906">
          <cell r="B906">
            <v>40081</v>
          </cell>
        </row>
        <row r="907">
          <cell r="B907">
            <v>40080</v>
          </cell>
        </row>
        <row r="908">
          <cell r="B908">
            <v>40079</v>
          </cell>
        </row>
        <row r="909">
          <cell r="B909">
            <v>40078</v>
          </cell>
        </row>
        <row r="910">
          <cell r="B910">
            <v>40077</v>
          </cell>
        </row>
        <row r="911">
          <cell r="B911">
            <v>40074</v>
          </cell>
        </row>
        <row r="912">
          <cell r="B912">
            <v>40073</v>
          </cell>
        </row>
        <row r="913">
          <cell r="B913">
            <v>40072</v>
          </cell>
        </row>
        <row r="914">
          <cell r="B914">
            <v>40071</v>
          </cell>
        </row>
        <row r="915">
          <cell r="B915">
            <v>40070</v>
          </cell>
        </row>
        <row r="916">
          <cell r="B916">
            <v>40067</v>
          </cell>
        </row>
        <row r="917">
          <cell r="B917">
            <v>40066</v>
          </cell>
        </row>
        <row r="918">
          <cell r="B918">
            <v>40065</v>
          </cell>
        </row>
        <row r="919">
          <cell r="B919">
            <v>40064</v>
          </cell>
        </row>
        <row r="920">
          <cell r="B920">
            <v>40060</v>
          </cell>
        </row>
        <row r="921">
          <cell r="B921">
            <v>40059</v>
          </cell>
        </row>
        <row r="922">
          <cell r="B922">
            <v>40058</v>
          </cell>
        </row>
        <row r="923">
          <cell r="B923">
            <v>40057</v>
          </cell>
        </row>
        <row r="924">
          <cell r="B924">
            <v>40056</v>
          </cell>
        </row>
        <row r="925">
          <cell r="B925">
            <v>40053</v>
          </cell>
        </row>
        <row r="926">
          <cell r="B926">
            <v>40052</v>
          </cell>
        </row>
        <row r="927">
          <cell r="B927">
            <v>40051</v>
          </cell>
        </row>
        <row r="928">
          <cell r="B928">
            <v>40050</v>
          </cell>
        </row>
        <row r="929">
          <cell r="B929">
            <v>40049</v>
          </cell>
        </row>
        <row r="930">
          <cell r="B930">
            <v>40046</v>
          </cell>
        </row>
        <row r="931">
          <cell r="B931">
            <v>40045</v>
          </cell>
        </row>
        <row r="932">
          <cell r="B932">
            <v>40044</v>
          </cell>
        </row>
        <row r="933">
          <cell r="B933">
            <v>40043</v>
          </cell>
        </row>
        <row r="934">
          <cell r="B934">
            <v>40042</v>
          </cell>
        </row>
        <row r="935">
          <cell r="B935">
            <v>40039</v>
          </cell>
        </row>
        <row r="936">
          <cell r="B936">
            <v>40038</v>
          </cell>
        </row>
        <row r="937">
          <cell r="B937">
            <v>40037</v>
          </cell>
        </row>
        <row r="938">
          <cell r="B938">
            <v>40036</v>
          </cell>
        </row>
        <row r="939">
          <cell r="B939">
            <v>40035</v>
          </cell>
        </row>
        <row r="940">
          <cell r="B940">
            <v>40032</v>
          </cell>
        </row>
        <row r="941">
          <cell r="B941">
            <v>40031</v>
          </cell>
        </row>
        <row r="942">
          <cell r="B942">
            <v>40030</v>
          </cell>
        </row>
        <row r="943">
          <cell r="B943">
            <v>40029</v>
          </cell>
        </row>
        <row r="944">
          <cell r="B944">
            <v>40028</v>
          </cell>
        </row>
        <row r="945">
          <cell r="B945">
            <v>40025</v>
          </cell>
        </row>
        <row r="946">
          <cell r="B946">
            <v>40024</v>
          </cell>
        </row>
        <row r="947">
          <cell r="B947">
            <v>40023</v>
          </cell>
        </row>
        <row r="948">
          <cell r="B948">
            <v>40022</v>
          </cell>
        </row>
        <row r="949">
          <cell r="B949">
            <v>40021</v>
          </cell>
        </row>
        <row r="950">
          <cell r="B950">
            <v>40018</v>
          </cell>
        </row>
        <row r="951">
          <cell r="B951">
            <v>40017</v>
          </cell>
        </row>
        <row r="952">
          <cell r="B952">
            <v>40016</v>
          </cell>
        </row>
        <row r="953">
          <cell r="B953">
            <v>40015</v>
          </cell>
        </row>
        <row r="954">
          <cell r="B954">
            <v>40014</v>
          </cell>
        </row>
        <row r="955">
          <cell r="B955">
            <v>40011</v>
          </cell>
        </row>
        <row r="956">
          <cell r="B956">
            <v>40010</v>
          </cell>
        </row>
        <row r="957">
          <cell r="B957">
            <v>40009</v>
          </cell>
        </row>
        <row r="958">
          <cell r="B958">
            <v>40008</v>
          </cell>
        </row>
        <row r="959">
          <cell r="B959">
            <v>40007</v>
          </cell>
        </row>
        <row r="960">
          <cell r="B960">
            <v>40004</v>
          </cell>
        </row>
        <row r="961">
          <cell r="B961">
            <v>40003</v>
          </cell>
        </row>
        <row r="962">
          <cell r="B962">
            <v>40002</v>
          </cell>
        </row>
        <row r="963">
          <cell r="B963">
            <v>40001</v>
          </cell>
        </row>
        <row r="964">
          <cell r="B964">
            <v>40000</v>
          </cell>
        </row>
        <row r="965">
          <cell r="B965">
            <v>39996</v>
          </cell>
        </row>
        <row r="966">
          <cell r="B966">
            <v>39995</v>
          </cell>
        </row>
        <row r="967">
          <cell r="B967">
            <v>39994</v>
          </cell>
        </row>
        <row r="968">
          <cell r="B968">
            <v>39993</v>
          </cell>
        </row>
        <row r="969">
          <cell r="B969">
            <v>39990</v>
          </cell>
        </row>
        <row r="970">
          <cell r="B970">
            <v>39989</v>
          </cell>
        </row>
        <row r="971">
          <cell r="B971">
            <v>39988</v>
          </cell>
        </row>
        <row r="972">
          <cell r="B972">
            <v>39987</v>
          </cell>
        </row>
        <row r="973">
          <cell r="B973">
            <v>39986</v>
          </cell>
        </row>
        <row r="974">
          <cell r="B974">
            <v>39983</v>
          </cell>
        </row>
        <row r="975">
          <cell r="B975">
            <v>39982</v>
          </cell>
        </row>
        <row r="976">
          <cell r="B976">
            <v>39981</v>
          </cell>
        </row>
        <row r="977">
          <cell r="B977">
            <v>39980</v>
          </cell>
        </row>
        <row r="978">
          <cell r="B978">
            <v>39979</v>
          </cell>
        </row>
        <row r="979">
          <cell r="B979">
            <v>39976</v>
          </cell>
        </row>
        <row r="980">
          <cell r="B980">
            <v>39975</v>
          </cell>
        </row>
        <row r="981">
          <cell r="B981">
            <v>39974</v>
          </cell>
        </row>
        <row r="982">
          <cell r="B982">
            <v>39973</v>
          </cell>
        </row>
        <row r="983">
          <cell r="B983">
            <v>39972</v>
          </cell>
        </row>
        <row r="984">
          <cell r="B984">
            <v>39969</v>
          </cell>
        </row>
        <row r="985">
          <cell r="B985">
            <v>39968</v>
          </cell>
        </row>
        <row r="986">
          <cell r="B986">
            <v>39967</v>
          </cell>
        </row>
        <row r="987">
          <cell r="B987">
            <v>39966</v>
          </cell>
        </row>
        <row r="988">
          <cell r="B988">
            <v>39965</v>
          </cell>
        </row>
        <row r="989">
          <cell r="B989">
            <v>39962</v>
          </cell>
        </row>
        <row r="990">
          <cell r="B990">
            <v>39961</v>
          </cell>
        </row>
        <row r="991">
          <cell r="B991">
            <v>39960</v>
          </cell>
        </row>
        <row r="992">
          <cell r="B992">
            <v>39959</v>
          </cell>
        </row>
        <row r="993">
          <cell r="B993">
            <v>39955</v>
          </cell>
        </row>
        <row r="994">
          <cell r="B994">
            <v>39954</v>
          </cell>
        </row>
        <row r="995">
          <cell r="B995">
            <v>39953</v>
          </cell>
        </row>
        <row r="996">
          <cell r="B996">
            <v>39952</v>
          </cell>
        </row>
        <row r="997">
          <cell r="B997">
            <v>39951</v>
          </cell>
        </row>
        <row r="998">
          <cell r="B998">
            <v>39948</v>
          </cell>
        </row>
        <row r="999">
          <cell r="B999">
            <v>39947</v>
          </cell>
        </row>
        <row r="1000">
          <cell r="B1000">
            <v>39946</v>
          </cell>
        </row>
        <row r="1001">
          <cell r="B1001">
            <v>39945</v>
          </cell>
        </row>
        <row r="1002">
          <cell r="B1002">
            <v>39944</v>
          </cell>
        </row>
        <row r="1003">
          <cell r="B1003">
            <v>39941</v>
          </cell>
        </row>
        <row r="1004">
          <cell r="B1004">
            <v>39940</v>
          </cell>
        </row>
        <row r="1005">
          <cell r="B1005">
            <v>39939</v>
          </cell>
        </row>
        <row r="1006">
          <cell r="B1006">
            <v>39938</v>
          </cell>
        </row>
        <row r="1007">
          <cell r="B1007">
            <v>39937</v>
          </cell>
        </row>
        <row r="1008">
          <cell r="B1008">
            <v>39934</v>
          </cell>
        </row>
        <row r="1009">
          <cell r="B1009">
            <v>39933</v>
          </cell>
        </row>
        <row r="1010">
          <cell r="B1010">
            <v>39932</v>
          </cell>
        </row>
        <row r="1011">
          <cell r="B1011">
            <v>39931</v>
          </cell>
        </row>
        <row r="1012">
          <cell r="B1012">
            <v>39930</v>
          </cell>
        </row>
        <row r="1013">
          <cell r="B1013">
            <v>39927</v>
          </cell>
        </row>
        <row r="1014">
          <cell r="B1014">
            <v>39926</v>
          </cell>
        </row>
        <row r="1015">
          <cell r="B1015">
            <v>39925</v>
          </cell>
        </row>
        <row r="1016">
          <cell r="B1016">
            <v>39924</v>
          </cell>
        </row>
        <row r="1017">
          <cell r="B1017">
            <v>39923</v>
          </cell>
        </row>
        <row r="1018">
          <cell r="B1018">
            <v>39920</v>
          </cell>
        </row>
        <row r="1019">
          <cell r="B1019">
            <v>39919</v>
          </cell>
        </row>
        <row r="1020">
          <cell r="B1020">
            <v>39918</v>
          </cell>
        </row>
        <row r="1021">
          <cell r="B1021">
            <v>39917</v>
          </cell>
        </row>
        <row r="1022">
          <cell r="B1022">
            <v>39916</v>
          </cell>
        </row>
        <row r="1023">
          <cell r="B1023">
            <v>39912</v>
          </cell>
        </row>
        <row r="1024">
          <cell r="B1024">
            <v>39911</v>
          </cell>
        </row>
        <row r="1025">
          <cell r="B1025">
            <v>39910</v>
          </cell>
        </row>
        <row r="1026">
          <cell r="B1026">
            <v>39909</v>
          </cell>
        </row>
        <row r="1027">
          <cell r="B1027">
            <v>39906</v>
          </cell>
        </row>
        <row r="1028">
          <cell r="B1028">
            <v>39905</v>
          </cell>
        </row>
        <row r="1029">
          <cell r="B1029">
            <v>39904</v>
          </cell>
        </row>
        <row r="1030">
          <cell r="B1030">
            <v>39903</v>
          </cell>
        </row>
        <row r="1031">
          <cell r="B1031">
            <v>39902</v>
          </cell>
        </row>
        <row r="1032">
          <cell r="B1032">
            <v>39899</v>
          </cell>
        </row>
        <row r="1033">
          <cell r="B1033">
            <v>39898</v>
          </cell>
        </row>
        <row r="1034">
          <cell r="B1034">
            <v>39897</v>
          </cell>
        </row>
        <row r="1035">
          <cell r="B1035">
            <v>39896</v>
          </cell>
        </row>
        <row r="1036">
          <cell r="B1036">
            <v>39895</v>
          </cell>
        </row>
        <row r="1037">
          <cell r="B1037">
            <v>39892</v>
          </cell>
        </row>
        <row r="1038">
          <cell r="B1038">
            <v>39891</v>
          </cell>
        </row>
        <row r="1039">
          <cell r="B1039">
            <v>39890</v>
          </cell>
        </row>
        <row r="1040">
          <cell r="B1040">
            <v>39889</v>
          </cell>
        </row>
        <row r="1041">
          <cell r="B1041">
            <v>39888</v>
          </cell>
        </row>
        <row r="1042">
          <cell r="B1042">
            <v>39885</v>
          </cell>
        </row>
        <row r="1043">
          <cell r="B1043">
            <v>39884</v>
          </cell>
        </row>
        <row r="1044">
          <cell r="B1044">
            <v>39883</v>
          </cell>
        </row>
        <row r="1045">
          <cell r="B1045">
            <v>39882</v>
          </cell>
        </row>
        <row r="1046">
          <cell r="B1046">
            <v>39881</v>
          </cell>
        </row>
        <row r="1047">
          <cell r="B1047">
            <v>39878</v>
          </cell>
        </row>
        <row r="1048">
          <cell r="B1048">
            <v>39877</v>
          </cell>
        </row>
        <row r="1049">
          <cell r="B1049">
            <v>39876</v>
          </cell>
        </row>
        <row r="1050">
          <cell r="B1050">
            <v>39875</v>
          </cell>
        </row>
        <row r="1051">
          <cell r="B1051">
            <v>39874</v>
          </cell>
        </row>
        <row r="1052">
          <cell r="B1052">
            <v>39871</v>
          </cell>
        </row>
        <row r="1053">
          <cell r="B1053">
            <v>39870</v>
          </cell>
        </row>
        <row r="1054">
          <cell r="B1054">
            <v>39869</v>
          </cell>
        </row>
        <row r="1055">
          <cell r="B1055">
            <v>39868</v>
          </cell>
        </row>
        <row r="1056">
          <cell r="B1056">
            <v>39867</v>
          </cell>
        </row>
        <row r="1057">
          <cell r="B1057">
            <v>39864</v>
          </cell>
        </row>
        <row r="1058">
          <cell r="B1058">
            <v>39863</v>
          </cell>
        </row>
        <row r="1059">
          <cell r="B1059">
            <v>39862</v>
          </cell>
        </row>
        <row r="1060">
          <cell r="B1060">
            <v>39861</v>
          </cell>
        </row>
        <row r="1061">
          <cell r="B1061">
            <v>39857</v>
          </cell>
        </row>
        <row r="1062">
          <cell r="B1062">
            <v>39856</v>
          </cell>
        </row>
        <row r="1063">
          <cell r="B1063">
            <v>39855</v>
          </cell>
        </row>
        <row r="1064">
          <cell r="B1064">
            <v>39854</v>
          </cell>
        </row>
        <row r="1065">
          <cell r="B1065">
            <v>39853</v>
          </cell>
        </row>
        <row r="1066">
          <cell r="B1066">
            <v>39850</v>
          </cell>
        </row>
        <row r="1067">
          <cell r="B1067">
            <v>39849</v>
          </cell>
        </row>
        <row r="1068">
          <cell r="B1068">
            <v>39848</v>
          </cell>
        </row>
        <row r="1069">
          <cell r="B1069">
            <v>39847</v>
          </cell>
        </row>
        <row r="1070">
          <cell r="B1070">
            <v>39846</v>
          </cell>
        </row>
        <row r="1071">
          <cell r="B1071">
            <v>39843</v>
          </cell>
        </row>
        <row r="1072">
          <cell r="B1072">
            <v>39842</v>
          </cell>
        </row>
        <row r="1073">
          <cell r="B1073">
            <v>39841</v>
          </cell>
        </row>
        <row r="1074">
          <cell r="B1074">
            <v>39840</v>
          </cell>
        </row>
        <row r="1075">
          <cell r="B1075">
            <v>39839</v>
          </cell>
        </row>
        <row r="1076">
          <cell r="B1076">
            <v>39836</v>
          </cell>
        </row>
        <row r="1077">
          <cell r="B1077">
            <v>39835</v>
          </cell>
        </row>
        <row r="1078">
          <cell r="B1078">
            <v>39834</v>
          </cell>
        </row>
        <row r="1079">
          <cell r="B1079">
            <v>39833</v>
          </cell>
        </row>
        <row r="1080">
          <cell r="B1080">
            <v>39829</v>
          </cell>
        </row>
        <row r="1081">
          <cell r="B1081">
            <v>39828</v>
          </cell>
        </row>
        <row r="1082">
          <cell r="B1082">
            <v>39827</v>
          </cell>
        </row>
        <row r="1083">
          <cell r="B1083">
            <v>39826</v>
          </cell>
        </row>
        <row r="1084">
          <cell r="B1084">
            <v>39825</v>
          </cell>
        </row>
        <row r="1085">
          <cell r="B1085">
            <v>39822</v>
          </cell>
        </row>
        <row r="1086">
          <cell r="B1086">
            <v>39821</v>
          </cell>
        </row>
        <row r="1087">
          <cell r="B1087">
            <v>39820</v>
          </cell>
        </row>
        <row r="1088">
          <cell r="B1088">
            <v>39819</v>
          </cell>
        </row>
        <row r="1089">
          <cell r="B1089">
            <v>39818</v>
          </cell>
        </row>
        <row r="1090">
          <cell r="B1090">
            <v>39815</v>
          </cell>
        </row>
        <row r="1091">
          <cell r="B1091">
            <v>39813</v>
          </cell>
        </row>
        <row r="1092">
          <cell r="B1092">
            <v>39812</v>
          </cell>
        </row>
        <row r="1093">
          <cell r="B1093">
            <v>39811</v>
          </cell>
        </row>
        <row r="1094">
          <cell r="B1094">
            <v>39808</v>
          </cell>
        </row>
        <row r="1095">
          <cell r="B1095">
            <v>39806</v>
          </cell>
        </row>
        <row r="1096">
          <cell r="B1096">
            <v>39805</v>
          </cell>
        </row>
        <row r="1097">
          <cell r="B1097">
            <v>39804</v>
          </cell>
        </row>
        <row r="1098">
          <cell r="B1098">
            <v>39801</v>
          </cell>
        </row>
        <row r="1099">
          <cell r="B1099">
            <v>39800</v>
          </cell>
        </row>
        <row r="1100">
          <cell r="B1100">
            <v>39799</v>
          </cell>
        </row>
        <row r="1101">
          <cell r="B1101">
            <v>39798</v>
          </cell>
        </row>
        <row r="1102">
          <cell r="B1102">
            <v>39797</v>
          </cell>
        </row>
        <row r="1103">
          <cell r="B1103">
            <v>39794</v>
          </cell>
        </row>
        <row r="1104">
          <cell r="B1104">
            <v>39793</v>
          </cell>
        </row>
        <row r="1105">
          <cell r="B1105">
            <v>39792</v>
          </cell>
        </row>
        <row r="1106">
          <cell r="B1106">
            <v>39791</v>
          </cell>
        </row>
        <row r="1107">
          <cell r="B1107">
            <v>39790</v>
          </cell>
        </row>
        <row r="1108">
          <cell r="B1108">
            <v>39787</v>
          </cell>
        </row>
        <row r="1109">
          <cell r="B1109">
            <v>39786</v>
          </cell>
        </row>
        <row r="1110">
          <cell r="B1110">
            <v>39785</v>
          </cell>
        </row>
        <row r="1111">
          <cell r="B1111">
            <v>39784</v>
          </cell>
        </row>
        <row r="1112">
          <cell r="B1112">
            <v>39783</v>
          </cell>
        </row>
        <row r="1113">
          <cell r="B1113">
            <v>39780</v>
          </cell>
        </row>
        <row r="1114">
          <cell r="B1114">
            <v>39778</v>
          </cell>
        </row>
        <row r="1115">
          <cell r="B1115">
            <v>39777</v>
          </cell>
        </row>
        <row r="1116">
          <cell r="B1116">
            <v>39776</v>
          </cell>
        </row>
        <row r="1117">
          <cell r="B1117">
            <v>39773</v>
          </cell>
        </row>
        <row r="1118">
          <cell r="B1118">
            <v>39772</v>
          </cell>
        </row>
        <row r="1119">
          <cell r="B1119">
            <v>39771</v>
          </cell>
        </row>
        <row r="1120">
          <cell r="B1120">
            <v>39770</v>
          </cell>
        </row>
        <row r="1121">
          <cell r="B1121">
            <v>39769</v>
          </cell>
        </row>
        <row r="1122">
          <cell r="B1122">
            <v>39766</v>
          </cell>
        </row>
        <row r="1123">
          <cell r="B1123">
            <v>39765</v>
          </cell>
        </row>
        <row r="1124">
          <cell r="B1124">
            <v>39764</v>
          </cell>
        </row>
        <row r="1125">
          <cell r="B1125">
            <v>39763</v>
          </cell>
        </row>
        <row r="1126">
          <cell r="B1126">
            <v>39762</v>
          </cell>
        </row>
        <row r="1127">
          <cell r="B1127">
            <v>39759</v>
          </cell>
        </row>
        <row r="1128">
          <cell r="B1128">
            <v>39758</v>
          </cell>
        </row>
        <row r="1129">
          <cell r="B1129">
            <v>39757</v>
          </cell>
        </row>
        <row r="1130">
          <cell r="B1130">
            <v>39756</v>
          </cell>
        </row>
        <row r="1131">
          <cell r="B1131">
            <v>39755</v>
          </cell>
        </row>
        <row r="1132">
          <cell r="B1132">
            <v>39752</v>
          </cell>
        </row>
        <row r="1133">
          <cell r="B1133">
            <v>39751</v>
          </cell>
        </row>
        <row r="1134">
          <cell r="B1134">
            <v>39750</v>
          </cell>
        </row>
        <row r="1135">
          <cell r="B1135">
            <v>39749</v>
          </cell>
        </row>
        <row r="1136">
          <cell r="B1136">
            <v>39748</v>
          </cell>
        </row>
        <row r="1137">
          <cell r="B1137">
            <v>39745</v>
          </cell>
        </row>
        <row r="1138">
          <cell r="B1138">
            <v>39744</v>
          </cell>
        </row>
        <row r="1139">
          <cell r="B1139">
            <v>39743</v>
          </cell>
        </row>
        <row r="1140">
          <cell r="B1140">
            <v>39742</v>
          </cell>
        </row>
        <row r="1141">
          <cell r="B1141">
            <v>39741</v>
          </cell>
        </row>
        <row r="1142">
          <cell r="B1142">
            <v>39738</v>
          </cell>
        </row>
        <row r="1143">
          <cell r="B1143">
            <v>39737</v>
          </cell>
        </row>
        <row r="1144">
          <cell r="B1144">
            <v>39736</v>
          </cell>
        </row>
        <row r="1145">
          <cell r="B1145">
            <v>39735</v>
          </cell>
        </row>
        <row r="1146">
          <cell r="B1146">
            <v>39734</v>
          </cell>
        </row>
        <row r="1147">
          <cell r="B1147">
            <v>39731</v>
          </cell>
        </row>
        <row r="1148">
          <cell r="B1148">
            <v>39730</v>
          </cell>
        </row>
        <row r="1149">
          <cell r="B1149">
            <v>39729</v>
          </cell>
        </row>
        <row r="1150">
          <cell r="B1150">
            <v>39728</v>
          </cell>
        </row>
        <row r="1151">
          <cell r="B1151">
            <v>39727</v>
          </cell>
        </row>
        <row r="1152">
          <cell r="B1152">
            <v>39724</v>
          </cell>
        </row>
        <row r="1153">
          <cell r="B1153">
            <v>39723</v>
          </cell>
        </row>
        <row r="1154">
          <cell r="B1154">
            <v>39722</v>
          </cell>
        </row>
        <row r="1155">
          <cell r="B1155">
            <v>39721</v>
          </cell>
        </row>
        <row r="1156">
          <cell r="B1156">
            <v>39720</v>
          </cell>
        </row>
        <row r="1157">
          <cell r="B1157">
            <v>39717</v>
          </cell>
        </row>
        <row r="1158">
          <cell r="B1158">
            <v>39716</v>
          </cell>
        </row>
        <row r="1159">
          <cell r="B1159">
            <v>39715</v>
          </cell>
        </row>
        <row r="1160">
          <cell r="B1160">
            <v>39714</v>
          </cell>
        </row>
        <row r="1161">
          <cell r="B1161">
            <v>39713</v>
          </cell>
        </row>
        <row r="1162">
          <cell r="B1162">
            <v>39710</v>
          </cell>
        </row>
        <row r="1163">
          <cell r="B1163">
            <v>39709</v>
          </cell>
        </row>
        <row r="1164">
          <cell r="B1164">
            <v>39708</v>
          </cell>
        </row>
        <row r="1165">
          <cell r="B1165">
            <v>39707</v>
          </cell>
        </row>
        <row r="1166">
          <cell r="B1166">
            <v>39706</v>
          </cell>
        </row>
        <row r="1167">
          <cell r="B1167">
            <v>39703</v>
          </cell>
        </row>
        <row r="1168">
          <cell r="B1168">
            <v>39702</v>
          </cell>
        </row>
        <row r="1169">
          <cell r="B1169">
            <v>39701</v>
          </cell>
        </row>
        <row r="1170">
          <cell r="B1170">
            <v>39700</v>
          </cell>
        </row>
        <row r="1171">
          <cell r="B1171">
            <v>39699</v>
          </cell>
        </row>
        <row r="1172">
          <cell r="B1172">
            <v>39696</v>
          </cell>
        </row>
        <row r="1173">
          <cell r="B1173">
            <v>39695</v>
          </cell>
        </row>
        <row r="1174">
          <cell r="B1174">
            <v>39694</v>
          </cell>
        </row>
        <row r="1175">
          <cell r="B1175">
            <v>39693</v>
          </cell>
        </row>
        <row r="1176">
          <cell r="B1176">
            <v>39689</v>
          </cell>
        </row>
        <row r="1177">
          <cell r="B1177">
            <v>39688</v>
          </cell>
        </row>
        <row r="1178">
          <cell r="B1178">
            <v>39687</v>
          </cell>
        </row>
        <row r="1179">
          <cell r="B1179">
            <v>39686</v>
          </cell>
        </row>
        <row r="1180">
          <cell r="B1180">
            <v>39685</v>
          </cell>
        </row>
        <row r="1181">
          <cell r="B1181">
            <v>39682</v>
          </cell>
        </row>
        <row r="1182">
          <cell r="B1182">
            <v>39681</v>
          </cell>
        </row>
        <row r="1183">
          <cell r="B1183">
            <v>39680</v>
          </cell>
        </row>
        <row r="1184">
          <cell r="B1184">
            <v>39679</v>
          </cell>
        </row>
        <row r="1185">
          <cell r="B1185">
            <v>39678</v>
          </cell>
        </row>
        <row r="1186">
          <cell r="B1186">
            <v>39675</v>
          </cell>
        </row>
        <row r="1187">
          <cell r="B1187">
            <v>39674</v>
          </cell>
        </row>
        <row r="1188">
          <cell r="B1188">
            <v>39673</v>
          </cell>
        </row>
        <row r="1189">
          <cell r="B1189">
            <v>39672</v>
          </cell>
        </row>
        <row r="1190">
          <cell r="B1190">
            <v>39671</v>
          </cell>
        </row>
        <row r="1191">
          <cell r="B1191">
            <v>39668</v>
          </cell>
        </row>
        <row r="1192">
          <cell r="B1192">
            <v>39667</v>
          </cell>
        </row>
        <row r="1193">
          <cell r="B1193">
            <v>39666</v>
          </cell>
        </row>
        <row r="1194">
          <cell r="B1194">
            <v>39665</v>
          </cell>
        </row>
        <row r="1195">
          <cell r="B1195">
            <v>39664</v>
          </cell>
        </row>
        <row r="1196">
          <cell r="B1196">
            <v>39661</v>
          </cell>
        </row>
        <row r="1197">
          <cell r="B1197">
            <v>39660</v>
          </cell>
        </row>
        <row r="1198">
          <cell r="B1198">
            <v>39659</v>
          </cell>
        </row>
        <row r="1199">
          <cell r="B1199">
            <v>39658</v>
          </cell>
        </row>
        <row r="1200">
          <cell r="B1200">
            <v>39657</v>
          </cell>
        </row>
        <row r="1201">
          <cell r="B1201">
            <v>39654</v>
          </cell>
        </row>
        <row r="1202">
          <cell r="B1202">
            <v>39653</v>
          </cell>
        </row>
        <row r="1203">
          <cell r="B1203">
            <v>39652</v>
          </cell>
        </row>
        <row r="1204">
          <cell r="B1204">
            <v>39651</v>
          </cell>
        </row>
        <row r="1205">
          <cell r="B1205">
            <v>39650</v>
          </cell>
        </row>
        <row r="1206">
          <cell r="B1206">
            <v>39647</v>
          </cell>
        </row>
        <row r="1207">
          <cell r="B1207">
            <v>39646</v>
          </cell>
        </row>
        <row r="1208">
          <cell r="B1208">
            <v>39645</v>
          </cell>
        </row>
        <row r="1209">
          <cell r="B1209">
            <v>39644</v>
          </cell>
        </row>
        <row r="1210">
          <cell r="B1210">
            <v>39643</v>
          </cell>
        </row>
        <row r="1211">
          <cell r="B1211">
            <v>39640</v>
          </cell>
        </row>
        <row r="1212">
          <cell r="B1212">
            <v>39639</v>
          </cell>
        </row>
        <row r="1213">
          <cell r="B1213">
            <v>39638</v>
          </cell>
        </row>
        <row r="1214">
          <cell r="B1214">
            <v>39637</v>
          </cell>
        </row>
        <row r="1215">
          <cell r="B1215">
            <v>39636</v>
          </cell>
        </row>
        <row r="1216">
          <cell r="B1216">
            <v>39632</v>
          </cell>
        </row>
        <row r="1217">
          <cell r="B1217">
            <v>39631</v>
          </cell>
        </row>
        <row r="1218">
          <cell r="B1218">
            <v>39630</v>
          </cell>
        </row>
        <row r="1219">
          <cell r="B1219">
            <v>39629</v>
          </cell>
        </row>
        <row r="1220">
          <cell r="B1220">
            <v>39626</v>
          </cell>
        </row>
        <row r="1221">
          <cell r="B1221">
            <v>39625</v>
          </cell>
        </row>
        <row r="1222">
          <cell r="B1222">
            <v>39624</v>
          </cell>
        </row>
        <row r="1223">
          <cell r="B1223">
            <v>39623</v>
          </cell>
        </row>
        <row r="1224">
          <cell r="B1224">
            <v>39622</v>
          </cell>
        </row>
        <row r="1225">
          <cell r="B1225">
            <v>39619</v>
          </cell>
        </row>
        <row r="1226">
          <cell r="B1226">
            <v>39618</v>
          </cell>
        </row>
        <row r="1227">
          <cell r="B1227">
            <v>39617</v>
          </cell>
        </row>
        <row r="1228">
          <cell r="B1228">
            <v>39616</v>
          </cell>
        </row>
        <row r="1229">
          <cell r="B1229">
            <v>39615</v>
          </cell>
        </row>
        <row r="1230">
          <cell r="B1230">
            <v>39612</v>
          </cell>
        </row>
        <row r="1231">
          <cell r="B1231">
            <v>39611</v>
          </cell>
        </row>
        <row r="1232">
          <cell r="B1232">
            <v>39610</v>
          </cell>
        </row>
        <row r="1233">
          <cell r="B1233">
            <v>39609</v>
          </cell>
        </row>
        <row r="1234">
          <cell r="B1234">
            <v>39608</v>
          </cell>
        </row>
        <row r="1235">
          <cell r="B1235">
            <v>39605</v>
          </cell>
        </row>
        <row r="1236">
          <cell r="B1236">
            <v>39604</v>
          </cell>
        </row>
        <row r="1237">
          <cell r="B1237">
            <v>39603</v>
          </cell>
        </row>
        <row r="1238">
          <cell r="B1238">
            <v>39602</v>
          </cell>
        </row>
        <row r="1239">
          <cell r="B1239">
            <v>39601</v>
          </cell>
        </row>
        <row r="1240">
          <cell r="B1240">
            <v>39598</v>
          </cell>
        </row>
        <row r="1241">
          <cell r="B1241">
            <v>39597</v>
          </cell>
        </row>
        <row r="1242">
          <cell r="B1242">
            <v>39596</v>
          </cell>
        </row>
        <row r="1243">
          <cell r="B1243">
            <v>39595</v>
          </cell>
        </row>
        <row r="1244">
          <cell r="B1244">
            <v>39591</v>
          </cell>
        </row>
        <row r="1245">
          <cell r="B1245">
            <v>39590</v>
          </cell>
        </row>
        <row r="1246">
          <cell r="B1246">
            <v>39589</v>
          </cell>
        </row>
        <row r="1247">
          <cell r="B1247">
            <v>39588</v>
          </cell>
        </row>
        <row r="1248">
          <cell r="B1248">
            <v>39587</v>
          </cell>
        </row>
        <row r="1249">
          <cell r="B1249">
            <v>39584</v>
          </cell>
        </row>
        <row r="1250">
          <cell r="B1250">
            <v>39583</v>
          </cell>
        </row>
        <row r="1251">
          <cell r="B1251">
            <v>39582</v>
          </cell>
        </row>
        <row r="1252">
          <cell r="B1252">
            <v>39581</v>
          </cell>
        </row>
        <row r="1253">
          <cell r="B1253">
            <v>39580</v>
          </cell>
        </row>
        <row r="1254">
          <cell r="B1254">
            <v>39577</v>
          </cell>
        </row>
        <row r="1255">
          <cell r="B1255">
            <v>39576</v>
          </cell>
        </row>
        <row r="1256">
          <cell r="B1256">
            <v>39575</v>
          </cell>
        </row>
        <row r="1257">
          <cell r="B1257">
            <v>39574</v>
          </cell>
        </row>
        <row r="1258">
          <cell r="B1258">
            <v>39573</v>
          </cell>
        </row>
        <row r="1259">
          <cell r="B1259">
            <v>39570</v>
          </cell>
        </row>
        <row r="1260">
          <cell r="B1260">
            <v>39569</v>
          </cell>
        </row>
        <row r="1261">
          <cell r="B1261">
            <v>39568</v>
          </cell>
        </row>
        <row r="1262">
          <cell r="B1262">
            <v>39567</v>
          </cell>
        </row>
        <row r="1263">
          <cell r="B1263">
            <v>39566</v>
          </cell>
        </row>
        <row r="1264">
          <cell r="B1264">
            <v>39563</v>
          </cell>
        </row>
        <row r="1265">
          <cell r="B1265">
            <v>39562</v>
          </cell>
        </row>
        <row r="1266">
          <cell r="B1266">
            <v>39561</v>
          </cell>
        </row>
        <row r="1267">
          <cell r="B1267">
            <v>39560</v>
          </cell>
        </row>
        <row r="1268">
          <cell r="B1268">
            <v>39559</v>
          </cell>
        </row>
        <row r="1269">
          <cell r="B1269">
            <v>39556</v>
          </cell>
        </row>
      </sheetData>
      <sheetData sheetId="28">
        <row r="11">
          <cell r="B11">
            <v>41383</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s"/>
      <sheetName val="EXHIBITS &gt;&gt;"/>
      <sheetName val="_CIQHiddenCacheSheet"/>
      <sheetName val="Cover Sheet"/>
      <sheetName val="TOC"/>
      <sheetName val="Summary (2)"/>
      <sheetName val="Reconciliation"/>
      <sheetName val="DCF (Gordon Growth)"/>
      <sheetName val="DCF sensitivity"/>
      <sheetName val="DFNWC"/>
      <sheetName val="depr"/>
      <sheetName val="GPC"/>
      <sheetName val="adj. BEV - Rev"/>
      <sheetName val="adj. BEV-EBITDA"/>
      <sheetName val="Size Adj"/>
      <sheetName val="1. GPC - BEV"/>
      <sheetName val="TRX"/>
      <sheetName val="Trx_Data"/>
      <sheetName val="Trx_Desc"/>
      <sheetName val="OPM_Summary (2)"/>
      <sheetName val="Breakpoints (2)"/>
      <sheetName val="Cap-Detail (2)"/>
      <sheetName val="IS"/>
      <sheetName val="BS"/>
      <sheetName val="DLOM_asian"/>
      <sheetName val="Volatility"/>
      <sheetName val="WACC"/>
      <sheetName val="Beta"/>
      <sheetName val="2. GPC - oper metrics"/>
      <sheetName val="3. GPC - oper margin"/>
      <sheetName val="4. GPC - RevGrowth"/>
      <sheetName val="5. GPC-EBITDAGrowth"/>
      <sheetName val="6. GPC-capex"/>
      <sheetName val="7. GPC WC"/>
      <sheetName val="GPC Deferred Revenue"/>
      <sheetName val="8. GPC Desc"/>
      <sheetName val="8. GPC Desc (2)"/>
      <sheetName val="ctrl premium"/>
      <sheetName val="NOL"/>
      <sheetName val="Debt Valuation (2)"/>
      <sheetName val="Debt Valuation (Notes)"/>
      <sheetName val="Fixed Income Support"/>
      <sheetName val="PTM - Secondary"/>
      <sheetName val="Workpapers&gt;&gt;&gt;"/>
      <sheetName val="Summary_main"/>
      <sheetName val="DLOM (finnerty)"/>
      <sheetName val="Debt Valuation (3)"/>
      <sheetName val="7. GPC-BS"/>
      <sheetName val="DLOM (2)"/>
      <sheetName val="LiqCalc"/>
      <sheetName val="Vol. Calc"/>
      <sheetName val="Rates Interp"/>
      <sheetName val="CS"/>
      <sheetName val="capiq fixed income Screening"/>
      <sheetName val="CLIENT_DATA &gt;&gt;"/>
      <sheetName val="Amortization"/>
      <sheetName val="Term 1"/>
      <sheetName val="Revolver 1"/>
      <sheetName val="Revolver 2"/>
      <sheetName val="Carve Out"/>
      <sheetName val="Unused Facility Fee"/>
      <sheetName val="CAP Aug 1 13"/>
      <sheetName val="Intangible Amortization"/>
      <sheetName val="2012"/>
      <sheetName val="3 4 5 6 P&amp;L 13 Act v 13 Plan"/>
      <sheetName val="CPSExport (3)"/>
      <sheetName val="GPC WkPapers&gt;&gt;&gt;"/>
      <sheetName val="DCF (Exit Multiple)"/>
      <sheetName val="GPC_Selection Analysis"/>
      <sheetName val="Valuation Multiples"/>
      <sheetName val="APPENDICES &gt;&gt;"/>
      <sheetName val="WORKPAPERS &gt;&gt;"/>
      <sheetName val="NOT USED &gt;&gt;"/>
      <sheetName val="Comparative1"/>
      <sheetName val="Debt"/>
      <sheetName val="Debt Valuation"/>
    </sheetNames>
    <sheetDataSet>
      <sheetData sheetId="0">
        <row r="40">
          <cell r="I40" t="str">
            <v>(User access restricted)</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PC(old)"/>
      <sheetName val="Vol (3.0) yr"/>
      <sheetName val="volc calc"/>
      <sheetName val="Inputs"/>
      <sheetName val="adjusted BEV to EBITDA"/>
      <sheetName val="Summary(old)"/>
      <sheetName val="IRR_Reasonableness"/>
      <sheetName val="_CIQHiddenCacheSheet"/>
      <sheetName val="Summary(new)"/>
      <sheetName val="Reconciliation"/>
      <sheetName val="OPM Summary(Market)"/>
      <sheetName val="Breakpoints(Market)"/>
      <sheetName val="CapTable"/>
      <sheetName val="CapDetail"/>
      <sheetName val="Venture Summary(new)"/>
      <sheetName val="Venture_data(new)"/>
      <sheetName val="GPC(new)"/>
      <sheetName val="adjusted BEV to Rev"/>
      <sheetName val="GPC-BEV"/>
      <sheetName val="GPC-oper metrics"/>
      <sheetName val="GPC-oper margins"/>
      <sheetName val="GPC-RevGrowth"/>
      <sheetName val="GPC-EBITDAGrowth"/>
      <sheetName val="size adj calc"/>
      <sheetName val="GPC Desc"/>
      <sheetName val="Trx(new)"/>
      <sheetName val="trx_data"/>
      <sheetName val="Trx Desc"/>
      <sheetName val="BS"/>
      <sheetName val="client_budget(old)"/>
      <sheetName val="IS"/>
      <sheetName val="DLOM(CS)"/>
      <sheetName val="DLOC"/>
      <sheetName val="DLOC_Subj"/>
      <sheetName val="Summary Backsolve"/>
      <sheetName val="OPM Summary(BS)"/>
      <sheetName val="Breakpoints(BS)"/>
      <sheetName val="Implied Asset Vol"/>
      <sheetName val="DLOM(PS)"/>
      <sheetName val="Executive Dashboard"/>
      <sheetName val="Post Money(old)"/>
      <sheetName val="Venture Summary(App)"/>
      <sheetName val="Venture_data(App)"/>
      <sheetName val="VC IRR"/>
      <sheetName val="wp=&gt;"/>
      <sheetName val="trxRaw dataWkPaper"/>
      <sheetName val="OPM_data"/>
      <sheetName val="OPM_calc(Mkt)"/>
      <sheetName val="OPM_calc(BS)"/>
      <sheetName val="Venture_data (OLD)"/>
      <sheetName val="BS (OLD)"/>
      <sheetName val="IS (OLD)"/>
      <sheetName val="Treasuries"/>
      <sheetName val="DLOM(FMV)"/>
      <sheetName val="WACC(new)"/>
      <sheetName val="GPC-op mul_WkPaper"/>
      <sheetName val="BETA calc"/>
      <sheetName val="GPC Beta"/>
      <sheetName val="Venture_RawData (Hardcoded)"/>
      <sheetName val="Venture_RawData"/>
      <sheetName val="VentureSource"/>
      <sheetName val="client data=&gt;"/>
      <sheetName val="Cap Table (old)"/>
      <sheetName val="Cap Table (2)(old)"/>
      <sheetName val="P&amp;L Summary(old)"/>
      <sheetName val="IS - 2012(old)"/>
      <sheetName val="BS - 2012(old)"/>
      <sheetName val="Schedule of Stock Options(old)"/>
      <sheetName val="Series C Warrants(old)"/>
      <sheetName val="client_Series C WarrantsStrikes"/>
      <sheetName val="client_Stock OptionsStrikes"/>
      <sheetName val="client_Series C-1 Preferred"/>
      <sheetName val="client_CapTableDetailed"/>
      <sheetName val="client_StockOptionDetail"/>
      <sheetName val="client_BS_2010"/>
      <sheetName val="client_BS_2011"/>
      <sheetName val="client_BS_2012"/>
      <sheetName val="client_P&amp;L_2010"/>
      <sheetName val="client P&amp;L_2011"/>
      <sheetName val="client P&amp;L_2012"/>
      <sheetName val="client _P&amp;L_2013"/>
      <sheetName val="FMV Study ---&gt;"/>
      <sheetName val="Company data"/>
      <sheetName val="FMV Summary"/>
      <sheetName val="Output Tables"/>
      <sheetName val="Output Subjective Factors"/>
      <sheetName val="Data"/>
      <sheetName val="Sort by holding period"/>
      <sheetName val="Block size 1yr"/>
      <sheetName val="Block size 2yr"/>
      <sheetName val="Dollar Size of transaction"/>
      <sheetName val="Net Income"/>
      <sheetName val="MV of Equity"/>
      <sheetName val="Revenue"/>
      <sheetName val="Total Assets"/>
      <sheetName val="Registration Rights"/>
      <sheetName val="not used=&gt;"/>
      <sheetName val="Asset Vol_Calc (2.0y)"/>
      <sheetName val="Depr"/>
      <sheetName val="DCF"/>
      <sheetName val="WACC"/>
      <sheetName val="NOL"/>
      <sheetName val="DLOM (dif)"/>
      <sheetName val="Volc (1yr)1"/>
      <sheetName val="Venture_val (old)"/>
      <sheetName val="Venture_val"/>
      <sheetName val="CapTable(old)"/>
      <sheetName val="VIX"/>
    </sheetNames>
    <sheetDataSet>
      <sheetData sheetId="0"/>
      <sheetData sheetId="1">
        <row r="7">
          <cell r="B7">
            <v>41305</v>
          </cell>
        </row>
      </sheetData>
      <sheetData sheetId="2">
        <row r="7">
          <cell r="B7">
            <v>41305</v>
          </cell>
        </row>
        <row r="8">
          <cell r="B8">
            <v>41304</v>
          </cell>
        </row>
        <row r="9">
          <cell r="B9">
            <v>41303</v>
          </cell>
        </row>
        <row r="10">
          <cell r="B10">
            <v>41302</v>
          </cell>
        </row>
        <row r="11">
          <cell r="B11">
            <v>41299</v>
          </cell>
        </row>
        <row r="12">
          <cell r="B12">
            <v>41298</v>
          </cell>
        </row>
        <row r="13">
          <cell r="B13">
            <v>41297</v>
          </cell>
        </row>
        <row r="14">
          <cell r="B14">
            <v>41296</v>
          </cell>
        </row>
        <row r="15">
          <cell r="B15">
            <v>41292</v>
          </cell>
        </row>
        <row r="16">
          <cell r="B16">
            <v>41291</v>
          </cell>
        </row>
        <row r="17">
          <cell r="B17">
            <v>41290</v>
          </cell>
        </row>
        <row r="18">
          <cell r="B18">
            <v>41289</v>
          </cell>
        </row>
        <row r="19">
          <cell r="B19">
            <v>41288</v>
          </cell>
        </row>
        <row r="20">
          <cell r="B20">
            <v>41285</v>
          </cell>
        </row>
        <row r="21">
          <cell r="B21">
            <v>41284</v>
          </cell>
        </row>
        <row r="22">
          <cell r="B22">
            <v>41283</v>
          </cell>
        </row>
        <row r="23">
          <cell r="B23">
            <v>41282</v>
          </cell>
        </row>
        <row r="24">
          <cell r="B24">
            <v>41281</v>
          </cell>
        </row>
        <row r="25">
          <cell r="B25">
            <v>41278</v>
          </cell>
        </row>
        <row r="26">
          <cell r="B26">
            <v>41277</v>
          </cell>
        </row>
        <row r="27">
          <cell r="B27">
            <v>41276</v>
          </cell>
        </row>
        <row r="28">
          <cell r="B28">
            <v>41274</v>
          </cell>
        </row>
        <row r="29">
          <cell r="B29">
            <v>41271</v>
          </cell>
        </row>
        <row r="30">
          <cell r="B30">
            <v>41270</v>
          </cell>
        </row>
        <row r="31">
          <cell r="B31">
            <v>41269</v>
          </cell>
        </row>
        <row r="32">
          <cell r="B32">
            <v>41267</v>
          </cell>
        </row>
        <row r="33">
          <cell r="B33">
            <v>41264</v>
          </cell>
        </row>
        <row r="34">
          <cell r="B34">
            <v>41263</v>
          </cell>
        </row>
        <row r="35">
          <cell r="B35">
            <v>41262</v>
          </cell>
        </row>
        <row r="36">
          <cell r="B36">
            <v>41261</v>
          </cell>
        </row>
        <row r="37">
          <cell r="B37">
            <v>41260</v>
          </cell>
        </row>
        <row r="38">
          <cell r="B38">
            <v>41257</v>
          </cell>
        </row>
        <row r="39">
          <cell r="B39">
            <v>41256</v>
          </cell>
        </row>
        <row r="40">
          <cell r="B40">
            <v>41255</v>
          </cell>
        </row>
        <row r="41">
          <cell r="B41">
            <v>41254</v>
          </cell>
        </row>
        <row r="42">
          <cell r="B42">
            <v>41253</v>
          </cell>
        </row>
        <row r="43">
          <cell r="B43">
            <v>41250</v>
          </cell>
        </row>
        <row r="44">
          <cell r="B44">
            <v>41249</v>
          </cell>
        </row>
        <row r="45">
          <cell r="B45">
            <v>41248</v>
          </cell>
        </row>
        <row r="46">
          <cell r="B46">
            <v>41247</v>
          </cell>
        </row>
        <row r="47">
          <cell r="B47">
            <v>41246</v>
          </cell>
        </row>
        <row r="48">
          <cell r="B48">
            <v>41243</v>
          </cell>
        </row>
        <row r="49">
          <cell r="B49">
            <v>41242</v>
          </cell>
        </row>
        <row r="50">
          <cell r="B50">
            <v>41241</v>
          </cell>
        </row>
        <row r="51">
          <cell r="B51">
            <v>41240</v>
          </cell>
        </row>
        <row r="52">
          <cell r="B52">
            <v>41239</v>
          </cell>
        </row>
        <row r="53">
          <cell r="B53">
            <v>41236</v>
          </cell>
        </row>
        <row r="54">
          <cell r="B54">
            <v>41234</v>
          </cell>
        </row>
        <row r="55">
          <cell r="B55">
            <v>41233</v>
          </cell>
        </row>
        <row r="56">
          <cell r="B56">
            <v>41232</v>
          </cell>
        </row>
        <row r="57">
          <cell r="B57">
            <v>41229</v>
          </cell>
        </row>
        <row r="58">
          <cell r="B58">
            <v>41228</v>
          </cell>
        </row>
        <row r="59">
          <cell r="B59">
            <v>41227</v>
          </cell>
        </row>
        <row r="60">
          <cell r="B60">
            <v>41226</v>
          </cell>
        </row>
        <row r="61">
          <cell r="B61">
            <v>41225</v>
          </cell>
        </row>
        <row r="62">
          <cell r="B62">
            <v>41222</v>
          </cell>
        </row>
        <row r="63">
          <cell r="B63">
            <v>41221</v>
          </cell>
        </row>
        <row r="64">
          <cell r="B64">
            <v>41220</v>
          </cell>
        </row>
        <row r="65">
          <cell r="B65">
            <v>41219</v>
          </cell>
        </row>
        <row r="66">
          <cell r="B66">
            <v>41218</v>
          </cell>
        </row>
        <row r="67">
          <cell r="B67">
            <v>41215</v>
          </cell>
        </row>
        <row r="68">
          <cell r="B68">
            <v>41214</v>
          </cell>
        </row>
        <row r="69">
          <cell r="B69">
            <v>41213</v>
          </cell>
        </row>
        <row r="70">
          <cell r="B70">
            <v>41208</v>
          </cell>
        </row>
        <row r="71">
          <cell r="B71">
            <v>41207</v>
          </cell>
        </row>
        <row r="72">
          <cell r="B72">
            <v>41206</v>
          </cell>
        </row>
        <row r="73">
          <cell r="B73">
            <v>41205</v>
          </cell>
        </row>
        <row r="74">
          <cell r="B74">
            <v>41204</v>
          </cell>
        </row>
        <row r="75">
          <cell r="B75">
            <v>41201</v>
          </cell>
        </row>
        <row r="76">
          <cell r="B76">
            <v>41200</v>
          </cell>
        </row>
        <row r="77">
          <cell r="B77">
            <v>41199</v>
          </cell>
        </row>
        <row r="78">
          <cell r="B78">
            <v>41198</v>
          </cell>
        </row>
        <row r="79">
          <cell r="B79">
            <v>41197</v>
          </cell>
        </row>
        <row r="80">
          <cell r="B80">
            <v>41194</v>
          </cell>
        </row>
        <row r="81">
          <cell r="B81">
            <v>41193</v>
          </cell>
        </row>
        <row r="82">
          <cell r="B82">
            <v>41192</v>
          </cell>
        </row>
        <row r="83">
          <cell r="B83">
            <v>41191</v>
          </cell>
        </row>
        <row r="84">
          <cell r="B84">
            <v>41190</v>
          </cell>
        </row>
        <row r="85">
          <cell r="B85">
            <v>41187</v>
          </cell>
        </row>
        <row r="86">
          <cell r="B86">
            <v>41186</v>
          </cell>
        </row>
        <row r="87">
          <cell r="B87">
            <v>41185</v>
          </cell>
        </row>
        <row r="88">
          <cell r="B88">
            <v>41184</v>
          </cell>
        </row>
        <row r="89">
          <cell r="B89">
            <v>41183</v>
          </cell>
        </row>
        <row r="90">
          <cell r="B90">
            <v>41180</v>
          </cell>
        </row>
        <row r="91">
          <cell r="B91">
            <v>41179</v>
          </cell>
        </row>
        <row r="92">
          <cell r="B92">
            <v>41178</v>
          </cell>
        </row>
        <row r="93">
          <cell r="B93">
            <v>41177</v>
          </cell>
        </row>
        <row r="94">
          <cell r="B94">
            <v>41176</v>
          </cell>
        </row>
        <row r="95">
          <cell r="B95">
            <v>41173</v>
          </cell>
        </row>
        <row r="96">
          <cell r="B96">
            <v>41172</v>
          </cell>
        </row>
        <row r="97">
          <cell r="B97">
            <v>41171</v>
          </cell>
        </row>
        <row r="98">
          <cell r="B98">
            <v>41170</v>
          </cell>
        </row>
        <row r="99">
          <cell r="B99">
            <v>41169</v>
          </cell>
        </row>
        <row r="100">
          <cell r="B100">
            <v>41166</v>
          </cell>
        </row>
        <row r="101">
          <cell r="B101">
            <v>41165</v>
          </cell>
        </row>
        <row r="102">
          <cell r="B102">
            <v>41164</v>
          </cell>
        </row>
        <row r="103">
          <cell r="B103">
            <v>41163</v>
          </cell>
        </row>
        <row r="104">
          <cell r="B104">
            <v>41162</v>
          </cell>
        </row>
        <row r="105">
          <cell r="B105">
            <v>41159</v>
          </cell>
        </row>
        <row r="106">
          <cell r="B106">
            <v>41158</v>
          </cell>
        </row>
        <row r="107">
          <cell r="B107">
            <v>41157</v>
          </cell>
        </row>
        <row r="108">
          <cell r="B108">
            <v>41156</v>
          </cell>
        </row>
        <row r="109">
          <cell r="B109">
            <v>41152</v>
          </cell>
        </row>
        <row r="110">
          <cell r="B110">
            <v>41151</v>
          </cell>
        </row>
        <row r="111">
          <cell r="B111">
            <v>41150</v>
          </cell>
        </row>
        <row r="112">
          <cell r="B112">
            <v>41149</v>
          </cell>
        </row>
        <row r="113">
          <cell r="B113">
            <v>41148</v>
          </cell>
        </row>
        <row r="114">
          <cell r="B114">
            <v>41145</v>
          </cell>
        </row>
        <row r="115">
          <cell r="B115">
            <v>41144</v>
          </cell>
        </row>
        <row r="116">
          <cell r="B116">
            <v>41143</v>
          </cell>
        </row>
        <row r="117">
          <cell r="B117">
            <v>41142</v>
          </cell>
        </row>
        <row r="118">
          <cell r="B118">
            <v>41141</v>
          </cell>
        </row>
        <row r="119">
          <cell r="B119">
            <v>41138</v>
          </cell>
        </row>
        <row r="120">
          <cell r="B120">
            <v>41137</v>
          </cell>
        </row>
        <row r="121">
          <cell r="B121">
            <v>41136</v>
          </cell>
        </row>
        <row r="122">
          <cell r="B122">
            <v>41135</v>
          </cell>
        </row>
        <row r="123">
          <cell r="B123">
            <v>41134</v>
          </cell>
        </row>
        <row r="124">
          <cell r="B124">
            <v>41131</v>
          </cell>
        </row>
        <row r="125">
          <cell r="B125">
            <v>41130</v>
          </cell>
        </row>
        <row r="126">
          <cell r="B126">
            <v>41129</v>
          </cell>
        </row>
        <row r="127">
          <cell r="B127">
            <v>41128</v>
          </cell>
        </row>
        <row r="128">
          <cell r="B128">
            <v>41127</v>
          </cell>
        </row>
        <row r="129">
          <cell r="B129">
            <v>41124</v>
          </cell>
        </row>
        <row r="130">
          <cell r="B130">
            <v>41123</v>
          </cell>
        </row>
        <row r="131">
          <cell r="B131">
            <v>41122</v>
          </cell>
        </row>
        <row r="132">
          <cell r="B132">
            <v>41121</v>
          </cell>
        </row>
        <row r="133">
          <cell r="B133">
            <v>41120</v>
          </cell>
        </row>
        <row r="134">
          <cell r="B134">
            <v>41117</v>
          </cell>
        </row>
        <row r="135">
          <cell r="B135">
            <v>41116</v>
          </cell>
        </row>
        <row r="136">
          <cell r="B136">
            <v>41115</v>
          </cell>
        </row>
        <row r="137">
          <cell r="B137">
            <v>41114</v>
          </cell>
        </row>
        <row r="138">
          <cell r="B138">
            <v>41113</v>
          </cell>
        </row>
        <row r="139">
          <cell r="B139">
            <v>41110</v>
          </cell>
        </row>
        <row r="140">
          <cell r="B140">
            <v>41109</v>
          </cell>
        </row>
        <row r="141">
          <cell r="B141">
            <v>41108</v>
          </cell>
        </row>
        <row r="142">
          <cell r="B142">
            <v>41107</v>
          </cell>
        </row>
        <row r="143">
          <cell r="B143">
            <v>41106</v>
          </cell>
        </row>
        <row r="144">
          <cell r="B144">
            <v>41103</v>
          </cell>
        </row>
        <row r="145">
          <cell r="B145">
            <v>41102</v>
          </cell>
        </row>
        <row r="146">
          <cell r="B146">
            <v>41101</v>
          </cell>
        </row>
        <row r="147">
          <cell r="B147">
            <v>41100</v>
          </cell>
        </row>
        <row r="148">
          <cell r="B148">
            <v>41099</v>
          </cell>
        </row>
        <row r="149">
          <cell r="B149">
            <v>41096</v>
          </cell>
        </row>
        <row r="150">
          <cell r="B150">
            <v>41095</v>
          </cell>
        </row>
        <row r="151">
          <cell r="B151">
            <v>41093</v>
          </cell>
        </row>
        <row r="152">
          <cell r="B152">
            <v>41092</v>
          </cell>
        </row>
        <row r="153">
          <cell r="B153">
            <v>41089</v>
          </cell>
        </row>
        <row r="154">
          <cell r="B154">
            <v>41088</v>
          </cell>
        </row>
        <row r="155">
          <cell r="B155">
            <v>41087</v>
          </cell>
        </row>
        <row r="156">
          <cell r="B156">
            <v>41086</v>
          </cell>
        </row>
        <row r="157">
          <cell r="B157">
            <v>41085</v>
          </cell>
        </row>
        <row r="158">
          <cell r="B158">
            <v>41082</v>
          </cell>
        </row>
        <row r="159">
          <cell r="B159">
            <v>41081</v>
          </cell>
        </row>
        <row r="160">
          <cell r="B160">
            <v>41080</v>
          </cell>
        </row>
        <row r="161">
          <cell r="B161">
            <v>41079</v>
          </cell>
        </row>
        <row r="162">
          <cell r="B162">
            <v>41078</v>
          </cell>
        </row>
        <row r="163">
          <cell r="B163">
            <v>41075</v>
          </cell>
        </row>
        <row r="164">
          <cell r="B164">
            <v>41074</v>
          </cell>
        </row>
        <row r="165">
          <cell r="B165">
            <v>41073</v>
          </cell>
        </row>
        <row r="166">
          <cell r="B166">
            <v>41072</v>
          </cell>
        </row>
        <row r="167">
          <cell r="B167">
            <v>41071</v>
          </cell>
        </row>
        <row r="168">
          <cell r="B168">
            <v>41068</v>
          </cell>
        </row>
        <row r="169">
          <cell r="B169">
            <v>41067</v>
          </cell>
        </row>
        <row r="170">
          <cell r="B170">
            <v>41066</v>
          </cell>
        </row>
        <row r="171">
          <cell r="B171">
            <v>41065</v>
          </cell>
        </row>
        <row r="172">
          <cell r="B172">
            <v>41064</v>
          </cell>
        </row>
        <row r="173">
          <cell r="B173">
            <v>41061</v>
          </cell>
        </row>
        <row r="174">
          <cell r="B174">
            <v>41060</v>
          </cell>
        </row>
        <row r="175">
          <cell r="B175">
            <v>41059</v>
          </cell>
        </row>
        <row r="176">
          <cell r="B176">
            <v>41058</v>
          </cell>
        </row>
        <row r="177">
          <cell r="B177">
            <v>41054</v>
          </cell>
        </row>
        <row r="178">
          <cell r="B178">
            <v>41053</v>
          </cell>
        </row>
        <row r="179">
          <cell r="B179">
            <v>41052</v>
          </cell>
        </row>
        <row r="180">
          <cell r="B180">
            <v>41051</v>
          </cell>
        </row>
        <row r="181">
          <cell r="B181">
            <v>41050</v>
          </cell>
        </row>
        <row r="182">
          <cell r="B182">
            <v>41047</v>
          </cell>
        </row>
        <row r="183">
          <cell r="B183">
            <v>41046</v>
          </cell>
        </row>
        <row r="184">
          <cell r="B184">
            <v>41045</v>
          </cell>
        </row>
        <row r="185">
          <cell r="B185">
            <v>41044</v>
          </cell>
        </row>
        <row r="186">
          <cell r="B186">
            <v>41043</v>
          </cell>
        </row>
        <row r="187">
          <cell r="B187">
            <v>41040</v>
          </cell>
        </row>
        <row r="188">
          <cell r="B188">
            <v>41039</v>
          </cell>
        </row>
        <row r="189">
          <cell r="B189">
            <v>41038</v>
          </cell>
        </row>
        <row r="190">
          <cell r="B190">
            <v>41037</v>
          </cell>
        </row>
        <row r="191">
          <cell r="B191">
            <v>41036</v>
          </cell>
        </row>
        <row r="192">
          <cell r="B192">
            <v>41033</v>
          </cell>
        </row>
        <row r="193">
          <cell r="B193">
            <v>41032</v>
          </cell>
        </row>
        <row r="194">
          <cell r="B194">
            <v>41031</v>
          </cell>
        </row>
        <row r="195">
          <cell r="B195">
            <v>41030</v>
          </cell>
        </row>
        <row r="196">
          <cell r="B196">
            <v>41029</v>
          </cell>
        </row>
        <row r="197">
          <cell r="B197">
            <v>41026</v>
          </cell>
        </row>
        <row r="198">
          <cell r="B198">
            <v>41025</v>
          </cell>
        </row>
        <row r="199">
          <cell r="B199">
            <v>41024</v>
          </cell>
        </row>
        <row r="200">
          <cell r="B200">
            <v>41023</v>
          </cell>
        </row>
        <row r="201">
          <cell r="B201">
            <v>41022</v>
          </cell>
        </row>
        <row r="202">
          <cell r="B202">
            <v>41019</v>
          </cell>
        </row>
        <row r="203">
          <cell r="B203">
            <v>41018</v>
          </cell>
        </row>
        <row r="204">
          <cell r="B204">
            <v>41017</v>
          </cell>
        </row>
        <row r="205">
          <cell r="B205">
            <v>41016</v>
          </cell>
        </row>
        <row r="206">
          <cell r="B206">
            <v>41015</v>
          </cell>
        </row>
        <row r="207">
          <cell r="B207">
            <v>41012</v>
          </cell>
        </row>
        <row r="208">
          <cell r="B208">
            <v>41011</v>
          </cell>
        </row>
        <row r="209">
          <cell r="B209">
            <v>41010</v>
          </cell>
        </row>
        <row r="210">
          <cell r="B210">
            <v>41009</v>
          </cell>
        </row>
        <row r="211">
          <cell r="B211">
            <v>41008</v>
          </cell>
        </row>
        <row r="212">
          <cell r="B212">
            <v>41004</v>
          </cell>
        </row>
        <row r="213">
          <cell r="B213">
            <v>41003</v>
          </cell>
        </row>
        <row r="214">
          <cell r="B214">
            <v>41002</v>
          </cell>
        </row>
        <row r="215">
          <cell r="B215">
            <v>41001</v>
          </cell>
        </row>
        <row r="216">
          <cell r="B216">
            <v>40998</v>
          </cell>
        </row>
        <row r="217">
          <cell r="B217">
            <v>40997</v>
          </cell>
        </row>
        <row r="218">
          <cell r="B218">
            <v>40996</v>
          </cell>
        </row>
        <row r="219">
          <cell r="B219">
            <v>40995</v>
          </cell>
        </row>
        <row r="220">
          <cell r="B220">
            <v>40994</v>
          </cell>
        </row>
        <row r="221">
          <cell r="B221">
            <v>40991</v>
          </cell>
        </row>
        <row r="222">
          <cell r="B222">
            <v>40990</v>
          </cell>
        </row>
        <row r="223">
          <cell r="B223">
            <v>40989</v>
          </cell>
        </row>
        <row r="224">
          <cell r="B224">
            <v>40988</v>
          </cell>
        </row>
        <row r="225">
          <cell r="B225">
            <v>40987</v>
          </cell>
        </row>
        <row r="226">
          <cell r="B226">
            <v>40984</v>
          </cell>
        </row>
        <row r="227">
          <cell r="B227">
            <v>40983</v>
          </cell>
        </row>
        <row r="228">
          <cell r="B228">
            <v>40982</v>
          </cell>
        </row>
        <row r="229">
          <cell r="B229">
            <v>40981</v>
          </cell>
        </row>
        <row r="230">
          <cell r="B230">
            <v>40980</v>
          </cell>
        </row>
        <row r="231">
          <cell r="B231">
            <v>40977</v>
          </cell>
        </row>
        <row r="232">
          <cell r="B232">
            <v>40976</v>
          </cell>
        </row>
        <row r="233">
          <cell r="B233">
            <v>40975</v>
          </cell>
        </row>
        <row r="234">
          <cell r="B234">
            <v>40974</v>
          </cell>
        </row>
        <row r="235">
          <cell r="B235">
            <v>40973</v>
          </cell>
        </row>
        <row r="236">
          <cell r="B236">
            <v>40970</v>
          </cell>
        </row>
        <row r="237">
          <cell r="B237">
            <v>40969</v>
          </cell>
        </row>
        <row r="238">
          <cell r="B238">
            <v>40968</v>
          </cell>
        </row>
        <row r="239">
          <cell r="B239">
            <v>40967</v>
          </cell>
        </row>
        <row r="240">
          <cell r="B240">
            <v>40966</v>
          </cell>
        </row>
        <row r="241">
          <cell r="B241">
            <v>40963</v>
          </cell>
        </row>
        <row r="242">
          <cell r="B242">
            <v>40962</v>
          </cell>
        </row>
        <row r="243">
          <cell r="B243">
            <v>40961</v>
          </cell>
        </row>
        <row r="244">
          <cell r="B244">
            <v>40960</v>
          </cell>
        </row>
        <row r="245">
          <cell r="B245">
            <v>40956</v>
          </cell>
        </row>
        <row r="246">
          <cell r="B246">
            <v>40955</v>
          </cell>
        </row>
        <row r="247">
          <cell r="B247">
            <v>40954</v>
          </cell>
        </row>
        <row r="248">
          <cell r="B248">
            <v>40953</v>
          </cell>
        </row>
        <row r="249">
          <cell r="B249">
            <v>40952</v>
          </cell>
        </row>
        <row r="250">
          <cell r="B250">
            <v>40949</v>
          </cell>
        </row>
        <row r="251">
          <cell r="B251">
            <v>40948</v>
          </cell>
        </row>
        <row r="252">
          <cell r="B252">
            <v>40947</v>
          </cell>
        </row>
        <row r="253">
          <cell r="B253">
            <v>40946</v>
          </cell>
        </row>
        <row r="254">
          <cell r="B254">
            <v>40945</v>
          </cell>
        </row>
        <row r="255">
          <cell r="B255">
            <v>40942</v>
          </cell>
        </row>
        <row r="256">
          <cell r="B256">
            <v>40941</v>
          </cell>
        </row>
        <row r="257">
          <cell r="B257">
            <v>40940</v>
          </cell>
        </row>
        <row r="258">
          <cell r="B258">
            <v>40939</v>
          </cell>
        </row>
        <row r="259">
          <cell r="B259">
            <v>40938</v>
          </cell>
        </row>
        <row r="260">
          <cell r="B260">
            <v>40935</v>
          </cell>
        </row>
        <row r="261">
          <cell r="B261">
            <v>40934</v>
          </cell>
        </row>
        <row r="262">
          <cell r="B262">
            <v>40933</v>
          </cell>
        </row>
        <row r="263">
          <cell r="B263">
            <v>40932</v>
          </cell>
        </row>
        <row r="264">
          <cell r="B264">
            <v>40931</v>
          </cell>
        </row>
        <row r="265">
          <cell r="B265">
            <v>40928</v>
          </cell>
        </row>
        <row r="266">
          <cell r="B266">
            <v>40927</v>
          </cell>
        </row>
        <row r="267">
          <cell r="B267">
            <v>40926</v>
          </cell>
        </row>
        <row r="268">
          <cell r="B268">
            <v>40925</v>
          </cell>
        </row>
        <row r="269">
          <cell r="B269">
            <v>40921</v>
          </cell>
        </row>
        <row r="270">
          <cell r="B270">
            <v>40920</v>
          </cell>
        </row>
        <row r="271">
          <cell r="B271">
            <v>40919</v>
          </cell>
        </row>
        <row r="272">
          <cell r="B272">
            <v>40918</v>
          </cell>
        </row>
        <row r="273">
          <cell r="B273">
            <v>40917</v>
          </cell>
        </row>
        <row r="274">
          <cell r="B274">
            <v>40914</v>
          </cell>
        </row>
        <row r="275">
          <cell r="B275">
            <v>40913</v>
          </cell>
        </row>
        <row r="276">
          <cell r="B276">
            <v>40912</v>
          </cell>
        </row>
        <row r="277">
          <cell r="B277">
            <v>40911</v>
          </cell>
        </row>
        <row r="278">
          <cell r="B278">
            <v>40907</v>
          </cell>
        </row>
        <row r="279">
          <cell r="B279">
            <v>40906</v>
          </cell>
        </row>
        <row r="280">
          <cell r="B280">
            <v>40905</v>
          </cell>
        </row>
        <row r="281">
          <cell r="B281">
            <v>40904</v>
          </cell>
        </row>
        <row r="282">
          <cell r="B282">
            <v>40900</v>
          </cell>
        </row>
        <row r="283">
          <cell r="B283">
            <v>40899</v>
          </cell>
        </row>
        <row r="284">
          <cell r="B284">
            <v>40898</v>
          </cell>
        </row>
        <row r="285">
          <cell r="B285">
            <v>40897</v>
          </cell>
        </row>
        <row r="286">
          <cell r="B286">
            <v>40896</v>
          </cell>
        </row>
        <row r="287">
          <cell r="B287">
            <v>40893</v>
          </cell>
        </row>
        <row r="288">
          <cell r="B288">
            <v>40892</v>
          </cell>
        </row>
        <row r="289">
          <cell r="B289">
            <v>40891</v>
          </cell>
        </row>
        <row r="290">
          <cell r="B290">
            <v>40890</v>
          </cell>
        </row>
        <row r="291">
          <cell r="B291">
            <v>40889</v>
          </cell>
        </row>
        <row r="292">
          <cell r="B292">
            <v>40886</v>
          </cell>
        </row>
        <row r="293">
          <cell r="B293">
            <v>40885</v>
          </cell>
        </row>
        <row r="294">
          <cell r="B294">
            <v>40884</v>
          </cell>
        </row>
        <row r="295">
          <cell r="B295">
            <v>40883</v>
          </cell>
        </row>
        <row r="296">
          <cell r="B296">
            <v>40882</v>
          </cell>
        </row>
        <row r="297">
          <cell r="B297">
            <v>40879</v>
          </cell>
        </row>
        <row r="298">
          <cell r="B298">
            <v>40878</v>
          </cell>
        </row>
        <row r="299">
          <cell r="B299">
            <v>40877</v>
          </cell>
        </row>
        <row r="300">
          <cell r="B300">
            <v>40876</v>
          </cell>
        </row>
        <row r="301">
          <cell r="B301">
            <v>40875</v>
          </cell>
        </row>
        <row r="302">
          <cell r="B302">
            <v>40872</v>
          </cell>
        </row>
        <row r="303">
          <cell r="B303">
            <v>40870</v>
          </cell>
        </row>
        <row r="304">
          <cell r="B304">
            <v>40869</v>
          </cell>
        </row>
        <row r="305">
          <cell r="B305">
            <v>40868</v>
          </cell>
        </row>
        <row r="306">
          <cell r="B306">
            <v>40865</v>
          </cell>
        </row>
        <row r="307">
          <cell r="B307">
            <v>40864</v>
          </cell>
        </row>
        <row r="308">
          <cell r="B308">
            <v>40863</v>
          </cell>
        </row>
        <row r="309">
          <cell r="B309">
            <v>40862</v>
          </cell>
        </row>
        <row r="310">
          <cell r="B310">
            <v>40861</v>
          </cell>
        </row>
        <row r="311">
          <cell r="B311">
            <v>40858</v>
          </cell>
        </row>
        <row r="312">
          <cell r="B312">
            <v>40857</v>
          </cell>
        </row>
        <row r="313">
          <cell r="B313">
            <v>40856</v>
          </cell>
        </row>
        <row r="314">
          <cell r="B314">
            <v>40855</v>
          </cell>
        </row>
        <row r="315">
          <cell r="B315">
            <v>40854</v>
          </cell>
        </row>
        <row r="316">
          <cell r="B316">
            <v>40851</v>
          </cell>
        </row>
        <row r="317">
          <cell r="B317">
            <v>40850</v>
          </cell>
        </row>
        <row r="318">
          <cell r="B318">
            <v>40849</v>
          </cell>
        </row>
        <row r="319">
          <cell r="B319">
            <v>40848</v>
          </cell>
        </row>
        <row r="320">
          <cell r="B320">
            <v>40847</v>
          </cell>
        </row>
        <row r="321">
          <cell r="B321">
            <v>40844</v>
          </cell>
        </row>
        <row r="322">
          <cell r="B322">
            <v>40843</v>
          </cell>
        </row>
        <row r="323">
          <cell r="B323">
            <v>40842</v>
          </cell>
        </row>
        <row r="324">
          <cell r="B324">
            <v>40841</v>
          </cell>
        </row>
        <row r="325">
          <cell r="B325">
            <v>40840</v>
          </cell>
        </row>
        <row r="326">
          <cell r="B326">
            <v>40837</v>
          </cell>
        </row>
        <row r="327">
          <cell r="B327">
            <v>40836</v>
          </cell>
        </row>
        <row r="328">
          <cell r="B328">
            <v>40835</v>
          </cell>
        </row>
        <row r="329">
          <cell r="B329">
            <v>40834</v>
          </cell>
        </row>
        <row r="330">
          <cell r="B330">
            <v>40833</v>
          </cell>
        </row>
        <row r="331">
          <cell r="B331">
            <v>40830</v>
          </cell>
        </row>
        <row r="332">
          <cell r="B332">
            <v>40829</v>
          </cell>
        </row>
        <row r="333">
          <cell r="B333">
            <v>40828</v>
          </cell>
        </row>
        <row r="334">
          <cell r="B334">
            <v>40827</v>
          </cell>
        </row>
        <row r="335">
          <cell r="B335">
            <v>40826</v>
          </cell>
        </row>
        <row r="336">
          <cell r="B336">
            <v>40823</v>
          </cell>
        </row>
        <row r="337">
          <cell r="B337">
            <v>40822</v>
          </cell>
        </row>
        <row r="338">
          <cell r="B338">
            <v>40821</v>
          </cell>
        </row>
        <row r="339">
          <cell r="B339">
            <v>40820</v>
          </cell>
        </row>
        <row r="340">
          <cell r="B340">
            <v>40819</v>
          </cell>
        </row>
        <row r="341">
          <cell r="B341">
            <v>40816</v>
          </cell>
        </row>
        <row r="342">
          <cell r="B342">
            <v>40815</v>
          </cell>
        </row>
        <row r="343">
          <cell r="B343">
            <v>40814</v>
          </cell>
        </row>
        <row r="344">
          <cell r="B344">
            <v>40813</v>
          </cell>
        </row>
        <row r="345">
          <cell r="B345">
            <v>40812</v>
          </cell>
        </row>
        <row r="346">
          <cell r="B346">
            <v>40809</v>
          </cell>
        </row>
        <row r="347">
          <cell r="B347">
            <v>40808</v>
          </cell>
        </row>
        <row r="348">
          <cell r="B348">
            <v>40807</v>
          </cell>
        </row>
        <row r="349">
          <cell r="B349">
            <v>40806</v>
          </cell>
        </row>
        <row r="350">
          <cell r="B350">
            <v>40805</v>
          </cell>
        </row>
        <row r="351">
          <cell r="B351">
            <v>40802</v>
          </cell>
        </row>
        <row r="352">
          <cell r="B352">
            <v>40801</v>
          </cell>
        </row>
        <row r="353">
          <cell r="B353">
            <v>40800</v>
          </cell>
        </row>
        <row r="354">
          <cell r="B354">
            <v>40799</v>
          </cell>
        </row>
        <row r="355">
          <cell r="B355">
            <v>40798</v>
          </cell>
        </row>
        <row r="356">
          <cell r="B356">
            <v>40795</v>
          </cell>
        </row>
        <row r="357">
          <cell r="B357">
            <v>40794</v>
          </cell>
        </row>
        <row r="358">
          <cell r="B358">
            <v>40793</v>
          </cell>
        </row>
        <row r="359">
          <cell r="B359">
            <v>40792</v>
          </cell>
        </row>
        <row r="360">
          <cell r="B360">
            <v>40788</v>
          </cell>
        </row>
        <row r="361">
          <cell r="B361">
            <v>40787</v>
          </cell>
        </row>
        <row r="362">
          <cell r="B362">
            <v>40786</v>
          </cell>
        </row>
        <row r="363">
          <cell r="B363">
            <v>40785</v>
          </cell>
        </row>
        <row r="364">
          <cell r="B364">
            <v>40784</v>
          </cell>
        </row>
        <row r="365">
          <cell r="B365">
            <v>40781</v>
          </cell>
        </row>
        <row r="366">
          <cell r="B366">
            <v>40780</v>
          </cell>
        </row>
        <row r="367">
          <cell r="B367">
            <v>40779</v>
          </cell>
        </row>
        <row r="368">
          <cell r="B368">
            <v>40778</v>
          </cell>
        </row>
        <row r="369">
          <cell r="B369">
            <v>40777</v>
          </cell>
        </row>
        <row r="370">
          <cell r="B370">
            <v>40774</v>
          </cell>
        </row>
        <row r="371">
          <cell r="B371">
            <v>40773</v>
          </cell>
        </row>
        <row r="372">
          <cell r="B372">
            <v>40772</v>
          </cell>
        </row>
        <row r="373">
          <cell r="B373">
            <v>40771</v>
          </cell>
        </row>
        <row r="374">
          <cell r="B374">
            <v>40770</v>
          </cell>
        </row>
        <row r="375">
          <cell r="B375">
            <v>40767</v>
          </cell>
        </row>
        <row r="376">
          <cell r="B376">
            <v>40766</v>
          </cell>
        </row>
        <row r="377">
          <cell r="B377">
            <v>40765</v>
          </cell>
        </row>
        <row r="378">
          <cell r="B378">
            <v>40764</v>
          </cell>
        </row>
        <row r="379">
          <cell r="B379">
            <v>40763</v>
          </cell>
        </row>
        <row r="380">
          <cell r="B380">
            <v>40760</v>
          </cell>
        </row>
        <row r="381">
          <cell r="B381">
            <v>40759</v>
          </cell>
        </row>
        <row r="382">
          <cell r="B382">
            <v>40758</v>
          </cell>
        </row>
        <row r="383">
          <cell r="B383">
            <v>40757</v>
          </cell>
        </row>
        <row r="384">
          <cell r="B384">
            <v>40756</v>
          </cell>
        </row>
        <row r="385">
          <cell r="B385">
            <v>40753</v>
          </cell>
        </row>
        <row r="386">
          <cell r="B386">
            <v>40752</v>
          </cell>
        </row>
        <row r="387">
          <cell r="B387">
            <v>40751</v>
          </cell>
        </row>
        <row r="388">
          <cell r="B388">
            <v>40750</v>
          </cell>
        </row>
        <row r="389">
          <cell r="B389">
            <v>40749</v>
          </cell>
        </row>
        <row r="390">
          <cell r="B390">
            <v>40746</v>
          </cell>
        </row>
        <row r="391">
          <cell r="B391">
            <v>40745</v>
          </cell>
        </row>
        <row r="392">
          <cell r="B392">
            <v>40744</v>
          </cell>
        </row>
        <row r="393">
          <cell r="B393">
            <v>40743</v>
          </cell>
        </row>
        <row r="394">
          <cell r="B394">
            <v>40742</v>
          </cell>
        </row>
        <row r="395">
          <cell r="B395">
            <v>40739</v>
          </cell>
        </row>
        <row r="396">
          <cell r="B396">
            <v>40738</v>
          </cell>
        </row>
        <row r="397">
          <cell r="B397">
            <v>40737</v>
          </cell>
        </row>
        <row r="398">
          <cell r="B398">
            <v>40736</v>
          </cell>
        </row>
        <row r="399">
          <cell r="B399">
            <v>40735</v>
          </cell>
        </row>
        <row r="400">
          <cell r="B400">
            <v>40732</v>
          </cell>
        </row>
        <row r="401">
          <cell r="B401">
            <v>40731</v>
          </cell>
        </row>
        <row r="402">
          <cell r="B402">
            <v>40730</v>
          </cell>
        </row>
        <row r="403">
          <cell r="B403">
            <v>40729</v>
          </cell>
        </row>
        <row r="404">
          <cell r="B404">
            <v>40725</v>
          </cell>
        </row>
        <row r="405">
          <cell r="B405">
            <v>40724</v>
          </cell>
        </row>
        <row r="406">
          <cell r="B406">
            <v>40723</v>
          </cell>
        </row>
        <row r="407">
          <cell r="B407">
            <v>40722</v>
          </cell>
        </row>
        <row r="408">
          <cell r="B408">
            <v>40721</v>
          </cell>
        </row>
        <row r="409">
          <cell r="B409">
            <v>40718</v>
          </cell>
        </row>
        <row r="410">
          <cell r="B410">
            <v>40717</v>
          </cell>
        </row>
        <row r="411">
          <cell r="B411">
            <v>40716</v>
          </cell>
        </row>
        <row r="412">
          <cell r="B412">
            <v>40715</v>
          </cell>
        </row>
        <row r="413">
          <cell r="B413">
            <v>40714</v>
          </cell>
        </row>
        <row r="414">
          <cell r="B414">
            <v>40711</v>
          </cell>
        </row>
        <row r="415">
          <cell r="B415">
            <v>40710</v>
          </cell>
        </row>
        <row r="416">
          <cell r="B416">
            <v>40709</v>
          </cell>
        </row>
        <row r="417">
          <cell r="B417">
            <v>40708</v>
          </cell>
        </row>
        <row r="418">
          <cell r="B418">
            <v>40707</v>
          </cell>
        </row>
        <row r="419">
          <cell r="B419">
            <v>40704</v>
          </cell>
        </row>
        <row r="420">
          <cell r="B420">
            <v>40703</v>
          </cell>
        </row>
        <row r="421">
          <cell r="B421">
            <v>40702</v>
          </cell>
        </row>
        <row r="422">
          <cell r="B422">
            <v>40701</v>
          </cell>
        </row>
        <row r="423">
          <cell r="B423">
            <v>40700</v>
          </cell>
        </row>
        <row r="424">
          <cell r="B424">
            <v>40697</v>
          </cell>
        </row>
        <row r="425">
          <cell r="B425">
            <v>40696</v>
          </cell>
        </row>
        <row r="426">
          <cell r="B426">
            <v>40695</v>
          </cell>
        </row>
        <row r="427">
          <cell r="B427">
            <v>40694</v>
          </cell>
        </row>
        <row r="428">
          <cell r="B428">
            <v>40690</v>
          </cell>
        </row>
        <row r="429">
          <cell r="B429">
            <v>40689</v>
          </cell>
        </row>
        <row r="430">
          <cell r="B430">
            <v>40688</v>
          </cell>
        </row>
        <row r="431">
          <cell r="B431">
            <v>40687</v>
          </cell>
        </row>
        <row r="432">
          <cell r="B432">
            <v>40686</v>
          </cell>
        </row>
        <row r="433">
          <cell r="B433">
            <v>40683</v>
          </cell>
        </row>
        <row r="434">
          <cell r="B434">
            <v>40682</v>
          </cell>
        </row>
        <row r="435">
          <cell r="B435">
            <v>40681</v>
          </cell>
        </row>
        <row r="436">
          <cell r="B436">
            <v>40680</v>
          </cell>
        </row>
        <row r="437">
          <cell r="B437">
            <v>40679</v>
          </cell>
        </row>
        <row r="438">
          <cell r="B438">
            <v>40676</v>
          </cell>
        </row>
        <row r="439">
          <cell r="B439">
            <v>40675</v>
          </cell>
        </row>
        <row r="440">
          <cell r="B440">
            <v>40674</v>
          </cell>
        </row>
        <row r="441">
          <cell r="B441">
            <v>40673</v>
          </cell>
        </row>
        <row r="442">
          <cell r="B442">
            <v>40672</v>
          </cell>
        </row>
        <row r="443">
          <cell r="B443">
            <v>40669</v>
          </cell>
        </row>
        <row r="444">
          <cell r="B444">
            <v>40668</v>
          </cell>
        </row>
        <row r="445">
          <cell r="B445">
            <v>40667</v>
          </cell>
        </row>
        <row r="446">
          <cell r="B446">
            <v>40666</v>
          </cell>
        </row>
        <row r="447">
          <cell r="B447">
            <v>40665</v>
          </cell>
        </row>
        <row r="448">
          <cell r="B448">
            <v>40662</v>
          </cell>
        </row>
        <row r="449">
          <cell r="B449">
            <v>40661</v>
          </cell>
        </row>
        <row r="450">
          <cell r="B450">
            <v>40660</v>
          </cell>
        </row>
        <row r="451">
          <cell r="B451">
            <v>40659</v>
          </cell>
        </row>
        <row r="452">
          <cell r="B452">
            <v>40658</v>
          </cell>
        </row>
        <row r="453">
          <cell r="B453">
            <v>40654</v>
          </cell>
        </row>
        <row r="454">
          <cell r="B454">
            <v>40653</v>
          </cell>
        </row>
        <row r="455">
          <cell r="B455">
            <v>40652</v>
          </cell>
        </row>
        <row r="456">
          <cell r="B456">
            <v>40651</v>
          </cell>
        </row>
        <row r="457">
          <cell r="B457">
            <v>40648</v>
          </cell>
        </row>
        <row r="458">
          <cell r="B458">
            <v>40647</v>
          </cell>
        </row>
        <row r="459">
          <cell r="B459">
            <v>40646</v>
          </cell>
        </row>
        <row r="460">
          <cell r="B460">
            <v>40645</v>
          </cell>
        </row>
        <row r="461">
          <cell r="B461">
            <v>40644</v>
          </cell>
        </row>
        <row r="462">
          <cell r="B462">
            <v>40641</v>
          </cell>
        </row>
        <row r="463">
          <cell r="B463">
            <v>40640</v>
          </cell>
        </row>
        <row r="464">
          <cell r="B464">
            <v>40639</v>
          </cell>
        </row>
        <row r="465">
          <cell r="B465">
            <v>40638</v>
          </cell>
        </row>
        <row r="466">
          <cell r="B466">
            <v>40637</v>
          </cell>
        </row>
        <row r="467">
          <cell r="B467">
            <v>40634</v>
          </cell>
        </row>
        <row r="468">
          <cell r="B468">
            <v>40633</v>
          </cell>
        </row>
        <row r="469">
          <cell r="B469">
            <v>40632</v>
          </cell>
        </row>
        <row r="470">
          <cell r="B470">
            <v>40631</v>
          </cell>
        </row>
        <row r="471">
          <cell r="B471">
            <v>40630</v>
          </cell>
        </row>
        <row r="472">
          <cell r="B472">
            <v>40627</v>
          </cell>
        </row>
        <row r="473">
          <cell r="B473">
            <v>40626</v>
          </cell>
        </row>
        <row r="474">
          <cell r="B474">
            <v>40625</v>
          </cell>
        </row>
        <row r="475">
          <cell r="B475">
            <v>40624</v>
          </cell>
        </row>
        <row r="476">
          <cell r="B476">
            <v>40623</v>
          </cell>
        </row>
        <row r="477">
          <cell r="B477">
            <v>40620</v>
          </cell>
        </row>
        <row r="478">
          <cell r="B478">
            <v>40619</v>
          </cell>
        </row>
        <row r="479">
          <cell r="B479">
            <v>40618</v>
          </cell>
        </row>
        <row r="480">
          <cell r="B480">
            <v>40617</v>
          </cell>
        </row>
        <row r="481">
          <cell r="B481">
            <v>40616</v>
          </cell>
        </row>
        <row r="482">
          <cell r="B482">
            <v>40613</v>
          </cell>
        </row>
        <row r="483">
          <cell r="B483">
            <v>40612</v>
          </cell>
        </row>
        <row r="484">
          <cell r="B484">
            <v>40611</v>
          </cell>
        </row>
        <row r="485">
          <cell r="B485">
            <v>40610</v>
          </cell>
        </row>
        <row r="486">
          <cell r="B486">
            <v>40609</v>
          </cell>
        </row>
        <row r="487">
          <cell r="B487">
            <v>40606</v>
          </cell>
        </row>
        <row r="488">
          <cell r="B488">
            <v>40605</v>
          </cell>
        </row>
        <row r="489">
          <cell r="B489">
            <v>40604</v>
          </cell>
        </row>
        <row r="490">
          <cell r="B490">
            <v>40603</v>
          </cell>
        </row>
        <row r="491">
          <cell r="B491">
            <v>40602</v>
          </cell>
        </row>
        <row r="492">
          <cell r="B492">
            <v>40599</v>
          </cell>
        </row>
        <row r="493">
          <cell r="B493">
            <v>40598</v>
          </cell>
        </row>
        <row r="494">
          <cell r="B494">
            <v>40597</v>
          </cell>
        </row>
        <row r="495">
          <cell r="B495">
            <v>40596</v>
          </cell>
        </row>
        <row r="496">
          <cell r="B496">
            <v>40592</v>
          </cell>
        </row>
        <row r="497">
          <cell r="B497">
            <v>40591</v>
          </cell>
        </row>
        <row r="498">
          <cell r="B498">
            <v>40590</v>
          </cell>
        </row>
        <row r="499">
          <cell r="B499">
            <v>40589</v>
          </cell>
        </row>
        <row r="500">
          <cell r="B500">
            <v>40588</v>
          </cell>
        </row>
        <row r="501">
          <cell r="B501">
            <v>40585</v>
          </cell>
        </row>
        <row r="502">
          <cell r="B502">
            <v>40584</v>
          </cell>
        </row>
        <row r="503">
          <cell r="B503">
            <v>40583</v>
          </cell>
        </row>
        <row r="504">
          <cell r="B504">
            <v>40582</v>
          </cell>
        </row>
        <row r="505">
          <cell r="B505">
            <v>40581</v>
          </cell>
        </row>
        <row r="506">
          <cell r="B506">
            <v>40578</v>
          </cell>
        </row>
        <row r="507">
          <cell r="B507">
            <v>40577</v>
          </cell>
        </row>
        <row r="508">
          <cell r="B508">
            <v>40576</v>
          </cell>
        </row>
        <row r="509">
          <cell r="B509">
            <v>40575</v>
          </cell>
        </row>
        <row r="510">
          <cell r="B510">
            <v>40574</v>
          </cell>
        </row>
        <row r="511">
          <cell r="B511">
            <v>40571</v>
          </cell>
        </row>
        <row r="512">
          <cell r="B512">
            <v>40570</v>
          </cell>
        </row>
        <row r="513">
          <cell r="B513">
            <v>40569</v>
          </cell>
        </row>
        <row r="514">
          <cell r="B514">
            <v>40568</v>
          </cell>
        </row>
        <row r="515">
          <cell r="B515">
            <v>40567</v>
          </cell>
        </row>
        <row r="516">
          <cell r="B516">
            <v>40564</v>
          </cell>
        </row>
        <row r="517">
          <cell r="B517">
            <v>40563</v>
          </cell>
        </row>
        <row r="518">
          <cell r="B518">
            <v>40562</v>
          </cell>
        </row>
        <row r="519">
          <cell r="B519">
            <v>40561</v>
          </cell>
        </row>
        <row r="520">
          <cell r="B520">
            <v>40557</v>
          </cell>
        </row>
        <row r="521">
          <cell r="B521">
            <v>40556</v>
          </cell>
        </row>
        <row r="522">
          <cell r="B522">
            <v>40555</v>
          </cell>
        </row>
        <row r="523">
          <cell r="B523">
            <v>40554</v>
          </cell>
        </row>
        <row r="524">
          <cell r="B524">
            <v>40553</v>
          </cell>
        </row>
        <row r="525">
          <cell r="B525">
            <v>40550</v>
          </cell>
        </row>
        <row r="526">
          <cell r="B526">
            <v>40549</v>
          </cell>
        </row>
        <row r="527">
          <cell r="B527">
            <v>40548</v>
          </cell>
        </row>
        <row r="528">
          <cell r="B528">
            <v>40547</v>
          </cell>
        </row>
        <row r="529">
          <cell r="B529">
            <v>40546</v>
          </cell>
        </row>
        <row r="530">
          <cell r="B530">
            <v>40543</v>
          </cell>
        </row>
        <row r="531">
          <cell r="B531">
            <v>40542</v>
          </cell>
        </row>
        <row r="532">
          <cell r="B532">
            <v>40541</v>
          </cell>
        </row>
        <row r="533">
          <cell r="B533">
            <v>40540</v>
          </cell>
        </row>
        <row r="534">
          <cell r="B534">
            <v>40539</v>
          </cell>
        </row>
        <row r="535">
          <cell r="B535">
            <v>40535</v>
          </cell>
        </row>
        <row r="536">
          <cell r="B536">
            <v>40534</v>
          </cell>
        </row>
        <row r="537">
          <cell r="B537">
            <v>40533</v>
          </cell>
        </row>
        <row r="538">
          <cell r="B538">
            <v>40532</v>
          </cell>
        </row>
        <row r="539">
          <cell r="B539">
            <v>40529</v>
          </cell>
        </row>
        <row r="540">
          <cell r="B540">
            <v>40528</v>
          </cell>
        </row>
        <row r="541">
          <cell r="B541">
            <v>40527</v>
          </cell>
        </row>
        <row r="542">
          <cell r="B542">
            <v>40526</v>
          </cell>
        </row>
        <row r="543">
          <cell r="B543">
            <v>40525</v>
          </cell>
        </row>
        <row r="544">
          <cell r="B544">
            <v>40522</v>
          </cell>
        </row>
        <row r="545">
          <cell r="B545">
            <v>40521</v>
          </cell>
        </row>
        <row r="546">
          <cell r="B546">
            <v>40520</v>
          </cell>
        </row>
        <row r="547">
          <cell r="B547">
            <v>40519</v>
          </cell>
        </row>
        <row r="548">
          <cell r="B548">
            <v>40518</v>
          </cell>
        </row>
        <row r="549">
          <cell r="B549">
            <v>40515</v>
          </cell>
        </row>
        <row r="550">
          <cell r="B550">
            <v>40514</v>
          </cell>
        </row>
        <row r="551">
          <cell r="B551">
            <v>40513</v>
          </cell>
        </row>
        <row r="552">
          <cell r="B552">
            <v>40512</v>
          </cell>
        </row>
        <row r="553">
          <cell r="B553">
            <v>40511</v>
          </cell>
        </row>
        <row r="554">
          <cell r="B554">
            <v>40508</v>
          </cell>
        </row>
        <row r="555">
          <cell r="B555">
            <v>40506</v>
          </cell>
        </row>
        <row r="556">
          <cell r="B556">
            <v>40505</v>
          </cell>
        </row>
        <row r="557">
          <cell r="B557">
            <v>40504</v>
          </cell>
        </row>
        <row r="558">
          <cell r="B558">
            <v>40501</v>
          </cell>
        </row>
        <row r="559">
          <cell r="B559">
            <v>40500</v>
          </cell>
        </row>
        <row r="560">
          <cell r="B560">
            <v>40499</v>
          </cell>
        </row>
        <row r="561">
          <cell r="B561">
            <v>40498</v>
          </cell>
        </row>
        <row r="562">
          <cell r="B562">
            <v>40497</v>
          </cell>
        </row>
        <row r="563">
          <cell r="B563">
            <v>40494</v>
          </cell>
        </row>
        <row r="564">
          <cell r="B564">
            <v>40493</v>
          </cell>
        </row>
        <row r="565">
          <cell r="B565">
            <v>40492</v>
          </cell>
        </row>
        <row r="566">
          <cell r="B566">
            <v>40491</v>
          </cell>
        </row>
        <row r="567">
          <cell r="B567">
            <v>40490</v>
          </cell>
        </row>
        <row r="568">
          <cell r="B568">
            <v>40487</v>
          </cell>
        </row>
        <row r="569">
          <cell r="B569">
            <v>40486</v>
          </cell>
        </row>
        <row r="570">
          <cell r="B570">
            <v>40485</v>
          </cell>
        </row>
        <row r="571">
          <cell r="B571">
            <v>40484</v>
          </cell>
        </row>
        <row r="572">
          <cell r="B572">
            <v>40483</v>
          </cell>
        </row>
        <row r="573">
          <cell r="B573">
            <v>40480</v>
          </cell>
        </row>
        <row r="574">
          <cell r="B574">
            <v>40479</v>
          </cell>
        </row>
        <row r="575">
          <cell r="B575">
            <v>40478</v>
          </cell>
        </row>
        <row r="576">
          <cell r="B576">
            <v>40477</v>
          </cell>
        </row>
        <row r="577">
          <cell r="B577">
            <v>40476</v>
          </cell>
        </row>
        <row r="578">
          <cell r="B578">
            <v>40473</v>
          </cell>
        </row>
        <row r="579">
          <cell r="B579">
            <v>40472</v>
          </cell>
        </row>
        <row r="580">
          <cell r="B580">
            <v>40471</v>
          </cell>
        </row>
        <row r="581">
          <cell r="B581">
            <v>40470</v>
          </cell>
        </row>
        <row r="582">
          <cell r="B582">
            <v>40469</v>
          </cell>
        </row>
        <row r="583">
          <cell r="B583">
            <v>40466</v>
          </cell>
        </row>
        <row r="584">
          <cell r="B584">
            <v>40465</v>
          </cell>
        </row>
        <row r="585">
          <cell r="B585">
            <v>40464</v>
          </cell>
        </row>
        <row r="586">
          <cell r="B586">
            <v>40463</v>
          </cell>
        </row>
        <row r="587">
          <cell r="B587">
            <v>40462</v>
          </cell>
        </row>
        <row r="588">
          <cell r="B588">
            <v>40459</v>
          </cell>
        </row>
        <row r="589">
          <cell r="B589">
            <v>40458</v>
          </cell>
        </row>
        <row r="590">
          <cell r="B590">
            <v>40457</v>
          </cell>
        </row>
        <row r="591">
          <cell r="B591">
            <v>40456</v>
          </cell>
        </row>
        <row r="592">
          <cell r="B592">
            <v>40455</v>
          </cell>
        </row>
        <row r="593">
          <cell r="B593">
            <v>40452</v>
          </cell>
        </row>
        <row r="594">
          <cell r="B594">
            <v>40451</v>
          </cell>
        </row>
        <row r="595">
          <cell r="B595">
            <v>40450</v>
          </cell>
        </row>
        <row r="596">
          <cell r="B596">
            <v>40449</v>
          </cell>
        </row>
        <row r="597">
          <cell r="B597">
            <v>40448</v>
          </cell>
        </row>
        <row r="598">
          <cell r="B598">
            <v>40445</v>
          </cell>
        </row>
        <row r="599">
          <cell r="B599">
            <v>40444</v>
          </cell>
        </row>
        <row r="600">
          <cell r="B600">
            <v>40443</v>
          </cell>
        </row>
        <row r="601">
          <cell r="B601">
            <v>40442</v>
          </cell>
        </row>
        <row r="602">
          <cell r="B602">
            <v>40441</v>
          </cell>
        </row>
        <row r="603">
          <cell r="B603">
            <v>40438</v>
          </cell>
        </row>
        <row r="604">
          <cell r="B604">
            <v>40437</v>
          </cell>
        </row>
        <row r="605">
          <cell r="B605">
            <v>40436</v>
          </cell>
        </row>
        <row r="606">
          <cell r="B606">
            <v>40435</v>
          </cell>
        </row>
        <row r="607">
          <cell r="B607">
            <v>40434</v>
          </cell>
        </row>
        <row r="608">
          <cell r="B608">
            <v>40431</v>
          </cell>
        </row>
        <row r="609">
          <cell r="B609">
            <v>40430</v>
          </cell>
        </row>
        <row r="610">
          <cell r="B610">
            <v>40429</v>
          </cell>
        </row>
        <row r="611">
          <cell r="B611">
            <v>40428</v>
          </cell>
        </row>
        <row r="612">
          <cell r="B612">
            <v>40424</v>
          </cell>
        </row>
        <row r="613">
          <cell r="B613">
            <v>40423</v>
          </cell>
        </row>
        <row r="614">
          <cell r="B614">
            <v>40422</v>
          </cell>
        </row>
        <row r="615">
          <cell r="B615">
            <v>40421</v>
          </cell>
        </row>
        <row r="616">
          <cell r="B616">
            <v>40420</v>
          </cell>
        </row>
        <row r="617">
          <cell r="B617">
            <v>40417</v>
          </cell>
        </row>
        <row r="618">
          <cell r="B618">
            <v>40416</v>
          </cell>
        </row>
        <row r="619">
          <cell r="B619">
            <v>40415</v>
          </cell>
        </row>
        <row r="620">
          <cell r="B620">
            <v>40414</v>
          </cell>
        </row>
        <row r="621">
          <cell r="B621">
            <v>40413</v>
          </cell>
        </row>
        <row r="622">
          <cell r="B622">
            <v>40410</v>
          </cell>
        </row>
        <row r="623">
          <cell r="B623">
            <v>40409</v>
          </cell>
        </row>
        <row r="624">
          <cell r="B624">
            <v>40408</v>
          </cell>
        </row>
        <row r="625">
          <cell r="B625">
            <v>40407</v>
          </cell>
        </row>
        <row r="626">
          <cell r="B626">
            <v>40406</v>
          </cell>
        </row>
        <row r="627">
          <cell r="B627">
            <v>40403</v>
          </cell>
        </row>
        <row r="628">
          <cell r="B628">
            <v>40402</v>
          </cell>
        </row>
        <row r="629">
          <cell r="B629">
            <v>40401</v>
          </cell>
        </row>
        <row r="630">
          <cell r="B630">
            <v>40400</v>
          </cell>
        </row>
        <row r="631">
          <cell r="B631">
            <v>40399</v>
          </cell>
        </row>
        <row r="632">
          <cell r="B632">
            <v>40396</v>
          </cell>
        </row>
        <row r="633">
          <cell r="B633">
            <v>40395</v>
          </cell>
        </row>
        <row r="634">
          <cell r="B634">
            <v>40394</v>
          </cell>
        </row>
        <row r="635">
          <cell r="B635">
            <v>40393</v>
          </cell>
        </row>
        <row r="636">
          <cell r="B636">
            <v>40392</v>
          </cell>
        </row>
        <row r="637">
          <cell r="B637">
            <v>40389</v>
          </cell>
        </row>
        <row r="638">
          <cell r="B638">
            <v>40388</v>
          </cell>
        </row>
        <row r="639">
          <cell r="B639">
            <v>40387</v>
          </cell>
        </row>
        <row r="640">
          <cell r="B640">
            <v>40386</v>
          </cell>
        </row>
        <row r="641">
          <cell r="B641">
            <v>40385</v>
          </cell>
        </row>
        <row r="642">
          <cell r="B642">
            <v>40382</v>
          </cell>
        </row>
        <row r="643">
          <cell r="B643">
            <v>40381</v>
          </cell>
        </row>
        <row r="644">
          <cell r="B644">
            <v>40380</v>
          </cell>
        </row>
        <row r="645">
          <cell r="B645">
            <v>40379</v>
          </cell>
        </row>
        <row r="646">
          <cell r="B646">
            <v>40378</v>
          </cell>
        </row>
        <row r="647">
          <cell r="B647">
            <v>40375</v>
          </cell>
        </row>
        <row r="648">
          <cell r="B648">
            <v>40374</v>
          </cell>
        </row>
        <row r="649">
          <cell r="B649">
            <v>40373</v>
          </cell>
        </row>
        <row r="650">
          <cell r="B650">
            <v>40372</v>
          </cell>
        </row>
        <row r="651">
          <cell r="B651">
            <v>40371</v>
          </cell>
        </row>
        <row r="652">
          <cell r="B652">
            <v>40368</v>
          </cell>
        </row>
        <row r="653">
          <cell r="B653">
            <v>40367</v>
          </cell>
        </row>
        <row r="654">
          <cell r="B654">
            <v>40366</v>
          </cell>
        </row>
        <row r="655">
          <cell r="B655">
            <v>40365</v>
          </cell>
        </row>
        <row r="656">
          <cell r="B656">
            <v>40361</v>
          </cell>
        </row>
        <row r="657">
          <cell r="B657">
            <v>40360</v>
          </cell>
        </row>
        <row r="658">
          <cell r="B658">
            <v>40359</v>
          </cell>
        </row>
        <row r="659">
          <cell r="B659">
            <v>40358</v>
          </cell>
        </row>
        <row r="660">
          <cell r="B660">
            <v>40357</v>
          </cell>
        </row>
        <row r="661">
          <cell r="B661">
            <v>40354</v>
          </cell>
        </row>
        <row r="662">
          <cell r="B662">
            <v>40353</v>
          </cell>
        </row>
        <row r="663">
          <cell r="B663">
            <v>40352</v>
          </cell>
        </row>
        <row r="664">
          <cell r="B664">
            <v>40351</v>
          </cell>
        </row>
        <row r="665">
          <cell r="B665">
            <v>40350</v>
          </cell>
        </row>
        <row r="666">
          <cell r="B666">
            <v>40347</v>
          </cell>
        </row>
        <row r="667">
          <cell r="B667">
            <v>40346</v>
          </cell>
        </row>
        <row r="668">
          <cell r="B668">
            <v>40345</v>
          </cell>
        </row>
        <row r="669">
          <cell r="B669">
            <v>40344</v>
          </cell>
        </row>
        <row r="670">
          <cell r="B670">
            <v>40343</v>
          </cell>
        </row>
        <row r="671">
          <cell r="B671">
            <v>40340</v>
          </cell>
        </row>
        <row r="672">
          <cell r="B672">
            <v>40339</v>
          </cell>
        </row>
        <row r="673">
          <cell r="B673">
            <v>40338</v>
          </cell>
        </row>
        <row r="674">
          <cell r="B674">
            <v>40337</v>
          </cell>
        </row>
        <row r="675">
          <cell r="B675">
            <v>40336</v>
          </cell>
        </row>
        <row r="676">
          <cell r="B676">
            <v>40333</v>
          </cell>
        </row>
        <row r="677">
          <cell r="B677">
            <v>40332</v>
          </cell>
        </row>
        <row r="678">
          <cell r="B678">
            <v>40331</v>
          </cell>
        </row>
        <row r="679">
          <cell r="B679">
            <v>40330</v>
          </cell>
        </row>
        <row r="680">
          <cell r="B680">
            <v>40326</v>
          </cell>
        </row>
        <row r="681">
          <cell r="B681">
            <v>40325</v>
          </cell>
        </row>
        <row r="682">
          <cell r="B682">
            <v>40324</v>
          </cell>
        </row>
        <row r="683">
          <cell r="B683">
            <v>40323</v>
          </cell>
        </row>
        <row r="684">
          <cell r="B684">
            <v>40322</v>
          </cell>
        </row>
        <row r="685">
          <cell r="B685">
            <v>40319</v>
          </cell>
        </row>
        <row r="686">
          <cell r="B686">
            <v>40318</v>
          </cell>
        </row>
        <row r="687">
          <cell r="B687">
            <v>40317</v>
          </cell>
        </row>
        <row r="688">
          <cell r="B688">
            <v>40316</v>
          </cell>
        </row>
        <row r="689">
          <cell r="B689">
            <v>40315</v>
          </cell>
        </row>
        <row r="690">
          <cell r="B690">
            <v>40312</v>
          </cell>
        </row>
        <row r="691">
          <cell r="B691">
            <v>40311</v>
          </cell>
        </row>
        <row r="692">
          <cell r="B692">
            <v>40310</v>
          </cell>
        </row>
        <row r="693">
          <cell r="B693">
            <v>40309</v>
          </cell>
        </row>
        <row r="694">
          <cell r="B694">
            <v>40308</v>
          </cell>
        </row>
        <row r="695">
          <cell r="B695">
            <v>40305</v>
          </cell>
        </row>
        <row r="696">
          <cell r="B696">
            <v>40304</v>
          </cell>
        </row>
        <row r="697">
          <cell r="B697">
            <v>40303</v>
          </cell>
        </row>
        <row r="698">
          <cell r="B698">
            <v>40302</v>
          </cell>
        </row>
        <row r="699">
          <cell r="B699">
            <v>40301</v>
          </cell>
        </row>
        <row r="700">
          <cell r="B700">
            <v>40298</v>
          </cell>
        </row>
        <row r="701">
          <cell r="B701">
            <v>40297</v>
          </cell>
        </row>
        <row r="702">
          <cell r="B702">
            <v>40296</v>
          </cell>
        </row>
        <row r="703">
          <cell r="B703">
            <v>40295</v>
          </cell>
        </row>
        <row r="704">
          <cell r="B704">
            <v>40294</v>
          </cell>
        </row>
        <row r="705">
          <cell r="B705">
            <v>40291</v>
          </cell>
        </row>
        <row r="706">
          <cell r="B706">
            <v>40290</v>
          </cell>
        </row>
        <row r="707">
          <cell r="B707">
            <v>40289</v>
          </cell>
        </row>
        <row r="708">
          <cell r="B708">
            <v>40288</v>
          </cell>
        </row>
        <row r="709">
          <cell r="B709">
            <v>40287</v>
          </cell>
        </row>
        <row r="710">
          <cell r="B710">
            <v>40284</v>
          </cell>
        </row>
        <row r="711">
          <cell r="B711">
            <v>40283</v>
          </cell>
        </row>
        <row r="712">
          <cell r="B712">
            <v>40282</v>
          </cell>
        </row>
        <row r="713">
          <cell r="B713">
            <v>40281</v>
          </cell>
        </row>
        <row r="714">
          <cell r="B714">
            <v>40280</v>
          </cell>
        </row>
        <row r="715">
          <cell r="B715">
            <v>40277</v>
          </cell>
        </row>
        <row r="716">
          <cell r="B716">
            <v>40276</v>
          </cell>
        </row>
        <row r="717">
          <cell r="B717">
            <v>40275</v>
          </cell>
        </row>
        <row r="718">
          <cell r="B718">
            <v>40274</v>
          </cell>
        </row>
        <row r="719">
          <cell r="B719">
            <v>40273</v>
          </cell>
        </row>
        <row r="720">
          <cell r="B720">
            <v>40269</v>
          </cell>
        </row>
        <row r="721">
          <cell r="B721">
            <v>40268</v>
          </cell>
        </row>
        <row r="722">
          <cell r="B722">
            <v>40267</v>
          </cell>
        </row>
        <row r="723">
          <cell r="B723">
            <v>40266</v>
          </cell>
        </row>
        <row r="724">
          <cell r="B724">
            <v>40263</v>
          </cell>
        </row>
        <row r="725">
          <cell r="B725">
            <v>40262</v>
          </cell>
        </row>
        <row r="726">
          <cell r="B726">
            <v>40261</v>
          </cell>
        </row>
        <row r="727">
          <cell r="B727">
            <v>40260</v>
          </cell>
        </row>
        <row r="728">
          <cell r="B728">
            <v>40259</v>
          </cell>
        </row>
        <row r="729">
          <cell r="B729">
            <v>40256</v>
          </cell>
        </row>
        <row r="730">
          <cell r="B730">
            <v>40255</v>
          </cell>
        </row>
        <row r="731">
          <cell r="B731">
            <v>40254</v>
          </cell>
        </row>
        <row r="732">
          <cell r="B732">
            <v>40253</v>
          </cell>
        </row>
        <row r="733">
          <cell r="B733">
            <v>40252</v>
          </cell>
        </row>
        <row r="734">
          <cell r="B734">
            <v>40249</v>
          </cell>
        </row>
        <row r="735">
          <cell r="B735">
            <v>40248</v>
          </cell>
        </row>
        <row r="736">
          <cell r="B736">
            <v>40247</v>
          </cell>
        </row>
        <row r="737">
          <cell r="B737">
            <v>40246</v>
          </cell>
        </row>
        <row r="738">
          <cell r="B738">
            <v>40245</v>
          </cell>
        </row>
        <row r="739">
          <cell r="B739">
            <v>40242</v>
          </cell>
        </row>
        <row r="740">
          <cell r="B740">
            <v>40241</v>
          </cell>
        </row>
        <row r="741">
          <cell r="B741">
            <v>40240</v>
          </cell>
        </row>
        <row r="742">
          <cell r="B742">
            <v>40239</v>
          </cell>
        </row>
        <row r="743">
          <cell r="B743">
            <v>40238</v>
          </cell>
        </row>
        <row r="744">
          <cell r="B744">
            <v>40235</v>
          </cell>
        </row>
        <row r="745">
          <cell r="B745">
            <v>40234</v>
          </cell>
        </row>
        <row r="746">
          <cell r="B746">
            <v>40233</v>
          </cell>
        </row>
        <row r="747">
          <cell r="B747">
            <v>40232</v>
          </cell>
        </row>
        <row r="748">
          <cell r="B748">
            <v>40231</v>
          </cell>
        </row>
        <row r="749">
          <cell r="B749">
            <v>40228</v>
          </cell>
        </row>
        <row r="750">
          <cell r="B750">
            <v>40227</v>
          </cell>
        </row>
        <row r="751">
          <cell r="B751">
            <v>40226</v>
          </cell>
        </row>
        <row r="752">
          <cell r="B752">
            <v>40225</v>
          </cell>
        </row>
        <row r="753">
          <cell r="B753">
            <v>40221</v>
          </cell>
        </row>
        <row r="754">
          <cell r="B754">
            <v>40220</v>
          </cell>
        </row>
        <row r="755">
          <cell r="B755">
            <v>40219</v>
          </cell>
        </row>
        <row r="756">
          <cell r="B756">
            <v>40218</v>
          </cell>
        </row>
        <row r="757">
          <cell r="B757">
            <v>40217</v>
          </cell>
        </row>
        <row r="758">
          <cell r="B758">
            <v>40214</v>
          </cell>
        </row>
        <row r="759">
          <cell r="B759">
            <v>40213</v>
          </cell>
        </row>
        <row r="760">
          <cell r="B760">
            <v>40212</v>
          </cell>
        </row>
        <row r="761">
          <cell r="B761">
            <v>40211</v>
          </cell>
        </row>
        <row r="762">
          <cell r="B762">
            <v>40210</v>
          </cell>
        </row>
        <row r="763">
          <cell r="B763">
            <v>40207</v>
          </cell>
        </row>
        <row r="764">
          <cell r="B764">
            <v>40206</v>
          </cell>
        </row>
        <row r="765">
          <cell r="B765">
            <v>40205</v>
          </cell>
        </row>
        <row r="766">
          <cell r="B766">
            <v>40204</v>
          </cell>
        </row>
        <row r="767">
          <cell r="B767">
            <v>40203</v>
          </cell>
        </row>
        <row r="768">
          <cell r="B768">
            <v>40200</v>
          </cell>
        </row>
        <row r="769">
          <cell r="B769">
            <v>40199</v>
          </cell>
        </row>
        <row r="770">
          <cell r="B770">
            <v>40198</v>
          </cell>
        </row>
        <row r="771">
          <cell r="B771">
            <v>40197</v>
          </cell>
        </row>
        <row r="772">
          <cell r="B772">
            <v>40193</v>
          </cell>
        </row>
        <row r="773">
          <cell r="B773">
            <v>40192</v>
          </cell>
        </row>
        <row r="774">
          <cell r="B774">
            <v>40191</v>
          </cell>
        </row>
        <row r="775">
          <cell r="B775">
            <v>40190</v>
          </cell>
        </row>
        <row r="776">
          <cell r="B776">
            <v>40189</v>
          </cell>
        </row>
        <row r="777">
          <cell r="B777">
            <v>40186</v>
          </cell>
        </row>
        <row r="778">
          <cell r="B778">
            <v>40185</v>
          </cell>
        </row>
        <row r="779">
          <cell r="B779">
            <v>40184</v>
          </cell>
        </row>
        <row r="780">
          <cell r="B780">
            <v>40183</v>
          </cell>
        </row>
        <row r="781">
          <cell r="B781">
            <v>40182</v>
          </cell>
        </row>
        <row r="782">
          <cell r="B782">
            <v>40178</v>
          </cell>
        </row>
        <row r="783">
          <cell r="B783">
            <v>40177</v>
          </cell>
        </row>
        <row r="784">
          <cell r="B784">
            <v>40176</v>
          </cell>
        </row>
        <row r="785">
          <cell r="B785">
            <v>40175</v>
          </cell>
        </row>
        <row r="786">
          <cell r="B786">
            <v>40171</v>
          </cell>
        </row>
        <row r="787">
          <cell r="B787">
            <v>40170</v>
          </cell>
        </row>
        <row r="788">
          <cell r="B788">
            <v>40169</v>
          </cell>
        </row>
        <row r="789">
          <cell r="B789">
            <v>40168</v>
          </cell>
        </row>
        <row r="790">
          <cell r="B790">
            <v>40165</v>
          </cell>
        </row>
        <row r="791">
          <cell r="B791">
            <v>40164</v>
          </cell>
        </row>
        <row r="792">
          <cell r="B792">
            <v>40163</v>
          </cell>
        </row>
        <row r="793">
          <cell r="B793">
            <v>40162</v>
          </cell>
        </row>
        <row r="794">
          <cell r="B794">
            <v>40161</v>
          </cell>
        </row>
        <row r="795">
          <cell r="B795">
            <v>40158</v>
          </cell>
        </row>
        <row r="796">
          <cell r="B796">
            <v>40157</v>
          </cell>
        </row>
        <row r="797">
          <cell r="B797">
            <v>40156</v>
          </cell>
        </row>
        <row r="798">
          <cell r="B798">
            <v>40155</v>
          </cell>
        </row>
        <row r="799">
          <cell r="B799">
            <v>40154</v>
          </cell>
        </row>
        <row r="800">
          <cell r="B800">
            <v>40151</v>
          </cell>
        </row>
        <row r="801">
          <cell r="B801">
            <v>40150</v>
          </cell>
        </row>
        <row r="802">
          <cell r="B802">
            <v>40149</v>
          </cell>
        </row>
        <row r="803">
          <cell r="B803">
            <v>40148</v>
          </cell>
        </row>
        <row r="804">
          <cell r="B804">
            <v>40147</v>
          </cell>
        </row>
        <row r="805">
          <cell r="B805">
            <v>40144</v>
          </cell>
        </row>
        <row r="806">
          <cell r="B806">
            <v>40142</v>
          </cell>
        </row>
        <row r="807">
          <cell r="B807">
            <v>40141</v>
          </cell>
        </row>
        <row r="808">
          <cell r="B808">
            <v>40140</v>
          </cell>
        </row>
        <row r="809">
          <cell r="B809">
            <v>40137</v>
          </cell>
        </row>
        <row r="810">
          <cell r="B810">
            <v>40136</v>
          </cell>
        </row>
        <row r="811">
          <cell r="B811">
            <v>40135</v>
          </cell>
        </row>
        <row r="812">
          <cell r="B812">
            <v>40134</v>
          </cell>
        </row>
        <row r="813">
          <cell r="B813">
            <v>40133</v>
          </cell>
        </row>
        <row r="814">
          <cell r="B814">
            <v>40130</v>
          </cell>
        </row>
        <row r="815">
          <cell r="B815">
            <v>40129</v>
          </cell>
        </row>
        <row r="816">
          <cell r="B816">
            <v>40128</v>
          </cell>
        </row>
        <row r="817">
          <cell r="B817">
            <v>40127</v>
          </cell>
        </row>
        <row r="818">
          <cell r="B818">
            <v>40126</v>
          </cell>
        </row>
        <row r="819">
          <cell r="B819">
            <v>40123</v>
          </cell>
        </row>
        <row r="820">
          <cell r="B820">
            <v>40122</v>
          </cell>
        </row>
        <row r="821">
          <cell r="B821">
            <v>40121</v>
          </cell>
        </row>
        <row r="822">
          <cell r="B822">
            <v>40120</v>
          </cell>
        </row>
        <row r="823">
          <cell r="B823">
            <v>40119</v>
          </cell>
        </row>
        <row r="824">
          <cell r="B824">
            <v>40116</v>
          </cell>
        </row>
        <row r="825">
          <cell r="B825">
            <v>40115</v>
          </cell>
        </row>
        <row r="826">
          <cell r="B826">
            <v>40114</v>
          </cell>
        </row>
        <row r="827">
          <cell r="B827">
            <v>40113</v>
          </cell>
        </row>
        <row r="828">
          <cell r="B828">
            <v>40112</v>
          </cell>
        </row>
        <row r="829">
          <cell r="B829">
            <v>40109</v>
          </cell>
        </row>
        <row r="830">
          <cell r="B830">
            <v>40108</v>
          </cell>
        </row>
        <row r="831">
          <cell r="B831">
            <v>40107</v>
          </cell>
        </row>
        <row r="832">
          <cell r="B832">
            <v>40106</v>
          </cell>
        </row>
        <row r="833">
          <cell r="B833">
            <v>40105</v>
          </cell>
        </row>
        <row r="834">
          <cell r="B834">
            <v>40102</v>
          </cell>
        </row>
        <row r="835">
          <cell r="B835">
            <v>40101</v>
          </cell>
        </row>
        <row r="836">
          <cell r="B836">
            <v>40100</v>
          </cell>
        </row>
        <row r="837">
          <cell r="B837">
            <v>40099</v>
          </cell>
        </row>
        <row r="838">
          <cell r="B838">
            <v>40098</v>
          </cell>
        </row>
        <row r="839">
          <cell r="B839">
            <v>40095</v>
          </cell>
        </row>
        <row r="840">
          <cell r="B840">
            <v>40094</v>
          </cell>
        </row>
        <row r="841">
          <cell r="B841">
            <v>40093</v>
          </cell>
        </row>
        <row r="842">
          <cell r="B842">
            <v>40092</v>
          </cell>
        </row>
        <row r="843">
          <cell r="B843">
            <v>40091</v>
          </cell>
        </row>
        <row r="844">
          <cell r="B844">
            <v>40088</v>
          </cell>
        </row>
        <row r="845">
          <cell r="B845">
            <v>40087</v>
          </cell>
        </row>
        <row r="846">
          <cell r="B846">
            <v>40086</v>
          </cell>
        </row>
        <row r="847">
          <cell r="B847">
            <v>40085</v>
          </cell>
        </row>
        <row r="848">
          <cell r="B848">
            <v>40084</v>
          </cell>
        </row>
        <row r="849">
          <cell r="B849">
            <v>40081</v>
          </cell>
        </row>
        <row r="850">
          <cell r="B850">
            <v>40080</v>
          </cell>
        </row>
        <row r="851">
          <cell r="B851">
            <v>40079</v>
          </cell>
        </row>
        <row r="852">
          <cell r="B852">
            <v>40078</v>
          </cell>
        </row>
        <row r="853">
          <cell r="B853">
            <v>40077</v>
          </cell>
        </row>
        <row r="854">
          <cell r="B854">
            <v>40074</v>
          </cell>
        </row>
        <row r="855">
          <cell r="B855">
            <v>40073</v>
          </cell>
        </row>
        <row r="856">
          <cell r="B856">
            <v>40072</v>
          </cell>
        </row>
        <row r="857">
          <cell r="B857">
            <v>40071</v>
          </cell>
        </row>
        <row r="858">
          <cell r="B858">
            <v>40070</v>
          </cell>
        </row>
        <row r="859">
          <cell r="B859">
            <v>40067</v>
          </cell>
        </row>
        <row r="860">
          <cell r="B860">
            <v>40066</v>
          </cell>
        </row>
        <row r="861">
          <cell r="B861">
            <v>40065</v>
          </cell>
        </row>
        <row r="862">
          <cell r="B862">
            <v>40064</v>
          </cell>
        </row>
        <row r="863">
          <cell r="B863">
            <v>40060</v>
          </cell>
        </row>
        <row r="864">
          <cell r="B864">
            <v>40059</v>
          </cell>
        </row>
        <row r="865">
          <cell r="B865">
            <v>40058</v>
          </cell>
        </row>
        <row r="866">
          <cell r="B866">
            <v>40057</v>
          </cell>
        </row>
        <row r="867">
          <cell r="B867">
            <v>40056</v>
          </cell>
        </row>
        <row r="868">
          <cell r="B868">
            <v>40053</v>
          </cell>
        </row>
        <row r="869">
          <cell r="B869">
            <v>40052</v>
          </cell>
        </row>
        <row r="870">
          <cell r="B870">
            <v>40051</v>
          </cell>
        </row>
        <row r="871">
          <cell r="B871">
            <v>40050</v>
          </cell>
        </row>
        <row r="872">
          <cell r="B872">
            <v>40049</v>
          </cell>
        </row>
        <row r="873">
          <cell r="B873">
            <v>40046</v>
          </cell>
        </row>
        <row r="874">
          <cell r="B874">
            <v>40045</v>
          </cell>
        </row>
        <row r="875">
          <cell r="B875">
            <v>40044</v>
          </cell>
        </row>
        <row r="876">
          <cell r="B876">
            <v>40043</v>
          </cell>
        </row>
        <row r="877">
          <cell r="B877">
            <v>40042</v>
          </cell>
        </row>
        <row r="878">
          <cell r="B878">
            <v>40039</v>
          </cell>
        </row>
        <row r="879">
          <cell r="B879">
            <v>40038</v>
          </cell>
        </row>
        <row r="880">
          <cell r="B880">
            <v>40037</v>
          </cell>
        </row>
        <row r="881">
          <cell r="B881">
            <v>40036</v>
          </cell>
        </row>
        <row r="882">
          <cell r="B882">
            <v>40035</v>
          </cell>
        </row>
        <row r="883">
          <cell r="B883">
            <v>40032</v>
          </cell>
        </row>
        <row r="884">
          <cell r="B884">
            <v>40031</v>
          </cell>
        </row>
        <row r="885">
          <cell r="B885">
            <v>40030</v>
          </cell>
        </row>
        <row r="886">
          <cell r="B886">
            <v>40029</v>
          </cell>
        </row>
        <row r="887">
          <cell r="B887">
            <v>40028</v>
          </cell>
        </row>
        <row r="888">
          <cell r="B888">
            <v>40025</v>
          </cell>
        </row>
        <row r="889">
          <cell r="B889">
            <v>40024</v>
          </cell>
        </row>
        <row r="890">
          <cell r="B890">
            <v>40023</v>
          </cell>
        </row>
        <row r="891">
          <cell r="B891">
            <v>40022</v>
          </cell>
        </row>
        <row r="892">
          <cell r="B892">
            <v>40021</v>
          </cell>
        </row>
        <row r="893">
          <cell r="B893">
            <v>40018</v>
          </cell>
        </row>
        <row r="894">
          <cell r="B894">
            <v>40017</v>
          </cell>
        </row>
        <row r="895">
          <cell r="B895">
            <v>40016</v>
          </cell>
        </row>
        <row r="896">
          <cell r="B896">
            <v>40015</v>
          </cell>
        </row>
        <row r="897">
          <cell r="B897">
            <v>40014</v>
          </cell>
        </row>
        <row r="898">
          <cell r="B898">
            <v>40011</v>
          </cell>
        </row>
        <row r="899">
          <cell r="B899">
            <v>40010</v>
          </cell>
        </row>
        <row r="900">
          <cell r="B900">
            <v>40009</v>
          </cell>
        </row>
        <row r="901">
          <cell r="B901">
            <v>40008</v>
          </cell>
        </row>
        <row r="902">
          <cell r="B902">
            <v>40007</v>
          </cell>
        </row>
        <row r="903">
          <cell r="B903">
            <v>40004</v>
          </cell>
        </row>
        <row r="904">
          <cell r="B904">
            <v>40003</v>
          </cell>
        </row>
        <row r="905">
          <cell r="B905">
            <v>40002</v>
          </cell>
        </row>
        <row r="906">
          <cell r="B906">
            <v>40001</v>
          </cell>
        </row>
        <row r="907">
          <cell r="B907">
            <v>40000</v>
          </cell>
        </row>
        <row r="908">
          <cell r="B908">
            <v>39996</v>
          </cell>
        </row>
        <row r="909">
          <cell r="B909">
            <v>39995</v>
          </cell>
        </row>
        <row r="910">
          <cell r="B910">
            <v>39994</v>
          </cell>
        </row>
        <row r="911">
          <cell r="B911">
            <v>39993</v>
          </cell>
        </row>
        <row r="912">
          <cell r="B912">
            <v>39990</v>
          </cell>
        </row>
        <row r="913">
          <cell r="B913">
            <v>39989</v>
          </cell>
        </row>
        <row r="914">
          <cell r="B914">
            <v>39988</v>
          </cell>
        </row>
        <row r="915">
          <cell r="B915">
            <v>39987</v>
          </cell>
        </row>
        <row r="916">
          <cell r="B916">
            <v>39986</v>
          </cell>
        </row>
        <row r="917">
          <cell r="B917">
            <v>39983</v>
          </cell>
        </row>
        <row r="918">
          <cell r="B918">
            <v>39982</v>
          </cell>
        </row>
        <row r="919">
          <cell r="B919">
            <v>39981</v>
          </cell>
        </row>
        <row r="920">
          <cell r="B920">
            <v>39980</v>
          </cell>
        </row>
        <row r="921">
          <cell r="B921">
            <v>39979</v>
          </cell>
        </row>
        <row r="922">
          <cell r="B922">
            <v>39976</v>
          </cell>
        </row>
        <row r="923">
          <cell r="B923">
            <v>39975</v>
          </cell>
        </row>
        <row r="924">
          <cell r="B924">
            <v>39974</v>
          </cell>
        </row>
        <row r="925">
          <cell r="B925">
            <v>39973</v>
          </cell>
        </row>
        <row r="926">
          <cell r="B926">
            <v>39972</v>
          </cell>
        </row>
        <row r="927">
          <cell r="B927">
            <v>39969</v>
          </cell>
        </row>
        <row r="928">
          <cell r="B928">
            <v>39968</v>
          </cell>
        </row>
        <row r="929">
          <cell r="B929">
            <v>39967</v>
          </cell>
        </row>
        <row r="930">
          <cell r="B930">
            <v>39966</v>
          </cell>
        </row>
        <row r="931">
          <cell r="B931">
            <v>39965</v>
          </cell>
        </row>
        <row r="932">
          <cell r="B932">
            <v>39962</v>
          </cell>
        </row>
        <row r="933">
          <cell r="B933">
            <v>39961</v>
          </cell>
        </row>
        <row r="934">
          <cell r="B934">
            <v>39960</v>
          </cell>
        </row>
        <row r="935">
          <cell r="B935">
            <v>39959</v>
          </cell>
        </row>
        <row r="936">
          <cell r="B936">
            <v>39955</v>
          </cell>
        </row>
        <row r="937">
          <cell r="B937">
            <v>39954</v>
          </cell>
        </row>
        <row r="938">
          <cell r="B938">
            <v>39953</v>
          </cell>
        </row>
        <row r="939">
          <cell r="B939">
            <v>39952</v>
          </cell>
        </row>
        <row r="940">
          <cell r="B940">
            <v>39951</v>
          </cell>
        </row>
        <row r="941">
          <cell r="B941">
            <v>39948</v>
          </cell>
        </row>
        <row r="942">
          <cell r="B942">
            <v>39947</v>
          </cell>
        </row>
        <row r="943">
          <cell r="B943">
            <v>39946</v>
          </cell>
        </row>
        <row r="944">
          <cell r="B944">
            <v>39945</v>
          </cell>
        </row>
        <row r="945">
          <cell r="B945">
            <v>39944</v>
          </cell>
        </row>
        <row r="946">
          <cell r="B946">
            <v>39941</v>
          </cell>
        </row>
        <row r="947">
          <cell r="B947">
            <v>39940</v>
          </cell>
        </row>
        <row r="948">
          <cell r="B948">
            <v>39939</v>
          </cell>
        </row>
        <row r="949">
          <cell r="B949">
            <v>39938</v>
          </cell>
        </row>
        <row r="950">
          <cell r="B950">
            <v>39937</v>
          </cell>
        </row>
        <row r="951">
          <cell r="B951">
            <v>39934</v>
          </cell>
        </row>
        <row r="952">
          <cell r="B952">
            <v>39933</v>
          </cell>
        </row>
        <row r="953">
          <cell r="B953">
            <v>39932</v>
          </cell>
        </row>
        <row r="954">
          <cell r="B954">
            <v>39931</v>
          </cell>
        </row>
        <row r="955">
          <cell r="B955">
            <v>39930</v>
          </cell>
        </row>
        <row r="956">
          <cell r="B956">
            <v>39927</v>
          </cell>
        </row>
        <row r="957">
          <cell r="B957">
            <v>39926</v>
          </cell>
        </row>
        <row r="958">
          <cell r="B958">
            <v>39925</v>
          </cell>
        </row>
        <row r="959">
          <cell r="B959">
            <v>39924</v>
          </cell>
        </row>
        <row r="960">
          <cell r="B960">
            <v>39923</v>
          </cell>
        </row>
        <row r="961">
          <cell r="B961">
            <v>39920</v>
          </cell>
        </row>
        <row r="962">
          <cell r="B962">
            <v>39919</v>
          </cell>
        </row>
        <row r="963">
          <cell r="B963">
            <v>39918</v>
          </cell>
        </row>
        <row r="964">
          <cell r="B964">
            <v>39917</v>
          </cell>
        </row>
        <row r="965">
          <cell r="B965">
            <v>39916</v>
          </cell>
        </row>
        <row r="966">
          <cell r="B966">
            <v>39912</v>
          </cell>
        </row>
        <row r="967">
          <cell r="B967">
            <v>39911</v>
          </cell>
        </row>
        <row r="968">
          <cell r="B968">
            <v>39910</v>
          </cell>
        </row>
        <row r="969">
          <cell r="B969">
            <v>39909</v>
          </cell>
        </row>
        <row r="970">
          <cell r="B970">
            <v>39906</v>
          </cell>
        </row>
        <row r="971">
          <cell r="B971">
            <v>39905</v>
          </cell>
        </row>
        <row r="972">
          <cell r="B972">
            <v>39904</v>
          </cell>
        </row>
        <row r="973">
          <cell r="B973">
            <v>39903</v>
          </cell>
        </row>
        <row r="974">
          <cell r="B974">
            <v>39902</v>
          </cell>
        </row>
        <row r="975">
          <cell r="B975">
            <v>39899</v>
          </cell>
        </row>
        <row r="976">
          <cell r="B976">
            <v>39898</v>
          </cell>
        </row>
        <row r="977">
          <cell r="B977">
            <v>39897</v>
          </cell>
        </row>
        <row r="978">
          <cell r="B978">
            <v>39896</v>
          </cell>
        </row>
        <row r="979">
          <cell r="B979">
            <v>39895</v>
          </cell>
        </row>
        <row r="980">
          <cell r="B980">
            <v>39892</v>
          </cell>
        </row>
        <row r="981">
          <cell r="B981">
            <v>39891</v>
          </cell>
        </row>
        <row r="982">
          <cell r="B982">
            <v>39890</v>
          </cell>
        </row>
        <row r="983">
          <cell r="B983">
            <v>39889</v>
          </cell>
        </row>
        <row r="984">
          <cell r="B984">
            <v>39888</v>
          </cell>
        </row>
        <row r="985">
          <cell r="B985">
            <v>39885</v>
          </cell>
        </row>
        <row r="986">
          <cell r="B986">
            <v>39884</v>
          </cell>
        </row>
        <row r="987">
          <cell r="B987">
            <v>39883</v>
          </cell>
        </row>
        <row r="988">
          <cell r="B988">
            <v>39882</v>
          </cell>
        </row>
        <row r="989">
          <cell r="B989">
            <v>39881</v>
          </cell>
        </row>
        <row r="990">
          <cell r="B990">
            <v>39878</v>
          </cell>
        </row>
        <row r="991">
          <cell r="B991">
            <v>39877</v>
          </cell>
        </row>
        <row r="992">
          <cell r="B992">
            <v>39876</v>
          </cell>
        </row>
        <row r="993">
          <cell r="B993">
            <v>39875</v>
          </cell>
        </row>
        <row r="994">
          <cell r="B994">
            <v>39874</v>
          </cell>
        </row>
        <row r="995">
          <cell r="B995">
            <v>39871</v>
          </cell>
        </row>
        <row r="996">
          <cell r="B996">
            <v>39870</v>
          </cell>
        </row>
        <row r="997">
          <cell r="B997">
            <v>39869</v>
          </cell>
        </row>
        <row r="998">
          <cell r="B998">
            <v>39868</v>
          </cell>
        </row>
        <row r="999">
          <cell r="B999">
            <v>39867</v>
          </cell>
        </row>
        <row r="1000">
          <cell r="B1000">
            <v>39864</v>
          </cell>
        </row>
        <row r="1001">
          <cell r="B1001">
            <v>39863</v>
          </cell>
        </row>
        <row r="1002">
          <cell r="B1002">
            <v>39862</v>
          </cell>
        </row>
        <row r="1003">
          <cell r="B1003">
            <v>39861</v>
          </cell>
        </row>
        <row r="1004">
          <cell r="B1004">
            <v>39857</v>
          </cell>
        </row>
        <row r="1005">
          <cell r="B1005">
            <v>39856</v>
          </cell>
        </row>
        <row r="1006">
          <cell r="B1006">
            <v>39855</v>
          </cell>
        </row>
        <row r="1007">
          <cell r="B1007">
            <v>39854</v>
          </cell>
        </row>
        <row r="1008">
          <cell r="B1008">
            <v>39853</v>
          </cell>
        </row>
        <row r="1009">
          <cell r="B1009">
            <v>39850</v>
          </cell>
        </row>
        <row r="1010">
          <cell r="B1010">
            <v>39849</v>
          </cell>
        </row>
        <row r="1011">
          <cell r="B1011">
            <v>39848</v>
          </cell>
        </row>
        <row r="1012">
          <cell r="B1012">
            <v>39847</v>
          </cell>
        </row>
        <row r="1013">
          <cell r="B1013">
            <v>39846</v>
          </cell>
        </row>
        <row r="1014">
          <cell r="B1014">
            <v>39843</v>
          </cell>
        </row>
        <row r="1015">
          <cell r="B1015">
            <v>39842</v>
          </cell>
        </row>
        <row r="1016">
          <cell r="B1016">
            <v>39841</v>
          </cell>
        </row>
        <row r="1017">
          <cell r="B1017">
            <v>39840</v>
          </cell>
        </row>
        <row r="1018">
          <cell r="B1018">
            <v>39839</v>
          </cell>
        </row>
        <row r="1019">
          <cell r="B1019">
            <v>39836</v>
          </cell>
        </row>
        <row r="1020">
          <cell r="B1020">
            <v>39835</v>
          </cell>
        </row>
        <row r="1021">
          <cell r="B1021">
            <v>39834</v>
          </cell>
        </row>
        <row r="1022">
          <cell r="B1022">
            <v>39833</v>
          </cell>
        </row>
        <row r="1023">
          <cell r="B1023">
            <v>39829</v>
          </cell>
        </row>
        <row r="1024">
          <cell r="B1024">
            <v>39828</v>
          </cell>
        </row>
        <row r="1025">
          <cell r="B1025">
            <v>39827</v>
          </cell>
        </row>
        <row r="1026">
          <cell r="B1026">
            <v>39826</v>
          </cell>
        </row>
        <row r="1027">
          <cell r="B1027">
            <v>39825</v>
          </cell>
        </row>
        <row r="1028">
          <cell r="B1028">
            <v>39822</v>
          </cell>
        </row>
        <row r="1029">
          <cell r="B1029">
            <v>39821</v>
          </cell>
        </row>
        <row r="1030">
          <cell r="B1030">
            <v>39820</v>
          </cell>
        </row>
        <row r="1031">
          <cell r="B1031">
            <v>39819</v>
          </cell>
        </row>
        <row r="1032">
          <cell r="B1032">
            <v>39818</v>
          </cell>
        </row>
        <row r="1033">
          <cell r="B1033">
            <v>39815</v>
          </cell>
        </row>
        <row r="1034">
          <cell r="B1034">
            <v>39813</v>
          </cell>
        </row>
        <row r="1035">
          <cell r="B1035">
            <v>39812</v>
          </cell>
        </row>
        <row r="1036">
          <cell r="B1036">
            <v>39811</v>
          </cell>
        </row>
        <row r="1037">
          <cell r="B1037">
            <v>39808</v>
          </cell>
        </row>
        <row r="1038">
          <cell r="B1038">
            <v>39806</v>
          </cell>
        </row>
        <row r="1039">
          <cell r="B1039">
            <v>39805</v>
          </cell>
        </row>
        <row r="1040">
          <cell r="B1040">
            <v>39804</v>
          </cell>
        </row>
        <row r="1041">
          <cell r="B1041">
            <v>39801</v>
          </cell>
        </row>
        <row r="1042">
          <cell r="B1042">
            <v>39800</v>
          </cell>
        </row>
        <row r="1043">
          <cell r="B1043">
            <v>39799</v>
          </cell>
        </row>
        <row r="1044">
          <cell r="B1044">
            <v>39798</v>
          </cell>
        </row>
        <row r="1045">
          <cell r="B1045">
            <v>39797</v>
          </cell>
        </row>
        <row r="1046">
          <cell r="B1046">
            <v>39794</v>
          </cell>
        </row>
        <row r="1047">
          <cell r="B1047">
            <v>39793</v>
          </cell>
        </row>
        <row r="1048">
          <cell r="B1048">
            <v>39792</v>
          </cell>
        </row>
        <row r="1049">
          <cell r="B1049">
            <v>39791</v>
          </cell>
        </row>
        <row r="1050">
          <cell r="B1050">
            <v>39790</v>
          </cell>
        </row>
        <row r="1051">
          <cell r="B1051">
            <v>39787</v>
          </cell>
        </row>
        <row r="1052">
          <cell r="B1052">
            <v>39786</v>
          </cell>
        </row>
        <row r="1053">
          <cell r="B1053">
            <v>39785</v>
          </cell>
        </row>
        <row r="1054">
          <cell r="B1054">
            <v>39784</v>
          </cell>
        </row>
        <row r="1055">
          <cell r="B1055">
            <v>39783</v>
          </cell>
        </row>
        <row r="1056">
          <cell r="B1056">
            <v>39780</v>
          </cell>
        </row>
        <row r="1057">
          <cell r="B1057">
            <v>39778</v>
          </cell>
        </row>
        <row r="1058">
          <cell r="B1058">
            <v>39777</v>
          </cell>
        </row>
        <row r="1059">
          <cell r="B1059">
            <v>39776</v>
          </cell>
        </row>
        <row r="1060">
          <cell r="B1060">
            <v>39773</v>
          </cell>
        </row>
        <row r="1061">
          <cell r="B1061">
            <v>39772</v>
          </cell>
        </row>
        <row r="1062">
          <cell r="B1062">
            <v>39771</v>
          </cell>
        </row>
        <row r="1063">
          <cell r="B1063">
            <v>39770</v>
          </cell>
        </row>
        <row r="1064">
          <cell r="B1064">
            <v>39769</v>
          </cell>
        </row>
        <row r="1065">
          <cell r="B1065">
            <v>39766</v>
          </cell>
        </row>
        <row r="1066">
          <cell r="B1066">
            <v>39765</v>
          </cell>
        </row>
        <row r="1067">
          <cell r="B1067">
            <v>39764</v>
          </cell>
        </row>
        <row r="1068">
          <cell r="B1068">
            <v>39763</v>
          </cell>
        </row>
        <row r="1069">
          <cell r="B1069">
            <v>39762</v>
          </cell>
        </row>
        <row r="1070">
          <cell r="B1070">
            <v>39759</v>
          </cell>
        </row>
        <row r="1071">
          <cell r="B1071">
            <v>39758</v>
          </cell>
        </row>
        <row r="1072">
          <cell r="B1072">
            <v>39757</v>
          </cell>
        </row>
        <row r="1073">
          <cell r="B1073">
            <v>39756</v>
          </cell>
        </row>
        <row r="1074">
          <cell r="B1074">
            <v>39755</v>
          </cell>
        </row>
        <row r="1075">
          <cell r="B1075">
            <v>39752</v>
          </cell>
        </row>
        <row r="1076">
          <cell r="B1076">
            <v>39751</v>
          </cell>
        </row>
        <row r="1077">
          <cell r="B1077">
            <v>39750</v>
          </cell>
        </row>
        <row r="1078">
          <cell r="B1078">
            <v>39749</v>
          </cell>
        </row>
        <row r="1079">
          <cell r="B1079">
            <v>39748</v>
          </cell>
        </row>
        <row r="1080">
          <cell r="B1080">
            <v>39745</v>
          </cell>
        </row>
        <row r="1081">
          <cell r="B1081">
            <v>39744</v>
          </cell>
        </row>
        <row r="1082">
          <cell r="B1082">
            <v>39743</v>
          </cell>
        </row>
        <row r="1083">
          <cell r="B1083">
            <v>39742</v>
          </cell>
        </row>
        <row r="1084">
          <cell r="B1084">
            <v>39741</v>
          </cell>
        </row>
        <row r="1085">
          <cell r="B1085">
            <v>39738</v>
          </cell>
        </row>
        <row r="1086">
          <cell r="B1086">
            <v>39737</v>
          </cell>
        </row>
        <row r="1087">
          <cell r="B1087">
            <v>39736</v>
          </cell>
        </row>
        <row r="1088">
          <cell r="B1088">
            <v>39735</v>
          </cell>
        </row>
        <row r="1089">
          <cell r="B1089">
            <v>39734</v>
          </cell>
        </row>
        <row r="1090">
          <cell r="B1090">
            <v>39731</v>
          </cell>
        </row>
        <row r="1091">
          <cell r="B1091">
            <v>39730</v>
          </cell>
        </row>
        <row r="1092">
          <cell r="B1092">
            <v>39729</v>
          </cell>
        </row>
        <row r="1093">
          <cell r="B1093">
            <v>39728</v>
          </cell>
        </row>
        <row r="1094">
          <cell r="B1094">
            <v>39727</v>
          </cell>
        </row>
        <row r="1095">
          <cell r="B1095">
            <v>39724</v>
          </cell>
        </row>
        <row r="1096">
          <cell r="B1096">
            <v>39723</v>
          </cell>
        </row>
        <row r="1097">
          <cell r="B1097">
            <v>39722</v>
          </cell>
        </row>
        <row r="1098">
          <cell r="B1098">
            <v>39721</v>
          </cell>
        </row>
        <row r="1099">
          <cell r="B1099">
            <v>39720</v>
          </cell>
        </row>
        <row r="1100">
          <cell r="B1100">
            <v>39717</v>
          </cell>
        </row>
        <row r="1101">
          <cell r="B1101">
            <v>39716</v>
          </cell>
        </row>
        <row r="1102">
          <cell r="B1102">
            <v>39715</v>
          </cell>
        </row>
        <row r="1103">
          <cell r="B1103">
            <v>39714</v>
          </cell>
        </row>
        <row r="1104">
          <cell r="B1104">
            <v>39713</v>
          </cell>
        </row>
        <row r="1105">
          <cell r="B1105">
            <v>39710</v>
          </cell>
        </row>
        <row r="1106">
          <cell r="B1106">
            <v>39709</v>
          </cell>
        </row>
        <row r="1107">
          <cell r="B1107">
            <v>39708</v>
          </cell>
        </row>
        <row r="1108">
          <cell r="B1108">
            <v>39707</v>
          </cell>
        </row>
        <row r="1109">
          <cell r="B1109">
            <v>39706</v>
          </cell>
        </row>
        <row r="1110">
          <cell r="B1110">
            <v>39703</v>
          </cell>
        </row>
        <row r="1111">
          <cell r="B1111">
            <v>39702</v>
          </cell>
        </row>
        <row r="1112">
          <cell r="B1112">
            <v>39701</v>
          </cell>
        </row>
        <row r="1113">
          <cell r="B1113">
            <v>39700</v>
          </cell>
        </row>
        <row r="1114">
          <cell r="B1114">
            <v>39699</v>
          </cell>
        </row>
        <row r="1115">
          <cell r="B1115">
            <v>39696</v>
          </cell>
        </row>
        <row r="1116">
          <cell r="B1116">
            <v>39695</v>
          </cell>
        </row>
        <row r="1117">
          <cell r="B1117">
            <v>39694</v>
          </cell>
        </row>
        <row r="1118">
          <cell r="B1118">
            <v>39693</v>
          </cell>
        </row>
        <row r="1119">
          <cell r="B1119">
            <v>39689</v>
          </cell>
        </row>
        <row r="1120">
          <cell r="B1120">
            <v>39688</v>
          </cell>
        </row>
        <row r="1121">
          <cell r="B1121">
            <v>39687</v>
          </cell>
        </row>
        <row r="1122">
          <cell r="B1122">
            <v>39686</v>
          </cell>
        </row>
        <row r="1123">
          <cell r="B1123">
            <v>39685</v>
          </cell>
        </row>
        <row r="1124">
          <cell r="B1124">
            <v>39682</v>
          </cell>
        </row>
        <row r="1125">
          <cell r="B1125">
            <v>39681</v>
          </cell>
        </row>
        <row r="1126">
          <cell r="B1126">
            <v>39680</v>
          </cell>
        </row>
        <row r="1127">
          <cell r="B1127">
            <v>39679</v>
          </cell>
        </row>
        <row r="1128">
          <cell r="B1128">
            <v>39678</v>
          </cell>
        </row>
        <row r="1129">
          <cell r="B1129">
            <v>39675</v>
          </cell>
        </row>
        <row r="1130">
          <cell r="B1130">
            <v>39674</v>
          </cell>
        </row>
        <row r="1131">
          <cell r="B1131">
            <v>39673</v>
          </cell>
        </row>
        <row r="1132">
          <cell r="B1132">
            <v>39672</v>
          </cell>
        </row>
        <row r="1133">
          <cell r="B1133">
            <v>39671</v>
          </cell>
        </row>
        <row r="1134">
          <cell r="B1134">
            <v>39668</v>
          </cell>
        </row>
        <row r="1135">
          <cell r="B1135">
            <v>39667</v>
          </cell>
        </row>
        <row r="1136">
          <cell r="B1136">
            <v>39666</v>
          </cell>
        </row>
        <row r="1137">
          <cell r="B1137">
            <v>39665</v>
          </cell>
        </row>
        <row r="1138">
          <cell r="B1138">
            <v>39664</v>
          </cell>
        </row>
        <row r="1139">
          <cell r="B1139">
            <v>39661</v>
          </cell>
        </row>
        <row r="1140">
          <cell r="B1140">
            <v>39660</v>
          </cell>
        </row>
        <row r="1141">
          <cell r="B1141">
            <v>39659</v>
          </cell>
        </row>
        <row r="1142">
          <cell r="B1142">
            <v>39658</v>
          </cell>
        </row>
        <row r="1143">
          <cell r="B1143">
            <v>39657</v>
          </cell>
        </row>
        <row r="1144">
          <cell r="B1144">
            <v>39654</v>
          </cell>
        </row>
        <row r="1145">
          <cell r="B1145">
            <v>39653</v>
          </cell>
        </row>
        <row r="1146">
          <cell r="B1146">
            <v>39652</v>
          </cell>
        </row>
        <row r="1147">
          <cell r="B1147">
            <v>39651</v>
          </cell>
        </row>
        <row r="1148">
          <cell r="B1148">
            <v>39650</v>
          </cell>
        </row>
        <row r="1149">
          <cell r="B1149">
            <v>39647</v>
          </cell>
        </row>
        <row r="1150">
          <cell r="B1150">
            <v>39646</v>
          </cell>
        </row>
        <row r="1151">
          <cell r="B1151">
            <v>39645</v>
          </cell>
        </row>
        <row r="1152">
          <cell r="B1152">
            <v>39644</v>
          </cell>
        </row>
        <row r="1153">
          <cell r="B1153">
            <v>39643</v>
          </cell>
        </row>
        <row r="1154">
          <cell r="B1154">
            <v>39640</v>
          </cell>
        </row>
        <row r="1155">
          <cell r="B1155">
            <v>39639</v>
          </cell>
        </row>
        <row r="1156">
          <cell r="B1156">
            <v>39638</v>
          </cell>
        </row>
        <row r="1157">
          <cell r="B1157">
            <v>39637</v>
          </cell>
        </row>
        <row r="1158">
          <cell r="B1158">
            <v>39636</v>
          </cell>
        </row>
        <row r="1159">
          <cell r="B1159">
            <v>39632</v>
          </cell>
        </row>
        <row r="1160">
          <cell r="B1160">
            <v>39631</v>
          </cell>
        </row>
        <row r="1161">
          <cell r="B1161">
            <v>39630</v>
          </cell>
        </row>
        <row r="1162">
          <cell r="B1162">
            <v>39629</v>
          </cell>
        </row>
        <row r="1163">
          <cell r="B1163">
            <v>39626</v>
          </cell>
        </row>
        <row r="1164">
          <cell r="B1164">
            <v>39625</v>
          </cell>
        </row>
        <row r="1165">
          <cell r="B1165">
            <v>39624</v>
          </cell>
        </row>
        <row r="1166">
          <cell r="B1166">
            <v>39623</v>
          </cell>
        </row>
        <row r="1167">
          <cell r="B1167">
            <v>39622</v>
          </cell>
        </row>
        <row r="1168">
          <cell r="B1168">
            <v>39619</v>
          </cell>
        </row>
        <row r="1169">
          <cell r="B1169">
            <v>39618</v>
          </cell>
        </row>
        <row r="1170">
          <cell r="B1170">
            <v>39617</v>
          </cell>
        </row>
        <row r="1171">
          <cell r="B1171">
            <v>39616</v>
          </cell>
        </row>
        <row r="1172">
          <cell r="B1172">
            <v>39615</v>
          </cell>
        </row>
        <row r="1173">
          <cell r="B1173">
            <v>39612</v>
          </cell>
        </row>
        <row r="1174">
          <cell r="B1174">
            <v>39611</v>
          </cell>
        </row>
        <row r="1175">
          <cell r="B1175">
            <v>39610</v>
          </cell>
        </row>
        <row r="1176">
          <cell r="B1176">
            <v>39609</v>
          </cell>
        </row>
        <row r="1177">
          <cell r="B1177">
            <v>39608</v>
          </cell>
        </row>
        <row r="1178">
          <cell r="B1178">
            <v>39605</v>
          </cell>
        </row>
        <row r="1179">
          <cell r="B1179">
            <v>39604</v>
          </cell>
        </row>
        <row r="1180">
          <cell r="B1180">
            <v>39603</v>
          </cell>
        </row>
        <row r="1181">
          <cell r="B1181">
            <v>39602</v>
          </cell>
        </row>
        <row r="1182">
          <cell r="B1182">
            <v>39601</v>
          </cell>
        </row>
        <row r="1183">
          <cell r="B1183">
            <v>39598</v>
          </cell>
        </row>
        <row r="1184">
          <cell r="B1184">
            <v>39597</v>
          </cell>
        </row>
        <row r="1185">
          <cell r="B1185">
            <v>39596</v>
          </cell>
        </row>
        <row r="1186">
          <cell r="B1186">
            <v>39595</v>
          </cell>
        </row>
        <row r="1187">
          <cell r="B1187">
            <v>39591</v>
          </cell>
        </row>
        <row r="1188">
          <cell r="B1188">
            <v>39590</v>
          </cell>
        </row>
        <row r="1189">
          <cell r="B1189">
            <v>39589</v>
          </cell>
        </row>
        <row r="1190">
          <cell r="B1190">
            <v>39588</v>
          </cell>
        </row>
        <row r="1191">
          <cell r="B1191">
            <v>39587</v>
          </cell>
        </row>
        <row r="1192">
          <cell r="B1192">
            <v>39584</v>
          </cell>
        </row>
        <row r="1193">
          <cell r="B1193">
            <v>39583</v>
          </cell>
        </row>
        <row r="1194">
          <cell r="B1194">
            <v>39582</v>
          </cell>
        </row>
        <row r="1195">
          <cell r="B1195">
            <v>39581</v>
          </cell>
        </row>
        <row r="1196">
          <cell r="B1196">
            <v>39580</v>
          </cell>
        </row>
        <row r="1197">
          <cell r="B1197">
            <v>39577</v>
          </cell>
        </row>
        <row r="1198">
          <cell r="B1198">
            <v>39576</v>
          </cell>
        </row>
        <row r="1199">
          <cell r="B1199">
            <v>39575</v>
          </cell>
        </row>
        <row r="1200">
          <cell r="B1200">
            <v>39574</v>
          </cell>
        </row>
        <row r="1201">
          <cell r="B1201">
            <v>39573</v>
          </cell>
        </row>
        <row r="1202">
          <cell r="B1202">
            <v>39570</v>
          </cell>
        </row>
        <row r="1203">
          <cell r="B1203">
            <v>39569</v>
          </cell>
        </row>
        <row r="1204">
          <cell r="B1204">
            <v>39568</v>
          </cell>
        </row>
        <row r="1205">
          <cell r="B1205">
            <v>39567</v>
          </cell>
        </row>
        <row r="1206">
          <cell r="B1206">
            <v>39566</v>
          </cell>
        </row>
        <row r="1207">
          <cell r="B1207">
            <v>39563</v>
          </cell>
        </row>
        <row r="1208">
          <cell r="B1208">
            <v>39562</v>
          </cell>
        </row>
        <row r="1209">
          <cell r="B1209">
            <v>39561</v>
          </cell>
        </row>
        <row r="1210">
          <cell r="B1210">
            <v>39560</v>
          </cell>
        </row>
        <row r="1211">
          <cell r="B1211">
            <v>39559</v>
          </cell>
        </row>
        <row r="1212">
          <cell r="B1212">
            <v>39556</v>
          </cell>
        </row>
        <row r="1213">
          <cell r="B1213">
            <v>39555</v>
          </cell>
        </row>
        <row r="1214">
          <cell r="B1214">
            <v>39554</v>
          </cell>
        </row>
        <row r="1215">
          <cell r="B1215">
            <v>39553</v>
          </cell>
        </row>
        <row r="1216">
          <cell r="B1216">
            <v>39552</v>
          </cell>
        </row>
        <row r="1217">
          <cell r="B1217">
            <v>39549</v>
          </cell>
        </row>
        <row r="1218">
          <cell r="B1218">
            <v>39548</v>
          </cell>
        </row>
        <row r="1219">
          <cell r="B1219">
            <v>39547</v>
          </cell>
        </row>
        <row r="1220">
          <cell r="B1220">
            <v>39546</v>
          </cell>
        </row>
        <row r="1221">
          <cell r="B1221">
            <v>39545</v>
          </cell>
        </row>
        <row r="1222">
          <cell r="B1222">
            <v>39542</v>
          </cell>
        </row>
        <row r="1223">
          <cell r="B1223">
            <v>39541</v>
          </cell>
        </row>
        <row r="1224">
          <cell r="B1224">
            <v>39540</v>
          </cell>
        </row>
        <row r="1225">
          <cell r="B1225">
            <v>39539</v>
          </cell>
        </row>
        <row r="1226">
          <cell r="B1226">
            <v>39538</v>
          </cell>
        </row>
        <row r="1227">
          <cell r="B1227">
            <v>39535</v>
          </cell>
        </row>
        <row r="1228">
          <cell r="B1228">
            <v>39534</v>
          </cell>
        </row>
        <row r="1229">
          <cell r="B1229">
            <v>39533</v>
          </cell>
        </row>
        <row r="1230">
          <cell r="B1230">
            <v>39532</v>
          </cell>
        </row>
        <row r="1231">
          <cell r="B1231">
            <v>39531</v>
          </cell>
        </row>
        <row r="1232">
          <cell r="B1232">
            <v>39527</v>
          </cell>
        </row>
        <row r="1233">
          <cell r="B1233">
            <v>39526</v>
          </cell>
        </row>
        <row r="1234">
          <cell r="B1234">
            <v>39525</v>
          </cell>
        </row>
        <row r="1235">
          <cell r="B1235">
            <v>39524</v>
          </cell>
        </row>
        <row r="1236">
          <cell r="B1236">
            <v>39521</v>
          </cell>
        </row>
        <row r="1237">
          <cell r="B1237">
            <v>39520</v>
          </cell>
        </row>
        <row r="1238">
          <cell r="B1238">
            <v>39519</v>
          </cell>
        </row>
        <row r="1239">
          <cell r="B1239">
            <v>39518</v>
          </cell>
        </row>
        <row r="1240">
          <cell r="B1240">
            <v>39517</v>
          </cell>
        </row>
        <row r="1241">
          <cell r="B1241">
            <v>39514</v>
          </cell>
        </row>
        <row r="1242">
          <cell r="B1242">
            <v>39513</v>
          </cell>
        </row>
        <row r="1243">
          <cell r="B1243">
            <v>39512</v>
          </cell>
        </row>
        <row r="1244">
          <cell r="B1244">
            <v>39511</v>
          </cell>
        </row>
        <row r="1245">
          <cell r="B1245">
            <v>39510</v>
          </cell>
        </row>
        <row r="1246">
          <cell r="B1246">
            <v>39507</v>
          </cell>
        </row>
        <row r="1247">
          <cell r="B1247">
            <v>39506</v>
          </cell>
        </row>
        <row r="1248">
          <cell r="B1248">
            <v>39505</v>
          </cell>
        </row>
        <row r="1249">
          <cell r="B1249">
            <v>39504</v>
          </cell>
        </row>
        <row r="1250">
          <cell r="B1250">
            <v>39503</v>
          </cell>
        </row>
        <row r="1251">
          <cell r="B1251">
            <v>39500</v>
          </cell>
        </row>
        <row r="1252">
          <cell r="B1252">
            <v>39499</v>
          </cell>
        </row>
        <row r="1253">
          <cell r="B1253">
            <v>39498</v>
          </cell>
        </row>
        <row r="1254">
          <cell r="B1254">
            <v>39497</v>
          </cell>
        </row>
        <row r="1255">
          <cell r="B1255">
            <v>39493</v>
          </cell>
        </row>
        <row r="1256">
          <cell r="B1256">
            <v>39492</v>
          </cell>
        </row>
        <row r="1257">
          <cell r="B1257">
            <v>39491</v>
          </cell>
        </row>
        <row r="1258">
          <cell r="B1258">
            <v>39490</v>
          </cell>
        </row>
        <row r="1259">
          <cell r="B1259">
            <v>39489</v>
          </cell>
        </row>
        <row r="1260">
          <cell r="B1260">
            <v>39486</v>
          </cell>
        </row>
        <row r="1261">
          <cell r="B1261">
            <v>39485</v>
          </cell>
        </row>
        <row r="1262">
          <cell r="B1262">
            <v>39484</v>
          </cell>
        </row>
        <row r="1263">
          <cell r="B1263">
            <v>39483</v>
          </cell>
        </row>
        <row r="1264">
          <cell r="B1264">
            <v>39482</v>
          </cell>
        </row>
        <row r="1265">
          <cell r="B1265">
            <v>39479</v>
          </cell>
        </row>
        <row r="1266">
          <cell r="B1266">
            <v>39478</v>
          </cell>
        </row>
        <row r="1267">
          <cell r="B1267">
            <v>39477</v>
          </cell>
        </row>
        <row r="1268">
          <cell r="B1268">
            <v>39476</v>
          </cell>
        </row>
        <row r="1269">
          <cell r="B1269">
            <v>39475</v>
          </cell>
        </row>
        <row r="1270">
          <cell r="B1270">
            <v>39472</v>
          </cell>
        </row>
        <row r="1271">
          <cell r="B1271">
            <v>39471</v>
          </cell>
        </row>
        <row r="1272">
          <cell r="B1272">
            <v>39470</v>
          </cell>
        </row>
        <row r="1273">
          <cell r="B1273">
            <v>39469</v>
          </cell>
        </row>
        <row r="1274">
          <cell r="B1274">
            <v>39465</v>
          </cell>
        </row>
        <row r="1275">
          <cell r="B1275">
            <v>39464</v>
          </cell>
        </row>
        <row r="1276">
          <cell r="B1276">
            <v>39463</v>
          </cell>
        </row>
        <row r="1277">
          <cell r="B1277">
            <v>39462</v>
          </cell>
        </row>
        <row r="1278">
          <cell r="B1278">
            <v>39461</v>
          </cell>
        </row>
        <row r="1279">
          <cell r="B1279">
            <v>39458</v>
          </cell>
        </row>
        <row r="1280">
          <cell r="B1280">
            <v>39457</v>
          </cell>
        </row>
        <row r="1281">
          <cell r="B1281">
            <v>39456</v>
          </cell>
        </row>
        <row r="1282">
          <cell r="B1282">
            <v>39455</v>
          </cell>
        </row>
        <row r="1283">
          <cell r="B1283">
            <v>39454</v>
          </cell>
        </row>
        <row r="1284">
          <cell r="B1284">
            <v>39451</v>
          </cell>
        </row>
        <row r="1285">
          <cell r="B1285">
            <v>39450</v>
          </cell>
        </row>
        <row r="1286">
          <cell r="B1286">
            <v>39449</v>
          </cell>
        </row>
        <row r="1287">
          <cell r="B1287">
            <v>39447</v>
          </cell>
        </row>
        <row r="1288">
          <cell r="B1288">
            <v>39444</v>
          </cell>
        </row>
        <row r="1289">
          <cell r="B1289">
            <v>39443</v>
          </cell>
        </row>
        <row r="1290">
          <cell r="B1290">
            <v>39442</v>
          </cell>
        </row>
        <row r="1291">
          <cell r="B1291">
            <v>39440</v>
          </cell>
        </row>
        <row r="1292">
          <cell r="B1292">
            <v>39437</v>
          </cell>
        </row>
        <row r="1293">
          <cell r="B1293">
            <v>39436</v>
          </cell>
        </row>
        <row r="1294">
          <cell r="B1294">
            <v>39435</v>
          </cell>
        </row>
        <row r="1295">
          <cell r="B1295">
            <v>39434</v>
          </cell>
        </row>
        <row r="1296">
          <cell r="B1296">
            <v>39433</v>
          </cell>
        </row>
        <row r="1297">
          <cell r="B1297">
            <v>39430</v>
          </cell>
        </row>
        <row r="1298">
          <cell r="B1298">
            <v>39429</v>
          </cell>
        </row>
        <row r="1299">
          <cell r="B1299">
            <v>39428</v>
          </cell>
        </row>
        <row r="1300">
          <cell r="B1300">
            <v>39427</v>
          </cell>
        </row>
        <row r="1301">
          <cell r="B1301">
            <v>39426</v>
          </cell>
        </row>
        <row r="1302">
          <cell r="B1302">
            <v>39423</v>
          </cell>
        </row>
        <row r="1303">
          <cell r="B1303">
            <v>39422</v>
          </cell>
        </row>
        <row r="1304">
          <cell r="B1304">
            <v>39421</v>
          </cell>
        </row>
        <row r="1305">
          <cell r="B1305">
            <v>39420</v>
          </cell>
        </row>
        <row r="1306">
          <cell r="B1306">
            <v>39419</v>
          </cell>
        </row>
        <row r="1307">
          <cell r="B1307">
            <v>39416</v>
          </cell>
        </row>
        <row r="1308">
          <cell r="B1308">
            <v>39415</v>
          </cell>
        </row>
        <row r="1309">
          <cell r="B1309">
            <v>39414</v>
          </cell>
        </row>
        <row r="1310">
          <cell r="B1310">
            <v>39413</v>
          </cell>
        </row>
        <row r="1311">
          <cell r="B1311">
            <v>39412</v>
          </cell>
        </row>
        <row r="1312">
          <cell r="B1312">
            <v>39409</v>
          </cell>
        </row>
        <row r="1313">
          <cell r="B1313">
            <v>39407</v>
          </cell>
        </row>
        <row r="1314">
          <cell r="B1314">
            <v>39406</v>
          </cell>
        </row>
        <row r="1315">
          <cell r="B1315">
            <v>39405</v>
          </cell>
        </row>
        <row r="1316">
          <cell r="B1316">
            <v>39402</v>
          </cell>
        </row>
        <row r="1317">
          <cell r="B1317">
            <v>39401</v>
          </cell>
        </row>
        <row r="1318">
          <cell r="B1318">
            <v>39400</v>
          </cell>
        </row>
        <row r="1319">
          <cell r="B1319">
            <v>39399</v>
          </cell>
        </row>
        <row r="1320">
          <cell r="B1320">
            <v>39398</v>
          </cell>
        </row>
        <row r="1321">
          <cell r="B1321">
            <v>39395</v>
          </cell>
        </row>
        <row r="1322">
          <cell r="B1322">
            <v>39394</v>
          </cell>
        </row>
        <row r="1323">
          <cell r="B1323">
            <v>39393</v>
          </cell>
        </row>
        <row r="1324">
          <cell r="B1324">
            <v>39392</v>
          </cell>
        </row>
        <row r="1325">
          <cell r="B1325">
            <v>39391</v>
          </cell>
        </row>
        <row r="1326">
          <cell r="B1326">
            <v>39388</v>
          </cell>
        </row>
        <row r="1327">
          <cell r="B1327">
            <v>39387</v>
          </cell>
        </row>
        <row r="1328">
          <cell r="B1328">
            <v>39386</v>
          </cell>
        </row>
        <row r="1329">
          <cell r="B1329">
            <v>39385</v>
          </cell>
        </row>
        <row r="1330">
          <cell r="B1330">
            <v>39384</v>
          </cell>
        </row>
        <row r="1331">
          <cell r="B1331">
            <v>39381</v>
          </cell>
        </row>
        <row r="1332">
          <cell r="B1332">
            <v>39380</v>
          </cell>
        </row>
        <row r="1333">
          <cell r="B1333">
            <v>39379</v>
          </cell>
        </row>
        <row r="1334">
          <cell r="B1334">
            <v>39378</v>
          </cell>
        </row>
        <row r="1335">
          <cell r="B1335">
            <v>39377</v>
          </cell>
        </row>
        <row r="1336">
          <cell r="B1336">
            <v>39374</v>
          </cell>
        </row>
        <row r="1337">
          <cell r="B1337">
            <v>39373</v>
          </cell>
        </row>
        <row r="1338">
          <cell r="B1338">
            <v>39372</v>
          </cell>
        </row>
        <row r="1339">
          <cell r="B1339">
            <v>39371</v>
          </cell>
        </row>
        <row r="1340">
          <cell r="B1340">
            <v>39370</v>
          </cell>
        </row>
        <row r="1341">
          <cell r="B1341">
            <v>39367</v>
          </cell>
        </row>
        <row r="1342">
          <cell r="B1342">
            <v>39366</v>
          </cell>
        </row>
        <row r="1343">
          <cell r="B1343">
            <v>39365</v>
          </cell>
        </row>
        <row r="1344">
          <cell r="B1344">
            <v>39364</v>
          </cell>
        </row>
        <row r="1345">
          <cell r="B1345">
            <v>39363</v>
          </cell>
        </row>
        <row r="1346">
          <cell r="B1346">
            <v>39360</v>
          </cell>
        </row>
        <row r="1347">
          <cell r="B1347">
            <v>39359</v>
          </cell>
        </row>
        <row r="1348">
          <cell r="B1348">
            <v>39358</v>
          </cell>
        </row>
        <row r="1349">
          <cell r="B1349">
            <v>39357</v>
          </cell>
        </row>
        <row r="1350">
          <cell r="B1350">
            <v>39356</v>
          </cell>
        </row>
        <row r="1351">
          <cell r="B1351">
            <v>39353</v>
          </cell>
        </row>
        <row r="1352">
          <cell r="B1352">
            <v>39352</v>
          </cell>
        </row>
        <row r="1353">
          <cell r="B1353">
            <v>39351</v>
          </cell>
        </row>
        <row r="1354">
          <cell r="B1354">
            <v>39350</v>
          </cell>
        </row>
        <row r="1355">
          <cell r="B1355">
            <v>39349</v>
          </cell>
        </row>
        <row r="1356">
          <cell r="B1356">
            <v>39346</v>
          </cell>
        </row>
        <row r="1357">
          <cell r="B1357">
            <v>39345</v>
          </cell>
        </row>
        <row r="1358">
          <cell r="B1358">
            <v>39344</v>
          </cell>
        </row>
        <row r="1359">
          <cell r="B1359">
            <v>39343</v>
          </cell>
        </row>
        <row r="1360">
          <cell r="B1360">
            <v>39342</v>
          </cell>
        </row>
        <row r="1361">
          <cell r="B1361">
            <v>39339</v>
          </cell>
        </row>
        <row r="1362">
          <cell r="B1362">
            <v>39338</v>
          </cell>
        </row>
        <row r="1363">
          <cell r="B1363">
            <v>39337</v>
          </cell>
        </row>
        <row r="1364">
          <cell r="B1364">
            <v>39336</v>
          </cell>
        </row>
        <row r="1365">
          <cell r="B1365">
            <v>39335</v>
          </cell>
        </row>
        <row r="1366">
          <cell r="B1366">
            <v>39332</v>
          </cell>
        </row>
        <row r="1367">
          <cell r="B1367">
            <v>39331</v>
          </cell>
        </row>
        <row r="1368">
          <cell r="B1368">
            <v>39330</v>
          </cell>
        </row>
        <row r="1369">
          <cell r="B1369">
            <v>39329</v>
          </cell>
        </row>
        <row r="1370">
          <cell r="B1370">
            <v>39325</v>
          </cell>
        </row>
        <row r="1371">
          <cell r="B1371">
            <v>39324</v>
          </cell>
        </row>
        <row r="1372">
          <cell r="B1372">
            <v>39323</v>
          </cell>
        </row>
        <row r="1373">
          <cell r="B1373">
            <v>39322</v>
          </cell>
        </row>
        <row r="1374">
          <cell r="B1374">
            <v>39321</v>
          </cell>
        </row>
        <row r="1375">
          <cell r="B1375">
            <v>39318</v>
          </cell>
        </row>
        <row r="1376">
          <cell r="B1376">
            <v>39317</v>
          </cell>
        </row>
        <row r="1377">
          <cell r="B1377">
            <v>39316</v>
          </cell>
        </row>
        <row r="1378">
          <cell r="B1378">
            <v>39315</v>
          </cell>
        </row>
        <row r="1379">
          <cell r="B1379">
            <v>39314</v>
          </cell>
        </row>
        <row r="1380">
          <cell r="B1380">
            <v>39311</v>
          </cell>
        </row>
        <row r="1381">
          <cell r="B1381">
            <v>39310</v>
          </cell>
        </row>
        <row r="1382">
          <cell r="B1382">
            <v>39309</v>
          </cell>
        </row>
        <row r="1383">
          <cell r="B1383">
            <v>39308</v>
          </cell>
        </row>
        <row r="1384">
          <cell r="B1384">
            <v>39307</v>
          </cell>
        </row>
        <row r="1385">
          <cell r="B1385">
            <v>39304</v>
          </cell>
        </row>
        <row r="1386">
          <cell r="B1386">
            <v>39303</v>
          </cell>
        </row>
        <row r="1387">
          <cell r="B1387">
            <v>39302</v>
          </cell>
        </row>
        <row r="1388">
          <cell r="B1388">
            <v>39301</v>
          </cell>
        </row>
        <row r="1389">
          <cell r="B1389">
            <v>39300</v>
          </cell>
        </row>
        <row r="1390">
          <cell r="B1390">
            <v>39297</v>
          </cell>
        </row>
        <row r="1391">
          <cell r="B1391">
            <v>39296</v>
          </cell>
        </row>
        <row r="1392">
          <cell r="B1392">
            <v>39295</v>
          </cell>
        </row>
        <row r="1393">
          <cell r="B1393">
            <v>39294</v>
          </cell>
        </row>
        <row r="1394">
          <cell r="B1394">
            <v>39293</v>
          </cell>
        </row>
        <row r="1395">
          <cell r="B1395">
            <v>39290</v>
          </cell>
        </row>
        <row r="1396">
          <cell r="B1396">
            <v>39289</v>
          </cell>
        </row>
        <row r="1397">
          <cell r="B1397">
            <v>39288</v>
          </cell>
        </row>
        <row r="1398">
          <cell r="B1398">
            <v>39287</v>
          </cell>
        </row>
        <row r="1399">
          <cell r="B1399">
            <v>39286</v>
          </cell>
        </row>
        <row r="1400">
          <cell r="B1400">
            <v>39283</v>
          </cell>
        </row>
        <row r="1401">
          <cell r="B1401">
            <v>39282</v>
          </cell>
        </row>
        <row r="1402">
          <cell r="B1402">
            <v>39281</v>
          </cell>
        </row>
        <row r="1403">
          <cell r="B1403">
            <v>39280</v>
          </cell>
        </row>
        <row r="1404">
          <cell r="B1404">
            <v>39279</v>
          </cell>
        </row>
        <row r="1405">
          <cell r="B1405">
            <v>39276</v>
          </cell>
        </row>
        <row r="1406">
          <cell r="B1406">
            <v>39275</v>
          </cell>
        </row>
        <row r="1407">
          <cell r="B1407">
            <v>39274</v>
          </cell>
        </row>
        <row r="1408">
          <cell r="B1408">
            <v>39273</v>
          </cell>
        </row>
        <row r="1409">
          <cell r="B1409">
            <v>39272</v>
          </cell>
        </row>
        <row r="1410">
          <cell r="B1410">
            <v>39269</v>
          </cell>
        </row>
        <row r="1411">
          <cell r="B1411">
            <v>39268</v>
          </cell>
        </row>
        <row r="1412">
          <cell r="B1412">
            <v>39266</v>
          </cell>
        </row>
        <row r="1413">
          <cell r="B1413">
            <v>39265</v>
          </cell>
        </row>
        <row r="1414">
          <cell r="B1414">
            <v>39262</v>
          </cell>
        </row>
        <row r="1415">
          <cell r="B1415">
            <v>39261</v>
          </cell>
        </row>
        <row r="1416">
          <cell r="B1416">
            <v>39260</v>
          </cell>
        </row>
        <row r="1417">
          <cell r="B1417">
            <v>39259</v>
          </cell>
        </row>
        <row r="1418">
          <cell r="B1418">
            <v>39258</v>
          </cell>
        </row>
        <row r="1419">
          <cell r="B1419">
            <v>39255</v>
          </cell>
        </row>
        <row r="1420">
          <cell r="B1420">
            <v>39254</v>
          </cell>
        </row>
        <row r="1421">
          <cell r="B1421">
            <v>39253</v>
          </cell>
        </row>
        <row r="1422">
          <cell r="B1422">
            <v>39252</v>
          </cell>
        </row>
        <row r="1423">
          <cell r="B1423">
            <v>39251</v>
          </cell>
        </row>
        <row r="1424">
          <cell r="B1424">
            <v>39248</v>
          </cell>
        </row>
        <row r="1425">
          <cell r="B1425">
            <v>39247</v>
          </cell>
        </row>
        <row r="1426">
          <cell r="B1426">
            <v>39246</v>
          </cell>
        </row>
        <row r="1427">
          <cell r="B1427">
            <v>39245</v>
          </cell>
        </row>
        <row r="1428">
          <cell r="B1428">
            <v>39244</v>
          </cell>
        </row>
        <row r="1429">
          <cell r="B1429">
            <v>39241</v>
          </cell>
        </row>
        <row r="1430">
          <cell r="B1430">
            <v>39240</v>
          </cell>
        </row>
        <row r="1431">
          <cell r="B1431">
            <v>39239</v>
          </cell>
        </row>
        <row r="1432">
          <cell r="B1432">
            <v>39238</v>
          </cell>
        </row>
        <row r="1433">
          <cell r="B1433">
            <v>39237</v>
          </cell>
        </row>
        <row r="1434">
          <cell r="B1434">
            <v>39234</v>
          </cell>
        </row>
        <row r="1435">
          <cell r="B1435">
            <v>39233</v>
          </cell>
        </row>
        <row r="1436">
          <cell r="B1436">
            <v>39232</v>
          </cell>
        </row>
        <row r="1437">
          <cell r="B1437">
            <v>39231</v>
          </cell>
        </row>
        <row r="1438">
          <cell r="B1438">
            <v>39227</v>
          </cell>
        </row>
        <row r="1439">
          <cell r="B1439">
            <v>39226</v>
          </cell>
        </row>
        <row r="1440">
          <cell r="B1440">
            <v>39225</v>
          </cell>
        </row>
        <row r="1441">
          <cell r="B1441">
            <v>39224</v>
          </cell>
        </row>
        <row r="1442">
          <cell r="B1442">
            <v>39223</v>
          </cell>
        </row>
        <row r="1443">
          <cell r="B1443">
            <v>39220</v>
          </cell>
        </row>
        <row r="1444">
          <cell r="B1444">
            <v>39219</v>
          </cell>
        </row>
        <row r="1445">
          <cell r="B1445">
            <v>39218</v>
          </cell>
        </row>
        <row r="1446">
          <cell r="B1446">
            <v>39217</v>
          </cell>
        </row>
        <row r="1447">
          <cell r="B1447">
            <v>39216</v>
          </cell>
        </row>
        <row r="1448">
          <cell r="B1448">
            <v>39213</v>
          </cell>
        </row>
        <row r="1449">
          <cell r="B1449">
            <v>39212</v>
          </cell>
        </row>
        <row r="1450">
          <cell r="B1450">
            <v>39211</v>
          </cell>
        </row>
        <row r="1451">
          <cell r="B1451">
            <v>39210</v>
          </cell>
        </row>
        <row r="1452">
          <cell r="B1452">
            <v>39209</v>
          </cell>
        </row>
        <row r="1453">
          <cell r="B1453">
            <v>39206</v>
          </cell>
        </row>
        <row r="1454">
          <cell r="B1454">
            <v>39205</v>
          </cell>
        </row>
        <row r="1455">
          <cell r="B1455">
            <v>39204</v>
          </cell>
        </row>
        <row r="1456">
          <cell r="B1456">
            <v>39203</v>
          </cell>
        </row>
        <row r="1457">
          <cell r="B1457">
            <v>39202</v>
          </cell>
        </row>
        <row r="1458">
          <cell r="B1458">
            <v>39199</v>
          </cell>
        </row>
        <row r="1459">
          <cell r="B1459">
            <v>39198</v>
          </cell>
        </row>
        <row r="1460">
          <cell r="B1460">
            <v>39197</v>
          </cell>
        </row>
        <row r="1461">
          <cell r="B1461">
            <v>39196</v>
          </cell>
        </row>
        <row r="1462">
          <cell r="B1462">
            <v>39195</v>
          </cell>
        </row>
        <row r="1463">
          <cell r="B1463">
            <v>39192</v>
          </cell>
        </row>
        <row r="1464">
          <cell r="B1464">
            <v>39191</v>
          </cell>
        </row>
        <row r="1465">
          <cell r="B1465">
            <v>39190</v>
          </cell>
        </row>
        <row r="1466">
          <cell r="B1466">
            <v>39189</v>
          </cell>
        </row>
        <row r="1467">
          <cell r="B1467">
            <v>39188</v>
          </cell>
        </row>
        <row r="1468">
          <cell r="B1468">
            <v>39185</v>
          </cell>
        </row>
        <row r="1469">
          <cell r="B1469">
            <v>39184</v>
          </cell>
        </row>
        <row r="1470">
          <cell r="B1470">
            <v>39183</v>
          </cell>
        </row>
        <row r="1471">
          <cell r="B1471">
            <v>39182</v>
          </cell>
        </row>
        <row r="1472">
          <cell r="B1472">
            <v>39181</v>
          </cell>
        </row>
        <row r="1473">
          <cell r="B1473">
            <v>39177</v>
          </cell>
        </row>
        <row r="1474">
          <cell r="B1474">
            <v>39176</v>
          </cell>
        </row>
        <row r="1475">
          <cell r="B1475">
            <v>39175</v>
          </cell>
        </row>
        <row r="1476">
          <cell r="B1476">
            <v>39174</v>
          </cell>
        </row>
        <row r="1477">
          <cell r="B1477">
            <v>39171</v>
          </cell>
        </row>
        <row r="1478">
          <cell r="B1478">
            <v>39170</v>
          </cell>
        </row>
        <row r="1479">
          <cell r="B1479">
            <v>39169</v>
          </cell>
        </row>
        <row r="1480">
          <cell r="B1480">
            <v>39168</v>
          </cell>
        </row>
        <row r="1481">
          <cell r="B1481">
            <v>39167</v>
          </cell>
        </row>
        <row r="1482">
          <cell r="B1482">
            <v>39164</v>
          </cell>
        </row>
        <row r="1483">
          <cell r="B1483">
            <v>39163</v>
          </cell>
        </row>
        <row r="1484">
          <cell r="B1484">
            <v>39162</v>
          </cell>
        </row>
        <row r="1485">
          <cell r="B1485">
            <v>39161</v>
          </cell>
        </row>
        <row r="1486">
          <cell r="B1486">
            <v>39160</v>
          </cell>
        </row>
        <row r="1487">
          <cell r="B1487">
            <v>39157</v>
          </cell>
        </row>
        <row r="1488">
          <cell r="B1488">
            <v>39156</v>
          </cell>
        </row>
        <row r="1489">
          <cell r="B1489">
            <v>39155</v>
          </cell>
        </row>
        <row r="1490">
          <cell r="B1490">
            <v>39154</v>
          </cell>
        </row>
        <row r="1491">
          <cell r="B1491">
            <v>39153</v>
          </cell>
        </row>
        <row r="1492">
          <cell r="B1492">
            <v>39150</v>
          </cell>
        </row>
        <row r="1493">
          <cell r="B1493">
            <v>39149</v>
          </cell>
        </row>
        <row r="1494">
          <cell r="B1494">
            <v>39148</v>
          </cell>
        </row>
        <row r="1495">
          <cell r="B1495">
            <v>39147</v>
          </cell>
        </row>
        <row r="1496">
          <cell r="B1496">
            <v>39146</v>
          </cell>
        </row>
        <row r="1497">
          <cell r="B1497">
            <v>39143</v>
          </cell>
        </row>
        <row r="1498">
          <cell r="B1498">
            <v>39142</v>
          </cell>
        </row>
        <row r="1499">
          <cell r="B1499">
            <v>39141</v>
          </cell>
        </row>
        <row r="1500">
          <cell r="B1500">
            <v>39140</v>
          </cell>
        </row>
        <row r="1501">
          <cell r="B1501">
            <v>39139</v>
          </cell>
        </row>
        <row r="1502">
          <cell r="B1502">
            <v>39136</v>
          </cell>
        </row>
        <row r="1503">
          <cell r="B1503">
            <v>39135</v>
          </cell>
        </row>
        <row r="1504">
          <cell r="B1504">
            <v>39134</v>
          </cell>
        </row>
        <row r="1505">
          <cell r="B1505">
            <v>39133</v>
          </cell>
        </row>
        <row r="1506">
          <cell r="B1506">
            <v>39129</v>
          </cell>
        </row>
        <row r="1507">
          <cell r="B1507">
            <v>39128</v>
          </cell>
        </row>
        <row r="1508">
          <cell r="B1508">
            <v>39127</v>
          </cell>
        </row>
        <row r="1509">
          <cell r="B1509">
            <v>39126</v>
          </cell>
        </row>
        <row r="1510">
          <cell r="B1510">
            <v>39125</v>
          </cell>
        </row>
        <row r="1511">
          <cell r="B1511">
            <v>39122</v>
          </cell>
        </row>
        <row r="1512">
          <cell r="B1512">
            <v>39121</v>
          </cell>
        </row>
        <row r="1513">
          <cell r="B1513">
            <v>39120</v>
          </cell>
        </row>
        <row r="1514">
          <cell r="B1514">
            <v>39119</v>
          </cell>
        </row>
        <row r="1515">
          <cell r="B1515">
            <v>39118</v>
          </cell>
        </row>
        <row r="1516">
          <cell r="B1516">
            <v>39115</v>
          </cell>
        </row>
        <row r="1517">
          <cell r="B1517">
            <v>39114</v>
          </cell>
        </row>
        <row r="1518">
          <cell r="B1518">
            <v>39113</v>
          </cell>
        </row>
        <row r="1519">
          <cell r="B1519">
            <v>39112</v>
          </cell>
        </row>
        <row r="1520">
          <cell r="B1520">
            <v>39111</v>
          </cell>
        </row>
        <row r="1521">
          <cell r="B1521">
            <v>39108</v>
          </cell>
        </row>
        <row r="1522">
          <cell r="B1522">
            <v>39107</v>
          </cell>
        </row>
        <row r="1523">
          <cell r="B1523">
            <v>39106</v>
          </cell>
        </row>
        <row r="1524">
          <cell r="B1524">
            <v>39105</v>
          </cell>
        </row>
        <row r="1525">
          <cell r="B1525">
            <v>39104</v>
          </cell>
        </row>
        <row r="1526">
          <cell r="B1526">
            <v>39101</v>
          </cell>
        </row>
        <row r="1527">
          <cell r="B1527">
            <v>39100</v>
          </cell>
        </row>
        <row r="1528">
          <cell r="B1528">
            <v>39099</v>
          </cell>
        </row>
        <row r="1529">
          <cell r="B1529">
            <v>39098</v>
          </cell>
        </row>
        <row r="1530">
          <cell r="B1530">
            <v>39094</v>
          </cell>
        </row>
        <row r="1531">
          <cell r="B1531">
            <v>39093</v>
          </cell>
        </row>
        <row r="1532">
          <cell r="B1532">
            <v>39092</v>
          </cell>
        </row>
        <row r="1533">
          <cell r="B1533">
            <v>39091</v>
          </cell>
        </row>
        <row r="1534">
          <cell r="B1534">
            <v>39090</v>
          </cell>
        </row>
        <row r="1535">
          <cell r="B1535">
            <v>39087</v>
          </cell>
        </row>
        <row r="1536">
          <cell r="B1536">
            <v>39086</v>
          </cell>
        </row>
        <row r="1537">
          <cell r="B1537">
            <v>39085</v>
          </cell>
        </row>
        <row r="1538">
          <cell r="B1538">
            <v>39080</v>
          </cell>
        </row>
        <row r="1539">
          <cell r="B1539">
            <v>39079</v>
          </cell>
        </row>
        <row r="1540">
          <cell r="B1540">
            <v>39078</v>
          </cell>
        </row>
        <row r="1541">
          <cell r="B1541">
            <v>39077</v>
          </cell>
        </row>
        <row r="1542">
          <cell r="B1542">
            <v>39073</v>
          </cell>
        </row>
        <row r="1543">
          <cell r="B1543">
            <v>39072</v>
          </cell>
        </row>
        <row r="1544">
          <cell r="B1544">
            <v>39071</v>
          </cell>
        </row>
        <row r="1545">
          <cell r="B1545">
            <v>39070</v>
          </cell>
        </row>
        <row r="1546">
          <cell r="B1546">
            <v>39069</v>
          </cell>
        </row>
        <row r="1547">
          <cell r="B1547">
            <v>39066</v>
          </cell>
        </row>
        <row r="1548">
          <cell r="B1548">
            <v>39065</v>
          </cell>
        </row>
        <row r="1549">
          <cell r="B1549">
            <v>39064</v>
          </cell>
        </row>
        <row r="1550">
          <cell r="B1550">
            <v>39063</v>
          </cell>
        </row>
        <row r="1551">
          <cell r="B1551">
            <v>39062</v>
          </cell>
        </row>
        <row r="1552">
          <cell r="B1552">
            <v>39059</v>
          </cell>
        </row>
        <row r="1553">
          <cell r="B1553">
            <v>39058</v>
          </cell>
        </row>
        <row r="1554">
          <cell r="B1554">
            <v>39057</v>
          </cell>
        </row>
        <row r="1555">
          <cell r="B1555">
            <v>39056</v>
          </cell>
        </row>
        <row r="1556">
          <cell r="B1556">
            <v>39055</v>
          </cell>
        </row>
        <row r="1557">
          <cell r="B1557">
            <v>39052</v>
          </cell>
        </row>
        <row r="1558">
          <cell r="B1558">
            <v>39051</v>
          </cell>
        </row>
        <row r="1559">
          <cell r="B1559">
            <v>39050</v>
          </cell>
        </row>
        <row r="1560">
          <cell r="B1560">
            <v>39049</v>
          </cell>
        </row>
        <row r="1561">
          <cell r="B1561">
            <v>39048</v>
          </cell>
        </row>
        <row r="1562">
          <cell r="B1562">
            <v>39045</v>
          </cell>
        </row>
        <row r="1563">
          <cell r="B1563">
            <v>39043</v>
          </cell>
        </row>
        <row r="1564">
          <cell r="B1564">
            <v>39042</v>
          </cell>
        </row>
        <row r="1565">
          <cell r="B1565">
            <v>39041</v>
          </cell>
        </row>
        <row r="1566">
          <cell r="B1566">
            <v>39038</v>
          </cell>
        </row>
        <row r="1567">
          <cell r="B1567">
            <v>39037</v>
          </cell>
        </row>
        <row r="1568">
          <cell r="B1568">
            <v>39036</v>
          </cell>
        </row>
        <row r="1569">
          <cell r="B1569">
            <v>39035</v>
          </cell>
        </row>
        <row r="1570">
          <cell r="B1570">
            <v>39034</v>
          </cell>
        </row>
        <row r="1571">
          <cell r="B1571">
            <v>39031</v>
          </cell>
        </row>
        <row r="1572">
          <cell r="B1572">
            <v>39030</v>
          </cell>
        </row>
        <row r="1573">
          <cell r="B1573">
            <v>39029</v>
          </cell>
        </row>
        <row r="1574">
          <cell r="B1574">
            <v>39028</v>
          </cell>
        </row>
        <row r="1575">
          <cell r="B1575">
            <v>39027</v>
          </cell>
        </row>
        <row r="1576">
          <cell r="B1576">
            <v>39024</v>
          </cell>
        </row>
        <row r="1577">
          <cell r="B1577">
            <v>39023</v>
          </cell>
        </row>
        <row r="1578">
          <cell r="B1578">
            <v>39022</v>
          </cell>
        </row>
        <row r="1579">
          <cell r="B1579">
            <v>39021</v>
          </cell>
        </row>
        <row r="1580">
          <cell r="B1580">
            <v>39020</v>
          </cell>
        </row>
        <row r="1581">
          <cell r="B1581">
            <v>39017</v>
          </cell>
        </row>
        <row r="1582">
          <cell r="B1582">
            <v>39016</v>
          </cell>
        </row>
        <row r="1583">
          <cell r="B1583">
            <v>39015</v>
          </cell>
        </row>
        <row r="1584">
          <cell r="B1584">
            <v>39014</v>
          </cell>
        </row>
        <row r="1585">
          <cell r="B1585">
            <v>39013</v>
          </cell>
        </row>
        <row r="1586">
          <cell r="B1586">
            <v>39010</v>
          </cell>
        </row>
        <row r="1587">
          <cell r="B1587">
            <v>39009</v>
          </cell>
        </row>
        <row r="1588">
          <cell r="B1588">
            <v>39008</v>
          </cell>
        </row>
        <row r="1589">
          <cell r="B1589">
            <v>39007</v>
          </cell>
        </row>
        <row r="1590">
          <cell r="B1590">
            <v>39006</v>
          </cell>
        </row>
        <row r="1591">
          <cell r="B1591">
            <v>39003</v>
          </cell>
        </row>
        <row r="1592">
          <cell r="B1592">
            <v>39002</v>
          </cell>
        </row>
        <row r="1593">
          <cell r="B1593">
            <v>39001</v>
          </cell>
        </row>
        <row r="1594">
          <cell r="B1594">
            <v>39000</v>
          </cell>
        </row>
        <row r="1595">
          <cell r="B1595">
            <v>38999</v>
          </cell>
        </row>
        <row r="1596">
          <cell r="B1596">
            <v>38996</v>
          </cell>
        </row>
        <row r="1597">
          <cell r="B1597">
            <v>38995</v>
          </cell>
        </row>
        <row r="1598">
          <cell r="B1598">
            <v>38994</v>
          </cell>
        </row>
        <row r="1599">
          <cell r="B1599">
            <v>38993</v>
          </cell>
        </row>
        <row r="1600">
          <cell r="B1600">
            <v>38992</v>
          </cell>
        </row>
        <row r="1601">
          <cell r="B1601">
            <v>38989</v>
          </cell>
        </row>
        <row r="1602">
          <cell r="B1602">
            <v>38988</v>
          </cell>
        </row>
        <row r="1603">
          <cell r="B1603">
            <v>38987</v>
          </cell>
        </row>
        <row r="1604">
          <cell r="B1604">
            <v>38986</v>
          </cell>
        </row>
        <row r="1605">
          <cell r="B1605">
            <v>38985</v>
          </cell>
        </row>
        <row r="1606">
          <cell r="B1606">
            <v>38982</v>
          </cell>
        </row>
        <row r="1607">
          <cell r="B1607">
            <v>38981</v>
          </cell>
        </row>
        <row r="1608">
          <cell r="B1608">
            <v>38980</v>
          </cell>
        </row>
        <row r="1609">
          <cell r="B1609">
            <v>38979</v>
          </cell>
        </row>
        <row r="1610">
          <cell r="B1610">
            <v>38978</v>
          </cell>
        </row>
        <row r="1611">
          <cell r="B1611">
            <v>38975</v>
          </cell>
        </row>
        <row r="1612">
          <cell r="B1612">
            <v>38974</v>
          </cell>
        </row>
        <row r="1613">
          <cell r="B1613">
            <v>38973</v>
          </cell>
        </row>
        <row r="1614">
          <cell r="B1614">
            <v>38972</v>
          </cell>
        </row>
        <row r="1615">
          <cell r="B1615">
            <v>38971</v>
          </cell>
        </row>
        <row r="1616">
          <cell r="B1616">
            <v>38968</v>
          </cell>
        </row>
        <row r="1617">
          <cell r="B1617">
            <v>38967</v>
          </cell>
        </row>
        <row r="1618">
          <cell r="B1618">
            <v>38966</v>
          </cell>
        </row>
        <row r="1619">
          <cell r="B1619">
            <v>38965</v>
          </cell>
        </row>
        <row r="1620">
          <cell r="B1620">
            <v>38961</v>
          </cell>
        </row>
        <row r="1621">
          <cell r="B1621">
            <v>38960</v>
          </cell>
        </row>
        <row r="1622">
          <cell r="B1622">
            <v>38959</v>
          </cell>
        </row>
        <row r="1623">
          <cell r="B1623">
            <v>38958</v>
          </cell>
        </row>
        <row r="1624">
          <cell r="B1624">
            <v>38957</v>
          </cell>
        </row>
        <row r="1625">
          <cell r="B1625">
            <v>38954</v>
          </cell>
        </row>
        <row r="1626">
          <cell r="B1626">
            <v>38953</v>
          </cell>
        </row>
        <row r="1627">
          <cell r="B1627">
            <v>38952</v>
          </cell>
        </row>
        <row r="1628">
          <cell r="B1628">
            <v>38951</v>
          </cell>
        </row>
        <row r="1629">
          <cell r="B1629">
            <v>38950</v>
          </cell>
        </row>
        <row r="1630">
          <cell r="B1630">
            <v>38947</v>
          </cell>
        </row>
        <row r="1631">
          <cell r="B1631">
            <v>38946</v>
          </cell>
        </row>
        <row r="1632">
          <cell r="B1632">
            <v>38945</v>
          </cell>
        </row>
        <row r="1633">
          <cell r="B1633">
            <v>38944</v>
          </cell>
        </row>
        <row r="1634">
          <cell r="B1634">
            <v>38943</v>
          </cell>
        </row>
        <row r="1635">
          <cell r="B1635">
            <v>38940</v>
          </cell>
        </row>
        <row r="1636">
          <cell r="B1636">
            <v>38939</v>
          </cell>
        </row>
        <row r="1637">
          <cell r="B1637">
            <v>38938</v>
          </cell>
        </row>
        <row r="1638">
          <cell r="B1638">
            <v>38937</v>
          </cell>
        </row>
        <row r="1639">
          <cell r="B1639">
            <v>38936</v>
          </cell>
        </row>
        <row r="1640">
          <cell r="B1640">
            <v>38933</v>
          </cell>
        </row>
        <row r="1641">
          <cell r="B1641">
            <v>38932</v>
          </cell>
        </row>
        <row r="1642">
          <cell r="B1642">
            <v>38931</v>
          </cell>
        </row>
        <row r="1643">
          <cell r="B1643">
            <v>38930</v>
          </cell>
        </row>
        <row r="1644">
          <cell r="B1644">
            <v>38929</v>
          </cell>
        </row>
        <row r="1645">
          <cell r="B1645">
            <v>38926</v>
          </cell>
        </row>
        <row r="1646">
          <cell r="B1646">
            <v>38925</v>
          </cell>
        </row>
        <row r="1647">
          <cell r="B1647">
            <v>38924</v>
          </cell>
        </row>
        <row r="1648">
          <cell r="B1648">
            <v>38923</v>
          </cell>
        </row>
        <row r="1649">
          <cell r="B1649">
            <v>38922</v>
          </cell>
        </row>
        <row r="1650">
          <cell r="B1650">
            <v>38919</v>
          </cell>
        </row>
        <row r="1651">
          <cell r="B1651">
            <v>38918</v>
          </cell>
        </row>
        <row r="1652">
          <cell r="B1652">
            <v>38917</v>
          </cell>
        </row>
        <row r="1653">
          <cell r="B1653">
            <v>38916</v>
          </cell>
        </row>
        <row r="1654">
          <cell r="B1654">
            <v>38915</v>
          </cell>
        </row>
        <row r="1655">
          <cell r="B1655">
            <v>38912</v>
          </cell>
        </row>
        <row r="1656">
          <cell r="B1656">
            <v>38911</v>
          </cell>
        </row>
        <row r="1657">
          <cell r="B1657">
            <v>38910</v>
          </cell>
        </row>
        <row r="1658">
          <cell r="B1658">
            <v>38909</v>
          </cell>
        </row>
        <row r="1659">
          <cell r="B1659">
            <v>38908</v>
          </cell>
        </row>
        <row r="1660">
          <cell r="B1660">
            <v>38905</v>
          </cell>
        </row>
        <row r="1661">
          <cell r="B1661">
            <v>38904</v>
          </cell>
        </row>
        <row r="1662">
          <cell r="B1662">
            <v>38903</v>
          </cell>
        </row>
        <row r="1663">
          <cell r="B1663">
            <v>38901</v>
          </cell>
        </row>
        <row r="1664">
          <cell r="B1664">
            <v>38898</v>
          </cell>
        </row>
        <row r="1665">
          <cell r="B1665">
            <v>38897</v>
          </cell>
        </row>
        <row r="1666">
          <cell r="B1666">
            <v>38896</v>
          </cell>
        </row>
        <row r="1667">
          <cell r="B1667">
            <v>38895</v>
          </cell>
        </row>
        <row r="1668">
          <cell r="B1668">
            <v>38894</v>
          </cell>
        </row>
        <row r="1669">
          <cell r="B1669">
            <v>38891</v>
          </cell>
        </row>
        <row r="1670">
          <cell r="B1670">
            <v>38890</v>
          </cell>
        </row>
        <row r="1671">
          <cell r="B1671">
            <v>38889</v>
          </cell>
        </row>
        <row r="1672">
          <cell r="B1672">
            <v>38888</v>
          </cell>
        </row>
        <row r="1673">
          <cell r="B1673">
            <v>38887</v>
          </cell>
        </row>
        <row r="1674">
          <cell r="B1674">
            <v>38884</v>
          </cell>
        </row>
        <row r="1675">
          <cell r="B1675">
            <v>38883</v>
          </cell>
        </row>
        <row r="1676">
          <cell r="B1676">
            <v>38882</v>
          </cell>
        </row>
        <row r="1677">
          <cell r="B1677">
            <v>38881</v>
          </cell>
        </row>
        <row r="1678">
          <cell r="B1678">
            <v>38880</v>
          </cell>
        </row>
        <row r="1679">
          <cell r="B1679">
            <v>38877</v>
          </cell>
        </row>
        <row r="1680">
          <cell r="B1680">
            <v>38876</v>
          </cell>
        </row>
        <row r="1681">
          <cell r="B1681">
            <v>38875</v>
          </cell>
        </row>
        <row r="1682">
          <cell r="B1682">
            <v>38874</v>
          </cell>
        </row>
        <row r="1683">
          <cell r="B1683">
            <v>38873</v>
          </cell>
        </row>
        <row r="1684">
          <cell r="B1684">
            <v>38870</v>
          </cell>
        </row>
        <row r="1685">
          <cell r="B1685">
            <v>38869</v>
          </cell>
        </row>
        <row r="1686">
          <cell r="B1686">
            <v>38868</v>
          </cell>
        </row>
        <row r="1687">
          <cell r="B1687">
            <v>38867</v>
          </cell>
        </row>
        <row r="1688">
          <cell r="B1688">
            <v>38863</v>
          </cell>
        </row>
        <row r="1689">
          <cell r="B1689">
            <v>38862</v>
          </cell>
        </row>
        <row r="1690">
          <cell r="B1690">
            <v>38861</v>
          </cell>
        </row>
        <row r="1691">
          <cell r="B1691">
            <v>38860</v>
          </cell>
        </row>
        <row r="1692">
          <cell r="B1692">
            <v>38859</v>
          </cell>
        </row>
        <row r="1693">
          <cell r="B1693">
            <v>38856</v>
          </cell>
        </row>
        <row r="1694">
          <cell r="B1694">
            <v>38855</v>
          </cell>
        </row>
        <row r="1695">
          <cell r="B1695">
            <v>38854</v>
          </cell>
        </row>
        <row r="1696">
          <cell r="B1696">
            <v>38853</v>
          </cell>
        </row>
        <row r="1697">
          <cell r="B1697">
            <v>38852</v>
          </cell>
        </row>
        <row r="1698">
          <cell r="B1698">
            <v>38849</v>
          </cell>
        </row>
        <row r="1699">
          <cell r="B1699">
            <v>38848</v>
          </cell>
        </row>
        <row r="1700">
          <cell r="B1700">
            <v>38847</v>
          </cell>
        </row>
        <row r="1701">
          <cell r="B1701">
            <v>38846</v>
          </cell>
        </row>
        <row r="1702">
          <cell r="B1702">
            <v>38845</v>
          </cell>
        </row>
        <row r="1703">
          <cell r="B1703">
            <v>38842</v>
          </cell>
        </row>
        <row r="1704">
          <cell r="B1704">
            <v>38841</v>
          </cell>
        </row>
        <row r="1705">
          <cell r="B1705">
            <v>38840</v>
          </cell>
        </row>
        <row r="1706">
          <cell r="B1706">
            <v>38839</v>
          </cell>
        </row>
        <row r="1707">
          <cell r="B1707">
            <v>38838</v>
          </cell>
        </row>
        <row r="1708">
          <cell r="B1708">
            <v>38835</v>
          </cell>
        </row>
        <row r="1709">
          <cell r="B1709">
            <v>38834</v>
          </cell>
        </row>
        <row r="1710">
          <cell r="B1710">
            <v>38833</v>
          </cell>
        </row>
        <row r="1711">
          <cell r="B1711">
            <v>38832</v>
          </cell>
        </row>
        <row r="1712">
          <cell r="B1712">
            <v>38831</v>
          </cell>
        </row>
        <row r="1713">
          <cell r="B1713">
            <v>38828</v>
          </cell>
        </row>
        <row r="1714">
          <cell r="B1714">
            <v>38827</v>
          </cell>
        </row>
        <row r="1715">
          <cell r="B1715">
            <v>38826</v>
          </cell>
        </row>
        <row r="1716">
          <cell r="B1716">
            <v>38825</v>
          </cell>
        </row>
        <row r="1717">
          <cell r="B1717">
            <v>38824</v>
          </cell>
        </row>
        <row r="1718">
          <cell r="B1718">
            <v>38820</v>
          </cell>
        </row>
        <row r="1719">
          <cell r="B1719">
            <v>38819</v>
          </cell>
        </row>
        <row r="1720">
          <cell r="B1720">
            <v>38818</v>
          </cell>
        </row>
        <row r="1721">
          <cell r="B1721">
            <v>38817</v>
          </cell>
        </row>
        <row r="1722">
          <cell r="B1722">
            <v>38814</v>
          </cell>
        </row>
        <row r="1723">
          <cell r="B1723">
            <v>38813</v>
          </cell>
        </row>
        <row r="1724">
          <cell r="B1724">
            <v>38812</v>
          </cell>
        </row>
        <row r="1725">
          <cell r="B1725">
            <v>38811</v>
          </cell>
        </row>
        <row r="1726">
          <cell r="B1726">
            <v>38810</v>
          </cell>
        </row>
        <row r="1727">
          <cell r="B1727">
            <v>38807</v>
          </cell>
        </row>
        <row r="1728">
          <cell r="B1728">
            <v>38806</v>
          </cell>
        </row>
        <row r="1729">
          <cell r="B1729">
            <v>38805</v>
          </cell>
        </row>
        <row r="1730">
          <cell r="B1730">
            <v>38804</v>
          </cell>
        </row>
        <row r="1731">
          <cell r="B1731">
            <v>38803</v>
          </cell>
        </row>
        <row r="1732">
          <cell r="B1732">
            <v>38800</v>
          </cell>
        </row>
        <row r="1733">
          <cell r="B1733">
            <v>38799</v>
          </cell>
        </row>
        <row r="1734">
          <cell r="B1734">
            <v>38798</v>
          </cell>
        </row>
        <row r="1735">
          <cell r="B1735">
            <v>38797</v>
          </cell>
        </row>
        <row r="1736">
          <cell r="B1736">
            <v>38796</v>
          </cell>
        </row>
        <row r="1737">
          <cell r="B1737">
            <v>38793</v>
          </cell>
        </row>
        <row r="1738">
          <cell r="B1738">
            <v>38792</v>
          </cell>
        </row>
        <row r="1739">
          <cell r="B1739">
            <v>38791</v>
          </cell>
        </row>
        <row r="1740">
          <cell r="B1740">
            <v>38790</v>
          </cell>
        </row>
        <row r="1741">
          <cell r="B1741">
            <v>38789</v>
          </cell>
        </row>
        <row r="1742">
          <cell r="B1742">
            <v>38786</v>
          </cell>
        </row>
        <row r="1743">
          <cell r="B1743">
            <v>38785</v>
          </cell>
        </row>
        <row r="1744">
          <cell r="B1744">
            <v>38784</v>
          </cell>
        </row>
        <row r="1745">
          <cell r="B1745">
            <v>38783</v>
          </cell>
        </row>
        <row r="1746">
          <cell r="B1746">
            <v>38782</v>
          </cell>
        </row>
        <row r="1747">
          <cell r="B1747">
            <v>38779</v>
          </cell>
        </row>
        <row r="1748">
          <cell r="B1748">
            <v>38778</v>
          </cell>
        </row>
        <row r="1749">
          <cell r="B1749">
            <v>38777</v>
          </cell>
        </row>
        <row r="1750">
          <cell r="B1750">
            <v>38776</v>
          </cell>
        </row>
        <row r="1751">
          <cell r="B1751">
            <v>38775</v>
          </cell>
        </row>
        <row r="1752">
          <cell r="B1752">
            <v>38772</v>
          </cell>
        </row>
        <row r="1753">
          <cell r="B1753">
            <v>38771</v>
          </cell>
        </row>
        <row r="1754">
          <cell r="B1754">
            <v>38770</v>
          </cell>
        </row>
        <row r="1755">
          <cell r="B1755">
            <v>38769</v>
          </cell>
        </row>
        <row r="1756">
          <cell r="B1756">
            <v>38765</v>
          </cell>
        </row>
        <row r="1757">
          <cell r="B1757">
            <v>38764</v>
          </cell>
        </row>
        <row r="1758">
          <cell r="B1758">
            <v>38763</v>
          </cell>
        </row>
        <row r="1759">
          <cell r="B1759">
            <v>38762</v>
          </cell>
        </row>
        <row r="1760">
          <cell r="B1760">
            <v>38761</v>
          </cell>
        </row>
        <row r="1761">
          <cell r="B1761">
            <v>38758</v>
          </cell>
        </row>
        <row r="1762">
          <cell r="B1762">
            <v>38757</v>
          </cell>
        </row>
        <row r="1763">
          <cell r="B1763">
            <v>38756</v>
          </cell>
        </row>
        <row r="1764">
          <cell r="B1764">
            <v>38755</v>
          </cell>
        </row>
        <row r="1765">
          <cell r="B1765">
            <v>38754</v>
          </cell>
        </row>
        <row r="1766">
          <cell r="B1766">
            <v>38751</v>
          </cell>
        </row>
        <row r="1767">
          <cell r="B1767">
            <v>38750</v>
          </cell>
        </row>
        <row r="1768">
          <cell r="B1768">
            <v>38749</v>
          </cell>
        </row>
        <row r="1769">
          <cell r="B1769">
            <v>38748</v>
          </cell>
        </row>
        <row r="1770">
          <cell r="B1770">
            <v>38747</v>
          </cell>
        </row>
        <row r="1771">
          <cell r="B1771">
            <v>38744</v>
          </cell>
        </row>
        <row r="1772">
          <cell r="B1772">
            <v>38743</v>
          </cell>
        </row>
        <row r="1773">
          <cell r="B1773">
            <v>38742</v>
          </cell>
        </row>
        <row r="1774">
          <cell r="B1774">
            <v>38741</v>
          </cell>
        </row>
        <row r="1775">
          <cell r="B1775">
            <v>38740</v>
          </cell>
        </row>
        <row r="1776">
          <cell r="B1776">
            <v>38737</v>
          </cell>
        </row>
        <row r="1777">
          <cell r="B1777">
            <v>38736</v>
          </cell>
        </row>
        <row r="1778">
          <cell r="B1778">
            <v>38735</v>
          </cell>
        </row>
        <row r="1779">
          <cell r="B1779">
            <v>38734</v>
          </cell>
        </row>
        <row r="1780">
          <cell r="B1780">
            <v>38730</v>
          </cell>
        </row>
        <row r="1781">
          <cell r="B1781">
            <v>38729</v>
          </cell>
        </row>
        <row r="1782">
          <cell r="B1782">
            <v>38728</v>
          </cell>
        </row>
        <row r="1783">
          <cell r="B1783">
            <v>38727</v>
          </cell>
        </row>
        <row r="1784">
          <cell r="B1784">
            <v>38726</v>
          </cell>
        </row>
        <row r="1785">
          <cell r="B1785">
            <v>38723</v>
          </cell>
        </row>
        <row r="1786">
          <cell r="B1786">
            <v>38722</v>
          </cell>
        </row>
        <row r="1787">
          <cell r="B1787">
            <v>38721</v>
          </cell>
        </row>
        <row r="1788">
          <cell r="B1788">
            <v>38720</v>
          </cell>
        </row>
        <row r="1789">
          <cell r="B1789">
            <v>38716</v>
          </cell>
        </row>
        <row r="1790">
          <cell r="B1790">
            <v>38715</v>
          </cell>
        </row>
        <row r="1791">
          <cell r="B1791">
            <v>38714</v>
          </cell>
        </row>
        <row r="1792">
          <cell r="B1792">
            <v>38713</v>
          </cell>
        </row>
        <row r="1793">
          <cell r="B1793">
            <v>38709</v>
          </cell>
        </row>
        <row r="1794">
          <cell r="B1794">
            <v>38708</v>
          </cell>
        </row>
        <row r="1795">
          <cell r="B1795">
            <v>38707</v>
          </cell>
        </row>
        <row r="1796">
          <cell r="B1796">
            <v>38706</v>
          </cell>
        </row>
        <row r="1797">
          <cell r="B1797">
            <v>38705</v>
          </cell>
        </row>
        <row r="1798">
          <cell r="B1798">
            <v>38702</v>
          </cell>
        </row>
        <row r="1799">
          <cell r="B1799">
            <v>38701</v>
          </cell>
        </row>
        <row r="1800">
          <cell r="B1800">
            <v>38700</v>
          </cell>
        </row>
        <row r="1801">
          <cell r="B1801">
            <v>38699</v>
          </cell>
        </row>
        <row r="1802">
          <cell r="B1802">
            <v>38698</v>
          </cell>
        </row>
        <row r="1803">
          <cell r="B1803">
            <v>38695</v>
          </cell>
        </row>
        <row r="1804">
          <cell r="B1804">
            <v>38694</v>
          </cell>
        </row>
        <row r="1805">
          <cell r="B1805">
            <v>38693</v>
          </cell>
        </row>
        <row r="1806">
          <cell r="B1806">
            <v>38692</v>
          </cell>
        </row>
        <row r="1807">
          <cell r="B1807">
            <v>38691</v>
          </cell>
        </row>
        <row r="1808">
          <cell r="B1808">
            <v>38688</v>
          </cell>
        </row>
        <row r="1809">
          <cell r="B1809">
            <v>38687</v>
          </cell>
        </row>
        <row r="1810">
          <cell r="B1810">
            <v>38686</v>
          </cell>
        </row>
        <row r="1811">
          <cell r="B1811">
            <v>38685</v>
          </cell>
        </row>
        <row r="1812">
          <cell r="B1812">
            <v>38684</v>
          </cell>
        </row>
        <row r="1813">
          <cell r="B1813">
            <v>38681</v>
          </cell>
        </row>
        <row r="1814">
          <cell r="B1814">
            <v>38679</v>
          </cell>
        </row>
        <row r="1815">
          <cell r="B1815">
            <v>38678</v>
          </cell>
        </row>
        <row r="1816">
          <cell r="B1816">
            <v>38677</v>
          </cell>
        </row>
        <row r="1817">
          <cell r="B1817">
            <v>38674</v>
          </cell>
        </row>
        <row r="1818">
          <cell r="B1818">
            <v>38673</v>
          </cell>
        </row>
        <row r="1819">
          <cell r="B1819">
            <v>38672</v>
          </cell>
        </row>
        <row r="1820">
          <cell r="B1820">
            <v>38671</v>
          </cell>
        </row>
        <row r="1821">
          <cell r="B1821">
            <v>38670</v>
          </cell>
        </row>
        <row r="1822">
          <cell r="B1822">
            <v>38667</v>
          </cell>
        </row>
        <row r="1823">
          <cell r="B1823">
            <v>38666</v>
          </cell>
        </row>
        <row r="1824">
          <cell r="B1824">
            <v>38665</v>
          </cell>
        </row>
        <row r="1825">
          <cell r="B1825">
            <v>38664</v>
          </cell>
        </row>
        <row r="1826">
          <cell r="B1826">
            <v>38663</v>
          </cell>
        </row>
        <row r="1827">
          <cell r="B1827">
            <v>38660</v>
          </cell>
        </row>
        <row r="1828">
          <cell r="B1828">
            <v>38659</v>
          </cell>
        </row>
        <row r="1829">
          <cell r="B1829">
            <v>38658</v>
          </cell>
        </row>
        <row r="1830">
          <cell r="B1830">
            <v>38657</v>
          </cell>
        </row>
        <row r="1831">
          <cell r="B1831">
            <v>38656</v>
          </cell>
        </row>
        <row r="1832">
          <cell r="B1832">
            <v>38653</v>
          </cell>
        </row>
        <row r="1833">
          <cell r="B1833">
            <v>38652</v>
          </cell>
        </row>
        <row r="1834">
          <cell r="B1834">
            <v>38651</v>
          </cell>
        </row>
        <row r="1835">
          <cell r="B1835">
            <v>38650</v>
          </cell>
        </row>
        <row r="1836">
          <cell r="B1836">
            <v>38649</v>
          </cell>
        </row>
        <row r="1837">
          <cell r="B1837">
            <v>38646</v>
          </cell>
        </row>
        <row r="1838">
          <cell r="B1838">
            <v>38645</v>
          </cell>
        </row>
        <row r="1839">
          <cell r="B1839">
            <v>38644</v>
          </cell>
        </row>
        <row r="1840">
          <cell r="B1840">
            <v>38643</v>
          </cell>
        </row>
        <row r="1841">
          <cell r="B1841">
            <v>38642</v>
          </cell>
        </row>
        <row r="1842">
          <cell r="B1842">
            <v>38639</v>
          </cell>
        </row>
        <row r="1843">
          <cell r="B1843">
            <v>38638</v>
          </cell>
        </row>
        <row r="1844">
          <cell r="B1844">
            <v>38637</v>
          </cell>
        </row>
        <row r="1845">
          <cell r="B1845">
            <v>38636</v>
          </cell>
        </row>
        <row r="1846">
          <cell r="B1846">
            <v>38635</v>
          </cell>
        </row>
        <row r="1847">
          <cell r="B1847">
            <v>38632</v>
          </cell>
        </row>
        <row r="1848">
          <cell r="B1848">
            <v>38631</v>
          </cell>
        </row>
        <row r="1849">
          <cell r="B1849">
            <v>38630</v>
          </cell>
        </row>
        <row r="1850">
          <cell r="B1850">
            <v>38629</v>
          </cell>
        </row>
        <row r="1851">
          <cell r="B1851">
            <v>38628</v>
          </cell>
        </row>
        <row r="1852">
          <cell r="B1852">
            <v>38625</v>
          </cell>
        </row>
        <row r="1853">
          <cell r="B1853">
            <v>38624</v>
          </cell>
        </row>
        <row r="1854">
          <cell r="B1854">
            <v>38623</v>
          </cell>
        </row>
        <row r="1855">
          <cell r="B1855">
            <v>38622</v>
          </cell>
        </row>
        <row r="1856">
          <cell r="B1856">
            <v>38621</v>
          </cell>
        </row>
        <row r="1857">
          <cell r="B1857">
            <v>38618</v>
          </cell>
        </row>
        <row r="1858">
          <cell r="B1858">
            <v>38617</v>
          </cell>
        </row>
        <row r="1859">
          <cell r="B1859">
            <v>38616</v>
          </cell>
        </row>
        <row r="1860">
          <cell r="B1860">
            <v>38615</v>
          </cell>
        </row>
        <row r="1861">
          <cell r="B1861">
            <v>38614</v>
          </cell>
        </row>
        <row r="1862">
          <cell r="B1862">
            <v>38611</v>
          </cell>
        </row>
        <row r="1863">
          <cell r="B1863">
            <v>38610</v>
          </cell>
        </row>
        <row r="1864">
          <cell r="B1864">
            <v>38609</v>
          </cell>
        </row>
        <row r="1865">
          <cell r="B1865">
            <v>38608</v>
          </cell>
        </row>
        <row r="1866">
          <cell r="B1866">
            <v>38607</v>
          </cell>
        </row>
        <row r="1867">
          <cell r="B1867">
            <v>38604</v>
          </cell>
        </row>
        <row r="1868">
          <cell r="B1868">
            <v>38603</v>
          </cell>
        </row>
        <row r="1869">
          <cell r="B1869">
            <v>38602</v>
          </cell>
        </row>
        <row r="1870">
          <cell r="B1870">
            <v>38601</v>
          </cell>
        </row>
        <row r="1871">
          <cell r="B1871">
            <v>38597</v>
          </cell>
        </row>
        <row r="1872">
          <cell r="B1872">
            <v>38596</v>
          </cell>
        </row>
        <row r="1873">
          <cell r="B1873">
            <v>38595</v>
          </cell>
        </row>
        <row r="1874">
          <cell r="B1874">
            <v>38594</v>
          </cell>
        </row>
        <row r="1875">
          <cell r="B1875">
            <v>38593</v>
          </cell>
        </row>
        <row r="1876">
          <cell r="B1876">
            <v>38590</v>
          </cell>
        </row>
        <row r="1877">
          <cell r="B1877">
            <v>38589</v>
          </cell>
        </row>
        <row r="1878">
          <cell r="B1878">
            <v>38588</v>
          </cell>
        </row>
        <row r="1879">
          <cell r="B1879">
            <v>38587</v>
          </cell>
        </row>
        <row r="1880">
          <cell r="B1880">
            <v>38586</v>
          </cell>
        </row>
        <row r="1881">
          <cell r="B1881">
            <v>38583</v>
          </cell>
        </row>
        <row r="1882">
          <cell r="B1882">
            <v>38582</v>
          </cell>
        </row>
        <row r="1883">
          <cell r="B1883">
            <v>38581</v>
          </cell>
        </row>
        <row r="1884">
          <cell r="B1884">
            <v>38580</v>
          </cell>
        </row>
        <row r="1885">
          <cell r="B1885">
            <v>38579</v>
          </cell>
        </row>
        <row r="1886">
          <cell r="B1886">
            <v>38576</v>
          </cell>
        </row>
        <row r="1887">
          <cell r="B1887">
            <v>38575</v>
          </cell>
        </row>
        <row r="1888">
          <cell r="B1888">
            <v>38574</v>
          </cell>
        </row>
        <row r="1889">
          <cell r="B1889">
            <v>38573</v>
          </cell>
        </row>
        <row r="1890">
          <cell r="B1890">
            <v>38572</v>
          </cell>
        </row>
        <row r="1891">
          <cell r="B1891">
            <v>38569</v>
          </cell>
        </row>
        <row r="1892">
          <cell r="B1892">
            <v>38568</v>
          </cell>
        </row>
        <row r="1893">
          <cell r="B1893">
            <v>38567</v>
          </cell>
        </row>
        <row r="1894">
          <cell r="B1894">
            <v>38566</v>
          </cell>
        </row>
        <row r="1895">
          <cell r="B1895">
            <v>38565</v>
          </cell>
        </row>
        <row r="1896">
          <cell r="B1896">
            <v>38562</v>
          </cell>
        </row>
        <row r="1897">
          <cell r="B1897">
            <v>38561</v>
          </cell>
        </row>
        <row r="1898">
          <cell r="B1898">
            <v>38560</v>
          </cell>
        </row>
        <row r="1899">
          <cell r="B1899">
            <v>38559</v>
          </cell>
        </row>
        <row r="1900">
          <cell r="B1900">
            <v>38558</v>
          </cell>
        </row>
        <row r="1901">
          <cell r="B1901">
            <v>38555</v>
          </cell>
        </row>
        <row r="1902">
          <cell r="B1902">
            <v>38554</v>
          </cell>
        </row>
        <row r="1903">
          <cell r="B1903">
            <v>38553</v>
          </cell>
        </row>
        <row r="1904">
          <cell r="B1904">
            <v>38552</v>
          </cell>
        </row>
        <row r="1905">
          <cell r="B1905">
            <v>38551</v>
          </cell>
        </row>
        <row r="1906">
          <cell r="B1906">
            <v>38548</v>
          </cell>
        </row>
        <row r="1907">
          <cell r="B1907">
            <v>38547</v>
          </cell>
        </row>
        <row r="1908">
          <cell r="B1908">
            <v>38546</v>
          </cell>
        </row>
        <row r="1909">
          <cell r="B1909">
            <v>38545</v>
          </cell>
        </row>
        <row r="1910">
          <cell r="B1910">
            <v>38544</v>
          </cell>
        </row>
        <row r="1911">
          <cell r="B1911">
            <v>38541</v>
          </cell>
        </row>
        <row r="1912">
          <cell r="B1912">
            <v>38540</v>
          </cell>
        </row>
        <row r="1913">
          <cell r="B1913">
            <v>38539</v>
          </cell>
        </row>
        <row r="1914">
          <cell r="B1914">
            <v>38538</v>
          </cell>
        </row>
        <row r="1915">
          <cell r="B1915">
            <v>38534</v>
          </cell>
        </row>
        <row r="1916">
          <cell r="B1916">
            <v>38533</v>
          </cell>
        </row>
        <row r="1917">
          <cell r="B1917">
            <v>38532</v>
          </cell>
        </row>
        <row r="1918">
          <cell r="B1918">
            <v>38531</v>
          </cell>
        </row>
        <row r="1919">
          <cell r="B1919">
            <v>38530</v>
          </cell>
        </row>
        <row r="1920">
          <cell r="B1920">
            <v>38527</v>
          </cell>
        </row>
        <row r="1921">
          <cell r="B1921">
            <v>38526</v>
          </cell>
        </row>
        <row r="1922">
          <cell r="B1922">
            <v>38525</v>
          </cell>
        </row>
        <row r="1923">
          <cell r="B1923">
            <v>38524</v>
          </cell>
        </row>
        <row r="1924">
          <cell r="B1924">
            <v>38523</v>
          </cell>
        </row>
        <row r="1925">
          <cell r="B1925">
            <v>38520</v>
          </cell>
        </row>
        <row r="1926">
          <cell r="B1926">
            <v>38519</v>
          </cell>
        </row>
        <row r="1927">
          <cell r="B1927">
            <v>38518</v>
          </cell>
        </row>
        <row r="1928">
          <cell r="B1928">
            <v>38517</v>
          </cell>
        </row>
        <row r="1929">
          <cell r="B1929">
            <v>38516</v>
          </cell>
        </row>
        <row r="1930">
          <cell r="B1930">
            <v>38513</v>
          </cell>
        </row>
        <row r="1931">
          <cell r="B1931">
            <v>38512</v>
          </cell>
        </row>
        <row r="1932">
          <cell r="B1932">
            <v>38511</v>
          </cell>
        </row>
        <row r="1933">
          <cell r="B1933">
            <v>38510</v>
          </cell>
        </row>
        <row r="1934">
          <cell r="B1934">
            <v>38509</v>
          </cell>
        </row>
        <row r="1935">
          <cell r="B1935">
            <v>38506</v>
          </cell>
        </row>
        <row r="1936">
          <cell r="B1936">
            <v>38505</v>
          </cell>
        </row>
        <row r="1937">
          <cell r="B1937">
            <v>38504</v>
          </cell>
        </row>
        <row r="1938">
          <cell r="B1938">
            <v>38503</v>
          </cell>
        </row>
        <row r="1939">
          <cell r="B1939">
            <v>38499</v>
          </cell>
        </row>
        <row r="1940">
          <cell r="B1940">
            <v>38498</v>
          </cell>
        </row>
        <row r="1941">
          <cell r="B1941">
            <v>38497</v>
          </cell>
        </row>
        <row r="1942">
          <cell r="B1942">
            <v>38496</v>
          </cell>
        </row>
        <row r="1943">
          <cell r="B1943">
            <v>38495</v>
          </cell>
        </row>
        <row r="1944">
          <cell r="B1944">
            <v>38492</v>
          </cell>
        </row>
        <row r="1945">
          <cell r="B1945">
            <v>38491</v>
          </cell>
        </row>
        <row r="1946">
          <cell r="B1946">
            <v>38490</v>
          </cell>
        </row>
        <row r="1947">
          <cell r="B1947">
            <v>38489</v>
          </cell>
        </row>
        <row r="1948">
          <cell r="B1948">
            <v>38488</v>
          </cell>
        </row>
        <row r="1949">
          <cell r="B1949">
            <v>38485</v>
          </cell>
        </row>
        <row r="1950">
          <cell r="B1950">
            <v>38484</v>
          </cell>
        </row>
        <row r="1951">
          <cell r="B1951">
            <v>38483</v>
          </cell>
        </row>
        <row r="1952">
          <cell r="B1952">
            <v>38482</v>
          </cell>
        </row>
        <row r="1953">
          <cell r="B1953">
            <v>38481</v>
          </cell>
        </row>
        <row r="1954">
          <cell r="B1954">
            <v>38478</v>
          </cell>
        </row>
        <row r="1955">
          <cell r="B1955">
            <v>38477</v>
          </cell>
        </row>
        <row r="1956">
          <cell r="B1956">
            <v>38476</v>
          </cell>
        </row>
        <row r="1957">
          <cell r="B1957">
            <v>38475</v>
          </cell>
        </row>
        <row r="1958">
          <cell r="B1958">
            <v>38474</v>
          </cell>
        </row>
        <row r="1959">
          <cell r="B1959">
            <v>38471</v>
          </cell>
        </row>
        <row r="1960">
          <cell r="B1960">
            <v>38470</v>
          </cell>
        </row>
        <row r="1961">
          <cell r="B1961">
            <v>38469</v>
          </cell>
        </row>
        <row r="1962">
          <cell r="B1962">
            <v>38468</v>
          </cell>
        </row>
        <row r="1963">
          <cell r="B1963">
            <v>38467</v>
          </cell>
        </row>
        <row r="1964">
          <cell r="B1964">
            <v>38464</v>
          </cell>
        </row>
        <row r="1965">
          <cell r="B1965">
            <v>38463</v>
          </cell>
        </row>
        <row r="1966">
          <cell r="B1966">
            <v>38462</v>
          </cell>
        </row>
        <row r="1967">
          <cell r="B1967">
            <v>38461</v>
          </cell>
        </row>
        <row r="1968">
          <cell r="B1968">
            <v>38460</v>
          </cell>
        </row>
        <row r="1969">
          <cell r="B1969">
            <v>38457</v>
          </cell>
        </row>
        <row r="1970">
          <cell r="B1970">
            <v>38456</v>
          </cell>
        </row>
        <row r="1971">
          <cell r="B1971">
            <v>38455</v>
          </cell>
        </row>
        <row r="1972">
          <cell r="B1972">
            <v>38454</v>
          </cell>
        </row>
        <row r="1973">
          <cell r="B1973">
            <v>38453</v>
          </cell>
        </row>
        <row r="1974">
          <cell r="B1974">
            <v>38450</v>
          </cell>
        </row>
        <row r="1975">
          <cell r="B1975">
            <v>38449</v>
          </cell>
        </row>
        <row r="1976">
          <cell r="B1976">
            <v>38448</v>
          </cell>
        </row>
        <row r="1977">
          <cell r="B1977">
            <v>38447</v>
          </cell>
        </row>
        <row r="1978">
          <cell r="B1978">
            <v>38446</v>
          </cell>
        </row>
        <row r="1979">
          <cell r="B1979">
            <v>38443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Setup - IP Val"/>
      <sheetName val="_CIQHiddenCacheSheet"/>
      <sheetName val="Cover Page IP Val"/>
      <sheetName val="TOC"/>
      <sheetName val="ValSum IP Val"/>
      <sheetName val="Technology - Summary"/>
      <sheetName val="Technology - MPEE"/>
      <sheetName val="CAC"/>
      <sheetName val="Technology - RFR"/>
      <sheetName val="Technology - Transactions"/>
      <sheetName val="Technology - Cost"/>
      <sheetName val="Brand IP - RFR"/>
      <sheetName val="Brand IP - Transactions"/>
      <sheetName val="Projections"/>
      <sheetName val="WACC"/>
      <sheetName val="Beta"/>
      <sheetName val="Balance Sheet"/>
      <sheetName val="Income Statement"/>
      <sheetName val="GPC"/>
      <sheetName val="GPC Metrics"/>
      <sheetName val="GPC Desc"/>
      <sheetName val="PBC"/>
      <sheetName val="WARA"/>
      <sheetName val="Customer Contracts"/>
      <sheetName val="Projections 2016-2018"/>
      <sheetName val="BS 2010-2012"/>
      <sheetName val="PBC_Cash Flow"/>
      <sheetName val="IS FY 2010 - 2012"/>
      <sheetName val="CF 2010-1013"/>
      <sheetName val="PBC _ Budget 2015"/>
      <sheetName val="Workforce for Technology"/>
      <sheetName val="Assembled Workforce"/>
      <sheetName val="IS"/>
      <sheetName val="BS"/>
      <sheetName val="CF"/>
      <sheetName val="YTD PL"/>
      <sheetName val="02.28.2015 BS"/>
      <sheetName val="Salaries"/>
      <sheetName val="Monthly BS &amp; CF Drivers"/>
      <sheetName val="Depreciation - MACRS"/>
    </sheetNames>
    <sheetDataSet>
      <sheetData sheetId="0"/>
      <sheetData sheetId="1">
        <row r="1">
          <cell r="C1" t="str">
            <v>Expertus, Inc.</v>
          </cell>
        </row>
        <row r="2">
          <cell r="C2">
            <v>42063</v>
          </cell>
        </row>
        <row r="4">
          <cell r="C4" t="str">
            <v>Intellectual Property Valuation as of February 28, 2015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S"/>
      <sheetName val="Setup - IP Val"/>
    </sheetNames>
    <sheetDataSet>
      <sheetData sheetId="0" refreshError="1"/>
      <sheetData sheetId="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S&amp;PL"/>
      <sheetName val="Equity MOV"/>
      <sheetName val="Cash Flow"/>
      <sheetName val="CF_2015"/>
      <sheetName val="CF_2014"/>
      <sheetName val="CF_2013"/>
      <sheetName val="BS&amp;PL before Regrouping"/>
      <sheetName val="IFRS2015"/>
      <sheetName val="IFRS2014"/>
      <sheetName val="IFRS2013"/>
      <sheetName val="IFRS2012"/>
      <sheetName val="FY2015 (BIO Group IFRS)"/>
      <sheetName val="FY2014 (BIO Group IFRS)"/>
      <sheetName val="FY2013 (BIO Group IFRS)"/>
      <sheetName val="FY2012 (BIO Group IFRS)"/>
      <sheetName val="FY2015(WABIO GROUP PRC)"/>
      <sheetName val="FY2014(WABIO GROUP PRC)"/>
      <sheetName val="FY2013(WABIO GROUP PRC)"/>
      <sheetName val="2015EJE"/>
      <sheetName val="2014EJE"/>
      <sheetName val="2013EJE"/>
      <sheetName val="WABIO"/>
      <sheetName val="WABIO-ADJ"/>
      <sheetName val="WADT"/>
      <sheetName val="WADT-ADJ"/>
      <sheetName val="BIOSH"/>
      <sheetName val="BIOSH-ADJ"/>
      <sheetName val="BIOHK"/>
      <sheetName val="BIOHK-ADJ"/>
      <sheetName val="WASH"/>
      <sheetName val="WASH-ADJ"/>
      <sheetName val="BIOHLD"/>
      <sheetName val="GB Invest"/>
      <sheetName val="BIO Cayman"/>
      <sheetName val="BIOHK TB"/>
      <sheetName val="BIO HQ FS"/>
      <sheetName val="FY15-Interco Transaction"/>
      <sheetName val="FY15- Interco Balance"/>
      <sheetName val="FY-2014Interco"/>
      <sheetName val="FY-2013Interco"/>
      <sheetName val="Code"/>
    </sheetNames>
    <sheetDataSet>
      <sheetData sheetId="0">
        <row r="9">
          <cell r="C9">
            <v>100.00686</v>
          </cell>
        </row>
      </sheetData>
      <sheetData sheetId="1">
        <row r="15">
          <cell r="G15">
            <v>0</v>
          </cell>
        </row>
      </sheetData>
      <sheetData sheetId="2">
        <row r="7">
          <cell r="D7">
            <v>49205698.350000069</v>
          </cell>
        </row>
      </sheetData>
      <sheetData sheetId="3">
        <row r="8">
          <cell r="G8">
            <v>-127111057.29000001</v>
          </cell>
        </row>
      </sheetData>
      <sheetData sheetId="4">
        <row r="10">
          <cell r="D10">
            <v>-17398839.710000005</v>
          </cell>
        </row>
      </sheetData>
      <sheetData sheetId="5">
        <row r="10">
          <cell r="D10">
            <v>-7251961.2799999993</v>
          </cell>
        </row>
      </sheetData>
      <sheetData sheetId="6">
        <row r="70">
          <cell r="C70">
            <v>-63762.403674219677</v>
          </cell>
        </row>
      </sheetData>
      <sheetData sheetId="7">
        <row r="12">
          <cell r="C12">
            <v>190318574.06000006</v>
          </cell>
        </row>
      </sheetData>
      <sheetData sheetId="8">
        <row r="12">
          <cell r="C12">
            <v>130589177.58</v>
          </cell>
        </row>
      </sheetData>
      <sheetData sheetId="9">
        <row r="12">
          <cell r="C12">
            <v>39039203.239999995</v>
          </cell>
        </row>
      </sheetData>
      <sheetData sheetId="10"/>
      <sheetData sheetId="11">
        <row r="9">
          <cell r="N9">
            <v>158228537.49000001</v>
          </cell>
        </row>
        <row r="13">
          <cell r="N13">
            <v>190318574.06</v>
          </cell>
        </row>
        <row r="14">
          <cell r="N14">
            <v>902444.58</v>
          </cell>
        </row>
        <row r="18">
          <cell r="N18">
            <v>150543921.59999999</v>
          </cell>
        </row>
        <row r="21">
          <cell r="N21">
            <v>26603237.609999999</v>
          </cell>
        </row>
        <row r="33">
          <cell r="N33">
            <v>265073857.47999999</v>
          </cell>
        </row>
        <row r="36">
          <cell r="N36">
            <v>7186388.0300000003</v>
          </cell>
        </row>
        <row r="38">
          <cell r="N38">
            <v>110107003.37</v>
          </cell>
        </row>
        <row r="51">
          <cell r="N51">
            <v>-270628189.80000001</v>
          </cell>
        </row>
        <row r="52">
          <cell r="N52">
            <v>-27362680.190000001</v>
          </cell>
        </row>
        <row r="53">
          <cell r="N53">
            <v>-37271840.469999999</v>
          </cell>
        </row>
        <row r="54">
          <cell r="N54">
            <v>-21231797.920000002</v>
          </cell>
        </row>
        <row r="57">
          <cell r="N57">
            <v>-845432488.01999998</v>
          </cell>
        </row>
        <row r="58">
          <cell r="N58">
            <v>0</v>
          </cell>
        </row>
        <row r="69">
          <cell r="N69">
            <v>-8787191.8900000006</v>
          </cell>
        </row>
        <row r="78">
          <cell r="N78">
            <v>0.03</v>
          </cell>
        </row>
        <row r="79">
          <cell r="N79">
            <v>-12100449.65</v>
          </cell>
        </row>
        <row r="82">
          <cell r="N82">
            <v>-10123443.970000001</v>
          </cell>
        </row>
        <row r="87">
          <cell r="N87">
            <v>-1053941.3999999999</v>
          </cell>
        </row>
        <row r="95">
          <cell r="N95">
            <v>-557041604.53999996</v>
          </cell>
        </row>
        <row r="96">
          <cell r="N96">
            <v>376133052.05000001</v>
          </cell>
        </row>
        <row r="97">
          <cell r="N97">
            <v>2023.3</v>
          </cell>
        </row>
        <row r="98">
          <cell r="N98">
            <v>13447068.689999999</v>
          </cell>
        </row>
        <row r="99">
          <cell r="N99">
            <v>111777303.62</v>
          </cell>
        </row>
        <row r="100">
          <cell r="N100">
            <v>-2761268.44</v>
          </cell>
        </row>
        <row r="101">
          <cell r="N101">
            <v>584358</v>
          </cell>
        </row>
        <row r="103">
          <cell r="N103">
            <v>-864031.06</v>
          </cell>
        </row>
        <row r="107">
          <cell r="N107">
            <v>-5194951.58</v>
          </cell>
        </row>
        <row r="111">
          <cell r="N111">
            <v>20778772.09</v>
          </cell>
        </row>
        <row r="129">
          <cell r="N129">
            <v>8181688.0499999998</v>
          </cell>
        </row>
        <row r="144">
          <cell r="N144">
            <v>-23884495.530000001</v>
          </cell>
        </row>
      </sheetData>
      <sheetData sheetId="12">
        <row r="9">
          <cell r="L9">
            <v>5947538.7599999998</v>
          </cell>
        </row>
        <row r="10">
          <cell r="L10">
            <v>964870.59</v>
          </cell>
        </row>
        <row r="13">
          <cell r="L13">
            <v>130589177.58</v>
          </cell>
        </row>
        <row r="14">
          <cell r="L14">
            <v>754515.42</v>
          </cell>
        </row>
        <row r="17">
          <cell r="L17">
            <v>10135865.390000001</v>
          </cell>
        </row>
        <row r="18">
          <cell r="L18">
            <v>61846592.189999998</v>
          </cell>
        </row>
        <row r="21">
          <cell r="L21">
            <v>18917648.52</v>
          </cell>
        </row>
        <row r="31">
          <cell r="L31">
            <v>121046642.43000001</v>
          </cell>
        </row>
        <row r="33">
          <cell r="L33">
            <v>39851368.530000001</v>
          </cell>
        </row>
        <row r="36">
          <cell r="L36">
            <v>1933483.14</v>
          </cell>
        </row>
        <row r="38">
          <cell r="L38">
            <v>115766595.01000001</v>
          </cell>
        </row>
        <row r="48">
          <cell r="L48">
            <v>-4444256.68</v>
          </cell>
        </row>
        <row r="51">
          <cell r="L51">
            <v>-146577136.87</v>
          </cell>
        </row>
        <row r="52">
          <cell r="L52">
            <v>-18527734.18</v>
          </cell>
        </row>
        <row r="53">
          <cell r="L53">
            <v>-4278925.95</v>
          </cell>
        </row>
        <row r="54">
          <cell r="L54">
            <v>-4690062.07</v>
          </cell>
        </row>
        <row r="57">
          <cell r="L57">
            <v>-82375384.780000001</v>
          </cell>
        </row>
        <row r="59">
          <cell r="L59">
            <v>0</v>
          </cell>
        </row>
        <row r="69">
          <cell r="L69">
            <v>-3945997.84</v>
          </cell>
        </row>
        <row r="79">
          <cell r="L79">
            <v>-202941013.06</v>
          </cell>
        </row>
        <row r="87">
          <cell r="L87">
            <v>8743.82</v>
          </cell>
        </row>
        <row r="98">
          <cell r="L98">
            <v>4302681.4400000004</v>
          </cell>
        </row>
        <row r="111">
          <cell r="L111">
            <v>7062008.5800000001</v>
          </cell>
        </row>
        <row r="129">
          <cell r="L129">
            <v>31941029.280000001</v>
          </cell>
        </row>
      </sheetData>
      <sheetData sheetId="13">
        <row r="9">
          <cell r="K9">
            <v>4176125.21</v>
          </cell>
        </row>
        <row r="12">
          <cell r="K12">
            <v>500000</v>
          </cell>
        </row>
        <row r="13">
          <cell r="K13">
            <v>39039203.240000002</v>
          </cell>
        </row>
        <row r="14">
          <cell r="K14">
            <v>1269362.78</v>
          </cell>
        </row>
        <row r="17">
          <cell r="K17">
            <v>1751755.64</v>
          </cell>
        </row>
        <row r="18">
          <cell r="K18">
            <v>21763806.77</v>
          </cell>
        </row>
        <row r="21">
          <cell r="K21">
            <v>15099540.41</v>
          </cell>
        </row>
        <row r="33">
          <cell r="K33">
            <v>53423223.840000004</v>
          </cell>
        </row>
        <row r="36">
          <cell r="K36">
            <v>1646886.91</v>
          </cell>
        </row>
        <row r="38">
          <cell r="K38">
            <v>92090939.129999995</v>
          </cell>
        </row>
        <row r="39">
          <cell r="K39">
            <v>100006.86</v>
          </cell>
        </row>
        <row r="48">
          <cell r="K48">
            <v>-4447049.82</v>
          </cell>
        </row>
        <row r="51">
          <cell r="K51">
            <v>-12466966.32</v>
          </cell>
        </row>
        <row r="52">
          <cell r="K52">
            <v>-15525559.060000001</v>
          </cell>
        </row>
        <row r="53">
          <cell r="K53">
            <v>-5226416.8600000003</v>
          </cell>
        </row>
        <row r="54">
          <cell r="K54">
            <v>-2438187.17</v>
          </cell>
        </row>
        <row r="57">
          <cell r="K57">
            <v>-52569919.399999999</v>
          </cell>
        </row>
        <row r="58">
          <cell r="K58">
            <v>0</v>
          </cell>
        </row>
        <row r="69">
          <cell r="K69">
            <v>-4483768.75</v>
          </cell>
        </row>
        <row r="79">
          <cell r="K79">
            <v>-182304080.88999999</v>
          </cell>
        </row>
        <row r="82">
          <cell r="K82">
            <v>-1034680.92</v>
          </cell>
        </row>
        <row r="87">
          <cell r="K87">
            <v>0</v>
          </cell>
        </row>
        <row r="95">
          <cell r="K95">
            <v>-156746776.08000001</v>
          </cell>
        </row>
        <row r="98">
          <cell r="K98">
            <v>2346330.9</v>
          </cell>
        </row>
        <row r="100">
          <cell r="K100">
            <v>2941421.75</v>
          </cell>
        </row>
        <row r="107">
          <cell r="K107">
            <v>-2681532.5</v>
          </cell>
        </row>
        <row r="111">
          <cell r="K111">
            <v>2043109.61</v>
          </cell>
        </row>
        <row r="129">
          <cell r="K129">
            <v>-15248273.609999999</v>
          </cell>
        </row>
        <row r="144">
          <cell r="K144">
            <v>-4453068.51</v>
          </cell>
        </row>
      </sheetData>
      <sheetData sheetId="14">
        <row r="9">
          <cell r="C9">
            <v>6255482.8399999999</v>
          </cell>
          <cell r="D9">
            <v>8428.7999999999993</v>
          </cell>
          <cell r="H9">
            <v>6263911.6399999997</v>
          </cell>
        </row>
        <row r="10">
          <cell r="C10">
            <v>795043.11</v>
          </cell>
        </row>
        <row r="13">
          <cell r="C13">
            <v>5040639.92</v>
          </cell>
          <cell r="E13">
            <v>8974435</v>
          </cell>
          <cell r="H13">
            <v>14015074.92</v>
          </cell>
        </row>
        <row r="14">
          <cell r="C14">
            <v>11666.68</v>
          </cell>
          <cell r="H14">
            <v>11666.68</v>
          </cell>
        </row>
        <row r="17">
          <cell r="C17">
            <v>825243.3</v>
          </cell>
          <cell r="D17">
            <v>5971312</v>
          </cell>
          <cell r="H17">
            <v>6796555.2999999998</v>
          </cell>
        </row>
        <row r="18">
          <cell r="C18">
            <v>4488180.41</v>
          </cell>
          <cell r="E18">
            <v>5213121.99</v>
          </cell>
          <cell r="H18">
            <v>9701302.4000000004</v>
          </cell>
        </row>
        <row r="21">
          <cell r="C21">
            <v>8384429.9100000001</v>
          </cell>
          <cell r="H21">
            <v>8384429.9100000001</v>
          </cell>
        </row>
        <row r="31">
          <cell r="C31">
            <v>22674317.539999999</v>
          </cell>
          <cell r="E31">
            <v>0</v>
          </cell>
          <cell r="H31">
            <v>22674317.539999999</v>
          </cell>
        </row>
        <row r="33">
          <cell r="C33">
            <v>103483154.56999999</v>
          </cell>
          <cell r="E33">
            <v>0</v>
          </cell>
          <cell r="H33">
            <v>103483154.56999999</v>
          </cell>
        </row>
        <row r="36">
          <cell r="C36">
            <v>43730.78</v>
          </cell>
          <cell r="E36">
            <v>0</v>
          </cell>
          <cell r="H36">
            <v>43730.78</v>
          </cell>
        </row>
        <row r="38">
          <cell r="C38">
            <v>9827494.1699999999</v>
          </cell>
          <cell r="H38">
            <v>9827494.1699999999</v>
          </cell>
        </row>
        <row r="51">
          <cell r="C51">
            <v>-5989988.5499999998</v>
          </cell>
          <cell r="E51">
            <v>-5447000</v>
          </cell>
          <cell r="H51">
            <v>-5989988.5499999998</v>
          </cell>
        </row>
        <row r="52">
          <cell r="C52">
            <v>-4755053.1500000004</v>
          </cell>
          <cell r="E52">
            <v>-902033.5</v>
          </cell>
          <cell r="H52">
            <v>-5657086.6500000004</v>
          </cell>
        </row>
        <row r="53">
          <cell r="C53">
            <v>-2192575.9700000002</v>
          </cell>
          <cell r="H53">
            <v>-2192575.9700000002</v>
          </cell>
        </row>
        <row r="54">
          <cell r="C54">
            <v>-187612.26</v>
          </cell>
          <cell r="H54">
            <v>-187612.26</v>
          </cell>
        </row>
        <row r="57">
          <cell r="C57">
            <v>-44845494.299999997</v>
          </cell>
          <cell r="E57">
            <v>0</v>
          </cell>
          <cell r="H57">
            <v>-44845494.299999997</v>
          </cell>
        </row>
        <row r="59">
          <cell r="C59">
            <v>0</v>
          </cell>
          <cell r="H59">
            <v>0</v>
          </cell>
        </row>
        <row r="69">
          <cell r="C69">
            <v>-1499031.25</v>
          </cell>
          <cell r="E69">
            <v>0</v>
          </cell>
          <cell r="H69">
            <v>-1499031.25</v>
          </cell>
        </row>
        <row r="78">
          <cell r="C78">
            <v>-96176581.5</v>
          </cell>
          <cell r="D78">
            <v>-6000000</v>
          </cell>
        </row>
        <row r="79">
          <cell r="E79">
            <v>-32848860.949999999</v>
          </cell>
        </row>
        <row r="82">
          <cell r="C82">
            <v>-497036.42</v>
          </cell>
          <cell r="H82">
            <v>-497036.42</v>
          </cell>
        </row>
        <row r="95">
          <cell r="C95">
            <v>-16872357.440000001</v>
          </cell>
          <cell r="E95">
            <v>-29103065.84</v>
          </cell>
          <cell r="H95">
            <v>-40528423.280000001</v>
          </cell>
        </row>
        <row r="96">
          <cell r="C96">
            <v>15522693.07</v>
          </cell>
        </row>
        <row r="98">
          <cell r="C98">
            <v>196660.07</v>
          </cell>
          <cell r="H98">
            <v>196660.07</v>
          </cell>
        </row>
        <row r="99">
          <cell r="C99">
            <v>8623139.5099999998</v>
          </cell>
          <cell r="D99">
            <v>21688</v>
          </cell>
          <cell r="E99">
            <v>4032053.14</v>
          </cell>
        </row>
        <row r="100">
          <cell r="C100">
            <v>-461849.04</v>
          </cell>
          <cell r="D100">
            <v>-1428.8</v>
          </cell>
        </row>
        <row r="107">
          <cell r="C107">
            <v>-7069968.75</v>
          </cell>
          <cell r="H107">
            <v>-7069968.75</v>
          </cell>
        </row>
        <row r="111">
          <cell r="C111">
            <v>-105193.98</v>
          </cell>
          <cell r="H111">
            <v>-105193.98</v>
          </cell>
        </row>
        <row r="129">
          <cell r="C129">
            <v>16687.66</v>
          </cell>
          <cell r="H129">
            <v>-21247958.440000001</v>
          </cell>
        </row>
        <row r="144">
          <cell r="C144">
            <v>-4323138.8099999996</v>
          </cell>
          <cell r="D144">
            <v>0</v>
          </cell>
          <cell r="E144">
            <v>3745691.36</v>
          </cell>
          <cell r="H144">
            <v>-4323138.8099999996</v>
          </cell>
        </row>
      </sheetData>
      <sheetData sheetId="15"/>
      <sheetData sheetId="16"/>
      <sheetData sheetId="17"/>
      <sheetData sheetId="18">
        <row r="37">
          <cell r="G37">
            <v>11913627.705242336</v>
          </cell>
        </row>
      </sheetData>
      <sheetData sheetId="19">
        <row r="37">
          <cell r="G37">
            <v>3746465.425994426</v>
          </cell>
        </row>
      </sheetData>
      <sheetData sheetId="20">
        <row r="11">
          <cell r="C11">
            <v>18860000</v>
          </cell>
        </row>
      </sheetData>
      <sheetData sheetId="21">
        <row r="104">
          <cell r="C104">
            <v>0</v>
          </cell>
          <cell r="G104">
            <v>-16928539.239999998</v>
          </cell>
        </row>
      </sheetData>
      <sheetData sheetId="22"/>
      <sheetData sheetId="23"/>
      <sheetData sheetId="24"/>
      <sheetData sheetId="25">
        <row r="83">
          <cell r="G83">
            <v>-283609.92</v>
          </cell>
        </row>
        <row r="130">
          <cell r="G130">
            <v>283609.92</v>
          </cell>
        </row>
      </sheetData>
      <sheetData sheetId="26"/>
      <sheetData sheetId="27"/>
      <sheetData sheetId="28"/>
      <sheetData sheetId="29">
        <row r="59">
          <cell r="C59">
            <v>0</v>
          </cell>
          <cell r="G59">
            <v>0</v>
          </cell>
        </row>
        <row r="99">
          <cell r="C99">
            <v>141205.85999999999</v>
          </cell>
          <cell r="G99">
            <v>141205.85999999999</v>
          </cell>
        </row>
        <row r="102">
          <cell r="C102">
            <v>4000</v>
          </cell>
          <cell r="G102">
            <v>4000</v>
          </cell>
        </row>
        <row r="108">
          <cell r="C108">
            <v>0</v>
          </cell>
          <cell r="G108">
            <v>0</v>
          </cell>
        </row>
      </sheetData>
      <sheetData sheetId="30"/>
      <sheetData sheetId="31">
        <row r="18">
          <cell r="C18">
            <v>0</v>
          </cell>
          <cell r="G18">
            <v>0</v>
          </cell>
        </row>
        <row r="30">
          <cell r="C30">
            <v>90809368.579999998</v>
          </cell>
          <cell r="G30">
            <v>90809368.579999998</v>
          </cell>
        </row>
        <row r="58">
          <cell r="C58">
            <v>-140377.72</v>
          </cell>
          <cell r="G58">
            <v>-140377.72</v>
          </cell>
        </row>
        <row r="60">
          <cell r="C60">
            <v>0</v>
          </cell>
          <cell r="G60">
            <v>0</v>
          </cell>
        </row>
        <row r="79">
          <cell r="C79">
            <v>-90809368.579999998</v>
          </cell>
          <cell r="G79">
            <v>-90809368.579999998</v>
          </cell>
        </row>
        <row r="100">
          <cell r="C100">
            <v>140377.72</v>
          </cell>
          <cell r="G100">
            <v>140377.72</v>
          </cell>
        </row>
      </sheetData>
      <sheetData sheetId="32">
        <row r="10">
          <cell r="C10">
            <v>64769.919999999998</v>
          </cell>
          <cell r="G10">
            <v>64769.919999999998</v>
          </cell>
        </row>
        <row r="30">
          <cell r="C30">
            <v>169647345.61000001</v>
          </cell>
          <cell r="G30">
            <v>169647345.61000001</v>
          </cell>
        </row>
        <row r="58">
          <cell r="C58">
            <v>-169732579.25</v>
          </cell>
          <cell r="G58">
            <v>-169732579.25</v>
          </cell>
        </row>
        <row r="60">
          <cell r="C60">
            <v>0</v>
          </cell>
          <cell r="G60">
            <v>0</v>
          </cell>
        </row>
        <row r="88">
          <cell r="C88">
            <v>641.03</v>
          </cell>
          <cell r="G88">
            <v>641.03</v>
          </cell>
        </row>
        <row r="100">
          <cell r="C100">
            <v>19823.189999999999</v>
          </cell>
          <cell r="G100">
            <v>19823.189999999999</v>
          </cell>
        </row>
      </sheetData>
      <sheetData sheetId="33">
        <row r="58">
          <cell r="C58">
            <v>-15933.33</v>
          </cell>
          <cell r="G58">
            <v>-15933.33</v>
          </cell>
        </row>
        <row r="88">
          <cell r="C88">
            <v>985.93</v>
          </cell>
          <cell r="G88">
            <v>985.93</v>
          </cell>
        </row>
        <row r="100">
          <cell r="C100">
            <v>0</v>
          </cell>
          <cell r="G100">
            <v>0</v>
          </cell>
        </row>
        <row r="145">
          <cell r="C145">
            <v>14947.4</v>
          </cell>
          <cell r="G145">
            <v>14947.4</v>
          </cell>
        </row>
      </sheetData>
      <sheetData sheetId="34"/>
      <sheetData sheetId="35"/>
      <sheetData sheetId="36">
        <row r="6">
          <cell r="M6">
            <v>47052694.050202802</v>
          </cell>
        </row>
      </sheetData>
      <sheetData sheetId="37">
        <row r="22">
          <cell r="K22">
            <v>-177448953.67999998</v>
          </cell>
        </row>
      </sheetData>
      <sheetData sheetId="38">
        <row r="14">
          <cell r="D14">
            <v>3105261.42</v>
          </cell>
        </row>
      </sheetData>
      <sheetData sheetId="39">
        <row r="14">
          <cell r="L14">
            <v>3000000</v>
          </cell>
        </row>
      </sheetData>
      <sheetData sheetId="40"/>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S 123"/>
      <sheetName val="Timeline"/>
      <sheetName val="BS - Fixed"/>
      <sheetName val="BS - Variable"/>
      <sheetName val="FAS 123 Model"/>
      <sheetName val="Comp Exp - Amort."/>
      <sheetName val="XREF"/>
      <sheetName val="Benefit 1"/>
      <sheetName val="P&amp;L Scenerio 1"/>
      <sheetName val="Worksheet in (C) 7150 FAS 123 C"/>
      <sheetName val="6-Accrued"/>
      <sheetName val="Balance Sheet"/>
      <sheetName val="Income Statement"/>
      <sheetName val="Model"/>
      <sheetName val="Compensation Expense"/>
      <sheetName val="Lead"/>
      <sheetName val="Summary-Final"/>
      <sheetName val="7120(A) Rollforward"/>
      <sheetName val="Factors"/>
      <sheetName val="Intl def"/>
      <sheetName val="Vendor List"/>
      <sheetName val="_balenz_data"/>
      <sheetName val="Headcount"/>
      <sheetName val="newbridge"/>
      <sheetName val="Option Modification"/>
      <sheetName val="Controls"/>
      <sheetName val="Items purchased from Xcellent"/>
      <sheetName val="SoPo 02"/>
      <sheetName val="SoPo 03"/>
      <sheetName val="500 EXCHANGE RATES"/>
      <sheetName val="Financial indicators"/>
      <sheetName val="Risks"/>
      <sheetName val="Negotiating power"/>
      <sheetName val="ICP"/>
      <sheetName val="Carriers and non-c"/>
      <sheetName val="IncomeStatement"/>
      <sheetName val="FA"/>
      <sheetName val="Sales by service"/>
      <sheetName val="LUC-CAL"/>
      <sheetName val="TN Air"/>
      <sheetName val="Ref"/>
      <sheetName val="Revenue Curves"/>
      <sheetName val="PF"/>
      <sheetName val="현금및현금등가물"/>
      <sheetName val="sell thru data"/>
      <sheetName val="SB Studio Model"/>
      <sheetName val="Sheet1"/>
      <sheetName val="BSR "/>
      <sheetName val="Options"/>
      <sheetName val="FS 2"/>
      <sheetName val="Accel Amort 36mo "/>
      <sheetName val="Assumptions"/>
      <sheetName val="Summary"/>
      <sheetName val="KSB1"/>
    </sheetNames>
    <sheetDataSet>
      <sheetData sheetId="0"/>
      <sheetData sheetId="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pt Cash flow 10-Q Report P 3"/>
      <sheetName val="Cflow1108"/>
      <sheetName val="#REF"/>
    </sheetNames>
    <sheetDataSet>
      <sheetData sheetId="0" refreshError="1">
        <row r="8">
          <cell r="B8" t="str">
            <v>Cash flows from operating activities</v>
          </cell>
        </row>
        <row r="34">
          <cell r="B34" t="str">
            <v>Cash flows from investing activities</v>
          </cell>
        </row>
        <row r="42">
          <cell r="B42" t="str">
            <v>Cash flows from financing activities</v>
          </cell>
        </row>
        <row r="49">
          <cell r="B49" t="str">
            <v>Foreign currency translation loss in comprehensive income</v>
          </cell>
        </row>
        <row r="50">
          <cell r="B50" t="str">
            <v>Net increase (decrease) in cash .</v>
          </cell>
        </row>
        <row r="51">
          <cell r="B51" t="str">
            <v>Cash and cash equivalents at beginning of year .</v>
          </cell>
        </row>
        <row r="52">
          <cell r="B52" t="str">
            <v>Cash and cash equivalents at end of year</v>
          </cell>
        </row>
      </sheetData>
      <sheetData sheetId="1" refreshError="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vmlDrawing" Target="../drawings/vmlDrawing7.vml"/><Relationship Id="rId1" Type="http://schemas.openxmlformats.org/officeDocument/2006/relationships/printerSettings" Target="../printerSettings/printerSettings12.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16.bin"/><Relationship Id="rId4" Type="http://schemas.openxmlformats.org/officeDocument/2006/relationships/comments" Target="../comments5.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8.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1.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printerSettings" Target="../printerSettings/printerSettings32.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0.xml"/><Relationship Id="rId1" Type="http://schemas.openxmlformats.org/officeDocument/2006/relationships/printerSettings" Target="../printerSettings/printerSettings33.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vmlDrawing" Target="../drawings/vmlDrawing26.vml"/><Relationship Id="rId1" Type="http://schemas.openxmlformats.org/officeDocument/2006/relationships/printerSettings" Target="../printerSettings/printerSettings34.bin"/><Relationship Id="rId4" Type="http://schemas.openxmlformats.org/officeDocument/2006/relationships/comments" Target="../comments6.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36.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printerSettings" Target="../printerSettings/printerSettings37.bin"/><Relationship Id="rId4" Type="http://schemas.openxmlformats.org/officeDocument/2006/relationships/comments" Target="../comments7.xml"/></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40.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vmlDrawing" Target="../drawings/vmlDrawing32.vml"/><Relationship Id="rId1" Type="http://schemas.openxmlformats.org/officeDocument/2006/relationships/printerSettings" Target="../printerSettings/printerSettings41.bin"/><Relationship Id="rId4" Type="http://schemas.openxmlformats.org/officeDocument/2006/relationships/comments" Target="../comments8.xml"/></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printerSettings" Target="../printerSettings/printerSettings42.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printerSettings" Target="../printerSettings/printerSettings4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4.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5.bin"/></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vmlDrawing" Target="../drawings/vmlDrawing38.vml"/><Relationship Id="rId1" Type="http://schemas.openxmlformats.org/officeDocument/2006/relationships/printerSettings" Target="../printerSettings/printerSettings46.bin"/><Relationship Id="rId4" Type="http://schemas.openxmlformats.org/officeDocument/2006/relationships/comments" Target="../comments9.xml"/></Relationships>
</file>

<file path=xl/worksheets/_rels/sheet51.xml.rels><?xml version="1.0" encoding="UTF-8" standalone="yes"?>
<Relationships xmlns="http://schemas.openxmlformats.org/package/2006/relationships"><Relationship Id="rId2" Type="http://schemas.openxmlformats.org/officeDocument/2006/relationships/vmlDrawing" Target="../drawings/vmlDrawing40.vml"/><Relationship Id="rId1" Type="http://schemas.openxmlformats.org/officeDocument/2006/relationships/printerSettings" Target="../printerSettings/printerSettings47.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41.vml"/><Relationship Id="rId1" Type="http://schemas.openxmlformats.org/officeDocument/2006/relationships/printerSettings" Target="../printerSettings/printerSettings48.bin"/></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42.vml"/><Relationship Id="rId1" Type="http://schemas.openxmlformats.org/officeDocument/2006/relationships/printerSettings" Target="../printerSettings/printerSettings49.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50.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51.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2.bin"/></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43.vml"/><Relationship Id="rId1" Type="http://schemas.openxmlformats.org/officeDocument/2006/relationships/printerSettings" Target="../printerSettings/printerSettings54.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44.vml"/><Relationship Id="rId1" Type="http://schemas.openxmlformats.org/officeDocument/2006/relationships/printerSettings" Target="../printerSettings/printerSettings55.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vmlDrawing" Target="../drawings/vmlDrawing45.vml"/><Relationship Id="rId1" Type="http://schemas.openxmlformats.org/officeDocument/2006/relationships/printerSettings" Target="../printerSettings/printerSettings57.bin"/><Relationship Id="rId4" Type="http://schemas.openxmlformats.org/officeDocument/2006/relationships/comments" Target="../comments14.xml"/></Relationships>
</file>

<file path=xl/worksheets/_rels/sheet73.xml.rels><?xml version="1.0" encoding="UTF-8" standalone="yes"?>
<Relationships xmlns="http://schemas.openxmlformats.org/package/2006/relationships"><Relationship Id="rId2" Type="http://schemas.openxmlformats.org/officeDocument/2006/relationships/vmlDrawing" Target="../drawings/vmlDrawing47.vml"/><Relationship Id="rId1" Type="http://schemas.openxmlformats.org/officeDocument/2006/relationships/printerSettings" Target="../printerSettings/printerSettings58.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vmlDrawing" Target="../drawings/vmlDrawing48.vml"/><Relationship Id="rId1" Type="http://schemas.openxmlformats.org/officeDocument/2006/relationships/printerSettings" Target="../printerSettings/printerSettings59.bin"/><Relationship Id="rId4" Type="http://schemas.openxmlformats.org/officeDocument/2006/relationships/comments" Target="../comments15.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vmlDrawing" Target="../drawings/vmlDrawing50.vml"/><Relationship Id="rId1" Type="http://schemas.openxmlformats.org/officeDocument/2006/relationships/printerSettings" Target="../printerSettings/printerSettings60.bin"/><Relationship Id="rId4" Type="http://schemas.openxmlformats.org/officeDocument/2006/relationships/comments" Target="../comments16.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vmlDrawing" Target="../drawings/vmlDrawing52.vml"/><Relationship Id="rId1" Type="http://schemas.openxmlformats.org/officeDocument/2006/relationships/printerSettings" Target="../printerSettings/printerSettings61.bin"/><Relationship Id="rId4" Type="http://schemas.openxmlformats.org/officeDocument/2006/relationships/comments" Target="../comments17.xml"/></Relationships>
</file>

<file path=xl/worksheets/_rels/sheet77.xml.rels><?xml version="1.0" encoding="UTF-8" standalone="yes"?>
<Relationships xmlns="http://schemas.openxmlformats.org/package/2006/relationships"><Relationship Id="rId2" Type="http://schemas.openxmlformats.org/officeDocument/2006/relationships/vmlDrawing" Target="../drawings/vmlDrawing54.vml"/><Relationship Id="rId1" Type="http://schemas.openxmlformats.org/officeDocument/2006/relationships/printerSettings" Target="../printerSettings/printerSettings62.bin"/></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3.bin"/></Relationships>
</file>

<file path=xl/worksheets/_rels/sheet79.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vmlDrawing" Target="../drawings/vmlDrawing56.vml"/><Relationship Id="rId1" Type="http://schemas.openxmlformats.org/officeDocument/2006/relationships/printerSettings" Target="../printerSettings/printerSettings64.bin"/><Relationship Id="rId4" Type="http://schemas.openxmlformats.org/officeDocument/2006/relationships/comments" Target="../comments18.xml"/></Relationships>
</file>

<file path=xl/worksheets/_rels/sheet80.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vmlDrawing" Target="../drawings/vmlDrawing58.vml"/><Relationship Id="rId1" Type="http://schemas.openxmlformats.org/officeDocument/2006/relationships/printerSettings" Target="../printerSettings/printerSettings65.bin"/><Relationship Id="rId4" Type="http://schemas.openxmlformats.org/officeDocument/2006/relationships/comments" Target="../comments19.xml"/></Relationships>
</file>

<file path=xl/worksheets/_rels/sheet81.xml.rels><?xml version="1.0" encoding="UTF-8" standalone="yes"?>
<Relationships xmlns="http://schemas.openxmlformats.org/package/2006/relationships"><Relationship Id="rId2" Type="http://schemas.openxmlformats.org/officeDocument/2006/relationships/vmlDrawing" Target="../drawings/vmlDrawing60.vml"/><Relationship Id="rId1" Type="http://schemas.openxmlformats.org/officeDocument/2006/relationships/printerSettings" Target="../printerSettings/printerSettings66.bin"/></Relationships>
</file>

<file path=xl/worksheets/_rels/sheet82.xml.rels><?xml version="1.0" encoding="UTF-8" standalone="yes"?>
<Relationships xmlns="http://schemas.openxmlformats.org/package/2006/relationships"><Relationship Id="rId2" Type="http://schemas.openxmlformats.org/officeDocument/2006/relationships/vmlDrawing" Target="../drawings/vmlDrawing61.vml"/><Relationship Id="rId1" Type="http://schemas.openxmlformats.org/officeDocument/2006/relationships/printerSettings" Target="../printerSettings/printerSettings67.bin"/></Relationships>
</file>

<file path=xl/worksheets/_rels/sheet83.xml.rels><?xml version="1.0" encoding="UTF-8" standalone="yes"?>
<Relationships xmlns="http://schemas.openxmlformats.org/package/2006/relationships"><Relationship Id="rId2" Type="http://schemas.openxmlformats.org/officeDocument/2006/relationships/vmlDrawing" Target="../drawings/vmlDrawing62.vml"/><Relationship Id="rId1" Type="http://schemas.openxmlformats.org/officeDocument/2006/relationships/printerSettings" Target="../printerSettings/printerSettings68.bin"/></Relationships>
</file>

<file path=xl/worksheets/_rels/sheet8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8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vmlDrawing" Target="../drawings/vmlDrawing63.vml"/><Relationship Id="rId1" Type="http://schemas.openxmlformats.org/officeDocument/2006/relationships/printerSettings" Target="../printerSettings/printerSettings70.bin"/><Relationship Id="rId4" Type="http://schemas.openxmlformats.org/officeDocument/2006/relationships/comments" Target="../comments20.xml"/></Relationships>
</file>

<file path=xl/worksheets/_rels/sheet86.xml.rels><?xml version="1.0" encoding="UTF-8" standalone="yes"?>
<Relationships xmlns="http://schemas.openxmlformats.org/package/2006/relationships"><Relationship Id="rId2" Type="http://schemas.openxmlformats.org/officeDocument/2006/relationships/vmlDrawing" Target="../drawings/vmlDrawing65.vml"/><Relationship Id="rId1" Type="http://schemas.openxmlformats.org/officeDocument/2006/relationships/printerSettings" Target="../printerSettings/printerSettings71.bin"/></Relationships>
</file>

<file path=xl/worksheets/_rels/sheet87.xml.rels><?xml version="1.0" encoding="UTF-8" standalone="yes"?>
<Relationships xmlns="http://schemas.openxmlformats.org/package/2006/relationships"><Relationship Id="rId2" Type="http://schemas.openxmlformats.org/officeDocument/2006/relationships/vmlDrawing" Target="../drawings/vmlDrawing66.vml"/><Relationship Id="rId1" Type="http://schemas.openxmlformats.org/officeDocument/2006/relationships/printerSettings" Target="../printerSettings/printerSettings72.bin"/></Relationships>
</file>

<file path=xl/worksheets/_rels/sheet88.xml.rels><?xml version="1.0" encoding="UTF-8" standalone="yes"?>
<Relationships xmlns="http://schemas.openxmlformats.org/package/2006/relationships"><Relationship Id="rId2" Type="http://schemas.openxmlformats.org/officeDocument/2006/relationships/vmlDrawing" Target="../drawings/vmlDrawing67.vml"/><Relationship Id="rId1" Type="http://schemas.openxmlformats.org/officeDocument/2006/relationships/printerSettings" Target="../printerSettings/printerSettings73.bin"/></Relationships>
</file>

<file path=xl/worksheets/_rels/sheet90.xml.rels><?xml version="1.0" encoding="UTF-8" standalone="yes"?>
<Relationships xmlns="http://schemas.openxmlformats.org/package/2006/relationships"><Relationship Id="rId1" Type="http://schemas.openxmlformats.org/officeDocument/2006/relationships/printerSettings" Target="../printerSettings/printerSettings74.bin"/></Relationships>
</file>

<file path=xl/worksheets/_rels/sheet91.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vmlDrawing" Target="../drawings/vmlDrawing68.vml"/><Relationship Id="rId1" Type="http://schemas.openxmlformats.org/officeDocument/2006/relationships/printerSettings" Target="../printerSettings/printerSettings75.bin"/><Relationship Id="rId4" Type="http://schemas.openxmlformats.org/officeDocument/2006/relationships/comments" Target="../comments21.xml"/></Relationships>
</file>

<file path=xl/worksheets/_rels/sheet92.xml.rels><?xml version="1.0" encoding="UTF-8" standalone="yes"?>
<Relationships xmlns="http://schemas.openxmlformats.org/package/2006/relationships"><Relationship Id="rId2" Type="http://schemas.openxmlformats.org/officeDocument/2006/relationships/vmlDrawing" Target="../drawings/vmlDrawing70.vml"/><Relationship Id="rId1" Type="http://schemas.openxmlformats.org/officeDocument/2006/relationships/printerSettings" Target="../printerSettings/printerSettings76.bin"/></Relationships>
</file>

<file path=xl/worksheets/_rels/sheet93.xml.rels><?xml version="1.0" encoding="UTF-8" standalone="yes"?>
<Relationships xmlns="http://schemas.openxmlformats.org/package/2006/relationships"><Relationship Id="rId2" Type="http://schemas.openxmlformats.org/officeDocument/2006/relationships/vmlDrawing" Target="../drawings/vmlDrawing71.vml"/><Relationship Id="rId1" Type="http://schemas.openxmlformats.org/officeDocument/2006/relationships/printerSettings" Target="../printerSettings/printerSettings7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2:C13"/>
  <sheetViews>
    <sheetView workbookViewId="0"/>
  </sheetViews>
  <sheetFormatPr defaultRowHeight="14.25"/>
  <cols>
    <col min="1" max="1" width="6.6640625" style="234" customWidth="1"/>
    <col min="2" max="2" width="46" style="234" bestFit="1" customWidth="1"/>
    <col min="3" max="3" width="52.6640625" style="234" customWidth="1"/>
    <col min="4" max="16384" width="9.33203125" style="234"/>
  </cols>
  <sheetData>
    <row r="2" spans="1:3">
      <c r="A2" s="1369" t="s">
        <v>542</v>
      </c>
    </row>
    <row r="3" spans="1:3">
      <c r="A3" s="234" t="s">
        <v>446</v>
      </c>
      <c r="B3" s="234" t="s">
        <v>864</v>
      </c>
      <c r="C3" s="234" t="s">
        <v>543</v>
      </c>
    </row>
    <row r="4" spans="1:3" ht="57">
      <c r="A4" s="245">
        <v>1</v>
      </c>
      <c r="B4" s="234" t="s">
        <v>544</v>
      </c>
      <c r="C4" s="270" t="s">
        <v>545</v>
      </c>
    </row>
    <row r="5" spans="1:3" ht="42.75">
      <c r="A5" s="245">
        <f>+A4+1</f>
        <v>2</v>
      </c>
      <c r="B5" s="234" t="s">
        <v>546</v>
      </c>
      <c r="C5" s="270" t="s">
        <v>654</v>
      </c>
    </row>
    <row r="6" spans="1:3" ht="42.75">
      <c r="A6" s="245">
        <f>+A5+1</f>
        <v>3</v>
      </c>
      <c r="B6" s="234" t="s">
        <v>547</v>
      </c>
      <c r="C6" s="270" t="s">
        <v>655</v>
      </c>
    </row>
    <row r="7" spans="1:3" ht="42.75">
      <c r="A7" s="245">
        <f>+A6+1</f>
        <v>4</v>
      </c>
      <c r="B7" s="234" t="s">
        <v>548</v>
      </c>
      <c r="C7" s="270" t="s">
        <v>656</v>
      </c>
    </row>
    <row r="8" spans="1:3">
      <c r="A8" s="245">
        <f>+A7+1</f>
        <v>5</v>
      </c>
      <c r="B8" s="234" t="s">
        <v>550</v>
      </c>
      <c r="C8" s="285" t="s">
        <v>549</v>
      </c>
    </row>
    <row r="11" spans="1:3">
      <c r="A11" s="1369" t="s">
        <v>551</v>
      </c>
    </row>
    <row r="12" spans="1:3">
      <c r="A12" s="234">
        <v>1</v>
      </c>
      <c r="B12" s="234" t="s">
        <v>552</v>
      </c>
    </row>
    <row r="13" spans="1:3">
      <c r="A13" s="234">
        <v>2</v>
      </c>
      <c r="B13" s="234" t="s">
        <v>682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sheetPr>
  <dimension ref="A1:D57"/>
  <sheetViews>
    <sheetView topLeftCell="A10" workbookViewId="0"/>
  </sheetViews>
  <sheetFormatPr defaultRowHeight="14.25"/>
  <cols>
    <col min="1" max="1" width="7" style="234" customWidth="1"/>
    <col min="2" max="2" width="32.1640625" style="234" customWidth="1"/>
    <col min="3" max="3" width="56.33203125" style="234" customWidth="1"/>
    <col min="4" max="4" width="20.83203125" style="252" customWidth="1"/>
    <col min="5" max="5" width="10.83203125" style="234" customWidth="1"/>
    <col min="6" max="6" width="9.33203125" style="234"/>
    <col min="7" max="7" width="12.83203125" style="234" customWidth="1"/>
    <col min="8" max="8" width="17.83203125" style="234" bestFit="1" customWidth="1"/>
    <col min="9" max="10" width="12.83203125" style="234" customWidth="1"/>
    <col min="11" max="16384" width="9.33203125" style="234"/>
  </cols>
  <sheetData>
    <row r="1" spans="1:4">
      <c r="A1" s="388" t="s">
        <v>437</v>
      </c>
    </row>
    <row r="3" spans="1:4">
      <c r="B3" s="234" t="s">
        <v>436</v>
      </c>
      <c r="C3" s="1533">
        <v>42718</v>
      </c>
      <c r="D3" s="252" t="s">
        <v>563</v>
      </c>
    </row>
    <row r="5" spans="1:4">
      <c r="B5" s="234" t="s">
        <v>441</v>
      </c>
      <c r="C5" s="1534" t="s">
        <v>2941</v>
      </c>
    </row>
    <row r="6" spans="1:4">
      <c r="B6" s="234" t="s">
        <v>442</v>
      </c>
      <c r="C6" s="1535">
        <v>43496</v>
      </c>
    </row>
    <row r="7" spans="1:4">
      <c r="B7" s="234" t="s">
        <v>534</v>
      </c>
      <c r="C7" s="1535">
        <v>43465</v>
      </c>
    </row>
    <row r="8" spans="1:4">
      <c r="B8" s="234" t="s">
        <v>453</v>
      </c>
      <c r="C8" s="1534" t="s">
        <v>4187</v>
      </c>
    </row>
    <row r="9" spans="1:4">
      <c r="B9" s="234" t="s">
        <v>445</v>
      </c>
      <c r="C9" s="1536">
        <v>0.4</v>
      </c>
    </row>
    <row r="10" spans="1:4">
      <c r="B10" s="234" t="s">
        <v>468</v>
      </c>
      <c r="C10" s="1534"/>
    </row>
    <row r="13" spans="1:4">
      <c r="B13" s="234" t="s">
        <v>440</v>
      </c>
      <c r="C13" s="1534"/>
    </row>
    <row r="14" spans="1:4">
      <c r="B14" s="234" t="s">
        <v>443</v>
      </c>
      <c r="C14" s="1534" t="s">
        <v>4252</v>
      </c>
    </row>
    <row r="15" spans="1:4">
      <c r="B15" s="234" t="s">
        <v>444</v>
      </c>
      <c r="C15" s="1534" t="s">
        <v>4253</v>
      </c>
    </row>
    <row r="16" spans="1:4">
      <c r="B16" s="234" t="s">
        <v>438</v>
      </c>
      <c r="C16" s="1534" t="s">
        <v>4254</v>
      </c>
    </row>
    <row r="17" spans="1:4">
      <c r="B17" s="234" t="s">
        <v>439</v>
      </c>
      <c r="C17" s="1534" t="s">
        <v>4255</v>
      </c>
    </row>
    <row r="19" spans="1:4">
      <c r="B19" s="234" t="s">
        <v>657</v>
      </c>
      <c r="C19" s="1534" t="s">
        <v>143</v>
      </c>
    </row>
    <row r="20" spans="1:4">
      <c r="B20" s="234" t="s">
        <v>658</v>
      </c>
      <c r="C20" s="1534" t="s">
        <v>660</v>
      </c>
    </row>
    <row r="21" spans="1:4">
      <c r="B21" s="234" t="s">
        <v>659</v>
      </c>
      <c r="C21" s="1534" t="s">
        <v>0</v>
      </c>
    </row>
    <row r="22" spans="1:4">
      <c r="B22" s="234" t="s">
        <v>662</v>
      </c>
      <c r="C22" s="1534" t="s">
        <v>661</v>
      </c>
    </row>
    <row r="23" spans="1:4">
      <c r="B23" s="234" t="s">
        <v>663</v>
      </c>
      <c r="C23" s="1534" t="s">
        <v>1326</v>
      </c>
    </row>
    <row r="24" spans="1:4">
      <c r="B24" s="234" t="s">
        <v>1325</v>
      </c>
      <c r="C24" s="1534" t="s">
        <v>88</v>
      </c>
    </row>
    <row r="25" spans="1:4">
      <c r="B25" s="234" t="s">
        <v>1400</v>
      </c>
      <c r="C25" s="1534" t="s">
        <v>1401</v>
      </c>
    </row>
    <row r="26" spans="1:4">
      <c r="D26" s="363" t="s">
        <v>536</v>
      </c>
    </row>
    <row r="27" spans="1:4">
      <c r="A27" s="1537" t="s">
        <v>446</v>
      </c>
      <c r="B27" s="1538" t="s">
        <v>108</v>
      </c>
      <c r="C27" s="1539" t="s">
        <v>447</v>
      </c>
      <c r="D27" s="1540" t="s">
        <v>146</v>
      </c>
    </row>
    <row r="28" spans="1:4">
      <c r="A28" s="1541">
        <v>1</v>
      </c>
      <c r="B28" s="1542" t="str">
        <f>'Capital IQ Sheet-GPC'!A13</f>
        <v>NasdaqGS:ALNY</v>
      </c>
      <c r="C28" s="1543" t="str">
        <f>'Capital IQ Sheet-GPC'!B13</f>
        <v>IQ2796659</v>
      </c>
      <c r="D28" s="1544">
        <f>IF(B28="","",'Comp.1'!C11)</f>
        <v>7662.1313999999993</v>
      </c>
    </row>
    <row r="29" spans="1:4">
      <c r="A29" s="244">
        <f>A28+1</f>
        <v>2</v>
      </c>
      <c r="B29" s="1545" t="str">
        <f>'Capital IQ Sheet-GPC'!A14</f>
        <v>NasdaqGS:BLUE</v>
      </c>
      <c r="C29" s="988" t="str">
        <f>'Capital IQ Sheet-GPC'!B14</f>
        <v>IQ28921</v>
      </c>
      <c r="D29" s="1546">
        <f>IF(B29="","",'Comp.1'!C12)</f>
        <v>5757.6142599999994</v>
      </c>
    </row>
    <row r="30" spans="1:4">
      <c r="A30" s="244">
        <f t="shared" ref="A30:A57" si="0">A29+1</f>
        <v>3</v>
      </c>
      <c r="B30" s="1545" t="str">
        <f>'Capital IQ Sheet-GPC'!A15</f>
        <v>NasdaqGS:IRWD</v>
      </c>
      <c r="C30" s="988" t="str">
        <f>'Capital IQ Sheet-GPC'!B15</f>
        <v>IQ31498</v>
      </c>
      <c r="D30" s="1546">
        <f>IF(B30="","",'Comp.1'!C13)</f>
        <v>2352.3571099999999</v>
      </c>
    </row>
    <row r="31" spans="1:4">
      <c r="A31" s="244">
        <f t="shared" si="0"/>
        <v>4</v>
      </c>
      <c r="B31" s="1545" t="str">
        <f>'Capital IQ Sheet-GPC'!A16</f>
        <v>NasdaqGS:GBT</v>
      </c>
      <c r="C31" s="988" t="str">
        <f>'Capital IQ Sheet-GPC'!B16</f>
        <v>IQ208736100</v>
      </c>
      <c r="D31" s="1546">
        <f>IF(B31="","",'Comp.1'!C14)</f>
        <v>2277.1892400000002</v>
      </c>
    </row>
    <row r="32" spans="1:4">
      <c r="A32" s="244">
        <f t="shared" si="0"/>
        <v>5</v>
      </c>
      <c r="B32" s="1545" t="str">
        <f>'Capital IQ Sheet-GPC'!A17</f>
        <v>NasdaqGM:XLRN</v>
      </c>
      <c r="C32" s="988" t="str">
        <f>'Capital IQ Sheet-GPC'!B17</f>
        <v>IQ9004482</v>
      </c>
      <c r="D32" s="1546">
        <f>IF(B32="","",'Comp.1'!C15)</f>
        <v>1877.0851599999999</v>
      </c>
    </row>
    <row r="33" spans="1:4">
      <c r="A33" s="244">
        <f t="shared" si="0"/>
        <v>6</v>
      </c>
      <c r="B33" s="1545" t="str">
        <f>'Capital IQ Sheet-GPC'!A18</f>
        <v>NasdaqGS:ONCE</v>
      </c>
      <c r="C33" s="988" t="str">
        <f>'Capital IQ Sheet-GPC'!B18</f>
        <v>IQ249341857</v>
      </c>
      <c r="D33" s="1546">
        <f>IF(B33="","",'Comp.1'!C16)</f>
        <v>1299.4821400000001</v>
      </c>
    </row>
    <row r="34" spans="1:4">
      <c r="A34" s="244">
        <f t="shared" si="0"/>
        <v>7</v>
      </c>
      <c r="B34" s="1545" t="str">
        <f>'Capital IQ Sheet-GPC'!A19</f>
        <v>NasdaqGS:RGNX</v>
      </c>
      <c r="C34" s="988" t="str">
        <f>'Capital IQ Sheet-GPC'!B19</f>
        <v>IQ130641748</v>
      </c>
      <c r="D34" s="1546">
        <f>IF(B34="","",'Comp.1'!C17)</f>
        <v>1202.95318</v>
      </c>
    </row>
    <row r="35" spans="1:4">
      <c r="A35" s="244">
        <f t="shared" si="0"/>
        <v>8</v>
      </c>
      <c r="B35" s="1545" t="str">
        <f>'Capital IQ Sheet-GPC'!A20</f>
        <v>NasdaqGS:QURE</v>
      </c>
      <c r="C35" s="988" t="str">
        <f>'Capital IQ Sheet-GPC'!B20</f>
        <v>IQ171029664</v>
      </c>
      <c r="D35" s="1546">
        <f>IF(B35="","",'Comp.1'!C18)</f>
        <v>1056.8213700000001</v>
      </c>
    </row>
    <row r="36" spans="1:4">
      <c r="A36" s="244">
        <f t="shared" si="0"/>
        <v>9</v>
      </c>
      <c r="B36" s="1545" t="str">
        <f>'Capital IQ Sheet-GPC'!A21</f>
        <v>NasdaqGM:BOLD</v>
      </c>
      <c r="C36" s="988" t="str">
        <f>'Capital IQ Sheet-GPC'!B21</f>
        <v>IQ243223852</v>
      </c>
      <c r="D36" s="1546">
        <f>IF(B36="","",'Comp.1'!C19)</f>
        <v>778.02337000000011</v>
      </c>
    </row>
    <row r="37" spans="1:4">
      <c r="A37" s="244">
        <f t="shared" si="0"/>
        <v>10</v>
      </c>
      <c r="B37" s="1545" t="str">
        <f>'Capital IQ Sheet-GPC'!A22</f>
        <v>NasdaqGS:SGMO</v>
      </c>
      <c r="C37" s="988" t="str">
        <f>'Capital IQ Sheet-GPC'!B22</f>
        <v>IQ412674</v>
      </c>
      <c r="D37" s="1546">
        <f>IF(B37="","",'Comp.1'!C20)</f>
        <v>734.89557000000013</v>
      </c>
    </row>
    <row r="38" spans="1:4">
      <c r="A38" s="244">
        <f t="shared" si="0"/>
        <v>11</v>
      </c>
      <c r="B38" s="1545" t="str">
        <f>'Capital IQ Sheet-GPC'!A23</f>
        <v>NasdaqGS:FIXX</v>
      </c>
      <c r="C38" s="988" t="str">
        <f>'Capital IQ Sheet-GPC'!B23</f>
        <v>IQ321461593</v>
      </c>
      <c r="D38" s="1546">
        <f>IF(B38="","",'Comp.1'!C21)</f>
        <v>518.7309600000001</v>
      </c>
    </row>
    <row r="39" spans="1:4">
      <c r="A39" s="244">
        <f t="shared" si="0"/>
        <v>12</v>
      </c>
      <c r="B39" s="1545" t="str">
        <f>'Capital IQ Sheet-GPC'!A24</f>
        <v>NasdaqGM:CRBP</v>
      </c>
      <c r="C39" s="988" t="str">
        <f>'Capital IQ Sheet-GPC'!B24</f>
        <v>IQ254045988</v>
      </c>
      <c r="D39" s="1546">
        <f>IF(B39="","",'Comp.1'!C22)</f>
        <v>417.88011999999998</v>
      </c>
    </row>
    <row r="40" spans="1:4">
      <c r="A40" s="244">
        <f t="shared" si="0"/>
        <v>13</v>
      </c>
      <c r="B40" s="1545" t="str">
        <f>'Capital IQ Sheet-GPC'!A25</f>
        <v>NasdaqGM:GLYC</v>
      </c>
      <c r="C40" s="988" t="str">
        <f>'Capital IQ Sheet-GPC'!B25</f>
        <v>IQ5703481</v>
      </c>
      <c r="D40" s="1546">
        <f>IF(B40="","",'Comp.1'!C23)</f>
        <v>263.30831000000001</v>
      </c>
    </row>
    <row r="41" spans="1:4">
      <c r="A41" s="244">
        <f t="shared" si="0"/>
        <v>14</v>
      </c>
      <c r="B41" s="1545" t="str">
        <f>'Capital IQ Sheet-GPC'!A26</f>
        <v>NasdaqGM:LOGC</v>
      </c>
      <c r="C41" s="988" t="str">
        <f>'Capital IQ Sheet-GPC'!B26</f>
        <v>IQ322758292</v>
      </c>
      <c r="D41" s="1546">
        <f>IF(B41="","",'Comp.1'!C24)</f>
        <v>216.22197999999997</v>
      </c>
    </row>
    <row r="42" spans="1:4">
      <c r="A42" s="244">
        <f t="shared" si="0"/>
        <v>15</v>
      </c>
      <c r="B42" s="1545" t="str">
        <f>'Capital IQ Sheet-GPC'!A27</f>
        <v>NasdaqGS:ABUS</v>
      </c>
      <c r="C42" s="988" t="str">
        <f>'Capital IQ Sheet-GPC'!B27</f>
        <v>IQ34160168</v>
      </c>
      <c r="D42" s="1546">
        <f>IF(B42="","",'Comp.1'!C25)</f>
        <v>186.26599999999999</v>
      </c>
    </row>
    <row r="43" spans="1:4">
      <c r="A43" s="244">
        <f t="shared" si="0"/>
        <v>16</v>
      </c>
      <c r="B43" s="1545" t="str">
        <f>'Capital IQ Sheet-GPC'!A28</f>
        <v>NasdaqGS:VYGR</v>
      </c>
      <c r="C43" s="988" t="str">
        <f>'Capital IQ Sheet-GPC'!B28</f>
        <v>IQ256887902</v>
      </c>
      <c r="D43" s="1546">
        <f>IF(B43="","",'Comp.1'!C26)</f>
        <v>161.92061000000001</v>
      </c>
    </row>
    <row r="44" spans="1:4">
      <c r="A44" s="244">
        <f t="shared" si="0"/>
        <v>17</v>
      </c>
      <c r="B44" s="1545" t="str">
        <f>'Capital IQ Sheet-GPC'!A29</f>
        <v>NasdaqCM:LJPC</v>
      </c>
      <c r="C44" s="988" t="str">
        <f>'Capital IQ Sheet-GPC'!B29</f>
        <v>IQ30632</v>
      </c>
      <c r="D44" s="1546">
        <f>IF(B44="","",'Comp.1'!C27)</f>
        <v>85.081129999999973</v>
      </c>
    </row>
    <row r="45" spans="1:4">
      <c r="A45" s="244">
        <f t="shared" si="0"/>
        <v>18</v>
      </c>
      <c r="B45" s="1545" t="str">
        <f>'Capital IQ Sheet-GPC'!A30</f>
        <v>NasdaqGM:PTGX</v>
      </c>
      <c r="C45" s="988" t="str">
        <f>'Capital IQ Sheet-GPC'!B30</f>
        <v>IQ129263324</v>
      </c>
      <c r="D45" s="1546">
        <f>IF(B45="","",'Comp.1'!C28)</f>
        <v>58.599060000000009</v>
      </c>
    </row>
    <row r="46" spans="1:4">
      <c r="A46" s="244">
        <f t="shared" si="0"/>
        <v>19</v>
      </c>
      <c r="B46" s="1545" t="str">
        <f>'Capital IQ Sheet-GPC'!A31</f>
        <v>NasdaqCM:FCSC</v>
      </c>
      <c r="C46" s="988" t="str">
        <f>'Capital IQ Sheet-GPC'!B31</f>
        <v>IQ1517644</v>
      </c>
      <c r="D46" s="1546">
        <f>IF(B46="","",'Comp.1'!C29)</f>
        <v>10.735910000000001</v>
      </c>
    </row>
    <row r="47" spans="1:4">
      <c r="A47" s="244">
        <f t="shared" si="0"/>
        <v>20</v>
      </c>
      <c r="B47" s="1545" t="str">
        <f>'Capital IQ Sheet-GPC'!A32</f>
        <v>(Invalid Identifier)</v>
      </c>
      <c r="C47" s="988"/>
      <c r="D47" s="1546"/>
    </row>
    <row r="48" spans="1:4">
      <c r="A48" s="244">
        <f t="shared" si="0"/>
        <v>21</v>
      </c>
      <c r="B48" s="1545" t="str">
        <f>'Capital IQ Sheet-GPC'!A33</f>
        <v>NasdaqGM:CRSP</v>
      </c>
      <c r="C48" s="988" t="str">
        <f>'Capital IQ Sheet-GPC'!B33</f>
        <v>IQ262549448</v>
      </c>
      <c r="D48" s="1546">
        <f>IF(B48="","",'Comp.1'!C32)</f>
        <v>1192.56953</v>
      </c>
    </row>
    <row r="49" spans="1:4">
      <c r="A49" s="244">
        <f t="shared" si="0"/>
        <v>22</v>
      </c>
      <c r="B49" s="1545" t="str">
        <f>'Capital IQ Sheet-GPC'!A34</f>
        <v>NasdaqGS:EDIT</v>
      </c>
      <c r="C49" s="988" t="str">
        <f>'Capital IQ Sheet-GPC'!B34</f>
        <v>IQ252050056</v>
      </c>
      <c r="D49" s="1546">
        <f>IF(B49="","",'Comp.1'!C33)</f>
        <v>727.28158000000008</v>
      </c>
    </row>
    <row r="50" spans="1:4">
      <c r="A50" s="244">
        <f t="shared" si="0"/>
        <v>23</v>
      </c>
      <c r="B50" s="1545" t="str">
        <f>'Capital IQ Sheet-GPC'!A35</f>
        <v>NasdaqGM:NTLA</v>
      </c>
      <c r="C50" s="988" t="str">
        <f>'Capital IQ Sheet-GPC'!B35</f>
        <v>IQ277799796</v>
      </c>
      <c r="D50" s="1546">
        <f>IF(B50="","",'Comp.1'!C34)</f>
        <v>320.70094</v>
      </c>
    </row>
    <row r="51" spans="1:4">
      <c r="A51" s="244">
        <f t="shared" si="0"/>
        <v>24</v>
      </c>
      <c r="B51" s="1545" t="str">
        <f>'Capital IQ Sheet-GPC'!A36</f>
        <v>NasdaqCM:ABEO</v>
      </c>
      <c r="C51" s="988" t="str">
        <f>'Capital IQ Sheet-GPC'!B36</f>
        <v>IQ360935</v>
      </c>
      <c r="D51" s="1546">
        <f>IF(B51="","",'Comp.1'!C35)</f>
        <v>213.31906000000004</v>
      </c>
    </row>
    <row r="52" spans="1:4">
      <c r="A52" s="244">
        <f t="shared" si="0"/>
        <v>25</v>
      </c>
      <c r="B52" s="1545"/>
      <c r="C52" s="988"/>
      <c r="D52" s="1546" t="str">
        <f>IF(B52="","",'Comp.1'!C35)</f>
        <v/>
      </c>
    </row>
    <row r="53" spans="1:4">
      <c r="A53" s="244">
        <f t="shared" si="0"/>
        <v>26</v>
      </c>
      <c r="B53" s="1545"/>
      <c r="C53" s="988"/>
      <c r="D53" s="1546" t="str">
        <f>IF(B53="","",'Comp.1'!C36)</f>
        <v/>
      </c>
    </row>
    <row r="54" spans="1:4">
      <c r="A54" s="244">
        <f t="shared" si="0"/>
        <v>27</v>
      </c>
      <c r="B54" s="1545"/>
      <c r="C54" s="988"/>
      <c r="D54" s="1546" t="str">
        <f>IF(B54="","",'Comp.1'!C37)</f>
        <v/>
      </c>
    </row>
    <row r="55" spans="1:4">
      <c r="A55" s="244">
        <f t="shared" si="0"/>
        <v>28</v>
      </c>
      <c r="B55" s="1545"/>
      <c r="C55" s="988"/>
      <c r="D55" s="1546" t="str">
        <f>IF(B55="","",'Comp.1'!C38)</f>
        <v/>
      </c>
    </row>
    <row r="56" spans="1:4">
      <c r="A56" s="244">
        <f t="shared" si="0"/>
        <v>29</v>
      </c>
      <c r="B56" s="1545"/>
      <c r="C56" s="988"/>
      <c r="D56" s="1546" t="str">
        <f>IF(B56="","",'Comp.1'!C39)</f>
        <v/>
      </c>
    </row>
    <row r="57" spans="1:4">
      <c r="A57" s="247">
        <f t="shared" si="0"/>
        <v>30</v>
      </c>
      <c r="B57" s="1547"/>
      <c r="C57" s="989"/>
      <c r="D57" s="1548" t="str">
        <f>IF(B57="","",'Comp.1'!#REF!)</f>
        <v/>
      </c>
    </row>
  </sheetData>
  <dataValidations disablePrompts="1" count="1">
    <dataValidation type="list" allowBlank="1" showInputMessage="1" showErrorMessage="1" sqref="C10" xr:uid="{00000000-0002-0000-0100-00000000000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9"/>
  <dimension ref="B3:G165"/>
  <sheetViews>
    <sheetView workbookViewId="0"/>
  </sheetViews>
  <sheetFormatPr defaultRowHeight="14.25"/>
  <cols>
    <col min="1" max="1" width="9.33203125" style="234"/>
    <col min="2" max="2" width="14.83203125" style="234" customWidth="1"/>
    <col min="3" max="3" width="13.33203125" style="234" customWidth="1"/>
    <col min="4" max="4" width="26.5" style="234" customWidth="1"/>
    <col min="5" max="5" width="9.33203125" style="234"/>
    <col min="6" max="6" width="65" style="234" customWidth="1"/>
    <col min="7" max="7" width="46.5" style="234" customWidth="1"/>
    <col min="8" max="16384" width="9.33203125" style="234"/>
  </cols>
  <sheetData>
    <row r="3" spans="2:7">
      <c r="B3" s="255" t="s">
        <v>1362</v>
      </c>
      <c r="D3" s="234" t="s">
        <v>1386</v>
      </c>
    </row>
    <row r="4" spans="2:7">
      <c r="B4" s="255" t="s">
        <v>1368</v>
      </c>
      <c r="D4" s="1527">
        <v>42850.427083333336</v>
      </c>
    </row>
    <row r="6" spans="2:7">
      <c r="B6" s="1528" t="s">
        <v>1363</v>
      </c>
      <c r="C6" s="1528" t="s">
        <v>1364</v>
      </c>
      <c r="D6" s="1528" t="s">
        <v>1365</v>
      </c>
      <c r="E6" s="1528" t="s">
        <v>1366</v>
      </c>
      <c r="F6" s="1528" t="s">
        <v>683</v>
      </c>
      <c r="G6" s="1528" t="s">
        <v>1367</v>
      </c>
    </row>
    <row r="7" spans="2:7">
      <c r="B7" s="1529"/>
      <c r="C7" s="1529"/>
      <c r="D7" s="1529"/>
      <c r="E7" s="1529"/>
      <c r="F7" s="1529"/>
      <c r="G7" s="1529"/>
    </row>
    <row r="8" spans="2:7">
      <c r="B8" s="1530">
        <v>42772</v>
      </c>
      <c r="C8" s="1529" t="s">
        <v>1369</v>
      </c>
      <c r="D8" s="1529" t="s">
        <v>1370</v>
      </c>
      <c r="E8" s="1529" t="s">
        <v>1371</v>
      </c>
      <c r="F8" s="1529" t="s">
        <v>1372</v>
      </c>
      <c r="G8" s="1529"/>
    </row>
    <row r="9" spans="2:7" ht="28.5">
      <c r="B9" s="1530">
        <v>42772</v>
      </c>
      <c r="C9" s="1529" t="s">
        <v>1369</v>
      </c>
      <c r="D9" s="1529" t="s">
        <v>1373</v>
      </c>
      <c r="E9" s="1529" t="s">
        <v>1374</v>
      </c>
      <c r="F9" s="1531" t="s">
        <v>1375</v>
      </c>
      <c r="G9" s="1529"/>
    </row>
    <row r="10" spans="2:7">
      <c r="B10" s="1532">
        <v>42776</v>
      </c>
      <c r="C10" s="1529" t="s">
        <v>1369</v>
      </c>
      <c r="D10" s="1529" t="s">
        <v>1376</v>
      </c>
      <c r="E10" s="1529" t="s">
        <v>1377</v>
      </c>
      <c r="F10" s="1529" t="s">
        <v>1378</v>
      </c>
      <c r="G10" s="1529"/>
    </row>
    <row r="11" spans="2:7">
      <c r="B11" s="1532">
        <v>42776</v>
      </c>
      <c r="C11" s="1529" t="s">
        <v>1369</v>
      </c>
      <c r="D11" s="1529" t="s">
        <v>629</v>
      </c>
      <c r="E11" s="1529" t="s">
        <v>1379</v>
      </c>
      <c r="F11" s="1529" t="s">
        <v>1380</v>
      </c>
      <c r="G11" s="1529"/>
    </row>
    <row r="12" spans="2:7">
      <c r="B12" s="1532">
        <v>42776</v>
      </c>
      <c r="C12" s="1529" t="s">
        <v>1369</v>
      </c>
      <c r="D12" s="1529" t="s">
        <v>1381</v>
      </c>
      <c r="E12" s="1529" t="s">
        <v>1382</v>
      </c>
      <c r="F12" s="1529" t="s">
        <v>1383</v>
      </c>
      <c r="G12" s="1529"/>
    </row>
    <row r="13" spans="2:7">
      <c r="B13" s="1532">
        <v>42776</v>
      </c>
      <c r="C13" s="1529" t="s">
        <v>1369</v>
      </c>
      <c r="D13" s="1529" t="s">
        <v>117</v>
      </c>
      <c r="E13" s="1529" t="s">
        <v>1384</v>
      </c>
      <c r="F13" s="1529" t="s">
        <v>1385</v>
      </c>
      <c r="G13" s="1529"/>
    </row>
    <row r="14" spans="2:7">
      <c r="B14" s="1532">
        <v>42800</v>
      </c>
      <c r="C14" s="1529" t="s">
        <v>1391</v>
      </c>
      <c r="D14" s="1529" t="s">
        <v>611</v>
      </c>
      <c r="E14" s="1529" t="s">
        <v>1377</v>
      </c>
      <c r="F14" s="1529" t="s">
        <v>1394</v>
      </c>
      <c r="G14" s="1529"/>
    </row>
    <row r="15" spans="2:7">
      <c r="B15" s="1532">
        <v>42800</v>
      </c>
      <c r="C15" s="1529" t="s">
        <v>1391</v>
      </c>
      <c r="D15" s="1529" t="s">
        <v>1392</v>
      </c>
      <c r="E15" s="1529" t="s">
        <v>1377</v>
      </c>
      <c r="F15" s="1529" t="s">
        <v>1395</v>
      </c>
      <c r="G15" s="1529"/>
    </row>
    <row r="16" spans="2:7">
      <c r="B16" s="1532">
        <v>42800</v>
      </c>
      <c r="C16" s="1529" t="s">
        <v>1391</v>
      </c>
      <c r="D16" s="1529" t="s">
        <v>1393</v>
      </c>
      <c r="E16" s="1529" t="s">
        <v>1397</v>
      </c>
      <c r="F16" s="1529" t="s">
        <v>1396</v>
      </c>
      <c r="G16" s="1529"/>
    </row>
    <row r="17" spans="2:7">
      <c r="B17" s="1532">
        <v>42801</v>
      </c>
      <c r="C17" s="1529" t="s">
        <v>1391</v>
      </c>
      <c r="D17" s="1529" t="s">
        <v>629</v>
      </c>
      <c r="E17" s="1529" t="s">
        <v>1399</v>
      </c>
      <c r="F17" s="1529" t="s">
        <v>1398</v>
      </c>
      <c r="G17" s="1529"/>
    </row>
    <row r="18" spans="2:7">
      <c r="B18" s="1532">
        <v>42811</v>
      </c>
      <c r="C18" s="1529" t="s">
        <v>1402</v>
      </c>
      <c r="D18" s="1529" t="s">
        <v>1403</v>
      </c>
      <c r="E18" s="1529" t="s">
        <v>1404</v>
      </c>
      <c r="F18" s="1529" t="s">
        <v>1405</v>
      </c>
      <c r="G18" s="1529"/>
    </row>
    <row r="19" spans="2:7">
      <c r="B19" s="1532">
        <v>42817</v>
      </c>
      <c r="C19" s="1529" t="s">
        <v>1391</v>
      </c>
      <c r="D19" s="1529" t="s">
        <v>152</v>
      </c>
      <c r="E19" s="1529" t="s">
        <v>1406</v>
      </c>
      <c r="F19" s="1529" t="s">
        <v>1407</v>
      </c>
      <c r="G19" s="1529"/>
    </row>
    <row r="20" spans="2:7">
      <c r="B20" s="1532">
        <v>42849</v>
      </c>
      <c r="C20" s="1529" t="s">
        <v>1369</v>
      </c>
      <c r="D20" s="1529" t="s">
        <v>1393</v>
      </c>
      <c r="E20" s="1529" t="s">
        <v>1408</v>
      </c>
      <c r="F20" s="1529" t="s">
        <v>1409</v>
      </c>
      <c r="G20" s="1529"/>
    </row>
    <row r="21" spans="2:7">
      <c r="B21" s="1532">
        <v>42850</v>
      </c>
      <c r="C21" s="1529" t="s">
        <v>1369</v>
      </c>
      <c r="D21" s="1529" t="s">
        <v>1413</v>
      </c>
      <c r="E21" s="1529" t="s">
        <v>1415</v>
      </c>
      <c r="F21" s="1529" t="s">
        <v>1414</v>
      </c>
      <c r="G21" s="1529"/>
    </row>
    <row r="22" spans="2:7">
      <c r="B22" s="1532">
        <v>42878</v>
      </c>
      <c r="C22" s="1529" t="s">
        <v>1402</v>
      </c>
      <c r="D22" s="1529" t="s">
        <v>1779</v>
      </c>
      <c r="E22" s="1529"/>
      <c r="F22" s="1529" t="s">
        <v>1780</v>
      </c>
      <c r="G22" s="1529"/>
    </row>
    <row r="23" spans="2:7">
      <c r="B23" s="1532">
        <v>42878</v>
      </c>
      <c r="C23" s="1529" t="s">
        <v>1402</v>
      </c>
      <c r="D23" s="1529" t="s">
        <v>1708</v>
      </c>
      <c r="E23" s="1529"/>
      <c r="F23" s="1529" t="s">
        <v>1787</v>
      </c>
      <c r="G23" s="1529"/>
    </row>
    <row r="24" spans="2:7">
      <c r="B24" s="1532">
        <v>42878</v>
      </c>
      <c r="C24" s="1529" t="s">
        <v>1402</v>
      </c>
      <c r="D24" s="1529" t="s">
        <v>1781</v>
      </c>
      <c r="E24" s="1529"/>
      <c r="F24" s="1529" t="s">
        <v>1782</v>
      </c>
      <c r="G24" s="1529"/>
    </row>
    <row r="25" spans="2:7">
      <c r="B25" s="1532">
        <v>42878</v>
      </c>
      <c r="C25" s="1529" t="s">
        <v>1402</v>
      </c>
      <c r="D25" s="1529" t="s">
        <v>1783</v>
      </c>
      <c r="E25" s="1529"/>
      <c r="F25" s="1529" t="s">
        <v>1784</v>
      </c>
      <c r="G25" s="1529"/>
    </row>
    <row r="26" spans="2:7">
      <c r="B26" s="1532">
        <v>42878</v>
      </c>
      <c r="C26" s="1529" t="s">
        <v>1402</v>
      </c>
      <c r="D26" s="1529" t="s">
        <v>117</v>
      </c>
      <c r="E26" s="1529"/>
      <c r="F26" s="1529" t="s">
        <v>1785</v>
      </c>
      <c r="G26" s="1529"/>
    </row>
    <row r="27" spans="2:7">
      <c r="B27" s="1532">
        <v>42878</v>
      </c>
      <c r="C27" s="1529" t="s">
        <v>1402</v>
      </c>
      <c r="D27" s="1529" t="s">
        <v>1726</v>
      </c>
      <c r="E27" s="1529"/>
      <c r="F27" s="1529" t="s">
        <v>1786</v>
      </c>
      <c r="G27" s="1529"/>
    </row>
    <row r="28" spans="2:7">
      <c r="B28" s="1532">
        <v>42885</v>
      </c>
      <c r="C28" s="1529" t="s">
        <v>1402</v>
      </c>
      <c r="D28" s="1529" t="s">
        <v>374</v>
      </c>
      <c r="E28" s="1529"/>
      <c r="F28" s="1529" t="s">
        <v>1788</v>
      </c>
      <c r="G28" s="1529"/>
    </row>
    <row r="29" spans="2:7">
      <c r="B29" s="1532">
        <v>42885</v>
      </c>
      <c r="C29" s="1529" t="s">
        <v>1402</v>
      </c>
      <c r="D29" s="1529" t="s">
        <v>152</v>
      </c>
      <c r="E29" s="1529" t="s">
        <v>1789</v>
      </c>
      <c r="F29" s="1529" t="s">
        <v>1790</v>
      </c>
      <c r="G29" s="1529"/>
    </row>
    <row r="30" spans="2:7">
      <c r="B30" s="1532">
        <v>42885</v>
      </c>
      <c r="C30" s="1529" t="s">
        <v>1402</v>
      </c>
      <c r="D30" s="1529" t="s">
        <v>1791</v>
      </c>
      <c r="E30" s="1529"/>
      <c r="F30" s="1529" t="s">
        <v>1792</v>
      </c>
      <c r="G30" s="1529"/>
    </row>
    <row r="31" spans="2:7">
      <c r="B31" s="1532">
        <v>42885</v>
      </c>
      <c r="C31" s="1529" t="s">
        <v>1402</v>
      </c>
      <c r="D31" s="1529" t="s">
        <v>1791</v>
      </c>
      <c r="E31" s="1529"/>
      <c r="F31" s="1529" t="s">
        <v>1793</v>
      </c>
      <c r="G31" s="1529"/>
    </row>
    <row r="32" spans="2:7">
      <c r="B32" s="1532">
        <v>43039</v>
      </c>
      <c r="C32" s="1529" t="s">
        <v>1402</v>
      </c>
      <c r="D32" s="1529" t="s">
        <v>978</v>
      </c>
      <c r="E32" s="1529"/>
      <c r="F32" s="1529" t="s">
        <v>1828</v>
      </c>
      <c r="G32" s="1529"/>
    </row>
    <row r="33" spans="2:7">
      <c r="B33" s="1532">
        <v>43039</v>
      </c>
      <c r="C33" s="1529" t="s">
        <v>1402</v>
      </c>
      <c r="D33" s="1529" t="s">
        <v>1829</v>
      </c>
      <c r="E33" s="1529"/>
      <c r="F33" s="1529" t="s">
        <v>1830</v>
      </c>
      <c r="G33" s="1529"/>
    </row>
    <row r="34" spans="2:7">
      <c r="B34" s="1532">
        <v>43049</v>
      </c>
      <c r="C34" s="1529" t="s">
        <v>1402</v>
      </c>
      <c r="D34" s="1529" t="s">
        <v>1831</v>
      </c>
      <c r="E34" s="1529"/>
      <c r="F34" s="1529" t="s">
        <v>1832</v>
      </c>
      <c r="G34" s="1529"/>
    </row>
    <row r="35" spans="2:7">
      <c r="B35" s="1532">
        <v>43083</v>
      </c>
      <c r="C35" s="1529" t="s">
        <v>1402</v>
      </c>
      <c r="D35" s="1529" t="s">
        <v>1905</v>
      </c>
      <c r="E35" s="1529"/>
      <c r="F35" s="1529" t="s">
        <v>1904</v>
      </c>
      <c r="G35" s="1529"/>
    </row>
    <row r="36" spans="2:7">
      <c r="B36" s="1532">
        <v>43098</v>
      </c>
      <c r="C36" s="1529" t="s">
        <v>1402</v>
      </c>
      <c r="D36" s="1529" t="s">
        <v>1791</v>
      </c>
      <c r="E36" s="1529"/>
      <c r="F36" s="1529" t="s">
        <v>1974</v>
      </c>
      <c r="G36" s="1529"/>
    </row>
    <row r="37" spans="2:7">
      <c r="B37" s="1532">
        <v>43105</v>
      </c>
      <c r="C37" s="1529" t="s">
        <v>1402</v>
      </c>
      <c r="D37" s="1529" t="s">
        <v>1791</v>
      </c>
      <c r="E37" s="1529"/>
      <c r="F37" s="1529" t="s">
        <v>1975</v>
      </c>
      <c r="G37" s="1529"/>
    </row>
    <row r="38" spans="2:7">
      <c r="B38" s="1532">
        <v>43105</v>
      </c>
      <c r="C38" s="1529" t="s">
        <v>1402</v>
      </c>
      <c r="D38" s="1529" t="s">
        <v>1982</v>
      </c>
      <c r="E38" s="1529"/>
      <c r="F38" s="1529" t="s">
        <v>1983</v>
      </c>
      <c r="G38" s="1529"/>
    </row>
    <row r="39" spans="2:7">
      <c r="B39" s="1532">
        <v>43105</v>
      </c>
      <c r="C39" s="1529" t="s">
        <v>1402</v>
      </c>
      <c r="D39" s="1529" t="s">
        <v>1781</v>
      </c>
      <c r="E39" s="1529"/>
      <c r="F39" s="1529" t="s">
        <v>1985</v>
      </c>
      <c r="G39" s="1529"/>
    </row>
    <row r="40" spans="2:7">
      <c r="B40" s="1532">
        <v>43105</v>
      </c>
      <c r="C40" s="1529" t="s">
        <v>1402</v>
      </c>
      <c r="D40" s="1529" t="s">
        <v>1708</v>
      </c>
      <c r="E40" s="1529"/>
      <c r="F40" s="1529" t="s">
        <v>1986</v>
      </c>
      <c r="G40" s="1529"/>
    </row>
    <row r="41" spans="2:7">
      <c r="B41" s="1532">
        <v>43222</v>
      </c>
      <c r="C41" s="1529" t="s">
        <v>1402</v>
      </c>
      <c r="D41" s="1529" t="s">
        <v>1987</v>
      </c>
      <c r="E41" s="1529"/>
      <c r="F41" s="1529" t="s">
        <v>1988</v>
      </c>
      <c r="G41" s="1529"/>
    </row>
    <row r="42" spans="2:7">
      <c r="B42" s="1532">
        <v>43222</v>
      </c>
      <c r="C42" s="1529" t="s">
        <v>1992</v>
      </c>
      <c r="D42" s="1529" t="s">
        <v>1794</v>
      </c>
      <c r="E42" s="1529"/>
      <c r="F42" s="1529" t="s">
        <v>1997</v>
      </c>
      <c r="G42" s="1529"/>
    </row>
    <row r="43" spans="2:7">
      <c r="B43" s="1532">
        <v>43222</v>
      </c>
      <c r="C43" s="1529" t="s">
        <v>1992</v>
      </c>
      <c r="D43" s="1529" t="s">
        <v>1794</v>
      </c>
      <c r="E43" s="1529" t="s">
        <v>2000</v>
      </c>
      <c r="F43" s="1529" t="s">
        <v>1998</v>
      </c>
      <c r="G43" s="1529"/>
    </row>
    <row r="44" spans="2:7">
      <c r="B44" s="1532">
        <v>43222</v>
      </c>
      <c r="C44" s="1529" t="s">
        <v>1992</v>
      </c>
      <c r="D44" s="1529" t="s">
        <v>1999</v>
      </c>
      <c r="E44" s="1529"/>
      <c r="F44" s="1529" t="s">
        <v>1997</v>
      </c>
      <c r="G44" s="1529"/>
    </row>
    <row r="45" spans="2:7">
      <c r="B45" s="1532">
        <v>43222</v>
      </c>
      <c r="C45" s="1529" t="s">
        <v>1992</v>
      </c>
      <c r="D45" s="1529" t="s">
        <v>1999</v>
      </c>
      <c r="E45" s="1529" t="s">
        <v>2000</v>
      </c>
      <c r="F45" s="1529" t="s">
        <v>1998</v>
      </c>
      <c r="G45" s="1529"/>
    </row>
    <row r="46" spans="2:7">
      <c r="B46" s="1532">
        <v>43222</v>
      </c>
      <c r="C46" s="1529" t="s">
        <v>1992</v>
      </c>
      <c r="D46" s="1529" t="s">
        <v>1758</v>
      </c>
      <c r="E46" s="1529" t="s">
        <v>2002</v>
      </c>
      <c r="F46" s="1529" t="s">
        <v>2001</v>
      </c>
      <c r="G46" s="1529"/>
    </row>
    <row r="47" spans="2:7">
      <c r="B47" s="1532">
        <v>43222</v>
      </c>
      <c r="C47" s="1529" t="s">
        <v>1992</v>
      </c>
      <c r="D47" s="1529" t="s">
        <v>710</v>
      </c>
      <c r="E47" s="1529" t="s">
        <v>2004</v>
      </c>
      <c r="F47" s="1529" t="s">
        <v>2003</v>
      </c>
      <c r="G47" s="1529"/>
    </row>
    <row r="48" spans="2:7">
      <c r="B48" s="1532">
        <v>43222</v>
      </c>
      <c r="C48" s="1529" t="s">
        <v>1992</v>
      </c>
      <c r="D48" s="1529" t="s">
        <v>2005</v>
      </c>
      <c r="E48" s="1529"/>
      <c r="F48" s="1529" t="s">
        <v>2006</v>
      </c>
      <c r="G48" s="1529"/>
    </row>
    <row r="49" spans="2:7">
      <c r="B49" s="1532">
        <v>43222</v>
      </c>
      <c r="C49" s="1529" t="s">
        <v>1992</v>
      </c>
      <c r="D49" s="1529" t="s">
        <v>374</v>
      </c>
      <c r="E49" s="1529"/>
      <c r="F49" s="1529" t="s">
        <v>2007</v>
      </c>
      <c r="G49" s="1529"/>
    </row>
    <row r="50" spans="2:7">
      <c r="B50" s="1532">
        <v>43222</v>
      </c>
      <c r="C50" s="1529" t="s">
        <v>1992</v>
      </c>
      <c r="D50" s="1529" t="s">
        <v>2005</v>
      </c>
      <c r="E50" s="1529"/>
      <c r="F50" s="1529" t="s">
        <v>2008</v>
      </c>
      <c r="G50" s="1529"/>
    </row>
    <row r="51" spans="2:7">
      <c r="B51" s="1532">
        <v>43222</v>
      </c>
      <c r="C51" s="1529" t="s">
        <v>1992</v>
      </c>
      <c r="D51" s="1529" t="s">
        <v>2009</v>
      </c>
      <c r="E51" s="1529"/>
      <c r="F51" s="1529" t="s">
        <v>2010</v>
      </c>
      <c r="G51" s="1529"/>
    </row>
    <row r="52" spans="2:7">
      <c r="B52" s="1532">
        <v>43222</v>
      </c>
      <c r="C52" s="1529" t="s">
        <v>1992</v>
      </c>
      <c r="D52" s="1529" t="s">
        <v>1370</v>
      </c>
      <c r="E52" s="1529"/>
      <c r="F52" s="1529" t="s">
        <v>2011</v>
      </c>
      <c r="G52" s="1529"/>
    </row>
    <row r="53" spans="2:7">
      <c r="B53" s="1532">
        <v>43222</v>
      </c>
      <c r="C53" s="1529" t="s">
        <v>1992</v>
      </c>
      <c r="D53" s="1529" t="s">
        <v>2012</v>
      </c>
      <c r="E53" s="1529"/>
      <c r="F53" s="1529" t="s">
        <v>2011</v>
      </c>
      <c r="G53" s="1529"/>
    </row>
    <row r="54" spans="2:7">
      <c r="B54" s="1532">
        <v>43223</v>
      </c>
      <c r="C54" s="1529" t="s">
        <v>2013</v>
      </c>
      <c r="D54" s="1529" t="s">
        <v>2015</v>
      </c>
      <c r="E54" s="1529"/>
      <c r="F54" s="1529" t="s">
        <v>2016</v>
      </c>
      <c r="G54" s="1529"/>
    </row>
    <row r="55" spans="2:7">
      <c r="B55" s="1532">
        <v>43223</v>
      </c>
      <c r="C55" s="1529" t="s">
        <v>2013</v>
      </c>
      <c r="D55" s="1529" t="s">
        <v>152</v>
      </c>
      <c r="E55" s="1529"/>
      <c r="F55" s="1529" t="s">
        <v>2017</v>
      </c>
      <c r="G55" s="1529"/>
    </row>
    <row r="56" spans="2:7">
      <c r="B56" s="1532">
        <v>43223</v>
      </c>
      <c r="C56" s="1529" t="s">
        <v>2013</v>
      </c>
      <c r="D56" s="1529" t="s">
        <v>2018</v>
      </c>
      <c r="E56" s="1529"/>
      <c r="F56" s="1529" t="s">
        <v>2019</v>
      </c>
      <c r="G56" s="1529"/>
    </row>
    <row r="57" spans="2:7">
      <c r="B57" s="1532">
        <v>43223</v>
      </c>
      <c r="C57" s="1529" t="s">
        <v>2013</v>
      </c>
      <c r="D57" s="1529" t="s">
        <v>1794</v>
      </c>
      <c r="E57" s="1529"/>
      <c r="F57" s="1529" t="s">
        <v>2022</v>
      </c>
      <c r="G57" s="1529"/>
    </row>
    <row r="58" spans="2:7">
      <c r="B58" s="1532">
        <v>43223</v>
      </c>
      <c r="C58" s="1529" t="s">
        <v>2013</v>
      </c>
      <c r="D58" s="1529" t="s">
        <v>1794</v>
      </c>
      <c r="E58" s="1529"/>
      <c r="F58" s="1529" t="s">
        <v>2023</v>
      </c>
      <c r="G58" s="1529"/>
    </row>
    <row r="59" spans="2:7">
      <c r="B59" s="1532">
        <v>43223</v>
      </c>
      <c r="C59" s="1529" t="s">
        <v>2013</v>
      </c>
      <c r="D59" s="1529" t="s">
        <v>1794</v>
      </c>
      <c r="E59" s="1529"/>
      <c r="F59" s="1529" t="s">
        <v>2029</v>
      </c>
      <c r="G59" s="1529"/>
    </row>
    <row r="60" spans="2:7">
      <c r="B60" s="1532">
        <v>43223</v>
      </c>
      <c r="C60" s="1529" t="s">
        <v>2013</v>
      </c>
      <c r="D60" s="1529" t="s">
        <v>2030</v>
      </c>
      <c r="E60" s="1529"/>
      <c r="F60" s="1529" t="s">
        <v>2031</v>
      </c>
      <c r="G60" s="1529"/>
    </row>
    <row r="61" spans="2:7">
      <c r="B61" s="1532">
        <v>43223</v>
      </c>
      <c r="C61" s="1529" t="s">
        <v>2013</v>
      </c>
      <c r="D61" s="1529" t="s">
        <v>1758</v>
      </c>
      <c r="E61" s="1529"/>
      <c r="F61" s="1529" t="s">
        <v>2032</v>
      </c>
      <c r="G61" s="1529"/>
    </row>
    <row r="62" spans="2:7">
      <c r="B62" s="1532">
        <v>43223</v>
      </c>
      <c r="C62" s="1529" t="s">
        <v>2013</v>
      </c>
      <c r="D62" s="1529" t="s">
        <v>2033</v>
      </c>
      <c r="E62" s="1529"/>
      <c r="F62" s="1529" t="s">
        <v>2034</v>
      </c>
      <c r="G62" s="1529"/>
    </row>
    <row r="63" spans="2:7">
      <c r="B63" s="1532">
        <v>43223</v>
      </c>
      <c r="C63" s="1529" t="s">
        <v>2013</v>
      </c>
      <c r="D63" s="1529" t="s">
        <v>374</v>
      </c>
      <c r="E63" s="1529"/>
      <c r="F63" s="1529" t="s">
        <v>2035</v>
      </c>
      <c r="G63" s="1529"/>
    </row>
    <row r="64" spans="2:7">
      <c r="B64" s="1532">
        <v>43223</v>
      </c>
      <c r="C64" s="1529" t="s">
        <v>2013</v>
      </c>
      <c r="D64" s="1529" t="s">
        <v>2039</v>
      </c>
      <c r="E64" s="1529"/>
      <c r="F64" s="1529" t="s">
        <v>2040</v>
      </c>
      <c r="G64" s="1529"/>
    </row>
    <row r="65" spans="2:7">
      <c r="B65" s="1532">
        <v>43223</v>
      </c>
      <c r="C65" s="1529" t="s">
        <v>2013</v>
      </c>
      <c r="D65" s="1529" t="s">
        <v>2041</v>
      </c>
      <c r="E65" s="1529"/>
      <c r="F65" s="1529" t="s">
        <v>2042</v>
      </c>
      <c r="G65" s="1529"/>
    </row>
    <row r="66" spans="2:7">
      <c r="B66" s="1532">
        <v>43223</v>
      </c>
      <c r="C66" s="1529" t="s">
        <v>2013</v>
      </c>
      <c r="D66" s="1529" t="s">
        <v>117</v>
      </c>
      <c r="E66" s="1529"/>
      <c r="F66" s="1529" t="s">
        <v>2043</v>
      </c>
      <c r="G66" s="1529"/>
    </row>
    <row r="67" spans="2:7">
      <c r="B67" s="1532">
        <v>43227</v>
      </c>
      <c r="C67" s="1529" t="s">
        <v>1402</v>
      </c>
      <c r="D67" s="1529" t="s">
        <v>374</v>
      </c>
      <c r="E67" s="1529" t="s">
        <v>2047</v>
      </c>
      <c r="F67" s="1529" t="s">
        <v>2048</v>
      </c>
      <c r="G67" s="1529"/>
    </row>
    <row r="68" spans="2:7">
      <c r="B68" s="1532">
        <v>43245</v>
      </c>
      <c r="C68" s="1529" t="s">
        <v>1402</v>
      </c>
      <c r="D68" s="1529" t="s">
        <v>374</v>
      </c>
      <c r="E68" s="1529"/>
      <c r="F68" s="1529" t="s">
        <v>2049</v>
      </c>
      <c r="G68" s="1529"/>
    </row>
    <row r="69" spans="2:7">
      <c r="B69" s="1532">
        <v>43303</v>
      </c>
      <c r="C69" s="1529" t="s">
        <v>1992</v>
      </c>
      <c r="D69" s="1529" t="s">
        <v>152</v>
      </c>
      <c r="E69" s="1529"/>
      <c r="F69" s="1529" t="s">
        <v>2051</v>
      </c>
      <c r="G69" s="1529"/>
    </row>
    <row r="70" spans="2:7">
      <c r="B70" s="1532">
        <v>43382</v>
      </c>
      <c r="C70" s="1529" t="s">
        <v>1369</v>
      </c>
      <c r="D70" s="1529" t="s">
        <v>2898</v>
      </c>
      <c r="E70" s="1529"/>
      <c r="F70" s="1529" t="s">
        <v>2897</v>
      </c>
      <c r="G70" s="1529"/>
    </row>
    <row r="71" spans="2:7">
      <c r="B71" s="1532">
        <v>43389</v>
      </c>
      <c r="C71" s="1529" t="s">
        <v>2907</v>
      </c>
      <c r="D71" s="1529" t="s">
        <v>152</v>
      </c>
      <c r="E71" s="1529"/>
      <c r="F71" s="1529" t="s">
        <v>2908</v>
      </c>
      <c r="G71" s="1529"/>
    </row>
    <row r="72" spans="2:7">
      <c r="B72" s="1532">
        <v>43389</v>
      </c>
      <c r="C72" s="1529" t="s">
        <v>2907</v>
      </c>
      <c r="D72" s="1529" t="s">
        <v>2015</v>
      </c>
      <c r="E72" s="1529" t="s">
        <v>2912</v>
      </c>
      <c r="F72" s="1529" t="s">
        <v>2911</v>
      </c>
      <c r="G72" s="1529"/>
    </row>
    <row r="73" spans="2:7">
      <c r="B73" s="1532">
        <v>43389</v>
      </c>
      <c r="C73" s="1529" t="s">
        <v>2907</v>
      </c>
      <c r="D73" s="1529" t="s">
        <v>152</v>
      </c>
      <c r="E73" s="1529"/>
      <c r="F73" s="1529" t="s">
        <v>2913</v>
      </c>
      <c r="G73" s="1529"/>
    </row>
    <row r="74" spans="2:7">
      <c r="B74" s="1532">
        <v>43395</v>
      </c>
      <c r="C74" s="1529" t="s">
        <v>2907</v>
      </c>
      <c r="D74" s="1529" t="s">
        <v>117</v>
      </c>
      <c r="E74" s="1529"/>
      <c r="F74" s="1529" t="s">
        <v>2914</v>
      </c>
      <c r="G74" s="1529"/>
    </row>
    <row r="75" spans="2:7">
      <c r="B75" s="1532">
        <v>43395</v>
      </c>
      <c r="C75" s="1529" t="s">
        <v>2907</v>
      </c>
      <c r="D75" s="1529" t="s">
        <v>1791</v>
      </c>
      <c r="E75" s="1529"/>
      <c r="F75" s="1529" t="s">
        <v>2916</v>
      </c>
      <c r="G75" s="1529"/>
    </row>
    <row r="76" spans="2:7">
      <c r="B76" s="1532">
        <v>43395</v>
      </c>
      <c r="C76" s="1529" t="s">
        <v>2907</v>
      </c>
      <c r="D76" s="1529" t="s">
        <v>2015</v>
      </c>
      <c r="E76" s="1529"/>
      <c r="F76" s="1529" t="s">
        <v>2917</v>
      </c>
      <c r="G76" s="1529"/>
    </row>
    <row r="77" spans="2:7">
      <c r="B77" s="1532">
        <v>43425</v>
      </c>
      <c r="C77" s="1529" t="s">
        <v>2938</v>
      </c>
      <c r="D77" s="1529" t="s">
        <v>2939</v>
      </c>
      <c r="E77" s="1529"/>
      <c r="F77" s="1529" t="s">
        <v>2940</v>
      </c>
      <c r="G77" s="1529"/>
    </row>
    <row r="78" spans="2:7">
      <c r="B78" s="1529"/>
      <c r="C78" s="1529"/>
      <c r="D78" s="1529"/>
      <c r="E78" s="1529"/>
      <c r="F78" s="1529"/>
      <c r="G78" s="1529"/>
    </row>
    <row r="79" spans="2:7">
      <c r="B79" s="1529"/>
      <c r="C79" s="1529"/>
      <c r="D79" s="1529"/>
      <c r="E79" s="1529"/>
      <c r="F79" s="1529"/>
      <c r="G79" s="1529"/>
    </row>
    <row r="80" spans="2:7">
      <c r="B80" s="1529"/>
      <c r="C80" s="1529"/>
      <c r="D80" s="1529"/>
      <c r="E80" s="1529"/>
      <c r="F80" s="1529"/>
      <c r="G80" s="1529"/>
    </row>
    <row r="81" spans="2:7">
      <c r="B81" s="1529"/>
      <c r="C81" s="1529"/>
      <c r="D81" s="1529"/>
      <c r="E81" s="1529"/>
      <c r="F81" s="1529"/>
      <c r="G81" s="1529"/>
    </row>
    <row r="82" spans="2:7">
      <c r="B82" s="1529"/>
      <c r="C82" s="1529"/>
      <c r="D82" s="1529"/>
      <c r="E82" s="1529"/>
      <c r="F82" s="1529"/>
      <c r="G82" s="1529"/>
    </row>
    <row r="83" spans="2:7">
      <c r="B83" s="1529"/>
      <c r="C83" s="1529"/>
      <c r="D83" s="1529"/>
      <c r="E83" s="1529"/>
      <c r="F83" s="1529"/>
      <c r="G83" s="1529"/>
    </row>
    <row r="84" spans="2:7">
      <c r="B84" s="1529"/>
      <c r="C84" s="1529"/>
      <c r="D84" s="1529"/>
      <c r="E84" s="1529"/>
      <c r="F84" s="1529"/>
      <c r="G84" s="1529"/>
    </row>
    <row r="85" spans="2:7">
      <c r="B85" s="1529"/>
      <c r="C85" s="1529"/>
      <c r="D85" s="1529"/>
      <c r="E85" s="1529"/>
      <c r="F85" s="1529"/>
      <c r="G85" s="1529"/>
    </row>
    <row r="86" spans="2:7">
      <c r="B86" s="1529"/>
      <c r="C86" s="1529"/>
      <c r="D86" s="1529"/>
      <c r="E86" s="1529"/>
      <c r="F86" s="1529"/>
      <c r="G86" s="1529"/>
    </row>
    <row r="87" spans="2:7">
      <c r="B87" s="1529"/>
      <c r="C87" s="1529"/>
      <c r="D87" s="1529"/>
      <c r="E87" s="1529"/>
      <c r="F87" s="1529"/>
      <c r="G87" s="1529"/>
    </row>
    <row r="88" spans="2:7">
      <c r="B88" s="1529"/>
      <c r="C88" s="1529"/>
      <c r="D88" s="1529"/>
      <c r="E88" s="1529"/>
      <c r="F88" s="1529"/>
      <c r="G88" s="1529"/>
    </row>
    <row r="89" spans="2:7">
      <c r="B89" s="1529"/>
      <c r="C89" s="1529"/>
      <c r="D89" s="1529"/>
      <c r="E89" s="1529"/>
      <c r="F89" s="1529"/>
      <c r="G89" s="1529"/>
    </row>
    <row r="90" spans="2:7">
      <c r="B90" s="1529"/>
      <c r="C90" s="1529"/>
      <c r="D90" s="1529"/>
      <c r="E90" s="1529"/>
      <c r="F90" s="1529"/>
      <c r="G90" s="1529"/>
    </row>
    <row r="91" spans="2:7">
      <c r="B91" s="1529"/>
      <c r="C91" s="1529"/>
      <c r="D91" s="1529"/>
      <c r="E91" s="1529"/>
      <c r="F91" s="1529"/>
      <c r="G91" s="1529"/>
    </row>
    <row r="92" spans="2:7">
      <c r="B92" s="1529"/>
      <c r="C92" s="1529"/>
      <c r="D92" s="1529"/>
      <c r="E92" s="1529"/>
      <c r="F92" s="1529"/>
      <c r="G92" s="1529"/>
    </row>
    <row r="93" spans="2:7">
      <c r="B93" s="1529"/>
      <c r="C93" s="1529"/>
      <c r="D93" s="1529"/>
      <c r="E93" s="1529"/>
      <c r="F93" s="1529"/>
      <c r="G93" s="1529"/>
    </row>
    <row r="94" spans="2:7">
      <c r="B94" s="1529"/>
      <c r="C94" s="1529"/>
      <c r="D94" s="1529"/>
      <c r="E94" s="1529"/>
      <c r="F94" s="1529"/>
      <c r="G94" s="1529"/>
    </row>
    <row r="95" spans="2:7">
      <c r="B95" s="1529"/>
      <c r="C95" s="1529"/>
      <c r="D95" s="1529"/>
      <c r="E95" s="1529"/>
      <c r="F95" s="1529"/>
      <c r="G95" s="1529"/>
    </row>
    <row r="96" spans="2:7">
      <c r="B96" s="1529"/>
      <c r="C96" s="1529"/>
      <c r="D96" s="1529"/>
      <c r="E96" s="1529"/>
      <c r="F96" s="1529"/>
      <c r="G96" s="1529"/>
    </row>
    <row r="97" spans="2:7">
      <c r="B97" s="1529"/>
      <c r="C97" s="1529"/>
      <c r="D97" s="1529"/>
      <c r="E97" s="1529"/>
      <c r="F97" s="1529"/>
      <c r="G97" s="1529"/>
    </row>
    <row r="98" spans="2:7">
      <c r="B98" s="1529"/>
      <c r="C98" s="1529"/>
      <c r="D98" s="1529"/>
      <c r="E98" s="1529"/>
      <c r="F98" s="1529"/>
      <c r="G98" s="1529"/>
    </row>
    <row r="99" spans="2:7">
      <c r="B99" s="1529"/>
      <c r="C99" s="1529"/>
      <c r="D99" s="1529"/>
      <c r="E99" s="1529"/>
      <c r="F99" s="1529"/>
      <c r="G99" s="1529"/>
    </row>
    <row r="100" spans="2:7">
      <c r="B100" s="1529"/>
      <c r="C100" s="1529"/>
      <c r="D100" s="1529"/>
      <c r="E100" s="1529"/>
      <c r="F100" s="1529"/>
      <c r="G100" s="1529"/>
    </row>
    <row r="101" spans="2:7">
      <c r="B101" s="1529"/>
      <c r="C101" s="1529"/>
      <c r="D101" s="1529"/>
      <c r="E101" s="1529"/>
      <c r="F101" s="1529"/>
      <c r="G101" s="1529"/>
    </row>
    <row r="102" spans="2:7">
      <c r="B102" s="1529"/>
      <c r="C102" s="1529"/>
      <c r="D102" s="1529"/>
      <c r="E102" s="1529"/>
      <c r="F102" s="1529"/>
      <c r="G102" s="1529"/>
    </row>
    <row r="103" spans="2:7">
      <c r="B103" s="1529"/>
      <c r="C103" s="1529"/>
      <c r="D103" s="1529"/>
      <c r="E103" s="1529"/>
      <c r="F103" s="1529"/>
      <c r="G103" s="1529"/>
    </row>
    <row r="104" spans="2:7">
      <c r="B104" s="1529"/>
      <c r="C104" s="1529"/>
      <c r="D104" s="1529"/>
      <c r="E104" s="1529"/>
      <c r="F104" s="1529"/>
      <c r="G104" s="1529"/>
    </row>
    <row r="105" spans="2:7">
      <c r="B105" s="1529"/>
      <c r="C105" s="1529"/>
      <c r="D105" s="1529"/>
      <c r="E105" s="1529"/>
      <c r="F105" s="1529"/>
      <c r="G105" s="1529"/>
    </row>
    <row r="106" spans="2:7">
      <c r="B106" s="1529"/>
      <c r="C106" s="1529"/>
      <c r="D106" s="1529"/>
      <c r="E106" s="1529"/>
      <c r="F106" s="1529"/>
      <c r="G106" s="1529"/>
    </row>
    <row r="107" spans="2:7">
      <c r="B107" s="1529"/>
      <c r="C107" s="1529"/>
      <c r="D107" s="1529"/>
      <c r="E107" s="1529"/>
      <c r="F107" s="1529"/>
      <c r="G107" s="1529"/>
    </row>
    <row r="108" spans="2:7">
      <c r="B108" s="1529"/>
      <c r="C108" s="1529"/>
      <c r="D108" s="1529"/>
      <c r="E108" s="1529"/>
      <c r="F108" s="1529"/>
      <c r="G108" s="1529"/>
    </row>
    <row r="109" spans="2:7">
      <c r="B109" s="1529"/>
      <c r="C109" s="1529"/>
      <c r="D109" s="1529"/>
      <c r="E109" s="1529"/>
      <c r="F109" s="1529"/>
      <c r="G109" s="1529"/>
    </row>
    <row r="110" spans="2:7">
      <c r="B110" s="1529"/>
      <c r="C110" s="1529"/>
      <c r="D110" s="1529"/>
      <c r="E110" s="1529"/>
      <c r="F110" s="1529"/>
      <c r="G110" s="1529"/>
    </row>
    <row r="111" spans="2:7">
      <c r="B111" s="1529"/>
      <c r="C111" s="1529"/>
      <c r="D111" s="1529"/>
      <c r="E111" s="1529"/>
      <c r="F111" s="1529"/>
      <c r="G111" s="1529"/>
    </row>
    <row r="112" spans="2:7">
      <c r="B112" s="1529"/>
      <c r="C112" s="1529"/>
      <c r="D112" s="1529"/>
      <c r="E112" s="1529"/>
      <c r="F112" s="1529"/>
      <c r="G112" s="1529"/>
    </row>
    <row r="113" spans="2:7">
      <c r="B113" s="1529"/>
      <c r="C113" s="1529"/>
      <c r="D113" s="1529"/>
      <c r="E113" s="1529"/>
      <c r="F113" s="1529"/>
      <c r="G113" s="1529"/>
    </row>
    <row r="114" spans="2:7">
      <c r="B114" s="1529"/>
      <c r="C114" s="1529"/>
      <c r="D114" s="1529"/>
      <c r="E114" s="1529"/>
      <c r="F114" s="1529"/>
      <c r="G114" s="1529"/>
    </row>
    <row r="115" spans="2:7">
      <c r="B115" s="1529"/>
      <c r="C115" s="1529"/>
      <c r="D115" s="1529"/>
      <c r="E115" s="1529"/>
      <c r="F115" s="1529"/>
      <c r="G115" s="1529"/>
    </row>
    <row r="116" spans="2:7">
      <c r="B116" s="1529"/>
      <c r="C116" s="1529"/>
      <c r="D116" s="1529"/>
      <c r="E116" s="1529"/>
      <c r="F116" s="1529"/>
      <c r="G116" s="1529"/>
    </row>
    <row r="117" spans="2:7">
      <c r="B117" s="1529"/>
      <c r="C117" s="1529"/>
      <c r="D117" s="1529"/>
      <c r="E117" s="1529"/>
      <c r="F117" s="1529"/>
      <c r="G117" s="1529"/>
    </row>
    <row r="118" spans="2:7">
      <c r="B118" s="1529"/>
      <c r="C118" s="1529"/>
      <c r="D118" s="1529"/>
      <c r="E118" s="1529"/>
      <c r="F118" s="1529"/>
      <c r="G118" s="1529"/>
    </row>
    <row r="119" spans="2:7">
      <c r="B119" s="1529"/>
      <c r="C119" s="1529"/>
      <c r="D119" s="1529"/>
      <c r="E119" s="1529"/>
      <c r="F119" s="1529"/>
      <c r="G119" s="1529"/>
    </row>
    <row r="120" spans="2:7">
      <c r="B120" s="1529"/>
      <c r="C120" s="1529"/>
      <c r="D120" s="1529"/>
      <c r="E120" s="1529"/>
      <c r="F120" s="1529"/>
      <c r="G120" s="1529"/>
    </row>
    <row r="121" spans="2:7">
      <c r="B121" s="1529"/>
      <c r="C121" s="1529"/>
      <c r="D121" s="1529"/>
      <c r="E121" s="1529"/>
      <c r="F121" s="1529"/>
      <c r="G121" s="1529"/>
    </row>
    <row r="122" spans="2:7">
      <c r="B122" s="1529"/>
      <c r="C122" s="1529"/>
      <c r="D122" s="1529"/>
      <c r="E122" s="1529"/>
      <c r="F122" s="1529"/>
      <c r="G122" s="1529"/>
    </row>
    <row r="123" spans="2:7">
      <c r="B123" s="1529"/>
      <c r="C123" s="1529"/>
      <c r="D123" s="1529"/>
      <c r="E123" s="1529"/>
      <c r="F123" s="1529"/>
      <c r="G123" s="1529"/>
    </row>
    <row r="124" spans="2:7">
      <c r="B124" s="1529"/>
      <c r="C124" s="1529"/>
      <c r="D124" s="1529"/>
      <c r="E124" s="1529"/>
      <c r="F124" s="1529"/>
      <c r="G124" s="1529"/>
    </row>
    <row r="125" spans="2:7">
      <c r="B125" s="1529"/>
      <c r="C125" s="1529"/>
      <c r="D125" s="1529"/>
      <c r="E125" s="1529"/>
      <c r="F125" s="1529"/>
      <c r="G125" s="1529"/>
    </row>
    <row r="126" spans="2:7">
      <c r="B126" s="1529"/>
      <c r="C126" s="1529"/>
      <c r="D126" s="1529"/>
      <c r="E126" s="1529"/>
      <c r="F126" s="1529"/>
      <c r="G126" s="1529"/>
    </row>
    <row r="127" spans="2:7">
      <c r="B127" s="1529"/>
      <c r="C127" s="1529"/>
      <c r="D127" s="1529"/>
      <c r="E127" s="1529"/>
      <c r="F127" s="1529"/>
      <c r="G127" s="1529"/>
    </row>
    <row r="128" spans="2:7">
      <c r="B128" s="1529"/>
      <c r="C128" s="1529"/>
      <c r="D128" s="1529"/>
      <c r="E128" s="1529"/>
      <c r="F128" s="1529"/>
      <c r="G128" s="1529"/>
    </row>
    <row r="129" spans="2:7">
      <c r="B129" s="1529"/>
      <c r="C129" s="1529"/>
      <c r="D129" s="1529"/>
      <c r="E129" s="1529"/>
      <c r="F129" s="1529"/>
      <c r="G129" s="1529"/>
    </row>
    <row r="130" spans="2:7">
      <c r="B130" s="1529"/>
      <c r="C130" s="1529"/>
      <c r="D130" s="1529"/>
      <c r="E130" s="1529"/>
      <c r="F130" s="1529"/>
      <c r="G130" s="1529"/>
    </row>
    <row r="131" spans="2:7">
      <c r="B131" s="1529"/>
      <c r="C131" s="1529"/>
      <c r="D131" s="1529"/>
      <c r="E131" s="1529"/>
      <c r="F131" s="1529"/>
      <c r="G131" s="1529"/>
    </row>
    <row r="132" spans="2:7">
      <c r="B132" s="1529"/>
      <c r="C132" s="1529"/>
      <c r="D132" s="1529"/>
      <c r="E132" s="1529"/>
      <c r="F132" s="1529"/>
      <c r="G132" s="1529"/>
    </row>
    <row r="133" spans="2:7">
      <c r="B133" s="1529"/>
      <c r="C133" s="1529"/>
      <c r="D133" s="1529"/>
      <c r="E133" s="1529"/>
      <c r="F133" s="1529"/>
      <c r="G133" s="1529"/>
    </row>
    <row r="134" spans="2:7">
      <c r="B134" s="1529"/>
      <c r="C134" s="1529"/>
      <c r="D134" s="1529"/>
      <c r="E134" s="1529"/>
      <c r="F134" s="1529"/>
      <c r="G134" s="1529"/>
    </row>
    <row r="135" spans="2:7">
      <c r="B135" s="1529"/>
      <c r="C135" s="1529"/>
      <c r="D135" s="1529"/>
      <c r="E135" s="1529"/>
      <c r="F135" s="1529"/>
      <c r="G135" s="1529"/>
    </row>
    <row r="136" spans="2:7">
      <c r="B136" s="1529"/>
      <c r="C136" s="1529"/>
      <c r="D136" s="1529"/>
      <c r="E136" s="1529"/>
      <c r="F136" s="1529"/>
      <c r="G136" s="1529"/>
    </row>
    <row r="137" spans="2:7">
      <c r="B137" s="1529"/>
      <c r="C137" s="1529"/>
      <c r="D137" s="1529"/>
      <c r="E137" s="1529"/>
      <c r="F137" s="1529"/>
      <c r="G137" s="1529"/>
    </row>
    <row r="138" spans="2:7">
      <c r="B138" s="1529"/>
      <c r="C138" s="1529"/>
      <c r="D138" s="1529"/>
      <c r="E138" s="1529"/>
      <c r="F138" s="1529"/>
      <c r="G138" s="1529"/>
    </row>
    <row r="139" spans="2:7">
      <c r="B139" s="1529"/>
      <c r="C139" s="1529"/>
      <c r="D139" s="1529"/>
      <c r="E139" s="1529"/>
      <c r="F139" s="1529"/>
      <c r="G139" s="1529"/>
    </row>
    <row r="140" spans="2:7">
      <c r="B140" s="1529"/>
      <c r="C140" s="1529"/>
      <c r="D140" s="1529"/>
      <c r="E140" s="1529"/>
      <c r="F140" s="1529"/>
      <c r="G140" s="1529"/>
    </row>
    <row r="141" spans="2:7">
      <c r="B141" s="1529"/>
      <c r="C141" s="1529"/>
      <c r="D141" s="1529"/>
      <c r="E141" s="1529"/>
      <c r="F141" s="1529"/>
      <c r="G141" s="1529"/>
    </row>
    <row r="142" spans="2:7">
      <c r="B142" s="1529"/>
      <c r="C142" s="1529"/>
      <c r="D142" s="1529"/>
      <c r="E142" s="1529"/>
      <c r="F142" s="1529"/>
      <c r="G142" s="1529"/>
    </row>
    <row r="143" spans="2:7">
      <c r="B143" s="1529"/>
      <c r="C143" s="1529"/>
      <c r="D143" s="1529"/>
      <c r="E143" s="1529"/>
      <c r="F143" s="1529"/>
      <c r="G143" s="1529"/>
    </row>
    <row r="144" spans="2:7">
      <c r="B144" s="1529"/>
      <c r="C144" s="1529"/>
      <c r="D144" s="1529"/>
      <c r="E144" s="1529"/>
      <c r="F144" s="1529"/>
      <c r="G144" s="1529"/>
    </row>
    <row r="145" spans="2:7">
      <c r="B145" s="1529"/>
      <c r="C145" s="1529"/>
      <c r="D145" s="1529"/>
      <c r="E145" s="1529"/>
      <c r="F145" s="1529"/>
      <c r="G145" s="1529"/>
    </row>
    <row r="146" spans="2:7">
      <c r="B146" s="1529"/>
      <c r="C146" s="1529"/>
      <c r="D146" s="1529"/>
      <c r="E146" s="1529"/>
      <c r="F146" s="1529"/>
      <c r="G146" s="1529"/>
    </row>
    <row r="147" spans="2:7">
      <c r="B147" s="1529"/>
      <c r="C147" s="1529"/>
      <c r="D147" s="1529"/>
      <c r="E147" s="1529"/>
      <c r="F147" s="1529"/>
      <c r="G147" s="1529"/>
    </row>
    <row r="148" spans="2:7">
      <c r="B148" s="1529"/>
      <c r="C148" s="1529"/>
      <c r="D148" s="1529"/>
      <c r="E148" s="1529"/>
      <c r="F148" s="1529"/>
      <c r="G148" s="1529"/>
    </row>
    <row r="149" spans="2:7">
      <c r="B149" s="1529"/>
      <c r="C149" s="1529"/>
      <c r="D149" s="1529"/>
      <c r="E149" s="1529"/>
      <c r="F149" s="1529"/>
      <c r="G149" s="1529"/>
    </row>
    <row r="150" spans="2:7">
      <c r="B150" s="1529"/>
      <c r="C150" s="1529"/>
      <c r="D150" s="1529"/>
      <c r="E150" s="1529"/>
      <c r="F150" s="1529"/>
      <c r="G150" s="1529"/>
    </row>
    <row r="151" spans="2:7">
      <c r="B151" s="1529"/>
      <c r="C151" s="1529"/>
      <c r="D151" s="1529"/>
      <c r="E151" s="1529"/>
      <c r="F151" s="1529"/>
      <c r="G151" s="1529"/>
    </row>
    <row r="152" spans="2:7">
      <c r="B152" s="1529"/>
      <c r="C152" s="1529"/>
      <c r="D152" s="1529"/>
      <c r="E152" s="1529"/>
      <c r="F152" s="1529"/>
      <c r="G152" s="1529"/>
    </row>
    <row r="153" spans="2:7">
      <c r="B153" s="1529"/>
      <c r="C153" s="1529"/>
      <c r="D153" s="1529"/>
      <c r="E153" s="1529"/>
      <c r="F153" s="1529"/>
      <c r="G153" s="1529"/>
    </row>
    <row r="154" spans="2:7">
      <c r="B154" s="1529"/>
      <c r="C154" s="1529"/>
      <c r="D154" s="1529"/>
      <c r="E154" s="1529"/>
      <c r="F154" s="1529"/>
      <c r="G154" s="1529"/>
    </row>
    <row r="155" spans="2:7">
      <c r="B155" s="1529"/>
      <c r="C155" s="1529"/>
      <c r="D155" s="1529"/>
      <c r="E155" s="1529"/>
      <c r="F155" s="1529"/>
      <c r="G155" s="1529"/>
    </row>
    <row r="156" spans="2:7">
      <c r="B156" s="1529"/>
      <c r="C156" s="1529"/>
      <c r="D156" s="1529"/>
      <c r="E156" s="1529"/>
      <c r="F156" s="1529"/>
      <c r="G156" s="1529"/>
    </row>
    <row r="157" spans="2:7">
      <c r="B157" s="1529"/>
      <c r="C157" s="1529"/>
      <c r="D157" s="1529"/>
      <c r="E157" s="1529"/>
      <c r="F157" s="1529"/>
      <c r="G157" s="1529"/>
    </row>
    <row r="158" spans="2:7">
      <c r="B158" s="1529"/>
      <c r="C158" s="1529"/>
      <c r="D158" s="1529"/>
      <c r="E158" s="1529"/>
      <c r="F158" s="1529"/>
      <c r="G158" s="1529"/>
    </row>
    <row r="159" spans="2:7">
      <c r="B159" s="1529"/>
      <c r="C159" s="1529"/>
      <c r="D159" s="1529"/>
      <c r="E159" s="1529"/>
      <c r="F159" s="1529"/>
      <c r="G159" s="1529"/>
    </row>
    <row r="160" spans="2:7">
      <c r="B160" s="1529"/>
      <c r="C160" s="1529"/>
      <c r="D160" s="1529"/>
      <c r="E160" s="1529"/>
      <c r="F160" s="1529"/>
      <c r="G160" s="1529"/>
    </row>
    <row r="161" spans="2:7">
      <c r="B161" s="1529"/>
      <c r="C161" s="1529"/>
      <c r="D161" s="1529"/>
      <c r="E161" s="1529"/>
      <c r="F161" s="1529"/>
      <c r="G161" s="1529"/>
    </row>
    <row r="162" spans="2:7">
      <c r="B162" s="1529"/>
      <c r="C162" s="1529"/>
      <c r="D162" s="1529"/>
      <c r="E162" s="1529"/>
      <c r="F162" s="1529"/>
      <c r="G162" s="1529"/>
    </row>
    <row r="163" spans="2:7">
      <c r="B163" s="1529"/>
      <c r="C163" s="1529"/>
      <c r="D163" s="1529"/>
      <c r="E163" s="1529"/>
      <c r="F163" s="1529"/>
      <c r="G163" s="1529"/>
    </row>
    <row r="164" spans="2:7">
      <c r="B164" s="1529"/>
      <c r="C164" s="1529"/>
      <c r="D164" s="1529"/>
      <c r="E164" s="1529"/>
      <c r="F164" s="1529"/>
      <c r="G164" s="1529"/>
    </row>
    <row r="165" spans="2:7">
      <c r="B165" s="1529"/>
      <c r="C165" s="1529"/>
      <c r="D165" s="1529"/>
      <c r="E165" s="1529"/>
      <c r="F165" s="1529"/>
      <c r="G165" s="152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H30"/>
  <sheetViews>
    <sheetView workbookViewId="0"/>
  </sheetViews>
  <sheetFormatPr defaultRowHeight="12.75"/>
  <cols>
    <col min="1" max="1" width="2.83203125" style="8" customWidth="1"/>
    <col min="2" max="2" width="8.6640625" style="8" customWidth="1"/>
    <col min="3" max="8" width="25.83203125" style="8" customWidth="1"/>
    <col min="9" max="9" width="2.83203125" style="8" customWidth="1"/>
    <col min="10" max="16384" width="9.33203125" style="8"/>
  </cols>
  <sheetData>
    <row r="1" spans="2:8" ht="10.7" customHeight="1" thickBot="1">
      <c r="E1" s="58"/>
      <c r="G1" s="58"/>
      <c r="H1" s="58"/>
    </row>
    <row r="2" spans="2:8" ht="16.5" customHeight="1" thickTop="1">
      <c r="B2" s="4" t="str">
        <f>'MASTER PubCo Inputs'!$C$5</f>
        <v>Trucode Gene Repair, Inc.</v>
      </c>
      <c r="C2" s="4"/>
      <c r="D2" s="4"/>
      <c r="E2" s="52"/>
      <c r="F2" s="4"/>
      <c r="G2" s="52"/>
      <c r="H2" s="52"/>
    </row>
    <row r="3" spans="2:8" ht="16.5" customHeight="1" thickBot="1">
      <c r="B3" s="6" t="s">
        <v>617</v>
      </c>
      <c r="C3" s="6"/>
      <c r="D3" s="6"/>
      <c r="E3" s="53"/>
      <c r="F3" s="6"/>
      <c r="G3" s="53"/>
      <c r="H3" s="53"/>
    </row>
    <row r="4" spans="2:8" ht="12.75" customHeight="1" thickTop="1">
      <c r="E4" s="58"/>
      <c r="G4" s="58"/>
      <c r="H4" s="58"/>
    </row>
    <row r="6" spans="2:8" ht="13.5">
      <c r="B6" s="56" t="s">
        <v>623</v>
      </c>
    </row>
    <row r="7" spans="2:8">
      <c r="B7" s="48" t="s">
        <v>446</v>
      </c>
      <c r="C7" s="54" t="s">
        <v>618</v>
      </c>
      <c r="D7" s="54" t="s">
        <v>624</v>
      </c>
      <c r="E7" s="54" t="s">
        <v>619</v>
      </c>
      <c r="F7" s="54" t="s">
        <v>620</v>
      </c>
      <c r="G7" s="54" t="s">
        <v>621</v>
      </c>
      <c r="H7" s="55" t="s">
        <v>625</v>
      </c>
    </row>
    <row r="8" spans="2:8">
      <c r="B8" s="8">
        <v>1</v>
      </c>
    </row>
    <row r="9" spans="2:8">
      <c r="B9" s="8">
        <f>+B8+1</f>
        <v>2</v>
      </c>
    </row>
    <row r="10" spans="2:8">
      <c r="B10" s="8">
        <f t="shared" ref="B10:B30" si="0">+B9+1</f>
        <v>3</v>
      </c>
    </row>
    <row r="11" spans="2:8">
      <c r="B11" s="8">
        <f t="shared" si="0"/>
        <v>4</v>
      </c>
    </row>
    <row r="12" spans="2:8">
      <c r="B12" s="8">
        <f t="shared" si="0"/>
        <v>5</v>
      </c>
    </row>
    <row r="13" spans="2:8">
      <c r="B13" s="8">
        <f t="shared" si="0"/>
        <v>6</v>
      </c>
    </row>
    <row r="14" spans="2:8">
      <c r="B14" s="8">
        <f t="shared" si="0"/>
        <v>7</v>
      </c>
    </row>
    <row r="15" spans="2:8">
      <c r="B15" s="8">
        <f t="shared" si="0"/>
        <v>8</v>
      </c>
    </row>
    <row r="16" spans="2:8">
      <c r="B16" s="8">
        <f t="shared" si="0"/>
        <v>9</v>
      </c>
    </row>
    <row r="17" spans="2:8">
      <c r="B17" s="8">
        <f t="shared" si="0"/>
        <v>10</v>
      </c>
    </row>
    <row r="19" spans="2:8" ht="13.5">
      <c r="B19" s="56" t="s">
        <v>622</v>
      </c>
    </row>
    <row r="20" spans="2:8">
      <c r="B20" s="48" t="s">
        <v>446</v>
      </c>
      <c r="C20" s="54" t="s">
        <v>618</v>
      </c>
      <c r="D20" s="54" t="s">
        <v>624</v>
      </c>
      <c r="E20" s="54" t="s">
        <v>619</v>
      </c>
      <c r="F20" s="54" t="s">
        <v>620</v>
      </c>
      <c r="G20" s="54" t="s">
        <v>621</v>
      </c>
      <c r="H20" s="55" t="s">
        <v>581</v>
      </c>
    </row>
    <row r="21" spans="2:8">
      <c r="B21" s="8">
        <v>1</v>
      </c>
    </row>
    <row r="22" spans="2:8">
      <c r="B22" s="8">
        <f t="shared" si="0"/>
        <v>2</v>
      </c>
    </row>
    <row r="23" spans="2:8">
      <c r="B23" s="8">
        <f t="shared" si="0"/>
        <v>3</v>
      </c>
    </row>
    <row r="24" spans="2:8">
      <c r="B24" s="8">
        <f t="shared" si="0"/>
        <v>4</v>
      </c>
    </row>
    <row r="25" spans="2:8">
      <c r="B25" s="8">
        <f t="shared" si="0"/>
        <v>5</v>
      </c>
    </row>
    <row r="26" spans="2:8">
      <c r="B26" s="8">
        <f t="shared" si="0"/>
        <v>6</v>
      </c>
    </row>
    <row r="27" spans="2:8">
      <c r="B27" s="8">
        <f t="shared" si="0"/>
        <v>7</v>
      </c>
    </row>
    <row r="28" spans="2:8">
      <c r="B28" s="8">
        <f t="shared" si="0"/>
        <v>8</v>
      </c>
    </row>
    <row r="29" spans="2:8">
      <c r="B29" s="8">
        <f t="shared" si="0"/>
        <v>9</v>
      </c>
    </row>
    <row r="30" spans="2:8">
      <c r="B30" s="8">
        <f t="shared" si="0"/>
        <v>10</v>
      </c>
    </row>
  </sheetData>
  <conditionalFormatting sqref="B3:G3">
    <cfRule type="cellIs" dxfId="417" priority="2" stopIfTrue="1" operator="equal">
      <formula>"input"</formula>
    </cfRule>
  </conditionalFormatting>
  <conditionalFormatting sqref="H3">
    <cfRule type="cellIs" dxfId="416"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0">
    <tabColor rgb="FFFF0000"/>
  </sheetPr>
  <dimension ref="B1:I90"/>
  <sheetViews>
    <sheetView showGridLines="0" view="pageBreakPreview" zoomScaleNormal="145" zoomScaleSheetLayoutView="100" workbookViewId="0"/>
  </sheetViews>
  <sheetFormatPr defaultRowHeight="12.75"/>
  <cols>
    <col min="1" max="1" width="4.5" style="221" customWidth="1"/>
    <col min="2" max="2" width="23.1640625" style="221" customWidth="1"/>
    <col min="3" max="3" width="89.6640625" style="221" customWidth="1"/>
    <col min="4" max="4" width="15.1640625" style="222" customWidth="1"/>
    <col min="5" max="5" width="30.83203125" style="221" customWidth="1"/>
    <col min="6" max="6" width="4.5" style="221" customWidth="1"/>
    <col min="7" max="8" width="2.83203125" style="221" customWidth="1"/>
    <col min="9" max="9" width="13.33203125" style="221" customWidth="1"/>
    <col min="10" max="16384" width="9.33203125" style="221"/>
  </cols>
  <sheetData>
    <row r="1" spans="2:9" ht="10.7" customHeight="1" thickBot="1"/>
    <row r="2" spans="2:9" ht="16.5" customHeight="1" thickTop="1">
      <c r="B2" s="223" t="str">
        <f>'MASTER PubCo Inputs'!$C$5</f>
        <v>Trucode Gene Repair, Inc.</v>
      </c>
      <c r="C2" s="223"/>
      <c r="D2" s="224"/>
      <c r="E2" s="223"/>
      <c r="I2" s="228" t="s">
        <v>647</v>
      </c>
    </row>
    <row r="3" spans="2:9" ht="16.5" customHeight="1" thickBot="1">
      <c r="B3" s="225" t="s">
        <v>1755</v>
      </c>
      <c r="C3" s="225"/>
      <c r="D3" s="226"/>
      <c r="E3" s="225"/>
      <c r="I3" s="1521" t="s">
        <v>110</v>
      </c>
    </row>
    <row r="4" spans="2:9" ht="12.75" customHeight="1" thickTop="1"/>
    <row r="5" spans="2:9" ht="12.75" customHeight="1"/>
    <row r="6" spans="2:9" ht="12.75" customHeight="1">
      <c r="B6" s="1522" t="s">
        <v>618</v>
      </c>
      <c r="C6" s="1523" t="s">
        <v>1755</v>
      </c>
      <c r="D6" s="1523" t="s">
        <v>110</v>
      </c>
      <c r="E6" s="1524" t="s">
        <v>1754</v>
      </c>
    </row>
    <row r="7" spans="2:9" ht="12.75" customHeight="1">
      <c r="B7" s="229"/>
      <c r="C7" s="229"/>
      <c r="D7" s="227"/>
      <c r="E7" s="228"/>
    </row>
    <row r="8" spans="2:9">
      <c r="B8" s="1525" t="s">
        <v>152</v>
      </c>
      <c r="C8" s="230" t="s">
        <v>1756</v>
      </c>
      <c r="D8" s="1526" t="str">
        <f>IF(PWERM!J96=$I$3,"Check","")</f>
        <v/>
      </c>
    </row>
    <row r="9" spans="2:9">
      <c r="B9" s="230"/>
      <c r="C9" s="230"/>
      <c r="D9" s="1526"/>
    </row>
    <row r="10" spans="2:9">
      <c r="B10" s="1525" t="s">
        <v>1794</v>
      </c>
      <c r="C10" s="230" t="s">
        <v>1795</v>
      </c>
      <c r="D10" s="1526" t="str">
        <f>IF('PWERM Waterfall n Alloation'!S122=Checklist!$I$3,"Check","")</f>
        <v/>
      </c>
    </row>
    <row r="11" spans="2:9">
      <c r="B11" s="230"/>
      <c r="C11" s="230"/>
      <c r="D11" s="1526"/>
    </row>
    <row r="12" spans="2:9">
      <c r="B12" s="1525" t="s">
        <v>1758</v>
      </c>
      <c r="C12" s="230" t="s">
        <v>1762</v>
      </c>
      <c r="D12" s="1526" t="str">
        <f>IF('Hist BS'!E64=Checklist!$I$3,"Check","")</f>
        <v/>
      </c>
    </row>
    <row r="13" spans="2:9">
      <c r="B13" s="230"/>
      <c r="C13" s="230"/>
      <c r="D13" s="1526"/>
    </row>
    <row r="14" spans="2:9">
      <c r="B14" s="1525" t="s">
        <v>1763</v>
      </c>
      <c r="C14" s="230" t="s">
        <v>1769</v>
      </c>
      <c r="D14" s="1526" t="str">
        <f>IF('Beta Calc'!AA8=Checklist!$I$3,"Check","")</f>
        <v/>
      </c>
    </row>
    <row r="15" spans="2:9">
      <c r="B15" s="230"/>
      <c r="C15" s="230"/>
      <c r="D15" s="1526"/>
    </row>
    <row r="16" spans="2:9">
      <c r="B16" s="1525" t="s">
        <v>4241</v>
      </c>
      <c r="C16" s="230" t="s">
        <v>1765</v>
      </c>
      <c r="D16" s="1526" t="str">
        <f>IF('Asset Vol_PWERM'!AB42=Checklist!$I$3,"Check","")</f>
        <v>Check</v>
      </c>
    </row>
    <row r="17" spans="2:4">
      <c r="B17" s="1525"/>
      <c r="C17" s="230"/>
      <c r="D17" s="1526"/>
    </row>
    <row r="18" spans="2:4">
      <c r="B18" s="1525" t="s">
        <v>4248</v>
      </c>
      <c r="C18" s="230" t="s">
        <v>1798</v>
      </c>
      <c r="D18" s="1526" t="str">
        <f>IF('Asset Vol_IPO Phase I'!AB43=Checklist!$I$3,"Check","")</f>
        <v/>
      </c>
    </row>
    <row r="19" spans="2:4">
      <c r="B19" s="1525"/>
      <c r="C19" s="230"/>
      <c r="D19" s="1526"/>
    </row>
    <row r="20" spans="2:4">
      <c r="B20" s="1525" t="s">
        <v>4249</v>
      </c>
      <c r="C20" s="230" t="s">
        <v>1799</v>
      </c>
      <c r="D20" s="1526" t="str">
        <f>IF('Asset Vol_IPO Phase II'!AB43=Checklist!$I$3,"Check","")</f>
        <v/>
      </c>
    </row>
    <row r="21" spans="2:4">
      <c r="B21" s="1525"/>
      <c r="C21" s="230"/>
      <c r="D21" s="1526"/>
    </row>
    <row r="22" spans="2:4">
      <c r="B22" s="1525" t="s">
        <v>4247</v>
      </c>
      <c r="C22" s="230" t="s">
        <v>1800</v>
      </c>
      <c r="D22" s="1526" t="str">
        <f>IF('Asset Vol_M&amp;A Phase I'!AB43=Checklist!$I$3,"Check","")</f>
        <v/>
      </c>
    </row>
    <row r="23" spans="2:4">
      <c r="B23" s="1525"/>
      <c r="C23" s="230"/>
      <c r="D23" s="1526"/>
    </row>
    <row r="24" spans="2:4">
      <c r="B24" s="1525" t="s">
        <v>4250</v>
      </c>
      <c r="C24" s="230" t="s">
        <v>1801</v>
      </c>
      <c r="D24" s="1526" t="str">
        <f>IF('Asset Vol_M&amp;A Phase II'!AB43=Checklist!$I$3,"Check","")</f>
        <v/>
      </c>
    </row>
    <row r="25" spans="2:4">
      <c r="B25" s="230"/>
      <c r="C25" s="230"/>
      <c r="D25" s="1526"/>
    </row>
    <row r="26" spans="2:4">
      <c r="B26" s="1525" t="s">
        <v>1833</v>
      </c>
      <c r="C26" s="230" t="s">
        <v>1834</v>
      </c>
      <c r="D26" s="1526" t="str">
        <f>IF('Val Summ'!M12=Checklist!$I$3,"Check","")</f>
        <v/>
      </c>
    </row>
    <row r="27" spans="2:4">
      <c r="B27" s="230"/>
      <c r="C27" s="230"/>
      <c r="D27" s="1526"/>
    </row>
    <row r="28" spans="2:4">
      <c r="B28" s="1525" t="s">
        <v>1781</v>
      </c>
      <c r="C28" s="230" t="s">
        <v>1976</v>
      </c>
      <c r="D28" s="1526" t="str">
        <f>IF('Class Vol'!Y4=Checklist!$I$3,"Check","")</f>
        <v/>
      </c>
    </row>
    <row r="29" spans="2:4">
      <c r="B29" s="230"/>
      <c r="C29" s="230"/>
      <c r="D29" s="1526"/>
    </row>
    <row r="30" spans="2:4">
      <c r="B30" s="1525" t="s">
        <v>1768</v>
      </c>
      <c r="C30" s="230" t="s">
        <v>1768</v>
      </c>
      <c r="D30" s="1526" t="e">
        <f ca="1">IF('Val Summ'!O3=Checklist!$I$3,"Check","")</f>
        <v>#NAME?</v>
      </c>
    </row>
    <row r="31" spans="2:4">
      <c r="B31" s="230"/>
      <c r="C31" s="230"/>
      <c r="D31" s="1526"/>
    </row>
    <row r="32" spans="2:4">
      <c r="B32" s="230"/>
      <c r="C32" s="230"/>
      <c r="D32" s="1526"/>
    </row>
    <row r="33" spans="2:4">
      <c r="B33" s="230"/>
      <c r="C33" s="230"/>
      <c r="D33" s="1526"/>
    </row>
    <row r="34" spans="2:4">
      <c r="B34" s="230"/>
      <c r="C34" s="230"/>
      <c r="D34" s="1526"/>
    </row>
    <row r="35" spans="2:4">
      <c r="B35" s="1525" t="s">
        <v>1370</v>
      </c>
      <c r="C35" s="230" t="s">
        <v>1777</v>
      </c>
      <c r="D35" s="1526" t="str">
        <f>IF('OPM 2'!D22=Checklist!$I$3,"Check","")</f>
        <v/>
      </c>
    </row>
    <row r="36" spans="2:4">
      <c r="B36" s="1525"/>
      <c r="C36" s="230"/>
      <c r="D36" s="1526"/>
    </row>
    <row r="37" spans="2:4">
      <c r="B37" s="1525" t="s">
        <v>1370</v>
      </c>
      <c r="C37" s="230" t="s">
        <v>1978</v>
      </c>
      <c r="D37" s="1526" t="str">
        <f>IF('OPM 2'!Q6=Checklist!$I$3,"Check","")</f>
        <v/>
      </c>
    </row>
    <row r="38" spans="2:4">
      <c r="B38" s="1525"/>
      <c r="C38" s="230"/>
      <c r="D38" s="1526"/>
    </row>
    <row r="39" spans="2:4">
      <c r="B39" s="230"/>
      <c r="C39" s="230"/>
      <c r="D39" s="1526"/>
    </row>
    <row r="40" spans="2:4">
      <c r="B40" s="1525" t="s">
        <v>1796</v>
      </c>
      <c r="C40" s="230" t="s">
        <v>1797</v>
      </c>
      <c r="D40" s="1526" t="str">
        <f>IF('Asset Vol_DLOM'!AB42=Checklist!$I$3,"Check","")</f>
        <v/>
      </c>
    </row>
    <row r="41" spans="2:4">
      <c r="B41" s="230"/>
      <c r="C41" s="230"/>
      <c r="D41" s="1526"/>
    </row>
    <row r="42" spans="2:4">
      <c r="B42" s="1525" t="s">
        <v>1766</v>
      </c>
      <c r="C42" s="230" t="s">
        <v>1767</v>
      </c>
      <c r="D42" s="1526" t="str">
        <f>IF('Asset Vol Hybrid'!AB43=Checklist!$I$3,"Check","")</f>
        <v/>
      </c>
    </row>
    <row r="43" spans="2:4">
      <c r="B43" s="1525"/>
      <c r="C43" s="230"/>
      <c r="D43" s="1526"/>
    </row>
    <row r="44" spans="2:4">
      <c r="B44" s="1525" t="s">
        <v>1708</v>
      </c>
      <c r="C44" s="230" t="s">
        <v>1979</v>
      </c>
      <c r="D44" s="1526" t="str">
        <f>IF('Hybrid OPM'!J21=Checklist!$I$3,"Check","")</f>
        <v/>
      </c>
    </row>
    <row r="45" spans="2:4">
      <c r="B45" s="230"/>
      <c r="C45" s="230"/>
      <c r="D45" s="1526"/>
    </row>
    <row r="46" spans="2:4">
      <c r="B46" s="230"/>
      <c r="C46" s="230"/>
      <c r="D46" s="1526"/>
    </row>
    <row r="47" spans="2:4">
      <c r="B47" s="230"/>
      <c r="C47" s="230"/>
      <c r="D47" s="1526"/>
    </row>
    <row r="48" spans="2:4">
      <c r="B48" s="230"/>
      <c r="C48" s="230"/>
      <c r="D48" s="1526"/>
    </row>
    <row r="49" spans="2:4">
      <c r="B49" s="230"/>
      <c r="C49" s="230"/>
      <c r="D49" s="1526"/>
    </row>
    <row r="50" spans="2:4">
      <c r="B50" s="230"/>
      <c r="C50" s="230"/>
      <c r="D50" s="1526"/>
    </row>
    <row r="51" spans="2:4">
      <c r="B51" s="230"/>
      <c r="C51" s="230"/>
      <c r="D51" s="1526"/>
    </row>
    <row r="52" spans="2:4">
      <c r="B52" s="230"/>
      <c r="C52" s="230"/>
      <c r="D52" s="1526"/>
    </row>
    <row r="53" spans="2:4">
      <c r="B53" s="230"/>
      <c r="C53" s="230"/>
      <c r="D53" s="1526"/>
    </row>
    <row r="54" spans="2:4">
      <c r="B54" s="230"/>
      <c r="C54" s="230"/>
      <c r="D54" s="1526"/>
    </row>
    <row r="55" spans="2:4">
      <c r="B55" s="230"/>
      <c r="C55" s="230"/>
      <c r="D55" s="1526"/>
    </row>
    <row r="56" spans="2:4">
      <c r="B56" s="230"/>
      <c r="C56" s="230"/>
      <c r="D56" s="1526"/>
    </row>
    <row r="57" spans="2:4">
      <c r="B57" s="230"/>
      <c r="C57" s="230"/>
      <c r="D57" s="1526"/>
    </row>
    <row r="58" spans="2:4">
      <c r="B58" s="230"/>
      <c r="C58" s="230"/>
      <c r="D58" s="1526"/>
    </row>
    <row r="59" spans="2:4">
      <c r="B59" s="230"/>
      <c r="C59" s="230"/>
      <c r="D59" s="1526"/>
    </row>
    <row r="60" spans="2:4">
      <c r="B60" s="230"/>
      <c r="C60" s="230"/>
      <c r="D60" s="1526"/>
    </row>
    <row r="61" spans="2:4">
      <c r="B61" s="230"/>
      <c r="C61" s="230"/>
      <c r="D61" s="1526"/>
    </row>
    <row r="62" spans="2:4">
      <c r="B62" s="230"/>
      <c r="C62" s="230"/>
      <c r="D62" s="1526"/>
    </row>
    <row r="63" spans="2:4">
      <c r="B63" s="230"/>
      <c r="C63" s="230"/>
      <c r="D63" s="1526"/>
    </row>
    <row r="64" spans="2:4">
      <c r="B64" s="230"/>
      <c r="C64" s="230"/>
      <c r="D64" s="1526"/>
    </row>
    <row r="65" spans="2:4">
      <c r="B65" s="230"/>
      <c r="C65" s="230"/>
      <c r="D65" s="1526"/>
    </row>
    <row r="66" spans="2:4">
      <c r="B66" s="230"/>
      <c r="C66" s="230"/>
      <c r="D66" s="1526"/>
    </row>
    <row r="67" spans="2:4">
      <c r="B67" s="230"/>
      <c r="C67" s="230"/>
      <c r="D67" s="1526"/>
    </row>
    <row r="68" spans="2:4">
      <c r="B68" s="230"/>
      <c r="C68" s="230"/>
      <c r="D68" s="1526"/>
    </row>
    <row r="69" spans="2:4">
      <c r="B69" s="230"/>
      <c r="C69" s="230"/>
      <c r="D69" s="1526"/>
    </row>
    <row r="70" spans="2:4">
      <c r="B70" s="230"/>
      <c r="C70" s="230"/>
      <c r="D70" s="1526"/>
    </row>
    <row r="71" spans="2:4">
      <c r="B71" s="230"/>
      <c r="C71" s="230"/>
      <c r="D71" s="1526"/>
    </row>
    <row r="72" spans="2:4">
      <c r="B72" s="230"/>
      <c r="C72" s="230"/>
      <c r="D72" s="1526"/>
    </row>
    <row r="73" spans="2:4">
      <c r="B73" s="230"/>
      <c r="C73" s="230"/>
      <c r="D73" s="1526"/>
    </row>
    <row r="74" spans="2:4">
      <c r="B74" s="230"/>
      <c r="C74" s="230"/>
      <c r="D74" s="1526"/>
    </row>
    <row r="75" spans="2:4">
      <c r="B75" s="230"/>
      <c r="C75" s="230"/>
      <c r="D75" s="1526"/>
    </row>
    <row r="76" spans="2:4">
      <c r="B76" s="230"/>
      <c r="C76" s="230"/>
      <c r="D76" s="1526"/>
    </row>
    <row r="77" spans="2:4">
      <c r="B77" s="230"/>
      <c r="C77" s="230"/>
      <c r="D77" s="1526"/>
    </row>
    <row r="78" spans="2:4">
      <c r="B78" s="230"/>
      <c r="C78" s="230"/>
      <c r="D78" s="1526"/>
    </row>
    <row r="79" spans="2:4">
      <c r="B79" s="230"/>
      <c r="C79" s="230"/>
      <c r="D79" s="1526"/>
    </row>
    <row r="80" spans="2:4">
      <c r="B80" s="230"/>
      <c r="C80" s="230"/>
      <c r="D80" s="1526"/>
    </row>
    <row r="81" spans="2:4">
      <c r="B81" s="230"/>
      <c r="C81" s="230"/>
      <c r="D81" s="1526"/>
    </row>
    <row r="82" spans="2:4">
      <c r="B82" s="230"/>
      <c r="C82" s="230"/>
      <c r="D82" s="1526"/>
    </row>
    <row r="83" spans="2:4">
      <c r="B83" s="230"/>
      <c r="C83" s="230"/>
      <c r="D83" s="1526"/>
    </row>
    <row r="84" spans="2:4">
      <c r="B84" s="230"/>
      <c r="C84" s="230"/>
      <c r="D84" s="1526"/>
    </row>
    <row r="85" spans="2:4">
      <c r="B85" s="230"/>
      <c r="C85" s="230"/>
      <c r="D85" s="1526"/>
    </row>
    <row r="86" spans="2:4">
      <c r="B86" s="230"/>
      <c r="C86" s="230"/>
      <c r="D86" s="1526"/>
    </row>
    <row r="87" spans="2:4">
      <c r="B87" s="230"/>
      <c r="C87" s="230"/>
      <c r="D87" s="231"/>
    </row>
    <row r="88" spans="2:4">
      <c r="B88" s="230"/>
      <c r="C88" s="230"/>
      <c r="D88" s="231"/>
    </row>
    <row r="89" spans="2:4">
      <c r="B89" s="230"/>
      <c r="C89" s="230"/>
      <c r="D89" s="231"/>
    </row>
    <row r="90" spans="2:4">
      <c r="B90" s="230"/>
      <c r="C90" s="230"/>
      <c r="D90" s="231"/>
    </row>
  </sheetData>
  <conditionalFormatting sqref="B3:E3">
    <cfRule type="cellIs" dxfId="415" priority="45" stopIfTrue="1" operator="equal">
      <formula>"input"</formula>
    </cfRule>
  </conditionalFormatting>
  <conditionalFormatting sqref="B46:C90 D46:D86 B7:C11 B30:D38 B39:C39 D39:D40 D8:D11 B12:D25 B40:D45">
    <cfRule type="expression" dxfId="414" priority="44">
      <formula>OR($B7="Exhibits",$B7="Workpapers")</formula>
    </cfRule>
  </conditionalFormatting>
  <conditionalFormatting sqref="D7 D87:D90">
    <cfRule type="expression" dxfId="413" priority="43">
      <formula>$B7=""</formula>
    </cfRule>
  </conditionalFormatting>
  <conditionalFormatting sqref="D8:D25 D30:D70">
    <cfRule type="notContainsBlanks" dxfId="412" priority="29">
      <formula>LEN(TRIM(D8))&gt;0</formula>
    </cfRule>
  </conditionalFormatting>
  <conditionalFormatting sqref="D12">
    <cfRule type="expression" dxfId="411" priority="28">
      <formula>OR($B12="Exhibits",$B12="Workpapers")</formula>
    </cfRule>
  </conditionalFormatting>
  <conditionalFormatting sqref="D14">
    <cfRule type="expression" dxfId="410" priority="27">
      <formula>OR($B14="Exhibits",$B14="Workpapers")</formula>
    </cfRule>
  </conditionalFormatting>
  <conditionalFormatting sqref="D30">
    <cfRule type="expression" dxfId="409" priority="24">
      <formula>OR($B30="Exhibits",$B30="Workpapers")</formula>
    </cfRule>
  </conditionalFormatting>
  <conditionalFormatting sqref="B26:C27">
    <cfRule type="expression" dxfId="408" priority="23">
      <formula>OR($B26="Exhibits",$B26="Workpapers")</formula>
    </cfRule>
  </conditionalFormatting>
  <conditionalFormatting sqref="D26:D27">
    <cfRule type="expression" dxfId="407" priority="22">
      <formula>OR($B26="Exhibits",$B26="Workpapers")</formula>
    </cfRule>
  </conditionalFormatting>
  <conditionalFormatting sqref="D26:D27">
    <cfRule type="notContainsBlanks" dxfId="406" priority="21">
      <formula>LEN(TRIM(D26))&gt;0</formula>
    </cfRule>
  </conditionalFormatting>
  <conditionalFormatting sqref="D26">
    <cfRule type="expression" dxfId="405" priority="20">
      <formula>OR($B26="Exhibits",$B26="Workpapers")</formula>
    </cfRule>
  </conditionalFormatting>
  <conditionalFormatting sqref="B28:C29">
    <cfRule type="expression" dxfId="404" priority="19">
      <formula>OR($B28="Exhibits",$B28="Workpapers")</formula>
    </cfRule>
  </conditionalFormatting>
  <conditionalFormatting sqref="D28:D29">
    <cfRule type="expression" dxfId="403" priority="18">
      <formula>OR($B28="Exhibits",$B28="Workpapers")</formula>
    </cfRule>
  </conditionalFormatting>
  <conditionalFormatting sqref="D28:D29">
    <cfRule type="notContainsBlanks" dxfId="402" priority="17">
      <formula>LEN(TRIM(D28))&gt;0</formula>
    </cfRule>
  </conditionalFormatting>
  <conditionalFormatting sqref="D28">
    <cfRule type="expression" dxfId="401" priority="16">
      <formula>OR($B28="Exhibits",$B28="Workpapers")</formula>
    </cfRule>
  </conditionalFormatting>
  <conditionalFormatting sqref="D37:D38">
    <cfRule type="notContainsBlanks" dxfId="400" priority="5">
      <formula>LEN(TRIM(D37))&gt;0</formula>
    </cfRule>
  </conditionalFormatting>
  <conditionalFormatting sqref="D44:D45">
    <cfRule type="notContainsBlanks" dxfId="399" priority="2">
      <formula>LEN(TRIM(D44))&gt;0</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1"/>
  </sheetPr>
  <dimension ref="A1"/>
  <sheetViews>
    <sheetView workbookViewId="0"/>
  </sheetViews>
  <sheetFormatPr defaultRowHeight="12.75"/>
  <cols>
    <col min="1" max="16384" width="9.33203125" style="8"/>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fitToPage="1"/>
  </sheetPr>
  <dimension ref="B5:J31"/>
  <sheetViews>
    <sheetView showGridLines="0" view="pageBreakPreview" topLeftCell="A19" zoomScaleNormal="100" zoomScaleSheetLayoutView="100" workbookViewId="0"/>
  </sheetViews>
  <sheetFormatPr defaultColWidth="9.33203125" defaultRowHeight="14.25"/>
  <cols>
    <col min="1" max="1" width="4.5" style="195" customWidth="1"/>
    <col min="2" max="2" width="3.83203125" style="195" customWidth="1"/>
    <col min="3" max="3" width="15.83203125" style="195" customWidth="1"/>
    <col min="4" max="4" width="137" style="214" customWidth="1"/>
    <col min="5" max="5" width="15.83203125" style="195" customWidth="1"/>
    <col min="6" max="6" width="3.83203125" style="195" customWidth="1"/>
    <col min="7" max="7" width="4.5" style="195" customWidth="1"/>
    <col min="8" max="8" width="9.33203125" style="195"/>
    <col min="9" max="9" width="22.33203125" style="195" bestFit="1" customWidth="1"/>
    <col min="10" max="10" width="19" style="195" bestFit="1" customWidth="1"/>
    <col min="11" max="16384" width="9.33203125" style="195"/>
  </cols>
  <sheetData>
    <row r="5" spans="2:9">
      <c r="D5"/>
    </row>
    <row r="6" spans="2:9">
      <c r="C6" s="196"/>
      <c r="D6" s="197"/>
      <c r="E6" s="196"/>
      <c r="F6" s="196"/>
    </row>
    <row r="7" spans="2:9" ht="15" thickBot="1">
      <c r="C7" s="196"/>
      <c r="D7" s="197"/>
      <c r="E7" s="196"/>
      <c r="F7" s="196"/>
    </row>
    <row r="8" spans="2:9" ht="15" thickTop="1">
      <c r="B8" s="198"/>
      <c r="C8" s="199"/>
      <c r="D8" s="200"/>
      <c r="E8" s="199"/>
      <c r="F8" s="199"/>
    </row>
    <row r="9" spans="2:9" s="204" customFormat="1" ht="39.75">
      <c r="B9" s="201"/>
      <c r="C9" s="202"/>
      <c r="D9" s="202" t="str">
        <f>+'MASTER PubCo Inputs'!C8</f>
        <v>IRC 409A and ASC 718 Common Stock Independent Appraisal</v>
      </c>
      <c r="E9" s="203"/>
      <c r="F9" s="203"/>
      <c r="I9" s="205" t="str">
        <f ca="1">IF(COUNTIF(Checklist!D8:D30,"Check")&gt;0,"Check","")</f>
        <v>Check</v>
      </c>
    </row>
    <row r="10" spans="2:9">
      <c r="B10" s="206"/>
      <c r="C10" s="207"/>
      <c r="D10" s="208"/>
      <c r="E10" s="207"/>
      <c r="F10" s="207"/>
    </row>
    <row r="11" spans="2:9" ht="23.25">
      <c r="B11" s="206"/>
      <c r="C11" s="207"/>
      <c r="D11" s="209" t="s">
        <v>448</v>
      </c>
      <c r="E11" s="207"/>
      <c r="F11" s="207"/>
    </row>
    <row r="12" spans="2:9" ht="19.5">
      <c r="B12" s="206"/>
      <c r="C12" s="207"/>
      <c r="D12" s="210" t="s">
        <v>449</v>
      </c>
      <c r="E12" s="207"/>
      <c r="F12" s="207"/>
    </row>
    <row r="13" spans="2:9" ht="23.25">
      <c r="B13" s="206"/>
      <c r="C13" s="207"/>
      <c r="D13" s="209" t="str">
        <f>IF('MASTER PubCo Inputs'!C5="","",'MASTER PubCo Inputs'!C5)</f>
        <v>Trucode Gene Repair, Inc.</v>
      </c>
      <c r="E13" s="207"/>
      <c r="F13" s="207"/>
    </row>
    <row r="14" spans="2:9">
      <c r="B14" s="206"/>
      <c r="C14" s="207"/>
      <c r="D14" s="208"/>
      <c r="E14" s="207"/>
      <c r="F14" s="207"/>
    </row>
    <row r="15" spans="2:9" ht="23.25">
      <c r="B15" s="206"/>
      <c r="C15" s="207"/>
      <c r="D15" s="209" t="str">
        <f>"Valuation Date as of "&amp;TEXT('MASTER PubCo Inputs'!$C$6,"mmmm d, yyyy")&amp;""</f>
        <v>Valuation Date as of January 31, 2019</v>
      </c>
      <c r="E15" s="207"/>
      <c r="F15" s="207"/>
    </row>
    <row r="16" spans="2:9" ht="15" thickBot="1">
      <c r="B16" s="211"/>
      <c r="C16" s="212"/>
      <c r="D16" s="213"/>
      <c r="E16" s="212"/>
      <c r="F16" s="212"/>
    </row>
    <row r="17" spans="4:10" ht="15" thickTop="1"/>
    <row r="19" spans="4:10" ht="18">
      <c r="D19" s="215" t="s">
        <v>450</v>
      </c>
    </row>
    <row r="20" spans="4:10" ht="18">
      <c r="D20" s="216" t="str">
        <f ca="1">TEXT(J20,"mmmm d, yyyy")</f>
        <v>March 13, 2019</v>
      </c>
      <c r="I20" s="195" t="s">
        <v>452</v>
      </c>
      <c r="J20" s="217">
        <f ca="1">TODAY()</f>
        <v>43537</v>
      </c>
    </row>
    <row r="21" spans="4:10" ht="18">
      <c r="D21" s="216"/>
      <c r="J21" s="217"/>
    </row>
    <row r="22" spans="4:10" ht="18">
      <c r="D22" s="216"/>
      <c r="J22" s="217"/>
    </row>
    <row r="23" spans="4:10" ht="18">
      <c r="D23" s="216"/>
      <c r="J23" s="217"/>
    </row>
    <row r="28" spans="4:10" ht="23.25">
      <c r="D28" s="218"/>
    </row>
    <row r="30" spans="4:10" ht="18">
      <c r="D30" s="219"/>
    </row>
    <row r="31" spans="4:10" ht="36">
      <c r="D31" s="220" t="s">
        <v>451</v>
      </c>
    </row>
  </sheetData>
  <pageMargins left="0.5" right="0.5" top="0.5" bottom="0.5" header="0.5" footer="0.5"/>
  <pageSetup scale="83"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L59"/>
  <sheetViews>
    <sheetView showGridLines="0" view="pageBreakPreview" topLeftCell="A25" zoomScale="85" zoomScaleNormal="145" zoomScaleSheetLayoutView="85" workbookViewId="0">
      <selection activeCell="E44" sqref="E44"/>
    </sheetView>
  </sheetViews>
  <sheetFormatPr defaultRowHeight="14.25" outlineLevelCol="1"/>
  <cols>
    <col min="1" max="1" width="4.5" style="234" customWidth="1"/>
    <col min="2" max="2" width="20.83203125" style="234" customWidth="1"/>
    <col min="3" max="4" width="14.83203125" style="234" customWidth="1"/>
    <col min="5" max="5" width="80" style="245" customWidth="1"/>
    <col min="6" max="6" width="30.83203125" style="234" customWidth="1"/>
    <col min="7" max="7" width="20.83203125" style="245" hidden="1" customWidth="1" outlineLevel="1"/>
    <col min="8" max="8" width="4.5" style="234" customWidth="1" collapsed="1"/>
    <col min="9" max="10" width="2.83203125" style="234" customWidth="1"/>
    <col min="11" max="11" width="3.33203125" style="234" customWidth="1"/>
    <col min="12" max="16384" width="9.33203125" style="234"/>
  </cols>
  <sheetData>
    <row r="1" spans="2:12" ht="10.7" customHeight="1" thickBot="1"/>
    <row r="2" spans="2:12" ht="16.5" customHeight="1" thickTop="1">
      <c r="B2" s="223" t="str">
        <f>'MASTER PubCo Inputs'!$C$5</f>
        <v>Trucode Gene Repair, Inc.</v>
      </c>
      <c r="C2" s="223"/>
      <c r="D2" s="223"/>
      <c r="E2" s="224"/>
      <c r="F2" s="223"/>
      <c r="G2" s="1004"/>
    </row>
    <row r="3" spans="2:12" ht="16.5" customHeight="1" thickBot="1">
      <c r="B3" s="225" t="s">
        <v>611</v>
      </c>
      <c r="C3" s="225"/>
      <c r="D3" s="225"/>
      <c r="E3" s="226"/>
      <c r="F3" s="225"/>
      <c r="G3" s="1005"/>
    </row>
    <row r="4" spans="2:12" ht="12.75" customHeight="1" thickTop="1"/>
    <row r="5" spans="2:12" ht="12.75" customHeight="1"/>
    <row r="6" spans="2:12" ht="12.75" customHeight="1">
      <c r="B6" s="383" t="s">
        <v>612</v>
      </c>
      <c r="C6" s="255"/>
      <c r="D6" s="255"/>
      <c r="E6" s="383" t="s">
        <v>672</v>
      </c>
      <c r="F6" s="255"/>
      <c r="G6" s="383"/>
    </row>
    <row r="7" spans="2:12" ht="12.75" customHeight="1">
      <c r="B7" s="1006"/>
      <c r="C7" s="255"/>
      <c r="D7" s="255"/>
      <c r="E7" s="383"/>
      <c r="F7" s="255"/>
      <c r="G7" s="383"/>
    </row>
    <row r="8" spans="2:12">
      <c r="B8" s="620" t="str">
        <f>K8&amp;"."&amp;L8</f>
        <v>A.1</v>
      </c>
      <c r="E8" s="266" t="str">
        <f>'Val Summ'!B4</f>
        <v>Valuation Summary</v>
      </c>
      <c r="G8" s="245" t="str">
        <f>"Exhibit "&amp;B8</f>
        <v>Exhibit A.1</v>
      </c>
      <c r="J8" s="234">
        <v>65</v>
      </c>
      <c r="K8" s="234" t="str">
        <f>CHAR(J8)</f>
        <v>A</v>
      </c>
      <c r="L8" s="234">
        <v>1</v>
      </c>
    </row>
    <row r="9" spans="2:12">
      <c r="B9" s="620"/>
      <c r="E9" s="266"/>
      <c r="G9" s="245" t="str">
        <f t="shared" ref="G9:G37" si="0">"Exhibit "&amp;B9</f>
        <v xml:space="preserve">Exhibit </v>
      </c>
    </row>
    <row r="10" spans="2:12">
      <c r="B10" s="620"/>
      <c r="E10" s="266" t="str">
        <f>'Allocation Method &gt;&gt;'!D9</f>
        <v>Allocation Methodology</v>
      </c>
      <c r="G10" s="245" t="str">
        <f t="shared" si="0"/>
        <v xml:space="preserve">Exhibit </v>
      </c>
    </row>
    <row r="11" spans="2:12">
      <c r="B11" s="620" t="str">
        <f t="shared" ref="B11:B37" si="1">K11&amp;"."&amp;L11</f>
        <v>B.1</v>
      </c>
      <c r="E11" s="266" t="str">
        <f>PWERM!$B$4</f>
        <v>PWERM Analysis</v>
      </c>
      <c r="G11" s="245" t="str">
        <f t="shared" si="0"/>
        <v>Exhibit B.1</v>
      </c>
      <c r="J11" s="234">
        <f>IF(J10="",J8+1,J10)</f>
        <v>66</v>
      </c>
      <c r="K11" s="234" t="str">
        <f>CHAR(J11)</f>
        <v>B</v>
      </c>
      <c r="L11" s="234">
        <f>IF(L10="",1,L10+1)</f>
        <v>1</v>
      </c>
    </row>
    <row r="12" spans="2:12">
      <c r="B12" s="620" t="str">
        <f t="shared" si="1"/>
        <v>B.2</v>
      </c>
      <c r="E12" s="266" t="str">
        <f>'Exit Probability'!$B$4</f>
        <v>PWERM - Exit Probabilities</v>
      </c>
      <c r="G12" s="245" t="str">
        <f t="shared" si="0"/>
        <v>Exhibit B.2</v>
      </c>
      <c r="J12" s="234">
        <f t="shared" ref="J12:J13" si="2">IF(J11="",J10+1,J11)</f>
        <v>66</v>
      </c>
      <c r="K12" s="234" t="str">
        <f t="shared" ref="K12:K37" si="3">CHAR(J12)</f>
        <v>B</v>
      </c>
      <c r="L12" s="234">
        <f t="shared" ref="L12:L13" si="4">IF(L11="",1,L11+1)</f>
        <v>2</v>
      </c>
    </row>
    <row r="13" spans="2:12">
      <c r="B13" s="620" t="str">
        <f t="shared" si="1"/>
        <v>B.3</v>
      </c>
      <c r="E13" s="266" t="str">
        <f>PoTS!$B$4</f>
        <v>PWERM - Probability of Technical Success</v>
      </c>
      <c r="G13" s="245" t="str">
        <f t="shared" si="0"/>
        <v>Exhibit B.3</v>
      </c>
      <c r="J13" s="234">
        <f t="shared" si="2"/>
        <v>66</v>
      </c>
      <c r="K13" s="234" t="str">
        <f t="shared" si="3"/>
        <v>B</v>
      </c>
      <c r="L13" s="234">
        <f t="shared" si="4"/>
        <v>3</v>
      </c>
    </row>
    <row r="14" spans="2:12">
      <c r="B14" s="620"/>
      <c r="E14" s="266"/>
      <c r="G14" s="245" t="str">
        <f t="shared" si="0"/>
        <v xml:space="preserve">Exhibit </v>
      </c>
    </row>
    <row r="15" spans="2:12">
      <c r="B15" s="620"/>
      <c r="E15" s="266" t="str">
        <f>'FS &gt;&gt;'!$D$9</f>
        <v>Financial Statements</v>
      </c>
      <c r="G15" s="245" t="str">
        <f t="shared" si="0"/>
        <v xml:space="preserve">Exhibit </v>
      </c>
    </row>
    <row r="16" spans="2:12">
      <c r="B16" s="620" t="str">
        <f t="shared" si="1"/>
        <v>C.1</v>
      </c>
      <c r="E16" s="266" t="str">
        <f>'Projected IS'!$B$4</f>
        <v>Projected Income Statement</v>
      </c>
      <c r="G16" s="245" t="str">
        <f t="shared" si="0"/>
        <v>Exhibit C.1</v>
      </c>
      <c r="J16" s="234">
        <f>IF(J15="",J13+1,J15)</f>
        <v>67</v>
      </c>
      <c r="K16" s="234" t="str">
        <f>CHAR(J16)</f>
        <v>C</v>
      </c>
      <c r="L16" s="234">
        <f>IF(L15="",1,L15+1)</f>
        <v>1</v>
      </c>
    </row>
    <row r="17" spans="2:12">
      <c r="B17" s="620" t="str">
        <f t="shared" ref="B17" si="5">K17&amp;"."&amp;L17</f>
        <v>C.2</v>
      </c>
      <c r="E17" s="266" t="str">
        <f>'Hist IS'!$B$4</f>
        <v>Historical Income Statement</v>
      </c>
      <c r="G17" s="245" t="str">
        <f t="shared" ref="G17" si="6">"Exhibit "&amp;B17</f>
        <v>Exhibit C.2</v>
      </c>
      <c r="J17" s="234">
        <f t="shared" ref="J17" si="7">IF(J16="",J15+1,J16)</f>
        <v>67</v>
      </c>
      <c r="K17" s="234" t="str">
        <f t="shared" ref="K17" si="8">CHAR(J17)</f>
        <v>C</v>
      </c>
      <c r="L17" s="234">
        <f t="shared" ref="L17" si="9">IF(L16="",1,L16+1)</f>
        <v>2</v>
      </c>
    </row>
    <row r="18" spans="2:12">
      <c r="B18" s="620" t="str">
        <f t="shared" si="1"/>
        <v>C.3</v>
      </c>
      <c r="E18" s="266" t="str">
        <f>'Hist BS'!$B$4</f>
        <v>Historical Balance Sheet</v>
      </c>
      <c r="G18" s="245" t="str">
        <f t="shared" si="0"/>
        <v>Exhibit C.3</v>
      </c>
      <c r="J18" s="234">
        <f t="shared" ref="J18" si="10">IF(J17="",J15+1,J17)</f>
        <v>67</v>
      </c>
      <c r="K18" s="234" t="str">
        <f t="shared" si="3"/>
        <v>C</v>
      </c>
      <c r="L18" s="234">
        <f t="shared" ref="L18" si="11">IF(L17="",1,L17+1)</f>
        <v>3</v>
      </c>
    </row>
    <row r="19" spans="2:12">
      <c r="B19" s="620"/>
      <c r="E19" s="266"/>
      <c r="G19" s="245" t="str">
        <f t="shared" si="0"/>
        <v xml:space="preserve">Exhibit </v>
      </c>
    </row>
    <row r="20" spans="2:12">
      <c r="B20" s="620"/>
      <c r="E20" s="266" t="str">
        <f>'Discount Rate FP &gt;&gt;'!$D$9</f>
        <v>Discount Rates</v>
      </c>
      <c r="G20" s="245" t="str">
        <f t="shared" si="0"/>
        <v xml:space="preserve">Exhibit </v>
      </c>
    </row>
    <row r="21" spans="2:12">
      <c r="B21" s="620" t="str">
        <f t="shared" si="1"/>
        <v>D.1</v>
      </c>
      <c r="E21" s="266" t="str">
        <f>'WACC PWERM'!$B$4</f>
        <v>Weighted Average Cost of Capital - PWERM-Based</v>
      </c>
      <c r="G21" s="245" t="str">
        <f t="shared" si="0"/>
        <v>Exhibit D.1</v>
      </c>
      <c r="J21" s="234">
        <f>IF(J20="",J18+1,J20)</f>
        <v>68</v>
      </c>
      <c r="K21" s="234" t="str">
        <f>CHAR(J21)</f>
        <v>D</v>
      </c>
      <c r="L21" s="234">
        <f>IF(L20="",1,L20+1)</f>
        <v>1</v>
      </c>
    </row>
    <row r="22" spans="2:12">
      <c r="B22" s="620" t="str">
        <f t="shared" si="1"/>
        <v>D.2</v>
      </c>
      <c r="E22" s="266" t="str">
        <f>'RoR Stage of Dev'!$B$4</f>
        <v xml:space="preserve">Rate of Return By Stage of Development </v>
      </c>
      <c r="G22" s="245" t="str">
        <f t="shared" si="0"/>
        <v>Exhibit D.2</v>
      </c>
      <c r="J22" s="234">
        <f t="shared" ref="J22" si="12">IF(J21="",J20+1,J21)</f>
        <v>68</v>
      </c>
      <c r="K22" s="234" t="str">
        <f t="shared" ref="K22" si="13">CHAR(J22)</f>
        <v>D</v>
      </c>
      <c r="L22" s="234">
        <f t="shared" ref="L22" si="14">IF(L21="",1,L21+1)</f>
        <v>2</v>
      </c>
    </row>
    <row r="23" spans="2:12">
      <c r="B23" s="620"/>
      <c r="E23" s="266"/>
      <c r="G23" s="245" t="str">
        <f t="shared" si="0"/>
        <v xml:space="preserve">Exhibit </v>
      </c>
    </row>
    <row r="24" spans="2:12">
      <c r="B24" s="620"/>
      <c r="E24" s="266" t="str">
        <f>'GCM FP &gt;&gt;'!$D$9</f>
        <v>Guideline Comparables Analysis</v>
      </c>
      <c r="G24" s="245" t="str">
        <f t="shared" si="0"/>
        <v xml:space="preserve">Exhibit </v>
      </c>
    </row>
    <row r="25" spans="2:12">
      <c r="B25" s="620" t="str">
        <f t="shared" si="1"/>
        <v>E.1</v>
      </c>
      <c r="E25" s="266" t="str">
        <f>'Comp.1'!$B$4</f>
        <v>Guideline Public Companies' Revenue Multiples</v>
      </c>
      <c r="G25" s="245" t="str">
        <f t="shared" si="0"/>
        <v>Exhibit E.1</v>
      </c>
      <c r="J25" s="234">
        <f>IF(J24="",J22+1,J24)</f>
        <v>69</v>
      </c>
      <c r="K25" s="234" t="str">
        <f>CHAR(J25)</f>
        <v>E</v>
      </c>
      <c r="L25" s="234">
        <f>IF(L24="",1,L24+1)</f>
        <v>1</v>
      </c>
    </row>
    <row r="26" spans="2:12">
      <c r="B26" s="620" t="str">
        <f t="shared" si="1"/>
        <v>E.2</v>
      </c>
      <c r="E26" s="266" t="str">
        <f>'Comp.6'!$B$4</f>
        <v>Guideline Public Companies' Descriptions</v>
      </c>
      <c r="G26" s="245" t="str">
        <f t="shared" si="0"/>
        <v>Exhibit E.2</v>
      </c>
      <c r="J26" s="234">
        <f t="shared" ref="J26" si="15">IF(J25="",J24+1,J25)</f>
        <v>69</v>
      </c>
      <c r="K26" s="234" t="str">
        <f t="shared" ref="K26" si="16">CHAR(J26)</f>
        <v>E</v>
      </c>
      <c r="L26" s="234">
        <f t="shared" ref="L26" si="17">IF(L25="",1,L25+1)</f>
        <v>2</v>
      </c>
    </row>
    <row r="27" spans="2:12">
      <c r="B27" s="620"/>
      <c r="E27" s="266"/>
      <c r="G27" s="245" t="str">
        <f t="shared" si="0"/>
        <v xml:space="preserve">Exhibit </v>
      </c>
    </row>
    <row r="28" spans="2:12">
      <c r="B28" s="620"/>
      <c r="E28" s="266" t="str">
        <f>'GTM FP &gt;&gt;'!$D$9</f>
        <v>Guideline Transaction Analysis</v>
      </c>
      <c r="G28" s="245" t="str">
        <f t="shared" si="0"/>
        <v xml:space="preserve">Exhibit </v>
      </c>
    </row>
    <row r="29" spans="2:12">
      <c r="B29" s="620" t="str">
        <f t="shared" si="1"/>
        <v>F.1</v>
      </c>
      <c r="E29" s="266" t="str">
        <f>Trans.1!$B$4</f>
        <v>Guideline Transactions' Multiples Analysis</v>
      </c>
      <c r="G29" s="245" t="str">
        <f t="shared" si="0"/>
        <v>Exhibit F.1</v>
      </c>
      <c r="J29" s="234">
        <f>IF(J28="",J26+1,J28)</f>
        <v>70</v>
      </c>
      <c r="K29" s="234" t="str">
        <f t="shared" ref="K29:K30" si="18">CHAR(J29)</f>
        <v>F</v>
      </c>
      <c r="L29" s="234">
        <f t="shared" ref="L29:L46" si="19">IF(L28="",1,L28+1)</f>
        <v>1</v>
      </c>
    </row>
    <row r="30" spans="2:12">
      <c r="B30" s="620" t="str">
        <f t="shared" si="1"/>
        <v>F.2</v>
      </c>
      <c r="E30" s="266" t="str">
        <f>Trans.2!$B$4</f>
        <v>Guideline Transactions' Target Descriptions</v>
      </c>
      <c r="G30" s="245" t="str">
        <f t="shared" si="0"/>
        <v>Exhibit F.2</v>
      </c>
      <c r="J30" s="234">
        <f t="shared" ref="J30:J46" si="20">IF(J29="",J28+1,J29)</f>
        <v>70</v>
      </c>
      <c r="K30" s="234" t="str">
        <f t="shared" si="18"/>
        <v>F</v>
      </c>
      <c r="L30" s="234">
        <f t="shared" si="19"/>
        <v>2</v>
      </c>
    </row>
    <row r="31" spans="2:12">
      <c r="B31" s="620"/>
      <c r="E31" s="266"/>
      <c r="G31" s="245" t="str">
        <f t="shared" si="0"/>
        <v xml:space="preserve">Exhibit </v>
      </c>
    </row>
    <row r="32" spans="2:12">
      <c r="B32" s="620"/>
      <c r="E32" s="266" t="str">
        <f>'Cap Structure FP &gt;&gt;'!$D$9</f>
        <v>Capitalization Summary</v>
      </c>
      <c r="G32" s="245" t="str">
        <f t="shared" si="0"/>
        <v xml:space="preserve">Exhibit </v>
      </c>
    </row>
    <row r="33" spans="2:12">
      <c r="B33" s="620" t="str">
        <f t="shared" si="1"/>
        <v>G.1</v>
      </c>
      <c r="E33" s="266" t="str">
        <f>'Cap Table'!$B$4</f>
        <v xml:space="preserve">Capitalization Table </v>
      </c>
      <c r="G33" s="245" t="str">
        <f t="shared" si="0"/>
        <v>Exhibit G.1</v>
      </c>
      <c r="J33" s="234">
        <f>IF(J32="",J30+1,J32)</f>
        <v>71</v>
      </c>
      <c r="K33" s="234" t="str">
        <f t="shared" ref="K33:K34" si="21">CHAR(J33)</f>
        <v>G</v>
      </c>
      <c r="L33" s="234">
        <f t="shared" si="19"/>
        <v>1</v>
      </c>
    </row>
    <row r="34" spans="2:12">
      <c r="B34" s="620" t="str">
        <f t="shared" si="1"/>
        <v>G.2</v>
      </c>
      <c r="E34" s="266" t="str">
        <f>'Econ Rights'!$B$4</f>
        <v xml:space="preserve">Economic Rights Summary </v>
      </c>
      <c r="G34" s="245" t="str">
        <f t="shared" si="0"/>
        <v>Exhibit G.2</v>
      </c>
      <c r="J34" s="234">
        <f t="shared" si="20"/>
        <v>71</v>
      </c>
      <c r="K34" s="234" t="str">
        <f t="shared" si="21"/>
        <v>G</v>
      </c>
      <c r="L34" s="234">
        <f t="shared" si="19"/>
        <v>2</v>
      </c>
    </row>
    <row r="35" spans="2:12">
      <c r="B35" s="620"/>
      <c r="E35" s="266"/>
      <c r="G35" s="245" t="str">
        <f t="shared" si="0"/>
        <v xml:space="preserve">Exhibit </v>
      </c>
    </row>
    <row r="36" spans="2:12">
      <c r="B36" s="620"/>
      <c r="E36" s="266" t="str">
        <f>+'Support FP &gt;&gt;'!D9</f>
        <v>Appendices</v>
      </c>
      <c r="G36" s="245" t="str">
        <f t="shared" si="0"/>
        <v xml:space="preserve">Exhibit </v>
      </c>
    </row>
    <row r="37" spans="2:12">
      <c r="B37" s="620" t="str">
        <f t="shared" si="1"/>
        <v>H.1</v>
      </c>
      <c r="E37" s="266" t="str">
        <f>'PWERM DLOM'!$B$4</f>
        <v>Discount for Lack of Marketability</v>
      </c>
      <c r="G37" s="245" t="str">
        <f t="shared" si="0"/>
        <v>Exhibit H.1</v>
      </c>
      <c r="J37" s="234">
        <f>IF(J36="",J34+1,J36)</f>
        <v>72</v>
      </c>
      <c r="K37" s="234" t="str">
        <f t="shared" si="3"/>
        <v>H</v>
      </c>
      <c r="L37" s="234">
        <v>1</v>
      </c>
    </row>
    <row r="38" spans="2:12">
      <c r="B38" s="620" t="str">
        <f t="shared" ref="B38:B41" si="22">K38&amp;"."&amp;L38</f>
        <v>H.2</v>
      </c>
      <c r="E38" s="266" t="str">
        <f>'Asset Vol_IPO Phase I'!$B$4</f>
        <v>Asset Volatility (IPO - Phase I)</v>
      </c>
      <c r="G38" s="245" t="str">
        <f t="shared" ref="G38:G41" si="23">"Exhibit "&amp;B38</f>
        <v>Exhibit H.2</v>
      </c>
      <c r="J38" s="234">
        <f t="shared" si="20"/>
        <v>72</v>
      </c>
      <c r="K38" s="234" t="str">
        <f t="shared" ref="K38" si="24">CHAR(J38)</f>
        <v>H</v>
      </c>
      <c r="L38" s="234">
        <f t="shared" si="19"/>
        <v>2</v>
      </c>
    </row>
    <row r="39" spans="2:12">
      <c r="B39" s="620" t="str">
        <f t="shared" si="22"/>
        <v>H.3</v>
      </c>
      <c r="E39" s="266" t="str">
        <f>'Asset Vol_IPO Phase II'!$B$4</f>
        <v>Asset Volatility (IPO - Phase II)</v>
      </c>
      <c r="G39" s="245" t="str">
        <f t="shared" si="23"/>
        <v>Exhibit H.3</v>
      </c>
      <c r="J39" s="234">
        <f t="shared" si="20"/>
        <v>72</v>
      </c>
      <c r="K39" s="234" t="str">
        <f t="shared" ref="K39:K41" si="25">CHAR(J39)</f>
        <v>H</v>
      </c>
      <c r="L39" s="234">
        <f t="shared" si="19"/>
        <v>3</v>
      </c>
    </row>
    <row r="40" spans="2:12">
      <c r="B40" s="620" t="str">
        <f t="shared" si="22"/>
        <v>H.4</v>
      </c>
      <c r="E40" s="266" t="str">
        <f>'Asset Vol_M&amp;A Phase I'!$B$4</f>
        <v>Asset Volatility (M&amp;A - Phase I)</v>
      </c>
      <c r="G40" s="245" t="str">
        <f t="shared" si="23"/>
        <v>Exhibit H.4</v>
      </c>
      <c r="J40" s="234">
        <f t="shared" si="20"/>
        <v>72</v>
      </c>
      <c r="K40" s="234" t="str">
        <f t="shared" si="25"/>
        <v>H</v>
      </c>
      <c r="L40" s="234">
        <f t="shared" si="19"/>
        <v>4</v>
      </c>
    </row>
    <row r="41" spans="2:12">
      <c r="B41" s="620" t="str">
        <f t="shared" si="22"/>
        <v>H.5</v>
      </c>
      <c r="E41" s="266" t="str">
        <f>'Asset Vol_M&amp;A Phase II'!$B$4</f>
        <v>Asset Volatility (M&amp;A - Phase II)</v>
      </c>
      <c r="G41" s="245" t="str">
        <f t="shared" si="23"/>
        <v>Exhibit H.5</v>
      </c>
      <c r="J41" s="234">
        <f t="shared" si="20"/>
        <v>72</v>
      </c>
      <c r="K41" s="234" t="str">
        <f t="shared" si="25"/>
        <v>H</v>
      </c>
      <c r="L41" s="234">
        <f t="shared" si="19"/>
        <v>5</v>
      </c>
    </row>
    <row r="42" spans="2:12">
      <c r="B42" s="620" t="str">
        <f t="shared" ref="B42:B46" si="26">K42&amp;"."&amp;L42</f>
        <v>H.6</v>
      </c>
      <c r="E42" s="266" t="str">
        <f>'Equity Vol'!B$4</f>
        <v>Equity Volatility</v>
      </c>
      <c r="G42" s="245" t="str">
        <f t="shared" ref="G42" si="27">"Exhibit "&amp;B42</f>
        <v>Exhibit H.6</v>
      </c>
      <c r="J42" s="234">
        <f t="shared" si="20"/>
        <v>72</v>
      </c>
      <c r="K42" s="234" t="str">
        <f t="shared" ref="K42" si="28">CHAR(J42)</f>
        <v>H</v>
      </c>
      <c r="L42" s="234">
        <f t="shared" si="19"/>
        <v>6</v>
      </c>
    </row>
    <row r="43" spans="2:12">
      <c r="B43" s="620" t="str">
        <f t="shared" si="26"/>
        <v>H.7</v>
      </c>
      <c r="E43" s="266" t="str">
        <f>'Risk-Free Rates'!B$4</f>
        <v>Risk-Free Rates - PWERM</v>
      </c>
      <c r="G43" s="245" t="str">
        <f t="shared" ref="G43:G46" si="29">"Exhibit "&amp;B43</f>
        <v>Exhibit H.7</v>
      </c>
      <c r="J43" s="234">
        <f t="shared" si="20"/>
        <v>72</v>
      </c>
      <c r="K43" s="234" t="str">
        <f t="shared" ref="K43:K46" si="30">CHAR(J43)</f>
        <v>H</v>
      </c>
      <c r="L43" s="234">
        <f t="shared" si="19"/>
        <v>7</v>
      </c>
    </row>
    <row r="44" spans="2:12">
      <c r="B44" s="620" t="str">
        <f t="shared" si="26"/>
        <v>H.8</v>
      </c>
      <c r="E44" s="266" t="str">
        <f>'Additional Risk Factor'!B4</f>
        <v>Non-Diversification Risk Factor Calculations</v>
      </c>
      <c r="G44" s="245" t="str">
        <f t="shared" si="29"/>
        <v>Exhibit H.8</v>
      </c>
      <c r="J44" s="234">
        <f t="shared" si="20"/>
        <v>72</v>
      </c>
      <c r="K44" s="234" t="str">
        <f t="shared" si="30"/>
        <v>H</v>
      </c>
      <c r="L44" s="234">
        <f t="shared" si="19"/>
        <v>8</v>
      </c>
    </row>
    <row r="45" spans="2:12">
      <c r="B45" s="620" t="str">
        <f t="shared" si="26"/>
        <v>H.9</v>
      </c>
      <c r="E45" s="266" t="str">
        <f>'Licensing Deals'!$B$4</f>
        <v>Licensing Deals - Gene Therapy and Sickle Cell Disease</v>
      </c>
      <c r="G45" s="245" t="str">
        <f t="shared" si="29"/>
        <v>Exhibit H.9</v>
      </c>
      <c r="J45" s="234">
        <f t="shared" si="20"/>
        <v>72</v>
      </c>
      <c r="K45" s="234" t="str">
        <f t="shared" si="30"/>
        <v>H</v>
      </c>
      <c r="L45" s="234">
        <f t="shared" si="19"/>
        <v>9</v>
      </c>
    </row>
    <row r="46" spans="2:12">
      <c r="B46" s="620" t="str">
        <f t="shared" si="26"/>
        <v>H.10</v>
      </c>
      <c r="E46" s="266" t="str">
        <f>'IPO Data_BioPharma'!$B$4</f>
        <v>Initial Public Offerings Data</v>
      </c>
      <c r="G46" s="245" t="str">
        <f t="shared" si="29"/>
        <v>Exhibit H.10</v>
      </c>
      <c r="J46" s="234">
        <f t="shared" si="20"/>
        <v>72</v>
      </c>
      <c r="K46" s="234" t="str">
        <f t="shared" si="30"/>
        <v>H</v>
      </c>
      <c r="L46" s="234">
        <f t="shared" si="19"/>
        <v>10</v>
      </c>
    </row>
    <row r="47" spans="2:12">
      <c r="B47" s="620" t="s">
        <v>634</v>
      </c>
      <c r="E47" s="266"/>
    </row>
    <row r="48" spans="2:12">
      <c r="B48" s="620" t="str">
        <f>K48&amp;L48</f>
        <v>#1</v>
      </c>
      <c r="E48" s="266" t="str">
        <f>'Hybrid OPM'!B4</f>
        <v>Hybrid OPM</v>
      </c>
      <c r="G48" s="245" t="str">
        <f>"Workpaper "&amp;B48</f>
        <v>Workpaper #1</v>
      </c>
      <c r="K48" s="234" t="s">
        <v>1357</v>
      </c>
      <c r="L48" s="234">
        <v>1</v>
      </c>
    </row>
    <row r="49" spans="2:12">
      <c r="B49" s="620" t="str">
        <f t="shared" ref="B49:B56" si="31">K49&amp;L49</f>
        <v>#2</v>
      </c>
      <c r="E49" s="266" t="str">
        <f>'OPM 1 Hybrid'!B4</f>
        <v>Option Pricing Method - Breakpoints &amp; Allocation (Hybrid OPM)</v>
      </c>
      <c r="G49" s="245" t="str">
        <f t="shared" ref="G49:G50" si="32">"Workpaper "&amp;B49</f>
        <v>Workpaper #2</v>
      </c>
      <c r="K49" s="234" t="str">
        <f>K48</f>
        <v>#</v>
      </c>
      <c r="L49" s="234">
        <f>L48+1</f>
        <v>2</v>
      </c>
    </row>
    <row r="50" spans="2:12">
      <c r="B50" s="620" t="str">
        <f t="shared" si="31"/>
        <v>#3</v>
      </c>
      <c r="E50" s="266" t="str">
        <f>'OPM 2 Hybrid'!B4</f>
        <v>Option Pricing Method - Implied Value Per Share (Hybrid OPM)</v>
      </c>
      <c r="G50" s="245" t="str">
        <f t="shared" si="32"/>
        <v>Workpaper #3</v>
      </c>
      <c r="K50" s="234" t="str">
        <f>K49</f>
        <v>#</v>
      </c>
      <c r="L50" s="234">
        <f>L49+1</f>
        <v>3</v>
      </c>
    </row>
    <row r="51" spans="2:12">
      <c r="B51" s="620" t="str">
        <f t="shared" si="31"/>
        <v>#4</v>
      </c>
      <c r="E51" s="266" t="str">
        <f>'DLOM Hybrid'!B4</f>
        <v>Discount for Lack of Marketability - Option Models (Hybrid OPM)</v>
      </c>
      <c r="G51" s="245" t="str">
        <f t="shared" ref="G51:G56" si="33">"Workpaper "&amp;B51</f>
        <v>Workpaper #4</v>
      </c>
      <c r="K51" s="234" t="str">
        <f t="shared" ref="K51:K56" si="34">K50</f>
        <v>#</v>
      </c>
      <c r="L51" s="234">
        <f t="shared" ref="L51:L56" si="35">L50+1</f>
        <v>4</v>
      </c>
    </row>
    <row r="52" spans="2:12">
      <c r="B52" s="620" t="str">
        <f t="shared" si="31"/>
        <v>#5</v>
      </c>
      <c r="E52" s="266" t="str">
        <f>'Asset Vol Hybrid'!B4</f>
        <v>Asset Volatility (Hybrid OPM)</v>
      </c>
      <c r="G52" s="245" t="str">
        <f t="shared" si="33"/>
        <v>Workpaper #5</v>
      </c>
      <c r="K52" s="234" t="str">
        <f t="shared" si="34"/>
        <v>#</v>
      </c>
      <c r="L52" s="234">
        <f t="shared" si="35"/>
        <v>5</v>
      </c>
    </row>
    <row r="53" spans="2:12">
      <c r="B53" s="620" t="str">
        <f t="shared" si="31"/>
        <v>#6</v>
      </c>
      <c r="E53" s="266" t="str">
        <f>'Asset Vol Hybrid OPM DLOM'!B4</f>
        <v>Asset Volatility (Hybrid OPM DLOM)</v>
      </c>
      <c r="G53" s="245" t="str">
        <f t="shared" si="33"/>
        <v>Workpaper #6</v>
      </c>
      <c r="K53" s="234" t="str">
        <f t="shared" si="34"/>
        <v>#</v>
      </c>
      <c r="L53" s="234">
        <f t="shared" si="35"/>
        <v>6</v>
      </c>
    </row>
    <row r="54" spans="2:12">
      <c r="B54" s="620" t="str">
        <f t="shared" si="31"/>
        <v>#7</v>
      </c>
      <c r="E54" s="266" t="str">
        <f>'Risk-Free Rates Hybrid'!B4</f>
        <v>Risk-Free Rates - Hybrid</v>
      </c>
      <c r="G54" s="245" t="str">
        <f t="shared" si="33"/>
        <v>Workpaper #7</v>
      </c>
      <c r="K54" s="234" t="str">
        <f t="shared" si="34"/>
        <v>#</v>
      </c>
      <c r="L54" s="234">
        <f t="shared" si="35"/>
        <v>7</v>
      </c>
    </row>
    <row r="55" spans="2:12">
      <c r="B55" s="620" t="str">
        <f t="shared" si="31"/>
        <v>#8</v>
      </c>
      <c r="E55" s="266" t="str">
        <f>'Market Trends since Prior Val'!B4</f>
        <v>Market Trends Since Previous Valuation</v>
      </c>
      <c r="G55" s="245" t="str">
        <f t="shared" si="33"/>
        <v>Workpaper #8</v>
      </c>
      <c r="K55" s="234" t="str">
        <f t="shared" si="34"/>
        <v>#</v>
      </c>
      <c r="L55" s="234">
        <f t="shared" si="35"/>
        <v>8</v>
      </c>
    </row>
    <row r="56" spans="2:12">
      <c r="B56" s="620" t="str">
        <f t="shared" si="31"/>
        <v>#9</v>
      </c>
      <c r="E56" s="266" t="str">
        <f>'Comparative Sheet'!B4</f>
        <v>Comparative Sheet</v>
      </c>
      <c r="G56" s="245" t="str">
        <f t="shared" si="33"/>
        <v>Workpaper #9</v>
      </c>
      <c r="K56" s="234" t="str">
        <f t="shared" si="34"/>
        <v>#</v>
      </c>
      <c r="L56" s="234">
        <f t="shared" si="35"/>
        <v>9</v>
      </c>
    </row>
    <row r="57" spans="2:12">
      <c r="B57" s="620" t="str">
        <f t="shared" ref="B57:B59" si="36">K57&amp;L57</f>
        <v/>
      </c>
      <c r="E57" s="234"/>
      <c r="G57" s="245" t="str">
        <f t="shared" ref="G57:G59" si="37">"Workpaper "&amp;B57</f>
        <v xml:space="preserve">Workpaper </v>
      </c>
    </row>
    <row r="58" spans="2:12">
      <c r="B58" s="620" t="str">
        <f t="shared" si="36"/>
        <v/>
      </c>
      <c r="E58" s="266" t="str">
        <f>IFERROR(INDEX(#REF!,IF(#REF!="",MATCH(ROW()-ROW($B$7),IF(#REF!,#REF!,#REF!),0),MATCH(#REF!,#REF!,0))),"")</f>
        <v/>
      </c>
      <c r="G58" s="245" t="str">
        <f t="shared" si="37"/>
        <v xml:space="preserve">Workpaper </v>
      </c>
    </row>
    <row r="59" spans="2:12">
      <c r="B59" s="620" t="str">
        <f t="shared" si="36"/>
        <v/>
      </c>
      <c r="E59" s="266" t="str">
        <f>IFERROR(INDEX(#REF!,IF(B57="",MATCH(ROW()-ROW($B$7),IF(#REF!,#REF!,#REF!),0),MATCH(B57,#REF!,0))),"")</f>
        <v/>
      </c>
      <c r="G59" s="245" t="str">
        <f t="shared" si="37"/>
        <v xml:space="preserve">Workpaper </v>
      </c>
    </row>
  </sheetData>
  <conditionalFormatting sqref="B3:G3">
    <cfRule type="cellIs" dxfId="398" priority="28" stopIfTrue="1" operator="equal">
      <formula>"input"</formula>
    </cfRule>
  </conditionalFormatting>
  <conditionalFormatting sqref="B46:B47 B18:B37 B7:B16 B55:B59">
    <cfRule type="expression" dxfId="397" priority="25">
      <formula>OR($B7="Exhibits",$B7="Workpapers")</formula>
    </cfRule>
  </conditionalFormatting>
  <conditionalFormatting sqref="E46 E7:E36">
    <cfRule type="expression" dxfId="396" priority="24">
      <formula>$B7=""</formula>
    </cfRule>
  </conditionalFormatting>
  <conditionalFormatting sqref="G46:G47 G18:G37 G8:G16 G55:G59">
    <cfRule type="expression" dxfId="395" priority="23">
      <formula>$B8="Workpapers"</formula>
    </cfRule>
  </conditionalFormatting>
  <conditionalFormatting sqref="E59">
    <cfRule type="expression" dxfId="394" priority="49">
      <formula>$B57=""</formula>
    </cfRule>
  </conditionalFormatting>
  <conditionalFormatting sqref="E37">
    <cfRule type="expression" dxfId="393" priority="53">
      <formula>$B37=""</formula>
    </cfRule>
  </conditionalFormatting>
  <conditionalFormatting sqref="B17">
    <cfRule type="expression" dxfId="392" priority="20">
      <formula>OR($B17="Exhibits",$B17="Workpapers")</formula>
    </cfRule>
  </conditionalFormatting>
  <conditionalFormatting sqref="E17">
    <cfRule type="expression" dxfId="391" priority="19">
      <formula>$B17=""</formula>
    </cfRule>
  </conditionalFormatting>
  <conditionalFormatting sqref="G17">
    <cfRule type="expression" dxfId="390" priority="18">
      <formula>$B17="Workpapers"</formula>
    </cfRule>
  </conditionalFormatting>
  <conditionalFormatting sqref="B48:B56">
    <cfRule type="expression" dxfId="389" priority="13">
      <formula>OR($B48="Exhibits",$B48="Workpapers")</formula>
    </cfRule>
  </conditionalFormatting>
  <conditionalFormatting sqref="G48:G56">
    <cfRule type="expression" dxfId="388" priority="12">
      <formula>$B48="Workpapers"</formula>
    </cfRule>
  </conditionalFormatting>
  <conditionalFormatting sqref="E50">
    <cfRule type="expression" dxfId="387" priority="14">
      <formula>$B48=""</formula>
    </cfRule>
  </conditionalFormatting>
  <conditionalFormatting sqref="E51">
    <cfRule type="expression" dxfId="386" priority="15">
      <formula>#REF!=""</formula>
    </cfRule>
  </conditionalFormatting>
  <conditionalFormatting sqref="E52">
    <cfRule type="expression" dxfId="385" priority="16">
      <formula>$B49=""</formula>
    </cfRule>
  </conditionalFormatting>
  <conditionalFormatting sqref="B53:B54">
    <cfRule type="expression" dxfId="384" priority="11">
      <formula>OR($B53="Exhibits",$B53="Workpapers")</formula>
    </cfRule>
  </conditionalFormatting>
  <conditionalFormatting sqref="G53:G54">
    <cfRule type="expression" dxfId="383" priority="10">
      <formula>$B53="Workpapers"</formula>
    </cfRule>
  </conditionalFormatting>
  <conditionalFormatting sqref="B38:B46">
    <cfRule type="expression" dxfId="382" priority="8">
      <formula>OR($B38="Exhibits",$B38="Workpapers")</formula>
    </cfRule>
  </conditionalFormatting>
  <conditionalFormatting sqref="G38:G46">
    <cfRule type="expression" dxfId="381" priority="7">
      <formula>$B38="Workpapers"</formula>
    </cfRule>
  </conditionalFormatting>
  <conditionalFormatting sqref="E38:E40">
    <cfRule type="expression" dxfId="380" priority="9">
      <formula>$B38=""</formula>
    </cfRule>
  </conditionalFormatting>
  <conditionalFormatting sqref="B43:B45">
    <cfRule type="expression" dxfId="379" priority="5">
      <formula>OR($B43="Exhibits",$B43="Workpapers")</formula>
    </cfRule>
  </conditionalFormatting>
  <conditionalFormatting sqref="G43:G45">
    <cfRule type="expression" dxfId="378" priority="4">
      <formula>$B43="Workpapers"</formula>
    </cfRule>
  </conditionalFormatting>
  <conditionalFormatting sqref="E43:E44">
    <cfRule type="expression" dxfId="377" priority="6">
      <formula>$B43=""</formula>
    </cfRule>
  </conditionalFormatting>
  <conditionalFormatting sqref="E41">
    <cfRule type="expression" dxfId="376" priority="2">
      <formula>$B41=""</formula>
    </cfRule>
  </conditionalFormatting>
  <conditionalFormatting sqref="E42:E44">
    <cfRule type="expression" dxfId="375" priority="1">
      <formula>$B42=""</formula>
    </cfRule>
  </conditionalFormatting>
  <conditionalFormatting sqref="E47">
    <cfRule type="expression" dxfId="374" priority="65">
      <formula>#REF!=""</formula>
    </cfRule>
  </conditionalFormatting>
  <conditionalFormatting sqref="E45">
    <cfRule type="expression" dxfId="373" priority="66">
      <formula>#REF!=""</formula>
    </cfRule>
  </conditionalFormatting>
  <conditionalFormatting sqref="E56">
    <cfRule type="expression" dxfId="372" priority="71">
      <formula>$B55=""</formula>
    </cfRule>
  </conditionalFormatting>
  <conditionalFormatting sqref="E58">
    <cfRule type="expression" dxfId="371" priority="76">
      <formula>#REF!=""</formula>
    </cfRule>
  </conditionalFormatting>
  <pageMargins left="0.5" right="0.5" top="0.5" bottom="0.5" header="0.5" footer="0.5"/>
  <pageSetup scale="85" fitToWidth="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744"/>
  <sheetViews>
    <sheetView showGridLines="0" view="pageBreakPreview" zoomScaleNormal="145" zoomScaleSheetLayoutView="100" workbookViewId="0">
      <selection activeCell="F11" sqref="F11"/>
    </sheetView>
  </sheetViews>
  <sheetFormatPr defaultRowHeight="14.25"/>
  <cols>
    <col min="1" max="1" width="4.5" style="234" customWidth="1"/>
    <col min="2" max="2" width="52.83203125" style="234" customWidth="1"/>
    <col min="3" max="3" width="2.83203125" style="234" customWidth="1"/>
    <col min="4" max="4" width="20.83203125" style="234" customWidth="1"/>
    <col min="5" max="5" width="2.83203125" style="234" customWidth="1"/>
    <col min="6" max="6" width="22.5" style="234" customWidth="1"/>
    <col min="7" max="7" width="2.83203125" style="234" customWidth="1"/>
    <col min="8" max="8" width="18.83203125" style="234" customWidth="1"/>
    <col min="9" max="9" width="2.83203125" style="234" customWidth="1"/>
    <col min="10" max="10" width="17.83203125" style="234" customWidth="1"/>
    <col min="11" max="11" width="4.5" style="234" customWidth="1"/>
    <col min="12" max="12" width="18.1640625" style="234" customWidth="1"/>
    <col min="13" max="14" width="12" style="234" bestFit="1" customWidth="1"/>
    <col min="15" max="15" width="20.83203125" style="234" customWidth="1"/>
    <col min="16" max="16" width="29.1640625" style="234" customWidth="1"/>
    <col min="17" max="17" width="10" style="234" bestFit="1" customWidth="1"/>
    <col min="18" max="18" width="9.6640625" style="234" bestFit="1" customWidth="1"/>
    <col min="19" max="16384" width="9.33203125" style="234"/>
  </cols>
  <sheetData>
    <row r="1" spans="1:17" ht="10.7" customHeight="1" thickBot="1"/>
    <row r="2" spans="1:17" ht="16.5" customHeight="1" thickTop="1">
      <c r="B2" s="223" t="str">
        <f>'MASTER PubCo Inputs'!$C$5</f>
        <v>Trucode Gene Repair, Inc.</v>
      </c>
      <c r="C2" s="223"/>
      <c r="D2" s="223"/>
      <c r="E2" s="223"/>
      <c r="F2" s="223"/>
      <c r="G2" s="223"/>
      <c r="H2" s="223"/>
      <c r="I2" s="223"/>
      <c r="J2" s="223"/>
      <c r="L2" s="236" t="s">
        <v>856</v>
      </c>
      <c r="M2" s="237"/>
      <c r="N2" s="238"/>
      <c r="O2" s="234" t="b">
        <v>1</v>
      </c>
    </row>
    <row r="3" spans="1:17" ht="15.75" customHeight="1">
      <c r="B3" s="232" t="str">
        <f>VLOOKUP(B4,Outline!$E$8:$G$65,COLUMNS(Outline!$E$8:$G$8),FALSE)</f>
        <v>Exhibit A.1</v>
      </c>
      <c r="C3" s="232"/>
      <c r="D3" s="232"/>
      <c r="E3" s="232"/>
      <c r="F3" s="232"/>
      <c r="G3" s="232"/>
      <c r="H3" s="232"/>
      <c r="I3" s="232"/>
      <c r="J3" s="232"/>
      <c r="L3" s="240" t="s">
        <v>160</v>
      </c>
      <c r="M3" s="241" t="s">
        <v>173</v>
      </c>
      <c r="N3" s="242" t="s">
        <v>857</v>
      </c>
      <c r="O3" s="243" t="e">
        <f ca="1">IF(AND(L4=$O$2,M4=$O$2,N4=$O$2,L5=$O$2,M5=$O$2,N5=$O$2,L6=$O$2,M6=$O$2,N6=$O$2),"","Check")</f>
        <v>#NAME?</v>
      </c>
    </row>
    <row r="4" spans="1:17" ht="16.5" customHeight="1" thickBot="1">
      <c r="B4" s="225" t="s">
        <v>144</v>
      </c>
      <c r="C4" s="225"/>
      <c r="D4" s="225"/>
      <c r="E4" s="225"/>
      <c r="F4" s="225"/>
      <c r="G4" s="225"/>
      <c r="H4" s="225"/>
      <c r="I4" s="225"/>
      <c r="J4" s="233" t="str">
        <f>+'MASTER PubCo Inputs'!$C$19</f>
        <v>(in thousands of USD, except price per share)</v>
      </c>
      <c r="L4" s="244" t="e">
        <f ca="1">+'Comp.1'!AE2</f>
        <v>#NAME?</v>
      </c>
      <c r="M4" s="245" t="e">
        <f ca="1">+'Comp.2'!AB2</f>
        <v>#NAME?</v>
      </c>
      <c r="N4" s="246" t="e">
        <f ca="1">+Trans.1!AR3</f>
        <v>#NAME?</v>
      </c>
      <c r="P4" s="255" t="s">
        <v>2909</v>
      </c>
      <c r="Q4" s="255" t="s">
        <v>2910</v>
      </c>
    </row>
    <row r="5" spans="1:17" ht="14.85" customHeight="1" thickTop="1">
      <c r="L5" s="244" t="e">
        <f ca="1">+'Comp.1'!AE3</f>
        <v>#NAME?</v>
      </c>
      <c r="M5" s="245" t="e">
        <f ca="1">+'Comp.2'!AB3</f>
        <v>#NAME?</v>
      </c>
      <c r="N5" s="246" t="e">
        <f ca="1">+Trans.1!AR4</f>
        <v>#NAME?</v>
      </c>
      <c r="P5" s="262">
        <f>PWERM!N217</f>
        <v>3.6460865337870629E-2</v>
      </c>
      <c r="Q5" s="263">
        <v>0.05</v>
      </c>
    </row>
    <row r="6" spans="1:17" ht="14.85" customHeight="1">
      <c r="L6" s="1948" t="e">
        <f ca="1">+'Comp.1'!AE4</f>
        <v>#NAME?</v>
      </c>
      <c r="M6" s="248" t="e">
        <f ca="1">+'Comp.2'!AB4</f>
        <v>#NAME?</v>
      </c>
      <c r="N6" s="249" t="e">
        <f ca="1">+Trans.1!AR5</f>
        <v>#NAME?</v>
      </c>
      <c r="P6" s="264" t="str">
        <f>IF(OR($P$5&gt;$Q$5,$P$5&lt;-$Q$5), "Check","")</f>
        <v/>
      </c>
    </row>
    <row r="7" spans="1:17" ht="14.85" customHeight="1">
      <c r="A7" s="270"/>
      <c r="B7" s="250" t="s">
        <v>149</v>
      </c>
      <c r="C7" s="270"/>
      <c r="D7" s="251" t="s">
        <v>148</v>
      </c>
      <c r="E7" s="271"/>
      <c r="F7" s="251" t="s">
        <v>150</v>
      </c>
      <c r="G7" s="270"/>
      <c r="H7" s="253" t="s">
        <v>151</v>
      </c>
      <c r="I7" s="270"/>
      <c r="J7" s="253" t="s">
        <v>70</v>
      </c>
      <c r="K7" s="270"/>
      <c r="L7" s="251" t="s">
        <v>490</v>
      </c>
      <c r="M7" s="1947"/>
    </row>
    <row r="8" spans="1:17" ht="14.85" customHeight="1"/>
    <row r="9" spans="1:17" ht="14.85" customHeight="1">
      <c r="B9" s="234" t="s">
        <v>688</v>
      </c>
      <c r="D9" s="265">
        <f>PWERM!B177</f>
        <v>42640</v>
      </c>
      <c r="F9" s="272">
        <f>+PWERM!B117</f>
        <v>0.60357333558646586</v>
      </c>
      <c r="H9" s="245" t="s">
        <v>153</v>
      </c>
      <c r="J9" s="266" t="str">
        <f>PWERM!B3</f>
        <v>Exhibit B.1</v>
      </c>
      <c r="L9" s="272">
        <f>PWERM!F166</f>
        <v>2.7225605165679432</v>
      </c>
    </row>
    <row r="10" spans="1:17" ht="14.85" customHeight="1">
      <c r="H10" s="245"/>
    </row>
    <row r="11" spans="1:17" ht="14.85" customHeight="1">
      <c r="B11" s="274" t="s">
        <v>154</v>
      </c>
      <c r="C11" s="275"/>
      <c r="D11" s="275"/>
      <c r="E11" s="275"/>
      <c r="F11" s="276">
        <f>IF(H9="Primary",F9,#REF!)</f>
        <v>0.60357333558646586</v>
      </c>
      <c r="M11" s="2003">
        <v>0.6</v>
      </c>
      <c r="N11" s="234" t="s">
        <v>671</v>
      </c>
    </row>
    <row r="12" spans="1:17" ht="14.85" customHeight="1">
      <c r="A12" s="280"/>
      <c r="B12" s="339"/>
      <c r="L12" s="273"/>
      <c r="M12" s="278" t="str">
        <f>IF(OR(F11-M11&gt;0.01,F11-M11&lt;-0.01),"Check","")</f>
        <v/>
      </c>
      <c r="N12" s="261" t="s">
        <v>1977</v>
      </c>
    </row>
    <row r="13" spans="1:17" ht="14.85" customHeight="1">
      <c r="A13" s="280"/>
    </row>
    <row r="14" spans="1:17" ht="14.85" customHeight="1">
      <c r="D14" s="2004" t="s">
        <v>4215</v>
      </c>
      <c r="E14" s="407"/>
      <c r="F14" s="2005">
        <f>F11/'Econ Rights'!$G$12</f>
        <v>0.14060786832839442</v>
      </c>
      <c r="J14" s="363"/>
    </row>
    <row r="15" spans="1:17" ht="14.85" customHeight="1">
      <c r="B15" s="234" t="s">
        <v>2014</v>
      </c>
      <c r="D15" s="267">
        <f>'Hybrid OPM'!C33</f>
        <v>36000</v>
      </c>
      <c r="F15" s="2057">
        <f>'Hybrid OPM'!C29</f>
        <v>0.48939260151813985</v>
      </c>
      <c r="H15" s="245" t="s">
        <v>4236</v>
      </c>
      <c r="J15" s="582" t="str">
        <f>'Hybrid OPM'!B3</f>
        <v>Workpaper #1</v>
      </c>
      <c r="L15" s="2057">
        <f>'Hybrid OPM'!C31</f>
        <v>2.7259429561535211</v>
      </c>
    </row>
    <row r="16" spans="1:17" ht="14.85" customHeight="1">
      <c r="P16" s="255" t="s">
        <v>2915</v>
      </c>
    </row>
    <row r="17" spans="2:16" ht="14.85" customHeight="1">
      <c r="B17" s="1949" t="s">
        <v>4169</v>
      </c>
      <c r="D17" s="1949" t="s">
        <v>148</v>
      </c>
      <c r="F17" s="1949" t="s">
        <v>150</v>
      </c>
      <c r="J17" s="363"/>
      <c r="N17" s="283" t="str">
        <f>'Asset Vol_PWERM'!B4</f>
        <v>Asset Volatility - OPM</v>
      </c>
      <c r="P17" s="284" t="str">
        <f>IF(SUM('Asset Vol_PWERM'!$D$45,'Asset Vol_PWERM'!$H$45)='Asset Vol_PWERM'!$I$45,"","Check")</f>
        <v/>
      </c>
    </row>
    <row r="18" spans="2:16" ht="14.85" customHeight="1">
      <c r="B18" s="234" t="s">
        <v>688</v>
      </c>
      <c r="D18" s="267">
        <f>'Comparative Sheet'!D11</f>
        <v>82080</v>
      </c>
      <c r="F18" s="2057">
        <f>'Comparative Sheet'!D15</f>
        <v>0.91042544397691094</v>
      </c>
      <c r="H18" s="245" t="s">
        <v>153</v>
      </c>
      <c r="J18" s="2058" t="str">
        <f>'Comparative Sheet'!$B$3</f>
        <v>Workpaper #9</v>
      </c>
      <c r="L18" s="2057">
        <f>'Comparative Sheet'!D17</f>
        <v>4.29</v>
      </c>
      <c r="N18" s="283" t="str">
        <f>'Asset Vol_DLOM'!B4</f>
        <v>Asset Volatility - OPM DLOM</v>
      </c>
      <c r="P18" s="284" t="str">
        <f>IF(SUM('Asset Vol_DLOM'!$D$45,'Asset Vol_DLOM'!$H$45)='Asset Vol_DLOM'!$I$45,"","Check")</f>
        <v/>
      </c>
    </row>
    <row r="19" spans="2:16" ht="14.85" customHeight="1">
      <c r="B19" s="234" t="s">
        <v>4170</v>
      </c>
      <c r="D19" s="267">
        <f>'Comparative Sheet'!D63</f>
        <v>80600</v>
      </c>
      <c r="F19" s="2057">
        <f>'Comparative Sheet'!D61</f>
        <v>1.0620267326265702</v>
      </c>
      <c r="H19" s="245" t="s">
        <v>4236</v>
      </c>
      <c r="J19" s="2058" t="str">
        <f>'Comparative Sheet'!$B$3</f>
        <v>Workpaper #9</v>
      </c>
      <c r="L19" s="2057">
        <f>'Comparative Sheet'!D62</f>
        <v>4.2926000000000002</v>
      </c>
      <c r="N19" s="283" t="str">
        <f>'Asset Vol_IPO Phase I'!B4</f>
        <v>Asset Volatility (IPO - Phase I)</v>
      </c>
      <c r="P19" s="284" t="str">
        <f>IF(SUM('Asset Vol_IPO Phase I'!$D$46,'Asset Vol_IPO Phase I'!$H$46)='Asset Vol_IPO Phase I'!$I$46,"","Check")</f>
        <v/>
      </c>
    </row>
    <row r="20" spans="2:16" ht="14.85" customHeight="1">
      <c r="F20" s="261"/>
      <c r="N20" s="283" t="str">
        <f>'Asset Vol_IPO Phase II'!B4</f>
        <v>Asset Volatility (IPO - Phase II)</v>
      </c>
      <c r="P20" s="284" t="str">
        <f>IF(SUM('Asset Vol_IPO Phase II'!$D$46,'Asset Vol_IPO Phase II'!$H$46)='Asset Vol_IPO Phase II'!$I$46,"","Check")</f>
        <v/>
      </c>
    </row>
    <row r="21" spans="2:16" ht="14.85" customHeight="1">
      <c r="B21" s="2193" t="s">
        <v>4258</v>
      </c>
      <c r="C21" s="344"/>
      <c r="D21" s="2194">
        <f>D9/D18-1</f>
        <v>-0.48050682261208577</v>
      </c>
      <c r="E21" s="2194"/>
      <c r="F21" s="2194">
        <f>F9/F18-1</f>
        <v>-0.33704254469213524</v>
      </c>
      <c r="G21" s="2194"/>
      <c r="H21" s="2194"/>
      <c r="I21" s="2194"/>
      <c r="J21" s="2194"/>
      <c r="K21" s="2194"/>
      <c r="L21" s="2195">
        <f>L9/L18-1</f>
        <v>-0.36537050895852141</v>
      </c>
      <c r="N21" s="283" t="str">
        <f>'Asset Vol_M&amp;A Phase II'!B4</f>
        <v>Asset Volatility (M&amp;A - Phase II)</v>
      </c>
      <c r="P21" s="284" t="str">
        <f>IF(SUM('Asset Vol_M&amp;A Phase II'!$D$46,'Asset Vol_M&amp;A Phase II'!$H$46)='Asset Vol_M&amp;A Phase II'!$I$46,"","Check")</f>
        <v/>
      </c>
    </row>
    <row r="22" spans="2:16" ht="14.85" customHeight="1">
      <c r="N22" s="283"/>
      <c r="P22" s="284"/>
    </row>
    <row r="23" spans="2:16" ht="14.85" customHeight="1"/>
    <row r="24" spans="2:16" ht="14.85" customHeight="1">
      <c r="N24" s="283" t="str">
        <f>'Asset Vol Hybrid'!B4</f>
        <v>Asset Volatility (Hybrid OPM)</v>
      </c>
      <c r="P24" s="284" t="str">
        <f>IF(SUM('Asset Vol Hybrid'!$D$46,'Asset Vol Hybrid'!$H$46)='Asset Vol Hybrid'!$I$46,"","Check")</f>
        <v/>
      </c>
    </row>
    <row r="25" spans="2:16" ht="14.85" customHeight="1"/>
    <row r="26" spans="2:16" ht="14.85" customHeight="1"/>
    <row r="27" spans="2:16" ht="14.85" customHeight="1"/>
    <row r="28" spans="2:16" ht="14.85" customHeight="1"/>
    <row r="29" spans="2:16" ht="14.85" customHeight="1"/>
    <row r="30" spans="2:16" ht="14.85" customHeight="1"/>
    <row r="31" spans="2:16" ht="14.85" customHeight="1"/>
    <row r="32" spans="2:16"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sheetData>
  <conditionalFormatting sqref="B4:I4">
    <cfRule type="cellIs" dxfId="370" priority="6" stopIfTrue="1" operator="equal">
      <formula>"input"</formula>
    </cfRule>
  </conditionalFormatting>
  <conditionalFormatting sqref="J4">
    <cfRule type="cellIs" dxfId="369" priority="3" stopIfTrue="1" operator="equal">
      <formula>"input"</formula>
    </cfRule>
  </conditionalFormatting>
  <conditionalFormatting sqref="J4">
    <cfRule type="cellIs" dxfId="368" priority="4" stopIfTrue="1" operator="equal">
      <formula>"input"</formula>
    </cfRule>
  </conditionalFormatting>
  <pageMargins left="0.5" right="0.5" top="0.5" bottom="0.5" header="0.5" footer="0.5"/>
  <pageSetup fitToWidth="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6"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155</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scale="98"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XEY690"/>
  <sheetViews>
    <sheetView showGridLines="0" view="pageBreakPreview" topLeftCell="A82" zoomScale="80" zoomScaleNormal="100" zoomScaleSheetLayoutView="80" workbookViewId="0">
      <selection activeCell="D105" sqref="D105"/>
    </sheetView>
  </sheetViews>
  <sheetFormatPr defaultRowHeight="14.25"/>
  <cols>
    <col min="1" max="1" width="4.5" style="234" customWidth="1"/>
    <col min="2" max="2" width="49.33203125" style="234" customWidth="1"/>
    <col min="3" max="3" width="11" style="234" customWidth="1"/>
    <col min="4" max="8" width="25.33203125" style="234" customWidth="1"/>
    <col min="9" max="9" width="4.5" style="234" customWidth="1"/>
    <col min="10" max="10" width="15.83203125" style="234" customWidth="1"/>
    <col min="11" max="13" width="19.6640625" style="234" customWidth="1"/>
    <col min="14" max="14" width="27" style="234" customWidth="1"/>
    <col min="15" max="15" width="23.6640625" style="234" customWidth="1"/>
    <col min="16" max="16" width="8.6640625" style="234" customWidth="1"/>
    <col min="17" max="16384" width="9.33203125" style="234"/>
  </cols>
  <sheetData>
    <row r="1" spans="2:12" ht="15" customHeight="1" thickBot="1"/>
    <row r="2" spans="2:12" ht="16.5" customHeight="1" thickTop="1">
      <c r="B2" s="223" t="str">
        <f>'MASTER PubCo Inputs'!$C$5</f>
        <v>Trucode Gene Repair, Inc.</v>
      </c>
      <c r="C2" s="223"/>
      <c r="D2" s="223"/>
      <c r="E2" s="223"/>
      <c r="F2" s="223"/>
      <c r="G2" s="223"/>
      <c r="H2" s="223"/>
    </row>
    <row r="3" spans="2:12" ht="15.75" customHeight="1">
      <c r="B3" s="232" t="str">
        <f>VLOOKUP(B4,Outline!$E$8:$G$65,COLUMNS(Outline!$E$8:$G$8),FALSE)</f>
        <v>Exhibit B.1</v>
      </c>
      <c r="C3" s="232"/>
      <c r="D3" s="232"/>
      <c r="E3" s="232"/>
      <c r="F3" s="232"/>
      <c r="G3" s="232"/>
      <c r="H3" s="232"/>
    </row>
    <row r="4" spans="2:12" ht="16.5" customHeight="1" thickBot="1">
      <c r="B4" s="225" t="s">
        <v>613</v>
      </c>
      <c r="C4" s="225"/>
      <c r="D4" s="225"/>
      <c r="E4" s="225"/>
      <c r="F4" s="225"/>
      <c r="G4" s="225"/>
      <c r="H4" s="233" t="str">
        <f>+'MASTER PubCo Inputs'!$C$20</f>
        <v>(in thousands of USD and shares, except price per share)</v>
      </c>
    </row>
    <row r="5" spans="2:12" ht="14.85" customHeight="1" thickTop="1"/>
    <row r="6" spans="2:12" ht="14.85" customHeight="1"/>
    <row r="7" spans="2:12" ht="30" customHeight="1">
      <c r="B7" s="250" t="s">
        <v>570</v>
      </c>
      <c r="D7" s="2016" t="str">
        <f t="array" ref="D7:G7">TRANSPOSE('Exit Probability'!B36:B39)</f>
        <v>IPO - Phase I</v>
      </c>
      <c r="E7" s="1715" t="str">
        <v>IPO - Phase II</v>
      </c>
      <c r="F7" s="1715" t="str">
        <v>M&amp;A - Phase I</v>
      </c>
      <c r="G7" s="1715" t="str">
        <v>M&amp;A - Phase II</v>
      </c>
      <c r="H7" s="1944" t="str">
        <f>'Exit Probability'!B45</f>
        <v xml:space="preserve">Low Sale - Wtd. Avg. </v>
      </c>
      <c r="K7" s="528"/>
      <c r="L7" s="528"/>
    </row>
    <row r="8" spans="2:12">
      <c r="B8" s="234" t="s">
        <v>646</v>
      </c>
      <c r="D8" s="293" t="s">
        <v>648</v>
      </c>
      <c r="E8" s="293" t="s">
        <v>648</v>
      </c>
      <c r="F8" s="293" t="s">
        <v>2050</v>
      </c>
      <c r="G8" s="293" t="s">
        <v>2050</v>
      </c>
      <c r="H8" s="293" t="s">
        <v>648</v>
      </c>
      <c r="K8" s="2061"/>
      <c r="L8" s="2061"/>
    </row>
    <row r="9" spans="2:12" ht="14.85" customHeight="1"/>
    <row r="10" spans="2:12" ht="14.85" customHeight="1">
      <c r="B10" s="629" t="s">
        <v>406</v>
      </c>
      <c r="C10" s="295"/>
      <c r="D10" s="295"/>
      <c r="E10" s="295"/>
      <c r="F10" s="295"/>
      <c r="G10" s="295"/>
      <c r="H10" s="1945"/>
    </row>
    <row r="11" spans="2:12" ht="14.85" customHeight="1">
      <c r="B11" s="256" t="s">
        <v>402</v>
      </c>
      <c r="D11" s="296">
        <f>'MASTER PubCo Inputs'!$C$6</f>
        <v>43496</v>
      </c>
      <c r="E11" s="296">
        <f>'MASTER PubCo Inputs'!$C$6</f>
        <v>43496</v>
      </c>
      <c r="F11" s="296">
        <f>'MASTER PubCo Inputs'!$C$6</f>
        <v>43496</v>
      </c>
      <c r="G11" s="296">
        <f>'MASTER PubCo Inputs'!$C$6</f>
        <v>43496</v>
      </c>
      <c r="H11" s="296">
        <f>'MASTER PubCo Inputs'!$C$6</f>
        <v>43496</v>
      </c>
    </row>
    <row r="12" spans="2:12" ht="14.85" customHeight="1">
      <c r="B12" s="256"/>
    </row>
    <row r="13" spans="2:12" ht="14.85" customHeight="1">
      <c r="B13" s="256" t="s">
        <v>404</v>
      </c>
      <c r="D13" s="297">
        <f t="shared" ref="D13:H13" si="0">YEARFRAC(D11,D15,3)</f>
        <v>1.9178082191780821</v>
      </c>
      <c r="E13" s="297">
        <f t="shared" si="0"/>
        <v>3.6657534246575341</v>
      </c>
      <c r="F13" s="297">
        <f t="shared" si="0"/>
        <v>1.9178082191780821</v>
      </c>
      <c r="G13" s="297">
        <f t="shared" si="0"/>
        <v>3.6657534246575341</v>
      </c>
      <c r="H13" s="297">
        <f t="shared" si="0"/>
        <v>1.4657534246575343</v>
      </c>
    </row>
    <row r="14" spans="2:12" ht="14.85" customHeight="1">
      <c r="B14" s="256"/>
    </row>
    <row r="15" spans="2:12" ht="14.85" customHeight="1">
      <c r="B15" s="298" t="s">
        <v>403</v>
      </c>
      <c r="C15" s="255"/>
      <c r="D15" s="299">
        <f t="array" ref="D15:G15">TRANSPOSE('Exit Probability'!D36:D40)</f>
        <v>44196</v>
      </c>
      <c r="E15" s="299">
        <v>44834</v>
      </c>
      <c r="F15" s="299">
        <v>44196</v>
      </c>
      <c r="G15" s="299">
        <v>44834</v>
      </c>
      <c r="H15" s="299">
        <f>'Exit Probability'!D45</f>
        <v>44031.29214590865</v>
      </c>
    </row>
    <row r="16" spans="2:12" ht="14.85" customHeight="1"/>
    <row r="17" spans="2:16" ht="14.85" customHeight="1">
      <c r="B17" s="294" t="s">
        <v>405</v>
      </c>
      <c r="C17" s="295"/>
      <c r="D17" s="295"/>
      <c r="E17" s="295"/>
      <c r="F17" s="295"/>
      <c r="G17" s="295"/>
      <c r="H17" s="1945"/>
    </row>
    <row r="18" spans="2:16" ht="14.85" customHeight="1"/>
    <row r="19" spans="2:16" ht="14.85" customHeight="1">
      <c r="B19" s="256" t="s">
        <v>407</v>
      </c>
      <c r="D19" s="1721" t="s">
        <v>4238</v>
      </c>
      <c r="E19" s="1721" t="s">
        <v>4238</v>
      </c>
      <c r="F19" s="1721" t="s">
        <v>4238</v>
      </c>
      <c r="G19" s="1721" t="s">
        <v>4238</v>
      </c>
      <c r="H19" s="1721" t="s">
        <v>4238</v>
      </c>
      <c r="K19" s="2062"/>
      <c r="L19" s="810"/>
      <c r="M19" s="2062"/>
      <c r="N19" s="810"/>
      <c r="O19" s="2062"/>
      <c r="P19" s="810"/>
    </row>
    <row r="20" spans="2:16" ht="14.85" customHeight="1">
      <c r="B20" s="256" t="s">
        <v>408</v>
      </c>
      <c r="D20" s="297">
        <f>SUM('Econ Rights'!$D$13:$G$13)+D29+D36</f>
        <v>89467.435395299995</v>
      </c>
      <c r="E20" s="297">
        <f>SUM('Econ Rights'!$D$13:$G$13)+E29+E36</f>
        <v>139467.43539529998</v>
      </c>
      <c r="F20" s="297">
        <f>SUM('Econ Rights'!$D$13:$G$13)+F29+F36</f>
        <v>89467.435395299995</v>
      </c>
      <c r="G20" s="297">
        <f>SUM('Econ Rights'!$D$13:$G$13)+G29+G36</f>
        <v>139467.43539529998</v>
      </c>
      <c r="H20" s="297">
        <f>SUM('Econ Rights'!$D$13:$G$13)+H29+H36</f>
        <v>39467.435395299995</v>
      </c>
      <c r="J20" s="2063" t="s">
        <v>490</v>
      </c>
      <c r="K20" s="2064">
        <f>F166</f>
        <v>2.7225605165679432</v>
      </c>
      <c r="M20" s="810"/>
      <c r="N20" s="810"/>
      <c r="O20" s="252"/>
    </row>
    <row r="21" spans="2:16" ht="14.85" customHeight="1">
      <c r="B21" s="256" t="s">
        <v>409</v>
      </c>
      <c r="D21" s="300">
        <f t="shared" ref="D21" si="1">D23/D20</f>
        <v>2.2354502408203221</v>
      </c>
      <c r="E21" s="300">
        <f t="shared" ref="E21:G21" si="2">E23/E20</f>
        <v>2.0076371176280765</v>
      </c>
      <c r="F21" s="300">
        <f t="shared" si="2"/>
        <v>3.1296303371484511</v>
      </c>
      <c r="G21" s="300">
        <f t="shared" si="2"/>
        <v>2.8680530251829661</v>
      </c>
      <c r="H21" s="1988">
        <f>'Exit Probability'!G45</f>
        <v>0.39484061781137042</v>
      </c>
      <c r="J21" s="301" t="s">
        <v>1497</v>
      </c>
      <c r="K21" s="302">
        <f>B117</f>
        <v>0.60357333558646586</v>
      </c>
      <c r="M21" s="252"/>
      <c r="N21" s="320"/>
      <c r="O21" s="252"/>
      <c r="P21" s="358"/>
    </row>
    <row r="22" spans="2:16" ht="14.85" customHeight="1">
      <c r="B22" s="269"/>
      <c r="C22" s="269"/>
      <c r="D22" s="269"/>
      <c r="E22" s="269"/>
      <c r="F22" s="269"/>
      <c r="G22" s="269"/>
      <c r="H22" s="269"/>
    </row>
    <row r="23" spans="2:16" ht="14.85" customHeight="1">
      <c r="B23" s="298" t="s">
        <v>405</v>
      </c>
      <c r="D23" s="2068">
        <v>200000</v>
      </c>
      <c r="E23" s="2068">
        <v>280000</v>
      </c>
      <c r="F23" s="2068">
        <v>280000</v>
      </c>
      <c r="G23" s="2068">
        <v>400000</v>
      </c>
      <c r="H23" s="309">
        <f>ROUND(H21*H20,-2)</f>
        <v>15600</v>
      </c>
    </row>
    <row r="24" spans="2:16" ht="14.85" customHeight="1"/>
    <row r="25" spans="2:16" ht="14.85" customHeight="1">
      <c r="B25" s="294" t="s">
        <v>4201</v>
      </c>
      <c r="C25" s="295"/>
      <c r="D25" s="295"/>
      <c r="E25" s="295"/>
      <c r="F25" s="295"/>
      <c r="G25" s="295"/>
      <c r="H25" s="1945"/>
    </row>
    <row r="26" spans="2:16" ht="14.85" customHeight="1"/>
    <row r="27" spans="2:16" ht="14.85" customHeight="1">
      <c r="B27" s="255" t="s">
        <v>4197</v>
      </c>
      <c r="K27" s="287" t="s">
        <v>649</v>
      </c>
      <c r="L27" s="288"/>
    </row>
    <row r="28" spans="2:16" ht="14.85" customHeight="1">
      <c r="B28" s="256" t="s">
        <v>411</v>
      </c>
      <c r="D28" s="303">
        <f>IF(D15&gt;$L$28,$L$28,0)</f>
        <v>43799</v>
      </c>
      <c r="E28" s="303">
        <f>IF(E15&gt;$L$28,$L$28,0)</f>
        <v>43799</v>
      </c>
      <c r="F28" s="303">
        <f>IF(F15&gt;$L$28,$L$28,0)</f>
        <v>43799</v>
      </c>
      <c r="G28" s="303">
        <f>IF(G15&gt;$L$28,$L$28,0)</f>
        <v>43799</v>
      </c>
      <c r="H28" s="303"/>
      <c r="K28" s="277" t="s">
        <v>650</v>
      </c>
      <c r="L28" s="289">
        <v>43799</v>
      </c>
    </row>
    <row r="29" spans="2:16" ht="14.85" customHeight="1">
      <c r="B29" s="256" t="s">
        <v>410</v>
      </c>
      <c r="D29" s="297">
        <f>IF(D28=0,0,$L$29)</f>
        <v>50000</v>
      </c>
      <c r="E29" s="297">
        <f>IF(E28=0,0,$L$29)</f>
        <v>50000</v>
      </c>
      <c r="F29" s="297">
        <f>IF(F28=0,0,$L$29)</f>
        <v>50000</v>
      </c>
      <c r="G29" s="297">
        <f>IF(G28=0,0,$L$29)</f>
        <v>50000</v>
      </c>
      <c r="H29" s="297"/>
      <c r="K29" s="277" t="s">
        <v>651</v>
      </c>
      <c r="L29" s="290">
        <v>50000</v>
      </c>
    </row>
    <row r="30" spans="2:16" ht="14.85" customHeight="1">
      <c r="B30" s="256" t="s">
        <v>412</v>
      </c>
      <c r="D30" s="304">
        <f>IF(D28=0,0,$L$30)</f>
        <v>0.2</v>
      </c>
      <c r="E30" s="304">
        <f>IF(E28=0,0,$L$30)</f>
        <v>0.2</v>
      </c>
      <c r="F30" s="304">
        <f>IF(F28=0,0,$L$30)</f>
        <v>0.2</v>
      </c>
      <c r="G30" s="304">
        <f>IF(G28=0,0,$L$30)</f>
        <v>0.2</v>
      </c>
      <c r="H30" s="304"/>
      <c r="K30" s="277" t="s">
        <v>652</v>
      </c>
      <c r="L30" s="291">
        <f>+'WACC PWERM'!P21</f>
        <v>0.2</v>
      </c>
    </row>
    <row r="31" spans="2:16" ht="14.85" customHeight="1">
      <c r="B31" s="269"/>
      <c r="C31" s="269"/>
      <c r="D31" s="269"/>
      <c r="E31" s="269"/>
      <c r="F31" s="269"/>
      <c r="G31" s="269"/>
      <c r="H31" s="269"/>
    </row>
    <row r="32" spans="2:16" ht="14.85" customHeight="1">
      <c r="B32" s="298" t="s">
        <v>161</v>
      </c>
      <c r="D32" s="297">
        <f t="shared" ref="D32" si="3">D29*(1+D30)^(YEARFRAC(D28,D$15,3))</f>
        <v>60966.767332319781</v>
      </c>
      <c r="E32" s="297">
        <f t="shared" ref="E32:H32" si="4">E29*(1+E30)^(YEARFRAC(E28,E$15,3))</f>
        <v>83848.953614754966</v>
      </c>
      <c r="F32" s="297">
        <f t="shared" si="4"/>
        <v>60966.767332319781</v>
      </c>
      <c r="G32" s="297">
        <f t="shared" si="4"/>
        <v>83848.953614754966</v>
      </c>
      <c r="H32" s="297">
        <f t="shared" si="4"/>
        <v>0</v>
      </c>
    </row>
    <row r="33" spans="2:12" ht="14.85" customHeight="1"/>
    <row r="34" spans="2:12" ht="14.85" customHeight="1">
      <c r="B34" s="255" t="s">
        <v>4198</v>
      </c>
      <c r="K34" s="287" t="s">
        <v>649</v>
      </c>
      <c r="L34" s="288"/>
    </row>
    <row r="35" spans="2:12" ht="14.85" customHeight="1">
      <c r="B35" s="256" t="s">
        <v>411</v>
      </c>
      <c r="D35" s="303">
        <f>IF(D15&gt;$L$35,$L$35,0)</f>
        <v>0</v>
      </c>
      <c r="E35" s="303">
        <f>IF(E15&gt;$L$35,$L$35,0)</f>
        <v>44561</v>
      </c>
      <c r="F35" s="303">
        <f>IF(F15&gt;$L$35,$L$35,0)</f>
        <v>0</v>
      </c>
      <c r="G35" s="303">
        <f>IF(G15&gt;$L$35,$L$35,0)</f>
        <v>44561</v>
      </c>
      <c r="H35" s="303">
        <f>IF(H15&gt;$L$35,$L$35,0)</f>
        <v>0</v>
      </c>
      <c r="K35" s="277" t="s">
        <v>650</v>
      </c>
      <c r="L35" s="289">
        <v>44561</v>
      </c>
    </row>
    <row r="36" spans="2:12" ht="14.85" customHeight="1">
      <c r="B36" s="256" t="s">
        <v>410</v>
      </c>
      <c r="D36" s="297">
        <f>IF(D35=0,0,$L$36)</f>
        <v>0</v>
      </c>
      <c r="E36" s="297">
        <f>IF(E35=0,0,$L$36)</f>
        <v>50000</v>
      </c>
      <c r="F36" s="297">
        <f>IF(F35=0,0,$L$36)</f>
        <v>0</v>
      </c>
      <c r="G36" s="297">
        <f>IF(G35=0,0,$L$36)</f>
        <v>50000</v>
      </c>
      <c r="H36" s="297">
        <f>IF(H35=0,0,$L$36)</f>
        <v>0</v>
      </c>
      <c r="K36" s="277" t="s">
        <v>651</v>
      </c>
      <c r="L36" s="290">
        <v>50000</v>
      </c>
    </row>
    <row r="37" spans="2:12" ht="14.85" customHeight="1">
      <c r="B37" s="256" t="s">
        <v>412</v>
      </c>
      <c r="D37" s="304">
        <f>IF(D35=0,0,$L$37)</f>
        <v>0</v>
      </c>
      <c r="E37" s="304">
        <f>IF(E35=0,0,$L$37)</f>
        <v>0.2</v>
      </c>
      <c r="F37" s="304">
        <f>IF(F35=0,0,$L$37)</f>
        <v>0</v>
      </c>
      <c r="G37" s="304">
        <f>IF(G35=0,0,$L$37)</f>
        <v>0.2</v>
      </c>
      <c r="H37" s="304">
        <f>IF(H35=0,0,$L$37)</f>
        <v>0</v>
      </c>
      <c r="K37" s="277" t="s">
        <v>652</v>
      </c>
      <c r="L37" s="292">
        <f>+L30</f>
        <v>0.2</v>
      </c>
    </row>
    <row r="38" spans="2:12" ht="14.85" customHeight="1">
      <c r="B38" s="269"/>
      <c r="C38" s="269"/>
      <c r="D38" s="269"/>
      <c r="E38" s="269"/>
      <c r="F38" s="269"/>
      <c r="G38" s="269"/>
      <c r="H38" s="269"/>
    </row>
    <row r="39" spans="2:12" ht="14.85" customHeight="1">
      <c r="B39" s="298" t="s">
        <v>161</v>
      </c>
      <c r="D39" s="297">
        <f t="shared" ref="D39" si="5">D36*(1+D37)^(YEARFRAC(D35,D$15,3))</f>
        <v>0</v>
      </c>
      <c r="E39" s="297">
        <f t="shared" ref="E39:H39" si="6">E36*(1+E37)^(YEARFRAC(E35,E$15,3))</f>
        <v>57305.095111426417</v>
      </c>
      <c r="F39" s="297">
        <f t="shared" si="6"/>
        <v>0</v>
      </c>
      <c r="G39" s="297">
        <f t="shared" si="6"/>
        <v>57305.095111426417</v>
      </c>
      <c r="H39" s="297">
        <f t="shared" si="6"/>
        <v>0</v>
      </c>
    </row>
    <row r="40" spans="2:12" ht="14.85" customHeight="1"/>
    <row r="41" spans="2:12" ht="14.85" customHeight="1" thickBot="1">
      <c r="B41" s="306" t="s">
        <v>363</v>
      </c>
      <c r="C41" s="307"/>
      <c r="D41" s="308">
        <f>D39+D32</f>
        <v>60966.767332319781</v>
      </c>
      <c r="E41" s="308">
        <f t="shared" ref="E41:H41" si="7">E39+E32</f>
        <v>141154.04872618138</v>
      </c>
      <c r="F41" s="308">
        <f t="shared" si="7"/>
        <v>60966.767332319781</v>
      </c>
      <c r="G41" s="308">
        <f t="shared" si="7"/>
        <v>141154.04872618138</v>
      </c>
      <c r="H41" s="308">
        <f t="shared" si="7"/>
        <v>0</v>
      </c>
    </row>
    <row r="42" spans="2:12" ht="14.85" customHeight="1"/>
    <row r="43" spans="2:12" ht="14.85" customHeight="1">
      <c r="B43" s="294" t="s">
        <v>413</v>
      </c>
      <c r="C43" s="295"/>
      <c r="D43" s="295"/>
      <c r="E43" s="295"/>
      <c r="F43" s="295"/>
      <c r="G43" s="295"/>
      <c r="H43" s="1945"/>
    </row>
    <row r="44" spans="2:12" ht="14.85" customHeight="1"/>
    <row r="45" spans="2:12" ht="14.85" customHeight="1">
      <c r="B45" s="234" t="s">
        <v>405</v>
      </c>
      <c r="D45" s="259">
        <f>D23</f>
        <v>200000</v>
      </c>
      <c r="E45" s="259">
        <f>E23</f>
        <v>280000</v>
      </c>
      <c r="F45" s="259">
        <f>F23</f>
        <v>280000</v>
      </c>
      <c r="G45" s="259">
        <f>G23</f>
        <v>400000</v>
      </c>
      <c r="H45" s="259">
        <f>H23</f>
        <v>15600</v>
      </c>
    </row>
    <row r="46" spans="2:12" ht="14.85" customHeight="1">
      <c r="B46" s="256" t="s">
        <v>334</v>
      </c>
      <c r="D46" s="259">
        <f t="shared" ref="D46" si="8">-MIN(D41,D45)</f>
        <v>-60966.767332319781</v>
      </c>
      <c r="E46" s="259">
        <f t="shared" ref="E46:H46" si="9">-MIN(E41,E45)</f>
        <v>-141154.04872618138</v>
      </c>
      <c r="F46" s="259">
        <f t="shared" si="9"/>
        <v>-60966.767332319781</v>
      </c>
      <c r="G46" s="259">
        <f t="shared" si="9"/>
        <v>-141154.04872618138</v>
      </c>
      <c r="H46" s="259">
        <f t="shared" si="9"/>
        <v>0</v>
      </c>
    </row>
    <row r="47" spans="2:12" ht="14.85" customHeight="1">
      <c r="B47" s="269"/>
      <c r="C47" s="269"/>
      <c r="D47" s="269"/>
      <c r="E47" s="269"/>
      <c r="F47" s="269"/>
      <c r="G47" s="269"/>
      <c r="H47" s="269"/>
    </row>
    <row r="48" spans="2:12" ht="14.85" customHeight="1">
      <c r="B48" s="255" t="s">
        <v>414</v>
      </c>
      <c r="D48" s="309">
        <f t="shared" ref="D48" si="10">SUM(D45:D46)</f>
        <v>139033.23266768022</v>
      </c>
      <c r="E48" s="309">
        <f t="shared" ref="E48:H48" si="11">SUM(E45:E46)</f>
        <v>138845.95127381862</v>
      </c>
      <c r="F48" s="309">
        <f t="shared" si="11"/>
        <v>219033.23266768022</v>
      </c>
      <c r="G48" s="309">
        <f t="shared" si="11"/>
        <v>258845.95127381862</v>
      </c>
      <c r="H48" s="309">
        <f t="shared" si="11"/>
        <v>15600</v>
      </c>
    </row>
    <row r="49" spans="2:12" ht="14.85" customHeight="1"/>
    <row r="50" spans="2:12" ht="14.85" customHeight="1">
      <c r="B50" s="256" t="s">
        <v>1354</v>
      </c>
      <c r="D50" s="452">
        <v>0</v>
      </c>
      <c r="E50" s="452">
        <v>0</v>
      </c>
      <c r="F50" s="452">
        <v>0</v>
      </c>
      <c r="G50" s="452">
        <v>0</v>
      </c>
      <c r="H50" s="452">
        <v>0</v>
      </c>
    </row>
    <row r="51" spans="2:12" ht="14.85" customHeight="1">
      <c r="B51" s="269"/>
      <c r="C51" s="269"/>
      <c r="D51" s="269"/>
      <c r="E51" s="269"/>
      <c r="F51" s="269"/>
      <c r="G51" s="269"/>
      <c r="H51" s="269"/>
    </row>
    <row r="52" spans="2:12" ht="14.85" customHeight="1">
      <c r="B52" s="255" t="s">
        <v>424</v>
      </c>
      <c r="D52" s="309">
        <f t="shared" ref="D52" si="12">MAX(SUM(D48:D50),0)</f>
        <v>139033.23266768022</v>
      </c>
      <c r="E52" s="309">
        <f t="shared" ref="E52:H52" si="13">MAX(SUM(E48:E50),0)</f>
        <v>138845.95127381862</v>
      </c>
      <c r="F52" s="309">
        <f t="shared" si="13"/>
        <v>219033.23266768022</v>
      </c>
      <c r="G52" s="309">
        <f t="shared" si="13"/>
        <v>258845.95127381862</v>
      </c>
      <c r="H52" s="309">
        <f t="shared" si="13"/>
        <v>15600</v>
      </c>
    </row>
    <row r="53" spans="2:12" ht="14.85" customHeight="1"/>
    <row r="54" spans="2:12" ht="14.85" customHeight="1">
      <c r="B54" s="255" t="s">
        <v>415</v>
      </c>
      <c r="J54" s="363" t="s">
        <v>4199</v>
      </c>
      <c r="L54" s="363" t="s">
        <v>1431</v>
      </c>
    </row>
    <row r="55" spans="2:12" ht="14.85" customHeight="1">
      <c r="B55" s="256" t="str">
        <f>'Cap Table'!$D$7</f>
        <v>Series Seed</v>
      </c>
      <c r="D55" s="1995"/>
      <c r="E55" s="1995"/>
      <c r="F55" s="259">
        <f>IF(F$52&lt;$L$55,F$52*$K55,INDEX('OPM 1 Hybrid'!$D19:$O19,0,MATCH(F$52,'OPM 1 Hybrid'!$D$47:$O$47,1)))</f>
        <v>0</v>
      </c>
      <c r="G55" s="259">
        <f>IF(G$52&lt;$L$55,G$52*$K55,INDEX('OPM 1 Hybrid'!$D19:$O19,0,MATCH(G$52,'OPM 1 Hybrid'!$D$47:$O$47,1)))</f>
        <v>0</v>
      </c>
      <c r="H55" s="259">
        <f>IF(H$52&lt;$L$55,H$52*$K55,INDEX('OPM 1 Hybrid'!$D19:$O19,0,MATCH(H$52,'OPM 1 Hybrid'!$D$47:$O$47,1)))</f>
        <v>403.17471614420941</v>
      </c>
      <c r="J55" s="267">
        <f>'Econ Rights'!D16</f>
        <v>1020.0174399</v>
      </c>
      <c r="K55" s="310">
        <f>+J55/$J$60</f>
        <v>2.5844533086167271E-2</v>
      </c>
      <c r="L55" s="267">
        <f>'OPM 1 Hybrid'!D47</f>
        <v>39467.435395299995</v>
      </c>
    </row>
    <row r="56" spans="2:12" ht="14.85" customHeight="1">
      <c r="B56" s="256" t="str">
        <f>'Cap Table'!$E$7</f>
        <v>Series Seed-1</v>
      </c>
      <c r="D56" s="1995"/>
      <c r="E56" s="1995"/>
      <c r="F56" s="259">
        <f>IF(F$52&lt;$L$55,F$52*$K56,INDEX('OPM 1 Hybrid'!$D20:$O20,0,MATCH(F$52,'OPM 1 Hybrid'!$D$47:$O$47,1)))</f>
        <v>0</v>
      </c>
      <c r="G56" s="259">
        <f>IF(G$52&lt;$L$55,G$52*$K56,INDEX('OPM 1 Hybrid'!$D20:$O20,0,MATCH(G$52,'OPM 1 Hybrid'!$D$47:$O$47,1)))</f>
        <v>0</v>
      </c>
      <c r="H56" s="259">
        <f>IF(H$52&lt;$L$55,H$52*$K56,INDEX('OPM 1 Hybrid'!$D20:$O20,0,MATCH(H$52,'OPM 1 Hybrid'!$D$47:$O$47,1)))</f>
        <v>1355.755325226226</v>
      </c>
      <c r="J56" s="267">
        <f>'Econ Rights'!E16</f>
        <v>3430.0119045000001</v>
      </c>
      <c r="K56" s="310">
        <f>+J56/$J$60</f>
        <v>8.6907392642706791E-2</v>
      </c>
    </row>
    <row r="57" spans="2:12" ht="14.85" customHeight="1">
      <c r="B57" s="256" t="str">
        <f>'Cap Table'!$F$7</f>
        <v>Series A</v>
      </c>
      <c r="D57" s="1995"/>
      <c r="E57" s="1995"/>
      <c r="F57" s="259">
        <f>IF(F$52&lt;$L$55,F$52*$K57,INDEX('OPM 1 Hybrid'!$D21:$O21,0,MATCH(F$52,'OPM 1 Hybrid'!$D$47:$O$47,1)))</f>
        <v>0</v>
      </c>
      <c r="G57" s="259">
        <f>IF(G$52&lt;$L$55,G$52*$K57,INDEX('OPM 1 Hybrid'!$D21:$O21,0,MATCH(G$52,'OPM 1 Hybrid'!$D$47:$O$47,1)))</f>
        <v>0</v>
      </c>
      <c r="H57" s="259">
        <f>IF(H$52&lt;$L$55,H$52*$K57,INDEX('OPM 1 Hybrid'!$D21:$O21,0,MATCH(H$52,'OPM 1 Hybrid'!$D$47:$O$47,1)))</f>
        <v>5192.0087555899936</v>
      </c>
      <c r="J57" s="267">
        <f>'Econ Rights'!F16</f>
        <v>13135.5942393</v>
      </c>
      <c r="K57" s="310">
        <f>+J57/$J$60</f>
        <v>0.33282107407628164</v>
      </c>
    </row>
    <row r="58" spans="2:12" ht="14.85" customHeight="1">
      <c r="B58" s="256" t="str">
        <f>'Cap Table'!$G$7</f>
        <v>Series B</v>
      </c>
      <c r="D58" s="1995"/>
      <c r="E58" s="1995"/>
      <c r="F58" s="259">
        <f>IF(F$52&lt;$L$55,F$52*$K58,INDEX('OPM 1 Hybrid'!$D22:$O22,0,MATCH(F$52,'OPM 1 Hybrid'!$D$47:$O$47,1)))</f>
        <v>0</v>
      </c>
      <c r="G58" s="259">
        <f>IF(G$52&lt;$L$55,G$52*$K58,INDEX('OPM 1 Hybrid'!$D22:$O22,0,MATCH(G$52,'OPM 1 Hybrid'!$D$47:$O$47,1)))</f>
        <v>0</v>
      </c>
      <c r="H58" s="259">
        <f>IF(H$52&lt;$L$55,H$52*$K58,INDEX('OPM 1 Hybrid'!$D22:$O22,0,MATCH(H$52,'OPM 1 Hybrid'!$D$47:$O$47,1)))</f>
        <v>8649.0612030395732</v>
      </c>
      <c r="J58" s="267">
        <f>'Econ Rights'!G16</f>
        <v>21881.811811600001</v>
      </c>
      <c r="K58" s="310">
        <f>+J58/$J$60</f>
        <v>0.55442700019484448</v>
      </c>
    </row>
    <row r="59" spans="2:12" ht="14.85" customHeight="1">
      <c r="B59" s="269"/>
      <c r="C59" s="269"/>
      <c r="D59" s="269"/>
      <c r="E59" s="269"/>
      <c r="F59" s="269"/>
      <c r="G59" s="269"/>
      <c r="H59" s="269"/>
      <c r="K59" s="310"/>
    </row>
    <row r="60" spans="2:12" ht="14.85" customHeight="1">
      <c r="B60" s="305" t="str">
        <f>CONCATENATE("Total ",B54)</f>
        <v>Total Liquidation Preferences</v>
      </c>
      <c r="D60" s="309">
        <f t="shared" ref="D60" si="14">SUM(D55:D58)</f>
        <v>0</v>
      </c>
      <c r="E60" s="309">
        <f t="shared" ref="E60:H60" si="15">SUM(E55:E58)</f>
        <v>0</v>
      </c>
      <c r="F60" s="309">
        <f t="shared" si="15"/>
        <v>0</v>
      </c>
      <c r="G60" s="309">
        <f t="shared" si="15"/>
        <v>0</v>
      </c>
      <c r="H60" s="309">
        <f t="shared" si="15"/>
        <v>15600.000000000002</v>
      </c>
      <c r="J60" s="311">
        <f>SUM(J55:J58)</f>
        <v>39467.435395299995</v>
      </c>
      <c r="K60" s="312">
        <f>SUM(K55:K58)</f>
        <v>1.0000000000000002</v>
      </c>
    </row>
    <row r="61" spans="2:12" ht="14.85" customHeight="1"/>
    <row r="62" spans="2:12" ht="14.85" customHeight="1">
      <c r="B62" s="255" t="s">
        <v>416</v>
      </c>
      <c r="C62" s="255"/>
      <c r="D62" s="309">
        <f t="shared" ref="D62" si="16">D52-D60</f>
        <v>139033.23266768022</v>
      </c>
      <c r="E62" s="309">
        <f t="shared" ref="E62:H62" si="17">E52-E60</f>
        <v>138845.95127381862</v>
      </c>
      <c r="F62" s="309">
        <f t="shared" si="17"/>
        <v>219033.23266768022</v>
      </c>
      <c r="G62" s="309">
        <f t="shared" si="17"/>
        <v>258845.95127381862</v>
      </c>
      <c r="H62" s="309">
        <f t="shared" si="17"/>
        <v>0</v>
      </c>
    </row>
    <row r="63" spans="2:12" ht="14.85" customHeight="1">
      <c r="J63" s="363" t="s">
        <v>304</v>
      </c>
      <c r="K63" s="363" t="s">
        <v>4200</v>
      </c>
    </row>
    <row r="64" spans="2:12" ht="14.85" customHeight="1">
      <c r="B64" s="255" t="s">
        <v>417</v>
      </c>
    </row>
    <row r="65" spans="2:11" ht="14.85" customHeight="1">
      <c r="B65" s="256" t="str">
        <f>+$B55</f>
        <v>Series Seed</v>
      </c>
      <c r="D65" s="259">
        <f>J65</f>
        <v>1010.456</v>
      </c>
      <c r="E65" s="259">
        <f>J65</f>
        <v>1010.456</v>
      </c>
      <c r="F65" s="259">
        <f>+IF(F$52&gt;$K65,$J65,0)</f>
        <v>1010.456</v>
      </c>
      <c r="G65" s="259">
        <f t="shared" ref="G65:H75" si="18">+IF(G$52&gt;$K65,$J65,0)</f>
        <v>1010.456</v>
      </c>
      <c r="H65" s="259">
        <f t="shared" si="18"/>
        <v>0</v>
      </c>
      <c r="J65" s="267">
        <f>'Cap Table'!D11</f>
        <v>1010.456</v>
      </c>
      <c r="K65" s="267">
        <f t="array" ref="K65:K68">TRANSPOSE('OPM 1 Hybrid'!L47:O47)</f>
        <v>44579.714481250005</v>
      </c>
    </row>
    <row r="66" spans="2:11" ht="14.85" customHeight="1">
      <c r="B66" s="256" t="str">
        <f>+$B56</f>
        <v>Series Seed-1</v>
      </c>
      <c r="D66" s="259">
        <f t="shared" ref="D66:D75" si="19">J66</f>
        <v>1787.64</v>
      </c>
      <c r="E66" s="259">
        <f t="shared" ref="E66:E75" si="20">J66</f>
        <v>1787.64</v>
      </c>
      <c r="F66" s="259">
        <f t="shared" ref="F66:F75" si="21">+IF(F$52&gt;$K66,$J66,0)</f>
        <v>1787.64</v>
      </c>
      <c r="G66" s="259">
        <f t="shared" si="18"/>
        <v>1787.64</v>
      </c>
      <c r="H66" s="259">
        <f t="shared" si="18"/>
        <v>0</v>
      </c>
      <c r="J66" s="267">
        <f>'Cap Table'!E11</f>
        <v>1787.64</v>
      </c>
      <c r="K66" s="267">
        <v>51825.912448349998</v>
      </c>
    </row>
    <row r="67" spans="2:11" ht="14.85" customHeight="1">
      <c r="B67" s="256" t="str">
        <f>+$B57</f>
        <v>Series A</v>
      </c>
      <c r="D67" s="259">
        <f t="shared" si="19"/>
        <v>6120.1109999999999</v>
      </c>
      <c r="E67" s="259">
        <f t="shared" si="20"/>
        <v>6120.1109999999999</v>
      </c>
      <c r="F67" s="259">
        <f t="shared" si="21"/>
        <v>6120.1109999999999</v>
      </c>
      <c r="G67" s="259">
        <f t="shared" si="18"/>
        <v>6120.1109999999999</v>
      </c>
      <c r="H67" s="259">
        <f t="shared" si="18"/>
        <v>0</v>
      </c>
      <c r="J67" s="267">
        <f>'Cap Table'!F11</f>
        <v>6120.1109999999999</v>
      </c>
      <c r="K67" s="267">
        <v>54046.204261100007</v>
      </c>
    </row>
    <row r="68" spans="2:11" ht="14.85" customHeight="1">
      <c r="B68" s="256" t="str">
        <f>+$B58</f>
        <v>Series B</v>
      </c>
      <c r="D68" s="259">
        <f t="shared" si="19"/>
        <v>5097.5659999999998</v>
      </c>
      <c r="E68" s="259">
        <f t="shared" si="20"/>
        <v>5097.5659999999998</v>
      </c>
      <c r="F68" s="259">
        <f t="shared" si="21"/>
        <v>5097.5659999999998</v>
      </c>
      <c r="G68" s="259">
        <f t="shared" si="18"/>
        <v>5097.5659999999998</v>
      </c>
      <c r="H68" s="259">
        <f t="shared" si="18"/>
        <v>0</v>
      </c>
      <c r="J68" s="267">
        <f>'Cap Table'!G11</f>
        <v>5097.5659999999998</v>
      </c>
      <c r="K68" s="267">
        <v>88122.91277760001</v>
      </c>
    </row>
    <row r="69" spans="2:11" ht="14.85" customHeight="1">
      <c r="B69" s="313" t="str">
        <f>'Cap Table'!$B24</f>
        <v>Options at $0.0059 Strike Price</v>
      </c>
      <c r="D69" s="259">
        <f t="shared" ref="D69:E74" si="22">IF((SUM(D$62,$J$79)*$J69/$J$77-$J69*$K87)&gt;0,$J69,0)</f>
        <v>79.688000000000002</v>
      </c>
      <c r="E69" s="259">
        <f t="shared" si="22"/>
        <v>79.688000000000002</v>
      </c>
      <c r="F69" s="259">
        <f t="shared" si="21"/>
        <v>79.688000000000002</v>
      </c>
      <c r="G69" s="259">
        <f t="shared" si="18"/>
        <v>79.688000000000002</v>
      </c>
      <c r="H69" s="259">
        <f t="shared" si="18"/>
        <v>0</v>
      </c>
      <c r="J69" s="267">
        <f>'Cap Table'!D24</f>
        <v>79.688000000000002</v>
      </c>
      <c r="K69" s="267">
        <f t="array" ref="K69:K74">TRANSPOSE('OPM 1 Hybrid'!F47:K47)</f>
        <v>39488.692749174996</v>
      </c>
    </row>
    <row r="70" spans="2:11" ht="14.85" customHeight="1">
      <c r="B70" s="313" t="str">
        <f>'Cap Table'!$B25</f>
        <v>Options at $0.350 Strike Price</v>
      </c>
      <c r="D70" s="259">
        <f t="shared" si="22"/>
        <v>10</v>
      </c>
      <c r="E70" s="259">
        <f t="shared" si="22"/>
        <v>10</v>
      </c>
      <c r="F70" s="259">
        <f t="shared" si="21"/>
        <v>10</v>
      </c>
      <c r="G70" s="259">
        <f t="shared" si="18"/>
        <v>10</v>
      </c>
      <c r="H70" s="259">
        <f t="shared" si="18"/>
        <v>0</v>
      </c>
      <c r="J70" s="267">
        <f>'Cap Table'!D25</f>
        <v>10</v>
      </c>
      <c r="K70" s="267">
        <v>40761.253578299998</v>
      </c>
    </row>
    <row r="71" spans="2:11" ht="14.85" customHeight="1">
      <c r="B71" s="313" t="str">
        <f>'Cap Table'!$B26</f>
        <v>Options at $0.38 Strike Price</v>
      </c>
      <c r="D71" s="259">
        <f t="shared" si="22"/>
        <v>328.69</v>
      </c>
      <c r="E71" s="259">
        <f t="shared" si="22"/>
        <v>328.69</v>
      </c>
      <c r="F71" s="259">
        <f t="shared" si="21"/>
        <v>328.69</v>
      </c>
      <c r="G71" s="259">
        <f t="shared" si="18"/>
        <v>328.69</v>
      </c>
      <c r="H71" s="259">
        <f t="shared" si="18"/>
        <v>0</v>
      </c>
      <c r="J71" s="267">
        <f>'Cap Table'!D26</f>
        <v>328.69</v>
      </c>
      <c r="K71" s="267">
        <v>40872.492408299993</v>
      </c>
    </row>
    <row r="72" spans="2:11" ht="14.85" customHeight="1">
      <c r="B72" s="313" t="str">
        <f>'Cap Table'!$B27</f>
        <v>Options at $0.81 Strike Price</v>
      </c>
      <c r="D72" s="259">
        <f t="shared" si="22"/>
        <v>1224.4010000000001</v>
      </c>
      <c r="E72" s="259">
        <f t="shared" si="22"/>
        <v>1224.4010000000001</v>
      </c>
      <c r="F72" s="259">
        <f t="shared" si="21"/>
        <v>1224.4010000000001</v>
      </c>
      <c r="G72" s="259">
        <f t="shared" si="18"/>
        <v>1224.4010000000001</v>
      </c>
      <c r="H72" s="259">
        <f t="shared" si="18"/>
        <v>0</v>
      </c>
      <c r="J72" s="267">
        <f>'Cap Table'!D27</f>
        <v>1224.4010000000001</v>
      </c>
      <c r="K72" s="267">
        <v>41114.691468299992</v>
      </c>
    </row>
    <row r="73" spans="2:11" ht="14.85" customHeight="1">
      <c r="B73" s="313" t="str">
        <f>'Cap Table'!$B28</f>
        <v>Options at $0.91 Strike Price</v>
      </c>
      <c r="D73" s="259">
        <f t="shared" si="22"/>
        <v>95.094999999999999</v>
      </c>
      <c r="E73" s="259">
        <f t="shared" si="22"/>
        <v>95.094999999999999</v>
      </c>
      <c r="F73" s="259">
        <f t="shared" si="21"/>
        <v>95.094999999999999</v>
      </c>
      <c r="G73" s="259">
        <f t="shared" si="18"/>
        <v>95.094999999999999</v>
      </c>
      <c r="H73" s="259">
        <f t="shared" si="18"/>
        <v>0</v>
      </c>
      <c r="J73" s="267">
        <f>'Cap Table'!D28</f>
        <v>95.094999999999999</v>
      </c>
      <c r="K73" s="267">
        <v>43201.214708299995</v>
      </c>
    </row>
    <row r="74" spans="2:11" ht="14.85" customHeight="1">
      <c r="B74" s="313" t="str">
        <f>'Cap Table'!$B29</f>
        <v>Expected Options Grant</v>
      </c>
      <c r="D74" s="259">
        <f t="shared" si="22"/>
        <v>1602.6010000000001</v>
      </c>
      <c r="E74" s="259">
        <f t="shared" si="22"/>
        <v>1602.6010000000001</v>
      </c>
      <c r="F74" s="259">
        <f t="shared" si="21"/>
        <v>1602.6010000000001</v>
      </c>
      <c r="G74" s="259">
        <f t="shared" si="18"/>
        <v>1602.6010000000001</v>
      </c>
      <c r="H74" s="259">
        <f t="shared" si="18"/>
        <v>0</v>
      </c>
      <c r="J74" s="267">
        <f>'Cap Table'!D29</f>
        <v>1602.6010000000001</v>
      </c>
      <c r="K74" s="267">
        <v>43887.580008299992</v>
      </c>
    </row>
    <row r="75" spans="2:11" ht="14.85" customHeight="1">
      <c r="B75" s="314" t="str">
        <f>'Cap Table'!$H7 &amp;" Stock"</f>
        <v>Common Stock</v>
      </c>
      <c r="D75" s="259">
        <f t="shared" si="19"/>
        <v>3618.2730000000001</v>
      </c>
      <c r="E75" s="259">
        <f t="shared" si="20"/>
        <v>3618.2730000000001</v>
      </c>
      <c r="F75" s="259">
        <f t="shared" si="21"/>
        <v>3618.2730000000001</v>
      </c>
      <c r="G75" s="259">
        <f t="shared" si="18"/>
        <v>3618.2730000000001</v>
      </c>
      <c r="H75" s="259">
        <f t="shared" si="18"/>
        <v>0</v>
      </c>
      <c r="J75" s="267">
        <f>'Cap Table'!H11</f>
        <v>3618.2730000000001</v>
      </c>
      <c r="K75" s="267">
        <f>'OPM 1 Hybrid'!E47</f>
        <v>39467.435395299995</v>
      </c>
    </row>
    <row r="76" spans="2:11" ht="14.85" customHeight="1">
      <c r="B76" s="269"/>
      <c r="C76" s="269"/>
      <c r="D76" s="269"/>
      <c r="E76" s="269"/>
      <c r="F76" s="269"/>
      <c r="G76" s="269"/>
      <c r="H76" s="269"/>
    </row>
    <row r="77" spans="2:11" ht="14.85" customHeight="1">
      <c r="B77" s="305" t="str">
        <f>CONCATENATE("Total ",B64)</f>
        <v>Total Shares (As Converted)</v>
      </c>
      <c r="D77" s="309">
        <f t="shared" ref="D77" si="23">SUM(D65:D75)</f>
        <v>20974.521000000001</v>
      </c>
      <c r="E77" s="309">
        <f t="shared" ref="E77:H77" si="24">SUM(E65:E75)</f>
        <v>20974.521000000001</v>
      </c>
      <c r="F77" s="309">
        <f t="shared" si="24"/>
        <v>20974.521000000001</v>
      </c>
      <c r="G77" s="309">
        <f t="shared" si="24"/>
        <v>20974.521000000001</v>
      </c>
      <c r="H77" s="309">
        <f t="shared" si="24"/>
        <v>0</v>
      </c>
      <c r="J77" s="2059">
        <f>SUM(J65:J75)</f>
        <v>20974.521000000001</v>
      </c>
    </row>
    <row r="78" spans="2:11" ht="14.85" customHeight="1"/>
    <row r="79" spans="2:11" ht="14.85" customHeight="1">
      <c r="B79" s="256" t="s">
        <v>425</v>
      </c>
      <c r="D79" s="259">
        <f>+SUMPRODUCT(D$69:D$74,$K$87:$K$92)</f>
        <v>2168.7322270000004</v>
      </c>
      <c r="E79" s="259">
        <f>+SUMPRODUCT(E$69:E$74,$K$87:$K$92)</f>
        <v>2168.7322270000004</v>
      </c>
      <c r="F79" s="259">
        <f>+SUMPRODUCT(F$69:F$74,$K$87:$K$92)</f>
        <v>2168.7322270000004</v>
      </c>
      <c r="G79" s="259">
        <f>+SUMPRODUCT(G$69:G$74,$K$87:$K$92)</f>
        <v>2168.7322270000004</v>
      </c>
      <c r="H79" s="259">
        <f>+SUMPRODUCT(H$69:H$74,$K$87:$K$92)</f>
        <v>0</v>
      </c>
      <c r="J79" s="591">
        <f>SUMPRODUCT(J69:J74,K87:K92)</f>
        <v>2168.7322270000004</v>
      </c>
    </row>
    <row r="80" spans="2:11" ht="14.85" customHeight="1"/>
    <row r="81" spans="2:11" ht="14.85" customHeight="1">
      <c r="B81" s="294" t="s">
        <v>594</v>
      </c>
      <c r="C81" s="295"/>
      <c r="D81" s="295"/>
      <c r="E81" s="295"/>
      <c r="F81" s="295"/>
      <c r="G81" s="295"/>
      <c r="H81" s="1945"/>
      <c r="K81" s="315" t="s">
        <v>82</v>
      </c>
    </row>
    <row r="82" spans="2:11" ht="14.85" customHeight="1"/>
    <row r="83" spans="2:11" ht="14.85" customHeight="1">
      <c r="B83" s="256" t="str">
        <f t="shared" ref="B83:B93" si="25">+B65</f>
        <v>Series Seed</v>
      </c>
      <c r="D83" s="259">
        <f t="shared" ref="D83" si="26">D55+IF(D65&gt;0,(D$62+D$79)*(D65/D$77),0)</f>
        <v>6802.4615503552614</v>
      </c>
      <c r="E83" s="259">
        <f t="shared" ref="E83:H86" si="27">E55+IF(E65&gt;0,(E$62+E$79)*(E65/E$77),0)</f>
        <v>6793.4391937486043</v>
      </c>
      <c r="F83" s="259">
        <f t="shared" si="27"/>
        <v>10656.493783081816</v>
      </c>
      <c r="G83" s="259">
        <f t="shared" si="27"/>
        <v>12574.487542838435</v>
      </c>
      <c r="H83" s="259">
        <f t="shared" si="27"/>
        <v>403.17471614420941</v>
      </c>
    </row>
    <row r="84" spans="2:11" ht="14.85" customHeight="1">
      <c r="B84" s="256" t="str">
        <f t="shared" si="25"/>
        <v>Series Seed-1</v>
      </c>
      <c r="D84" s="259">
        <f t="shared" ref="D84" si="28">D56+IF(D66&gt;0,(D$62+D$79)*(D66/D$77),0)</f>
        <v>12034.519430709583</v>
      </c>
      <c r="E84" s="259">
        <f t="shared" si="27"/>
        <v>12018.557602025972</v>
      </c>
      <c r="F84" s="259">
        <f t="shared" si="27"/>
        <v>18852.849155617245</v>
      </c>
      <c r="G84" s="259">
        <f t="shared" si="27"/>
        <v>22246.052189387468</v>
      </c>
      <c r="H84" s="259">
        <f t="shared" si="27"/>
        <v>1355.755325226226</v>
      </c>
    </row>
    <row r="85" spans="2:11" ht="14.85" customHeight="1">
      <c r="B85" s="256" t="str">
        <f t="shared" si="25"/>
        <v>Series A</v>
      </c>
      <c r="D85" s="259">
        <f t="shared" ref="D85" si="29">D57+IF(D67&gt;0,(D$62+D$79)*(D67/D$77),0)</f>
        <v>41201.021876663894</v>
      </c>
      <c r="E85" s="259">
        <f t="shared" si="27"/>
        <v>41146.375435933842</v>
      </c>
      <c r="F85" s="259">
        <f t="shared" si="27"/>
        <v>64544.052213328076</v>
      </c>
      <c r="G85" s="259">
        <f t="shared" si="27"/>
        <v>76160.920940930111</v>
      </c>
      <c r="H85" s="259">
        <f t="shared" si="27"/>
        <v>5192.0087555899936</v>
      </c>
    </row>
    <row r="86" spans="2:11" ht="14.85" customHeight="1">
      <c r="B86" s="256" t="str">
        <f t="shared" si="25"/>
        <v>Series B</v>
      </c>
      <c r="D86" s="259">
        <f t="shared" ref="D86" si="30">D58+IF(D68&gt;0,(D$62+D$79)*(D68/D$77),0)</f>
        <v>34317.176319798455</v>
      </c>
      <c r="E86" s="259">
        <f t="shared" si="27"/>
        <v>34271.660178296035</v>
      </c>
      <c r="F86" s="259">
        <f t="shared" si="27"/>
        <v>53760.065146675603</v>
      </c>
      <c r="G86" s="259">
        <f t="shared" si="27"/>
        <v>63435.993418611746</v>
      </c>
      <c r="H86" s="259">
        <f t="shared" si="27"/>
        <v>8649.0612030395732</v>
      </c>
    </row>
    <row r="87" spans="2:11" ht="14.85" customHeight="1">
      <c r="B87" s="256" t="str">
        <f t="shared" si="25"/>
        <v>Options at $0.0059 Strike Price</v>
      </c>
      <c r="D87" s="259">
        <f>IF(D69&gt;0,(D$62+D$79)*(D69/D$77)-(D69*$K$87),0)</f>
        <v>535.99710810817896</v>
      </c>
      <c r="E87" s="259">
        <f>IF(E69&gt;0,(E$62+E$79)*(E69/E$77)-(E69*$K$87),0)</f>
        <v>535.28557435186372</v>
      </c>
      <c r="F87" s="259">
        <f>IF(F69&gt;0,(F$62+F$79)*(F69/F$77)-(F69*$K$87),0)</f>
        <v>839.93921005177049</v>
      </c>
      <c r="G87" s="259">
        <f>IF(G69&gt;0,(G$62+G$79)*(G69/G$77)-(G69*$K$87),0)</f>
        <v>991.198727267251</v>
      </c>
      <c r="H87" s="259">
        <f>IF(H69&gt;0,(H$62+H$79)*(H69/H$77)-(H69*$K$87),0)</f>
        <v>0</v>
      </c>
      <c r="K87" s="1996">
        <f>'Cap Table'!E24</f>
        <v>5.875E-3</v>
      </c>
    </row>
    <row r="88" spans="2:11" ht="14.85" customHeight="1">
      <c r="B88" s="256" t="str">
        <f t="shared" si="25"/>
        <v>Options at $0.350 Strike Price</v>
      </c>
      <c r="D88" s="259">
        <f>IF(D70&gt;0,(D$62+D$79)*(D70/D$77)-(D70*$K$88),0)</f>
        <v>63.820710158139107</v>
      </c>
      <c r="E88" s="259">
        <f>IF(E70&gt;0,(E$62+E$79)*(E70/E$77)-(E70*$K$88),0)</f>
        <v>63.731420207793349</v>
      </c>
      <c r="F88" s="259">
        <f>IF(F70&gt;0,(F$62+F$79)*(F70/F$77)-(F70*$K$88),0)</f>
        <v>101.96222480822337</v>
      </c>
      <c r="G88" s="259">
        <f>IF(G70&gt;0,(G$62+G$79)*(G70/G$77)-(G70*$K$88),0)</f>
        <v>120.94369218291975</v>
      </c>
      <c r="H88" s="259">
        <f>IF(H70&gt;0,(H$62+H$79)*(H70/H$77)-(H70*$K$88),0)</f>
        <v>0</v>
      </c>
      <c r="K88" s="1997">
        <f>'Cap Table'!E25</f>
        <v>0.35</v>
      </c>
    </row>
    <row r="89" spans="2:11" ht="14.85" customHeight="1">
      <c r="B89" s="256" t="str">
        <f t="shared" si="25"/>
        <v>Options at $0.38 Strike Price</v>
      </c>
      <c r="D89" s="259">
        <f>IF(D71&gt;0,(D$62+D$79)*(D71/D$77)-(D71*$K$89),0)</f>
        <v>2087.8622221878745</v>
      </c>
      <c r="E89" s="259">
        <f>IF(E71&gt;0,(E$62+E$79)*(E71/E$77)-(E71*$K$89),0)</f>
        <v>2084.92735080996</v>
      </c>
      <c r="F89" s="259">
        <f>IF(F71&gt;0,(F$62+F$79)*(F71/F$77)-(F71*$K$89),0)</f>
        <v>3341.5356672214939</v>
      </c>
      <c r="G89" s="259">
        <f>IF(G71&gt;0,(G$62+G$79)*(G71/G$77)-(G71*$K$89),0)</f>
        <v>3965.4375183603893</v>
      </c>
      <c r="H89" s="259">
        <f>IF(H71&gt;0,(H$62+H$79)*(H71/H$77)-(H71*$K$89),0)</f>
        <v>0</v>
      </c>
      <c r="K89" s="1997">
        <f>'Cap Table'!E26</f>
        <v>0.38</v>
      </c>
    </row>
    <row r="90" spans="2:11" ht="14.85" customHeight="1">
      <c r="B90" s="256" t="str">
        <f t="shared" si="25"/>
        <v>Options at $0.81 Strike Price</v>
      </c>
      <c r="D90" s="259">
        <f>IF(D72&gt;0,(D$62+D$79)*(D72/D$77)-(D72*$K$90),0)</f>
        <v>7250.9896738335683</v>
      </c>
      <c r="E90" s="259">
        <f>IF(E72&gt;0,(E$62+E$79)*(E72/E$77)-(E72*$K$90),0)</f>
        <v>7240.0570033842396</v>
      </c>
      <c r="F90" s="259">
        <f>IF(F72&gt;0,(F$62+F$79)*(F72/F$77)-(F72*$K$90),0)</f>
        <v>11921.040541741351</v>
      </c>
      <c r="G90" s="259">
        <f>IF(G72&gt;0,(G$62+G$79)*(G72/G$77)-(G72*$K$90),0)</f>
        <v>14245.133305245914</v>
      </c>
      <c r="H90" s="259">
        <f>IF(H72&gt;0,(H$62+H$79)*(H72/H$77)-(H72*$K$90),0)</f>
        <v>0</v>
      </c>
      <c r="K90" s="1997">
        <f>'Cap Table'!E27</f>
        <v>0.81</v>
      </c>
    </row>
    <row r="91" spans="2:11" ht="14.85" customHeight="1">
      <c r="B91" s="256" t="str">
        <f t="shared" si="25"/>
        <v>Options at $0.91 Strike Price</v>
      </c>
      <c r="D91" s="259">
        <f>IF(D73&gt;0,(D$62+D$79)*(D73/D$77)-(D73*$K$91),0)</f>
        <v>553.6498432488238</v>
      </c>
      <c r="E91" s="259">
        <f>IF(E73&gt;0,(E$62+E$79)*(E73/E$77)-(E73*$K$91),0)</f>
        <v>552.80074046601089</v>
      </c>
      <c r="F91" s="259">
        <f>IF(F73&gt;0,(F$62+F$79)*(F73/F$77)-(F73*$K$91),0)</f>
        <v>916.35657681380007</v>
      </c>
      <c r="G91" s="259">
        <f>IF(G73&gt;0,(G$62+G$79)*(G73/G$77)-(G73*$K$91),0)</f>
        <v>1096.8608408134753</v>
      </c>
      <c r="H91" s="259">
        <f>IF(H73&gt;0,(H$62+H$79)*(H73/H$77)-(H73*$K$91),0)</f>
        <v>0</v>
      </c>
      <c r="K91" s="1997">
        <f>'Cap Table'!E28</f>
        <v>0.91</v>
      </c>
    </row>
    <row r="92" spans="2:11" ht="14.85" customHeight="1">
      <c r="B92" s="256" t="str">
        <f t="shared" si="25"/>
        <v>Expected Options Grant</v>
      </c>
      <c r="D92" s="259">
        <f>IF(D74&gt;0,(D$62+D$79)*(D74/D$77)-(D74*$K$92),0)</f>
        <v>9827.2631420143898</v>
      </c>
      <c r="E92" s="259">
        <f>IF(E74&gt;0,(E$62+E$79)*(E74/E$77)-(E74*$K$92),0)</f>
        <v>9812.9535256429845</v>
      </c>
      <c r="F92" s="259">
        <f>IF(F74&gt;0,(F$62+F$79)*(F74/F$77)-(F74*$K$92),0)</f>
        <v>15939.826093988358</v>
      </c>
      <c r="G92" s="259">
        <f>IF(G74&gt;0,(G$62+G$79)*(G74/G$77)-(G74*$K$92),0)</f>
        <v>18981.797953603938</v>
      </c>
      <c r="H92" s="259">
        <f>IF(H74&gt;0,(H$62+H$79)*(H74/H$77)-(H74*$K$92),0)</f>
        <v>0</v>
      </c>
      <c r="K92" s="1998">
        <f>'Cap Table'!E29</f>
        <v>0.6</v>
      </c>
    </row>
    <row r="93" spans="2:11" ht="14.85" customHeight="1">
      <c r="B93" s="256" t="str">
        <f t="shared" si="25"/>
        <v>Common Stock</v>
      </c>
      <c r="D93" s="259">
        <f t="shared" ref="D93" si="31">IF(D75&gt;0,(D$62+D$79)*(D75/D$77),0)</f>
        <v>24358.470790602049</v>
      </c>
      <c r="E93" s="259">
        <f>IF(E75&gt;0,(E$62+E$79)*(E75/E$77),0)</f>
        <v>24326.16324895131</v>
      </c>
      <c r="F93" s="259">
        <f>IF(F75&gt;0,(F$62+F$79)*(F75/F$77),0)</f>
        <v>38159.112054352481</v>
      </c>
      <c r="G93" s="259">
        <f>IF(G75&gt;0,(G$62+G$79)*(G75/G$77),0)</f>
        <v>45027.125144576959</v>
      </c>
      <c r="H93" s="259">
        <f>IF(H75&gt;0,(H$62+H$79)*(H75/H$77),0)</f>
        <v>0</v>
      </c>
    </row>
    <row r="94" spans="2:11" ht="14.85" customHeight="1">
      <c r="B94" s="269"/>
      <c r="C94" s="269"/>
      <c r="D94" s="269"/>
      <c r="E94" s="269"/>
      <c r="F94" s="269"/>
      <c r="G94" s="269"/>
      <c r="H94" s="269"/>
    </row>
    <row r="95" spans="2:11" ht="14.85" customHeight="1">
      <c r="B95" s="255" t="s">
        <v>1995</v>
      </c>
      <c r="D95" s="309">
        <f t="shared" ref="D95" si="32">SUM(D83:D93)</f>
        <v>139033.23266768022</v>
      </c>
      <c r="E95" s="309">
        <f t="shared" ref="E95:H95" si="33">SUM(E83:E93)</f>
        <v>138845.95127381862</v>
      </c>
      <c r="F95" s="309">
        <f t="shared" si="33"/>
        <v>219033.23266768019</v>
      </c>
      <c r="G95" s="309">
        <f t="shared" si="33"/>
        <v>258845.95127381862</v>
      </c>
      <c r="H95" s="309">
        <f t="shared" si="33"/>
        <v>15600.000000000002</v>
      </c>
    </row>
    <row r="96" spans="2:11" ht="14.85" customHeight="1">
      <c r="B96" s="317"/>
      <c r="D96" s="318" t="str">
        <f t="shared" ref="D96" si="34">IF(ABS(D95-D52)&lt;0.1,"","Check")</f>
        <v/>
      </c>
      <c r="E96" s="318" t="str">
        <f t="shared" ref="E96:H96" si="35">IF(ABS(E95-E52)&lt;0.1,"","Check")</f>
        <v/>
      </c>
      <c r="F96" s="318" t="str">
        <f t="shared" si="35"/>
        <v/>
      </c>
      <c r="G96" s="318" t="str">
        <f t="shared" si="35"/>
        <v/>
      </c>
      <c r="H96" s="318" t="str">
        <f t="shared" si="35"/>
        <v/>
      </c>
      <c r="J96" s="319" t="str">
        <f>IF(COUNTIF($E$96:$H$96,$J$97)&gt;0,$J$97,"")</f>
        <v/>
      </c>
    </row>
    <row r="97" spans="2:10" ht="14.85" customHeight="1">
      <c r="B97" s="294" t="s">
        <v>418</v>
      </c>
      <c r="C97" s="295"/>
      <c r="D97" s="295"/>
      <c r="E97" s="295"/>
      <c r="F97" s="295"/>
      <c r="G97" s="295"/>
      <c r="H97" s="1945"/>
      <c r="J97" s="234" t="s">
        <v>110</v>
      </c>
    </row>
    <row r="98" spans="2:10" ht="14.85" customHeight="1"/>
    <row r="99" spans="2:10" ht="14.85" customHeight="1">
      <c r="B99" s="234" t="s">
        <v>419</v>
      </c>
      <c r="D99" s="259">
        <f t="shared" ref="D99" si="36">D93</f>
        <v>24358.470790602049</v>
      </c>
      <c r="E99" s="259">
        <f t="shared" ref="E99:H99" si="37">E93</f>
        <v>24326.16324895131</v>
      </c>
      <c r="F99" s="259">
        <f t="shared" si="37"/>
        <v>38159.112054352481</v>
      </c>
      <c r="G99" s="259">
        <f t="shared" si="37"/>
        <v>45027.125144576959</v>
      </c>
      <c r="H99" s="259">
        <f t="shared" si="37"/>
        <v>0</v>
      </c>
    </row>
    <row r="100" spans="2:10" ht="14.85" customHeight="1">
      <c r="B100" s="234" t="s">
        <v>304</v>
      </c>
      <c r="D100" s="259">
        <f t="shared" ref="D100" si="38">D75</f>
        <v>3618.2730000000001</v>
      </c>
      <c r="E100" s="259">
        <f t="shared" ref="E100:H100" si="39">E75</f>
        <v>3618.2730000000001</v>
      </c>
      <c r="F100" s="259">
        <f t="shared" si="39"/>
        <v>3618.2730000000001</v>
      </c>
      <c r="G100" s="259">
        <f t="shared" si="39"/>
        <v>3618.2730000000001</v>
      </c>
      <c r="H100" s="259">
        <f t="shared" si="39"/>
        <v>0</v>
      </c>
    </row>
    <row r="101" spans="2:10" ht="14.85" customHeight="1">
      <c r="B101" s="269"/>
      <c r="C101" s="269"/>
      <c r="D101" s="269"/>
      <c r="E101" s="269"/>
      <c r="F101" s="269"/>
      <c r="G101" s="269"/>
      <c r="H101" s="269"/>
    </row>
    <row r="102" spans="2:10" ht="14.85" customHeight="1">
      <c r="B102" s="255" t="s">
        <v>420</v>
      </c>
      <c r="C102" s="255"/>
      <c r="D102" s="320">
        <f t="shared" ref="D102" si="40">IFERROR(D99/D100,0)</f>
        <v>6.7320710158139114</v>
      </c>
      <c r="E102" s="320">
        <f t="shared" ref="E102:H102" si="41">IFERROR(E99/E100,0)</f>
        <v>6.7231420207793358</v>
      </c>
      <c r="F102" s="320">
        <f t="shared" si="41"/>
        <v>10.546222480822337</v>
      </c>
      <c r="G102" s="320">
        <f t="shared" si="41"/>
        <v>12.444369218291975</v>
      </c>
      <c r="H102" s="320">
        <f t="shared" si="41"/>
        <v>0</v>
      </c>
    </row>
    <row r="103" spans="2:10" ht="14.85" customHeight="1"/>
    <row r="104" spans="2:10" ht="14.85" customHeight="1">
      <c r="B104" s="234" t="s">
        <v>4202</v>
      </c>
      <c r="C104" s="321"/>
      <c r="D104" s="1389">
        <f>'PWERM DLOM'!D65</f>
        <v>0.3</v>
      </c>
      <c r="E104" s="1389">
        <f>'PWERM DLOM'!E65</f>
        <v>0.4</v>
      </c>
      <c r="F104" s="1389">
        <f>'PWERM DLOM'!F65</f>
        <v>0.34500000000000003</v>
      </c>
      <c r="G104" s="1389">
        <f>'PWERM DLOM'!G65</f>
        <v>0.4</v>
      </c>
      <c r="H104" s="322"/>
      <c r="J104" s="323"/>
    </row>
    <row r="105" spans="2:10" ht="14.85" customHeight="1">
      <c r="B105" s="234" t="s">
        <v>4266</v>
      </c>
      <c r="C105" s="321"/>
      <c r="D105" s="1389">
        <f>'Additional Risk Factor'!D18</f>
        <v>0.3</v>
      </c>
      <c r="E105" s="304">
        <f>D105</f>
        <v>0.3</v>
      </c>
      <c r="F105" s="304">
        <f t="shared" ref="F105:G105" si="42">E105</f>
        <v>0.3</v>
      </c>
      <c r="G105" s="304">
        <f t="shared" si="42"/>
        <v>0.3</v>
      </c>
      <c r="H105" s="322"/>
      <c r="J105" s="323"/>
    </row>
    <row r="106" spans="2:10" ht="14.85" customHeight="1"/>
    <row r="107" spans="2:10" ht="14.85" customHeight="1">
      <c r="B107" s="255" t="s">
        <v>1778</v>
      </c>
      <c r="C107" s="321"/>
      <c r="D107" s="320">
        <f>IFERROR(D102*(1-D104)*(1-D105),0)</f>
        <v>3.2987147977488163</v>
      </c>
      <c r="E107" s="320">
        <f t="shared" ref="E107:H107" si="43">IFERROR(E102*(1-E104)*(1-E105),0)</f>
        <v>2.8237196487273208</v>
      </c>
      <c r="F107" s="320">
        <f t="shared" si="43"/>
        <v>4.8354430074570409</v>
      </c>
      <c r="G107" s="320">
        <f t="shared" si="43"/>
        <v>5.2266350716826286</v>
      </c>
      <c r="H107" s="320">
        <f t="shared" si="43"/>
        <v>0</v>
      </c>
    </row>
    <row r="108" spans="2:10" ht="14.85" customHeight="1"/>
    <row r="109" spans="2:10" ht="14.85" customHeight="1">
      <c r="B109" s="234" t="s">
        <v>4203</v>
      </c>
      <c r="C109" s="321">
        <f>'WACC PWERM'!$J$15</f>
        <v>0.3</v>
      </c>
      <c r="D109" s="324">
        <f>1/(1+$C109)^D13</f>
        <v>0.6046144221930424</v>
      </c>
      <c r="E109" s="324">
        <f>1/(1+$C109)^E13</f>
        <v>0.38221855480668282</v>
      </c>
      <c r="F109" s="324">
        <f>1/(1+$C109)^F13</f>
        <v>0.6046144221930424</v>
      </c>
      <c r="G109" s="324">
        <f>1/(1+$C109)^G13</f>
        <v>0.38221855480668282</v>
      </c>
      <c r="H109" s="324">
        <f>1/(1+$C109)^H13</f>
        <v>0.68074920235023118</v>
      </c>
    </row>
    <row r="110" spans="2:10" ht="14.85" customHeight="1">
      <c r="B110" s="269"/>
      <c r="C110" s="269"/>
      <c r="D110" s="269"/>
      <c r="E110" s="269"/>
      <c r="F110" s="269"/>
      <c r="G110" s="269"/>
      <c r="H110" s="269"/>
    </row>
    <row r="111" spans="2:10" ht="14.85" customHeight="1">
      <c r="B111" s="255" t="s">
        <v>421</v>
      </c>
      <c r="D111" s="320">
        <f t="shared" ref="D111" si="44">D107*D109</f>
        <v>1.9944505414205393</v>
      </c>
      <c r="E111" s="320">
        <f t="shared" ref="E111:H111" si="45">E107*E109</f>
        <v>1.0792780433157907</v>
      </c>
      <c r="F111" s="320">
        <f t="shared" si="45"/>
        <v>2.9235785800010259</v>
      </c>
      <c r="G111" s="320">
        <f t="shared" si="45"/>
        <v>1.9977169036004574</v>
      </c>
      <c r="H111" s="320">
        <f t="shared" si="45"/>
        <v>0</v>
      </c>
    </row>
    <row r="112" spans="2:10" ht="14.85" customHeight="1"/>
    <row r="113" spans="2:8 16379:16379" ht="14.85" customHeight="1">
      <c r="B113" s="234" t="s">
        <v>4204</v>
      </c>
      <c r="C113" s="325">
        <f>SUM(D113:H113)</f>
        <v>1</v>
      </c>
      <c r="D113" s="1979">
        <f t="array" ref="D113:G113">TRANSPOSE('Exit Probability'!E36:E39)</f>
        <v>1.6500000000000001E-2</v>
      </c>
      <c r="E113" s="1979">
        <v>1.4850000000000006E-2</v>
      </c>
      <c r="F113" s="1979">
        <v>0.14850000000000002</v>
      </c>
      <c r="G113" s="1979">
        <v>5.9400000000000022E-2</v>
      </c>
      <c r="H113" s="1979">
        <f>'Exit Probability'!E45</f>
        <v>0.76074999999999993</v>
      </c>
    </row>
    <row r="114" spans="2:8 16379:16379" ht="14.85" customHeight="1">
      <c r="B114" s="234" t="s">
        <v>862</v>
      </c>
      <c r="C114" s="325">
        <f>SUM(D114:H114)</f>
        <v>1</v>
      </c>
      <c r="D114" s="395">
        <f>ROUND(D113,3)</f>
        <v>1.7000000000000001E-2</v>
      </c>
      <c r="E114" s="395">
        <f t="shared" ref="E114:G114" si="46">ROUND(E113,3)</f>
        <v>1.4999999999999999E-2</v>
      </c>
      <c r="F114" s="395">
        <f t="shared" si="46"/>
        <v>0.14899999999999999</v>
      </c>
      <c r="G114" s="395">
        <f t="shared" si="46"/>
        <v>5.8999999999999997E-2</v>
      </c>
      <c r="H114" s="395">
        <f>1-SUM(D114:G114)</f>
        <v>0.76</v>
      </c>
    </row>
    <row r="115" spans="2:8 16379:16379" ht="14.85" customHeight="1"/>
    <row r="116" spans="2:8 16379:16379" ht="14.85" customHeight="1">
      <c r="B116" s="326" t="s">
        <v>422</v>
      </c>
    </row>
    <row r="117" spans="2:8 16379:16379" ht="14.85" customHeight="1">
      <c r="B117" s="328">
        <f>SUMPRODUCT(D111:H111,D114:H114)</f>
        <v>0.60357333558646586</v>
      </c>
    </row>
    <row r="118" spans="2:8 16379:16379" ht="14.85" customHeight="1"/>
    <row r="119" spans="2:8 16379:16379" ht="14.85" customHeight="1">
      <c r="B119" s="294" t="s">
        <v>423</v>
      </c>
      <c r="C119" s="295"/>
      <c r="D119" s="295"/>
      <c r="E119" s="295"/>
      <c r="F119" s="295"/>
      <c r="G119" s="295"/>
      <c r="H119" s="1945"/>
    </row>
    <row r="120" spans="2:8 16379:16379" ht="14.85" customHeight="1"/>
    <row r="121" spans="2:8 16379:16379" ht="14.85" customHeight="1">
      <c r="B121" s="255" t="s">
        <v>426</v>
      </c>
    </row>
    <row r="122" spans="2:8 16379:16379" ht="14.85" customHeight="1">
      <c r="B122" s="256" t="s">
        <v>427</v>
      </c>
      <c r="D122" s="259">
        <f>MIN(SUM(D83:D86),SUM($J$55:$J$58))</f>
        <v>39467.435395299995</v>
      </c>
      <c r="E122" s="259">
        <f>MIN(SUM(E83:E86),SUM($J$55:$J$58))</f>
        <v>39467.435395299995</v>
      </c>
      <c r="F122" s="259">
        <f>MIN(SUM(F83:F86),SUM($J$55:$J$58))</f>
        <v>39467.435395299995</v>
      </c>
      <c r="G122" s="259">
        <f>MIN(SUM(G83:G86),SUM($J$55:$J$58))</f>
        <v>39467.435395299995</v>
      </c>
      <c r="H122" s="259">
        <f>MIN(SUM(H83:H86),SUM($J$55:$J$58))</f>
        <v>15600.000000000002</v>
      </c>
      <c r="XEY122" s="329"/>
    </row>
    <row r="123" spans="2:8 16379:16379" ht="14.85" customHeight="1"/>
    <row r="124" spans="2:8 16379:16379" ht="14.85" customHeight="1">
      <c r="B124" s="256" t="s">
        <v>187</v>
      </c>
      <c r="C124" s="321">
        <f>'WACC PWERM'!$J$11</f>
        <v>0.125</v>
      </c>
      <c r="D124" s="324">
        <f t="shared" ref="D124:H124" si="47">1/(1+$C124)^D$13</f>
        <v>0.79780962603306249</v>
      </c>
      <c r="E124" s="324">
        <f t="shared" si="47"/>
        <v>0.64936288979172341</v>
      </c>
      <c r="F124" s="324">
        <f t="shared" si="47"/>
        <v>0.79780962603306249</v>
      </c>
      <c r="G124" s="324">
        <f t="shared" si="47"/>
        <v>0.64936288979172341</v>
      </c>
      <c r="H124" s="324">
        <f t="shared" si="47"/>
        <v>0.84143973180046561</v>
      </c>
    </row>
    <row r="125" spans="2:8 16379:16379" ht="14.85" customHeight="1"/>
    <row r="126" spans="2:8 16379:16379" ht="14.85" customHeight="1">
      <c r="B126" s="256" t="s">
        <v>190</v>
      </c>
      <c r="D126" s="259">
        <f t="shared" ref="D126" si="48">D122*D124</f>
        <v>31487.499873208344</v>
      </c>
      <c r="E126" s="259">
        <f t="shared" ref="E126:H126" si="49">E122*E124</f>
        <v>25628.687900960154</v>
      </c>
      <c r="F126" s="259">
        <f t="shared" si="49"/>
        <v>31487.499873208344</v>
      </c>
      <c r="G126" s="259">
        <f t="shared" si="49"/>
        <v>25628.687900960154</v>
      </c>
      <c r="H126" s="259">
        <f t="shared" si="49"/>
        <v>13126.459816087265</v>
      </c>
    </row>
    <row r="127" spans="2:8 16379:16379" ht="14.85" customHeight="1"/>
    <row r="128" spans="2:8 16379:16379" ht="14.85" customHeight="1">
      <c r="B128" s="256" t="s">
        <v>428</v>
      </c>
      <c r="D128" s="259">
        <f t="shared" ref="D128" si="50">D126*D$114</f>
        <v>535.28749784454192</v>
      </c>
      <c r="E128" s="259">
        <f>E126*E$114</f>
        <v>384.4303185144023</v>
      </c>
      <c r="F128" s="259">
        <f>F126*F$114</f>
        <v>4691.6374811080432</v>
      </c>
      <c r="G128" s="259">
        <f>G126*G$114</f>
        <v>1512.0925861566491</v>
      </c>
      <c r="H128" s="259">
        <f>H126*H$114</f>
        <v>9976.109460226322</v>
      </c>
    </row>
    <row r="129" spans="2:8" ht="14.85" customHeight="1">
      <c r="B129" s="330">
        <f>SUM(D128:H128)</f>
        <v>17099.55734384996</v>
      </c>
    </row>
    <row r="130" spans="2:8" ht="14.85" customHeight="1"/>
    <row r="131" spans="2:8" ht="14.85" customHeight="1"/>
    <row r="132" spans="2:8" ht="14.85" customHeight="1">
      <c r="B132" s="255" t="s">
        <v>429</v>
      </c>
    </row>
    <row r="133" spans="2:8" ht="14.85" customHeight="1">
      <c r="B133" s="256" t="s">
        <v>427</v>
      </c>
      <c r="D133" s="259">
        <f t="shared" ref="D133" si="51">SUM(D83:D86)-D122</f>
        <v>54887.743782227204</v>
      </c>
      <c r="E133" s="259">
        <f t="shared" ref="E133:H133" si="52">SUM(E83:E86)-E122</f>
        <v>54762.597014704457</v>
      </c>
      <c r="F133" s="259">
        <f t="shared" si="52"/>
        <v>108346.02490340274</v>
      </c>
      <c r="G133" s="259">
        <f t="shared" si="52"/>
        <v>134950.0186964678</v>
      </c>
      <c r="H133" s="259">
        <f t="shared" si="52"/>
        <v>0</v>
      </c>
    </row>
    <row r="134" spans="2:8" ht="14.85" customHeight="1"/>
    <row r="135" spans="2:8" ht="14.85" customHeight="1">
      <c r="B135" s="314" t="s">
        <v>187</v>
      </c>
      <c r="C135" s="321">
        <f>'WACC PWERM'!$J$13</f>
        <v>0.25</v>
      </c>
      <c r="D135" s="324">
        <f t="shared" ref="D135:H135" si="53">1/(1+$C135)^D$13</f>
        <v>0.65184626367584653</v>
      </c>
      <c r="E135" s="324">
        <f t="shared" si="53"/>
        <v>0.44131814896204413</v>
      </c>
      <c r="F135" s="324">
        <f t="shared" si="53"/>
        <v>0.65184626367584653</v>
      </c>
      <c r="G135" s="324">
        <f t="shared" si="53"/>
        <v>0.44131814896204413</v>
      </c>
      <c r="H135" s="324">
        <f t="shared" si="53"/>
        <v>0.72103079973606365</v>
      </c>
    </row>
    <row r="136" spans="2:8" ht="14.85" customHeight="1"/>
    <row r="137" spans="2:8" ht="14.85" customHeight="1">
      <c r="B137" s="256" t="s">
        <v>190</v>
      </c>
      <c r="D137" s="259">
        <f t="shared" ref="D137" si="54">D133*D135</f>
        <v>35778.370706041977</v>
      </c>
      <c r="E137" s="259">
        <f t="shared" ref="E137:H137" si="55">E133*E135</f>
        <v>24167.727946883733</v>
      </c>
      <c r="F137" s="259">
        <f t="shared" si="55"/>
        <v>70624.951517413298</v>
      </c>
      <c r="G137" s="259">
        <f t="shared" si="55"/>
        <v>59555.89245351842</v>
      </c>
      <c r="H137" s="259">
        <f t="shared" si="55"/>
        <v>0</v>
      </c>
    </row>
    <row r="138" spans="2:8" ht="14.85" customHeight="1"/>
    <row r="139" spans="2:8" ht="14.85" customHeight="1">
      <c r="B139" s="256" t="s">
        <v>428</v>
      </c>
      <c r="D139" s="259">
        <f t="shared" ref="D139" si="56">D137*D$114</f>
        <v>608.2323020027136</v>
      </c>
      <c r="E139" s="259">
        <f>E137*E$114</f>
        <v>362.51591920325598</v>
      </c>
      <c r="F139" s="259">
        <f>F137*F$114</f>
        <v>10523.117776094581</v>
      </c>
      <c r="G139" s="259">
        <f>G137*G$114</f>
        <v>3513.7976547575868</v>
      </c>
      <c r="H139" s="259">
        <f>H137*H$114</f>
        <v>0</v>
      </c>
    </row>
    <row r="140" spans="2:8" ht="14.85" customHeight="1">
      <c r="B140" s="331">
        <f>SUM(D139:H139)</f>
        <v>15007.663652058138</v>
      </c>
    </row>
    <row r="141" spans="2:8" ht="14.85" customHeight="1"/>
    <row r="142" spans="2:8" ht="14.85" customHeight="1">
      <c r="B142" s="294" t="s">
        <v>432</v>
      </c>
      <c r="C142" s="295"/>
      <c r="D142" s="295"/>
      <c r="E142" s="295"/>
      <c r="F142" s="295"/>
      <c r="G142" s="295"/>
      <c r="H142" s="1945"/>
    </row>
    <row r="143" spans="2:8" ht="14.85" customHeight="1"/>
    <row r="144" spans="2:8" ht="14.85" customHeight="1">
      <c r="B144" s="255" t="s">
        <v>430</v>
      </c>
    </row>
    <row r="145" spans="2:8" ht="14.85" customHeight="1">
      <c r="B145" s="256" t="s">
        <v>427</v>
      </c>
      <c r="D145" s="259">
        <f>MIN(D86,$J58)</f>
        <v>21881.811811600001</v>
      </c>
      <c r="E145" s="259">
        <f>MIN(E86,$J58)</f>
        <v>21881.811811600001</v>
      </c>
      <c r="F145" s="259">
        <f>MIN(F86,$J58)</f>
        <v>21881.811811600001</v>
      </c>
      <c r="G145" s="259">
        <f>MIN(G86,$J58)</f>
        <v>21881.811811600001</v>
      </c>
      <c r="H145" s="259">
        <f>MIN(H86,$J58)</f>
        <v>8649.0612030395732</v>
      </c>
    </row>
    <row r="146" spans="2:8" ht="14.85" customHeight="1"/>
    <row r="147" spans="2:8" ht="14.85" customHeight="1">
      <c r="B147" s="256" t="s">
        <v>187</v>
      </c>
      <c r="C147" s="325">
        <f>C124</f>
        <v>0.125</v>
      </c>
      <c r="D147" s="324">
        <f t="shared" ref="D147" si="57">+D124</f>
        <v>0.79780962603306249</v>
      </c>
      <c r="E147" s="324">
        <f t="shared" ref="E147:H147" si="58">+E124</f>
        <v>0.64936288979172341</v>
      </c>
      <c r="F147" s="324">
        <f t="shared" si="58"/>
        <v>0.79780962603306249</v>
      </c>
      <c r="G147" s="324">
        <f t="shared" si="58"/>
        <v>0.64936288979172341</v>
      </c>
      <c r="H147" s="324">
        <f t="shared" si="58"/>
        <v>0.84143973180046561</v>
      </c>
    </row>
    <row r="148" spans="2:8" ht="14.85" customHeight="1">
      <c r="B148" s="256"/>
    </row>
    <row r="149" spans="2:8" ht="14.85" customHeight="1">
      <c r="B149" s="256" t="s">
        <v>190</v>
      </c>
      <c r="D149" s="259">
        <f t="shared" ref="D149" si="59">D145*D147</f>
        <v>17457.520098338446</v>
      </c>
      <c r="E149" s="259">
        <f t="shared" ref="E149:H149" si="60">E145*E147</f>
        <v>14209.236551859243</v>
      </c>
      <c r="F149" s="259">
        <f t="shared" si="60"/>
        <v>17457.520098338446</v>
      </c>
      <c r="G149" s="259">
        <f t="shared" si="60"/>
        <v>14209.236551859243</v>
      </c>
      <c r="H149" s="259">
        <f t="shared" si="60"/>
        <v>7277.6637390114311</v>
      </c>
    </row>
    <row r="150" spans="2:8" ht="14.85" customHeight="1"/>
    <row r="151" spans="2:8" ht="14.85" customHeight="1">
      <c r="B151" s="256" t="s">
        <v>428</v>
      </c>
      <c r="D151" s="259">
        <f t="shared" ref="D151" si="61">D149*D$114</f>
        <v>296.77784167175361</v>
      </c>
      <c r="E151" s="259">
        <f>E149*E$114</f>
        <v>213.13854827788865</v>
      </c>
      <c r="F151" s="259">
        <f>F149*F$114</f>
        <v>2601.1704946524283</v>
      </c>
      <c r="G151" s="259">
        <f>G149*G$114</f>
        <v>838.34495655969533</v>
      </c>
      <c r="H151" s="259">
        <f>H149*H$114</f>
        <v>5531.0244416486876</v>
      </c>
    </row>
    <row r="152" spans="2:8" ht="14.85" customHeight="1">
      <c r="B152" s="331">
        <f>SUM(D151:H151)</f>
        <v>9480.4562828104536</v>
      </c>
    </row>
    <row r="153" spans="2:8" ht="14.85" customHeight="1"/>
    <row r="154" spans="2:8" ht="14.85" customHeight="1"/>
    <row r="155" spans="2:8" ht="14.85" customHeight="1">
      <c r="B155" s="255" t="s">
        <v>431</v>
      </c>
    </row>
    <row r="156" spans="2:8" ht="14.85" customHeight="1">
      <c r="B156" s="256" t="s">
        <v>427</v>
      </c>
      <c r="D156" s="259">
        <f t="shared" ref="D156" si="62">D86-D145</f>
        <v>12435.364508198454</v>
      </c>
      <c r="E156" s="259">
        <f t="shared" ref="E156:H156" si="63">E86-E145</f>
        <v>12389.848366696035</v>
      </c>
      <c r="F156" s="259">
        <f t="shared" si="63"/>
        <v>31878.253335075602</v>
      </c>
      <c r="G156" s="259">
        <f t="shared" si="63"/>
        <v>41554.181607011749</v>
      </c>
      <c r="H156" s="259">
        <f t="shared" si="63"/>
        <v>0</v>
      </c>
    </row>
    <row r="157" spans="2:8" ht="14.85" customHeight="1"/>
    <row r="158" spans="2:8" ht="14.85" customHeight="1">
      <c r="B158" s="256" t="s">
        <v>187</v>
      </c>
      <c r="C158" s="325">
        <f>C135</f>
        <v>0.25</v>
      </c>
      <c r="D158" s="324">
        <f t="shared" ref="D158" si="64">+D135</f>
        <v>0.65184626367584653</v>
      </c>
      <c r="E158" s="324">
        <f t="shared" ref="E158:H158" si="65">+E135</f>
        <v>0.44131814896204413</v>
      </c>
      <c r="F158" s="324">
        <f t="shared" si="65"/>
        <v>0.65184626367584653</v>
      </c>
      <c r="G158" s="324">
        <f t="shared" si="65"/>
        <v>0.44131814896204413</v>
      </c>
      <c r="H158" s="324">
        <f t="shared" si="65"/>
        <v>0.72103079973606365</v>
      </c>
    </row>
    <row r="159" spans="2:8" ht="14.85" customHeight="1"/>
    <row r="160" spans="2:8" ht="14.85" customHeight="1">
      <c r="B160" s="256" t="s">
        <v>190</v>
      </c>
      <c r="D160" s="259">
        <f t="shared" ref="D160" si="66">D156*D158</f>
        <v>8105.9458921163932</v>
      </c>
      <c r="E160" s="259">
        <f t="shared" ref="E160:H160" si="67">E156*E158</f>
        <v>5467.8649471107001</v>
      </c>
      <c r="F160" s="259">
        <f t="shared" si="67"/>
        <v>20779.720328981126</v>
      </c>
      <c r="G160" s="259">
        <f t="shared" si="67"/>
        <v>18338.614508439045</v>
      </c>
      <c r="H160" s="259">
        <f t="shared" si="67"/>
        <v>0</v>
      </c>
    </row>
    <row r="161" spans="2:9" ht="14.85" customHeight="1"/>
    <row r="162" spans="2:9" ht="14.85" customHeight="1">
      <c r="B162" s="256" t="s">
        <v>428</v>
      </c>
      <c r="D162" s="259">
        <f t="shared" ref="D162" si="68">D160*D$114</f>
        <v>137.8010801659787</v>
      </c>
      <c r="E162" s="259">
        <f>E160*E$114</f>
        <v>82.017974206660497</v>
      </c>
      <c r="F162" s="259">
        <f>F160*F$114</f>
        <v>3096.1783290181875</v>
      </c>
      <c r="G162" s="259">
        <f>G160*G$114</f>
        <v>1081.9782559979035</v>
      </c>
      <c r="H162" s="259">
        <f>H160*H$114</f>
        <v>0</v>
      </c>
    </row>
    <row r="163" spans="2:9" ht="14.85" customHeight="1">
      <c r="B163" s="331">
        <f>SUM(D162:H162)</f>
        <v>4397.9756393887301</v>
      </c>
      <c r="D163" s="259"/>
      <c r="E163" s="259"/>
      <c r="F163" s="259"/>
      <c r="G163" s="259"/>
      <c r="H163" s="259"/>
    </row>
    <row r="164" spans="2:9" ht="14.85" customHeight="1"/>
    <row r="165" spans="2:9" ht="14.85" customHeight="1">
      <c r="B165" s="332"/>
      <c r="C165" s="333"/>
      <c r="D165" s="2001" t="s">
        <v>306</v>
      </c>
      <c r="E165" s="2001" t="s">
        <v>304</v>
      </c>
      <c r="F165" s="2002" t="s">
        <v>433</v>
      </c>
    </row>
    <row r="166" spans="2:9" ht="14.85" customHeight="1">
      <c r="B166" s="334" t="s">
        <v>434</v>
      </c>
      <c r="C166" s="335"/>
      <c r="D166" s="336">
        <f>B163+B152</f>
        <v>13878.431922199183</v>
      </c>
      <c r="E166" s="1999">
        <f>'Cap Table'!G9</f>
        <v>5097.5659999999998</v>
      </c>
      <c r="F166" s="337">
        <f>D166/E166</f>
        <v>2.7225605165679432</v>
      </c>
    </row>
    <row r="167" spans="2:9" ht="14.85" customHeight="1"/>
    <row r="168" spans="2:9" ht="14.85" customHeight="1">
      <c r="B168" s="294" t="s">
        <v>331</v>
      </c>
      <c r="C168" s="295"/>
      <c r="D168" s="295"/>
      <c r="E168" s="295"/>
      <c r="F168" s="295"/>
      <c r="G168" s="295"/>
      <c r="H168" s="1945"/>
      <c r="I168" s="338"/>
    </row>
    <row r="169" spans="2:9" ht="14.85" customHeight="1"/>
    <row r="170" spans="2:9" ht="14.85" customHeight="1">
      <c r="B170" s="256" t="s">
        <v>427</v>
      </c>
      <c r="D170" s="259">
        <f>D52</f>
        <v>139033.23266768022</v>
      </c>
      <c r="E170" s="259">
        <f t="shared" ref="E170:H170" si="69">E52</f>
        <v>138845.95127381862</v>
      </c>
      <c r="F170" s="259">
        <f t="shared" si="69"/>
        <v>219033.23266768022</v>
      </c>
      <c r="G170" s="259">
        <f t="shared" si="69"/>
        <v>258845.95127381862</v>
      </c>
      <c r="H170" s="259">
        <f t="shared" si="69"/>
        <v>15600</v>
      </c>
    </row>
    <row r="171" spans="2:9" ht="14.85" customHeight="1"/>
    <row r="172" spans="2:9" ht="14.85" customHeight="1">
      <c r="B172" s="256" t="s">
        <v>187</v>
      </c>
      <c r="C172" s="321">
        <f>'WACC PWERM'!$J$23</f>
        <v>0.2</v>
      </c>
      <c r="D172" s="324">
        <f t="shared" ref="D172:H172" si="70">1/(1+$C172)^D$13</f>
        <v>0.70492928923838538</v>
      </c>
      <c r="E172" s="324">
        <f t="shared" si="70"/>
        <v>0.51255571011886136</v>
      </c>
      <c r="F172" s="324">
        <f t="shared" si="70"/>
        <v>0.70492928923838538</v>
      </c>
      <c r="G172" s="324">
        <f t="shared" si="70"/>
        <v>0.51255571011886136</v>
      </c>
      <c r="H172" s="324">
        <f t="shared" si="70"/>
        <v>0.76549052135044293</v>
      </c>
    </row>
    <row r="173" spans="2:9" ht="14.85" customHeight="1"/>
    <row r="174" spans="2:9" ht="14.85" customHeight="1">
      <c r="B174" s="256" t="s">
        <v>190</v>
      </c>
      <c r="D174" s="259">
        <f t="shared" ref="D174" si="71">D170*D172</f>
        <v>98008.597884942879</v>
      </c>
      <c r="E174" s="259">
        <f t="shared" ref="E174:H174" si="72">E170*E172</f>
        <v>71166.285152280921</v>
      </c>
      <c r="F174" s="259">
        <f t="shared" si="72"/>
        <v>154402.94102401371</v>
      </c>
      <c r="G174" s="259">
        <f t="shared" si="72"/>
        <v>132672.97036654429</v>
      </c>
      <c r="H174" s="259">
        <f t="shared" si="72"/>
        <v>11941.652133066909</v>
      </c>
    </row>
    <row r="175" spans="2:9" ht="14.85" customHeight="1"/>
    <row r="176" spans="2:9" ht="14.85" customHeight="1">
      <c r="B176" s="256" t="s">
        <v>428</v>
      </c>
      <c r="D176" s="259">
        <f t="shared" ref="D176" si="73">D174*D$114</f>
        <v>1666.1461640440291</v>
      </c>
      <c r="E176" s="259">
        <f>E174*E$114</f>
        <v>1067.4942772842137</v>
      </c>
      <c r="F176" s="259">
        <f>F174*F$114</f>
        <v>23006.038212578042</v>
      </c>
      <c r="G176" s="259">
        <f>G174*G$114</f>
        <v>7827.7052516261128</v>
      </c>
      <c r="H176" s="259">
        <f>H174*H$114</f>
        <v>9075.6556211308507</v>
      </c>
    </row>
    <row r="177" spans="1:14" ht="14.85" customHeight="1">
      <c r="B177" s="331">
        <f>ROUND(SUM(D176:H176),-1)</f>
        <v>42640</v>
      </c>
    </row>
    <row r="178" spans="1:14" ht="14.85" customHeight="1"/>
    <row r="179" spans="1:14" ht="14.85" customHeight="1">
      <c r="B179" s="279" t="s">
        <v>86</v>
      </c>
    </row>
    <row r="180" spans="1:14" ht="14.85" customHeight="1">
      <c r="A180" s="280" t="s">
        <v>250</v>
      </c>
      <c r="B180" s="339" t="str">
        <f>"Future financing assumptions are based on discussions with Management and Company's cash burn analysis. Refer to "&amp;'Projected IS'!B3&amp;" for further details."</f>
        <v>Future financing assumptions are based on discussions with Management and Company's cash burn analysis. Refer to Exhibit C.1 for further details.</v>
      </c>
      <c r="C180" s="2000"/>
      <c r="D180" s="2000"/>
      <c r="E180" s="2000"/>
      <c r="F180" s="2000"/>
      <c r="G180" s="2000"/>
      <c r="H180" s="2000"/>
      <c r="I180" s="2000"/>
      <c r="J180" s="2000"/>
      <c r="K180" s="2000"/>
    </row>
    <row r="181" spans="1:14" ht="14.85" customHeight="1">
      <c r="A181" s="280" t="s">
        <v>249</v>
      </c>
      <c r="B181" s="339" t="str">
        <f>"Refer to "&amp;'PWERM DLOM'!B3&amp;" for the DLOM calculations."</f>
        <v>Refer to Exhibit H.1 for the DLOM calculations.</v>
      </c>
      <c r="C181" s="2000"/>
      <c r="D181" s="2000"/>
      <c r="E181" s="2000"/>
      <c r="F181" s="2000"/>
      <c r="G181" s="2000"/>
      <c r="H181" s="2000"/>
      <c r="I181" s="2000"/>
      <c r="J181" s="2000"/>
      <c r="K181" s="2000"/>
    </row>
    <row r="182" spans="1:14" ht="14.85" customHeight="1">
      <c r="A182" s="280" t="s">
        <v>288</v>
      </c>
      <c r="B182" s="339" t="str">
        <f>"Refer to "&amp;'Additional Risk Factor'!B3&amp;" for non-diversification risk factor calculations."</f>
        <v>Refer to Exhibit H.8 for non-diversification risk factor calculations.</v>
      </c>
      <c r="C182" s="2000"/>
      <c r="D182" s="2000"/>
      <c r="E182" s="2000"/>
      <c r="F182" s="2000"/>
      <c r="G182" s="2000"/>
      <c r="H182" s="2000"/>
      <c r="I182" s="2000"/>
      <c r="J182" s="2000"/>
      <c r="K182" s="2000"/>
    </row>
    <row r="183" spans="1:14" ht="14.85" customHeight="1">
      <c r="A183" s="280" t="s">
        <v>289</v>
      </c>
      <c r="B183" s="339" t="str">
        <f>"Refer to "&amp;'WACC PWERM'!B3&amp;" for details regarding discount rate."</f>
        <v>Refer to Exhibit D.1 for details regarding discount rate.</v>
      </c>
    </row>
    <row r="184" spans="1:14" ht="14.85" customHeight="1">
      <c r="A184" s="280" t="s">
        <v>290</v>
      </c>
      <c r="B184" s="339" t="str">
        <f>"Refer to "&amp;'Exit Probability'!B3&amp;" for details regarding probability weightings."</f>
        <v>Refer to Exhibit B.2 for details regarding probability weightings.</v>
      </c>
    </row>
    <row r="185" spans="1:14" ht="14.85" customHeight="1"/>
    <row r="186" spans="1:14" ht="14.85" customHeight="1"/>
    <row r="187" spans="1:14" ht="14.85" customHeight="1">
      <c r="B187" s="255" t="s">
        <v>859</v>
      </c>
    </row>
    <row r="188" spans="1:14" ht="14.85" customHeight="1">
      <c r="B188" s="234" t="s">
        <v>860</v>
      </c>
      <c r="D188" s="259">
        <f>SUM(D87:D92)*(1-D104)*(1-D105)</f>
        <v>9956.5955227799768</v>
      </c>
      <c r="E188" s="259">
        <f t="shared" ref="E188:H188" si="74">SUM(E87:E92)*(1-E104)*(1-E105)</f>
        <v>8521.6973582423961</v>
      </c>
      <c r="F188" s="259">
        <f t="shared" si="74"/>
        <v>15158.312754255561</v>
      </c>
      <c r="G188" s="259">
        <f t="shared" si="74"/>
        <v>16548.576255739034</v>
      </c>
      <c r="H188" s="259">
        <f t="shared" si="74"/>
        <v>0</v>
      </c>
    </row>
    <row r="189" spans="1:14" ht="14.85" customHeight="1">
      <c r="B189" s="234" t="s">
        <v>861</v>
      </c>
      <c r="D189" s="591">
        <f>SUMPRODUCT(D188:H188,D109:H109,D114:H114)</f>
        <v>1889.9560266918133</v>
      </c>
      <c r="E189" s="591"/>
      <c r="F189" s="591"/>
      <c r="G189" s="591"/>
      <c r="H189" s="591"/>
    </row>
    <row r="190" spans="1:14" ht="14.85" customHeight="1">
      <c r="B190" s="234" t="s">
        <v>863</v>
      </c>
      <c r="D190" s="591">
        <f>D189/B117</f>
        <v>3131.2781981255443</v>
      </c>
      <c r="K190" s="340" t="s">
        <v>647</v>
      </c>
      <c r="L190" s="341"/>
      <c r="M190" s="341"/>
      <c r="N190" s="342"/>
    </row>
    <row r="191" spans="1:14" ht="14.85" customHeight="1">
      <c r="K191" s="343">
        <v>0</v>
      </c>
      <c r="L191" s="344" t="s">
        <v>2900</v>
      </c>
      <c r="M191" s="345"/>
      <c r="N191" s="346"/>
    </row>
    <row r="192" spans="1:14" ht="14.85" customHeight="1">
      <c r="B192" s="294" t="s">
        <v>595</v>
      </c>
      <c r="C192" s="295"/>
      <c r="D192" s="295"/>
      <c r="E192" s="295"/>
      <c r="F192" s="295"/>
      <c r="G192" s="295"/>
      <c r="H192" s="1945"/>
      <c r="K192" s="347"/>
      <c r="N192" s="348"/>
    </row>
    <row r="193" spans="2:14" ht="14.85" customHeight="1">
      <c r="K193" s="349" t="s">
        <v>2901</v>
      </c>
      <c r="L193" s="350" t="s">
        <v>2902</v>
      </c>
      <c r="M193" s="350" t="s">
        <v>2903</v>
      </c>
      <c r="N193" s="351" t="s">
        <v>1713</v>
      </c>
    </row>
    <row r="194" spans="2:14" ht="14.85" customHeight="1">
      <c r="B194" s="352" t="str">
        <f>+B83</f>
        <v>Series Seed</v>
      </c>
      <c r="D194" s="353"/>
      <c r="E194" s="353"/>
      <c r="F194" s="353"/>
      <c r="G194" s="353"/>
      <c r="H194" s="353"/>
      <c r="K194" s="354"/>
      <c r="L194" s="355"/>
      <c r="M194" s="355"/>
      <c r="N194" s="356"/>
    </row>
    <row r="195" spans="2:14" ht="14.85" customHeight="1">
      <c r="B195" s="357" t="str">
        <f>$B$144</f>
        <v>Debt-Like Component</v>
      </c>
      <c r="D195" s="358">
        <f>MIN(D83,$J$55)/$J$65</f>
        <v>1.0094624999999999</v>
      </c>
      <c r="E195" s="358">
        <f>MIN(E83,$J$55)/$J$65</f>
        <v>1.0094624999999999</v>
      </c>
      <c r="F195" s="358">
        <f>MIN(F83,$J$55)/$J$65</f>
        <v>1.0094624999999999</v>
      </c>
      <c r="G195" s="358">
        <f>MIN(G83,$J$55)/$J$65</f>
        <v>1.0094624999999999</v>
      </c>
      <c r="H195" s="358">
        <f>MIN(H83,$J$55)/$J$65</f>
        <v>0.3990027434586062</v>
      </c>
      <c r="K195" s="359">
        <f>IF($K$191=1,'WACC PWERM'!$J$23,'WACC PWERM'!$J$11)</f>
        <v>0.125</v>
      </c>
      <c r="L195" s="358">
        <f>SUMPRODUCT(D220:H220,$D$114:$H$114)</f>
        <v>0.43735707000794166</v>
      </c>
      <c r="M195" s="360">
        <f>J65</f>
        <v>1010.456</v>
      </c>
      <c r="N195" s="361">
        <f>L195*M195</f>
        <v>441.93007553194468</v>
      </c>
    </row>
    <row r="196" spans="2:14" ht="14.85" customHeight="1">
      <c r="B196" s="357" t="str">
        <f>$B$155</f>
        <v>Equity-Like Component</v>
      </c>
      <c r="D196" s="358">
        <f>(D83-MIN(D83,$J$55))/$J$65</f>
        <v>5.7226085158139108</v>
      </c>
      <c r="E196" s="358">
        <f>(E83-MIN(E83,$J$55))/$J$65</f>
        <v>5.7136795207793361</v>
      </c>
      <c r="F196" s="358">
        <f>(F83-MIN(F83,$J$55))/$J$65</f>
        <v>9.5367599808223371</v>
      </c>
      <c r="G196" s="358">
        <f>(G83-MIN(G83,$J$55))/$J$65</f>
        <v>11.434906718291973</v>
      </c>
      <c r="H196" s="358">
        <f>(H83-MIN(H83,$J$55))/$J$65</f>
        <v>0</v>
      </c>
      <c r="K196" s="359">
        <f>IF($K$191=1,'WACC PWERM'!$J$23,'WACC PWERM'!$J$13)</f>
        <v>0.25</v>
      </c>
      <c r="L196" s="358">
        <f>SUMPRODUCT(D221:H221,$D$114:$H$114)</f>
        <v>1.3252358766213383</v>
      </c>
      <c r="M196" s="360">
        <f>M195</f>
        <v>1010.456</v>
      </c>
      <c r="N196" s="361">
        <f>L196*M196</f>
        <v>1339.0925429472911</v>
      </c>
    </row>
    <row r="197" spans="2:14" ht="14.85" customHeight="1">
      <c r="B197" s="352" t="str">
        <f>+B84</f>
        <v>Series Seed-1</v>
      </c>
      <c r="D197" s="353"/>
      <c r="E197" s="353"/>
      <c r="F197" s="353"/>
      <c r="G197" s="353"/>
      <c r="H197" s="353"/>
      <c r="K197" s="347"/>
      <c r="N197" s="348"/>
    </row>
    <row r="198" spans="2:14" ht="14.85" customHeight="1">
      <c r="B198" s="357" t="str">
        <f>$B$144</f>
        <v>Debt-Like Component</v>
      </c>
      <c r="D198" s="358">
        <f>MIN(D84,$J$56)/$J$66</f>
        <v>1.9187375</v>
      </c>
      <c r="E198" s="358">
        <f>MIN(E84,$J$56)/$J$66</f>
        <v>1.9187375</v>
      </c>
      <c r="F198" s="358">
        <f>MIN(F84,$J$56)/$J$66</f>
        <v>1.9187375</v>
      </c>
      <c r="G198" s="358">
        <f>MIN(G84,$J$56)/$J$66</f>
        <v>1.9187375</v>
      </c>
      <c r="H198" s="358">
        <f>MIN(H84,$J$56)/$J$66</f>
        <v>0.7584051180473842</v>
      </c>
      <c r="K198" s="362">
        <f>K195</f>
        <v>0.125</v>
      </c>
      <c r="L198" s="358">
        <f>SUMPRODUCT(D223:H223,$D$114:$H$114)</f>
        <v>0.83130716704618846</v>
      </c>
      <c r="M198" s="360">
        <f>J66</f>
        <v>1787.64</v>
      </c>
      <c r="N198" s="361">
        <f>L198*M198</f>
        <v>1486.0779440984484</v>
      </c>
    </row>
    <row r="199" spans="2:14" ht="14.85" customHeight="1">
      <c r="B199" s="357" t="str">
        <f>$B$155</f>
        <v>Equity-Like Component</v>
      </c>
      <c r="D199" s="358">
        <f>(D84-MIN(D84,$J$56))/$J$66</f>
        <v>4.8133335158139117</v>
      </c>
      <c r="E199" s="358">
        <f>(E84-MIN(E84,$J$56))/$J$66</f>
        <v>4.804404520779336</v>
      </c>
      <c r="F199" s="358">
        <f>(F84-MIN(F84,$J$56))/$J$66</f>
        <v>8.6274849808223379</v>
      </c>
      <c r="G199" s="358">
        <f>(G84-MIN(G84,$J$56))/$J$66</f>
        <v>10.525631718291976</v>
      </c>
      <c r="H199" s="358">
        <f>(H84-MIN(H84,$J$56))/$J$66</f>
        <v>0</v>
      </c>
      <c r="K199" s="362">
        <f>K196</f>
        <v>0.25</v>
      </c>
      <c r="L199" s="358">
        <f>SUMPRODUCT(D224:H224,$D$114:$H$114)</f>
        <v>1.1971517422958864</v>
      </c>
      <c r="M199" s="360">
        <f>M198</f>
        <v>1787.64</v>
      </c>
      <c r="N199" s="361">
        <f>L199*M199</f>
        <v>2140.0763405978187</v>
      </c>
    </row>
    <row r="200" spans="2:14" ht="14.85" customHeight="1">
      <c r="B200" s="352" t="str">
        <f>+B85</f>
        <v>Series A</v>
      </c>
      <c r="D200" s="353"/>
      <c r="E200" s="353"/>
      <c r="F200" s="353"/>
      <c r="G200" s="353"/>
      <c r="H200" s="353"/>
      <c r="K200" s="347"/>
      <c r="N200" s="348"/>
    </row>
    <row r="201" spans="2:14" ht="14.85" customHeight="1">
      <c r="B201" s="357" t="str">
        <f>$B$144</f>
        <v>Debt-Like Component</v>
      </c>
      <c r="D201" s="358">
        <f>MIN(D85,$J$57)/$J$67</f>
        <v>2.1463000000000001</v>
      </c>
      <c r="E201" s="358">
        <f>MIN(E85,$J$57)/$J$67</f>
        <v>2.1463000000000001</v>
      </c>
      <c r="F201" s="358">
        <f>MIN(F85,$J$57)/$J$67</f>
        <v>2.1463000000000001</v>
      </c>
      <c r="G201" s="358">
        <f>MIN(G85,$J$57)/$J$67</f>
        <v>2.1463000000000001</v>
      </c>
      <c r="H201" s="358">
        <f>MIN(H85,$J$57)/$J$67</f>
        <v>0.84835205694635174</v>
      </c>
      <c r="K201" s="362">
        <f>K198</f>
        <v>0.125</v>
      </c>
      <c r="L201" s="358">
        <f>SUMPRODUCT(D226:H226,$D$114:$H$114)</f>
        <v>0.92990029779020555</v>
      </c>
      <c r="M201" s="360">
        <f>J67</f>
        <v>6120.1109999999999</v>
      </c>
      <c r="N201" s="361">
        <f>L201*M201</f>
        <v>5691.0930414091126</v>
      </c>
    </row>
    <row r="202" spans="2:14" ht="14.85" customHeight="1">
      <c r="B202" s="357" t="str">
        <f>$B$155</f>
        <v>Equity-Like Component</v>
      </c>
      <c r="D202" s="358">
        <f>(D85-MIN(D85,$J$57))/$J$67</f>
        <v>4.5857710158139113</v>
      </c>
      <c r="E202" s="358">
        <f>(E85-MIN(E85,$J$57))/$J$67</f>
        <v>4.5768420207793357</v>
      </c>
      <c r="F202" s="358">
        <f>(F85-MIN(F85,$J$57))/$J$67</f>
        <v>8.3999224808223367</v>
      </c>
      <c r="G202" s="358">
        <f>(G85-MIN(G85,$J$57))/$J$67</f>
        <v>10.298069218291975</v>
      </c>
      <c r="H202" s="358">
        <f>(H85-MIN(H85,$J$57))/$J$67</f>
        <v>0</v>
      </c>
      <c r="K202" s="362">
        <f>K199</f>
        <v>0.25</v>
      </c>
      <c r="L202" s="358">
        <f>SUMPRODUCT(D227:H227,$D$114:$H$114)</f>
        <v>1.1650963731089672</v>
      </c>
      <c r="M202" s="360">
        <f>M201</f>
        <v>6120.1109999999999</v>
      </c>
      <c r="N202" s="361">
        <f>L202*M202</f>
        <v>7130.5191291242945</v>
      </c>
    </row>
    <row r="203" spans="2:14" ht="14.85" customHeight="1">
      <c r="B203" s="352" t="str">
        <f>+B86</f>
        <v>Series B</v>
      </c>
      <c r="D203" s="353"/>
      <c r="E203" s="353"/>
      <c r="F203" s="353"/>
      <c r="G203" s="353"/>
      <c r="H203" s="353"/>
      <c r="K203" s="347"/>
      <c r="N203" s="348"/>
    </row>
    <row r="204" spans="2:14" ht="14.85" customHeight="1">
      <c r="B204" s="357" t="str">
        <f>$B$144</f>
        <v>Debt-Like Component</v>
      </c>
      <c r="D204" s="358">
        <f>MIN(D86,$J$58)/$J$68</f>
        <v>4.2926000000000002</v>
      </c>
      <c r="E204" s="358">
        <f>MIN(E86,$J$58)/$J$68</f>
        <v>4.2926000000000002</v>
      </c>
      <c r="F204" s="358">
        <f>MIN(F86,$J$58)/$J$68</f>
        <v>4.2926000000000002</v>
      </c>
      <c r="G204" s="358">
        <f>MIN(G86,$J$58)/$J$68</f>
        <v>4.2926000000000002</v>
      </c>
      <c r="H204" s="358">
        <f>MIN(H86,$J$58)/$J$68</f>
        <v>1.6967041138927037</v>
      </c>
      <c r="K204" s="362">
        <f>K201</f>
        <v>0.125</v>
      </c>
      <c r="L204" s="358">
        <f>SUMPRODUCT(D229:H229,$D$114:$H$114)</f>
        <v>1.8598005955804111</v>
      </c>
      <c r="M204" s="360">
        <f>J68</f>
        <v>5097.5659999999998</v>
      </c>
      <c r="N204" s="361">
        <f t="shared" ref="N204:N205" si="75">L204*M204</f>
        <v>9480.4562828104536</v>
      </c>
    </row>
    <row r="205" spans="2:14" ht="14.85" customHeight="1">
      <c r="B205" s="357" t="str">
        <f>$B$155</f>
        <v>Equity-Like Component</v>
      </c>
      <c r="D205" s="358">
        <f>(D86-MIN(D86,$J$58))/$J$68</f>
        <v>2.4394710158139108</v>
      </c>
      <c r="E205" s="358">
        <f>(E86-MIN(E86,$J$58))/$J$68</f>
        <v>2.4305420207793356</v>
      </c>
      <c r="F205" s="358">
        <f>(F86-MIN(F86,$J$58))/$J$68</f>
        <v>6.2536224808223384</v>
      </c>
      <c r="G205" s="358">
        <f>(G86-MIN(G86,$J$58))/$J$68</f>
        <v>8.1517692182919745</v>
      </c>
      <c r="H205" s="358">
        <f>(H86-MIN(H86,$J$58))/$J$68</f>
        <v>0</v>
      </c>
      <c r="K205" s="362">
        <f>K202</f>
        <v>0.25</v>
      </c>
      <c r="L205" s="358">
        <f t="shared" ref="L205:L212" si="76">SUMPRODUCT(D230:H230,$D$114:$H$114)</f>
        <v>0.86275992098753218</v>
      </c>
      <c r="M205" s="360">
        <f>M204</f>
        <v>5097.5659999999998</v>
      </c>
      <c r="N205" s="361">
        <f t="shared" si="75"/>
        <v>4397.9756393887301</v>
      </c>
    </row>
    <row r="206" spans="2:14" ht="14.85" customHeight="1">
      <c r="B206" s="352" t="str">
        <f t="shared" ref="B206:B212" si="77">+B87</f>
        <v>Options at $0.0059 Strike Price</v>
      </c>
      <c r="D206" s="358">
        <f t="shared" ref="D206:H212" si="78">D87/$J69</f>
        <v>6.7261960158139109</v>
      </c>
      <c r="E206" s="358">
        <f t="shared" si="78"/>
        <v>6.7172670207793352</v>
      </c>
      <c r="F206" s="358">
        <f t="shared" si="78"/>
        <v>10.540347480822337</v>
      </c>
      <c r="G206" s="358">
        <f t="shared" si="78"/>
        <v>12.438494218291975</v>
      </c>
      <c r="H206" s="358">
        <f t="shared" si="78"/>
        <v>0</v>
      </c>
      <c r="K206" s="359">
        <f>IF($K$191=1,'WACC PWERM'!$J$23,'WACC PWERM'!$J$17)</f>
        <v>0.3</v>
      </c>
      <c r="L206" s="358">
        <f t="shared" si="76"/>
        <v>1.3377000413281723</v>
      </c>
      <c r="M206" s="360">
        <f t="shared" ref="M206:M212" si="79">J69</f>
        <v>79.688000000000002</v>
      </c>
      <c r="N206" s="361">
        <f t="shared" ref="N206:N212" si="80">L206*M206</f>
        <v>106.5986408933594</v>
      </c>
    </row>
    <row r="207" spans="2:14" ht="14.85" customHeight="1">
      <c r="B207" s="352" t="str">
        <f t="shared" si="77"/>
        <v>Options at $0.350 Strike Price</v>
      </c>
      <c r="D207" s="358">
        <f t="shared" si="78"/>
        <v>6.3820710158139109</v>
      </c>
      <c r="E207" s="358">
        <f t="shared" si="78"/>
        <v>6.3731420207793352</v>
      </c>
      <c r="F207" s="358">
        <f t="shared" si="78"/>
        <v>10.196222480822337</v>
      </c>
      <c r="G207" s="358">
        <f t="shared" si="78"/>
        <v>12.094369218291975</v>
      </c>
      <c r="H207" s="358">
        <f t="shared" si="78"/>
        <v>0</v>
      </c>
      <c r="K207" s="362">
        <f t="shared" ref="K207:K211" si="81">K206</f>
        <v>0.3</v>
      </c>
      <c r="L207" s="358">
        <f t="shared" si="76"/>
        <v>1.2934283025612094</v>
      </c>
      <c r="M207" s="360">
        <f t="shared" si="79"/>
        <v>10</v>
      </c>
      <c r="N207" s="361">
        <f t="shared" si="80"/>
        <v>12.934283025612094</v>
      </c>
    </row>
    <row r="208" spans="2:14" ht="14.85" customHeight="1">
      <c r="B208" s="352" t="str">
        <f t="shared" si="77"/>
        <v>Options at $0.38 Strike Price</v>
      </c>
      <c r="D208" s="358">
        <f t="shared" si="78"/>
        <v>6.3520710158139115</v>
      </c>
      <c r="E208" s="358">
        <f t="shared" si="78"/>
        <v>6.3431420207793359</v>
      </c>
      <c r="F208" s="358">
        <f t="shared" si="78"/>
        <v>10.166222480822336</v>
      </c>
      <c r="G208" s="358">
        <f t="shared" si="78"/>
        <v>12.064369218291976</v>
      </c>
      <c r="H208" s="358">
        <f t="shared" si="78"/>
        <v>0</v>
      </c>
      <c r="K208" s="362">
        <f t="shared" si="81"/>
        <v>0.3</v>
      </c>
      <c r="L208" s="358">
        <f t="shared" si="76"/>
        <v>1.2895687975470171</v>
      </c>
      <c r="M208" s="360">
        <f t="shared" si="79"/>
        <v>328.69</v>
      </c>
      <c r="N208" s="361">
        <f t="shared" si="80"/>
        <v>423.86836806572904</v>
      </c>
    </row>
    <row r="209" spans="2:14" ht="14.85" customHeight="1">
      <c r="B209" s="352" t="str">
        <f t="shared" si="77"/>
        <v>Options at $0.81 Strike Price</v>
      </c>
      <c r="D209" s="358">
        <f t="shared" si="78"/>
        <v>5.9220710158139109</v>
      </c>
      <c r="E209" s="358">
        <f t="shared" si="78"/>
        <v>5.9131420207793353</v>
      </c>
      <c r="F209" s="358">
        <f t="shared" si="78"/>
        <v>9.7362224808223381</v>
      </c>
      <c r="G209" s="358">
        <f t="shared" si="78"/>
        <v>11.634369218291976</v>
      </c>
      <c r="H209" s="358">
        <f t="shared" si="78"/>
        <v>0</v>
      </c>
      <c r="K209" s="362">
        <f t="shared" si="81"/>
        <v>0.3</v>
      </c>
      <c r="L209" s="358">
        <f t="shared" si="76"/>
        <v>1.2342492256769293</v>
      </c>
      <c r="M209" s="360">
        <f t="shared" si="79"/>
        <v>1224.4010000000001</v>
      </c>
      <c r="N209" s="361">
        <f t="shared" si="80"/>
        <v>1511.215986168058</v>
      </c>
    </row>
    <row r="210" spans="2:14" ht="14.85" customHeight="1">
      <c r="B210" s="352" t="str">
        <f t="shared" si="77"/>
        <v>Options at $0.91 Strike Price</v>
      </c>
      <c r="D210" s="358">
        <f t="shared" si="78"/>
        <v>5.8220710158139104</v>
      </c>
      <c r="E210" s="358">
        <f t="shared" si="78"/>
        <v>5.8131420207793356</v>
      </c>
      <c r="F210" s="358">
        <f t="shared" si="78"/>
        <v>9.6362224808223367</v>
      </c>
      <c r="G210" s="358">
        <f t="shared" si="78"/>
        <v>11.534369218291975</v>
      </c>
      <c r="H210" s="358">
        <f t="shared" si="78"/>
        <v>0</v>
      </c>
      <c r="K210" s="362">
        <f t="shared" si="81"/>
        <v>0.3</v>
      </c>
      <c r="L210" s="358">
        <f t="shared" si="76"/>
        <v>1.2213842089629552</v>
      </c>
      <c r="M210" s="360">
        <f t="shared" si="79"/>
        <v>95.094999999999999</v>
      </c>
      <c r="N210" s="361">
        <f t="shared" si="80"/>
        <v>116.14753135133222</v>
      </c>
    </row>
    <row r="211" spans="2:14" ht="14.85" customHeight="1">
      <c r="B211" s="352" t="str">
        <f t="shared" si="77"/>
        <v>Expected Options Grant</v>
      </c>
      <c r="D211" s="358">
        <f t="shared" si="78"/>
        <v>6.1320710158139109</v>
      </c>
      <c r="E211" s="358">
        <f t="shared" si="78"/>
        <v>6.1231420207793352</v>
      </c>
      <c r="F211" s="358">
        <f t="shared" si="78"/>
        <v>9.9462224808223372</v>
      </c>
      <c r="G211" s="358">
        <f t="shared" si="78"/>
        <v>11.844369218291975</v>
      </c>
      <c r="H211" s="358">
        <f t="shared" si="78"/>
        <v>0</v>
      </c>
      <c r="K211" s="362">
        <f t="shared" si="81"/>
        <v>0.3</v>
      </c>
      <c r="L211" s="358">
        <f t="shared" si="76"/>
        <v>1.2612657607762747</v>
      </c>
      <c r="M211" s="360">
        <f t="shared" si="79"/>
        <v>1602.6010000000001</v>
      </c>
      <c r="N211" s="361">
        <f t="shared" si="80"/>
        <v>2021.3057694858187</v>
      </c>
    </row>
    <row r="212" spans="2:14" ht="14.85" customHeight="1">
      <c r="B212" s="352" t="str">
        <f t="shared" si="77"/>
        <v>Common Stock</v>
      </c>
      <c r="D212" s="358">
        <f t="shared" si="78"/>
        <v>6.7320710158139114</v>
      </c>
      <c r="E212" s="358">
        <f t="shared" si="78"/>
        <v>6.7231420207793358</v>
      </c>
      <c r="F212" s="358">
        <f t="shared" si="78"/>
        <v>10.546222480822337</v>
      </c>
      <c r="G212" s="358">
        <f t="shared" si="78"/>
        <v>12.444369218291975</v>
      </c>
      <c r="H212" s="358">
        <f t="shared" si="78"/>
        <v>0</v>
      </c>
      <c r="K212" s="359">
        <f>IF($K$191=1,'WACC PWERM'!$J$23,'WACC PWERM'!$J$15)</f>
        <v>0.3</v>
      </c>
      <c r="L212" s="358">
        <f t="shared" si="76"/>
        <v>1.3384558610601183</v>
      </c>
      <c r="M212" s="360">
        <f t="shared" si="79"/>
        <v>3618.2730000000001</v>
      </c>
      <c r="N212" s="361">
        <f t="shared" si="80"/>
        <v>4842.8987037655779</v>
      </c>
    </row>
    <row r="213" spans="2:14" ht="14.85" customHeight="1">
      <c r="B213" s="352"/>
      <c r="K213" s="347"/>
      <c r="N213" s="348"/>
    </row>
    <row r="214" spans="2:14" ht="14.85" customHeight="1">
      <c r="K214" s="347"/>
      <c r="M214" s="363" t="s">
        <v>2904</v>
      </c>
      <c r="N214" s="364">
        <f>ROUND(SUM(N195:N213),-1)</f>
        <v>41140</v>
      </c>
    </row>
    <row r="215" spans="2:14" ht="14.85" customHeight="1">
      <c r="K215" s="347"/>
      <c r="M215" s="363" t="s">
        <v>2905</v>
      </c>
      <c r="N215" s="365">
        <f>B177</f>
        <v>42640</v>
      </c>
    </row>
    <row r="216" spans="2:14" ht="14.85" customHeight="1">
      <c r="K216" s="366"/>
      <c r="L216" s="269"/>
      <c r="M216" s="367" t="s">
        <v>2906</v>
      </c>
      <c r="N216" s="368">
        <f>N214-N215</f>
        <v>-1500</v>
      </c>
    </row>
    <row r="217" spans="2:14" ht="14.85" customHeight="1">
      <c r="B217" s="369" t="s">
        <v>2899</v>
      </c>
      <c r="C217" s="345"/>
      <c r="D217" s="345"/>
      <c r="E217" s="345"/>
      <c r="F217" s="345"/>
      <c r="G217" s="345"/>
      <c r="H217" s="1946"/>
      <c r="N217" s="370">
        <f>N215/N214-1</f>
        <v>3.6460865337870629E-2</v>
      </c>
    </row>
    <row r="218" spans="2:14" ht="14.85" customHeight="1"/>
    <row r="219" spans="2:14" ht="14.85" customHeight="1">
      <c r="B219" s="255" t="str">
        <f t="shared" ref="B219:B235" si="82">B194</f>
        <v>Series Seed</v>
      </c>
    </row>
    <row r="220" spans="2:14" ht="14.85" customHeight="1">
      <c r="B220" s="234" t="str">
        <f t="shared" si="82"/>
        <v>Debt-Like Component</v>
      </c>
      <c r="D220" s="358">
        <f t="shared" ref="D220:H221" si="83">D195*(1/(1+$K195)^D$13)</f>
        <v>0.80535889961940033</v>
      </c>
      <c r="E220" s="358">
        <f t="shared" si="83"/>
        <v>0.65550748613637755</v>
      </c>
      <c r="F220" s="358">
        <f t="shared" si="83"/>
        <v>0.80535889961940033</v>
      </c>
      <c r="G220" s="358">
        <f t="shared" si="83"/>
        <v>0.65550748613637755</v>
      </c>
      <c r="H220" s="358">
        <f t="shared" si="83"/>
        <v>0.3357367614434596</v>
      </c>
    </row>
    <row r="221" spans="2:14" ht="14.85" customHeight="1">
      <c r="B221" s="234" t="str">
        <f t="shared" si="82"/>
        <v>Equity-Like Component</v>
      </c>
      <c r="D221" s="358">
        <f t="shared" si="83"/>
        <v>3.7302609795128792</v>
      </c>
      <c r="E221" s="358">
        <f t="shared" si="83"/>
        <v>2.5215504698726758</v>
      </c>
      <c r="F221" s="358">
        <f t="shared" si="83"/>
        <v>6.2165013610723783</v>
      </c>
      <c r="G221" s="358">
        <f t="shared" si="83"/>
        <v>5.0464318664702565</v>
      </c>
      <c r="H221" s="358">
        <f t="shared" si="83"/>
        <v>0</v>
      </c>
    </row>
    <row r="222" spans="2:14" ht="14.85" customHeight="1">
      <c r="B222" s="255" t="str">
        <f t="shared" si="82"/>
        <v>Series Seed-1</v>
      </c>
    </row>
    <row r="223" spans="2:14" ht="14.85" customHeight="1">
      <c r="B223" s="234" t="str">
        <f t="shared" si="82"/>
        <v>Debt-Like Component</v>
      </c>
      <c r="D223" s="358">
        <f t="shared" ref="D223:H224" si="84">D198*(1/(1+$K198)^D$13)</f>
        <v>1.5307872473306132</v>
      </c>
      <c r="E223" s="358">
        <f t="shared" si="84"/>
        <v>1.2459569277517468</v>
      </c>
      <c r="F223" s="358">
        <f t="shared" si="84"/>
        <v>1.5307872473306132</v>
      </c>
      <c r="G223" s="358">
        <f t="shared" si="84"/>
        <v>1.2459569277517468</v>
      </c>
      <c r="H223" s="358">
        <f t="shared" si="84"/>
        <v>0.63815219912589138</v>
      </c>
    </row>
    <row r="224" spans="2:14" ht="14.85" customHeight="1">
      <c r="B224" s="234" t="str">
        <f t="shared" si="82"/>
        <v>Equity-Like Component</v>
      </c>
      <c r="D224" s="358">
        <f t="shared" si="84"/>
        <v>3.1375534681090245</v>
      </c>
      <c r="E224" s="358">
        <f t="shared" si="84"/>
        <v>2.1202709099752131</v>
      </c>
      <c r="F224" s="358">
        <f t="shared" si="84"/>
        <v>5.6237938496685231</v>
      </c>
      <c r="G224" s="358">
        <f t="shared" si="84"/>
        <v>4.6451523065727951</v>
      </c>
      <c r="H224" s="358">
        <f t="shared" si="84"/>
        <v>0</v>
      </c>
    </row>
    <row r="225" spans="2:8" ht="14.85" customHeight="1">
      <c r="B225" s="255" t="str">
        <f t="shared" si="82"/>
        <v>Series A</v>
      </c>
    </row>
    <row r="226" spans="2:8" ht="14.85" customHeight="1">
      <c r="B226" s="234" t="str">
        <f t="shared" si="82"/>
        <v>Debt-Like Component</v>
      </c>
      <c r="D226" s="358">
        <f t="shared" ref="D226:H227" si="85">D201*(1/(1+$K201)^D$13)</f>
        <v>1.7123388003547622</v>
      </c>
      <c r="E226" s="358">
        <f t="shared" si="85"/>
        <v>1.3937275703599761</v>
      </c>
      <c r="F226" s="358">
        <f t="shared" si="85"/>
        <v>1.7123388003547622</v>
      </c>
      <c r="G226" s="358">
        <f t="shared" si="85"/>
        <v>1.3937275703599761</v>
      </c>
      <c r="H226" s="358">
        <f t="shared" si="85"/>
        <v>0.71383712726931159</v>
      </c>
    </row>
    <row r="227" spans="2:8" ht="14.85" customHeight="1">
      <c r="B227" s="234" t="str">
        <f t="shared" si="82"/>
        <v>Equity-Like Component</v>
      </c>
      <c r="D227" s="358">
        <f t="shared" si="85"/>
        <v>2.9892177027312896</v>
      </c>
      <c r="E227" s="358">
        <f t="shared" si="85"/>
        <v>2.019843448702038</v>
      </c>
      <c r="F227" s="358">
        <f t="shared" si="85"/>
        <v>5.4754580842907874</v>
      </c>
      <c r="G227" s="358">
        <f t="shared" si="85"/>
        <v>4.5447248452996192</v>
      </c>
      <c r="H227" s="358">
        <f t="shared" si="85"/>
        <v>0</v>
      </c>
    </row>
    <row r="228" spans="2:8" ht="14.85" customHeight="1">
      <c r="B228" s="255" t="str">
        <f t="shared" si="82"/>
        <v>Series B</v>
      </c>
    </row>
    <row r="229" spans="2:8" ht="14.85" customHeight="1">
      <c r="B229" s="234" t="str">
        <f t="shared" si="82"/>
        <v>Debt-Like Component</v>
      </c>
      <c r="D229" s="358">
        <f t="shared" ref="D229:H237" si="86">D204*(1/(1+$K204)^D$13)</f>
        <v>3.4246776007095243</v>
      </c>
      <c r="E229" s="358">
        <f t="shared" si="86"/>
        <v>2.7874551407199522</v>
      </c>
      <c r="F229" s="358">
        <f t="shared" si="86"/>
        <v>3.4246776007095243</v>
      </c>
      <c r="G229" s="358">
        <f t="shared" si="86"/>
        <v>2.7874551407199522</v>
      </c>
      <c r="H229" s="358">
        <f t="shared" si="86"/>
        <v>1.4276742545386232</v>
      </c>
    </row>
    <row r="230" spans="2:8" ht="14.85" customHeight="1">
      <c r="B230" s="234" t="str">
        <f t="shared" si="82"/>
        <v>Equity-Like Component</v>
      </c>
      <c r="D230" s="358">
        <f t="shared" si="86"/>
        <v>1.5901600670038196</v>
      </c>
      <c r="E230" s="358">
        <f t="shared" si="86"/>
        <v>1.0726423055848027</v>
      </c>
      <c r="F230" s="358">
        <f t="shared" si="86"/>
        <v>4.0764004485633194</v>
      </c>
      <c r="G230" s="358">
        <f t="shared" si="86"/>
        <v>3.5975237021823836</v>
      </c>
      <c r="H230" s="358">
        <f t="shared" si="86"/>
        <v>0</v>
      </c>
    </row>
    <row r="231" spans="2:8" ht="14.85" customHeight="1">
      <c r="B231" s="255" t="str">
        <f t="shared" si="82"/>
        <v>Options at $0.0059 Strike Price</v>
      </c>
      <c r="D231" s="358">
        <f t="shared" si="86"/>
        <v>4.066755117658472</v>
      </c>
      <c r="E231" s="358">
        <f t="shared" si="86"/>
        <v>2.5674640929328696</v>
      </c>
      <c r="F231" s="358">
        <f t="shared" si="86"/>
        <v>6.3728461018312874</v>
      </c>
      <c r="G231" s="358">
        <f t="shared" si="86"/>
        <v>4.754223284086839</v>
      </c>
      <c r="H231" s="358">
        <f t="shared" si="86"/>
        <v>0</v>
      </c>
    </row>
    <row r="232" spans="2:8" ht="14.85" customHeight="1">
      <c r="B232" s="255" t="str">
        <f t="shared" si="82"/>
        <v>Options at $0.350 Strike Price</v>
      </c>
      <c r="D232" s="358">
        <f t="shared" si="86"/>
        <v>3.8586921796212907</v>
      </c>
      <c r="E232" s="358">
        <f t="shared" si="86"/>
        <v>2.4359331327600198</v>
      </c>
      <c r="F232" s="358">
        <f t="shared" si="86"/>
        <v>6.1647831637941071</v>
      </c>
      <c r="G232" s="358">
        <f t="shared" si="86"/>
        <v>4.6226923239139888</v>
      </c>
      <c r="H232" s="358">
        <f t="shared" si="86"/>
        <v>0</v>
      </c>
    </row>
    <row r="233" spans="2:8" ht="14.85" customHeight="1">
      <c r="B233" s="255" t="str">
        <f t="shared" si="82"/>
        <v>Options at $0.38 Strike Price</v>
      </c>
      <c r="D233" s="358">
        <f t="shared" si="86"/>
        <v>3.8405537469555</v>
      </c>
      <c r="E233" s="358">
        <f t="shared" si="86"/>
        <v>2.4244665761158193</v>
      </c>
      <c r="F233" s="358">
        <f t="shared" si="86"/>
        <v>6.1466447311283146</v>
      </c>
      <c r="G233" s="358">
        <f t="shared" si="86"/>
        <v>4.6112257672697883</v>
      </c>
      <c r="H233" s="358">
        <f t="shared" si="86"/>
        <v>0</v>
      </c>
    </row>
    <row r="234" spans="2:8" ht="14.85" customHeight="1">
      <c r="B234" s="255" t="str">
        <f t="shared" si="82"/>
        <v>Options at $0.81 Strike Price</v>
      </c>
      <c r="D234" s="358">
        <f t="shared" si="86"/>
        <v>3.5805695454124913</v>
      </c>
      <c r="E234" s="358">
        <f t="shared" si="86"/>
        <v>2.2601125975489453</v>
      </c>
      <c r="F234" s="358">
        <f t="shared" si="86"/>
        <v>5.8866605295853081</v>
      </c>
      <c r="G234" s="358">
        <f t="shared" si="86"/>
        <v>4.4468717887029152</v>
      </c>
      <c r="H234" s="358">
        <f t="shared" si="86"/>
        <v>0</v>
      </c>
    </row>
    <row r="235" spans="2:8" ht="14.85" customHeight="1">
      <c r="B235" s="255" t="str">
        <f t="shared" si="82"/>
        <v>Options at $0.91 Strike Price</v>
      </c>
      <c r="D235" s="358">
        <f t="shared" si="86"/>
        <v>3.5201081031931869</v>
      </c>
      <c r="E235" s="358">
        <f t="shared" si="86"/>
        <v>2.2218907420682772</v>
      </c>
      <c r="F235" s="358">
        <f t="shared" si="86"/>
        <v>5.8261990873660023</v>
      </c>
      <c r="G235" s="358">
        <f t="shared" si="86"/>
        <v>4.4086499332222466</v>
      </c>
      <c r="H235" s="358">
        <f t="shared" si="86"/>
        <v>0</v>
      </c>
    </row>
    <row r="236" spans="2:8" ht="14.85" customHeight="1">
      <c r="B236" s="255" t="str">
        <f t="shared" ref="B236:B237" si="87">B211</f>
        <v>Expected Options Grant</v>
      </c>
      <c r="D236" s="358">
        <f t="shared" si="86"/>
        <v>3.7075385740730304</v>
      </c>
      <c r="E236" s="358">
        <f t="shared" si="86"/>
        <v>2.3403784940583487</v>
      </c>
      <c r="F236" s="358">
        <f t="shared" si="86"/>
        <v>6.0136295582458459</v>
      </c>
      <c r="G236" s="358">
        <f t="shared" si="86"/>
        <v>4.5271376852123186</v>
      </c>
      <c r="H236" s="358">
        <f t="shared" si="86"/>
        <v>0</v>
      </c>
    </row>
    <row r="237" spans="2:8" ht="14.85" customHeight="1">
      <c r="B237" s="255" t="str">
        <f t="shared" si="87"/>
        <v>Common Stock</v>
      </c>
      <c r="D237" s="358">
        <f t="shared" si="86"/>
        <v>4.0703072273888559</v>
      </c>
      <c r="E237" s="358">
        <f t="shared" si="86"/>
        <v>2.5697096269423589</v>
      </c>
      <c r="F237" s="358">
        <f t="shared" si="86"/>
        <v>6.3763982115616713</v>
      </c>
      <c r="G237" s="358">
        <f t="shared" si="86"/>
        <v>4.7564688180963275</v>
      </c>
      <c r="H237" s="358">
        <f t="shared" si="86"/>
        <v>0</v>
      </c>
    </row>
    <row r="238" spans="2:8" ht="14.85" customHeight="1"/>
    <row r="239" spans="2:8" ht="14.85" customHeight="1"/>
    <row r="240" spans="2:8"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sheetData>
  <conditionalFormatting sqref="E113:G114 D114:G114">
    <cfRule type="expression" dxfId="367" priority="59">
      <formula>$C$114&lt;&gt;1</formula>
    </cfRule>
  </conditionalFormatting>
  <conditionalFormatting sqref="B4:G4">
    <cfRule type="cellIs" dxfId="366" priority="58" stopIfTrue="1" operator="equal">
      <formula>"input"</formula>
    </cfRule>
  </conditionalFormatting>
  <conditionalFormatting sqref="E28:G30 E35:G37 E39:G39">
    <cfRule type="cellIs" dxfId="365" priority="48" operator="equal">
      <formula>0</formula>
    </cfRule>
    <cfRule type="cellIs" dxfId="364" priority="49" operator="equal">
      <formula>0</formula>
    </cfRule>
  </conditionalFormatting>
  <conditionalFormatting sqref="E32:G32">
    <cfRule type="cellIs" dxfId="363" priority="44" operator="equal">
      <formula>0</formula>
    </cfRule>
    <cfRule type="cellIs" dxfId="362" priority="45" operator="equal">
      <formula>0</formula>
    </cfRule>
  </conditionalFormatting>
  <conditionalFormatting sqref="E104:G105">
    <cfRule type="cellIs" dxfId="361" priority="31" operator="equal">
      <formula>0</formula>
    </cfRule>
  </conditionalFormatting>
  <conditionalFormatting sqref="H104:H105">
    <cfRule type="cellIs" dxfId="360" priority="13" operator="equal">
      <formula>0</formula>
    </cfRule>
  </conditionalFormatting>
  <conditionalFormatting sqref="H114">
    <cfRule type="expression" dxfId="359" priority="30">
      <formula>$C$114&lt;&gt;1</formula>
    </cfRule>
  </conditionalFormatting>
  <conditionalFormatting sqref="H4">
    <cfRule type="cellIs" dxfId="358" priority="29" stopIfTrue="1" operator="equal">
      <formula>"input"</formula>
    </cfRule>
  </conditionalFormatting>
  <conditionalFormatting sqref="H4">
    <cfRule type="cellIs" dxfId="357" priority="27" stopIfTrue="1" operator="equal">
      <formula>"input"</formula>
    </cfRule>
  </conditionalFormatting>
  <conditionalFormatting sqref="H4">
    <cfRule type="cellIs" dxfId="356" priority="28" stopIfTrue="1" operator="equal">
      <formula>"input"</formula>
    </cfRule>
  </conditionalFormatting>
  <conditionalFormatting sqref="H113">
    <cfRule type="expression" dxfId="355" priority="26">
      <formula>$C$114&lt;&gt;1</formula>
    </cfRule>
  </conditionalFormatting>
  <conditionalFormatting sqref="H28:H30">
    <cfRule type="cellIs" dxfId="354" priority="24" operator="equal">
      <formula>0</formula>
    </cfRule>
    <cfRule type="cellIs" dxfId="353" priority="25" operator="equal">
      <formula>0</formula>
    </cfRule>
  </conditionalFormatting>
  <conditionalFormatting sqref="H32">
    <cfRule type="cellIs" dxfId="352" priority="22" operator="equal">
      <formula>0</formula>
    </cfRule>
    <cfRule type="cellIs" dxfId="351" priority="23" operator="equal">
      <formula>0</formula>
    </cfRule>
  </conditionalFormatting>
  <conditionalFormatting sqref="H35:H37">
    <cfRule type="cellIs" dxfId="350" priority="20" operator="equal">
      <formula>0</formula>
    </cfRule>
    <cfRule type="cellIs" dxfId="349" priority="21" operator="equal">
      <formula>0</formula>
    </cfRule>
  </conditionalFormatting>
  <conditionalFormatting sqref="H39">
    <cfRule type="cellIs" dxfId="348" priority="18" operator="equal">
      <formula>0</formula>
    </cfRule>
    <cfRule type="cellIs" dxfId="347" priority="19" operator="equal">
      <formula>0</formula>
    </cfRule>
  </conditionalFormatting>
  <conditionalFormatting sqref="D28:D30 D35:D37 D39">
    <cfRule type="cellIs" dxfId="346" priority="5" operator="equal">
      <formula>0</formula>
    </cfRule>
    <cfRule type="cellIs" dxfId="345" priority="6" operator="equal">
      <formula>0</formula>
    </cfRule>
  </conditionalFormatting>
  <conditionalFormatting sqref="D32">
    <cfRule type="cellIs" dxfId="344" priority="3" operator="equal">
      <formula>0</formula>
    </cfRule>
    <cfRule type="cellIs" dxfId="343" priority="4" operator="equal">
      <formula>0</formula>
    </cfRule>
  </conditionalFormatting>
  <conditionalFormatting sqref="D113:D114">
    <cfRule type="expression" dxfId="342" priority="2">
      <formula>$C$114&lt;&gt;1</formula>
    </cfRule>
  </conditionalFormatting>
  <conditionalFormatting sqref="D104:D105 D104:G104">
    <cfRule type="cellIs" dxfId="341" priority="1" operator="equal">
      <formula>0</formula>
    </cfRule>
  </conditionalFormatting>
  <dataValidations count="1">
    <dataValidation type="list" allowBlank="1" showInputMessage="1" showErrorMessage="1" sqref="D8:H8" xr:uid="{00000000-0002-0000-0A00-000000000000}">
      <formula1>$K$8:$L$8</formula1>
    </dataValidation>
  </dataValidations>
  <pageMargins left="0.5" right="0.5" top="0.5" bottom="0.5" header="0.5" footer="0.5"/>
  <pageSetup scale="78" fitToWidth="0" fitToHeight="0" orientation="landscape" r:id="rId1"/>
  <rowBreaks count="3" manualBreakCount="3">
    <brk id="41" max="13" man="1"/>
    <brk id="77" max="13" man="1"/>
    <brk id="117" max="13" man="1"/>
  </rowBreaks>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L635"/>
  <sheetViews>
    <sheetView showGridLines="0" view="pageBreakPreview" topLeftCell="A22" zoomScale="85" zoomScaleNormal="100" zoomScaleSheetLayoutView="85" workbookViewId="0">
      <selection activeCell="E8" sqref="E8"/>
    </sheetView>
  </sheetViews>
  <sheetFormatPr defaultRowHeight="14.25"/>
  <cols>
    <col min="1" max="1" width="4.5" style="234" customWidth="1"/>
    <col min="2" max="2" width="47.6640625" style="234" customWidth="1"/>
    <col min="3" max="6" width="25.83203125" style="234" customWidth="1"/>
    <col min="7" max="7" width="25" style="234" customWidth="1"/>
    <col min="8" max="8" width="4.5" style="234" customWidth="1"/>
    <col min="9" max="9" width="11.1640625" style="234" bestFit="1" customWidth="1"/>
    <col min="10" max="10" width="23.33203125" style="234" customWidth="1"/>
    <col min="11" max="11" width="19.1640625" style="234" customWidth="1"/>
    <col min="12" max="12" width="11.33203125" style="234" bestFit="1" customWidth="1"/>
    <col min="13" max="16384" width="9.33203125" style="234"/>
  </cols>
  <sheetData>
    <row r="1" spans="2:12" ht="15" customHeight="1" thickBot="1"/>
    <row r="2" spans="2:12" ht="15.75" thickTop="1">
      <c r="B2" s="223" t="str">
        <f>'MASTER PubCo Inputs'!$C$5</f>
        <v>Trucode Gene Repair, Inc.</v>
      </c>
      <c r="C2" s="223"/>
      <c r="D2" s="223"/>
      <c r="E2" s="223"/>
      <c r="F2" s="223"/>
      <c r="G2" s="223"/>
    </row>
    <row r="3" spans="2:12" ht="15">
      <c r="B3" s="232" t="str">
        <f>VLOOKUP(B4,Outline!$E$8:$G$65,COLUMNS(Outline!$E$8:$G$8),FALSE)</f>
        <v>Exhibit B.2</v>
      </c>
      <c r="C3" s="232"/>
      <c r="D3" s="232"/>
      <c r="E3" s="232"/>
      <c r="F3" s="232"/>
      <c r="G3" s="232"/>
    </row>
    <row r="4" spans="2:12" ht="15.75" thickBot="1">
      <c r="B4" s="225" t="s">
        <v>614</v>
      </c>
      <c r="C4" s="225"/>
      <c r="D4" s="225"/>
      <c r="E4" s="225"/>
      <c r="F4" s="225"/>
      <c r="G4" s="233" t="str">
        <f>+'MASTER PubCo Inputs'!$C$21</f>
        <v>(in thousands of USD)</v>
      </c>
    </row>
    <row r="5" spans="2:12" ht="14.85" customHeight="1" thickTop="1">
      <c r="B5" s="413"/>
      <c r="C5" s="413"/>
      <c r="D5" s="413"/>
      <c r="E5" s="413"/>
      <c r="F5" s="413"/>
      <c r="G5" s="414"/>
    </row>
    <row r="6" spans="2:12" ht="30" customHeight="1">
      <c r="B6" s="371" t="s">
        <v>2918</v>
      </c>
      <c r="C6" s="372" t="s">
        <v>3482</v>
      </c>
      <c r="D6" s="373" t="s">
        <v>564</v>
      </c>
      <c r="E6" s="373" t="s">
        <v>843</v>
      </c>
      <c r="F6" s="373" t="s">
        <v>4190</v>
      </c>
      <c r="G6" s="374" t="s">
        <v>565</v>
      </c>
      <c r="J6" s="375" t="s">
        <v>566</v>
      </c>
      <c r="K6" s="376" t="s">
        <v>567</v>
      </c>
      <c r="L6" s="377"/>
    </row>
    <row r="7" spans="2:12" ht="14.85" customHeight="1">
      <c r="J7" s="245"/>
      <c r="K7" s="245"/>
    </row>
    <row r="8" spans="2:12" ht="14.85" customHeight="1">
      <c r="B8" s="234" t="s">
        <v>1361</v>
      </c>
      <c r="C8" s="1389">
        <f t="array" ref="C8:C10">TRANSPOSE(PoTS!B29:D29)</f>
        <v>0.6</v>
      </c>
      <c r="D8" s="381">
        <v>0</v>
      </c>
      <c r="E8" s="1973" t="s">
        <v>13</v>
      </c>
      <c r="F8" s="1973" t="s">
        <v>13</v>
      </c>
      <c r="G8" s="408">
        <v>44043</v>
      </c>
      <c r="H8" s="258"/>
      <c r="I8" s="1972" t="s">
        <v>4191</v>
      </c>
      <c r="J8" s="325" t="s">
        <v>13</v>
      </c>
      <c r="K8" s="378" t="str">
        <f>B8</f>
        <v>IND</v>
      </c>
      <c r="L8" s="379">
        <f>SUMIF($C$35:$C$42,B8,$E$35:$E$42)</f>
        <v>0.4</v>
      </c>
    </row>
    <row r="9" spans="2:12" ht="14.85" customHeight="1">
      <c r="B9" s="234" t="s">
        <v>583</v>
      </c>
      <c r="C9" s="1389">
        <v>0.55000000000000004</v>
      </c>
      <c r="D9" s="381">
        <v>0.5</v>
      </c>
      <c r="E9" s="381">
        <v>0.1</v>
      </c>
      <c r="F9" s="304">
        <f>1-E9</f>
        <v>0.9</v>
      </c>
      <c r="G9" s="408">
        <v>44196</v>
      </c>
      <c r="I9" s="1972" t="s">
        <v>4191</v>
      </c>
      <c r="J9" s="325">
        <f>+E9+F9</f>
        <v>1</v>
      </c>
      <c r="K9" s="347" t="str">
        <f t="shared" ref="K9:K10" si="0">B9</f>
        <v>Phase I</v>
      </c>
      <c r="L9" s="380">
        <f>SUMIF($C$35:$C$42,B9,$E$35:$E$42)</f>
        <v>0.435</v>
      </c>
    </row>
    <row r="10" spans="2:12" ht="14.85" customHeight="1">
      <c r="B10" s="234" t="s">
        <v>569</v>
      </c>
      <c r="C10" s="1389">
        <v>0.45</v>
      </c>
      <c r="D10" s="381">
        <v>1</v>
      </c>
      <c r="E10" s="381">
        <v>0.2</v>
      </c>
      <c r="F10" s="304">
        <f>1-E10</f>
        <v>0.8</v>
      </c>
      <c r="G10" s="408">
        <v>44834</v>
      </c>
      <c r="H10" s="258"/>
      <c r="I10" s="1972" t="s">
        <v>4191</v>
      </c>
      <c r="J10" s="325">
        <f>+E10+F10</f>
        <v>1</v>
      </c>
      <c r="K10" s="347" t="str">
        <f t="shared" si="0"/>
        <v>Phase II</v>
      </c>
      <c r="L10" s="382">
        <f>SUMIF($C$37:$C$42,B10,$E$37:$E$42)</f>
        <v>0.16500000000000004</v>
      </c>
    </row>
    <row r="11" spans="2:12" ht="14.85" customHeight="1">
      <c r="B11" s="255"/>
      <c r="C11" s="255"/>
      <c r="D11" s="383"/>
      <c r="E11" s="255"/>
      <c r="F11" s="383"/>
      <c r="G11" s="255"/>
      <c r="J11" s="255"/>
      <c r="K11" s="384"/>
      <c r="L11" s="385">
        <f>SUM(L8:L10)</f>
        <v>1</v>
      </c>
    </row>
    <row r="12" spans="2:12" ht="14.85" customHeight="1">
      <c r="B12" s="386" t="str">
        <f>"Probability of Different Exit Scenarios in "&amp;B$8</f>
        <v>Probability of Different Exit Scenarios in IND</v>
      </c>
      <c r="C12" s="387"/>
      <c r="D12" s="387"/>
      <c r="E12" s="387"/>
      <c r="F12" s="387"/>
      <c r="G12" s="387"/>
    </row>
    <row r="13" spans="2:12" ht="33" customHeight="1">
      <c r="B13" s="371" t="s">
        <v>570</v>
      </c>
      <c r="C13" s="372" t="s">
        <v>571</v>
      </c>
      <c r="D13" s="373" t="s">
        <v>572</v>
      </c>
      <c r="E13" s="373" t="s">
        <v>573</v>
      </c>
      <c r="F13" s="373" t="s">
        <v>574</v>
      </c>
      <c r="G13" s="374" t="s">
        <v>575</v>
      </c>
      <c r="H13" s="258"/>
      <c r="I13" s="258"/>
    </row>
    <row r="14" spans="2:12" ht="14.85" customHeight="1">
      <c r="J14" s="245"/>
      <c r="K14" s="245"/>
    </row>
    <row r="15" spans="2:12" ht="14.85" customHeight="1">
      <c r="B15" s="388" t="s">
        <v>576</v>
      </c>
      <c r="C15" s="261">
        <f>+C8</f>
        <v>0.6</v>
      </c>
      <c r="D15" s="261">
        <f>C8</f>
        <v>0.6</v>
      </c>
      <c r="E15" s="261">
        <f>$D$8</f>
        <v>0</v>
      </c>
      <c r="F15" s="261">
        <f>D15*E15</f>
        <v>0</v>
      </c>
      <c r="G15" s="389"/>
    </row>
    <row r="16" spans="2:12" ht="14.85" customHeight="1">
      <c r="B16" s="388" t="s">
        <v>577</v>
      </c>
      <c r="C16" s="261">
        <f>1-C15</f>
        <v>0.4</v>
      </c>
      <c r="D16" s="261">
        <f>C16</f>
        <v>0.4</v>
      </c>
      <c r="E16" s="390" t="s">
        <v>13</v>
      </c>
      <c r="F16" s="261">
        <f>D16</f>
        <v>0.4</v>
      </c>
      <c r="G16" s="389"/>
    </row>
    <row r="17" spans="2:11" ht="14.85" customHeight="1">
      <c r="B17" s="391" t="s">
        <v>161</v>
      </c>
      <c r="C17" s="392">
        <f>SUM(C15:C16)</f>
        <v>1</v>
      </c>
      <c r="D17" s="392">
        <f>SUM(D15:D16)</f>
        <v>1</v>
      </c>
      <c r="E17" s="391"/>
      <c r="F17" s="392">
        <f>SUM(F15:F16)</f>
        <v>0.4</v>
      </c>
      <c r="G17" s="392">
        <f>+D17-F17</f>
        <v>0.6</v>
      </c>
      <c r="H17" s="258"/>
    </row>
    <row r="18" spans="2:11" ht="14.85" customHeight="1">
      <c r="B18" s="255"/>
      <c r="C18" s="255"/>
      <c r="D18" s="383"/>
      <c r="E18" s="255"/>
      <c r="F18" s="383"/>
      <c r="G18" s="255"/>
    </row>
    <row r="19" spans="2:11" ht="14.85" customHeight="1">
      <c r="B19" s="386" t="str">
        <f>"Probability of Different Exit Scenarios in "&amp;B$9</f>
        <v>Probability of Different Exit Scenarios in Phase I</v>
      </c>
      <c r="C19" s="387"/>
      <c r="D19" s="387"/>
      <c r="E19" s="387"/>
      <c r="F19" s="387"/>
      <c r="G19" s="387"/>
    </row>
    <row r="20" spans="2:11" ht="33" customHeight="1">
      <c r="B20" s="371" t="s">
        <v>570</v>
      </c>
      <c r="C20" s="372" t="s">
        <v>571</v>
      </c>
      <c r="D20" s="373" t="s">
        <v>572</v>
      </c>
      <c r="E20" s="373" t="s">
        <v>573</v>
      </c>
      <c r="F20" s="373" t="s">
        <v>574</v>
      </c>
      <c r="G20" s="374" t="s">
        <v>575</v>
      </c>
      <c r="H20" s="258"/>
      <c r="I20" s="258"/>
    </row>
    <row r="21" spans="2:11" ht="14.85" customHeight="1">
      <c r="J21" s="245"/>
      <c r="K21" s="245"/>
    </row>
    <row r="22" spans="2:11" ht="14.85" customHeight="1">
      <c r="B22" s="388" t="s">
        <v>576</v>
      </c>
      <c r="C22" s="261">
        <f>C9</f>
        <v>0.55000000000000004</v>
      </c>
      <c r="D22" s="261">
        <f>$G$17*C22</f>
        <v>0.33</v>
      </c>
      <c r="E22" s="261">
        <f>$D$9</f>
        <v>0.5</v>
      </c>
      <c r="F22" s="261">
        <f>D22*E22</f>
        <v>0.16500000000000001</v>
      </c>
      <c r="G22" s="389"/>
    </row>
    <row r="23" spans="2:11" ht="14.85" customHeight="1">
      <c r="B23" s="388" t="s">
        <v>577</v>
      </c>
      <c r="C23" s="261">
        <f>1-C22</f>
        <v>0.44999999999999996</v>
      </c>
      <c r="D23" s="261">
        <f>$G$17*C23</f>
        <v>0.26999999999999996</v>
      </c>
      <c r="E23" s="390" t="s">
        <v>13</v>
      </c>
      <c r="F23" s="261">
        <f>D23</f>
        <v>0.26999999999999996</v>
      </c>
      <c r="G23" s="389"/>
    </row>
    <row r="24" spans="2:11" ht="14.85" customHeight="1">
      <c r="B24" s="391" t="s">
        <v>161</v>
      </c>
      <c r="C24" s="392">
        <f>SUM(C22:C23)</f>
        <v>1</v>
      </c>
      <c r="D24" s="392">
        <f>SUM(D22:D23)</f>
        <v>0.6</v>
      </c>
      <c r="E24" s="391"/>
      <c r="F24" s="392">
        <f>SUM(F22:F23)</f>
        <v>0.43499999999999994</v>
      </c>
      <c r="G24" s="392">
        <f>D24-F24</f>
        <v>0.16500000000000004</v>
      </c>
      <c r="H24" s="258"/>
    </row>
    <row r="25" spans="2:11" ht="14.85" customHeight="1">
      <c r="B25" s="255"/>
      <c r="C25" s="255"/>
      <c r="D25" s="383"/>
      <c r="E25" s="255"/>
      <c r="F25" s="383"/>
      <c r="G25" s="255"/>
    </row>
    <row r="26" spans="2:11" ht="14.85" customHeight="1">
      <c r="B26" s="386" t="str">
        <f>"Probability of Different Exit Scenarios in "&amp;B$10</f>
        <v>Probability of Different Exit Scenarios in Phase II</v>
      </c>
      <c r="C26" s="393"/>
      <c r="D26" s="393"/>
      <c r="E26" s="393"/>
      <c r="F26" s="393"/>
      <c r="G26" s="393"/>
    </row>
    <row r="27" spans="2:11" ht="33" customHeight="1">
      <c r="B27" s="371" t="s">
        <v>570</v>
      </c>
      <c r="C27" s="372" t="s">
        <v>571</v>
      </c>
      <c r="D27" s="373" t="s">
        <v>572</v>
      </c>
      <c r="E27" s="373" t="s">
        <v>573</v>
      </c>
      <c r="F27" s="373" t="s">
        <v>574</v>
      </c>
      <c r="G27" s="374" t="s">
        <v>575</v>
      </c>
    </row>
    <row r="28" spans="2:11" ht="14.85" customHeight="1">
      <c r="J28" s="245"/>
      <c r="K28" s="245"/>
    </row>
    <row r="29" spans="2:11" ht="14.85" customHeight="1">
      <c r="B29" s="388" t="s">
        <v>576</v>
      </c>
      <c r="C29" s="261">
        <f>C10</f>
        <v>0.45</v>
      </c>
      <c r="D29" s="261">
        <f>+C29*$G$24</f>
        <v>7.4250000000000024E-2</v>
      </c>
      <c r="E29" s="261">
        <f>D10</f>
        <v>1</v>
      </c>
      <c r="F29" s="261">
        <f>D29*E29</f>
        <v>7.4250000000000024E-2</v>
      </c>
      <c r="G29" s="389"/>
    </row>
    <row r="30" spans="2:11" ht="14.85" customHeight="1">
      <c r="B30" s="388" t="s">
        <v>577</v>
      </c>
      <c r="C30" s="261">
        <f>1-C29</f>
        <v>0.55000000000000004</v>
      </c>
      <c r="D30" s="261">
        <f>+C30*$G$24</f>
        <v>9.0750000000000025E-2</v>
      </c>
      <c r="E30" s="394" t="s">
        <v>13</v>
      </c>
      <c r="F30" s="261">
        <f>D30</f>
        <v>9.0750000000000025E-2</v>
      </c>
      <c r="G30" s="389"/>
    </row>
    <row r="31" spans="2:11" ht="14.85" customHeight="1">
      <c r="B31" s="391" t="s">
        <v>161</v>
      </c>
      <c r="C31" s="392">
        <f>SUM(C29:C30)</f>
        <v>1</v>
      </c>
      <c r="D31" s="392">
        <f>SUM(D29:D30)</f>
        <v>0.16500000000000004</v>
      </c>
      <c r="E31" s="391"/>
      <c r="F31" s="392">
        <f>SUM(F29:F30)</f>
        <v>0.16500000000000004</v>
      </c>
      <c r="G31" s="392">
        <f>+D31-F31</f>
        <v>0</v>
      </c>
    </row>
    <row r="32" spans="2:11" ht="14.85" customHeight="1">
      <c r="B32" s="255"/>
      <c r="C32" s="395"/>
      <c r="D32" s="395"/>
      <c r="E32" s="255"/>
      <c r="F32" s="395"/>
      <c r="G32" s="395"/>
    </row>
    <row r="33" spans="2:12" ht="14.85" customHeight="1">
      <c r="B33" s="386" t="s">
        <v>578</v>
      </c>
      <c r="C33" s="387"/>
      <c r="D33" s="387"/>
      <c r="E33" s="387"/>
      <c r="F33" s="409"/>
      <c r="G33" s="409"/>
    </row>
    <row r="34" spans="2:12" ht="14.85" customHeight="1">
      <c r="B34" s="371" t="s">
        <v>579</v>
      </c>
      <c r="C34" s="396" t="s">
        <v>580</v>
      </c>
      <c r="D34" s="396" t="s">
        <v>581</v>
      </c>
      <c r="E34" s="1715" t="s">
        <v>582</v>
      </c>
      <c r="F34" s="1974" t="s">
        <v>405</v>
      </c>
      <c r="G34" s="1975" t="s">
        <v>409</v>
      </c>
      <c r="J34" s="298" t="s">
        <v>1359</v>
      </c>
      <c r="K34" s="376" t="s">
        <v>1358</v>
      </c>
      <c r="L34" s="377"/>
    </row>
    <row r="35" spans="2:12" ht="14.85" customHeight="1">
      <c r="B35" s="347"/>
      <c r="G35" s="348"/>
      <c r="J35" s="245"/>
      <c r="K35" s="245"/>
    </row>
    <row r="36" spans="2:12" ht="14.85" customHeight="1">
      <c r="B36" s="400" t="s">
        <v>4194</v>
      </c>
      <c r="C36" s="245" t="str">
        <f>B9</f>
        <v>Phase I</v>
      </c>
      <c r="D36" s="401">
        <f>G9</f>
        <v>44196</v>
      </c>
      <c r="E36" s="325">
        <f>+E9*F22</f>
        <v>1.6500000000000001E-2</v>
      </c>
      <c r="F36" s="451">
        <f t="array" ref="F36:F39">TRANSPOSE(PWERM!D23:G23)</f>
        <v>200000</v>
      </c>
      <c r="G36" s="1978"/>
      <c r="J36" s="234" t="str">
        <f t="shared" ref="J36:J42" si="1">IFERROR(LEFT(B36,SEARCH("-",B36)-2),B36)</f>
        <v>IPO</v>
      </c>
      <c r="K36" s="245"/>
    </row>
    <row r="37" spans="2:12" ht="14.85" customHeight="1">
      <c r="B37" s="400" t="s">
        <v>3485</v>
      </c>
      <c r="C37" s="245" t="str">
        <f>B10</f>
        <v>Phase II</v>
      </c>
      <c r="D37" s="401">
        <f>G10</f>
        <v>44834</v>
      </c>
      <c r="E37" s="325">
        <f>+E10*F29</f>
        <v>1.4850000000000006E-2</v>
      </c>
      <c r="F37" s="451">
        <v>280000</v>
      </c>
      <c r="G37" s="1978"/>
      <c r="J37" s="234" t="str">
        <f t="shared" si="1"/>
        <v>IPO</v>
      </c>
      <c r="K37" s="378" t="s">
        <v>978</v>
      </c>
      <c r="L37" s="379">
        <f ca="1">SUMIF($J$35:$J$43,K37,$E$35:$E$42)</f>
        <v>3.1350000000000003E-2</v>
      </c>
    </row>
    <row r="38" spans="2:12" ht="14.85" customHeight="1">
      <c r="B38" s="400" t="s">
        <v>3483</v>
      </c>
      <c r="C38" s="245" t="str">
        <f>+B9</f>
        <v>Phase I</v>
      </c>
      <c r="D38" s="401">
        <f>G9</f>
        <v>44196</v>
      </c>
      <c r="E38" s="1950">
        <f>F22*F9</f>
        <v>0.14850000000000002</v>
      </c>
      <c r="F38" s="451">
        <v>280000</v>
      </c>
      <c r="G38" s="1978"/>
      <c r="J38" s="234" t="str">
        <f t="shared" si="1"/>
        <v>M&amp;A</v>
      </c>
      <c r="K38" s="347" t="s">
        <v>857</v>
      </c>
      <c r="L38" s="380">
        <f ca="1">SUMIF($J$35:$J$43,K38,$E$35:$E$42)</f>
        <v>0.20790000000000003</v>
      </c>
    </row>
    <row r="39" spans="2:12" ht="14.85" customHeight="1">
      <c r="B39" s="400" t="s">
        <v>3484</v>
      </c>
      <c r="C39" s="245" t="str">
        <f>+B10</f>
        <v>Phase II</v>
      </c>
      <c r="D39" s="401">
        <f>G10</f>
        <v>44834</v>
      </c>
      <c r="E39" s="325">
        <f>+F29*F10</f>
        <v>5.9400000000000022E-2</v>
      </c>
      <c r="F39" s="451">
        <v>400000</v>
      </c>
      <c r="G39" s="1978"/>
      <c r="J39" s="234" t="str">
        <f t="shared" si="1"/>
        <v>M&amp;A</v>
      </c>
      <c r="K39" s="347" t="s">
        <v>4256</v>
      </c>
      <c r="L39" s="382">
        <f ca="1">SUMIF($J$35:$J$43,K39,$E$35:$E$42)</f>
        <v>0.76074999999999993</v>
      </c>
    </row>
    <row r="40" spans="2:12" ht="14.85" customHeight="1">
      <c r="B40" s="400" t="s">
        <v>4177</v>
      </c>
      <c r="C40" s="245" t="str">
        <f>+B8</f>
        <v>IND</v>
      </c>
      <c r="D40" s="1722">
        <v>43738</v>
      </c>
      <c r="E40" s="325">
        <f>F16</f>
        <v>0.4</v>
      </c>
      <c r="F40" s="1976"/>
      <c r="G40" s="2183">
        <v>0.3</v>
      </c>
      <c r="J40" s="234" t="str">
        <f t="shared" si="1"/>
        <v>Low Sale</v>
      </c>
      <c r="K40" s="384"/>
      <c r="L40" s="385">
        <f ca="1">SUM(L37:L39)</f>
        <v>1</v>
      </c>
    </row>
    <row r="41" spans="2:12" ht="14.85" customHeight="1">
      <c r="B41" s="400" t="s">
        <v>4196</v>
      </c>
      <c r="C41" s="245" t="str">
        <f>+B9</f>
        <v>Phase I</v>
      </c>
      <c r="D41" s="401">
        <f>G9</f>
        <v>44196</v>
      </c>
      <c r="E41" s="325">
        <f>F23</f>
        <v>0.26999999999999996</v>
      </c>
      <c r="F41" s="1976"/>
      <c r="G41" s="2183">
        <v>0.5</v>
      </c>
      <c r="J41" s="234" t="str">
        <f t="shared" si="1"/>
        <v>Low Sale</v>
      </c>
    </row>
    <row r="42" spans="2:12" ht="14.85" customHeight="1">
      <c r="B42" s="1987" t="s">
        <v>4178</v>
      </c>
      <c r="C42" s="248" t="str">
        <f>+B10</f>
        <v>Phase II</v>
      </c>
      <c r="D42" s="401">
        <f>G10</f>
        <v>44834</v>
      </c>
      <c r="E42" s="398">
        <f>F30</f>
        <v>9.0750000000000025E-2</v>
      </c>
      <c r="F42" s="1977"/>
      <c r="G42" s="2184">
        <v>0.5</v>
      </c>
      <c r="J42" s="234" t="str">
        <f t="shared" si="1"/>
        <v>Low Sale</v>
      </c>
    </row>
    <row r="43" spans="2:12" ht="14.85" customHeight="1">
      <c r="B43" s="402" t="s">
        <v>161</v>
      </c>
      <c r="C43" s="392"/>
      <c r="D43" s="392"/>
      <c r="E43" s="397">
        <f>SUM(E36:E42)</f>
        <v>1.0000000000000002</v>
      </c>
      <c r="F43" s="403"/>
    </row>
    <row r="44" spans="2:12" ht="14.85" customHeight="1"/>
    <row r="45" spans="2:12" ht="14.85" customHeight="1">
      <c r="B45" s="1982" t="s">
        <v>4195</v>
      </c>
      <c r="C45" s="1981"/>
      <c r="D45" s="1983">
        <f>+SUMPRODUCT(D40:D42,E40:E42)/E45</f>
        <v>44031.29214590865</v>
      </c>
      <c r="E45" s="1984">
        <f>SUM(E40:E42)</f>
        <v>0.76074999999999993</v>
      </c>
      <c r="F45" s="1989">
        <f>PWERM!H23</f>
        <v>15600</v>
      </c>
      <c r="G45" s="1986">
        <f>+SUMPRODUCT(E40:E42,G40:G42)/E45</f>
        <v>0.39484061781137042</v>
      </c>
      <c r="H45" s="1985"/>
    </row>
    <row r="46" spans="2:12" ht="14.85" customHeight="1"/>
    <row r="47" spans="2:12" ht="14.85" customHeight="1"/>
    <row r="48" spans="2:12" ht="14.85" customHeight="1">
      <c r="B48" s="279" t="s">
        <v>86</v>
      </c>
      <c r="D48" s="245"/>
      <c r="F48" s="245"/>
    </row>
    <row r="49" spans="1:6" ht="14.85" customHeight="1">
      <c r="A49" s="280" t="s">
        <v>250</v>
      </c>
      <c r="B49" s="339"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D49" s="245"/>
      <c r="F49" s="245"/>
    </row>
    <row r="50" spans="1:6" ht="14.85" customHeight="1"/>
    <row r="51" spans="1:6" ht="14.85" customHeight="1"/>
    <row r="52" spans="1:6" ht="14.85" customHeight="1"/>
    <row r="53" spans="1:6" ht="14.85" customHeight="1"/>
    <row r="54" spans="1:6" ht="14.85" customHeight="1"/>
    <row r="55" spans="1:6" ht="14.85" customHeight="1"/>
    <row r="56" spans="1:6" ht="14.85" customHeight="1"/>
    <row r="57" spans="1:6" ht="14.85" customHeight="1"/>
    <row r="58" spans="1:6" ht="14.85" customHeight="1"/>
    <row r="59" spans="1:6" ht="14.85" customHeight="1"/>
    <row r="60" spans="1:6" ht="14.85" customHeight="1"/>
    <row r="61" spans="1:6" ht="14.85" customHeight="1"/>
    <row r="62" spans="1:6" ht="14.85" customHeight="1"/>
    <row r="63" spans="1:6" ht="14.85" customHeight="1"/>
    <row r="64" spans="1:6"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sheetData>
  <conditionalFormatting sqref="B4:F5">
    <cfRule type="cellIs" dxfId="340" priority="9" stopIfTrue="1" operator="equal">
      <formula>"input"</formula>
    </cfRule>
  </conditionalFormatting>
  <conditionalFormatting sqref="G4:G5">
    <cfRule type="cellIs" dxfId="339" priority="1" stopIfTrue="1" operator="equal">
      <formula>"input"</formula>
    </cfRule>
  </conditionalFormatting>
  <conditionalFormatting sqref="G4:G5">
    <cfRule type="cellIs" dxfId="338" priority="2" stopIfTrue="1" operator="equal">
      <formula>"input"</formula>
    </cfRule>
  </conditionalFormatting>
  <pageMargins left="0.5" right="0.5" top="0.5" bottom="0.5" header="0.5" footer="0.5"/>
  <pageSetup scale="83" orientation="landscape" r:id="rId1"/>
  <rowBreaks count="1" manualBreakCount="1">
    <brk id="31" max="7"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K680"/>
  <sheetViews>
    <sheetView showGridLines="0" view="pageBreakPreview" zoomScaleNormal="100" zoomScaleSheetLayoutView="100" workbookViewId="0"/>
  </sheetViews>
  <sheetFormatPr defaultRowHeight="14.25"/>
  <cols>
    <col min="1" max="1" width="4.5" style="234" customWidth="1"/>
    <col min="2" max="6" width="28.83203125" style="234" customWidth="1"/>
    <col min="7" max="7" width="4.5" style="234" customWidth="1"/>
    <col min="8" max="8" width="27.5" style="234" hidden="1" customWidth="1"/>
    <col min="9" max="9" width="1.6640625" style="234" hidden="1" customWidth="1"/>
    <col min="10" max="10" width="0.1640625" style="234" hidden="1" customWidth="1"/>
    <col min="11" max="16384" width="9.33203125" style="234"/>
  </cols>
  <sheetData>
    <row r="1" spans="2:6" ht="15" thickBot="1"/>
    <row r="2" spans="2:6" ht="15.75" thickTop="1">
      <c r="B2" s="223" t="str">
        <f>'MASTER PubCo Inputs'!$C$5</f>
        <v>Trucode Gene Repair, Inc.</v>
      </c>
      <c r="C2" s="223"/>
      <c r="D2" s="223"/>
      <c r="E2" s="223"/>
      <c r="F2" s="223"/>
    </row>
    <row r="3" spans="2:6" ht="15">
      <c r="B3" s="232" t="str">
        <f>VLOOKUP(B4,Outline!$E$8:$G$65,COLUMNS(Outline!$E$8:$G$8),FALSE)</f>
        <v>Exhibit B.3</v>
      </c>
      <c r="C3" s="232"/>
      <c r="D3" s="232"/>
      <c r="E3" s="232"/>
      <c r="F3" s="232"/>
    </row>
    <row r="4" spans="2:6" ht="15.75" thickBot="1">
      <c r="B4" s="225" t="s">
        <v>615</v>
      </c>
      <c r="C4" s="225"/>
      <c r="D4" s="225"/>
      <c r="E4" s="225"/>
      <c r="F4" s="225"/>
    </row>
    <row r="5" spans="2:6" ht="14.85" customHeight="1" thickTop="1"/>
    <row r="6" spans="2:6" s="405" customFormat="1" ht="14.85" customHeight="1">
      <c r="B6" s="415" t="s">
        <v>2919</v>
      </c>
      <c r="F6" s="416"/>
    </row>
    <row r="7" spans="2:6" s="405" customFormat="1" ht="14.85" customHeight="1">
      <c r="B7" s="417" t="s">
        <v>583</v>
      </c>
      <c r="C7" s="418" t="s">
        <v>569</v>
      </c>
      <c r="D7" s="418" t="s">
        <v>584</v>
      </c>
      <c r="E7" s="418" t="s">
        <v>585</v>
      </c>
      <c r="F7" s="419" t="s">
        <v>586</v>
      </c>
    </row>
    <row r="8" spans="2:6" s="405" customFormat="1" ht="14.85" customHeight="1">
      <c r="B8" s="420">
        <v>0.67</v>
      </c>
      <c r="C8" s="420">
        <v>0.41</v>
      </c>
      <c r="D8" s="420">
        <v>0.65</v>
      </c>
      <c r="E8" s="420">
        <v>0.83</v>
      </c>
      <c r="F8" s="421">
        <f>PRODUCT(B8:E8)</f>
        <v>0.14820065000000002</v>
      </c>
    </row>
    <row r="9" spans="2:6" s="405" customFormat="1" ht="14.85" customHeight="1">
      <c r="B9" s="422"/>
      <c r="C9" s="422"/>
      <c r="D9" s="423"/>
      <c r="E9" s="422"/>
      <c r="F9" s="423"/>
    </row>
    <row r="10" spans="2:6" s="405" customFormat="1" ht="14.85" customHeight="1">
      <c r="B10" s="424" t="s">
        <v>2920</v>
      </c>
      <c r="C10" s="425"/>
      <c r="F10" s="416"/>
    </row>
    <row r="11" spans="2:6" s="405" customFormat="1" ht="14.85" customHeight="1">
      <c r="B11" s="417" t="s">
        <v>587</v>
      </c>
      <c r="C11" s="418"/>
      <c r="D11" s="419"/>
      <c r="F11" s="416"/>
    </row>
    <row r="12" spans="2:6" s="405" customFormat="1" ht="14.85" customHeight="1">
      <c r="B12" s="426" t="s">
        <v>588</v>
      </c>
      <c r="C12" s="427" t="s">
        <v>589</v>
      </c>
      <c r="D12" s="427" t="s">
        <v>869</v>
      </c>
      <c r="F12" s="416"/>
    </row>
    <row r="13" spans="2:6" s="405" customFormat="1" ht="14.85" customHeight="1">
      <c r="B13" s="420">
        <v>0.19</v>
      </c>
      <c r="C13" s="420">
        <v>0.09</v>
      </c>
      <c r="D13" s="420">
        <v>0.14499999999999999</v>
      </c>
      <c r="F13" s="416"/>
    </row>
    <row r="14" spans="2:6" s="405" customFormat="1" ht="14.85" customHeight="1">
      <c r="B14" s="420"/>
      <c r="C14" s="420"/>
      <c r="D14" s="420"/>
      <c r="F14" s="416"/>
    </row>
    <row r="15" spans="2:6" s="405" customFormat="1" ht="14.85" customHeight="1">
      <c r="B15" s="424" t="s">
        <v>2921</v>
      </c>
      <c r="C15" s="420"/>
      <c r="D15" s="420"/>
      <c r="F15" s="416"/>
    </row>
    <row r="16" spans="2:6" s="405" customFormat="1" ht="14.85" customHeight="1">
      <c r="B16" s="1712" t="s">
        <v>870</v>
      </c>
      <c r="C16" s="1713" t="s">
        <v>871</v>
      </c>
      <c r="D16" s="420"/>
      <c r="F16" s="416"/>
    </row>
    <row r="17" spans="1:11" s="405" customFormat="1" ht="14.85" customHeight="1">
      <c r="B17" s="420">
        <v>0.7</v>
      </c>
      <c r="C17" s="420">
        <v>0.65</v>
      </c>
      <c r="D17" s="420"/>
      <c r="F17" s="416"/>
    </row>
    <row r="18" spans="1:11" s="405" customFormat="1" ht="14.85" customHeight="1">
      <c r="B18" s="420"/>
      <c r="C18" s="420"/>
      <c r="D18" s="420"/>
      <c r="F18" s="416"/>
    </row>
    <row r="19" spans="1:11" s="405" customFormat="1" ht="14.85" customHeight="1">
      <c r="B19" s="407" t="s">
        <v>3479</v>
      </c>
      <c r="C19" s="407"/>
      <c r="D19" s="407"/>
      <c r="E19" s="407"/>
      <c r="F19" s="407"/>
    </row>
    <row r="20" spans="1:11" s="405" customFormat="1" ht="14.85" customHeight="1">
      <c r="B20" s="1714" t="s">
        <v>583</v>
      </c>
      <c r="C20" s="1715" t="s">
        <v>569</v>
      </c>
      <c r="D20" s="1716" t="s">
        <v>3478</v>
      </c>
      <c r="E20" s="1717" t="s">
        <v>590</v>
      </c>
    </row>
    <row r="21" spans="1:11" s="405" customFormat="1" ht="14.85" customHeight="1">
      <c r="B21" s="410">
        <v>0.6</v>
      </c>
      <c r="C21" s="410">
        <v>0.56999999999999995</v>
      </c>
      <c r="D21" s="410">
        <v>0.25</v>
      </c>
      <c r="E21" s="325">
        <f>PRODUCT(B21:D21)</f>
        <v>8.5499999999999993E-2</v>
      </c>
    </row>
    <row r="22" spans="1:11" s="405" customFormat="1" ht="14.85" customHeight="1">
      <c r="B22" s="420"/>
      <c r="C22" s="420"/>
      <c r="D22" s="420"/>
      <c r="F22" s="416"/>
    </row>
    <row r="23" spans="1:11" s="405" customFormat="1" ht="14.85" customHeight="1">
      <c r="B23" s="407" t="s">
        <v>3480</v>
      </c>
      <c r="C23" s="407"/>
      <c r="D23" s="407"/>
      <c r="E23" s="407"/>
      <c r="F23" s="407"/>
    </row>
    <row r="24" spans="1:11" s="405" customFormat="1" ht="14.85" customHeight="1">
      <c r="B24" s="1714" t="s">
        <v>583</v>
      </c>
      <c r="C24" s="1715" t="s">
        <v>569</v>
      </c>
      <c r="D24" s="1716" t="s">
        <v>584</v>
      </c>
      <c r="E24" s="1716" t="s">
        <v>585</v>
      </c>
      <c r="F24" s="1717" t="s">
        <v>590</v>
      </c>
    </row>
    <row r="25" spans="1:11" s="405" customFormat="1" ht="14.85" customHeight="1">
      <c r="B25" s="420">
        <v>0.73299999999999998</v>
      </c>
      <c r="C25" s="420">
        <v>0.56599999999999995</v>
      </c>
      <c r="D25" s="420">
        <v>0.75</v>
      </c>
      <c r="E25" s="420">
        <v>0.84</v>
      </c>
      <c r="F25" s="325">
        <f>PRODUCT(B25:E25)</f>
        <v>0.26137314</v>
      </c>
    </row>
    <row r="26" spans="1:11" s="405" customFormat="1" ht="14.85" customHeight="1">
      <c r="B26" s="420"/>
      <c r="C26" s="420"/>
      <c r="D26" s="420"/>
      <c r="E26" s="420"/>
      <c r="F26" s="421"/>
    </row>
    <row r="27" spans="1:11" s="405" customFormat="1" ht="14.85" customHeight="1">
      <c r="B27" s="415" t="s">
        <v>1360</v>
      </c>
      <c r="C27" s="406"/>
      <c r="D27" s="406"/>
      <c r="E27" s="406"/>
      <c r="F27" s="421"/>
    </row>
    <row r="28" spans="1:11" s="405" customFormat="1" ht="14.85" customHeight="1">
      <c r="B28" s="1718" t="s">
        <v>1361</v>
      </c>
      <c r="C28" s="1719" t="s">
        <v>583</v>
      </c>
      <c r="D28" s="1720" t="s">
        <v>569</v>
      </c>
      <c r="E28" s="406"/>
      <c r="F28" s="421"/>
    </row>
    <row r="29" spans="1:11" s="405" customFormat="1" ht="14.85" customHeight="1">
      <c r="B29" s="420">
        <v>0.6</v>
      </c>
      <c r="C29" s="420">
        <v>0.55000000000000004</v>
      </c>
      <c r="D29" s="420">
        <v>0.45</v>
      </c>
      <c r="E29" s="406"/>
      <c r="F29" s="421"/>
      <c r="K29" s="405" t="s">
        <v>4192</v>
      </c>
    </row>
    <row r="30" spans="1:11" s="405" customFormat="1" ht="14.85" customHeight="1">
      <c r="B30" s="420"/>
      <c r="C30" s="1980"/>
      <c r="D30" s="420"/>
      <c r="E30" s="420"/>
      <c r="F30" s="421"/>
      <c r="K30" s="405" t="s">
        <v>4193</v>
      </c>
    </row>
    <row r="31" spans="1:11" s="405" customFormat="1" ht="14.85" customHeight="1">
      <c r="B31" s="428" t="s">
        <v>86</v>
      </c>
      <c r="F31" s="416"/>
    </row>
    <row r="32" spans="1:11" s="405" customFormat="1" ht="14.85" customHeight="1">
      <c r="A32" s="429" t="s">
        <v>250</v>
      </c>
      <c r="B32" s="2196" t="s">
        <v>872</v>
      </c>
      <c r="C32" s="2196"/>
      <c r="D32" s="2196"/>
      <c r="E32" s="2196"/>
      <c r="F32" s="2196"/>
      <c r="G32" s="2196"/>
      <c r="H32" s="2196"/>
      <c r="I32" s="2196"/>
      <c r="J32" s="2196"/>
    </row>
    <row r="33" spans="1:10" s="405" customFormat="1" ht="14.85" customHeight="1">
      <c r="A33" s="429" t="s">
        <v>249</v>
      </c>
      <c r="B33" s="2196" t="s">
        <v>868</v>
      </c>
      <c r="C33" s="2196"/>
      <c r="D33" s="2196"/>
      <c r="E33" s="2196"/>
      <c r="F33" s="2196"/>
      <c r="G33" s="2196"/>
      <c r="H33" s="2196"/>
      <c r="I33" s="2196"/>
      <c r="J33" s="2196"/>
    </row>
    <row r="34" spans="1:10" s="405" customFormat="1" ht="14.85" customHeight="1">
      <c r="A34" s="429" t="s">
        <v>288</v>
      </c>
      <c r="B34" s="2196" t="s">
        <v>873</v>
      </c>
      <c r="C34" s="2196"/>
      <c r="D34" s="2196"/>
      <c r="E34" s="2196"/>
      <c r="F34" s="2196"/>
      <c r="G34" s="2196"/>
      <c r="H34" s="2196"/>
      <c r="I34" s="2196"/>
      <c r="J34" s="2196"/>
    </row>
    <row r="35" spans="1:10" s="405" customFormat="1" ht="30" customHeight="1">
      <c r="A35" s="429" t="s">
        <v>289</v>
      </c>
      <c r="B35" s="2196" t="s">
        <v>3481</v>
      </c>
      <c r="C35" s="2196"/>
      <c r="D35" s="2196"/>
      <c r="E35" s="2196"/>
      <c r="F35" s="2196"/>
      <c r="G35" s="2196"/>
      <c r="H35" s="2196"/>
      <c r="I35" s="2196"/>
      <c r="J35" s="2196"/>
    </row>
    <row r="36" spans="1:10" ht="14.85" customHeight="1"/>
    <row r="37" spans="1:10" ht="14.85" customHeight="1"/>
    <row r="38" spans="1:10" ht="14.85" customHeight="1"/>
    <row r="39" spans="1:10" ht="14.85" customHeight="1"/>
    <row r="40" spans="1:10" ht="14.85" customHeight="1"/>
    <row r="41" spans="1:10" ht="14.85" customHeight="1"/>
    <row r="42" spans="1:10" ht="14.85" customHeight="1"/>
    <row r="43" spans="1:10" ht="14.85" customHeight="1"/>
    <row r="44" spans="1:10" ht="14.85" customHeight="1"/>
    <row r="45" spans="1:10" ht="14.85" customHeight="1"/>
    <row r="46" spans="1:10" ht="14.85" customHeight="1"/>
    <row r="47" spans="1:10" ht="14.85" customHeight="1"/>
    <row r="48" spans="1:10"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sheetData>
  <mergeCells count="4">
    <mergeCell ref="B32:J32"/>
    <mergeCell ref="B33:J33"/>
    <mergeCell ref="B34:J34"/>
    <mergeCell ref="B35:J35"/>
  </mergeCells>
  <conditionalFormatting sqref="B4:F4">
    <cfRule type="cellIs" dxfId="337" priority="1" stopIfTrue="1" operator="equal">
      <formula>"input"</formula>
    </cfRule>
  </conditionalFormatting>
  <pageMargins left="0.5" right="0.5" top="0.5" bottom="0.5" header="0.5" footer="0.5"/>
  <pageSetup fitToWidth="0" fitToHeight="0"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3" tint="-0.499984740745262"/>
    <pageSetUpPr fitToPage="1"/>
  </sheetPr>
  <dimension ref="B6:G30"/>
  <sheetViews>
    <sheetView showGridLines="0" view="pageBreakPreview" zoomScale="55" zoomScaleNormal="100" zoomScaleSheetLayoutView="55" workbookViewId="0"/>
  </sheetViews>
  <sheetFormatPr defaultColWidth="9.33203125" defaultRowHeight="14.25"/>
  <cols>
    <col min="1" max="1" width="4.5" style="195" customWidth="1"/>
    <col min="2" max="2" width="2.83203125" style="195" customWidth="1"/>
    <col min="3" max="3" width="13.83203125" style="195" customWidth="1"/>
    <col min="4" max="4" width="110.83203125" style="214" customWidth="1"/>
    <col min="5" max="5" width="13.83203125" style="195" customWidth="1"/>
    <col min="6" max="6" width="2.83203125" style="195" customWidth="1"/>
    <col min="7" max="7" width="4.5" style="195" customWidth="1"/>
    <col min="8" max="8" width="2.83203125" style="195" customWidth="1"/>
    <col min="9" max="9" width="9.33203125" style="195"/>
    <col min="10" max="10" width="16.33203125" style="195" bestFit="1" customWidth="1"/>
    <col min="11" max="11" width="19" style="195" bestFit="1" customWidth="1"/>
    <col min="12" max="16384" width="9.33203125" style="195"/>
  </cols>
  <sheetData>
    <row r="6" spans="2:7">
      <c r="C6" s="196"/>
      <c r="D6" s="197"/>
      <c r="E6" s="196"/>
      <c r="F6" s="196"/>
      <c r="G6" s="196"/>
    </row>
    <row r="7" spans="2:7" ht="15" thickBot="1">
      <c r="C7" s="196"/>
      <c r="D7" s="197"/>
      <c r="E7" s="196"/>
      <c r="F7" s="196"/>
      <c r="G7" s="196"/>
    </row>
    <row r="8" spans="2:7" ht="15" thickTop="1">
      <c r="B8" s="199"/>
      <c r="C8" s="199"/>
      <c r="D8" s="200"/>
      <c r="E8" s="199"/>
      <c r="F8" s="199"/>
      <c r="G8" s="196"/>
    </row>
    <row r="9" spans="2:7" s="204" customFormat="1" ht="39.75">
      <c r="B9" s="203"/>
      <c r="C9" s="203"/>
      <c r="D9" s="286" t="s">
        <v>3453</v>
      </c>
      <c r="E9" s="203"/>
      <c r="F9" s="203"/>
      <c r="G9" s="196"/>
    </row>
    <row r="10" spans="2:7" ht="15" thickBot="1">
      <c r="B10" s="212"/>
      <c r="C10" s="212"/>
      <c r="D10" s="213"/>
      <c r="E10" s="212"/>
      <c r="F10" s="212"/>
      <c r="G10" s="196"/>
    </row>
    <row r="11" spans="2:7" ht="15" thickTop="1">
      <c r="G11" s="196"/>
    </row>
    <row r="12" spans="2:7">
      <c r="G12" s="196"/>
    </row>
    <row r="13" spans="2:7" ht="18">
      <c r="D13" s="215"/>
      <c r="G13" s="196"/>
    </row>
    <row r="14" spans="2:7" ht="18">
      <c r="D14" s="216"/>
    </row>
    <row r="27" spans="4:4" ht="23.25">
      <c r="D27" s="218"/>
    </row>
    <row r="29" spans="4:4" ht="18">
      <c r="D29" s="219"/>
    </row>
    <row r="30" spans="4:4" ht="36">
      <c r="D30" s="220" t="s">
        <v>451</v>
      </c>
    </row>
  </sheetData>
  <pageMargins left="0.5" right="0.5" top="0.5" bottom="0.5" header="0.5" footer="0.5"/>
  <pageSetup orientation="landscape"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8"/>
  <dimension ref="B1:J752"/>
  <sheetViews>
    <sheetView showGridLines="0" view="pageBreakPreview" zoomScale="85" zoomScaleNormal="100" zoomScaleSheetLayoutView="85" workbookViewId="0"/>
  </sheetViews>
  <sheetFormatPr defaultRowHeight="14.25"/>
  <cols>
    <col min="1" max="1" width="4.5" style="234" customWidth="1"/>
    <col min="2" max="2" width="24.83203125" style="234" customWidth="1"/>
    <col min="3" max="3" width="2.83203125" style="234" customWidth="1"/>
    <col min="4" max="4" width="27.5" style="234" customWidth="1"/>
    <col min="5" max="5" width="3.5" style="234" customWidth="1"/>
    <col min="6" max="8" width="30.83203125" style="234" customWidth="1"/>
    <col min="9" max="9" width="4.5" style="234" customWidth="1"/>
    <col min="10" max="10" width="24.5" style="234" customWidth="1"/>
    <col min="11" max="16384" width="9.33203125" style="234"/>
  </cols>
  <sheetData>
    <row r="1" spans="2:9" ht="10.7" customHeight="1" thickBot="1"/>
    <row r="2" spans="2:9" s="499" customFormat="1" ht="16.5" customHeight="1" thickTop="1">
      <c r="B2" s="223" t="str">
        <f>'MASTER PubCo Inputs'!$C$5</f>
        <v>Trucode Gene Repair, Inc.</v>
      </c>
      <c r="C2" s="223"/>
      <c r="D2" s="223"/>
      <c r="E2" s="223"/>
      <c r="F2" s="223"/>
      <c r="G2" s="223"/>
      <c r="H2" s="223"/>
    </row>
    <row r="3" spans="2:9" s="499" customFormat="1" ht="15.75" customHeight="1">
      <c r="B3" s="232" t="str">
        <f>VLOOKUP(B4,Outline!$E$8:$G$65,COLUMNS(Outline!$E$8:$G$8),FALSE)</f>
        <v>Exhibit C.1</v>
      </c>
      <c r="C3" s="232"/>
      <c r="D3" s="232"/>
      <c r="E3" s="232"/>
      <c r="F3" s="232"/>
      <c r="G3" s="232"/>
      <c r="H3" s="232"/>
    </row>
    <row r="4" spans="2:9" s="499" customFormat="1" ht="16.5" customHeight="1" thickBot="1">
      <c r="B4" s="225" t="s">
        <v>3408</v>
      </c>
      <c r="C4" s="225"/>
      <c r="D4" s="225"/>
      <c r="E4" s="225"/>
      <c r="F4" s="225"/>
      <c r="G4" s="225"/>
      <c r="H4" s="233" t="str">
        <f>+'MASTER PubCo Inputs'!$C$21</f>
        <v>(in thousands of USD)</v>
      </c>
    </row>
    <row r="5" spans="2:9" ht="14.85" customHeight="1" thickTop="1"/>
    <row r="6" spans="2:9" ht="14.85" customHeight="1"/>
    <row r="7" spans="2:9" ht="14.85" customHeight="1"/>
    <row r="8" spans="2:9" ht="14.85" customHeight="1">
      <c r="E8" s="1610"/>
      <c r="F8" s="1608" t="s">
        <v>685</v>
      </c>
      <c r="G8" s="1616"/>
      <c r="H8" s="1991"/>
      <c r="I8" s="789"/>
    </row>
    <row r="9" spans="2:9" ht="14.85" customHeight="1">
      <c r="B9" s="434"/>
      <c r="C9" s="434"/>
      <c r="D9" s="434"/>
      <c r="F9" s="1612">
        <f>YEAR('MASTER PubCo Inputs'!C6)</f>
        <v>2019</v>
      </c>
      <c r="G9" s="1615">
        <f>F9+1</f>
        <v>2020</v>
      </c>
      <c r="H9" s="1992">
        <f>G9+1</f>
        <v>2021</v>
      </c>
      <c r="I9" s="1990"/>
    </row>
    <row r="10" spans="2:9" ht="14.85" customHeight="1">
      <c r="F10" s="252"/>
      <c r="G10" s="252"/>
      <c r="H10" s="252"/>
      <c r="I10" s="252"/>
    </row>
    <row r="11" spans="2:9" ht="14.85" customHeight="1">
      <c r="B11" s="234" t="s">
        <v>205</v>
      </c>
      <c r="F11" s="436" t="s">
        <v>206</v>
      </c>
      <c r="G11" s="436" t="s">
        <v>206</v>
      </c>
      <c r="H11" s="436" t="s">
        <v>206</v>
      </c>
      <c r="I11" s="436"/>
    </row>
    <row r="12" spans="2:9" ht="14.85" customHeight="1">
      <c r="F12" s="435"/>
      <c r="G12" s="435"/>
      <c r="H12" s="435"/>
      <c r="I12" s="435"/>
    </row>
    <row r="13" spans="2:9" ht="14.85" customHeight="1">
      <c r="B13" s="234" t="s">
        <v>4218</v>
      </c>
      <c r="F13" s="297">
        <f>'Operating Income Statement'!AZ5/1000</f>
        <v>140.53745000000001</v>
      </c>
      <c r="G13" s="297">
        <f>'Operating Income Statement'!BA5/1000</f>
        <v>0</v>
      </c>
      <c r="H13" s="297">
        <f>'Operating Income Statement'!BB5/1000</f>
        <v>0</v>
      </c>
      <c r="I13" s="297"/>
    </row>
    <row r="14" spans="2:9" ht="14.85" customHeight="1">
      <c r="B14" s="256" t="s">
        <v>4217</v>
      </c>
      <c r="C14" s="256"/>
      <c r="D14" s="256"/>
      <c r="F14" s="297">
        <f>-'Operating Income Statement'!AZ6/1000</f>
        <v>-119.47580000000001</v>
      </c>
      <c r="G14" s="297">
        <f>-'Operating Income Statement'!BA6/1000</f>
        <v>0</v>
      </c>
      <c r="H14" s="297">
        <f>-'Operating Income Statement'!BB6/1000</f>
        <v>0</v>
      </c>
      <c r="I14" s="297"/>
    </row>
    <row r="15" spans="2:9" ht="14.85" customHeight="1">
      <c r="B15" s="269"/>
      <c r="C15" s="269"/>
      <c r="D15" s="269"/>
      <c r="E15" s="269"/>
      <c r="F15" s="467"/>
      <c r="G15" s="467"/>
      <c r="H15" s="467"/>
      <c r="I15" s="435"/>
    </row>
    <row r="16" spans="2:9" ht="14.85" customHeight="1">
      <c r="B16" s="234" t="s">
        <v>164</v>
      </c>
      <c r="F16" s="297">
        <f>F13+F14</f>
        <v>21.06165</v>
      </c>
      <c r="G16" s="297">
        <f>G13+G14</f>
        <v>0</v>
      </c>
      <c r="H16" s="297">
        <f>H13+H14</f>
        <v>0</v>
      </c>
      <c r="I16" s="297"/>
    </row>
    <row r="17" spans="2:9" ht="14.85" customHeight="1">
      <c r="F17" s="435"/>
      <c r="G17" s="435"/>
      <c r="H17" s="435"/>
      <c r="I17" s="435"/>
    </row>
    <row r="18" spans="2:9" ht="14.85" customHeight="1">
      <c r="B18" s="234" t="s">
        <v>166</v>
      </c>
      <c r="F18" s="435"/>
      <c r="G18" s="435"/>
      <c r="H18" s="435"/>
      <c r="I18" s="435"/>
    </row>
    <row r="19" spans="2:9" ht="14.85" customHeight="1">
      <c r="B19" s="256" t="s">
        <v>167</v>
      </c>
      <c r="C19" s="256"/>
      <c r="D19" s="256"/>
      <c r="F19" s="297">
        <f>-SUM('Operating Income Statement'!AZ9:AZ12)/1000</f>
        <v>-7418.8894163333343</v>
      </c>
      <c r="G19" s="297">
        <f>-SUM('Operating Income Statement'!BA9:BA12)/1000</f>
        <v>-7950.240528039998</v>
      </c>
      <c r="H19" s="297">
        <f>-SUM('Operating Income Statement'!BB9:BB12)/1000</f>
        <v>-8552.6159226811997</v>
      </c>
      <c r="I19" s="297"/>
    </row>
    <row r="20" spans="2:9" ht="14.85" customHeight="1">
      <c r="B20" s="256" t="s">
        <v>168</v>
      </c>
      <c r="C20" s="256"/>
      <c r="D20" s="256"/>
      <c r="F20" s="297">
        <f>-('Operating Income Statement'!AZ13)/1000</f>
        <v>-7.2</v>
      </c>
      <c r="G20" s="297">
        <f>-('Operating Income Statement'!BA13)/1000</f>
        <v>-91.2</v>
      </c>
      <c r="H20" s="297">
        <f>-('Operating Income Statement'!BB13)/1000</f>
        <v>-185.7</v>
      </c>
      <c r="I20" s="297"/>
    </row>
    <row r="21" spans="2:9" ht="14.85" customHeight="1">
      <c r="B21" s="256" t="s">
        <v>169</v>
      </c>
      <c r="C21" s="256"/>
      <c r="D21" s="256"/>
      <c r="F21" s="297">
        <f>-SUM('Operating Income Statement'!AZ14:AZ23)/1000</f>
        <v>-6743.5185199388879</v>
      </c>
      <c r="G21" s="297">
        <f>-SUM('Operating Income Statement'!BA14:BA23)/1000</f>
        <v>-10714.284888888888</v>
      </c>
      <c r="H21" s="297">
        <f>-SUM('Operating Income Statement'!BB14:BB23)/1000</f>
        <v>-10373.175375000004</v>
      </c>
      <c r="I21" s="297"/>
    </row>
    <row r="22" spans="2:9" ht="14.85" customHeight="1">
      <c r="B22" s="256" t="s">
        <v>170</v>
      </c>
      <c r="C22" s="256"/>
      <c r="D22" s="256"/>
      <c r="F22" s="297">
        <f>('Operating Income Statement'!AZ29)/1000</f>
        <v>-549.01068761904764</v>
      </c>
      <c r="G22" s="297">
        <f>('Operating Income Statement'!BA29)/1000</f>
        <v>-489.27813761904753</v>
      </c>
      <c r="H22" s="297">
        <f>('Operating Income Statement'!BB29)/1000</f>
        <v>-479.33082539682533</v>
      </c>
      <c r="I22" s="297"/>
    </row>
    <row r="23" spans="2:9" ht="14.85" customHeight="1">
      <c r="B23" s="256" t="s">
        <v>171</v>
      </c>
      <c r="C23" s="256"/>
      <c r="D23" s="256"/>
      <c r="F23" s="297">
        <f>-('Operating Income Statement'!AZ24)/1000</f>
        <v>-141.321</v>
      </c>
      <c r="G23" s="297">
        <f>-('Operating Income Statement'!BA24)/1000</f>
        <v>-137.27500000000001</v>
      </c>
      <c r="H23" s="297">
        <f>-('Operating Income Statement'!BB24)/1000</f>
        <v>-265.17500000000001</v>
      </c>
      <c r="I23" s="297"/>
    </row>
    <row r="24" spans="2:9" ht="14.85" customHeight="1">
      <c r="B24" s="269"/>
      <c r="C24" s="269"/>
      <c r="D24" s="269"/>
      <c r="E24" s="269"/>
      <c r="F24" s="467"/>
      <c r="G24" s="467"/>
      <c r="H24" s="467"/>
      <c r="I24" s="435"/>
    </row>
    <row r="25" spans="2:9" ht="14.85" customHeight="1">
      <c r="B25" s="388" t="s">
        <v>161</v>
      </c>
      <c r="C25" s="388"/>
      <c r="D25" s="388"/>
      <c r="F25" s="297">
        <f>SUM(F19:F23)</f>
        <v>-14859.93962389127</v>
      </c>
      <c r="G25" s="297">
        <f t="shared" ref="G25:H25" si="0">SUM(G19:G23)</f>
        <v>-19382.278554547935</v>
      </c>
      <c r="H25" s="297">
        <f t="shared" si="0"/>
        <v>-19855.997123078028</v>
      </c>
      <c r="I25" s="297"/>
    </row>
    <row r="26" spans="2:9" ht="14.85" customHeight="1">
      <c r="F26" s="435"/>
      <c r="G26" s="435"/>
      <c r="H26" s="435"/>
      <c r="I26" s="435"/>
    </row>
    <row r="27" spans="2:9" ht="14.85" customHeight="1">
      <c r="B27" s="234" t="s">
        <v>207</v>
      </c>
      <c r="F27" s="297">
        <f>F16+F25</f>
        <v>-14838.877973891271</v>
      </c>
      <c r="G27" s="297">
        <f t="shared" ref="G27:H27" si="1">G16+G25</f>
        <v>-19382.278554547935</v>
      </c>
      <c r="H27" s="297">
        <f t="shared" si="1"/>
        <v>-19855.997123078028</v>
      </c>
      <c r="I27" s="297"/>
    </row>
    <row r="28" spans="2:9" ht="14.85" customHeight="1">
      <c r="F28" s="435"/>
      <c r="G28" s="435"/>
      <c r="H28" s="435"/>
      <c r="I28" s="435"/>
    </row>
    <row r="29" spans="2:9" ht="14.85" customHeight="1">
      <c r="B29" s="256" t="s">
        <v>208</v>
      </c>
      <c r="C29" s="256"/>
      <c r="D29" s="256"/>
      <c r="F29" s="297">
        <f>('Operating Income Statement'!AZ28+'Operating Income Statement'!AZ30)/1000</f>
        <v>-13.262618676086747</v>
      </c>
      <c r="G29" s="297">
        <f>('Operating Income Statement'!BA28+'Operating Income Statement'!BA30)/1000</f>
        <v>0</v>
      </c>
      <c r="H29" s="297">
        <f>('Operating Income Statement'!BB28+'Operating Income Statement'!BB30)/1000</f>
        <v>0</v>
      </c>
      <c r="I29" s="297"/>
    </row>
    <row r="30" spans="2:9" ht="14.85" customHeight="1">
      <c r="B30" s="269"/>
      <c r="C30" s="269"/>
      <c r="D30" s="269"/>
      <c r="E30" s="269"/>
      <c r="F30" s="467"/>
      <c r="G30" s="467"/>
      <c r="H30" s="467"/>
      <c r="I30" s="435"/>
    </row>
    <row r="31" spans="2:9" ht="14.85" customHeight="1">
      <c r="B31" s="255" t="s">
        <v>212</v>
      </c>
      <c r="C31" s="255"/>
      <c r="D31" s="255"/>
      <c r="E31" s="255"/>
      <c r="F31" s="2006">
        <f>F27+F29</f>
        <v>-14852.140592567357</v>
      </c>
      <c r="G31" s="2006">
        <f t="shared" ref="G31:H31" si="2">G27+G29</f>
        <v>-19382.278554547935</v>
      </c>
      <c r="H31" s="2006">
        <f t="shared" si="2"/>
        <v>-19855.997123078028</v>
      </c>
      <c r="I31" s="1520"/>
    </row>
    <row r="32" spans="2:9" ht="14.85" customHeight="1">
      <c r="F32" s="435"/>
      <c r="G32" s="435"/>
      <c r="H32" s="435"/>
      <c r="I32" s="435"/>
    </row>
    <row r="33" spans="2:10" ht="14.85" customHeight="1">
      <c r="B33" s="255" t="s">
        <v>213</v>
      </c>
      <c r="C33" s="255"/>
      <c r="D33" s="255"/>
      <c r="F33" s="435"/>
      <c r="G33" s="435"/>
      <c r="H33" s="435"/>
      <c r="I33" s="435"/>
    </row>
    <row r="34" spans="2:10" ht="14.85" customHeight="1">
      <c r="B34" s="256" t="s">
        <v>214</v>
      </c>
      <c r="C34" s="256"/>
      <c r="D34" s="256"/>
      <c r="F34" s="297">
        <f>'Cash Flow'!BA21/1000</f>
        <v>-102.8</v>
      </c>
      <c r="G34" s="297">
        <f>'Cash Flow'!BB21/1000</f>
        <v>-26</v>
      </c>
      <c r="H34" s="297">
        <f>'Cash Flow'!BC21/1000</f>
        <v>0</v>
      </c>
      <c r="I34" s="297"/>
    </row>
    <row r="35" spans="2:10" ht="14.85" customHeight="1">
      <c r="B35" s="256" t="s">
        <v>173</v>
      </c>
      <c r="C35" s="256"/>
      <c r="D35" s="256"/>
      <c r="F35" s="297">
        <f>F27-F22</f>
        <v>-14289.867286272223</v>
      </c>
      <c r="G35" s="297">
        <f t="shared" ref="G35:H35" si="3">G27-G22</f>
        <v>-18893.000416928888</v>
      </c>
      <c r="H35" s="297">
        <f t="shared" si="3"/>
        <v>-19376.666297681204</v>
      </c>
      <c r="I35" s="297"/>
    </row>
    <row r="36" spans="2:10" ht="14.85" customHeight="1"/>
    <row r="37" spans="2:10" ht="14.85" customHeight="1">
      <c r="B37" s="369" t="s">
        <v>3466</v>
      </c>
      <c r="C37" s="344"/>
      <c r="D37" s="344"/>
      <c r="E37" s="344"/>
      <c r="F37" s="1993">
        <f>F9</f>
        <v>2019</v>
      </c>
      <c r="G37" s="1993">
        <f t="shared" ref="G37:H37" si="4">G9</f>
        <v>2020</v>
      </c>
      <c r="H37" s="1993">
        <f t="shared" si="4"/>
        <v>2021</v>
      </c>
      <c r="I37" s="1993"/>
      <c r="J37" s="1994">
        <f>H37+1</f>
        <v>2022</v>
      </c>
    </row>
    <row r="38" spans="2:10" ht="14.85" customHeight="1"/>
    <row r="39" spans="2:10" ht="14.85" customHeight="1">
      <c r="B39" s="234" t="s">
        <v>3467</v>
      </c>
      <c r="F39" s="265">
        <f>'Balance Sheet''2018'!D12</f>
        <v>13734.83632</v>
      </c>
      <c r="G39" s="297">
        <f>F42</f>
        <v>50190.491299065063</v>
      </c>
      <c r="H39" s="297">
        <f>G42</f>
        <v>31091.749999149542</v>
      </c>
      <c r="J39" s="297">
        <f>H42</f>
        <v>61678.951662092819</v>
      </c>
    </row>
    <row r="40" spans="2:10" ht="14.85" customHeight="1">
      <c r="B40" s="256" t="s">
        <v>3468</v>
      </c>
      <c r="D40" s="245" t="s">
        <v>3469</v>
      </c>
      <c r="F40" s="259">
        <f>SUM('Cash Burn'!P5:AA5)/1000</f>
        <v>-13544.345020934938</v>
      </c>
      <c r="G40" s="259">
        <f>SUM('Cash Burn'!AB5:AM5)/1000</f>
        <v>-19098.74129991552</v>
      </c>
      <c r="H40" s="259">
        <f>SUM('Cash Burn'!AN5:AY5)/1000</f>
        <v>-19412.79833705672</v>
      </c>
      <c r="J40" s="452">
        <v>-20000</v>
      </c>
    </row>
    <row r="41" spans="2:10" ht="14.85" customHeight="1">
      <c r="B41" s="256" t="s">
        <v>3470</v>
      </c>
      <c r="D41" s="266" t="str">
        <f>PWERM!B3</f>
        <v>Exhibit B.1</v>
      </c>
      <c r="F41" s="1957">
        <f>PWERM!L29</f>
        <v>50000</v>
      </c>
      <c r="G41" s="1516">
        <v>0</v>
      </c>
      <c r="H41" s="1957">
        <f>PWERM!L36</f>
        <v>50000</v>
      </c>
      <c r="I41" s="1957"/>
      <c r="J41" s="1516">
        <v>0</v>
      </c>
    </row>
    <row r="42" spans="2:10" ht="14.85" customHeight="1">
      <c r="B42" s="234" t="s">
        <v>3471</v>
      </c>
      <c r="F42" s="297">
        <f>SUM(F39:F41)</f>
        <v>50190.491299065063</v>
      </c>
      <c r="G42" s="297">
        <f>SUM(G39:G41)</f>
        <v>31091.749999149542</v>
      </c>
      <c r="H42" s="297">
        <f>SUM(H39:H41)</f>
        <v>61678.951662092819</v>
      </c>
      <c r="J42" s="297">
        <f t="shared" ref="J42" si="5">SUM(J39:J41)</f>
        <v>41678.951662092819</v>
      </c>
    </row>
    <row r="43" spans="2:10" ht="14.85" customHeight="1"/>
    <row r="44" spans="2:10" ht="14.85" customHeight="1"/>
    <row r="45" spans="2:10" ht="14.85" customHeight="1"/>
    <row r="46" spans="2:10" ht="14.85" customHeight="1"/>
    <row r="47" spans="2:10" ht="14.85" customHeight="1"/>
    <row r="48" spans="2:10"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sheetData>
  <conditionalFormatting sqref="B4:H4">
    <cfRule type="cellIs" dxfId="336" priority="4" stopIfTrue="1" operator="equal">
      <formula>"input"</formula>
    </cfRule>
  </conditionalFormatting>
  <pageMargins left="0.5" right="0.5" top="0.5" bottom="0.5" header="0.5" footer="0.5"/>
  <pageSetup scale="95" fitToWidth="0" fitToHeight="0" orientation="landscape" r:id="rId1"/>
  <legacy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dimension ref="A1:K761"/>
  <sheetViews>
    <sheetView showGridLines="0" view="pageBreakPreview" zoomScale="85" zoomScaleNormal="100" zoomScaleSheetLayoutView="85" workbookViewId="0"/>
  </sheetViews>
  <sheetFormatPr defaultRowHeight="14.25"/>
  <cols>
    <col min="1" max="1" width="4.5" style="234" customWidth="1"/>
    <col min="2" max="2" width="68" style="234" customWidth="1"/>
    <col min="3" max="3" width="1.83203125" style="234" customWidth="1"/>
    <col min="4" max="5" width="41.1640625" style="234" customWidth="1"/>
    <col min="6" max="7" width="4.5" style="234" customWidth="1"/>
    <col min="8" max="8" width="50.83203125" style="234" customWidth="1"/>
    <col min="9" max="9" width="1.83203125" style="234" customWidth="1"/>
    <col min="10" max="10" width="30.83203125" style="234" customWidth="1"/>
    <col min="11" max="11" width="35.83203125" style="234" customWidth="1"/>
    <col min="12" max="12" width="4.5" style="234" customWidth="1"/>
    <col min="13" max="16384" width="9.33203125" style="234"/>
  </cols>
  <sheetData>
    <row r="1" spans="2:11" ht="10.7" customHeight="1" thickBot="1"/>
    <row r="2" spans="2:11" s="499" customFormat="1" ht="16.5" customHeight="1" thickTop="1">
      <c r="B2" s="223" t="str">
        <f>'MASTER PubCo Inputs'!$C$5</f>
        <v>Trucode Gene Repair, Inc.</v>
      </c>
      <c r="C2" s="223"/>
      <c r="D2" s="223"/>
      <c r="E2" s="223"/>
      <c r="H2" s="223" t="str">
        <f>'MASTER PubCo Inputs'!$C$5</f>
        <v>Trucode Gene Repair, Inc.</v>
      </c>
      <c r="I2" s="223"/>
      <c r="J2" s="223"/>
      <c r="K2" s="223"/>
    </row>
    <row r="3" spans="2:11" s="499" customFormat="1" ht="15.75" customHeight="1">
      <c r="B3" s="232" t="str">
        <f>VLOOKUP(B4,Outline!$E$8:$G$65,COLUMNS(Outline!$E$8:$G$8),FALSE)</f>
        <v>Exhibit C.2</v>
      </c>
      <c r="C3" s="232"/>
      <c r="D3" s="232"/>
      <c r="E3" s="232"/>
      <c r="H3" s="232" t="str">
        <f>B3</f>
        <v>Exhibit C.2</v>
      </c>
      <c r="I3" s="232"/>
      <c r="J3" s="232"/>
      <c r="K3" s="232"/>
    </row>
    <row r="4" spans="2:11" s="499" customFormat="1" ht="16.5" customHeight="1" thickBot="1">
      <c r="B4" s="225" t="s">
        <v>156</v>
      </c>
      <c r="C4" s="225"/>
      <c r="D4" s="225"/>
      <c r="E4" s="233" t="str">
        <f>+'MASTER PubCo Inputs'!$C$21</f>
        <v>(in thousands of USD)</v>
      </c>
      <c r="H4" s="225" t="s">
        <v>535</v>
      </c>
      <c r="I4" s="225"/>
      <c r="J4" s="225"/>
      <c r="K4" s="225"/>
    </row>
    <row r="5" spans="2:11" ht="14.85" customHeight="1" thickTop="1"/>
    <row r="6" spans="2:11" ht="14.85" customHeight="1"/>
    <row r="7" spans="2:11" ht="14.85" customHeight="1"/>
    <row r="8" spans="2:11" ht="14.85" customHeight="1">
      <c r="C8" s="1610"/>
      <c r="D8" s="1608" t="s">
        <v>685</v>
      </c>
      <c r="E8" s="1609"/>
      <c r="I8" s="1611"/>
      <c r="J8" s="1614" t="s">
        <v>685</v>
      </c>
      <c r="K8" s="1609"/>
    </row>
    <row r="9" spans="2:11" ht="14.85" customHeight="1">
      <c r="B9" s="434"/>
      <c r="D9" s="1612">
        <f>E9-1</f>
        <v>2017</v>
      </c>
      <c r="E9" s="1613">
        <f>YEAR('MASTER PubCo Inputs'!C7)</f>
        <v>2018</v>
      </c>
      <c r="H9" s="1519"/>
      <c r="I9" s="269"/>
      <c r="J9" s="1615">
        <f>+D9</f>
        <v>2017</v>
      </c>
      <c r="K9" s="1613">
        <f>+E9</f>
        <v>2018</v>
      </c>
    </row>
    <row r="10" spans="2:11" ht="14.85" customHeight="1">
      <c r="D10" s="252"/>
      <c r="E10" s="280" t="s">
        <v>250</v>
      </c>
      <c r="J10" s="252"/>
      <c r="K10" s="252"/>
    </row>
    <row r="11" spans="2:11" ht="14.85" customHeight="1">
      <c r="B11" s="234" t="s">
        <v>205</v>
      </c>
      <c r="D11" s="436" t="s">
        <v>206</v>
      </c>
      <c r="E11" s="436" t="s">
        <v>206</v>
      </c>
      <c r="H11" s="234" t="str">
        <f>B11</f>
        <v>Time in Period</v>
      </c>
      <c r="J11" s="252" t="str">
        <f>+D11</f>
        <v>1 Year</v>
      </c>
      <c r="K11" s="252" t="str">
        <f>+E11</f>
        <v>1 Year</v>
      </c>
    </row>
    <row r="12" spans="2:11" ht="14.85" customHeight="1">
      <c r="D12" s="435"/>
      <c r="E12" s="435"/>
    </row>
    <row r="13" spans="2:11" ht="14.85" customHeight="1">
      <c r="B13" s="234" t="s">
        <v>4218</v>
      </c>
      <c r="D13" s="297">
        <v>0</v>
      </c>
      <c r="E13" s="297">
        <f>'Income Statement''2018'!L10</f>
        <v>278.07702</v>
      </c>
      <c r="H13" s="234" t="str">
        <f>B13</f>
        <v>Non-Product Revenue</v>
      </c>
      <c r="J13" s="390" t="str">
        <f>IF(ISERROR(D13/D$13), "n/a", D13/D$13)</f>
        <v>n/a</v>
      </c>
      <c r="K13" s="390">
        <f>IF(ISERROR(E13/E$13), "n/a", E13/E$13)</f>
        <v>1</v>
      </c>
    </row>
    <row r="14" spans="2:11" ht="14.85" customHeight="1">
      <c r="B14" s="256" t="s">
        <v>4216</v>
      </c>
      <c r="D14" s="297">
        <v>0</v>
      </c>
      <c r="E14" s="297">
        <f>-'Income Statement''2018'!L11</f>
        <v>-55.111739999999998</v>
      </c>
      <c r="H14" s="256" t="str">
        <f>B14</f>
        <v>Cost of Goods Sold</v>
      </c>
      <c r="J14" s="390" t="str">
        <f>IF(ISERROR(D14/D$13), "n/a", D14/D$13)</f>
        <v>n/a</v>
      </c>
      <c r="K14" s="390">
        <f>IF(ISERROR(E14/E$13), "n/a", E14/E$13)</f>
        <v>-0.19818876079727837</v>
      </c>
    </row>
    <row r="15" spans="2:11" ht="6" customHeight="1">
      <c r="B15" s="269"/>
      <c r="C15" s="269"/>
      <c r="D15" s="467"/>
      <c r="E15" s="467"/>
      <c r="H15" s="269"/>
      <c r="I15" s="269"/>
      <c r="J15" s="269"/>
      <c r="K15" s="269"/>
    </row>
    <row r="16" spans="2:11" ht="14.85" customHeight="1">
      <c r="B16" s="234" t="s">
        <v>164</v>
      </c>
      <c r="D16" s="297">
        <f>D13+D14</f>
        <v>0</v>
      </c>
      <c r="E16" s="297">
        <f>E13+E14</f>
        <v>222.96528000000001</v>
      </c>
      <c r="H16" s="234" t="s">
        <v>3459</v>
      </c>
      <c r="J16" s="390" t="str">
        <f>IF(ISERROR(D16/D$13), "n/a", D16/D$13)</f>
        <v>n/a</v>
      </c>
      <c r="K16" s="390">
        <f>IF(ISERROR(E16/E$13), "n/a", E16/E$13)</f>
        <v>0.80181123920272157</v>
      </c>
    </row>
    <row r="17" spans="2:11" ht="14.85" customHeight="1">
      <c r="D17" s="435"/>
      <c r="E17" s="435"/>
    </row>
    <row r="18" spans="2:11" ht="14.85" customHeight="1">
      <c r="B18" s="234" t="s">
        <v>166</v>
      </c>
      <c r="D18" s="435"/>
      <c r="E18" s="435"/>
      <c r="H18" s="234" t="str">
        <f t="shared" ref="H18:H23" si="0">B18</f>
        <v>Operating Expenses</v>
      </c>
    </row>
    <row r="19" spans="2:11" ht="14.85" customHeight="1">
      <c r="B19" s="256" t="s">
        <v>167</v>
      </c>
      <c r="D19" s="297">
        <f>-D22-1932.332</f>
        <v>-1735.9230000000002</v>
      </c>
      <c r="E19" s="297">
        <f>-SUM('Income Statement''2018'!L14:L17,'Income Statement''2018'!L19)</f>
        <v>-7163.210869999999</v>
      </c>
      <c r="H19" s="256" t="str">
        <f t="shared" si="0"/>
        <v>General &amp; Administrative</v>
      </c>
      <c r="J19" s="390" t="str">
        <f t="shared" ref="J19:K23" si="1">IF(ISERROR(D19/D$13), "n/a", D19/D$13)</f>
        <v>n/a</v>
      </c>
      <c r="K19" s="390">
        <f t="shared" si="1"/>
        <v>-25.759808811242291</v>
      </c>
    </row>
    <row r="20" spans="2:11" ht="14.85" customHeight="1">
      <c r="B20" s="256" t="s">
        <v>168</v>
      </c>
      <c r="D20" s="297">
        <v>0</v>
      </c>
      <c r="E20" s="297">
        <f>-'Income Statement''2018'!L18</f>
        <v>-61.358989999999999</v>
      </c>
      <c r="H20" s="256" t="str">
        <f t="shared" si="0"/>
        <v>Sales &amp; Marketing</v>
      </c>
      <c r="J20" s="390" t="str">
        <f t="shared" si="1"/>
        <v>n/a</v>
      </c>
      <c r="K20" s="390">
        <f t="shared" si="1"/>
        <v>-0.2206546589142821</v>
      </c>
    </row>
    <row r="21" spans="2:11" ht="14.85" customHeight="1">
      <c r="B21" s="256" t="s">
        <v>169</v>
      </c>
      <c r="D21" s="297">
        <v>-11131.652</v>
      </c>
      <c r="E21" s="297">
        <f>-SUM('Income Statement''2018'!L20:L26)</f>
        <v>-5896.5039399999987</v>
      </c>
      <c r="H21" s="256" t="str">
        <f t="shared" si="0"/>
        <v>Research &amp; Development</v>
      </c>
      <c r="J21" s="390" t="str">
        <f t="shared" si="1"/>
        <v>n/a</v>
      </c>
      <c r="K21" s="390">
        <f t="shared" si="1"/>
        <v>-21.204571093289186</v>
      </c>
    </row>
    <row r="22" spans="2:11" ht="14.85" customHeight="1">
      <c r="B22" s="256" t="s">
        <v>170</v>
      </c>
      <c r="D22" s="297">
        <v>-196.40899999999999</v>
      </c>
      <c r="E22" s="297">
        <f>'Income Statement''2018'!L34</f>
        <v>-372.18291000000005</v>
      </c>
      <c r="H22" s="256" t="str">
        <f t="shared" si="0"/>
        <v>Depreciation &amp; Amortization</v>
      </c>
      <c r="J22" s="390" t="str">
        <f t="shared" si="1"/>
        <v>n/a</v>
      </c>
      <c r="K22" s="390">
        <f t="shared" si="1"/>
        <v>-1.3384166372323756</v>
      </c>
    </row>
    <row r="23" spans="2:11" ht="14.85" customHeight="1">
      <c r="B23" s="256" t="s">
        <v>171</v>
      </c>
      <c r="D23" s="297">
        <v>0</v>
      </c>
      <c r="E23" s="297">
        <f>-'Income Statement''2018'!L29</f>
        <v>-77.75509000000001</v>
      </c>
      <c r="H23" s="256" t="str">
        <f t="shared" si="0"/>
        <v>Other Expenses</v>
      </c>
      <c r="J23" s="390" t="str">
        <f t="shared" si="1"/>
        <v>n/a</v>
      </c>
      <c r="K23" s="390">
        <f t="shared" si="1"/>
        <v>-0.27961710032709647</v>
      </c>
    </row>
    <row r="24" spans="2:11" ht="6" customHeight="1">
      <c r="B24" s="269"/>
      <c r="C24" s="269"/>
      <c r="D24" s="467"/>
      <c r="E24" s="467"/>
      <c r="H24" s="269"/>
      <c r="I24" s="269"/>
      <c r="J24" s="269"/>
      <c r="K24" s="269"/>
    </row>
    <row r="25" spans="2:11" ht="14.85" customHeight="1">
      <c r="B25" s="388" t="s">
        <v>161</v>
      </c>
      <c r="D25" s="297">
        <f>SUM(D19:D23)</f>
        <v>-13063.984</v>
      </c>
      <c r="E25" s="297">
        <f>SUM(E19:E23)</f>
        <v>-13571.011799999998</v>
      </c>
      <c r="H25" s="388" t="str">
        <f>B25</f>
        <v>Total</v>
      </c>
      <c r="J25" s="390" t="str">
        <f>IF(ISERROR(D25/D$13), "n/a", D25/D$13)</f>
        <v>n/a</v>
      </c>
      <c r="K25" s="390">
        <f>IF(ISERROR(E25/E$13), "n/a", E25/E$13)</f>
        <v>-48.803068301005233</v>
      </c>
    </row>
    <row r="26" spans="2:11" ht="6" customHeight="1">
      <c r="D26" s="435"/>
      <c r="E26" s="435"/>
    </row>
    <row r="27" spans="2:11" ht="14.85" customHeight="1">
      <c r="B27" s="234" t="s">
        <v>207</v>
      </c>
      <c r="D27" s="297">
        <f>D16+D25</f>
        <v>-13063.984</v>
      </c>
      <c r="E27" s="297">
        <f>E16+E25</f>
        <v>-13348.046519999998</v>
      </c>
      <c r="H27" s="234" t="str">
        <f>B27</f>
        <v>Operating Income</v>
      </c>
      <c r="J27" s="390" t="str">
        <f>IF(ISERROR(D27/D$13), "n/a", D27/D$13)</f>
        <v>n/a</v>
      </c>
      <c r="K27" s="390">
        <f>IF(ISERROR(E27/E$13), "n/a", E27/E$13)</f>
        <v>-48.001257061802512</v>
      </c>
    </row>
    <row r="28" spans="2:11" ht="14.85" customHeight="1">
      <c r="D28" s="435"/>
      <c r="E28" s="435"/>
    </row>
    <row r="29" spans="2:11" ht="14.85" customHeight="1">
      <c r="B29" s="256" t="s">
        <v>208</v>
      </c>
      <c r="D29" s="297">
        <v>0</v>
      </c>
      <c r="E29" s="297">
        <f>'Income Statement''2018'!L33+'Income Statement''2018'!L35</f>
        <v>305.56756000000001</v>
      </c>
      <c r="H29" s="256" t="str">
        <f>B29</f>
        <v>Interest Income/Expense, Net</v>
      </c>
      <c r="J29" s="390" t="str">
        <f t="shared" ref="J29:K30" si="2">IF(ISERROR(D29/D$13), "n/a", D29/D$13)</f>
        <v>n/a</v>
      </c>
      <c r="K29" s="390">
        <f t="shared" si="2"/>
        <v>1.098859445487441</v>
      </c>
    </row>
    <row r="30" spans="2:11" ht="14.85" customHeight="1">
      <c r="B30" s="256" t="s">
        <v>209</v>
      </c>
      <c r="D30" s="297">
        <v>20.259</v>
      </c>
      <c r="E30" s="297">
        <v>0</v>
      </c>
      <c r="H30" s="256" t="str">
        <f>B30</f>
        <v>Other Income/Expense, Net</v>
      </c>
      <c r="J30" s="390" t="str">
        <f t="shared" si="2"/>
        <v>n/a</v>
      </c>
      <c r="K30" s="390">
        <f t="shared" si="2"/>
        <v>0</v>
      </c>
    </row>
    <row r="31" spans="2:11" ht="6" customHeight="1">
      <c r="B31" s="269"/>
      <c r="C31" s="269"/>
      <c r="D31" s="467"/>
      <c r="E31" s="467"/>
      <c r="H31" s="269"/>
      <c r="I31" s="269"/>
      <c r="J31" s="269"/>
      <c r="K31" s="269"/>
    </row>
    <row r="32" spans="2:11" ht="14.85" customHeight="1">
      <c r="B32" s="388" t="s">
        <v>210</v>
      </c>
      <c r="D32" s="297">
        <f>SUM(D27:D30)</f>
        <v>-13043.725</v>
      </c>
      <c r="E32" s="297">
        <f>SUM(E27:E30)</f>
        <v>-13042.478959999999</v>
      </c>
      <c r="H32" s="388" t="str">
        <f>B32</f>
        <v>Pre-Tax Income (Loss)</v>
      </c>
      <c r="J32" s="390" t="str">
        <f>IF(ISERROR(D32/D$13), "n/a", D32/D$13)</f>
        <v>n/a</v>
      </c>
      <c r="K32" s="390">
        <f>IF(ISERROR(E32/E$13), "n/a", E32/E$13)</f>
        <v>-46.902397616315071</v>
      </c>
    </row>
    <row r="33" spans="1:11" ht="14.85" customHeight="1">
      <c r="D33" s="435"/>
      <c r="E33" s="435"/>
    </row>
    <row r="34" spans="1:11" ht="14.85" customHeight="1">
      <c r="B34" s="256" t="s">
        <v>211</v>
      </c>
      <c r="D34" s="297">
        <v>-31.74</v>
      </c>
      <c r="E34" s="297">
        <v>0</v>
      </c>
      <c r="H34" s="256" t="str">
        <f>B34</f>
        <v>Income Taxes</v>
      </c>
      <c r="J34" s="390" t="str">
        <f>IF(ISERROR(D34/D$13), "n/a", D34/D$13)</f>
        <v>n/a</v>
      </c>
      <c r="K34" s="390">
        <f>IF(ISERROR(E34/E$13), "n/a", E34/E$13)</f>
        <v>0</v>
      </c>
    </row>
    <row r="35" spans="1:11" ht="6" customHeight="1">
      <c r="B35" s="269"/>
      <c r="C35" s="269"/>
      <c r="D35" s="467"/>
      <c r="E35" s="467"/>
      <c r="H35" s="269"/>
      <c r="I35" s="269"/>
      <c r="J35" s="269"/>
      <c r="K35" s="269"/>
    </row>
    <row r="36" spans="1:11" ht="14.85" customHeight="1">
      <c r="B36" s="255" t="s">
        <v>212</v>
      </c>
      <c r="C36" s="255"/>
      <c r="D36" s="1520">
        <f>D32+D34</f>
        <v>-13075.465</v>
      </c>
      <c r="E36" s="1520">
        <f>E32+E34</f>
        <v>-13042.478959999999</v>
      </c>
      <c r="H36" s="255" t="str">
        <f>B36</f>
        <v>Net Income (Loss)</v>
      </c>
      <c r="I36" s="255"/>
      <c r="J36" s="390" t="str">
        <f>IF(ISERROR(D36/D$13), "n/a", D36/D$13)</f>
        <v>n/a</v>
      </c>
      <c r="K36" s="390">
        <f>IF(ISERROR(E36/E$13), "n/a", E36/E$13)</f>
        <v>-46.902397616315071</v>
      </c>
    </row>
    <row r="37" spans="1:11" ht="14.85" customHeight="1">
      <c r="D37" s="435"/>
      <c r="E37" s="435"/>
    </row>
    <row r="38" spans="1:11" ht="14.85" customHeight="1">
      <c r="B38" s="255" t="s">
        <v>213</v>
      </c>
      <c r="D38" s="435"/>
      <c r="E38" s="435"/>
      <c r="H38" s="255" t="str">
        <f>B38</f>
        <v>Other Items:</v>
      </c>
    </row>
    <row r="39" spans="1:11" ht="14.85" customHeight="1">
      <c r="B39" s="256" t="s">
        <v>214</v>
      </c>
      <c r="D39" s="297">
        <v>-368.846</v>
      </c>
      <c r="E39" s="297">
        <f>'Cash Flow''2018'!L26</f>
        <v>-1238.89166</v>
      </c>
      <c r="H39" s="256" t="str">
        <f>B39</f>
        <v>Capital Expenditures</v>
      </c>
      <c r="J39" s="390" t="str">
        <f>IF(ISERROR(D39/D$13), "n/a", D39/D$13)</f>
        <v>n/a</v>
      </c>
      <c r="K39" s="390">
        <f>IF(ISERROR(E39/E$13), "n/a", E39/E$13)</f>
        <v>-4.4552105024715818</v>
      </c>
    </row>
    <row r="40" spans="1:11" ht="14.85" customHeight="1">
      <c r="B40" s="256" t="s">
        <v>173</v>
      </c>
      <c r="D40" s="297">
        <f>D27-D22</f>
        <v>-12867.575000000001</v>
      </c>
      <c r="E40" s="297">
        <f>E27-E22</f>
        <v>-12975.863609999999</v>
      </c>
      <c r="H40" s="256" t="str">
        <f>B40</f>
        <v>EBITDA</v>
      </c>
      <c r="J40" s="390" t="str">
        <f>IF(ISERROR(D40/D$13), "n/a", D40/D$13)</f>
        <v>n/a</v>
      </c>
      <c r="K40" s="390">
        <f>IF(ISERROR(E40/E$13), "n/a", E40/E$13)</f>
        <v>-46.662840424570135</v>
      </c>
    </row>
    <row r="41" spans="1:11" ht="14.85" customHeight="1"/>
    <row r="42" spans="1:11" ht="14.85" customHeight="1">
      <c r="B42" s="279" t="s">
        <v>86</v>
      </c>
    </row>
    <row r="43" spans="1:11" ht="14.85" customHeight="1">
      <c r="A43" s="493" t="s">
        <v>250</v>
      </c>
      <c r="B43" s="339" t="str">
        <f>"Reflects financial information as of "&amp;TEXT('MASTER PubCo Inputs'!$C$7,"MMMM D, YYYY")&amp;", which Management indicated was the latest available as of the Valuation Date."</f>
        <v>Reflects financial information as of December 31, 2018, which Management indicated was the latest available as of the Valuation Date.</v>
      </c>
    </row>
    <row r="44" spans="1:11" ht="14.85" customHeight="1">
      <c r="B44" s="1517"/>
    </row>
    <row r="45" spans="1:11" ht="14.85" customHeight="1"/>
    <row r="46" spans="1:11" ht="14.85" customHeight="1"/>
    <row r="47" spans="1:11" ht="14.85" customHeight="1"/>
    <row r="48" spans="1:11"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sheetData>
  <conditionalFormatting sqref="B4:D4 J4:K4">
    <cfRule type="cellIs" dxfId="335" priority="6" stopIfTrue="1" operator="equal">
      <formula>"input"</formula>
    </cfRule>
  </conditionalFormatting>
  <conditionalFormatting sqref="H4:I4">
    <cfRule type="cellIs" dxfId="334" priority="5" stopIfTrue="1" operator="equal">
      <formula>"input"</formula>
    </cfRule>
  </conditionalFormatting>
  <conditionalFormatting sqref="E4">
    <cfRule type="cellIs" dxfId="333" priority="2" stopIfTrue="1" operator="equal">
      <formula>"input"</formula>
    </cfRule>
  </conditionalFormatting>
  <conditionalFormatting sqref="E4">
    <cfRule type="cellIs" dxfId="332" priority="1" stopIfTrue="1" operator="equal">
      <formula>"input"</formula>
    </cfRule>
  </conditionalFormatting>
  <pageMargins left="0.5" right="0.5" top="0.5" bottom="0.5" header="0.5" footer="0.5"/>
  <pageSetup scale="95" fitToWidth="0" fitToHeight="0" orientation="landscape" r:id="rId1"/>
  <colBreaks count="1" manualBreakCount="1">
    <brk id="6" max="43" man="1"/>
  </colBreaks>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H753"/>
  <sheetViews>
    <sheetView showGridLines="0" view="pageBreakPreview" zoomScaleNormal="100" zoomScaleSheetLayoutView="100" workbookViewId="0"/>
  </sheetViews>
  <sheetFormatPr defaultRowHeight="14.25"/>
  <cols>
    <col min="1" max="1" width="4.5" style="234" customWidth="1"/>
    <col min="2" max="2" width="66.83203125" style="234" customWidth="1"/>
    <col min="3" max="3" width="2.83203125" style="234" customWidth="1"/>
    <col min="4" max="5" width="28.83203125" style="234" customWidth="1"/>
    <col min="6" max="6" width="4.5" style="234" customWidth="1"/>
    <col min="7" max="8" width="28.83203125" style="234" customWidth="1"/>
    <col min="9" max="9" width="4.5" style="234" customWidth="1"/>
    <col min="10" max="16384" width="9.33203125" style="234"/>
  </cols>
  <sheetData>
    <row r="1" spans="2:8" ht="10.7" customHeight="1" thickBot="1"/>
    <row r="2" spans="2:8" ht="16.5" customHeight="1" thickTop="1">
      <c r="B2" s="223" t="str">
        <f>'MASTER PubCo Inputs'!$C$5</f>
        <v>Trucode Gene Repair, Inc.</v>
      </c>
      <c r="C2" s="223"/>
      <c r="D2" s="223"/>
      <c r="E2" s="223"/>
      <c r="F2" s="223"/>
      <c r="G2" s="223"/>
      <c r="H2" s="223"/>
    </row>
    <row r="3" spans="2:8" ht="15.75" customHeight="1">
      <c r="B3" s="232" t="str">
        <f>VLOOKUP(B4,Outline!$E$8:$G$65,COLUMNS(Outline!$E$8:$G$8),FALSE)</f>
        <v>Exhibit C.3</v>
      </c>
      <c r="C3" s="232"/>
      <c r="D3" s="232"/>
      <c r="E3" s="232"/>
      <c r="F3" s="232"/>
      <c r="G3" s="232"/>
      <c r="H3" s="232"/>
    </row>
    <row r="4" spans="2:8" ht="16.5" customHeight="1" thickBot="1">
      <c r="B4" s="225" t="s">
        <v>157</v>
      </c>
      <c r="C4" s="225"/>
      <c r="D4" s="225"/>
      <c r="E4" s="225"/>
      <c r="F4" s="225"/>
      <c r="G4" s="225"/>
      <c r="H4" s="233" t="str">
        <f>+'MASTER PubCo Inputs'!$C$21</f>
        <v>(in thousands of USD)</v>
      </c>
    </row>
    <row r="5" spans="2:8" ht="14.85" customHeight="1" thickTop="1"/>
    <row r="6" spans="2:8" ht="14.85" customHeight="1">
      <c r="G6" s="528"/>
      <c r="H6" s="528"/>
    </row>
    <row r="7" spans="2:8" ht="14.85" customHeight="1">
      <c r="D7" s="1509" t="s">
        <v>686</v>
      </c>
      <c r="E7" s="846"/>
      <c r="G7" s="1608" t="s">
        <v>3487</v>
      </c>
      <c r="H7" s="1991"/>
    </row>
    <row r="8" spans="2:8" ht="14.85" customHeight="1">
      <c r="B8" s="434"/>
      <c r="D8" s="1510">
        <f>'Hist IS'!D9</f>
        <v>2017</v>
      </c>
      <c r="E8" s="1511">
        <f>'Hist IS'!E9</f>
        <v>2018</v>
      </c>
      <c r="G8" s="1510">
        <f>+D8</f>
        <v>2017</v>
      </c>
      <c r="H8" s="1511">
        <f>+E8</f>
        <v>2018</v>
      </c>
    </row>
    <row r="9" spans="2:8" ht="14.85" customHeight="1">
      <c r="G9" s="252"/>
      <c r="H9" s="252"/>
    </row>
    <row r="10" spans="2:8" ht="14.85" customHeight="1">
      <c r="B10" s="629" t="s">
        <v>215</v>
      </c>
      <c r="C10" s="521"/>
      <c r="D10" s="521"/>
      <c r="E10" s="521"/>
      <c r="F10" s="521"/>
      <c r="G10" s="522"/>
      <c r="H10" s="346"/>
    </row>
    <row r="11" spans="2:8" ht="8.1" customHeight="1"/>
    <row r="12" spans="2:8" ht="14.85" customHeight="1">
      <c r="B12" s="234" t="s">
        <v>216</v>
      </c>
      <c r="D12" s="573"/>
      <c r="E12" s="573"/>
    </row>
    <row r="13" spans="2:8" ht="14.85" customHeight="1">
      <c r="B13" s="256" t="s">
        <v>217</v>
      </c>
      <c r="D13" s="573">
        <f>'Actual BS'!S13/1000</f>
        <v>27199.232510000002</v>
      </c>
      <c r="E13" s="573">
        <f>'Actual BS'!Q13/1000</f>
        <v>13734.83632</v>
      </c>
      <c r="G13" s="390">
        <f>IF(ISERROR(D13/D$25), "n/a", D13/D$25)</f>
        <v>0.93446561276369711</v>
      </c>
      <c r="H13" s="390">
        <f>IF(ISERROR(E13/E$25), "n/a", E13/E$25)</f>
        <v>0.81228630734736995</v>
      </c>
    </row>
    <row r="14" spans="2:8" ht="14.85" customHeight="1">
      <c r="B14" s="256" t="s">
        <v>3486</v>
      </c>
      <c r="D14" s="297">
        <f>'Actual BS'!S24/1000</f>
        <v>70</v>
      </c>
      <c r="E14" s="297">
        <f>'Actual BS'!Q24/1000</f>
        <v>363.39643999999998</v>
      </c>
      <c r="G14" s="390">
        <f>IF(ISERROR(D14/D$25), "n/a", D14/D$25)</f>
        <v>2.4049425978990169E-3</v>
      </c>
      <c r="H14" s="390">
        <f t="shared" ref="H14:H17" si="0">IF(ISERROR(E14/E$25), "n/a", E14/E$25)</f>
        <v>2.1491479437650847E-2</v>
      </c>
    </row>
    <row r="15" spans="2:8" ht="14.85" customHeight="1">
      <c r="B15" s="256" t="s">
        <v>218</v>
      </c>
      <c r="D15" s="297">
        <f>'Actual BS'!S16/1000</f>
        <v>126.84347</v>
      </c>
      <c r="E15" s="297">
        <f>'Actual BS'!Q16/1000</f>
        <v>118.21811</v>
      </c>
      <c r="F15" s="297"/>
      <c r="G15" s="390">
        <f>IF(ISERROR(D15/D$25), "n/a", D15/D$25)</f>
        <v>4.3578752038332287E-3</v>
      </c>
      <c r="H15" s="390">
        <f t="shared" si="0"/>
        <v>6.9914886348995224E-3</v>
      </c>
    </row>
    <row r="16" spans="2:8" ht="14.85" customHeight="1">
      <c r="B16" s="256" t="s">
        <v>219</v>
      </c>
      <c r="D16" s="297">
        <f>'Actual BS'!S26/1000</f>
        <v>544.95735999999999</v>
      </c>
      <c r="E16" s="297">
        <f>'Actual BS'!Q26/1000</f>
        <v>634.69624999999996</v>
      </c>
      <c r="F16" s="297"/>
      <c r="G16" s="390">
        <f>IF(ISERROR(D16/D$25), "n/a", D16/D$25)</f>
        <v>1.8722730987179852E-2</v>
      </c>
      <c r="H16" s="390">
        <f t="shared" si="0"/>
        <v>3.7536309948520967E-2</v>
      </c>
    </row>
    <row r="17" spans="2:8" ht="14.85" customHeight="1">
      <c r="B17" s="256" t="s">
        <v>220</v>
      </c>
      <c r="D17" s="297">
        <f>('Actual BS'!S25+'Actual BS'!S19+'Actual BS'!S18)/1000</f>
        <v>71.912399999999991</v>
      </c>
      <c r="E17" s="297">
        <f>('Actual BS'!Q25+'Actual BS'!Q19+'Actual BS'!Q18)/1000</f>
        <v>57.401120000000006</v>
      </c>
      <c r="F17" s="297"/>
      <c r="G17" s="390">
        <f>IF(ISERROR(D17/D$25), "n/a", D17/D$25)</f>
        <v>2.4706456296736175E-3</v>
      </c>
      <c r="H17" s="390">
        <f t="shared" si="0"/>
        <v>3.3947360358789675E-3</v>
      </c>
    </row>
    <row r="18" spans="2:8" ht="8.1" customHeight="1">
      <c r="B18" s="977"/>
      <c r="C18" s="269"/>
      <c r="D18" s="467"/>
      <c r="E18" s="467"/>
      <c r="F18" s="435"/>
      <c r="G18" s="269"/>
      <c r="H18" s="269"/>
    </row>
    <row r="19" spans="2:8" ht="14.85" customHeight="1">
      <c r="B19" s="388" t="s">
        <v>224</v>
      </c>
      <c r="D19" s="297">
        <f>SUM(D13:D17)</f>
        <v>28012.945740000003</v>
      </c>
      <c r="E19" s="297">
        <f>SUM(E13:E17)</f>
        <v>14908.548240000002</v>
      </c>
      <c r="F19" s="297"/>
      <c r="G19" s="390">
        <f>IF(ISERROR(D19/D$25), "n/a", D19/D$25)</f>
        <v>0.96242180718228287</v>
      </c>
      <c r="H19" s="390">
        <f>IF(ISERROR(E19/E$25), "n/a", E19/E$25)</f>
        <v>0.88170032140432031</v>
      </c>
    </row>
    <row r="20" spans="2:8" ht="14.85" customHeight="1">
      <c r="D20" s="435"/>
      <c r="E20" s="435"/>
      <c r="F20" s="435"/>
    </row>
    <row r="21" spans="2:8" ht="14.85" customHeight="1">
      <c r="B21" s="256" t="s">
        <v>221</v>
      </c>
      <c r="D21" s="297">
        <f>'Actual BS'!S40/1000</f>
        <v>928.67773</v>
      </c>
      <c r="E21" s="297">
        <f>'Actual BS'!Q40/1000</f>
        <v>1873.0741</v>
      </c>
      <c r="F21" s="297"/>
      <c r="G21" s="390">
        <f t="shared" ref="G21:H23" si="1">IF(ISERROR(D21/D$25), "n/a", D21/D$25)</f>
        <v>3.1905951894245166E-2</v>
      </c>
      <c r="H21" s="390">
        <f t="shared" si="1"/>
        <v>0.11077470518243485</v>
      </c>
    </row>
    <row r="22" spans="2:8" ht="14.85" customHeight="1">
      <c r="B22" s="256" t="s">
        <v>222</v>
      </c>
      <c r="D22" s="297">
        <f>('Actual BS'!S43+'Actual BS'!S44)/1000</f>
        <v>165.10034999999996</v>
      </c>
      <c r="E22" s="297">
        <f>('Actual BS'!Q43+'Actual BS'!Q44)/1000</f>
        <v>87.41273000000001</v>
      </c>
      <c r="G22" s="390">
        <f t="shared" si="1"/>
        <v>5.6722409234719546E-3</v>
      </c>
      <c r="H22" s="390">
        <f t="shared" si="1"/>
        <v>5.1696403227943725E-3</v>
      </c>
    </row>
    <row r="23" spans="2:8" ht="14.85" customHeight="1">
      <c r="B23" s="256" t="s">
        <v>235</v>
      </c>
      <c r="D23" s="297">
        <f>'Actual BS'!S42/1000</f>
        <v>0</v>
      </c>
      <c r="E23" s="297">
        <f>'Actual BS'!Q42/1000</f>
        <v>39.826000000000001</v>
      </c>
      <c r="G23" s="390">
        <f t="shared" si="1"/>
        <v>0</v>
      </c>
      <c r="H23" s="390">
        <f t="shared" si="1"/>
        <v>2.355333090450426E-3</v>
      </c>
    </row>
    <row r="24" spans="2:8" ht="8.1" customHeight="1">
      <c r="B24" s="269"/>
      <c r="C24" s="269"/>
      <c r="D24" s="467"/>
      <c r="E24" s="467"/>
      <c r="G24" s="269"/>
      <c r="H24" s="269"/>
    </row>
    <row r="25" spans="2:8" ht="14.85" customHeight="1">
      <c r="B25" s="298" t="s">
        <v>225</v>
      </c>
      <c r="C25" s="255"/>
      <c r="D25" s="812">
        <f>SUM(D19:D23)</f>
        <v>29106.723820000003</v>
      </c>
      <c r="E25" s="812">
        <f>SUM(E19:E23)</f>
        <v>16908.861070000003</v>
      </c>
      <c r="G25" s="403">
        <f>IF(ISERROR(D25/D$25), "n/a", D25/D$25)</f>
        <v>1</v>
      </c>
      <c r="H25" s="403">
        <f>IF(ISERROR(E25/E$25), "n/a", E25/E$25)</f>
        <v>1</v>
      </c>
    </row>
    <row r="26" spans="2:8" ht="14.85" customHeight="1">
      <c r="D26" s="435"/>
      <c r="E26" s="435"/>
    </row>
    <row r="27" spans="2:8" ht="14.85" customHeight="1">
      <c r="B27" s="629" t="s">
        <v>226</v>
      </c>
      <c r="C27" s="521"/>
      <c r="D27" s="295"/>
      <c r="E27" s="295"/>
      <c r="F27" s="295"/>
      <c r="G27" s="522"/>
      <c r="H27" s="346"/>
    </row>
    <row r="28" spans="2:8" ht="8.1" customHeight="1">
      <c r="D28" s="435"/>
      <c r="E28" s="435"/>
    </row>
    <row r="29" spans="2:8" ht="14.85" customHeight="1">
      <c r="B29" s="234" t="s">
        <v>227</v>
      </c>
      <c r="D29" s="435"/>
      <c r="E29" s="435"/>
    </row>
    <row r="30" spans="2:8" ht="14.85" customHeight="1">
      <c r="B30" s="256" t="s">
        <v>228</v>
      </c>
      <c r="D30" s="297">
        <f>'Actual BS'!S52/1000</f>
        <v>399.84151000000003</v>
      </c>
      <c r="E30" s="297">
        <f>'Actual BS'!Q52/1000</f>
        <v>552.97454000000005</v>
      </c>
      <c r="G30" s="390">
        <f t="shared" ref="G30:H33" si="2">IF(ISERROR(D30/D$25), "n/a", D30/D$25)</f>
        <v>1.3737083997246654E-2</v>
      </c>
      <c r="H30" s="390">
        <f t="shared" si="2"/>
        <v>3.2703239899528017E-2</v>
      </c>
    </row>
    <row r="31" spans="2:8" ht="14.85" customHeight="1">
      <c r="B31" s="256" t="s">
        <v>230</v>
      </c>
      <c r="D31" s="297">
        <f>SUM('Actual BS'!S54:S57)/1000</f>
        <v>716.06188999999995</v>
      </c>
      <c r="E31" s="297">
        <f>SUM('Actual BS'!Q54:Q57)/1000</f>
        <v>845.4328999999999</v>
      </c>
      <c r="G31" s="390">
        <f t="shared" si="2"/>
        <v>2.4601253457043996E-2</v>
      </c>
      <c r="H31" s="390">
        <f t="shared" si="2"/>
        <v>4.9999399516031377E-2</v>
      </c>
    </row>
    <row r="32" spans="2:8" ht="14.85" customHeight="1">
      <c r="B32" s="256" t="s">
        <v>229</v>
      </c>
      <c r="D32" s="297">
        <f>'Actual BS'!S58/1000</f>
        <v>149.75514999999999</v>
      </c>
      <c r="E32" s="297">
        <f>'Actual BS'!Q58/1000</f>
        <v>149.75514999999999</v>
      </c>
      <c r="G32" s="390">
        <f t="shared" si="2"/>
        <v>5.1450362784250985E-3</v>
      </c>
      <c r="H32" s="390">
        <f t="shared" si="2"/>
        <v>8.8566077502226451E-3</v>
      </c>
    </row>
    <row r="33" spans="2:8" ht="14.85" customHeight="1">
      <c r="B33" s="256" t="s">
        <v>231</v>
      </c>
      <c r="D33" s="297">
        <f>'Actual BS'!S59/1000</f>
        <v>3.03363</v>
      </c>
      <c r="E33" s="297">
        <f>'Actual BS'!Q59/1000</f>
        <v>146.41580999999999</v>
      </c>
      <c r="G33" s="390">
        <f t="shared" si="2"/>
        <v>1.0422437161806278E-4</v>
      </c>
      <c r="H33" s="390">
        <f t="shared" si="2"/>
        <v>8.659117216343654E-3</v>
      </c>
    </row>
    <row r="34" spans="2:8" ht="8.1" customHeight="1">
      <c r="B34" s="269"/>
      <c r="C34" s="269"/>
      <c r="D34" s="467"/>
      <c r="E34" s="467"/>
      <c r="G34" s="269"/>
      <c r="H34" s="269"/>
    </row>
    <row r="35" spans="2:8" ht="14.85" customHeight="1">
      <c r="B35" s="388" t="s">
        <v>232</v>
      </c>
      <c r="D35" s="297">
        <f>SUM(D30:D33)</f>
        <v>1268.6921799999998</v>
      </c>
      <c r="E35" s="297">
        <f>SUM(E30:E33)</f>
        <v>1694.5783999999999</v>
      </c>
      <c r="G35" s="390">
        <f>IF(ISERROR(D35/D$25), "n/a", D35/D$25)</f>
        <v>4.3587598104333804E-2</v>
      </c>
      <c r="H35" s="390">
        <f>IF(ISERROR(E35/E$25), "n/a", E35/E$25)</f>
        <v>0.10021836438212568</v>
      </c>
    </row>
    <row r="36" spans="2:8" ht="14.85" customHeight="1">
      <c r="D36" s="435"/>
      <c r="E36" s="435"/>
    </row>
    <row r="37" spans="2:8" ht="14.85" customHeight="1">
      <c r="B37" s="256" t="s">
        <v>3561</v>
      </c>
      <c r="D37" s="297">
        <f>'Actual BS'!S64/1000</f>
        <v>257.49349999999998</v>
      </c>
      <c r="E37" s="297">
        <f>'Actual BS'!Q64/1000</f>
        <v>157.76501999999999</v>
      </c>
      <c r="G37" s="390">
        <f t="shared" ref="G37:H38" si="3">IF(ISERROR(D37/D$25), "n/a", D37/D$25)</f>
        <v>8.8465298118872923E-3</v>
      </c>
      <c r="H37" s="390">
        <f t="shared" si="3"/>
        <v>9.3303161784154369E-3</v>
      </c>
    </row>
    <row r="38" spans="2:8" ht="14.85" customHeight="1">
      <c r="B38" s="256" t="s">
        <v>233</v>
      </c>
      <c r="D38" s="297">
        <f>'Actual BS'!S63/1000</f>
        <v>0</v>
      </c>
      <c r="E38" s="297">
        <f>'Actual BS'!Q63/1000</f>
        <v>492.12</v>
      </c>
      <c r="G38" s="390">
        <f t="shared" si="3"/>
        <v>0</v>
      </c>
      <c r="H38" s="390">
        <f t="shared" si="3"/>
        <v>2.9104266571397166E-2</v>
      </c>
    </row>
    <row r="39" spans="2:8" ht="8.1" customHeight="1">
      <c r="B39" s="269"/>
      <c r="C39" s="269"/>
      <c r="D39" s="467"/>
      <c r="E39" s="467"/>
      <c r="G39" s="269"/>
      <c r="H39" s="269"/>
    </row>
    <row r="40" spans="2:8" ht="14.85" customHeight="1">
      <c r="B40" s="388" t="s">
        <v>234</v>
      </c>
      <c r="D40" s="297">
        <f>SUM(D35:D38)</f>
        <v>1526.1856799999998</v>
      </c>
      <c r="E40" s="297">
        <f>SUM(E35:E38)</f>
        <v>2344.46342</v>
      </c>
      <c r="F40" s="297"/>
      <c r="G40" s="390">
        <f>IF(ISERROR(D40/D$25), "n/a", D40/D$25)</f>
        <v>5.2434127916221103E-2</v>
      </c>
      <c r="H40" s="390">
        <f>IF(ISERROR(E40/E$25), "n/a", E40/E$25)</f>
        <v>0.13865294713193829</v>
      </c>
    </row>
    <row r="41" spans="2:8" ht="14.85" customHeight="1">
      <c r="D41" s="435"/>
      <c r="E41" s="435"/>
    </row>
    <row r="42" spans="2:8" ht="14.85" customHeight="1">
      <c r="B42" s="234" t="s">
        <v>240</v>
      </c>
      <c r="D42" s="435"/>
      <c r="E42" s="435"/>
    </row>
    <row r="43" spans="2:8" ht="14.85" customHeight="1">
      <c r="B43" s="256" t="s">
        <v>236</v>
      </c>
      <c r="D43" s="297">
        <f>'Actual BS'!S68/1000</f>
        <v>3.2631399999999999</v>
      </c>
      <c r="E43" s="297">
        <f>'Actual BS'!Q68/1000</f>
        <v>27.42933</v>
      </c>
      <c r="G43" s="390">
        <f t="shared" ref="G43:H46" si="4">IF(ISERROR(D43/D$25), "n/a", D43/D$25)</f>
        <v>1.1210949127011711E-4</v>
      </c>
      <c r="H43" s="390">
        <f t="shared" si="4"/>
        <v>1.6221867272104801E-3</v>
      </c>
    </row>
    <row r="44" spans="2:8" ht="14.85" customHeight="1">
      <c r="B44" s="256" t="s">
        <v>237</v>
      </c>
      <c r="D44" s="297">
        <f>SUM('Actual BS'!S70:S74)/1000</f>
        <v>40095.090170000003</v>
      </c>
      <c r="E44" s="297">
        <f>SUM('Actual BS'!Q70:Q74)/1000</f>
        <v>40095.090170000003</v>
      </c>
      <c r="G44" s="390">
        <f t="shared" si="4"/>
        <v>1.377519861663359</v>
      </c>
      <c r="H44" s="390">
        <f t="shared" si="4"/>
        <v>2.3712472415506101</v>
      </c>
    </row>
    <row r="45" spans="2:8" ht="14.85" customHeight="1">
      <c r="B45" s="256" t="s">
        <v>238</v>
      </c>
      <c r="D45" s="297">
        <f>'Actual BS'!S69/1000</f>
        <v>938.66114000000005</v>
      </c>
      <c r="E45" s="297">
        <f>'Actual BS'!Q69/1000</f>
        <v>940.83342000000005</v>
      </c>
      <c r="G45" s="390">
        <f t="shared" si="4"/>
        <v>3.2248945151120756E-2</v>
      </c>
      <c r="H45" s="390">
        <f t="shared" si="4"/>
        <v>5.5641442442817345E-2</v>
      </c>
    </row>
    <row r="46" spans="2:8" ht="14.85" customHeight="1">
      <c r="B46" s="256" t="s">
        <v>239</v>
      </c>
      <c r="D46" s="297">
        <f>SUM('Actual BS'!S75:S77)/1000</f>
        <v>-13456.47631</v>
      </c>
      <c r="E46" s="297">
        <f>SUM('Actual BS'!Q75:Q77)/1000</f>
        <v>-26498.955270000002</v>
      </c>
      <c r="G46" s="390">
        <f t="shared" si="4"/>
        <v>-0.46231504422197106</v>
      </c>
      <c r="H46" s="390">
        <f t="shared" si="4"/>
        <v>-1.5671638178525762</v>
      </c>
    </row>
    <row r="47" spans="2:8" ht="8.1" customHeight="1">
      <c r="B47" s="269"/>
      <c r="C47" s="269"/>
      <c r="D47" s="467"/>
      <c r="E47" s="467"/>
      <c r="F47" s="435"/>
      <c r="G47" s="269"/>
      <c r="H47" s="269"/>
    </row>
    <row r="48" spans="2:8" ht="14.85" customHeight="1">
      <c r="B48" s="388" t="s">
        <v>242</v>
      </c>
      <c r="D48" s="297">
        <f>SUM(D43:D46)</f>
        <v>27580.538140000004</v>
      </c>
      <c r="E48" s="297">
        <f>SUM(E43:E46)</f>
        <v>14564.397650000003</v>
      </c>
      <c r="F48" s="297"/>
      <c r="G48" s="390">
        <f>IF(ISERROR(D48/D$25), "n/a", D48/D$25)</f>
        <v>0.94756587208377896</v>
      </c>
      <c r="H48" s="390">
        <f>IF(ISERROR(E48/E$25), "n/a", E48/E$25)</f>
        <v>0.86134705286806168</v>
      </c>
    </row>
    <row r="49" spans="1:8" ht="8.1" customHeight="1">
      <c r="D49" s="435"/>
      <c r="E49" s="435"/>
      <c r="F49" s="435"/>
      <c r="G49" s="269"/>
      <c r="H49" s="269"/>
    </row>
    <row r="50" spans="1:8" ht="14.85" customHeight="1">
      <c r="B50" s="974" t="s">
        <v>241</v>
      </c>
      <c r="C50" s="974"/>
      <c r="D50" s="1512">
        <f>D48+D40</f>
        <v>29106.723820000003</v>
      </c>
      <c r="E50" s="1512">
        <f>E48+E40</f>
        <v>16908.861070000003</v>
      </c>
      <c r="F50" s="812"/>
      <c r="G50" s="403">
        <f>IF(ISERROR(D50/D$25), "n/a", D50/D$25)</f>
        <v>1</v>
      </c>
      <c r="H50" s="403">
        <f>IF(ISERROR(E50/E$25), "n/a", E50/E$25)</f>
        <v>1</v>
      </c>
    </row>
    <row r="51" spans="1:8" ht="14.85" customHeight="1">
      <c r="B51" s="255"/>
      <c r="C51" s="255"/>
      <c r="D51" s="812"/>
      <c r="E51" s="812"/>
      <c r="F51" s="812"/>
      <c r="G51" s="403"/>
      <c r="H51" s="403"/>
    </row>
    <row r="52" spans="1:8" ht="14.85" customHeight="1">
      <c r="B52" s="279" t="s">
        <v>86</v>
      </c>
      <c r="C52" s="255"/>
      <c r="D52" s="812"/>
      <c r="E52" s="812"/>
      <c r="G52" s="403"/>
      <c r="H52" s="403"/>
    </row>
    <row r="53" spans="1:8" ht="14.85" customHeight="1">
      <c r="A53" s="493" t="s">
        <v>250</v>
      </c>
      <c r="B53" s="339" t="str">
        <f>"Reflects financial information as of "&amp;TEXT('MASTER PubCo Inputs'!$C$7,"MMMM D, YYYY")&amp;", which Management indicated was the latest available as of the Valuation Date."</f>
        <v>Reflects financial information as of December 31, 2018, which Management indicated was the latest available as of the Valuation Date.</v>
      </c>
    </row>
    <row r="54" spans="1:8" ht="14.85" customHeight="1">
      <c r="B54" s="274" t="s">
        <v>244</v>
      </c>
      <c r="C54" s="275"/>
      <c r="D54" s="275"/>
      <c r="E54" s="1753"/>
    </row>
    <row r="55" spans="1:8" ht="14.85" customHeight="1"/>
    <row r="56" spans="1:8" ht="14.85" customHeight="1">
      <c r="B56" s="234" t="s">
        <v>247</v>
      </c>
      <c r="D56" s="259">
        <f>D13</f>
        <v>27199.232510000002</v>
      </c>
      <c r="E56" s="259">
        <f>E13</f>
        <v>13734.83632</v>
      </c>
    </row>
    <row r="57" spans="1:8" ht="14.85" customHeight="1">
      <c r="B57" s="256" t="s">
        <v>246</v>
      </c>
      <c r="C57" s="1513" t="s">
        <v>249</v>
      </c>
      <c r="D57" s="1514">
        <f>-D56</f>
        <v>-27199.232510000002</v>
      </c>
      <c r="E57" s="1514">
        <f>-E56</f>
        <v>-13734.83632</v>
      </c>
    </row>
    <row r="58" spans="1:8" s="435" customFormat="1" ht="14.85" customHeight="1">
      <c r="B58" s="1515"/>
      <c r="C58" s="467"/>
      <c r="D58" s="1516"/>
      <c r="E58" s="1516"/>
      <c r="G58" s="234"/>
      <c r="H58" s="234"/>
    </row>
    <row r="59" spans="1:8" ht="14.85" customHeight="1">
      <c r="B59" s="255" t="s">
        <v>245</v>
      </c>
      <c r="C59" s="255"/>
      <c r="D59" s="309">
        <f>SUM(D56:D57)</f>
        <v>0</v>
      </c>
      <c r="E59" s="309">
        <f>SUM(E56:E57)</f>
        <v>0</v>
      </c>
    </row>
    <row r="60" spans="1:8" ht="14.85" customHeight="1"/>
    <row r="61" spans="1:8" ht="14.85" customHeight="1">
      <c r="B61" s="255" t="s">
        <v>248</v>
      </c>
      <c r="C61" s="255"/>
      <c r="D61" s="309">
        <f>D37</f>
        <v>257.49349999999998</v>
      </c>
      <c r="E61" s="309">
        <f>E37</f>
        <v>157.76501999999999</v>
      </c>
    </row>
    <row r="62" spans="1:8" ht="14.85" customHeight="1"/>
    <row r="63" spans="1:8" ht="14.85" customHeight="1">
      <c r="A63" s="234">
        <v>0</v>
      </c>
      <c r="B63" s="629" t="s">
        <v>243</v>
      </c>
      <c r="C63" s="521"/>
      <c r="D63" s="1518">
        <f>D50-D25</f>
        <v>0</v>
      </c>
      <c r="E63" s="1752">
        <f>E50-E25</f>
        <v>0</v>
      </c>
    </row>
    <row r="64" spans="1:8" ht="14.85" customHeight="1">
      <c r="B64" s="932" t="s">
        <v>1761</v>
      </c>
      <c r="E64" s="1669" t="str">
        <f>IF(AND(D63=A63,E63=A63),"","Check")</f>
        <v/>
      </c>
    </row>
    <row r="65" spans="2:5" ht="14.85" customHeight="1"/>
    <row r="66" spans="2:5" ht="14.85" customHeight="1">
      <c r="B66" s="629" t="s">
        <v>243</v>
      </c>
      <c r="C66" s="521"/>
      <c r="D66" s="1518">
        <f>D50-'Actual BS'!S79/1000</f>
        <v>0</v>
      </c>
      <c r="E66" s="1751">
        <f>E50-'Actual BS'!Q79/1000</f>
        <v>0</v>
      </c>
    </row>
    <row r="67" spans="2:5" ht="14.85" customHeight="1"/>
    <row r="68" spans="2:5" ht="14.85" customHeight="1"/>
    <row r="69" spans="2:5" ht="14.85" customHeight="1"/>
    <row r="70" spans="2:5" ht="14.85" customHeight="1"/>
    <row r="71" spans="2:5" ht="14.85" customHeight="1"/>
    <row r="72" spans="2:5" ht="14.85" customHeight="1"/>
    <row r="73" spans="2:5" ht="14.85" customHeight="1"/>
    <row r="74" spans="2:5" ht="14.85" customHeight="1"/>
    <row r="75" spans="2:5" ht="14.85" customHeight="1"/>
    <row r="76" spans="2:5" ht="14.85" customHeight="1"/>
    <row r="77" spans="2:5" ht="14.85" customHeight="1"/>
    <row r="78" spans="2:5" ht="14.85" customHeight="1"/>
    <row r="79" spans="2:5" ht="14.85" customHeight="1"/>
    <row r="80" spans="2: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sheetData>
  <conditionalFormatting sqref="B4:G4">
    <cfRule type="cellIs" dxfId="331" priority="7" stopIfTrue="1" operator="equal">
      <formula>"input"</formula>
    </cfRule>
  </conditionalFormatting>
  <conditionalFormatting sqref="H4">
    <cfRule type="cellIs" dxfId="330" priority="2" stopIfTrue="1" operator="equal">
      <formula>"input"</formula>
    </cfRule>
  </conditionalFormatting>
  <conditionalFormatting sqref="H4">
    <cfRule type="cellIs" dxfId="329" priority="1" stopIfTrue="1" operator="equal">
      <formula>"input"</formula>
    </cfRule>
  </conditionalFormatting>
  <pageMargins left="0.5" right="0.5" top="0.5" bottom="0.5" header="0.5" footer="0.5"/>
  <pageSetup scale="75" fitToWidth="0" fitToHeight="0" orientation="landscape" r:id="rId1"/>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5.33203125"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460</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scale="98" orientation="landscape" r:id="rId1"/>
  <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Q764"/>
  <sheetViews>
    <sheetView showGridLines="0" view="pageBreakPreview" zoomScaleNormal="130" zoomScaleSheetLayoutView="100" workbookViewId="0"/>
  </sheetViews>
  <sheetFormatPr defaultRowHeight="14.25" outlineLevelRow="1"/>
  <cols>
    <col min="1" max="1" width="4.5" style="252" customWidth="1"/>
    <col min="2" max="2" width="69.83203125" style="234" customWidth="1"/>
    <col min="3" max="3" width="4.83203125" style="234" customWidth="1"/>
    <col min="4" max="4" width="14.6640625" style="245" customWidth="1"/>
    <col min="5" max="5" width="2.83203125" style="234" customWidth="1"/>
    <col min="6" max="6" width="14.6640625" style="245" customWidth="1"/>
    <col min="7" max="7" width="2.83203125" style="234" customWidth="1"/>
    <col min="8" max="8" width="14.6640625" style="245" customWidth="1"/>
    <col min="9" max="9" width="2.83203125" style="234" customWidth="1"/>
    <col min="10" max="10" width="14.6640625" style="245" customWidth="1"/>
    <col min="11" max="11" width="2.83203125" style="234" customWidth="1"/>
    <col min="12" max="12" width="15.33203125" style="234" customWidth="1"/>
    <col min="13" max="13" width="5" style="234" customWidth="1"/>
    <col min="14" max="14" width="4.83203125" style="234" customWidth="1"/>
    <col min="15" max="15" width="4.5" style="234" customWidth="1"/>
    <col min="16" max="16384" width="9.33203125" style="234"/>
  </cols>
  <sheetData>
    <row r="1" spans="1:16" ht="10.7" customHeight="1" thickBot="1">
      <c r="D1" s="234"/>
      <c r="F1" s="234"/>
      <c r="H1" s="234"/>
      <c r="J1" s="234"/>
    </row>
    <row r="2" spans="1:16" s="499" customFormat="1" ht="16.5" customHeight="1" thickTop="1">
      <c r="A2" s="1458"/>
      <c r="B2" s="223" t="str">
        <f>'MASTER PubCo Inputs'!$C$5</f>
        <v>Trucode Gene Repair, Inc.</v>
      </c>
      <c r="C2" s="223"/>
      <c r="D2" s="223"/>
      <c r="E2" s="223"/>
      <c r="F2" s="223"/>
      <c r="G2" s="223"/>
      <c r="H2" s="223"/>
      <c r="I2" s="223"/>
      <c r="J2" s="223"/>
      <c r="K2" s="223"/>
      <c r="L2" s="223"/>
      <c r="M2" s="223"/>
      <c r="N2" s="223"/>
    </row>
    <row r="3" spans="1:16" s="499" customFormat="1" ht="15.75" customHeight="1">
      <c r="A3" s="1458"/>
      <c r="B3" s="232" t="str">
        <f>VLOOKUP(B4,Outline!$E$8:$G$65,COLUMNS(Outline!$E$8:$G$8),FALSE)</f>
        <v>Exhibit D.1</v>
      </c>
      <c r="C3" s="232"/>
      <c r="D3" s="232"/>
      <c r="E3" s="232"/>
      <c r="F3" s="232"/>
      <c r="G3" s="232"/>
      <c r="H3" s="232"/>
      <c r="I3" s="232"/>
      <c r="J3" s="232"/>
      <c r="K3" s="232"/>
      <c r="L3" s="232"/>
      <c r="M3" s="232"/>
      <c r="N3" s="232"/>
    </row>
    <row r="4" spans="1:16" s="499" customFormat="1" ht="16.5" customHeight="1" thickBot="1">
      <c r="A4" s="1458"/>
      <c r="B4" s="225" t="s">
        <v>4219</v>
      </c>
      <c r="C4" s="637"/>
      <c r="D4" s="2007" t="s">
        <v>250</v>
      </c>
      <c r="E4" s="225"/>
      <c r="F4" s="225"/>
      <c r="G4" s="225"/>
      <c r="H4" s="225"/>
      <c r="I4" s="225"/>
      <c r="J4" s="233"/>
      <c r="K4" s="233"/>
      <c r="L4" s="233"/>
      <c r="M4" s="233"/>
      <c r="N4" s="233" t="str">
        <f>+'MASTER PubCo Inputs'!$C$20</f>
        <v>(in thousands of USD and shares, except price per share)</v>
      </c>
    </row>
    <row r="5" spans="1:16" ht="14.85" customHeight="1" thickTop="1">
      <c r="C5" s="252"/>
      <c r="D5" s="234"/>
      <c r="F5" s="234"/>
      <c r="H5" s="234"/>
      <c r="J5" s="234"/>
    </row>
    <row r="6" spans="1:16" ht="14.85" customHeight="1">
      <c r="D6" s="234"/>
      <c r="F6" s="234"/>
      <c r="H6" s="234"/>
      <c r="J6" s="234"/>
    </row>
    <row r="7" spans="1:16" ht="14.85" customHeight="1">
      <c r="B7" s="1429" t="s">
        <v>308</v>
      </c>
      <c r="C7" s="1430"/>
      <c r="D7" s="1431" t="s">
        <v>304</v>
      </c>
      <c r="E7" s="1432"/>
      <c r="F7" s="1432" t="s">
        <v>305</v>
      </c>
      <c r="G7" s="1432"/>
      <c r="H7" s="1432" t="s">
        <v>306</v>
      </c>
      <c r="I7" s="1432"/>
      <c r="J7" s="1433" t="s">
        <v>307</v>
      </c>
      <c r="K7" s="1434"/>
      <c r="L7" s="1435" t="s">
        <v>70</v>
      </c>
      <c r="M7" s="1435"/>
      <c r="N7" s="1436"/>
    </row>
    <row r="8" spans="1:16" ht="14.85" customHeight="1">
      <c r="D8" s="252"/>
      <c r="E8" s="252"/>
      <c r="F8" s="252"/>
      <c r="G8" s="252"/>
      <c r="H8" s="252"/>
      <c r="I8" s="252"/>
      <c r="J8" s="252"/>
    </row>
    <row r="9" spans="1:16" ht="14.85" hidden="1" customHeight="1" outlineLevel="1">
      <c r="B9" s="234" t="s">
        <v>95</v>
      </c>
      <c r="D9" s="1437"/>
      <c r="E9" s="252"/>
      <c r="F9" s="1437"/>
      <c r="G9" s="252"/>
      <c r="H9" s="257">
        <f>'Hist BS'!E61</f>
        <v>157.76501999999999</v>
      </c>
      <c r="I9" s="252"/>
      <c r="J9" s="1438">
        <v>0.05</v>
      </c>
      <c r="L9" s="266" t="str">
        <f>'Hist BS'!B3</f>
        <v>Exhibit C.3</v>
      </c>
      <c r="M9" s="258"/>
      <c r="N9" s="258"/>
    </row>
    <row r="10" spans="1:16" ht="14.85" hidden="1" customHeight="1" outlineLevel="1">
      <c r="D10" s="252"/>
      <c r="E10" s="252"/>
      <c r="F10" s="252"/>
      <c r="G10" s="252"/>
      <c r="H10" s="1439"/>
      <c r="I10" s="252"/>
      <c r="J10" s="252"/>
    </row>
    <row r="11" spans="1:16" ht="14.85" customHeight="1" collapsed="1">
      <c r="B11" s="234" t="s">
        <v>309</v>
      </c>
      <c r="D11" s="1437"/>
      <c r="E11" s="252"/>
      <c r="F11" s="1437"/>
      <c r="G11" s="252"/>
      <c r="H11" s="257">
        <f>PWERM!B129</f>
        <v>17099.55734384996</v>
      </c>
      <c r="I11" s="252"/>
      <c r="J11" s="1438">
        <v>0.125</v>
      </c>
      <c r="L11" s="266" t="str">
        <f>PWERM!B3</f>
        <v>Exhibit B.1</v>
      </c>
      <c r="M11" s="258" t="s">
        <v>249</v>
      </c>
      <c r="N11" s="258" t="s">
        <v>288</v>
      </c>
      <c r="P11" s="1440" t="s">
        <v>319</v>
      </c>
    </row>
    <row r="12" spans="1:16" ht="14.85" customHeight="1">
      <c r="D12" s="252"/>
      <c r="E12" s="252"/>
      <c r="F12" s="252"/>
      <c r="G12" s="252"/>
      <c r="H12" s="1439"/>
      <c r="I12" s="252"/>
      <c r="J12" s="252"/>
      <c r="L12" s="245"/>
    </row>
    <row r="13" spans="1:16" ht="14.85" customHeight="1">
      <c r="B13" s="234" t="s">
        <v>310</v>
      </c>
      <c r="D13" s="1437"/>
      <c r="E13" s="252"/>
      <c r="F13" s="1437"/>
      <c r="G13" s="252"/>
      <c r="H13" s="257">
        <f>PWERM!B140</f>
        <v>15007.663652058138</v>
      </c>
      <c r="I13" s="252"/>
      <c r="J13" s="1438">
        <v>0.25</v>
      </c>
      <c r="L13" s="266" t="str">
        <f>PWERM!B3</f>
        <v>Exhibit B.1</v>
      </c>
      <c r="M13" s="258" t="s">
        <v>289</v>
      </c>
      <c r="N13" s="258" t="s">
        <v>290</v>
      </c>
      <c r="P13" s="1440" t="s">
        <v>319</v>
      </c>
    </row>
    <row r="14" spans="1:16" ht="14.85" customHeight="1">
      <c r="D14" s="252"/>
      <c r="E14" s="252"/>
      <c r="F14" s="252"/>
      <c r="G14" s="252"/>
      <c r="H14" s="252"/>
      <c r="I14" s="252"/>
      <c r="J14" s="252"/>
      <c r="L14" s="245"/>
    </row>
    <row r="15" spans="1:16" ht="14.85" customHeight="1">
      <c r="B15" s="234" t="s">
        <v>1390</v>
      </c>
      <c r="D15" s="257">
        <f>+'Cap Table'!H11</f>
        <v>3618.2730000000001</v>
      </c>
      <c r="E15" s="252"/>
      <c r="F15" s="1441">
        <f>+'Val Summ'!M11</f>
        <v>0.6</v>
      </c>
      <c r="G15" s="252"/>
      <c r="H15" s="465">
        <f>+D15*F15</f>
        <v>2170.9638</v>
      </c>
      <c r="I15" s="252"/>
      <c r="J15" s="1438">
        <v>0.3</v>
      </c>
      <c r="L15" s="266" t="str">
        <f>'Cap Table'!B3</f>
        <v>Exhibit G.1</v>
      </c>
      <c r="M15" s="258" t="s">
        <v>315</v>
      </c>
      <c r="N15" s="258" t="s">
        <v>316</v>
      </c>
      <c r="P15" s="625" t="s">
        <v>318</v>
      </c>
    </row>
    <row r="16" spans="1:16" ht="14.85" customHeight="1">
      <c r="D16" s="257"/>
      <c r="E16" s="252"/>
      <c r="F16" s="1442"/>
      <c r="G16" s="252"/>
      <c r="H16" s="465"/>
      <c r="I16" s="252"/>
      <c r="J16" s="1438"/>
      <c r="L16" s="283"/>
      <c r="M16" s="258"/>
      <c r="N16" s="258"/>
      <c r="P16" s="625"/>
    </row>
    <row r="17" spans="1:17" ht="14.85" customHeight="1">
      <c r="B17" s="234" t="s">
        <v>859</v>
      </c>
      <c r="D17" s="257">
        <f>PWERM!D190</f>
        <v>3131.2781981255443</v>
      </c>
      <c r="E17" s="252"/>
      <c r="F17" s="1443">
        <f>+F15</f>
        <v>0.6</v>
      </c>
      <c r="G17" s="252"/>
      <c r="H17" s="465">
        <f>+D17*F17</f>
        <v>1878.7669188753266</v>
      </c>
      <c r="I17" s="252"/>
      <c r="J17" s="390">
        <f>+J15</f>
        <v>0.3</v>
      </c>
      <c r="L17" s="283"/>
      <c r="M17" s="258"/>
      <c r="N17" s="258"/>
      <c r="P17" s="625"/>
    </row>
    <row r="18" spans="1:17" ht="14.85" customHeight="1">
      <c r="D18" s="252"/>
      <c r="E18" s="252"/>
      <c r="F18" s="252"/>
      <c r="G18" s="252"/>
      <c r="H18" s="252"/>
      <c r="I18" s="252"/>
      <c r="J18" s="252"/>
    </row>
    <row r="19" spans="1:17" ht="14.85" customHeight="1">
      <c r="B19" s="1444" t="s">
        <v>311</v>
      </c>
      <c r="C19" s="1445"/>
      <c r="D19" s="1446"/>
      <c r="E19" s="1446"/>
      <c r="F19" s="1446"/>
      <c r="G19" s="1446"/>
      <c r="H19" s="1447">
        <f>SUM(H9:H17)</f>
        <v>36314.716734783426</v>
      </c>
      <c r="I19" s="1448"/>
      <c r="J19" s="1449">
        <f>IF(ISERROR(SUMPRODUCT(J9:J17,H9:H17)/H19), "n/a", SUMPRODUCT(J9:J17,H9:H17)/H19)</f>
        <v>0.19584809375219797</v>
      </c>
    </row>
    <row r="20" spans="1:17" ht="14.85" customHeight="1">
      <c r="D20" s="252"/>
      <c r="E20" s="252"/>
      <c r="F20" s="252"/>
      <c r="G20" s="252"/>
      <c r="H20" s="252"/>
      <c r="I20" s="252"/>
      <c r="J20" s="252"/>
    </row>
    <row r="21" spans="1:17" ht="14.85" customHeight="1">
      <c r="B21" s="279" t="s">
        <v>312</v>
      </c>
      <c r="D21" s="252"/>
      <c r="E21" s="252"/>
      <c r="F21" s="252"/>
      <c r="G21" s="252"/>
      <c r="H21" s="252"/>
      <c r="I21" s="252"/>
      <c r="J21" s="511">
        <f>IF(ISERROR(SUMPRODUCT(H11:H13,J11:J13/SUM(H11:H13))), "n/a", SUMPRODUCT(H11:H13,J11:J13/SUM(H11:H13)))</f>
        <v>0.18342791429212602</v>
      </c>
      <c r="M21" s="258"/>
      <c r="P21" s="1450">
        <v>0.2</v>
      </c>
      <c r="Q21" s="234" t="s">
        <v>653</v>
      </c>
    </row>
    <row r="22" spans="1:17" ht="14.85" customHeight="1">
      <c r="D22" s="252"/>
      <c r="E22" s="252"/>
      <c r="F22" s="252"/>
      <c r="G22" s="252"/>
      <c r="H22" s="252"/>
      <c r="I22" s="252"/>
      <c r="J22" s="252"/>
    </row>
    <row r="23" spans="1:17" ht="14.85" customHeight="1">
      <c r="B23" s="274" t="s">
        <v>313</v>
      </c>
      <c r="C23" s="275"/>
      <c r="D23" s="1451"/>
      <c r="E23" s="1451"/>
      <c r="F23" s="1451"/>
      <c r="G23" s="1451"/>
      <c r="H23" s="1451"/>
      <c r="I23" s="1451"/>
      <c r="J23" s="1452">
        <v>0.2</v>
      </c>
    </row>
    <row r="24" spans="1:17" ht="14.85" customHeight="1"/>
    <row r="25" spans="1:17" ht="14.85" customHeight="1">
      <c r="B25" s="279" t="s">
        <v>86</v>
      </c>
    </row>
    <row r="26" spans="1:17" ht="30" customHeight="1">
      <c r="A26" s="574" t="str">
        <f>D4</f>
        <v>(1)</v>
      </c>
      <c r="B26" s="2197" t="s">
        <v>866</v>
      </c>
      <c r="C26" s="2197"/>
      <c r="D26" s="2197"/>
      <c r="E26" s="2197"/>
      <c r="F26" s="2197"/>
      <c r="G26" s="2197"/>
      <c r="H26" s="2197"/>
      <c r="I26" s="2197"/>
      <c r="J26" s="2197"/>
      <c r="K26" s="2197"/>
      <c r="L26" s="2197"/>
      <c r="M26" s="2197"/>
      <c r="N26" s="2197"/>
      <c r="P26" s="1453"/>
      <c r="Q26" s="1454"/>
    </row>
    <row r="27" spans="1:17" ht="14.85" hidden="1" customHeight="1" outlineLevel="1">
      <c r="A27" s="574">
        <f>M9</f>
        <v>0</v>
      </c>
      <c r="B27" s="1455" t="s">
        <v>664</v>
      </c>
      <c r="C27" s="1002"/>
      <c r="D27" s="1456"/>
      <c r="E27" s="1002"/>
      <c r="F27" s="1456"/>
      <c r="G27" s="1002"/>
      <c r="H27" s="1456"/>
      <c r="I27" s="1002"/>
      <c r="J27" s="1456"/>
      <c r="K27" s="1002"/>
      <c r="L27" s="1002"/>
      <c r="M27" s="1002"/>
      <c r="N27" s="1002"/>
      <c r="P27" s="1453"/>
      <c r="Q27" s="1454"/>
    </row>
    <row r="28" spans="1:17" ht="14.85" hidden="1" customHeight="1" outlineLevel="1">
      <c r="A28" s="574">
        <f>N9</f>
        <v>0</v>
      </c>
      <c r="B28" s="1455" t="s">
        <v>665</v>
      </c>
      <c r="C28" s="1002"/>
      <c r="D28" s="1456"/>
      <c r="E28" s="1002"/>
      <c r="F28" s="1456"/>
      <c r="G28" s="1002"/>
      <c r="H28" s="1456"/>
      <c r="I28" s="1002"/>
      <c r="J28" s="1456"/>
      <c r="K28" s="1002"/>
      <c r="L28" s="1002"/>
      <c r="M28" s="1002"/>
      <c r="N28" s="1002"/>
    </row>
    <row r="29" spans="1:17" ht="14.85" customHeight="1" collapsed="1">
      <c r="A29" s="574" t="str">
        <f>M11</f>
        <v>(2)</v>
      </c>
      <c r="B29" s="1455" t="s">
        <v>666</v>
      </c>
      <c r="C29" s="1002"/>
      <c r="D29" s="1456"/>
      <c r="E29" s="1002"/>
      <c r="F29" s="1456"/>
      <c r="G29" s="1002"/>
      <c r="H29" s="1456"/>
      <c r="I29" s="1002"/>
      <c r="J29" s="1456"/>
      <c r="K29" s="1002"/>
      <c r="L29" s="1002"/>
      <c r="M29" s="1002"/>
      <c r="N29" s="1002"/>
    </row>
    <row r="30" spans="1:17" ht="14.85" customHeight="1">
      <c r="A30" s="574" t="str">
        <f>N11</f>
        <v>(3)</v>
      </c>
      <c r="B30" s="1455" t="s">
        <v>667</v>
      </c>
      <c r="C30" s="1002"/>
      <c r="D30" s="1456"/>
      <c r="E30" s="1002"/>
      <c r="F30" s="1456"/>
      <c r="G30" s="1002"/>
      <c r="H30" s="1456"/>
      <c r="I30" s="1002"/>
      <c r="J30" s="1456"/>
      <c r="K30" s="1002"/>
      <c r="L30" s="1002"/>
      <c r="M30" s="1002"/>
      <c r="N30" s="1002"/>
    </row>
    <row r="31" spans="1:17" ht="30.75" customHeight="1">
      <c r="A31" s="574" t="str">
        <f>M13</f>
        <v>(4)</v>
      </c>
      <c r="B31" s="2197" t="s">
        <v>668</v>
      </c>
      <c r="C31" s="2197"/>
      <c r="D31" s="2197"/>
      <c r="E31" s="2197"/>
      <c r="F31" s="2197"/>
      <c r="G31" s="2197"/>
      <c r="H31" s="2197"/>
      <c r="I31" s="2197"/>
      <c r="J31" s="2197"/>
      <c r="K31" s="2197"/>
      <c r="L31" s="2197"/>
      <c r="M31" s="2197"/>
      <c r="N31" s="2197"/>
    </row>
    <row r="32" spans="1:17" ht="14.85" customHeight="1">
      <c r="A32" s="574" t="str">
        <f>N13</f>
        <v>(5)</v>
      </c>
      <c r="B32" s="2197" t="s">
        <v>858</v>
      </c>
      <c r="C32" s="2197"/>
      <c r="D32" s="2197"/>
      <c r="E32" s="2197"/>
      <c r="F32" s="2197"/>
      <c r="G32" s="2197"/>
      <c r="H32" s="2197"/>
      <c r="I32" s="2197"/>
      <c r="J32" s="2197"/>
      <c r="K32" s="2197"/>
      <c r="L32" s="2197"/>
      <c r="M32" s="2197"/>
      <c r="N32" s="2197"/>
      <c r="P32" s="1453"/>
    </row>
    <row r="33" spans="1:14" ht="14.85" customHeight="1">
      <c r="A33" s="574" t="str">
        <f>M15</f>
        <v>(6)</v>
      </c>
      <c r="B33" s="1455" t="s">
        <v>669</v>
      </c>
      <c r="C33" s="1002"/>
      <c r="D33" s="1456"/>
      <c r="E33" s="1002"/>
      <c r="F33" s="1456"/>
      <c r="G33" s="1002"/>
      <c r="H33" s="1456"/>
      <c r="I33" s="1002"/>
      <c r="J33" s="1456"/>
      <c r="K33" s="1002"/>
      <c r="L33" s="1002"/>
      <c r="M33" s="1002"/>
      <c r="N33" s="1002"/>
    </row>
    <row r="34" spans="1:14" ht="14.85" customHeight="1">
      <c r="A34" s="280" t="str">
        <f>N15</f>
        <v>(7)</v>
      </c>
      <c r="B34" s="2198" t="s">
        <v>670</v>
      </c>
      <c r="C34" s="2198"/>
      <c r="D34" s="2198"/>
      <c r="E34" s="2198"/>
      <c r="F34" s="2198"/>
      <c r="G34" s="2198"/>
      <c r="H34" s="2198"/>
      <c r="I34" s="2198"/>
      <c r="J34" s="2198"/>
      <c r="K34" s="2198"/>
      <c r="L34" s="2198"/>
      <c r="M34" s="2198"/>
      <c r="N34" s="2198"/>
    </row>
    <row r="35" spans="1:14" ht="14.85" customHeight="1">
      <c r="A35" s="1457"/>
      <c r="B35" s="2198"/>
      <c r="C35" s="2198"/>
      <c r="D35" s="2198"/>
      <c r="E35" s="2198"/>
      <c r="F35" s="2198"/>
      <c r="G35" s="2198"/>
      <c r="H35" s="2198"/>
      <c r="I35" s="2198"/>
      <c r="J35" s="2198"/>
      <c r="K35" s="2198"/>
      <c r="L35" s="2198"/>
      <c r="M35" s="2198"/>
      <c r="N35" s="2198"/>
    </row>
    <row r="36" spans="1:14" ht="14.85" customHeight="1"/>
    <row r="37" spans="1:14" ht="14.85" customHeight="1"/>
    <row r="38" spans="1:14" ht="14.85" customHeight="1"/>
    <row r="39" spans="1:14" ht="14.85" customHeight="1"/>
    <row r="40" spans="1:14" ht="14.85" customHeight="1"/>
    <row r="41" spans="1:14" ht="14.85" customHeight="1"/>
    <row r="42" spans="1:14" ht="14.85" customHeight="1"/>
    <row r="43" spans="1:14" ht="14.85" customHeight="1"/>
    <row r="44" spans="1:14" ht="14.85" customHeight="1"/>
    <row r="45" spans="1:14" ht="14.85" customHeight="1"/>
    <row r="46" spans="1:14" ht="14.85" customHeight="1"/>
    <row r="47" spans="1:14" ht="14.85" customHeight="1"/>
    <row r="48" spans="1:1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4">
    <mergeCell ref="B26:N26"/>
    <mergeCell ref="B31:N31"/>
    <mergeCell ref="B34:N35"/>
    <mergeCell ref="B32:N32"/>
  </mergeCells>
  <conditionalFormatting sqref="B4:I4">
    <cfRule type="cellIs" dxfId="328" priority="11" stopIfTrue="1" operator="equal">
      <formula>"input"</formula>
    </cfRule>
  </conditionalFormatting>
  <conditionalFormatting sqref="J4">
    <cfRule type="cellIs" dxfId="327" priority="9" stopIfTrue="1" operator="equal">
      <formula>"input"</formula>
    </cfRule>
  </conditionalFormatting>
  <conditionalFormatting sqref="J4">
    <cfRule type="cellIs" dxfId="326" priority="10" stopIfTrue="1" operator="equal">
      <formula>"input"</formula>
    </cfRule>
  </conditionalFormatting>
  <conditionalFormatting sqref="K4:M4">
    <cfRule type="cellIs" dxfId="325" priority="7" stopIfTrue="1" operator="equal">
      <formula>"input"</formula>
    </cfRule>
  </conditionalFormatting>
  <conditionalFormatting sqref="K4:M4">
    <cfRule type="cellIs" dxfId="324" priority="8" stopIfTrue="1" operator="equal">
      <formula>"input"</formula>
    </cfRule>
  </conditionalFormatting>
  <conditionalFormatting sqref="N4">
    <cfRule type="cellIs" dxfId="323" priority="1" stopIfTrue="1" operator="equal">
      <formula>"input"</formula>
    </cfRule>
  </conditionalFormatting>
  <conditionalFormatting sqref="N4">
    <cfRule type="cellIs" dxfId="322" priority="2" stopIfTrue="1" operator="equal">
      <formula>"input"</formula>
    </cfRule>
  </conditionalFormatting>
  <pageMargins left="0.5" right="0.5" top="0.5" bottom="0.5" header="0.5" footer="0.5"/>
  <pageSetup scale="85" fitToWidth="0" fitToHeight="0" orientation="landscape" r:id="rId1"/>
  <legacy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H764"/>
  <sheetViews>
    <sheetView showGridLines="0" view="pageBreakPreview" zoomScaleNormal="100" zoomScaleSheetLayoutView="100" workbookViewId="0"/>
  </sheetViews>
  <sheetFormatPr defaultRowHeight="14.25" outlineLevelRow="1"/>
  <cols>
    <col min="1" max="1" width="4.5" style="234" customWidth="1"/>
    <col min="2" max="2" width="53.83203125" style="234" customWidth="1"/>
    <col min="3" max="3" width="3.33203125" style="234" customWidth="1"/>
    <col min="4" max="4" width="31.83203125" style="234" customWidth="1"/>
    <col min="5" max="5" width="2.83203125" style="234" customWidth="1"/>
    <col min="6" max="6" width="31.83203125" style="234" customWidth="1"/>
    <col min="7" max="7" width="1.83203125" style="234" customWidth="1"/>
    <col min="8" max="8" width="31.83203125" style="234" customWidth="1"/>
    <col min="9" max="9" width="4.5" style="234" customWidth="1"/>
    <col min="10" max="16384" width="9.33203125" style="234"/>
  </cols>
  <sheetData>
    <row r="1" spans="2:8" ht="10.7" customHeight="1" thickBot="1"/>
    <row r="2" spans="2:8" ht="16.5" customHeight="1" thickTop="1">
      <c r="B2" s="223" t="str">
        <f>'MASTER PubCo Inputs'!$C$5</f>
        <v>Trucode Gene Repair, Inc.</v>
      </c>
      <c r="C2" s="223"/>
      <c r="D2" s="223"/>
      <c r="E2" s="223"/>
      <c r="F2" s="223"/>
      <c r="G2" s="223"/>
      <c r="H2" s="223"/>
    </row>
    <row r="3" spans="2:8" ht="15.75" customHeight="1">
      <c r="B3" s="232" t="str">
        <f>VLOOKUP(B4,Outline!$E$8:$G$65,COLUMNS(Outline!$E$8:$G$8),FALSE)</f>
        <v>Exhibit D.2</v>
      </c>
      <c r="C3" s="232"/>
      <c r="D3" s="232"/>
      <c r="E3" s="232"/>
      <c r="F3" s="232"/>
      <c r="G3" s="232"/>
      <c r="H3" s="232"/>
    </row>
    <row r="4" spans="2:8" ht="16.5" customHeight="1" thickBot="1">
      <c r="B4" s="225" t="s">
        <v>673</v>
      </c>
      <c r="C4" s="225"/>
      <c r="D4" s="635" t="s">
        <v>250</v>
      </c>
      <c r="E4" s="636"/>
      <c r="F4" s="225"/>
      <c r="G4" s="225"/>
      <c r="H4" s="233"/>
    </row>
    <row r="5" spans="2:8" ht="14.85" customHeight="1" thickTop="1">
      <c r="B5" s="782"/>
    </row>
    <row r="6" spans="2:8" ht="14.85" customHeight="1"/>
    <row r="7" spans="2:8" ht="14.85" customHeight="1">
      <c r="B7" s="1052" t="s">
        <v>260</v>
      </c>
      <c r="C7" s="1409"/>
      <c r="D7" s="1409" t="s">
        <v>2935</v>
      </c>
      <c r="E7" s="1409"/>
      <c r="F7" s="1409" t="s">
        <v>2936</v>
      </c>
      <c r="G7" s="1409"/>
      <c r="H7" s="787" t="s">
        <v>2937</v>
      </c>
    </row>
    <row r="8" spans="2:8" ht="14.85" customHeight="1"/>
    <row r="9" spans="2:8" ht="14.85" customHeight="1">
      <c r="B9" s="234" t="s">
        <v>261</v>
      </c>
      <c r="D9" s="245" t="s">
        <v>251</v>
      </c>
      <c r="E9" s="245"/>
      <c r="F9" s="245" t="s">
        <v>251</v>
      </c>
      <c r="G9" s="245"/>
      <c r="H9" s="245" t="s">
        <v>252</v>
      </c>
    </row>
    <row r="10" spans="2:8" ht="14.85" customHeight="1">
      <c r="B10" s="234" t="s">
        <v>262</v>
      </c>
      <c r="D10" s="245" t="s">
        <v>253</v>
      </c>
      <c r="E10" s="245"/>
      <c r="F10" s="245" t="s">
        <v>253</v>
      </c>
      <c r="G10" s="245"/>
      <c r="H10" s="245" t="s">
        <v>253</v>
      </c>
    </row>
    <row r="11" spans="2:8" ht="14.85" customHeight="1">
      <c r="B11" s="234" t="s">
        <v>263</v>
      </c>
      <c r="D11" s="245" t="s">
        <v>254</v>
      </c>
      <c r="E11" s="245"/>
      <c r="F11" s="245" t="s">
        <v>255</v>
      </c>
      <c r="G11" s="245"/>
      <c r="H11" s="245" t="s">
        <v>256</v>
      </c>
    </row>
    <row r="12" spans="2:8" ht="14.85" customHeight="1">
      <c r="B12" s="234" t="s">
        <v>264</v>
      </c>
      <c r="D12" s="245" t="s">
        <v>257</v>
      </c>
      <c r="E12" s="245"/>
      <c r="F12" s="245" t="s">
        <v>258</v>
      </c>
      <c r="G12" s="245"/>
      <c r="H12" s="245" t="s">
        <v>259</v>
      </c>
    </row>
    <row r="13" spans="2:8" ht="14.85" customHeight="1"/>
    <row r="14" spans="2:8" ht="14.85" hidden="1" customHeight="1" outlineLevel="1"/>
    <row r="15" spans="2:8" ht="14.85" hidden="1" customHeight="1" outlineLevel="1">
      <c r="B15" s="274" t="s">
        <v>285</v>
      </c>
      <c r="C15" s="275"/>
      <c r="D15" s="275"/>
      <c r="E15" s="275"/>
      <c r="F15" s="275"/>
      <c r="G15" s="275"/>
      <c r="H15" s="1427">
        <f>'WACC PWERM'!J23</f>
        <v>0.2</v>
      </c>
    </row>
    <row r="16" spans="2:8" ht="14.85" customHeight="1" collapsed="1">
      <c r="B16" s="255"/>
      <c r="C16" s="255"/>
      <c r="D16" s="255"/>
      <c r="E16" s="255"/>
      <c r="F16" s="255"/>
      <c r="G16" s="255"/>
      <c r="H16" s="1428"/>
    </row>
    <row r="17" spans="1:2" ht="14.85" customHeight="1">
      <c r="B17" s="279" t="s">
        <v>86</v>
      </c>
    </row>
    <row r="18" spans="1:2" ht="14.85" customHeight="1">
      <c r="A18" s="280" t="s">
        <v>250</v>
      </c>
      <c r="B18" s="1323" t="s">
        <v>924</v>
      </c>
    </row>
    <row r="19" spans="1:2" ht="14.85" customHeight="1">
      <c r="A19" s="280" t="s">
        <v>249</v>
      </c>
      <c r="B19" s="388" t="s">
        <v>925</v>
      </c>
    </row>
    <row r="20" spans="1:2" ht="14.85" customHeight="1">
      <c r="A20" s="280" t="s">
        <v>288</v>
      </c>
      <c r="B20" s="388" t="s">
        <v>926</v>
      </c>
    </row>
    <row r="21" spans="1:2" ht="14.85" customHeight="1">
      <c r="A21" s="252"/>
      <c r="B21" s="388" t="s">
        <v>823</v>
      </c>
    </row>
    <row r="22" spans="1:2" ht="14.85" customHeight="1">
      <c r="A22" s="280" t="s">
        <v>289</v>
      </c>
      <c r="B22" s="388" t="s">
        <v>927</v>
      </c>
    </row>
    <row r="23" spans="1:2" ht="14.85" customHeight="1">
      <c r="A23" s="252"/>
      <c r="B23" s="388" t="s">
        <v>824</v>
      </c>
    </row>
    <row r="24" spans="1:2" ht="14.85" customHeight="1">
      <c r="A24" s="280" t="s">
        <v>290</v>
      </c>
      <c r="B24" s="388" t="s">
        <v>928</v>
      </c>
    </row>
    <row r="25" spans="1:2" ht="14.85" customHeight="1">
      <c r="A25" s="252"/>
      <c r="B25" s="388" t="s">
        <v>825</v>
      </c>
    </row>
    <row r="26" spans="1:2" ht="14.85" customHeight="1">
      <c r="A26" s="280" t="s">
        <v>315</v>
      </c>
      <c r="B26" s="388" t="s">
        <v>929</v>
      </c>
    </row>
    <row r="27" spans="1:2" ht="14.85" customHeight="1">
      <c r="A27" s="252"/>
      <c r="B27" s="388" t="s">
        <v>826</v>
      </c>
    </row>
    <row r="28" spans="1:2" ht="14.85" customHeight="1">
      <c r="A28" s="280" t="s">
        <v>316</v>
      </c>
      <c r="B28" s="388" t="s">
        <v>930</v>
      </c>
    </row>
    <row r="29" spans="1:2" ht="14.85" customHeight="1">
      <c r="A29" s="280" t="s">
        <v>317</v>
      </c>
      <c r="B29" s="388" t="s">
        <v>931</v>
      </c>
    </row>
    <row r="30" spans="1:2" ht="14.85" customHeight="1">
      <c r="B30" s="388" t="s">
        <v>827</v>
      </c>
    </row>
    <row r="31" spans="1:2" ht="14.85" customHeight="1"/>
    <row r="32" spans="1:2"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G4">
    <cfRule type="cellIs" dxfId="321" priority="5" stopIfTrue="1" operator="equal">
      <formula>"input"</formula>
    </cfRule>
  </conditionalFormatting>
  <conditionalFormatting sqref="H4">
    <cfRule type="cellIs" dxfId="320" priority="1" stopIfTrue="1" operator="equal">
      <formula>"input"</formula>
    </cfRule>
  </conditionalFormatting>
  <conditionalFormatting sqref="H4">
    <cfRule type="cellIs" dxfId="319" priority="2" stopIfTrue="1" operator="equal">
      <formula>"input"</formula>
    </cfRule>
  </conditionalFormatting>
  <pageMargins left="0.5" right="0.5" top="0.5" bottom="0.5" header="0.5" footer="0.5"/>
  <pageSetup scale="92" orientation="landscape" r:id="rId1"/>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7.1640625"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4038</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scale="98"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7"/>
  <dimension ref="A1:AL758"/>
  <sheetViews>
    <sheetView showGridLines="0" view="pageBreakPreview" zoomScale="70" zoomScaleNormal="100" zoomScaleSheetLayoutView="70" workbookViewId="0"/>
  </sheetViews>
  <sheetFormatPr defaultRowHeight="14.25" outlineLevelCol="1"/>
  <cols>
    <col min="1" max="1" width="4.5" style="234" customWidth="1"/>
    <col min="2" max="2" width="42.83203125" style="234" customWidth="1"/>
    <col min="3" max="3" width="15.33203125" style="234" customWidth="1"/>
    <col min="4" max="4" width="2.83203125" style="234" customWidth="1"/>
    <col min="5" max="5" width="22.83203125" style="234" customWidth="1"/>
    <col min="6" max="6" width="17.83203125" style="234" customWidth="1"/>
    <col min="7" max="7" width="2.83203125" style="234" customWidth="1"/>
    <col min="8" max="9" width="15.1640625" style="234" hidden="1" customWidth="1" outlineLevel="1"/>
    <col min="10" max="10" width="11.83203125" style="234" customWidth="1" collapsed="1"/>
    <col min="11" max="11" width="2.83203125" style="234" customWidth="1"/>
    <col min="12" max="13" width="18.83203125" style="234" hidden="1" customWidth="1" outlineLevel="1"/>
    <col min="14" max="14" width="19.5" style="234" customWidth="1" collapsed="1"/>
    <col min="15" max="16" width="19.5" style="234" customWidth="1"/>
    <col min="17" max="17" width="2.83203125" style="234" customWidth="1"/>
    <col min="18" max="19" width="12.83203125" style="234" hidden="1" customWidth="1" outlineLevel="1"/>
    <col min="20" max="20" width="12.83203125" style="234" customWidth="1" collapsed="1"/>
    <col min="21" max="21" width="2.83203125" style="234" customWidth="1"/>
    <col min="22" max="23" width="12.83203125" style="234" hidden="1" customWidth="1" outlineLevel="1"/>
    <col min="24" max="24" width="11" style="234" customWidth="1" collapsed="1"/>
    <col min="25" max="26" width="11" style="234" customWidth="1"/>
    <col min="27" max="27" width="4.5" style="234" customWidth="1"/>
    <col min="28" max="32" width="13.6640625" style="234" customWidth="1"/>
    <col min="33" max="33" width="13.6640625" style="282" customWidth="1"/>
    <col min="34" max="35" width="13.6640625" style="234" customWidth="1"/>
    <col min="36" max="36" width="1.83203125" style="234" customWidth="1"/>
    <col min="37" max="37" width="15.33203125" style="234" bestFit="1" customWidth="1"/>
    <col min="38" max="38" width="12.5" style="234" customWidth="1"/>
    <col min="39" max="39" width="1.83203125" style="234" customWidth="1"/>
    <col min="40" max="16384" width="9.33203125" style="234"/>
  </cols>
  <sheetData>
    <row r="1" spans="1:38" ht="10.7" customHeight="1" thickBot="1">
      <c r="AB1" s="1330"/>
      <c r="AC1" s="1331" t="s">
        <v>854</v>
      </c>
      <c r="AD1" s="1331" t="s">
        <v>855</v>
      </c>
      <c r="AE1" s="1332" t="s">
        <v>110</v>
      </c>
    </row>
    <row r="2" spans="1:38"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Z2" s="223"/>
      <c r="AB2" s="1333" t="str">
        <f>+C8</f>
        <v>Enterprise Value</v>
      </c>
      <c r="AC2" s="591" t="e">
        <f ca="1">SUM('GPC Linked'!H13:H42)</f>
        <v>#NAME?</v>
      </c>
      <c r="AD2" s="591">
        <f>+SUM('Capital IQ Sheet-GPC'!H13:H42)</f>
        <v>29371.167960000002</v>
      </c>
      <c r="AE2" s="348" t="e">
        <f ca="1">AC2=AD2</f>
        <v>#NAME?</v>
      </c>
      <c r="AK2" s="779" t="s">
        <v>87</v>
      </c>
      <c r="AL2" s="780">
        <f>'MASTER PubCo Inputs'!$C$6</f>
        <v>43496</v>
      </c>
    </row>
    <row r="3" spans="1:38" ht="15.75" customHeight="1">
      <c r="B3" s="232" t="str">
        <f>VLOOKUP(B4,Outline!$E$8:$G$65,COLUMNS(Outline!$E$8:$G$8),FALSE)</f>
        <v>Exhibit E.1</v>
      </c>
      <c r="C3" s="232"/>
      <c r="D3" s="232"/>
      <c r="E3" s="232"/>
      <c r="F3" s="232"/>
      <c r="G3" s="232"/>
      <c r="H3" s="232"/>
      <c r="I3" s="232"/>
      <c r="J3" s="232"/>
      <c r="K3" s="232"/>
      <c r="L3" s="232"/>
      <c r="M3" s="232"/>
      <c r="N3" s="232"/>
      <c r="O3" s="232"/>
      <c r="P3" s="232"/>
      <c r="Q3" s="232"/>
      <c r="R3" s="232"/>
      <c r="S3" s="232"/>
      <c r="T3" s="232"/>
      <c r="U3" s="232"/>
      <c r="V3" s="232"/>
      <c r="W3" s="232"/>
      <c r="X3" s="232"/>
      <c r="Y3" s="232"/>
      <c r="Z3" s="232"/>
      <c r="AB3" s="1333" t="str">
        <f>+J8</f>
        <v>LTM</v>
      </c>
      <c r="AC3" s="591" t="e">
        <f ca="1">+SUM('GPC Linked'!Q13:Q42)</f>
        <v>#NAME?</v>
      </c>
      <c r="AD3" s="591">
        <f>+SUM('Capital IQ Sheet-GPC'!Q13:Q42)</f>
        <v>946.49860999999987</v>
      </c>
      <c r="AE3" s="348" t="e">
        <f ca="1">AC3=AD3</f>
        <v>#NAME?</v>
      </c>
      <c r="AK3" s="619" t="s">
        <v>455</v>
      </c>
      <c r="AL3" s="781" t="s">
        <v>457</v>
      </c>
    </row>
    <row r="4" spans="1:38" ht="16.5" customHeight="1" thickBot="1">
      <c r="B4" s="225" t="s">
        <v>716</v>
      </c>
      <c r="C4" s="225"/>
      <c r="D4" s="225"/>
      <c r="E4" s="225"/>
      <c r="F4" s="225"/>
      <c r="G4" s="225"/>
      <c r="H4" s="225"/>
      <c r="I4" s="225"/>
      <c r="J4" s="225"/>
      <c r="K4" s="225"/>
      <c r="L4" s="225"/>
      <c r="M4" s="233"/>
      <c r="N4" s="233"/>
      <c r="O4" s="233"/>
      <c r="P4" s="233"/>
      <c r="Q4" s="233"/>
      <c r="R4" s="233"/>
      <c r="S4" s="233"/>
      <c r="T4" s="233"/>
      <c r="U4" s="233"/>
      <c r="V4" s="233"/>
      <c r="W4" s="233"/>
      <c r="X4" s="233"/>
      <c r="Y4" s="233"/>
      <c r="Z4" s="233" t="str">
        <f>+'MASTER PubCo Inputs'!$C$24</f>
        <v>(in millions of USD)</v>
      </c>
      <c r="AB4" s="1334">
        <f>+N8</f>
        <v>2019</v>
      </c>
      <c r="AC4" s="1335" t="e">
        <f ca="1">+SUM('GPC Linked'!T13:T42)</f>
        <v>#NAME?</v>
      </c>
      <c r="AD4" s="1335">
        <f>+SUM('Capital IQ Sheet-GPC'!T13:T42)</f>
        <v>1038.1158800000001</v>
      </c>
      <c r="AE4" s="594" t="e">
        <f ca="1">AC4=AD4</f>
        <v>#NAME?</v>
      </c>
      <c r="AK4" s="619" t="s">
        <v>456</v>
      </c>
      <c r="AL4" s="781" t="s">
        <v>458</v>
      </c>
    </row>
    <row r="5" spans="1:38" ht="14.85" customHeight="1" thickTop="1">
      <c r="B5" s="782"/>
      <c r="C5" s="782"/>
      <c r="AK5" s="384" t="s">
        <v>89</v>
      </c>
      <c r="AL5" s="783" t="s">
        <v>90</v>
      </c>
    </row>
    <row r="6" spans="1:38" ht="14.85" customHeight="1">
      <c r="H6" s="784" t="s">
        <v>323</v>
      </c>
      <c r="I6" s="1419"/>
      <c r="J6" s="528"/>
      <c r="L6" s="784" t="s">
        <v>323</v>
      </c>
      <c r="M6" s="1407"/>
      <c r="N6" s="784" t="s">
        <v>323</v>
      </c>
      <c r="O6" s="1407"/>
      <c r="P6" s="785"/>
      <c r="R6" s="1420" t="s">
        <v>323</v>
      </c>
      <c r="S6" s="1421"/>
      <c r="T6" s="810"/>
      <c r="V6" s="1420" t="s">
        <v>323</v>
      </c>
      <c r="W6" s="1422"/>
      <c r="X6" s="784" t="s">
        <v>323</v>
      </c>
      <c r="Y6" s="1407"/>
      <c r="Z6" s="785"/>
      <c r="AB6" s="1258" t="s">
        <v>934</v>
      </c>
      <c r="AC6" s="1408">
        <v>100</v>
      </c>
      <c r="AD6" s="1258" t="s">
        <v>935</v>
      </c>
      <c r="AE6" s="1408">
        <v>0</v>
      </c>
    </row>
    <row r="7" spans="1:38" ht="14.85" customHeight="1">
      <c r="H7" s="786" t="s">
        <v>691</v>
      </c>
      <c r="I7" s="786"/>
      <c r="J7" s="788" t="s">
        <v>690</v>
      </c>
      <c r="K7" s="789"/>
      <c r="L7" s="786" t="s">
        <v>689</v>
      </c>
      <c r="M7" s="1409"/>
      <c r="N7" s="786" t="s">
        <v>689</v>
      </c>
      <c r="O7" s="1409"/>
      <c r="P7" s="787"/>
      <c r="R7" s="786" t="s">
        <v>324</v>
      </c>
      <c r="S7" s="1409"/>
      <c r="T7" s="788" t="s">
        <v>324</v>
      </c>
      <c r="U7" s="789"/>
      <c r="V7" s="786" t="s">
        <v>324</v>
      </c>
      <c r="W7" s="1409"/>
      <c r="X7" s="786" t="s">
        <v>324</v>
      </c>
      <c r="Y7" s="1409"/>
      <c r="Z7" s="787"/>
      <c r="AB7" s="790" t="s">
        <v>91</v>
      </c>
      <c r="AC7" s="791"/>
      <c r="AD7" s="791"/>
      <c r="AE7" s="791"/>
      <c r="AF7" s="791"/>
      <c r="AG7" s="1423"/>
      <c r="AH7" s="791"/>
      <c r="AI7" s="792"/>
    </row>
    <row r="8" spans="1:38" s="270" customFormat="1" ht="57.75" customHeight="1">
      <c r="B8" s="793" t="s">
        <v>711</v>
      </c>
      <c r="C8" s="794" t="s">
        <v>146</v>
      </c>
      <c r="D8" s="271"/>
      <c r="E8" s="2008" t="s">
        <v>4221</v>
      </c>
      <c r="F8" s="2009" t="s">
        <v>1981</v>
      </c>
      <c r="G8" s="271"/>
      <c r="H8" s="795" t="s">
        <v>345</v>
      </c>
      <c r="I8" s="1401" t="s">
        <v>321</v>
      </c>
      <c r="J8" s="797" t="s">
        <v>322</v>
      </c>
      <c r="K8" s="798"/>
      <c r="L8" s="795">
        <f>M8-1</f>
        <v>2017</v>
      </c>
      <c r="M8" s="1401">
        <f>N8-1</f>
        <v>2018</v>
      </c>
      <c r="N8" s="799">
        <f>YEAR($AL$2)</f>
        <v>2019</v>
      </c>
      <c r="O8" s="1412">
        <f>N8+1</f>
        <v>2020</v>
      </c>
      <c r="P8" s="802">
        <f>O8+1</f>
        <v>2021</v>
      </c>
      <c r="Q8" s="271"/>
      <c r="R8" s="795" t="str">
        <f>H8</f>
        <v>LTM-2</v>
      </c>
      <c r="S8" s="1401" t="str">
        <f>I8</f>
        <v>LTM-1</v>
      </c>
      <c r="T8" s="797" t="str">
        <f>J8</f>
        <v>LTM</v>
      </c>
      <c r="U8" s="798"/>
      <c r="V8" s="799">
        <f>L8</f>
        <v>2017</v>
      </c>
      <c r="W8" s="1401">
        <f>M8</f>
        <v>2018</v>
      </c>
      <c r="X8" s="799">
        <f>N8</f>
        <v>2019</v>
      </c>
      <c r="Y8" s="1412">
        <f>O8</f>
        <v>2020</v>
      </c>
      <c r="Z8" s="802">
        <f>P8</f>
        <v>2021</v>
      </c>
      <c r="AB8" s="803" t="s">
        <v>94</v>
      </c>
      <c r="AC8" s="804" t="s">
        <v>95</v>
      </c>
      <c r="AD8" s="804" t="s">
        <v>96</v>
      </c>
      <c r="AE8" s="804" t="s">
        <v>97</v>
      </c>
      <c r="AF8" s="804" t="s">
        <v>98</v>
      </c>
      <c r="AG8" s="1424" t="s">
        <v>99</v>
      </c>
      <c r="AH8" s="804" t="s">
        <v>100</v>
      </c>
      <c r="AI8" s="805" t="s">
        <v>101</v>
      </c>
      <c r="AK8" s="450" t="s">
        <v>108</v>
      </c>
    </row>
    <row r="9" spans="1:38" ht="14.85" customHeight="1">
      <c r="E9" s="245"/>
      <c r="F9" s="245"/>
    </row>
    <row r="10" spans="1:38" s="1920" customFormat="1" ht="14.85" customHeight="1">
      <c r="A10" s="435"/>
      <c r="B10" s="1916" t="s">
        <v>4220</v>
      </c>
      <c r="C10" s="1919"/>
      <c r="D10" s="1919"/>
      <c r="E10" s="2010"/>
      <c r="F10" s="2010"/>
      <c r="G10" s="1919"/>
      <c r="H10" s="1919"/>
      <c r="I10" s="1919"/>
      <c r="J10" s="1919"/>
      <c r="K10" s="1919"/>
      <c r="L10" s="1919"/>
      <c r="M10" s="1919"/>
      <c r="N10" s="1919"/>
      <c r="O10" s="1919"/>
      <c r="P10" s="1919"/>
      <c r="R10" s="1919"/>
      <c r="S10" s="1919"/>
      <c r="T10" s="1919"/>
      <c r="U10" s="1919"/>
      <c r="V10" s="1919"/>
      <c r="W10" s="1919"/>
      <c r="X10" s="1919"/>
      <c r="Y10" s="1919"/>
      <c r="Z10" s="1919"/>
      <c r="AB10" s="1002"/>
      <c r="AC10" s="1002"/>
      <c r="AD10" s="1002"/>
      <c r="AE10" s="1002"/>
      <c r="AF10" s="1002"/>
      <c r="AG10" s="1921"/>
      <c r="AH10" s="1002"/>
      <c r="AI10" s="1002"/>
    </row>
    <row r="11" spans="1:38" s="1002" customFormat="1" ht="14.85" customHeight="1">
      <c r="A11" s="234"/>
      <c r="B11" s="1002" t="str">
        <f>'Capital IQ Sheet-GPC'!C13</f>
        <v>Alnylam Pharmaceuticals, Inc.</v>
      </c>
      <c r="C11" s="1351">
        <f>'Beta Calc'!R11</f>
        <v>7662.1313999999993</v>
      </c>
      <c r="E11" s="1456" t="s">
        <v>4259</v>
      </c>
      <c r="F11" s="1456" t="s">
        <v>584</v>
      </c>
      <c r="H11" s="1351">
        <f>'Capital IQ Sheet-GPC'!O13</f>
        <v>37.256</v>
      </c>
      <c r="I11" s="1351">
        <f>'Capital IQ Sheet-GPC'!P13</f>
        <v>69.441999999999993</v>
      </c>
      <c r="J11" s="1351">
        <f>'Capital IQ Sheet-GPC'!Q13</f>
        <v>91.799000000000007</v>
      </c>
      <c r="K11" s="1922"/>
      <c r="L11" s="1351">
        <f>'Capital IQ Sheet-GPC'!R13</f>
        <v>89.912000000000006</v>
      </c>
      <c r="M11" s="1351">
        <f>'Capital IQ Sheet-GPC'!S13</f>
        <v>69.403999999999996</v>
      </c>
      <c r="N11" s="1351">
        <f>'Capital IQ Sheet-GPC'!T13</f>
        <v>151.66696999999999</v>
      </c>
      <c r="O11" s="1351">
        <f>'Capital IQ Sheet-GPC'!U13</f>
        <v>414.9787</v>
      </c>
      <c r="P11" s="1351">
        <f>'Capital IQ Sheet-GPC'!V13</f>
        <v>846.60333000000003</v>
      </c>
      <c r="R11" s="1352">
        <f>IF(ISERROR($C11/H11), "n/a", $C11/H11)</f>
        <v>205.66167597165554</v>
      </c>
      <c r="S11" s="1352">
        <f>IF(ISERROR($C11/I11), "n/a", $C11/I11)</f>
        <v>110.33857607787795</v>
      </c>
      <c r="T11" s="1352">
        <f>IFERROR(IF(($C11/J11)&gt;$AC$6, "NM", IF(($C11/J11)&lt;$AE$6, "NM", $C11/J11)),"n/a")</f>
        <v>83.46639288009672</v>
      </c>
      <c r="V11" s="1352">
        <f>IFERROR(IF(($C11/L11)&gt;$AC$6, "NM", IF(($C11/L11)&lt;$AE$6, "NM", $C11/L11)),"n/a")</f>
        <v>85.218117715099197</v>
      </c>
      <c r="W11" s="1352" t="str">
        <f>IFERROR(IF(($C11/M11)&gt;$AC$6, "NM", IF(($C11/M11)&lt;$AE$6, "NM", $C11/M11)),"n/a")</f>
        <v>NM</v>
      </c>
      <c r="X11" s="1352">
        <f>IFERROR(IF(($C11/N11)&gt;$AC$6, "NM", IF(($C11/N11)&lt;$AE$6, "NM", $C11/N11)),"n/a")</f>
        <v>50.519446653414384</v>
      </c>
      <c r="Y11" s="1352">
        <f>IFERROR(IF(($C11/O11)&gt;$AC$6, "NM", IF(($C11/O11)&lt;$AE$6, "NM", $C11/O11)),"n/a")</f>
        <v>18.463914894909063</v>
      </c>
      <c r="Z11" s="1352">
        <f>IFERROR(IF(($C11/P11)&gt;$AC$6, "NM", IF(($C11/P11)&lt;$AE$6, "NM", $C11/P11)),"n/a")</f>
        <v>9.0504385330022252</v>
      </c>
      <c r="AB11" s="1922">
        <f>'Beta Calc'!K11</f>
        <v>8868.9653999999991</v>
      </c>
      <c r="AC11" s="1922">
        <f>'Beta Calc'!L11</f>
        <v>30</v>
      </c>
      <c r="AD11" s="1922" t="str">
        <f>'Beta Calc'!M11</f>
        <v>n/a</v>
      </c>
      <c r="AE11" s="1922" t="str">
        <f>'Beta Calc'!N11</f>
        <v>n/a</v>
      </c>
      <c r="AF11" s="1922">
        <f>SUM(AC11:AE11)</f>
        <v>30</v>
      </c>
      <c r="AG11" s="1923">
        <f>SUM(AB11:AE11)</f>
        <v>8898.9653999999991</v>
      </c>
      <c r="AH11" s="1922">
        <f>'Beta Calc'!Q11</f>
        <v>1236.8340000000001</v>
      </c>
      <c r="AI11" s="1351">
        <f>IF(ISERROR(AG11-AH11), "n/a", AG11-AH11)</f>
        <v>7662.1313999999993</v>
      </c>
      <c r="AK11" s="1924" t="str">
        <f>IF('MASTER PubCo Inputs'!C28="","",'MASTER PubCo Inputs'!C28)</f>
        <v>IQ2796659</v>
      </c>
      <c r="AL11" s="1002" t="str">
        <f>'Capital IQ Sheet-GPC'!AP13</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2" spans="1:38" s="1002" customFormat="1" ht="14.85" customHeight="1">
      <c r="A12" s="234"/>
      <c r="B12" s="1002" t="str">
        <f>'Capital IQ Sheet-GPC'!C14</f>
        <v>bluebird bio, Inc.</v>
      </c>
      <c r="C12" s="1351">
        <f>'Beta Calc'!R12</f>
        <v>5757.6142599999994</v>
      </c>
      <c r="E12" s="1456" t="s">
        <v>4163</v>
      </c>
      <c r="F12" s="1456" t="s">
        <v>584</v>
      </c>
      <c r="H12" s="1351">
        <f>'Capital IQ Sheet-GPC'!O14</f>
        <v>6.0750000000000002</v>
      </c>
      <c r="I12" s="1351">
        <f>'Capital IQ Sheet-GPC'!P14</f>
        <v>32.811</v>
      </c>
      <c r="J12" s="1351">
        <f>'Capital IQ Sheet-GPC'!Q14</f>
        <v>39.503999999999998</v>
      </c>
      <c r="K12" s="1922"/>
      <c r="L12" s="1351">
        <f>'Capital IQ Sheet-GPC'!R14</f>
        <v>35.427</v>
      </c>
      <c r="M12" s="1351">
        <f>'Capital IQ Sheet-GPC'!S14</f>
        <v>43.02805</v>
      </c>
      <c r="N12" s="1351">
        <f>'Capital IQ Sheet-GPC'!T14</f>
        <v>63.936669999999999</v>
      </c>
      <c r="O12" s="1351">
        <f>'Capital IQ Sheet-GPC'!U14</f>
        <v>226.69472999999999</v>
      </c>
      <c r="P12" s="1351">
        <f>'Capital IQ Sheet-GPC'!V14</f>
        <v>568.06821000000002</v>
      </c>
      <c r="R12" s="1352">
        <f t="shared" ref="R12:R35" si="0">IF(ISERROR($C12/H12), "n/a", $C12/H12)</f>
        <v>947.75543374485585</v>
      </c>
      <c r="S12" s="1352">
        <f t="shared" ref="S12:S35" si="1">IF(ISERROR($C12/I12), "n/a", $C12/I12)</f>
        <v>175.47817073542407</v>
      </c>
      <c r="T12" s="1352" t="str">
        <f t="shared" ref="T12:T35" si="2">IFERROR(IF(($C12/J12)&gt;$AC$6, "NM", IF(($C12/J12)&lt;$AE$6, "NM", $C12/J12)),"n/a")</f>
        <v>NM</v>
      </c>
      <c r="V12" s="1352" t="str">
        <f t="shared" ref="V12:V26" si="3">IFERROR(IF(($C12/L12)&gt;$AC$6, "NM", IF(($C12/L12)&lt;$AE$6, "NM", $C12/L12)),"n/a")</f>
        <v>NM</v>
      </c>
      <c r="W12" s="1352" t="str">
        <f t="shared" ref="W12:W26" si="4">IFERROR(IF(($C12/M12)&gt;$AC$6, "NM", IF(($C12/M12)&lt;$AE$6, "NM", $C12/M12)),"n/a")</f>
        <v>NM</v>
      </c>
      <c r="X12" s="1352">
        <f t="shared" ref="X12:X35" si="5">IFERROR(IF(($C12/N12)&gt;$AC$6, "NM", IF(($C12/N12)&lt;$AE$6, "NM", $C12/N12)),"n/a")</f>
        <v>90.051831914298944</v>
      </c>
      <c r="Y12" s="1352">
        <f t="shared" ref="Y12:Y35" si="6">IFERROR(IF(($C12/O12)&gt;$AC$6, "NM", IF(($C12/O12)&lt;$AE$6, "NM", $C12/O12)),"n/a")</f>
        <v>25.398094874106686</v>
      </c>
      <c r="Z12" s="1352">
        <f t="shared" ref="Z12:Z35" si="7">IFERROR(IF(($C12/P12)&gt;$AC$6, "NM", IF(($C12/P12)&lt;$AE$6, "NM", $C12/P12)),"n/a")</f>
        <v>10.13542768041887</v>
      </c>
      <c r="AB12" s="1922">
        <f>'Beta Calc'!K12</f>
        <v>7297.8752599999998</v>
      </c>
      <c r="AC12" s="1922">
        <f>'Beta Calc'!L12</f>
        <v>155.03399999999999</v>
      </c>
      <c r="AD12" s="1922" t="str">
        <f>'Beta Calc'!M12</f>
        <v>n/a</v>
      </c>
      <c r="AE12" s="1922" t="str">
        <f>'Beta Calc'!N12</f>
        <v>n/a</v>
      </c>
      <c r="AF12" s="1922">
        <f t="shared" ref="AF12:AF35" si="8">SUM(AC12:AE12)</f>
        <v>155.03399999999999</v>
      </c>
      <c r="AG12" s="1923">
        <f t="shared" ref="AG12:AG35" si="9">SUM(AB12:AE12)</f>
        <v>7452.9092599999994</v>
      </c>
      <c r="AH12" s="1922">
        <f>'Beta Calc'!Q12</f>
        <v>1695.2950000000001</v>
      </c>
      <c r="AI12" s="1351">
        <f t="shared" ref="AI12:AI35" si="10">IF(ISERROR(AG12-AH12), "n/a", AG12-AH12)</f>
        <v>5757.6142599999994</v>
      </c>
      <c r="AK12" s="1924" t="str">
        <f>IF('MASTER PubCo Inputs'!C29="","",'MASTER PubCo Inputs'!C29)</f>
        <v>IQ28921</v>
      </c>
      <c r="AL12" s="1002" t="str">
        <f>'Capital IQ Sheet-GPC'!AP14</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3" spans="1:38" s="1002" customFormat="1" ht="14.85" customHeight="1">
      <c r="A13" s="234"/>
      <c r="B13" s="1002" t="str">
        <f>'Capital IQ Sheet-GPC'!C15</f>
        <v>Ironwood Pharmaceuticals, Inc.</v>
      </c>
      <c r="C13" s="1351">
        <f>'Beta Calc'!R13</f>
        <v>2352.3571099999999</v>
      </c>
      <c r="E13" s="1456" t="s">
        <v>4164</v>
      </c>
      <c r="F13" s="1456" t="s">
        <v>569</v>
      </c>
      <c r="H13" s="1351">
        <f>'Capital IQ Sheet-GPC'!O15</f>
        <v>239.80500000000001</v>
      </c>
      <c r="I13" s="1351">
        <f>'Capital IQ Sheet-GPC'!P15</f>
        <v>291.52699999999999</v>
      </c>
      <c r="J13" s="1351">
        <f>'Capital IQ Sheet-GPC'!Q15</f>
        <v>310.15499999999997</v>
      </c>
      <c r="K13" s="1922"/>
      <c r="L13" s="1351">
        <f>'Capital IQ Sheet-GPC'!R15</f>
        <v>298.27600000000001</v>
      </c>
      <c r="M13" s="1351">
        <f>'Capital IQ Sheet-GPC'!S15</f>
        <v>312.15078999999997</v>
      </c>
      <c r="N13" s="1351">
        <f>'Capital IQ Sheet-GPC'!T15</f>
        <v>373.31234000000001</v>
      </c>
      <c r="O13" s="1351">
        <f>'Capital IQ Sheet-GPC'!U15</f>
        <v>419.24398000000002</v>
      </c>
      <c r="P13" s="1351">
        <f>'Capital IQ Sheet-GPC'!V15</f>
        <v>441.238</v>
      </c>
      <c r="R13" s="1352">
        <f t="shared" si="0"/>
        <v>9.8094581430745809</v>
      </c>
      <c r="S13" s="1352">
        <f t="shared" si="1"/>
        <v>8.0690883177201425</v>
      </c>
      <c r="T13" s="1352">
        <f t="shared" si="2"/>
        <v>7.5844565136786448</v>
      </c>
      <c r="V13" s="1352">
        <f t="shared" si="3"/>
        <v>7.8865115195322444</v>
      </c>
      <c r="W13" s="1352">
        <f t="shared" si="4"/>
        <v>7.5359639807414878</v>
      </c>
      <c r="X13" s="1352">
        <f t="shared" si="5"/>
        <v>6.3013108808564962</v>
      </c>
      <c r="Y13" s="1352">
        <f t="shared" si="6"/>
        <v>5.6109502395240112</v>
      </c>
      <c r="Z13" s="1352">
        <f t="shared" si="7"/>
        <v>5.3312659154469921</v>
      </c>
      <c r="AB13" s="1922">
        <f>'Beta Calc'!K13</f>
        <v>2104.44911</v>
      </c>
      <c r="AC13" s="1922">
        <f>'Beta Calc'!L13</f>
        <v>409.30599999999998</v>
      </c>
      <c r="AD13" s="1922" t="str">
        <f>'Beta Calc'!M13</f>
        <v>n/a</v>
      </c>
      <c r="AE13" s="1922" t="str">
        <f>'Beta Calc'!N13</f>
        <v>n/a</v>
      </c>
      <c r="AF13" s="1922">
        <f t="shared" si="8"/>
        <v>409.30599999999998</v>
      </c>
      <c r="AG13" s="1923">
        <f t="shared" si="9"/>
        <v>2513.7551100000001</v>
      </c>
      <c r="AH13" s="1922">
        <f>'Beta Calc'!Q13</f>
        <v>161.398</v>
      </c>
      <c r="AI13" s="1351">
        <f t="shared" si="10"/>
        <v>2352.3571099999999</v>
      </c>
      <c r="AK13" s="1924" t="str">
        <f>IF('MASTER PubCo Inputs'!C30="","",'MASTER PubCo Inputs'!C30)</f>
        <v>IQ31498</v>
      </c>
      <c r="AL13" s="1002" t="str">
        <f>'Capital IQ Sheet-GPC'!AP15</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4" spans="1:38" s="1002" customFormat="1" ht="14.85" customHeight="1">
      <c r="A14" s="234"/>
      <c r="B14" s="1002" t="str">
        <f>'Capital IQ Sheet-GPC'!C16</f>
        <v>Global Blood Therapeutics, Inc.</v>
      </c>
      <c r="C14" s="1351">
        <f>'Beta Calc'!R14</f>
        <v>2277.1892400000002</v>
      </c>
      <c r="E14" s="1456" t="s">
        <v>3597</v>
      </c>
      <c r="F14" s="1456" t="s">
        <v>584</v>
      </c>
      <c r="H14" s="1351" t="str">
        <f>'Capital IQ Sheet-GPC'!O16</f>
        <v>n/a</v>
      </c>
      <c r="I14" s="1351" t="str">
        <f>'Capital IQ Sheet-GPC'!P16</f>
        <v>n/a</v>
      </c>
      <c r="J14" s="1351" t="str">
        <f>'Capital IQ Sheet-GPC'!Q16</f>
        <v>n/a</v>
      </c>
      <c r="K14" s="1922"/>
      <c r="L14" s="1351" t="str">
        <f>'Capital IQ Sheet-GPC'!R16</f>
        <v>n/a</v>
      </c>
      <c r="M14" s="1351" t="str">
        <f>'Capital IQ Sheet-GPC'!S16</f>
        <v>n/a</v>
      </c>
      <c r="N14" s="1351" t="str">
        <f>'Capital IQ Sheet-GPC'!T16</f>
        <v>n/a</v>
      </c>
      <c r="O14" s="1351">
        <f>'Capital IQ Sheet-GPC'!U16</f>
        <v>104.31301999999999</v>
      </c>
      <c r="P14" s="1351">
        <f>'Capital IQ Sheet-GPC'!V16</f>
        <v>356.01249999999999</v>
      </c>
      <c r="R14" s="1352" t="str">
        <f t="shared" si="0"/>
        <v>n/a</v>
      </c>
      <c r="S14" s="1352" t="str">
        <f t="shared" si="1"/>
        <v>n/a</v>
      </c>
      <c r="T14" s="1352" t="str">
        <f t="shared" si="2"/>
        <v>n/a</v>
      </c>
      <c r="V14" s="1352" t="str">
        <f t="shared" si="3"/>
        <v>n/a</v>
      </c>
      <c r="W14" s="1352" t="str">
        <f t="shared" si="4"/>
        <v>n/a</v>
      </c>
      <c r="X14" s="1352" t="str">
        <f t="shared" si="5"/>
        <v>n/a</v>
      </c>
      <c r="Y14" s="1352">
        <f t="shared" si="6"/>
        <v>21.83034524357554</v>
      </c>
      <c r="Z14" s="1352">
        <f t="shared" si="7"/>
        <v>6.3963743969663991</v>
      </c>
      <c r="AB14" s="1922">
        <f>'Beta Calc'!K14</f>
        <v>2660.4172400000002</v>
      </c>
      <c r="AC14" s="1922">
        <f>'Beta Calc'!L14</f>
        <v>0</v>
      </c>
      <c r="AD14" s="1922" t="str">
        <f>'Beta Calc'!M14</f>
        <v>n/a</v>
      </c>
      <c r="AE14" s="1922" t="str">
        <f>'Beta Calc'!N14</f>
        <v>n/a</v>
      </c>
      <c r="AF14" s="1922">
        <f t="shared" si="8"/>
        <v>0</v>
      </c>
      <c r="AG14" s="1923">
        <f t="shared" si="9"/>
        <v>2660.4172400000002</v>
      </c>
      <c r="AH14" s="1922">
        <f>'Beta Calc'!Q14</f>
        <v>383.22800000000001</v>
      </c>
      <c r="AI14" s="1351">
        <f t="shared" si="10"/>
        <v>2277.1892400000002</v>
      </c>
      <c r="AK14" s="1924" t="str">
        <f>IF('MASTER PubCo Inputs'!C31="","",'MASTER PubCo Inputs'!C31)</f>
        <v>IQ208736100</v>
      </c>
      <c r="AL14" s="1002" t="str">
        <f>'Capital IQ Sheet-GPC'!AP16</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5" spans="1:38" s="1002" customFormat="1" ht="14.85" customHeight="1">
      <c r="A15" s="234"/>
      <c r="B15" s="1002" t="str">
        <f>'Capital IQ Sheet-GPC'!C17</f>
        <v>Acceleron Pharma Inc.</v>
      </c>
      <c r="C15" s="1351">
        <f>'Beta Calc'!R15</f>
        <v>1877.0851599999999</v>
      </c>
      <c r="E15" s="1456" t="s">
        <v>3614</v>
      </c>
      <c r="F15" s="1456" t="s">
        <v>584</v>
      </c>
      <c r="H15" s="1351">
        <f>'Capital IQ Sheet-GPC'!O17</f>
        <v>28.204999999999998</v>
      </c>
      <c r="I15" s="1351">
        <f>'Capital IQ Sheet-GPC'!P17</f>
        <v>13.145</v>
      </c>
      <c r="J15" s="1351">
        <f>'Capital IQ Sheet-GPC'!Q17</f>
        <v>13.88</v>
      </c>
      <c r="K15" s="1922"/>
      <c r="L15" s="1351">
        <f>'Capital IQ Sheet-GPC'!R17</f>
        <v>13.481</v>
      </c>
      <c r="M15" s="1351">
        <f>'Capital IQ Sheet-GPC'!S17</f>
        <v>13.6815</v>
      </c>
      <c r="N15" s="1351">
        <f>'Capital IQ Sheet-GPC'!T17</f>
        <v>53.944000000000003</v>
      </c>
      <c r="O15" s="1351">
        <f>'Capital IQ Sheet-GPC'!U17</f>
        <v>108.12949999999999</v>
      </c>
      <c r="P15" s="1351">
        <f>'Capital IQ Sheet-GPC'!V17</f>
        <v>125.286</v>
      </c>
      <c r="R15" s="1352">
        <f t="shared" si="0"/>
        <v>66.551503634107434</v>
      </c>
      <c r="S15" s="1352">
        <f t="shared" si="1"/>
        <v>142.79841460631417</v>
      </c>
      <c r="T15" s="1352" t="str">
        <f t="shared" si="2"/>
        <v>NM</v>
      </c>
      <c r="V15" s="1352" t="str">
        <f t="shared" si="3"/>
        <v>NM</v>
      </c>
      <c r="W15" s="1352" t="str">
        <f t="shared" si="4"/>
        <v>NM</v>
      </c>
      <c r="X15" s="1352">
        <f t="shared" si="5"/>
        <v>34.79692199317811</v>
      </c>
      <c r="Y15" s="1352">
        <f t="shared" si="6"/>
        <v>17.359602698616012</v>
      </c>
      <c r="Z15" s="1352">
        <f t="shared" si="7"/>
        <v>14.982401545264434</v>
      </c>
      <c r="AB15" s="1922">
        <f>'Beta Calc'!K15</f>
        <v>2185.0571599999998</v>
      </c>
      <c r="AC15" s="1922">
        <f>'Beta Calc'!L15</f>
        <v>0</v>
      </c>
      <c r="AD15" s="1922" t="str">
        <f>'Beta Calc'!M15</f>
        <v>n/a</v>
      </c>
      <c r="AE15" s="1922" t="str">
        <f>'Beta Calc'!N15</f>
        <v>n/a</v>
      </c>
      <c r="AF15" s="1922">
        <f t="shared" si="8"/>
        <v>0</v>
      </c>
      <c r="AG15" s="1923">
        <f t="shared" si="9"/>
        <v>2185.0571599999998</v>
      </c>
      <c r="AH15" s="1922">
        <f>'Beta Calc'!Q15</f>
        <v>307.97199999999998</v>
      </c>
      <c r="AI15" s="1351">
        <f t="shared" si="10"/>
        <v>1877.0851599999999</v>
      </c>
      <c r="AK15" s="1924" t="str">
        <f>IF('MASTER PubCo Inputs'!C32="","",'MASTER PubCo Inputs'!C32)</f>
        <v>IQ9004482</v>
      </c>
      <c r="AL15" s="1002" t="str">
        <f>'Capital IQ Sheet-GPC'!AP17</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6" spans="1:38" s="1002" customFormat="1" ht="14.85" customHeight="1">
      <c r="A16" s="234"/>
      <c r="B16" s="1002" t="str">
        <f>'Capital IQ Sheet-GPC'!C18</f>
        <v>Spark Therapeutics, Inc.</v>
      </c>
      <c r="C16" s="1351">
        <f>'Beta Calc'!R16</f>
        <v>1299.4821400000001</v>
      </c>
      <c r="E16" s="1456" t="s">
        <v>3614</v>
      </c>
      <c r="F16" s="1456" t="s">
        <v>584</v>
      </c>
      <c r="H16" s="1351">
        <f>'Capital IQ Sheet-GPC'!O18</f>
        <v>21.077839999999998</v>
      </c>
      <c r="I16" s="1351">
        <f>'Capital IQ Sheet-GPC'!P18</f>
        <v>20.959790000000002</v>
      </c>
      <c r="J16" s="1351">
        <f>'Capital IQ Sheet-GPC'!Q18</f>
        <v>58.976640000000003</v>
      </c>
      <c r="K16" s="1922"/>
      <c r="L16" s="1351">
        <f>'Capital IQ Sheet-GPC'!R18</f>
        <v>12.06564</v>
      </c>
      <c r="M16" s="1351">
        <f>'Capital IQ Sheet-GPC'!S18</f>
        <v>79.823580000000007</v>
      </c>
      <c r="N16" s="1351">
        <f>'Capital IQ Sheet-GPC'!T18</f>
        <v>108.31031</v>
      </c>
      <c r="O16" s="1351">
        <f>'Capital IQ Sheet-GPC'!U18</f>
        <v>172.75226000000001</v>
      </c>
      <c r="P16" s="1351">
        <f>'Capital IQ Sheet-GPC'!V18</f>
        <v>259.02755999999999</v>
      </c>
      <c r="R16" s="1352">
        <f t="shared" si="0"/>
        <v>61.651580048050469</v>
      </c>
      <c r="S16" s="1352">
        <f t="shared" si="1"/>
        <v>61.998814873622301</v>
      </c>
      <c r="T16" s="1352">
        <f t="shared" si="2"/>
        <v>22.033844925719741</v>
      </c>
      <c r="V16" s="1352" t="str">
        <f t="shared" si="3"/>
        <v>NM</v>
      </c>
      <c r="W16" s="1352">
        <f t="shared" si="4"/>
        <v>16.279426956295371</v>
      </c>
      <c r="X16" s="1352">
        <f t="shared" si="5"/>
        <v>11.997769556748569</v>
      </c>
      <c r="Y16" s="1352">
        <f t="shared" si="6"/>
        <v>7.5222294631630291</v>
      </c>
      <c r="Z16" s="1352">
        <f t="shared" si="7"/>
        <v>5.0167717288461509</v>
      </c>
      <c r="AB16" s="1922">
        <f>'Beta Calc'!K16</f>
        <v>1805.0671400000001</v>
      </c>
      <c r="AC16" s="1922">
        <f>'Beta Calc'!L16</f>
        <v>84.891000000000005</v>
      </c>
      <c r="AD16" s="1922" t="str">
        <f>'Beta Calc'!M16</f>
        <v>n/a</v>
      </c>
      <c r="AE16" s="1922" t="str">
        <f>'Beta Calc'!N16</f>
        <v>n/a</v>
      </c>
      <c r="AF16" s="1922">
        <f t="shared" si="8"/>
        <v>84.891000000000005</v>
      </c>
      <c r="AG16" s="1923">
        <f t="shared" si="9"/>
        <v>1889.9581400000002</v>
      </c>
      <c r="AH16" s="1922">
        <f>'Beta Calc'!Q16</f>
        <v>590.476</v>
      </c>
      <c r="AI16" s="1351">
        <f t="shared" si="10"/>
        <v>1299.4821400000001</v>
      </c>
      <c r="AK16" s="1924" t="str">
        <f>IF('MASTER PubCo Inputs'!C33="","",'MASTER PubCo Inputs'!C33)</f>
        <v>IQ249341857</v>
      </c>
      <c r="AL16" s="1002" t="str">
        <f>'Capital IQ Sheet-GPC'!AP18</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7" spans="1:38" s="1002" customFormat="1" ht="14.85" customHeight="1">
      <c r="A17" s="234"/>
      <c r="B17" s="1920" t="str">
        <f>'Capital IQ Sheet-GPC'!C19</f>
        <v>REGENXBIO Inc.</v>
      </c>
      <c r="C17" s="2185">
        <f>'Beta Calc'!R17</f>
        <v>1202.95318</v>
      </c>
      <c r="D17" s="1920"/>
      <c r="E17" s="2161" t="s">
        <v>4167</v>
      </c>
      <c r="F17" s="2161" t="s">
        <v>1098</v>
      </c>
      <c r="G17" s="1920"/>
      <c r="H17" s="2185">
        <f>'Capital IQ Sheet-GPC'!O19</f>
        <v>7.3410000000000002</v>
      </c>
      <c r="I17" s="2185">
        <f>'Capital IQ Sheet-GPC'!P19</f>
        <v>10.048999999999999</v>
      </c>
      <c r="J17" s="2185">
        <f>'Capital IQ Sheet-GPC'!Q19</f>
        <v>179.768</v>
      </c>
      <c r="K17" s="2186"/>
      <c r="L17" s="2185">
        <f>'Capital IQ Sheet-GPC'!R19</f>
        <v>10.393000000000001</v>
      </c>
      <c r="M17" s="2185">
        <f>'Capital IQ Sheet-GPC'!S19</f>
        <v>200.71324999999999</v>
      </c>
      <c r="N17" s="2185">
        <f>'Capital IQ Sheet-GPC'!T19</f>
        <v>21.489640000000001</v>
      </c>
      <c r="O17" s="2185">
        <f>'Capital IQ Sheet-GPC'!U19</f>
        <v>119.78017</v>
      </c>
      <c r="P17" s="2185">
        <f>'Capital IQ Sheet-GPC'!V19</f>
        <v>130</v>
      </c>
      <c r="Q17" s="1920"/>
      <c r="R17" s="2187">
        <f t="shared" si="0"/>
        <v>163.86775371202833</v>
      </c>
      <c r="S17" s="2187">
        <f t="shared" si="1"/>
        <v>119.70874514877103</v>
      </c>
      <c r="T17" s="2187">
        <f t="shared" si="2"/>
        <v>6.6916980775221395</v>
      </c>
      <c r="U17" s="1920"/>
      <c r="V17" s="2187" t="str">
        <f t="shared" si="3"/>
        <v>NM</v>
      </c>
      <c r="W17" s="2187">
        <f t="shared" si="4"/>
        <v>5.9933919659016039</v>
      </c>
      <c r="X17" s="2187">
        <f t="shared" si="5"/>
        <v>55.978284419841373</v>
      </c>
      <c r="Y17" s="2187">
        <f t="shared" si="6"/>
        <v>10.043007786681217</v>
      </c>
      <c r="Z17" s="2187">
        <f t="shared" si="7"/>
        <v>9.2534860000000005</v>
      </c>
      <c r="AB17" s="1922">
        <f>'Beta Calc'!K17</f>
        <v>1575.5421799999999</v>
      </c>
      <c r="AC17" s="1922">
        <f>'Beta Calc'!L17</f>
        <v>0</v>
      </c>
      <c r="AD17" s="1922" t="str">
        <f>'Beta Calc'!M17</f>
        <v>n/a</v>
      </c>
      <c r="AE17" s="1922" t="str">
        <f>'Beta Calc'!N17</f>
        <v>n/a</v>
      </c>
      <c r="AF17" s="1922">
        <f t="shared" si="8"/>
        <v>0</v>
      </c>
      <c r="AG17" s="1923">
        <f t="shared" si="9"/>
        <v>1575.5421799999999</v>
      </c>
      <c r="AH17" s="1922">
        <f>'Beta Calc'!Q17</f>
        <v>372.589</v>
      </c>
      <c r="AI17" s="1351">
        <f t="shared" si="10"/>
        <v>1202.95318</v>
      </c>
      <c r="AK17" s="1924" t="str">
        <f>IF('MASTER PubCo Inputs'!C34="","",'MASTER PubCo Inputs'!C34)</f>
        <v>IQ130641748</v>
      </c>
      <c r="AL17" s="1002" t="str">
        <f>'Capital IQ Sheet-GPC'!AP19</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18" spans="1:38" s="1002" customFormat="1" ht="14.85" customHeight="1">
      <c r="A18" s="234"/>
      <c r="B18" s="1002" t="str">
        <f>'Capital IQ Sheet-GPC'!C20</f>
        <v>uniQure N.V.</v>
      </c>
      <c r="C18" s="1351">
        <f>'Beta Calc'!R18</f>
        <v>1056.8213700000001</v>
      </c>
      <c r="E18" s="1456" t="s">
        <v>3614</v>
      </c>
      <c r="F18" s="1456" t="s">
        <v>584</v>
      </c>
      <c r="H18" s="1351">
        <f>'Capital IQ Sheet-GPC'!O20</f>
        <v>19.944649999999999</v>
      </c>
      <c r="I18" s="1351">
        <f>'Capital IQ Sheet-GPC'!P20</f>
        <v>19.654</v>
      </c>
      <c r="J18" s="1351">
        <f>'Capital IQ Sheet-GPC'!Q20</f>
        <v>12.26</v>
      </c>
      <c r="K18" s="1922"/>
      <c r="L18" s="1351">
        <f>'Capital IQ Sheet-GPC'!R20</f>
        <v>13.106999999999999</v>
      </c>
      <c r="M18" s="1351">
        <f>'Capital IQ Sheet-GPC'!S20</f>
        <v>12.843669999999999</v>
      </c>
      <c r="N18" s="1351">
        <f>'Capital IQ Sheet-GPC'!T20</f>
        <v>11.944520000000001</v>
      </c>
      <c r="O18" s="1351">
        <f>'Capital IQ Sheet-GPC'!U20</f>
        <v>11.16968</v>
      </c>
      <c r="P18" s="1351">
        <f>'Capital IQ Sheet-GPC'!V20</f>
        <v>43.605539999999998</v>
      </c>
      <c r="R18" s="1352">
        <f t="shared" si="0"/>
        <v>52.987711992940469</v>
      </c>
      <c r="S18" s="1352">
        <f t="shared" si="1"/>
        <v>53.771312201078665</v>
      </c>
      <c r="T18" s="1352">
        <f t="shared" si="2"/>
        <v>86.200764274061996</v>
      </c>
      <c r="V18" s="1352">
        <f t="shared" si="3"/>
        <v>80.630302128633573</v>
      </c>
      <c r="W18" s="1352">
        <f t="shared" si="4"/>
        <v>82.283441570828288</v>
      </c>
      <c r="X18" s="1352">
        <f t="shared" si="5"/>
        <v>88.477508514364757</v>
      </c>
      <c r="Y18" s="1352">
        <f t="shared" si="6"/>
        <v>94.615187722477287</v>
      </c>
      <c r="Z18" s="1352">
        <f t="shared" si="7"/>
        <v>24.235942726543467</v>
      </c>
      <c r="AB18" s="1922">
        <f>'Beta Calc'!K18</f>
        <v>1275.6593700000001</v>
      </c>
      <c r="AC18" s="1922">
        <f>'Beta Calc'!L18</f>
        <v>20.707999999999998</v>
      </c>
      <c r="AD18" s="1922" t="str">
        <f>'Beta Calc'!M18</f>
        <v>n/a</v>
      </c>
      <c r="AE18" s="1922" t="str">
        <f>'Beta Calc'!N18</f>
        <v>n/a</v>
      </c>
      <c r="AF18" s="1922">
        <f t="shared" si="8"/>
        <v>20.707999999999998</v>
      </c>
      <c r="AG18" s="1923">
        <f t="shared" si="9"/>
        <v>1296.3673700000002</v>
      </c>
      <c r="AH18" s="1922">
        <f>'Beta Calc'!Q18</f>
        <v>239.54599999999999</v>
      </c>
      <c r="AI18" s="1351">
        <f t="shared" si="10"/>
        <v>1056.8213700000001</v>
      </c>
      <c r="AK18" s="1924" t="str">
        <f>IF('MASTER PubCo Inputs'!C35="","",'MASTER PubCo Inputs'!C35)</f>
        <v>IQ171029664</v>
      </c>
      <c r="AL18" s="1002" t="str">
        <f>'Capital IQ Sheet-GPC'!AP20</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19" spans="1:38" s="1002" customFormat="1" ht="14.85" customHeight="1">
      <c r="A19" s="234"/>
      <c r="B19" s="1002" t="str">
        <f>'Capital IQ Sheet-GPC'!C21</f>
        <v>Audentes Therapeutics, Inc.</v>
      </c>
      <c r="C19" s="1351">
        <f>'Beta Calc'!R19</f>
        <v>778.02337000000011</v>
      </c>
      <c r="E19" s="1456" t="s">
        <v>3614</v>
      </c>
      <c r="F19" s="1456" t="s">
        <v>1098</v>
      </c>
      <c r="H19" s="1351" t="str">
        <f>'Capital IQ Sheet-GPC'!O21</f>
        <v>n/a</v>
      </c>
      <c r="I19" s="1351" t="str">
        <f>'Capital IQ Sheet-GPC'!P21</f>
        <v>n/a</v>
      </c>
      <c r="J19" s="1351" t="str">
        <f>'Capital IQ Sheet-GPC'!Q21</f>
        <v>n/a</v>
      </c>
      <c r="K19" s="1922"/>
      <c r="L19" s="1351" t="str">
        <f>'Capital IQ Sheet-GPC'!R21</f>
        <v>n/a</v>
      </c>
      <c r="M19" s="1351" t="str">
        <f>'Capital IQ Sheet-GPC'!S21</f>
        <v>n/a</v>
      </c>
      <c r="N19" s="1351" t="str">
        <f>'Capital IQ Sheet-GPC'!T21</f>
        <v>n/a</v>
      </c>
      <c r="O19" s="1351">
        <f>'Capital IQ Sheet-GPC'!U21</f>
        <v>41.576999999999998</v>
      </c>
      <c r="P19" s="1351">
        <f>'Capital IQ Sheet-GPC'!V21</f>
        <v>180.34737999999999</v>
      </c>
      <c r="R19" s="1352" t="str">
        <f t="shared" si="0"/>
        <v>n/a</v>
      </c>
      <c r="S19" s="1352" t="str">
        <f t="shared" si="1"/>
        <v>n/a</v>
      </c>
      <c r="T19" s="1352" t="str">
        <f t="shared" si="2"/>
        <v>n/a</v>
      </c>
      <c r="V19" s="1352" t="str">
        <f t="shared" si="3"/>
        <v>n/a</v>
      </c>
      <c r="W19" s="1352" t="str">
        <f t="shared" si="4"/>
        <v>n/a</v>
      </c>
      <c r="X19" s="1352" t="str">
        <f t="shared" si="5"/>
        <v>n/a</v>
      </c>
      <c r="Y19" s="1352">
        <f t="shared" si="6"/>
        <v>18.712830892079758</v>
      </c>
      <c r="Z19" s="1352">
        <f t="shared" si="7"/>
        <v>4.3140264638166643</v>
      </c>
      <c r="AB19" s="1922">
        <f>'Beta Calc'!K19</f>
        <v>1058.70937</v>
      </c>
      <c r="AC19" s="1922">
        <f>'Beta Calc'!L19</f>
        <v>0</v>
      </c>
      <c r="AD19" s="1922" t="str">
        <f>'Beta Calc'!M19</f>
        <v>n/a</v>
      </c>
      <c r="AE19" s="1922" t="str">
        <f>'Beta Calc'!N19</f>
        <v>n/a</v>
      </c>
      <c r="AF19" s="1922">
        <f t="shared" si="8"/>
        <v>0</v>
      </c>
      <c r="AG19" s="1923">
        <f t="shared" si="9"/>
        <v>1058.70937</v>
      </c>
      <c r="AH19" s="1922">
        <f>'Beta Calc'!Q19</f>
        <v>280.68599999999998</v>
      </c>
      <c r="AI19" s="1351">
        <f t="shared" si="10"/>
        <v>778.02337000000011</v>
      </c>
      <c r="AK19" s="1924" t="str">
        <f>IF('MASTER PubCo Inputs'!C36="","",'MASTER PubCo Inputs'!C36)</f>
        <v>IQ243223852</v>
      </c>
      <c r="AL19" s="1002" t="str">
        <f>'Capital IQ Sheet-GPC'!AP21</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20" spans="1:38" s="1002" customFormat="1" ht="14.85" customHeight="1">
      <c r="A20" s="234"/>
      <c r="B20" s="1002" t="str">
        <f>'Capital IQ Sheet-GPC'!C22</f>
        <v>Sangamo Therapeutics, Inc.</v>
      </c>
      <c r="C20" s="1351">
        <f>'Beta Calc'!R20</f>
        <v>734.89557000000013</v>
      </c>
      <c r="E20" s="1456" t="s">
        <v>4165</v>
      </c>
      <c r="F20" s="1456" t="s">
        <v>1098</v>
      </c>
      <c r="H20" s="1351">
        <f>'Capital IQ Sheet-GPC'!O22</f>
        <v>19.588000000000001</v>
      </c>
      <c r="I20" s="1351">
        <f>'Capital IQ Sheet-GPC'!P22</f>
        <v>32.411999999999999</v>
      </c>
      <c r="J20" s="1351">
        <f>'Capital IQ Sheet-GPC'!Q22</f>
        <v>70.691999999999993</v>
      </c>
      <c r="K20" s="1922"/>
      <c r="L20" s="1351">
        <f>'Capital IQ Sheet-GPC'!R22</f>
        <v>36.567</v>
      </c>
      <c r="M20" s="1351">
        <f>'Capital IQ Sheet-GPC'!S22</f>
        <v>80.157700000000006</v>
      </c>
      <c r="N20" s="1351">
        <f>'Capital IQ Sheet-GPC'!T22</f>
        <v>86.19341</v>
      </c>
      <c r="O20" s="1351">
        <f>'Capital IQ Sheet-GPC'!U22</f>
        <v>66.090670000000003</v>
      </c>
      <c r="P20" s="1351">
        <f>'Capital IQ Sheet-GPC'!V22</f>
        <v>50.319000000000003</v>
      </c>
      <c r="R20" s="1352">
        <f t="shared" si="0"/>
        <v>37.517641923626712</v>
      </c>
      <c r="S20" s="1352">
        <f t="shared" si="1"/>
        <v>22.673564420584974</v>
      </c>
      <c r="T20" s="1352">
        <f t="shared" si="2"/>
        <v>10.39573883890681</v>
      </c>
      <c r="V20" s="1352">
        <f t="shared" si="3"/>
        <v>20.097234391664617</v>
      </c>
      <c r="W20" s="1352">
        <f t="shared" si="4"/>
        <v>9.1681219645773275</v>
      </c>
      <c r="X20" s="1352">
        <f t="shared" si="5"/>
        <v>8.526122472704122</v>
      </c>
      <c r="Y20" s="1352">
        <f t="shared" si="6"/>
        <v>11.119505521732494</v>
      </c>
      <c r="Z20" s="1352">
        <f t="shared" si="7"/>
        <v>14.604733202170156</v>
      </c>
      <c r="AB20" s="1922">
        <f>'Beta Calc'!K20</f>
        <v>1193.4655700000001</v>
      </c>
      <c r="AC20" s="1922">
        <f>'Beta Calc'!L20</f>
        <v>0</v>
      </c>
      <c r="AD20" s="1922" t="str">
        <f>'Beta Calc'!M20</f>
        <v>n/a</v>
      </c>
      <c r="AE20" s="1922" t="str">
        <f>'Beta Calc'!N20</f>
        <v>n/a</v>
      </c>
      <c r="AF20" s="1922">
        <f t="shared" si="8"/>
        <v>0</v>
      </c>
      <c r="AG20" s="1923">
        <f t="shared" si="9"/>
        <v>1193.4655700000001</v>
      </c>
      <c r="AH20" s="1922">
        <f>'Beta Calc'!Q20</f>
        <v>458.57</v>
      </c>
      <c r="AI20" s="1351">
        <f t="shared" si="10"/>
        <v>734.89557000000013</v>
      </c>
      <c r="AK20" s="1924" t="str">
        <f>IF('MASTER PubCo Inputs'!C37="","",'MASTER PubCo Inputs'!C37)</f>
        <v>IQ412674</v>
      </c>
      <c r="AL20" s="1002" t="str">
        <f>'Capital IQ Sheet-GPC'!AP22</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1" spans="1:38" s="1002" customFormat="1" ht="14.85" customHeight="1">
      <c r="A21" s="234"/>
      <c r="B21" s="1002" t="str">
        <f>'Capital IQ Sheet-GPC'!C23</f>
        <v>Homology Medicines, Inc.</v>
      </c>
      <c r="C21" s="1351">
        <f>'Beta Calc'!R21</f>
        <v>518.7309600000001</v>
      </c>
      <c r="E21" s="1456" t="s">
        <v>3614</v>
      </c>
      <c r="F21" s="1456" t="s">
        <v>13</v>
      </c>
      <c r="H21" s="1351" t="str">
        <f>'Capital IQ Sheet-GPC'!O23</f>
        <v>n/a</v>
      </c>
      <c r="I21" s="1351" t="str">
        <f>'Capital IQ Sheet-GPC'!P23</f>
        <v>n/a</v>
      </c>
      <c r="J21" s="1351">
        <f>'Capital IQ Sheet-GPC'!Q23</f>
        <v>2.7040000000000002</v>
      </c>
      <c r="K21" s="1922"/>
      <c r="L21" s="1351" t="str">
        <f>'Capital IQ Sheet-GPC'!R23</f>
        <v>n/a</v>
      </c>
      <c r="M21" s="1351">
        <f>'Capital IQ Sheet-GPC'!S23</f>
        <v>3.677</v>
      </c>
      <c r="N21" s="1351">
        <f>'Capital IQ Sheet-GPC'!T23</f>
        <v>3.6</v>
      </c>
      <c r="O21" s="1351">
        <f>'Capital IQ Sheet-GPC'!U23</f>
        <v>6.8666700000000001</v>
      </c>
      <c r="P21" s="1351">
        <f>'Capital IQ Sheet-GPC'!V23</f>
        <v>4</v>
      </c>
      <c r="R21" s="1352" t="str">
        <f t="shared" si="0"/>
        <v>n/a</v>
      </c>
      <c r="S21" s="1352" t="str">
        <f t="shared" si="1"/>
        <v>n/a</v>
      </c>
      <c r="T21" s="1352" t="str">
        <f t="shared" si="2"/>
        <v>NM</v>
      </c>
      <c r="V21" s="1352" t="str">
        <f t="shared" si="3"/>
        <v>n/a</v>
      </c>
      <c r="W21" s="1352" t="str">
        <f t="shared" si="4"/>
        <v>NM</v>
      </c>
      <c r="X21" s="1352" t="str">
        <f t="shared" si="5"/>
        <v>NM</v>
      </c>
      <c r="Y21" s="1352">
        <f t="shared" si="6"/>
        <v>75.54330701781214</v>
      </c>
      <c r="Z21" s="1352" t="str">
        <f t="shared" si="7"/>
        <v>NM</v>
      </c>
      <c r="AB21" s="1922">
        <f>'Beta Calc'!K21</f>
        <v>756.27498000000003</v>
      </c>
      <c r="AC21" s="1922">
        <f>'Beta Calc'!L21</f>
        <v>0</v>
      </c>
      <c r="AD21" s="1922" t="str">
        <f>'Beta Calc'!M21</f>
        <v>n/a</v>
      </c>
      <c r="AE21" s="1922" t="str">
        <f>'Beta Calc'!N21</f>
        <v>n/a</v>
      </c>
      <c r="AF21" s="1922">
        <f t="shared" si="8"/>
        <v>0</v>
      </c>
      <c r="AG21" s="1923">
        <f t="shared" si="9"/>
        <v>756.27498000000003</v>
      </c>
      <c r="AH21" s="1922">
        <f>'Beta Calc'!Q21</f>
        <v>237.54401999999999</v>
      </c>
      <c r="AI21" s="1351">
        <f t="shared" si="10"/>
        <v>518.7309600000001</v>
      </c>
      <c r="AK21" s="1924" t="str">
        <f>IF('MASTER PubCo Inputs'!C38="","",'MASTER PubCo Inputs'!C38)</f>
        <v>IQ321461593</v>
      </c>
      <c r="AL21" s="1002" t="str">
        <f>'Capital IQ Sheet-GPC'!AP23</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2" spans="1:38" s="1002" customFormat="1" ht="14.85" customHeight="1">
      <c r="A22" s="234"/>
      <c r="B22" s="1002" t="str">
        <f>'Capital IQ Sheet-GPC'!C24</f>
        <v>Corbus Pharmaceuticals Holdings, Inc.</v>
      </c>
      <c r="C22" s="1351">
        <f>'Beta Calc'!R22</f>
        <v>417.88011999999998</v>
      </c>
      <c r="E22" s="1456" t="s">
        <v>3597</v>
      </c>
      <c r="F22" s="1456" t="s">
        <v>569</v>
      </c>
      <c r="H22" s="1351">
        <f>'Capital IQ Sheet-GPC'!O24</f>
        <v>1.90005</v>
      </c>
      <c r="I22" s="1351">
        <f>'Capital IQ Sheet-GPC'!P24</f>
        <v>2.8158699999999999</v>
      </c>
      <c r="J22" s="1351">
        <f>'Capital IQ Sheet-GPC'!Q24</f>
        <v>2.8949699999999998</v>
      </c>
      <c r="K22" s="1922"/>
      <c r="L22" s="1351">
        <f>'Capital IQ Sheet-GPC'!R24</f>
        <v>2.4401999999999999</v>
      </c>
      <c r="M22" s="1351">
        <f>'Capital IQ Sheet-GPC'!S24</f>
        <v>3.8142</v>
      </c>
      <c r="N22" s="1351">
        <f>'Capital IQ Sheet-GPC'!T24</f>
        <v>7.2687999999999997</v>
      </c>
      <c r="O22" s="1351">
        <f>'Capital IQ Sheet-GPC'!U24</f>
        <v>9.0988000000000007</v>
      </c>
      <c r="P22" s="1351">
        <f>'Capital IQ Sheet-GPC'!V24</f>
        <v>38.069429999999997</v>
      </c>
      <c r="R22" s="1352">
        <f t="shared" si="0"/>
        <v>219.93111760216834</v>
      </c>
      <c r="S22" s="1352">
        <f t="shared" si="1"/>
        <v>148.40177991171467</v>
      </c>
      <c r="T22" s="1352" t="str">
        <f t="shared" si="2"/>
        <v>NM</v>
      </c>
      <c r="V22" s="1352" t="str">
        <f t="shared" si="3"/>
        <v>NM</v>
      </c>
      <c r="W22" s="1352" t="str">
        <f t="shared" si="4"/>
        <v>NM</v>
      </c>
      <c r="X22" s="1352">
        <f t="shared" si="5"/>
        <v>57.48956086286595</v>
      </c>
      <c r="Y22" s="1352">
        <f t="shared" si="6"/>
        <v>45.926948608607724</v>
      </c>
      <c r="Z22" s="1352">
        <f t="shared" si="7"/>
        <v>10.976789513265631</v>
      </c>
      <c r="AB22" s="1922">
        <f>'Beta Calc'!K22</f>
        <v>473.53946999999999</v>
      </c>
      <c r="AC22" s="1922">
        <f>'Beta Calc'!L22</f>
        <v>0</v>
      </c>
      <c r="AD22" s="1922" t="str">
        <f>'Beta Calc'!M22</f>
        <v>n/a</v>
      </c>
      <c r="AE22" s="1922" t="str">
        <f>'Beta Calc'!N22</f>
        <v>n/a</v>
      </c>
      <c r="AF22" s="1922">
        <f t="shared" si="8"/>
        <v>0</v>
      </c>
      <c r="AG22" s="1923">
        <f t="shared" si="9"/>
        <v>473.53946999999999</v>
      </c>
      <c r="AH22" s="1922">
        <f>'Beta Calc'!Q22</f>
        <v>55.659350000000003</v>
      </c>
      <c r="AI22" s="1351">
        <f t="shared" si="10"/>
        <v>417.88011999999998</v>
      </c>
      <c r="AK22" s="1924" t="str">
        <f>IF('MASTER PubCo Inputs'!C39="","",'MASTER PubCo Inputs'!C39)</f>
        <v>IQ254045988</v>
      </c>
      <c r="AL22" s="1002" t="str">
        <f>'Capital IQ Sheet-GPC'!AP24</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1:38" s="1002" customFormat="1" ht="14.85" customHeight="1">
      <c r="A23" s="234"/>
      <c r="B23" s="1002" t="str">
        <f>'Capital IQ Sheet-GPC'!C25</f>
        <v>GlycoMimetics, Inc.</v>
      </c>
      <c r="C23" s="1351">
        <f>'Beta Calc'!R23</f>
        <v>263.30831000000001</v>
      </c>
      <c r="E23" s="1456" t="s">
        <v>3614</v>
      </c>
      <c r="F23" s="1456" t="s">
        <v>584</v>
      </c>
      <c r="H23" s="1351">
        <f>'Capital IQ Sheet-GPC'!O25</f>
        <v>5.3879999999999997E-2</v>
      </c>
      <c r="I23" s="1351">
        <f>'Capital IQ Sheet-GPC'!P25</f>
        <v>0</v>
      </c>
      <c r="J23" s="1351" t="str">
        <f>'Capital IQ Sheet-GPC'!Q25</f>
        <v>n/a</v>
      </c>
      <c r="K23" s="1922"/>
      <c r="L23" s="1351" t="str">
        <f>'Capital IQ Sheet-GPC'!R25</f>
        <v>n/a</v>
      </c>
      <c r="M23" s="1351" t="str">
        <f>'Capital IQ Sheet-GPC'!S25</f>
        <v>n/a</v>
      </c>
      <c r="N23" s="1351">
        <f>'Capital IQ Sheet-GPC'!T25</f>
        <v>16.66667</v>
      </c>
      <c r="O23" s="1351">
        <f>'Capital IQ Sheet-GPC'!U25</f>
        <v>2.52867</v>
      </c>
      <c r="P23" s="1351">
        <f>'Capital IQ Sheet-GPC'!V25</f>
        <v>49.421500000000002</v>
      </c>
      <c r="R23" s="1352">
        <f t="shared" si="0"/>
        <v>4886.9396807720868</v>
      </c>
      <c r="S23" s="1352" t="str">
        <f t="shared" si="1"/>
        <v>n/a</v>
      </c>
      <c r="T23" s="1352" t="str">
        <f t="shared" si="2"/>
        <v>n/a</v>
      </c>
      <c r="V23" s="1352" t="str">
        <f t="shared" si="3"/>
        <v>n/a</v>
      </c>
      <c r="W23" s="1352" t="str">
        <f t="shared" si="4"/>
        <v>n/a</v>
      </c>
      <c r="X23" s="1352">
        <f t="shared" si="5"/>
        <v>15.798495440300913</v>
      </c>
      <c r="Y23" s="1352" t="str">
        <f t="shared" si="6"/>
        <v>NM</v>
      </c>
      <c r="Z23" s="1352">
        <f t="shared" si="7"/>
        <v>5.3278089495462497</v>
      </c>
      <c r="AB23" s="1922">
        <f>'Beta Calc'!K23</f>
        <v>483.13693999999998</v>
      </c>
      <c r="AC23" s="1922">
        <f>'Beta Calc'!L23</f>
        <v>0</v>
      </c>
      <c r="AD23" s="1922" t="str">
        <f>'Beta Calc'!M23</f>
        <v>n/a</v>
      </c>
      <c r="AE23" s="1922" t="str">
        <f>'Beta Calc'!N23</f>
        <v>n/a</v>
      </c>
      <c r="AF23" s="1922">
        <f t="shared" si="8"/>
        <v>0</v>
      </c>
      <c r="AG23" s="1923">
        <f t="shared" si="9"/>
        <v>483.13693999999998</v>
      </c>
      <c r="AH23" s="1922">
        <f>'Beta Calc'!Q23</f>
        <v>219.82863</v>
      </c>
      <c r="AI23" s="1351">
        <f t="shared" si="10"/>
        <v>263.30831000000001</v>
      </c>
      <c r="AK23" s="1924" t="str">
        <f>IF('MASTER PubCo Inputs'!C40="","",'MASTER PubCo Inputs'!C40)</f>
        <v>IQ5703481</v>
      </c>
      <c r="AL23" s="1002" t="str">
        <f>'Capital IQ Sheet-GPC'!AP25</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4" spans="1:38" s="1002" customFormat="1" ht="14.85" customHeight="1">
      <c r="A24" s="234"/>
      <c r="B24" s="1002" t="str">
        <f>'Capital IQ Sheet-GPC'!C26</f>
        <v>LogicBio Therapeutics, Inc.</v>
      </c>
      <c r="C24" s="1351">
        <f>'Beta Calc'!R24</f>
        <v>216.22197999999997</v>
      </c>
      <c r="E24" s="1456" t="s">
        <v>3614</v>
      </c>
      <c r="F24" s="1456" t="s">
        <v>871</v>
      </c>
      <c r="H24" s="1351" t="str">
        <f>'Capital IQ Sheet-GPC'!O26</f>
        <v>n/a</v>
      </c>
      <c r="I24" s="1351" t="str">
        <f>'Capital IQ Sheet-GPC'!P26</f>
        <v>n/a</v>
      </c>
      <c r="J24" s="1351" t="str">
        <f>'Capital IQ Sheet-GPC'!Q26</f>
        <v>n/a</v>
      </c>
      <c r="K24" s="1922"/>
      <c r="L24" s="1351" t="str">
        <f>'Capital IQ Sheet-GPC'!R26</f>
        <v>n/a</v>
      </c>
      <c r="M24" s="1351" t="str">
        <f>'Capital IQ Sheet-GPC'!S26</f>
        <v>n/a</v>
      </c>
      <c r="N24" s="1351" t="str">
        <f>'Capital IQ Sheet-GPC'!T26</f>
        <v>n/a</v>
      </c>
      <c r="O24" s="1351" t="str">
        <f>'Capital IQ Sheet-GPC'!U26</f>
        <v>n/a</v>
      </c>
      <c r="P24" s="1351" t="str">
        <f>'Capital IQ Sheet-GPC'!V26</f>
        <v>n/a</v>
      </c>
      <c r="R24" s="1352" t="str">
        <f t="shared" si="0"/>
        <v>n/a</v>
      </c>
      <c r="S24" s="1352" t="str">
        <f t="shared" si="1"/>
        <v>n/a</v>
      </c>
      <c r="T24" s="1352" t="str">
        <f t="shared" si="2"/>
        <v>n/a</v>
      </c>
      <c r="V24" s="1352" t="str">
        <f t="shared" si="3"/>
        <v>n/a</v>
      </c>
      <c r="W24" s="1352" t="str">
        <f t="shared" si="4"/>
        <v>n/a</v>
      </c>
      <c r="X24" s="1352" t="str">
        <f t="shared" si="5"/>
        <v>n/a</v>
      </c>
      <c r="Y24" s="1352" t="str">
        <f t="shared" si="6"/>
        <v>n/a</v>
      </c>
      <c r="Z24" s="1352" t="str">
        <f t="shared" si="7"/>
        <v>n/a</v>
      </c>
      <c r="AB24" s="1922">
        <f>'Beta Calc'!K24</f>
        <v>196.03698</v>
      </c>
      <c r="AC24" s="1922">
        <f>'Beta Calc'!L24</f>
        <v>0</v>
      </c>
      <c r="AD24" s="1922">
        <f>'Beta Calc'!M24</f>
        <v>33.061999999999998</v>
      </c>
      <c r="AE24" s="1922" t="str">
        <f>'Beta Calc'!N24</f>
        <v>n/a</v>
      </c>
      <c r="AF24" s="1922">
        <f t="shared" si="8"/>
        <v>33.061999999999998</v>
      </c>
      <c r="AG24" s="1923">
        <f t="shared" si="9"/>
        <v>229.09897999999998</v>
      </c>
      <c r="AH24" s="1922">
        <f>'Beta Calc'!Q24</f>
        <v>12.877000000000001</v>
      </c>
      <c r="AI24" s="1351">
        <f t="shared" si="10"/>
        <v>216.22197999999997</v>
      </c>
      <c r="AK24" s="1924" t="str">
        <f>IF('MASTER PubCo Inputs'!C41="","",'MASTER PubCo Inputs'!C41)</f>
        <v>IQ322758292</v>
      </c>
      <c r="AL24" s="1002" t="str">
        <f>'Capital IQ Sheet-GPC'!AP26</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5" spans="1:38" s="1002" customFormat="1" ht="14.85" customHeight="1">
      <c r="A25" s="234"/>
      <c r="B25" s="1002" t="str">
        <f>'Capital IQ Sheet-GPC'!C27</f>
        <v>Arbutus Biopharma Corporation</v>
      </c>
      <c r="C25" s="1351">
        <f>'Beta Calc'!R25</f>
        <v>186.26599999999999</v>
      </c>
      <c r="E25" s="1456" t="s">
        <v>3597</v>
      </c>
      <c r="F25" s="1456" t="s">
        <v>583</v>
      </c>
      <c r="H25" s="1351">
        <f>'Capital IQ Sheet-GPC'!O27</f>
        <v>14.372</v>
      </c>
      <c r="I25" s="1351">
        <f>'Capital IQ Sheet-GPC'!P27</f>
        <v>7.9710000000000001</v>
      </c>
      <c r="J25" s="1351">
        <f>'Capital IQ Sheet-GPC'!Q27</f>
        <v>6.8010000000000002</v>
      </c>
      <c r="K25" s="1922"/>
      <c r="L25" s="1351">
        <f>'Capital IQ Sheet-GPC'!R27</f>
        <v>10.7</v>
      </c>
      <c r="M25" s="1351">
        <f>'Capital IQ Sheet-GPC'!S27</f>
        <v>5.1300999999999997</v>
      </c>
      <c r="N25" s="1351">
        <f>'Capital IQ Sheet-GPC'!T27</f>
        <v>4.4261900000000001</v>
      </c>
      <c r="O25" s="1351">
        <f>'Capital IQ Sheet-GPC'!U27</f>
        <v>7.3928799999999999</v>
      </c>
      <c r="P25" s="1351" t="str">
        <f>'Capital IQ Sheet-GPC'!V27</f>
        <v>n/a</v>
      </c>
      <c r="R25" s="1352">
        <f t="shared" si="0"/>
        <v>12.960339549123296</v>
      </c>
      <c r="S25" s="1352">
        <f t="shared" si="1"/>
        <v>23.367958850834274</v>
      </c>
      <c r="T25" s="1352">
        <f t="shared" si="2"/>
        <v>27.388031171886485</v>
      </c>
      <c r="V25" s="1352">
        <f t="shared" si="3"/>
        <v>17.408037383177572</v>
      </c>
      <c r="W25" s="1352">
        <f t="shared" si="4"/>
        <v>36.308454026237307</v>
      </c>
      <c r="X25" s="1352">
        <f t="shared" si="5"/>
        <v>42.082694145529224</v>
      </c>
      <c r="Y25" s="1352">
        <f t="shared" si="6"/>
        <v>25.195323067600178</v>
      </c>
      <c r="Z25" s="1352" t="str">
        <f t="shared" si="7"/>
        <v>n/a</v>
      </c>
      <c r="AB25" s="1922">
        <f>'Beta Calc'!K25</f>
        <v>204.79499999999999</v>
      </c>
      <c r="AC25" s="1922">
        <f>'Beta Calc'!L25</f>
        <v>0</v>
      </c>
      <c r="AD25" s="1922">
        <f>'Beta Calc'!M25</f>
        <v>123.489</v>
      </c>
      <c r="AE25" s="1922" t="str">
        <f>'Beta Calc'!N25</f>
        <v>n/a</v>
      </c>
      <c r="AF25" s="1922">
        <f t="shared" si="8"/>
        <v>123.489</v>
      </c>
      <c r="AG25" s="1923">
        <f t="shared" si="9"/>
        <v>328.28399999999999</v>
      </c>
      <c r="AH25" s="1922">
        <f>'Beta Calc'!Q25</f>
        <v>142.018</v>
      </c>
      <c r="AI25" s="1351">
        <f t="shared" si="10"/>
        <v>186.26599999999999</v>
      </c>
      <c r="AK25" s="1924" t="str">
        <f>IF('MASTER PubCo Inputs'!C42="","",'MASTER PubCo Inputs'!C42)</f>
        <v>IQ34160168</v>
      </c>
      <c r="AL25" s="1002" t="str">
        <f>'Capital IQ Sheet-GPC'!AP27</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6" spans="1:38" s="1002" customFormat="1" ht="14.85" customHeight="1">
      <c r="A26" s="234"/>
      <c r="B26" s="1002" t="str">
        <f>'Capital IQ Sheet-GPC'!C28</f>
        <v>Voyager Therapeutics, Inc.</v>
      </c>
      <c r="C26" s="1351">
        <f>'Beta Calc'!R26</f>
        <v>161.92061000000001</v>
      </c>
      <c r="E26" s="1456" t="s">
        <v>4259</v>
      </c>
      <c r="F26" s="1456" t="s">
        <v>583</v>
      </c>
      <c r="H26" s="1351">
        <f>'Capital IQ Sheet-GPC'!O28</f>
        <v>16.795000000000002</v>
      </c>
      <c r="I26" s="1351">
        <f>'Capital IQ Sheet-GPC'!P28</f>
        <v>6.1520000000000001</v>
      </c>
      <c r="J26" s="1351">
        <f>'Capital IQ Sheet-GPC'!Q28</f>
        <v>11.956</v>
      </c>
      <c r="K26" s="1922"/>
      <c r="L26" s="1351">
        <f>'Capital IQ Sheet-GPC'!R28</f>
        <v>10.135</v>
      </c>
      <c r="M26" s="1351">
        <f>'Capital IQ Sheet-GPC'!S28</f>
        <v>8.4974399999999992</v>
      </c>
      <c r="N26" s="1351">
        <f>'Capital IQ Sheet-GPC'!T28</f>
        <v>10.85229</v>
      </c>
      <c r="O26" s="1351">
        <f>'Capital IQ Sheet-GPC'!U28</f>
        <v>14.32714</v>
      </c>
      <c r="P26" s="1351">
        <f>'Capital IQ Sheet-GPC'!V28</f>
        <v>16.648</v>
      </c>
      <c r="R26" s="1352">
        <f t="shared" si="0"/>
        <v>9.6410008931229534</v>
      </c>
      <c r="S26" s="1352">
        <f t="shared" si="1"/>
        <v>26.319995123537062</v>
      </c>
      <c r="T26" s="1352">
        <f t="shared" si="2"/>
        <v>13.543041987286719</v>
      </c>
      <c r="V26" s="1352">
        <f t="shared" si="3"/>
        <v>15.976379871731625</v>
      </c>
      <c r="W26" s="1352">
        <f t="shared" si="4"/>
        <v>19.055222514074831</v>
      </c>
      <c r="X26" s="1352">
        <f t="shared" si="5"/>
        <v>14.920409425107513</v>
      </c>
      <c r="Y26" s="1352">
        <f t="shared" si="6"/>
        <v>11.301670116994739</v>
      </c>
      <c r="Z26" s="1352">
        <f t="shared" si="7"/>
        <v>9.7261298654493036</v>
      </c>
      <c r="AB26" s="1922">
        <f>'Beta Calc'!K26</f>
        <v>341.52161000000001</v>
      </c>
      <c r="AC26" s="1922">
        <f>'Beta Calc'!L26</f>
        <v>0</v>
      </c>
      <c r="AD26" s="1922" t="str">
        <f>'Beta Calc'!M26</f>
        <v>n/a</v>
      </c>
      <c r="AE26" s="1922" t="str">
        <f>'Beta Calc'!N26</f>
        <v>n/a</v>
      </c>
      <c r="AF26" s="1922">
        <f t="shared" si="8"/>
        <v>0</v>
      </c>
      <c r="AG26" s="1923">
        <f t="shared" si="9"/>
        <v>341.52161000000001</v>
      </c>
      <c r="AH26" s="1922">
        <f>'Beta Calc'!Q26</f>
        <v>179.601</v>
      </c>
      <c r="AI26" s="1351">
        <f t="shared" si="10"/>
        <v>161.92061000000001</v>
      </c>
      <c r="AK26" s="1924" t="str">
        <f>IF('MASTER PubCo Inputs'!C43="","",'MASTER PubCo Inputs'!C43)</f>
        <v>IQ256887902</v>
      </c>
      <c r="AL26" s="1002" t="str">
        <f>'Capital IQ Sheet-GPC'!AP28</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7" spans="1:38" s="1002" customFormat="1" ht="14.85" customHeight="1">
      <c r="A27" s="234"/>
      <c r="B27" s="1002" t="str">
        <f>'Capital IQ Sheet-GPC'!C29</f>
        <v>La Jolla Pharmaceutical Company</v>
      </c>
      <c r="C27" s="1351">
        <f>'Beta Calc'!R27</f>
        <v>85.081129999999973</v>
      </c>
      <c r="E27" s="1456" t="s">
        <v>4166</v>
      </c>
      <c r="F27" s="1456" t="s">
        <v>569</v>
      </c>
      <c r="H27" s="1351">
        <f>'Capital IQ Sheet-GPC'!O29</f>
        <v>0.94099999999999995</v>
      </c>
      <c r="I27" s="1351">
        <f>'Capital IQ Sheet-GPC'!P29</f>
        <v>8.5000000000000006E-2</v>
      </c>
      <c r="J27" s="1351">
        <f>'Capital IQ Sheet-GPC'!Q29</f>
        <v>5.8719999999999999</v>
      </c>
      <c r="K27" s="1922"/>
      <c r="L27" s="1351" t="str">
        <f>'Capital IQ Sheet-GPC'!R29</f>
        <v>n/a</v>
      </c>
      <c r="M27" s="1351">
        <f>'Capital IQ Sheet-GPC'!S29</f>
        <v>10.063800000000001</v>
      </c>
      <c r="N27" s="1351">
        <f>'Capital IQ Sheet-GPC'!T29</f>
        <v>25.045750000000002</v>
      </c>
      <c r="O27" s="1351">
        <f>'Capital IQ Sheet-GPC'!U29</f>
        <v>67.492000000000004</v>
      </c>
      <c r="P27" s="1351">
        <f>'Capital IQ Sheet-GPC'!V29</f>
        <v>111.343</v>
      </c>
      <c r="R27" s="1352">
        <f t="shared" si="0"/>
        <v>90.415653560042486</v>
      </c>
      <c r="S27" s="1352">
        <f t="shared" si="1"/>
        <v>1000.9544705882349</v>
      </c>
      <c r="T27" s="1352">
        <f t="shared" si="2"/>
        <v>14.489293256130786</v>
      </c>
      <c r="V27" s="1352" t="str">
        <f t="shared" ref="V27:V35" si="11">IFERROR(IF(($C27/L27)&gt;$AC$6, "NM", IF(($C27/L27)&lt;$AE$6, "NM", $C27/L27)),"n/a")</f>
        <v>n/a</v>
      </c>
      <c r="W27" s="1352">
        <f t="shared" ref="W27:W35" si="12">IFERROR(IF(($C27/M27)&gt;$AC$6, "NM", IF(($C27/M27)&lt;$AE$6, "NM", $C27/M27)),"n/a")</f>
        <v>8.4541753611955688</v>
      </c>
      <c r="X27" s="1352">
        <f t="shared" si="5"/>
        <v>3.3970286375932033</v>
      </c>
      <c r="Y27" s="1352">
        <f t="shared" si="6"/>
        <v>1.2606105908848451</v>
      </c>
      <c r="Z27" s="1352">
        <f t="shared" si="7"/>
        <v>0.76413541937975415</v>
      </c>
      <c r="AB27" s="1922">
        <f>'Beta Calc'!K27</f>
        <v>158.45113000000001</v>
      </c>
      <c r="AC27" s="1922">
        <f>'Beta Calc'!L27</f>
        <v>124.324</v>
      </c>
      <c r="AD27" s="1922">
        <f>'Beta Calc'!M27</f>
        <v>6.6429999999999998</v>
      </c>
      <c r="AE27" s="1922" t="str">
        <f>'Beta Calc'!N27</f>
        <v>n/a</v>
      </c>
      <c r="AF27" s="1922">
        <f t="shared" si="8"/>
        <v>130.96699999999998</v>
      </c>
      <c r="AG27" s="1923">
        <f t="shared" si="9"/>
        <v>289.41812999999996</v>
      </c>
      <c r="AH27" s="1922">
        <f>'Beta Calc'!Q27</f>
        <v>204.33699999999999</v>
      </c>
      <c r="AI27" s="1351">
        <f t="shared" si="10"/>
        <v>85.081129999999973</v>
      </c>
      <c r="AK27" s="1924" t="str">
        <f>IF('MASTER PubCo Inputs'!C45="","",'MASTER PubCo Inputs'!C45)</f>
        <v>IQ129263324</v>
      </c>
      <c r="AL27" s="1002" t="str">
        <f>'Capital IQ Sheet-GPC'!AP29</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28" spans="1:38" s="1002" customFormat="1" ht="14.85" customHeight="1">
      <c r="A28" s="234"/>
      <c r="B28" s="1002" t="str">
        <f>'Capital IQ Sheet-GPC'!C30</f>
        <v>Protagonist Therapeutics, Inc.</v>
      </c>
      <c r="C28" s="1351">
        <f>'Beta Calc'!R28</f>
        <v>58.599060000000009</v>
      </c>
      <c r="E28" s="1456" t="s">
        <v>4167</v>
      </c>
      <c r="F28" s="1456" t="s">
        <v>569</v>
      </c>
      <c r="H28" s="1351" t="str">
        <f>'Capital IQ Sheet-GPC'!O30</f>
        <v>n/a</v>
      </c>
      <c r="I28" s="1351">
        <f>'Capital IQ Sheet-GPC'!P30</f>
        <v>8.7810000000000006</v>
      </c>
      <c r="J28" s="1351">
        <f>'Capital IQ Sheet-GPC'!Q30</f>
        <v>39.853999999999999</v>
      </c>
      <c r="K28" s="1922"/>
      <c r="L28" s="1351">
        <f>'Capital IQ Sheet-GPC'!R30</f>
        <v>20.062999999999999</v>
      </c>
      <c r="M28" s="1351">
        <f>'Capital IQ Sheet-GPC'!S30</f>
        <v>34.253</v>
      </c>
      <c r="N28" s="1351">
        <f>'Capital IQ Sheet-GPC'!T30</f>
        <v>22.738</v>
      </c>
      <c r="O28" s="1351">
        <f>'Capital IQ Sheet-GPC'!U30</f>
        <v>64.905000000000001</v>
      </c>
      <c r="P28" s="1351">
        <f>'Capital IQ Sheet-GPC'!V30</f>
        <v>200</v>
      </c>
      <c r="R28" s="1352" t="str">
        <f t="shared" si="0"/>
        <v>n/a</v>
      </c>
      <c r="S28" s="1352">
        <f t="shared" si="1"/>
        <v>6.6733925521011281</v>
      </c>
      <c r="T28" s="1352">
        <f t="shared" si="2"/>
        <v>1.4703432528729867</v>
      </c>
      <c r="V28" s="1352">
        <f t="shared" si="11"/>
        <v>2.9207526292179642</v>
      </c>
      <c r="W28" s="1352">
        <f t="shared" si="12"/>
        <v>1.7107716112457305</v>
      </c>
      <c r="X28" s="1352">
        <f t="shared" si="5"/>
        <v>2.5771422288679746</v>
      </c>
      <c r="Y28" s="1352">
        <f t="shared" si="6"/>
        <v>0.90284354055927907</v>
      </c>
      <c r="Z28" s="1352">
        <f t="shared" si="7"/>
        <v>0.29299530000000007</v>
      </c>
      <c r="AB28" s="1922">
        <f>'Beta Calc'!K28</f>
        <v>197.11606</v>
      </c>
      <c r="AC28" s="1922">
        <f>'Beta Calc'!L28</f>
        <v>0</v>
      </c>
      <c r="AD28" s="1922" t="str">
        <f>'Beta Calc'!M28</f>
        <v>n/a</v>
      </c>
      <c r="AE28" s="1922" t="str">
        <f>'Beta Calc'!N28</f>
        <v>n/a</v>
      </c>
      <c r="AF28" s="1922">
        <f t="shared" si="8"/>
        <v>0</v>
      </c>
      <c r="AG28" s="1923">
        <f t="shared" si="9"/>
        <v>197.11606</v>
      </c>
      <c r="AH28" s="1922">
        <f>'Beta Calc'!Q28</f>
        <v>138.517</v>
      </c>
      <c r="AI28" s="1351">
        <f t="shared" si="10"/>
        <v>58.599060000000009</v>
      </c>
      <c r="AK28" s="1924" t="str">
        <f>IF('MASTER PubCo Inputs'!C46="","",'MASTER PubCo Inputs'!C46)</f>
        <v>IQ1517644</v>
      </c>
      <c r="AL28" s="1002" t="str">
        <f>'Capital IQ Sheet-GPC'!AP30</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29" spans="1:38" s="1002" customFormat="1" ht="14.85" customHeight="1">
      <c r="A29" s="234"/>
      <c r="B29" s="1002" t="str">
        <f>'Capital IQ Sheet-GPC'!C31</f>
        <v>Fibrocell Science, Inc.</v>
      </c>
      <c r="C29" s="1351">
        <f>'Beta Calc'!R29</f>
        <v>10.735910000000001</v>
      </c>
      <c r="E29" s="1456" t="s">
        <v>3614</v>
      </c>
      <c r="F29" s="1456" t="s">
        <v>569</v>
      </c>
      <c r="H29" s="1351">
        <f>'Capital IQ Sheet-GPC'!O31</f>
        <v>0.4</v>
      </c>
      <c r="I29" s="1351">
        <f>'Capital IQ Sheet-GPC'!P31</f>
        <v>3.6999999999999998E-2</v>
      </c>
      <c r="J29" s="1351" t="str">
        <f>'Capital IQ Sheet-GPC'!Q31</f>
        <v>n/a</v>
      </c>
      <c r="K29" s="1922"/>
      <c r="L29" s="1351" t="str">
        <f>'Capital IQ Sheet-GPC'!R31</f>
        <v>n/a</v>
      </c>
      <c r="M29" s="1351" t="str">
        <f>'Capital IQ Sheet-GPC'!S31</f>
        <v>n/a</v>
      </c>
      <c r="N29" s="1351" t="str">
        <f>'Capital IQ Sheet-GPC'!T31</f>
        <v>n/a</v>
      </c>
      <c r="O29" s="1351" t="str">
        <f>'Capital IQ Sheet-GPC'!U31</f>
        <v>n/a</v>
      </c>
      <c r="P29" s="1351" t="str">
        <f>'Capital IQ Sheet-GPC'!V31</f>
        <v>n/a</v>
      </c>
      <c r="R29" s="1352">
        <f t="shared" si="0"/>
        <v>26.839774999999999</v>
      </c>
      <c r="S29" s="1352">
        <f t="shared" si="1"/>
        <v>290.15972972972975</v>
      </c>
      <c r="T29" s="1352" t="str">
        <f t="shared" si="2"/>
        <v>n/a</v>
      </c>
      <c r="V29" s="1352" t="str">
        <f t="shared" si="11"/>
        <v>n/a</v>
      </c>
      <c r="W29" s="1352" t="str">
        <f t="shared" si="12"/>
        <v>n/a</v>
      </c>
      <c r="X29" s="1352" t="str">
        <f t="shared" si="5"/>
        <v>n/a</v>
      </c>
      <c r="Y29" s="1352" t="str">
        <f t="shared" si="6"/>
        <v>n/a</v>
      </c>
      <c r="Z29" s="1352" t="str">
        <f t="shared" si="7"/>
        <v>n/a</v>
      </c>
      <c r="AB29" s="1922">
        <f>'Beta Calc'!K29</f>
        <v>19.22391</v>
      </c>
      <c r="AC29" s="1922">
        <f>'Beta Calc'!L29</f>
        <v>0</v>
      </c>
      <c r="AD29" s="1922">
        <f>'Beta Calc'!M29</f>
        <v>7.6230000000000002</v>
      </c>
      <c r="AE29" s="1922" t="str">
        <f>'Beta Calc'!N29</f>
        <v>n/a</v>
      </c>
      <c r="AF29" s="1922">
        <f t="shared" si="8"/>
        <v>7.6230000000000002</v>
      </c>
      <c r="AG29" s="1923">
        <f t="shared" si="9"/>
        <v>26.846910000000001</v>
      </c>
      <c r="AH29" s="1922">
        <f>'Beta Calc'!Q29</f>
        <v>16.111000000000001</v>
      </c>
      <c r="AI29" s="1351">
        <f t="shared" si="10"/>
        <v>10.735910000000001</v>
      </c>
      <c r="AK29" s="1924" t="str">
        <f>IF('MASTER PubCo Inputs'!C47="","",'MASTER PubCo Inputs'!C47)</f>
        <v/>
      </c>
      <c r="AL29" s="1002" t="str">
        <f>'Capital IQ Sheet-GPC'!AP31</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30" spans="1:38" ht="14.85" customHeight="1">
      <c r="C30" s="465"/>
      <c r="E30" s="245"/>
      <c r="F30" s="245"/>
      <c r="H30" s="465"/>
      <c r="I30" s="465"/>
      <c r="J30" s="465"/>
      <c r="K30" s="259"/>
      <c r="L30" s="465"/>
      <c r="M30" s="465"/>
      <c r="N30" s="465"/>
      <c r="O30" s="465"/>
      <c r="P30" s="465"/>
      <c r="R30" s="813"/>
      <c r="S30" s="813"/>
      <c r="T30" s="813"/>
      <c r="V30" s="813"/>
      <c r="W30" s="813"/>
      <c r="X30" s="813"/>
      <c r="Y30" s="813"/>
      <c r="Z30" s="813"/>
      <c r="AB30" s="259"/>
      <c r="AC30" s="259"/>
      <c r="AD30" s="259"/>
      <c r="AE30" s="259"/>
      <c r="AF30" s="259"/>
      <c r="AG30" s="1425"/>
      <c r="AH30" s="259"/>
      <c r="AI30" s="465"/>
      <c r="AK30" s="815"/>
    </row>
    <row r="31" spans="1:38" ht="14.85" customHeight="1">
      <c r="B31" s="1918" t="s">
        <v>4047</v>
      </c>
      <c r="C31" s="465"/>
      <c r="E31" s="245"/>
      <c r="F31" s="245"/>
      <c r="H31" s="465"/>
      <c r="I31" s="465"/>
      <c r="J31" s="465"/>
      <c r="K31" s="259"/>
      <c r="L31" s="465"/>
      <c r="M31" s="465"/>
      <c r="N31" s="465"/>
      <c r="O31" s="465"/>
      <c r="P31" s="465"/>
      <c r="R31" s="813"/>
      <c r="S31" s="813"/>
      <c r="T31" s="813"/>
      <c r="V31" s="813"/>
      <c r="W31" s="813"/>
      <c r="X31" s="813"/>
      <c r="Y31" s="813"/>
      <c r="Z31" s="813"/>
      <c r="AB31" s="259"/>
      <c r="AC31" s="259"/>
      <c r="AD31" s="259"/>
      <c r="AE31" s="259"/>
      <c r="AF31" s="259"/>
      <c r="AG31" s="1425"/>
      <c r="AH31" s="259"/>
      <c r="AI31" s="465"/>
      <c r="AK31" s="815"/>
    </row>
    <row r="32" spans="1:38" s="1002" customFormat="1" ht="14.85" customHeight="1">
      <c r="B32" s="1002" t="str">
        <f>'Capital IQ Sheet-GPC'!C33</f>
        <v>CRISPR Therapeutics AG</v>
      </c>
      <c r="C32" s="1351">
        <f>'Beta Calc'!R32</f>
        <v>1192.56953</v>
      </c>
      <c r="E32" s="1456" t="s">
        <v>4168</v>
      </c>
      <c r="F32" s="1456" t="s">
        <v>1098</v>
      </c>
      <c r="H32" s="1351">
        <f>'Capital IQ Sheet-GPC'!O33</f>
        <v>3.0670000000000002</v>
      </c>
      <c r="I32" s="1351">
        <f>'Capital IQ Sheet-GPC'!P33</f>
        <v>11.016</v>
      </c>
      <c r="J32" s="1351">
        <f>'Capital IQ Sheet-GPC'!Q33</f>
        <v>35.334000000000003</v>
      </c>
      <c r="K32" s="1922"/>
      <c r="L32" s="1351">
        <f>'Capital IQ Sheet-GPC'!R33</f>
        <v>40.997</v>
      </c>
      <c r="M32" s="1351">
        <f>'Capital IQ Sheet-GPC'!S33</f>
        <v>4.4324300000000001</v>
      </c>
      <c r="N32" s="1351">
        <f>'Capital IQ Sheet-GPC'!T33</f>
        <v>11.4</v>
      </c>
      <c r="O32" s="1351">
        <f>'Capital IQ Sheet-GPC'!U33</f>
        <v>15.75</v>
      </c>
      <c r="P32" s="1351">
        <f>'Capital IQ Sheet-GPC'!V33</f>
        <v>27</v>
      </c>
      <c r="R32" s="1352">
        <f t="shared" si="0"/>
        <v>388.83910335833059</v>
      </c>
      <c r="S32" s="1352">
        <f t="shared" si="1"/>
        <v>108.25794571532316</v>
      </c>
      <c r="T32" s="1352">
        <f t="shared" si="2"/>
        <v>33.751331012622401</v>
      </c>
      <c r="V32" s="1352">
        <f t="shared" si="11"/>
        <v>29.089190184647656</v>
      </c>
      <c r="W32" s="1352" t="str">
        <f t="shared" si="12"/>
        <v>NM</v>
      </c>
      <c r="X32" s="1352" t="str">
        <f t="shared" si="5"/>
        <v>NM</v>
      </c>
      <c r="Y32" s="1352">
        <f t="shared" si="6"/>
        <v>75.718700317460318</v>
      </c>
      <c r="Z32" s="1352">
        <f t="shared" si="7"/>
        <v>44.169241851851851</v>
      </c>
      <c r="AB32" s="1922">
        <f>'Beta Calc'!K32</f>
        <v>1679.8645300000001</v>
      </c>
      <c r="AC32" s="1922">
        <f>'Beta Calc'!L32</f>
        <v>0</v>
      </c>
      <c r="AD32" s="1922" t="str">
        <f>'Beta Calc'!M32</f>
        <v>n/a</v>
      </c>
      <c r="AE32" s="1922" t="str">
        <f>'Beta Calc'!N32</f>
        <v>n/a</v>
      </c>
      <c r="AF32" s="1922">
        <f t="shared" si="8"/>
        <v>0</v>
      </c>
      <c r="AG32" s="1923">
        <f t="shared" si="9"/>
        <v>1679.8645300000001</v>
      </c>
      <c r="AH32" s="1922">
        <f>'Beta Calc'!Q32</f>
        <v>487.29500000000002</v>
      </c>
      <c r="AI32" s="1351">
        <f t="shared" si="10"/>
        <v>1192.56953</v>
      </c>
      <c r="AK32" s="1924" t="str">
        <f>IF('MASTER PubCo Inputs'!C49="","",'MASTER PubCo Inputs'!C49)</f>
        <v>IQ252050056</v>
      </c>
      <c r="AL32" s="1002" t="str">
        <f>'Capital IQ Sheet-GPC'!AP33</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3" spans="2:38" s="1002" customFormat="1" ht="14.85" customHeight="1">
      <c r="B33" s="1002" t="str">
        <f>'Capital IQ Sheet-GPC'!C34</f>
        <v>Editas Medicine, Inc.</v>
      </c>
      <c r="C33" s="1351">
        <f>'Beta Calc'!R33</f>
        <v>727.28158000000008</v>
      </c>
      <c r="E33" s="1456" t="s">
        <v>4167</v>
      </c>
      <c r="F33" s="1456" t="s">
        <v>1098</v>
      </c>
      <c r="H33" s="1351">
        <f>'Capital IQ Sheet-GPC'!O34</f>
        <v>5.9470000000000001</v>
      </c>
      <c r="I33" s="1351">
        <f>'Capital IQ Sheet-GPC'!P34</f>
        <v>10.959</v>
      </c>
      <c r="J33" s="1351">
        <f>'Capital IQ Sheet-GPC'!Q34</f>
        <v>29.484999999999999</v>
      </c>
      <c r="K33" s="1922"/>
      <c r="L33" s="1351">
        <f>'Capital IQ Sheet-GPC'!R34</f>
        <v>13.728</v>
      </c>
      <c r="M33" s="1351">
        <f>'Capital IQ Sheet-GPC'!S34</f>
        <v>45.704709999999999</v>
      </c>
      <c r="N33" s="1351">
        <f>'Capital IQ Sheet-GPC'!T34</f>
        <v>30.447569999999999</v>
      </c>
      <c r="O33" s="1351">
        <f>'Capital IQ Sheet-GPC'!U34</f>
        <v>34.659999999999997</v>
      </c>
      <c r="P33" s="1351">
        <f>'Capital IQ Sheet-GPC'!V34</f>
        <v>25.274999999999999</v>
      </c>
      <c r="R33" s="1352">
        <f t="shared" si="0"/>
        <v>122.29385908861612</v>
      </c>
      <c r="S33" s="1352">
        <f t="shared" si="1"/>
        <v>66.363863491194465</v>
      </c>
      <c r="T33" s="1352">
        <f t="shared" si="2"/>
        <v>24.666154994064783</v>
      </c>
      <c r="V33" s="1352">
        <f t="shared" si="11"/>
        <v>52.977970571095575</v>
      </c>
      <c r="W33" s="1352">
        <f t="shared" si="12"/>
        <v>15.912617758651134</v>
      </c>
      <c r="X33" s="1352">
        <f t="shared" si="5"/>
        <v>23.886358747184097</v>
      </c>
      <c r="Y33" s="1352">
        <f t="shared" si="6"/>
        <v>20.983311598384308</v>
      </c>
      <c r="Z33" s="1352">
        <f t="shared" si="7"/>
        <v>28.774741048466868</v>
      </c>
      <c r="AB33" s="1922">
        <f>'Beta Calc'!K33</f>
        <v>1032.0795800000001</v>
      </c>
      <c r="AC33" s="1922">
        <f>'Beta Calc'!L33</f>
        <v>32.694000000000003</v>
      </c>
      <c r="AD33" s="1922" t="str">
        <f>'Beta Calc'!M33</f>
        <v>n/a</v>
      </c>
      <c r="AE33" s="1922" t="str">
        <f>'Beta Calc'!N33</f>
        <v>n/a</v>
      </c>
      <c r="AF33" s="1922">
        <f t="shared" si="8"/>
        <v>32.694000000000003</v>
      </c>
      <c r="AG33" s="1923">
        <f t="shared" si="9"/>
        <v>1064.77358</v>
      </c>
      <c r="AH33" s="1922">
        <f>'Beta Calc'!Q33</f>
        <v>337.49200000000002</v>
      </c>
      <c r="AI33" s="1351">
        <f t="shared" si="10"/>
        <v>727.28158000000008</v>
      </c>
      <c r="AK33" s="1924" t="str">
        <f>IF('MASTER PubCo Inputs'!C50="","",'MASTER PubCo Inputs'!C50)</f>
        <v>IQ277799796</v>
      </c>
      <c r="AL33" s="1002" t="str">
        <f>'Capital IQ Sheet-GPC'!AP34</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4" spans="2:38" s="1002" customFormat="1" ht="14.85" customHeight="1">
      <c r="B34" s="1002" t="str">
        <f>'Capital IQ Sheet-GPC'!C35</f>
        <v>Intellia Therapeutics, Inc.</v>
      </c>
      <c r="C34" s="1351">
        <f>'Beta Calc'!R34</f>
        <v>320.70094</v>
      </c>
      <c r="E34" s="1456" t="s">
        <v>3614</v>
      </c>
      <c r="F34" s="1456" t="s">
        <v>871</v>
      </c>
      <c r="H34" s="1351">
        <f>'Capital IQ Sheet-GPC'!O35</f>
        <v>12.545</v>
      </c>
      <c r="I34" s="1351">
        <f>'Capital IQ Sheet-GPC'!P35</f>
        <v>25.076000000000001</v>
      </c>
      <c r="J34" s="1351">
        <f>'Capital IQ Sheet-GPC'!Q35</f>
        <v>29.222000000000001</v>
      </c>
      <c r="K34" s="1922"/>
      <c r="L34" s="1351">
        <f>'Capital IQ Sheet-GPC'!R35</f>
        <v>26.117000000000001</v>
      </c>
      <c r="M34" s="1351">
        <f>'Capital IQ Sheet-GPC'!S35</f>
        <v>32.629669999999997</v>
      </c>
      <c r="N34" s="1351">
        <f>'Capital IQ Sheet-GPC'!T35</f>
        <v>30.552</v>
      </c>
      <c r="O34" s="1351">
        <f>'Capital IQ Sheet-GPC'!U35</f>
        <v>54.68</v>
      </c>
      <c r="P34" s="1351">
        <f>'Capital IQ Sheet-GPC'!V35</f>
        <v>86.575000000000003</v>
      </c>
      <c r="R34" s="1352">
        <f t="shared" si="0"/>
        <v>25.564044639298526</v>
      </c>
      <c r="S34" s="1352">
        <f t="shared" si="1"/>
        <v>12.789158557983729</v>
      </c>
      <c r="T34" s="1352">
        <f t="shared" si="2"/>
        <v>10.974640339470263</v>
      </c>
      <c r="V34" s="1352">
        <f t="shared" si="11"/>
        <v>12.279394264272312</v>
      </c>
      <c r="W34" s="1352">
        <f t="shared" si="12"/>
        <v>9.8285069999175612</v>
      </c>
      <c r="X34" s="1352">
        <f t="shared" si="5"/>
        <v>10.496888583398796</v>
      </c>
      <c r="Y34" s="1352">
        <f t="shared" si="6"/>
        <v>5.8650501097293342</v>
      </c>
      <c r="Z34" s="1352">
        <f t="shared" si="7"/>
        <v>3.7043134854172681</v>
      </c>
      <c r="AB34" s="1922">
        <f>'Beta Calc'!K34</f>
        <v>613.94893999999999</v>
      </c>
      <c r="AC34" s="1922">
        <f>'Beta Calc'!L34</f>
        <v>0</v>
      </c>
      <c r="AD34" s="1922" t="str">
        <f>'Beta Calc'!M34</f>
        <v>n/a</v>
      </c>
      <c r="AE34" s="1922" t="str">
        <f>'Beta Calc'!N34</f>
        <v>n/a</v>
      </c>
      <c r="AF34" s="1922">
        <f t="shared" si="8"/>
        <v>0</v>
      </c>
      <c r="AG34" s="1923">
        <f t="shared" si="9"/>
        <v>613.94893999999999</v>
      </c>
      <c r="AH34" s="1922">
        <f>'Beta Calc'!Q34</f>
        <v>293.24799999999999</v>
      </c>
      <c r="AI34" s="1351">
        <f t="shared" si="10"/>
        <v>320.70094</v>
      </c>
      <c r="AK34" s="1924" t="str">
        <f>IF('MASTER PubCo Inputs'!C51="","",'MASTER PubCo Inputs'!C51)</f>
        <v>IQ360935</v>
      </c>
      <c r="AL34" s="1002" t="str">
        <f>'Capital IQ Sheet-GPC'!AP35</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5" spans="2:38" s="1002" customFormat="1" ht="14.85" customHeight="1">
      <c r="B35" s="1002" t="str">
        <f>'Capital IQ Sheet-GPC'!C36</f>
        <v>Abeona Therapeutics Inc.</v>
      </c>
      <c r="C35" s="1351">
        <f>'Beta Calc'!R35</f>
        <v>213.31906000000004</v>
      </c>
      <c r="E35" s="1456" t="s">
        <v>3614</v>
      </c>
      <c r="F35" s="1456" t="s">
        <v>871</v>
      </c>
      <c r="H35" s="1351">
        <f>'Capital IQ Sheet-GPC'!O36</f>
        <v>0.84799999999999998</v>
      </c>
      <c r="I35" s="1351">
        <f>'Capital IQ Sheet-GPC'!P36</f>
        <v>0.878</v>
      </c>
      <c r="J35" s="1351">
        <f>'Capital IQ Sheet-GPC'!Q36</f>
        <v>5.3410000000000002</v>
      </c>
      <c r="K35" s="1922"/>
      <c r="L35" s="1351">
        <f>'Capital IQ Sheet-GPC'!R36</f>
        <v>0.83699999999999997</v>
      </c>
      <c r="M35" s="1351">
        <f>'Capital IQ Sheet-GPC'!S36</f>
        <v>5.9735699999999996</v>
      </c>
      <c r="N35" s="1351">
        <f>'Capital IQ Sheet-GPC'!T36</f>
        <v>4.3207500000000003</v>
      </c>
      <c r="O35" s="1351">
        <f>'Capital IQ Sheet-GPC'!U36</f>
        <v>54.472250000000003</v>
      </c>
      <c r="P35" s="1351">
        <f>'Capital IQ Sheet-GPC'!V36</f>
        <v>230.63800000000001</v>
      </c>
      <c r="R35" s="1352">
        <f t="shared" si="0"/>
        <v>251.55549528301893</v>
      </c>
      <c r="S35" s="1352">
        <f t="shared" si="1"/>
        <v>242.96020501138958</v>
      </c>
      <c r="T35" s="1352">
        <f t="shared" si="2"/>
        <v>39.939910129189293</v>
      </c>
      <c r="V35" s="1352" t="str">
        <f t="shared" si="11"/>
        <v>NM</v>
      </c>
      <c r="W35" s="1352">
        <f t="shared" si="12"/>
        <v>35.710481336955965</v>
      </c>
      <c r="X35" s="1352">
        <f t="shared" si="5"/>
        <v>49.370840710524796</v>
      </c>
      <c r="Y35" s="1352">
        <f t="shared" si="6"/>
        <v>3.9161051728173524</v>
      </c>
      <c r="Z35" s="1352">
        <f t="shared" si="7"/>
        <v>0.92490855799998284</v>
      </c>
      <c r="AB35" s="1922">
        <f>'Beta Calc'!K35</f>
        <v>325.54306000000003</v>
      </c>
      <c r="AC35" s="1922">
        <f>'Beta Calc'!L35</f>
        <v>0</v>
      </c>
      <c r="AD35" s="1922" t="str">
        <f>'Beta Calc'!M35</f>
        <v>n/a</v>
      </c>
      <c r="AE35" s="1922" t="str">
        <f>'Beta Calc'!N35</f>
        <v>n/a</v>
      </c>
      <c r="AF35" s="1922">
        <f t="shared" si="8"/>
        <v>0</v>
      </c>
      <c r="AG35" s="1923">
        <f t="shared" si="9"/>
        <v>325.54306000000003</v>
      </c>
      <c r="AH35" s="1922">
        <f>'Beta Calc'!Q35</f>
        <v>112.224</v>
      </c>
      <c r="AI35" s="1351">
        <f t="shared" si="10"/>
        <v>213.31906000000004</v>
      </c>
      <c r="AK35" s="1924" t="str">
        <f>IF('MASTER PubCo Inputs'!C52="","",'MASTER PubCo Inputs'!C52)</f>
        <v/>
      </c>
      <c r="AL35" s="1002" t="str">
        <f>'Capital IQ Sheet-GPC'!AP36</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6" spans="2:38" ht="14.85" customHeight="1">
      <c r="C36" s="259"/>
      <c r="E36" s="245"/>
      <c r="F36" s="245"/>
      <c r="H36" s="259"/>
      <c r="I36" s="259"/>
      <c r="J36" s="259"/>
      <c r="K36" s="259"/>
      <c r="L36" s="259"/>
      <c r="M36" s="259"/>
      <c r="N36" s="259"/>
      <c r="O36" s="259"/>
      <c r="P36" s="259"/>
    </row>
    <row r="37" spans="2:38" s="1002" customFormat="1" ht="14.85" customHeight="1">
      <c r="B37" s="1925" t="s">
        <v>111</v>
      </c>
      <c r="C37" s="1926">
        <f>MAX(C11:C35)</f>
        <v>7662.1313999999993</v>
      </c>
      <c r="D37" s="1927"/>
      <c r="E37" s="2011"/>
      <c r="F37" s="2011"/>
      <c r="G37" s="1928"/>
      <c r="H37" s="1926">
        <f>MAX(H11:H35)</f>
        <v>239.80500000000001</v>
      </c>
      <c r="I37" s="1926">
        <f>MAX(I11:I35)</f>
        <v>291.52699999999999</v>
      </c>
      <c r="J37" s="1926">
        <f>MAX(J11:J35)</f>
        <v>310.15499999999997</v>
      </c>
      <c r="K37" s="1926"/>
      <c r="L37" s="1926">
        <f>MAX(L11:L35)</f>
        <v>298.27600000000001</v>
      </c>
      <c r="M37" s="1926">
        <f>MAX(M11:M35)</f>
        <v>312.15078999999997</v>
      </c>
      <c r="N37" s="1926">
        <f>MAX(N11:N35)</f>
        <v>373.31234000000001</v>
      </c>
      <c r="O37" s="1926">
        <f>MAX(O11:O35)</f>
        <v>419.24398000000002</v>
      </c>
      <c r="P37" s="1926">
        <f>MAX(P11:P35)</f>
        <v>846.60333000000003</v>
      </c>
      <c r="Q37" s="1929"/>
      <c r="R37" s="1930">
        <f>MAX(R11:R35)</f>
        <v>4886.9396807720868</v>
      </c>
      <c r="S37" s="1930">
        <f>MAX(S11:S35)</f>
        <v>1000.9544705882349</v>
      </c>
      <c r="T37" s="1930">
        <f>MAX(T11:T35)</f>
        <v>86.200764274061996</v>
      </c>
      <c r="U37" s="1929"/>
      <c r="V37" s="1930">
        <f>MAX(V11:V35)</f>
        <v>85.218117715099197</v>
      </c>
      <c r="W37" s="1930">
        <f>MAX(W11:W35)</f>
        <v>82.283441570828288</v>
      </c>
      <c r="X37" s="1930">
        <f>MAX(X11:X35)</f>
        <v>90.051831914298944</v>
      </c>
      <c r="Y37" s="1930">
        <f>MAX(Y11:Y35)</f>
        <v>94.615187722477287</v>
      </c>
      <c r="Z37" s="1931">
        <f>MAX(Z11:Z35)</f>
        <v>44.169241851851851</v>
      </c>
      <c r="AA37" s="1919"/>
      <c r="AB37" s="1919"/>
      <c r="AG37" s="1921"/>
    </row>
    <row r="38" spans="2:38" s="1002" customFormat="1" ht="14.85" customHeight="1">
      <c r="B38" s="1932" t="s">
        <v>115</v>
      </c>
      <c r="C38" s="1933">
        <f>QUARTILE(C11:C35,3)</f>
        <v>1251.21766</v>
      </c>
      <c r="D38" s="1934"/>
      <c r="E38" s="2012"/>
      <c r="F38" s="2012"/>
      <c r="G38" s="1934"/>
      <c r="H38" s="1933">
        <f>QUARTILE(H11:H35,3)</f>
        <v>19.855487499999999</v>
      </c>
      <c r="I38" s="1933">
        <f>QUARTILE(I11:I35,3)</f>
        <v>23.017895000000003</v>
      </c>
      <c r="J38" s="1933">
        <f>QUARTILE(J11:J35,3)</f>
        <v>54.195980000000006</v>
      </c>
      <c r="K38" s="1933"/>
      <c r="L38" s="1933">
        <f>QUARTILE(L11:L35,3)</f>
        <v>35.712000000000003</v>
      </c>
      <c r="M38" s="1933">
        <f>QUARTILE(M11:M35,3)</f>
        <v>63.479177499999999</v>
      </c>
      <c r="N38" s="1933">
        <f>QUARTILE(N11:N35,3)</f>
        <v>58.940335000000005</v>
      </c>
      <c r="O38" s="1933">
        <f>QUARTILE(O11:O35,3)</f>
        <v>108.12949999999999</v>
      </c>
      <c r="P38" s="1933">
        <f>QUARTILE(P11:P35,3)</f>
        <v>237.73539</v>
      </c>
      <c r="Q38" s="1935"/>
      <c r="R38" s="1936">
        <f>QUARTILE(R11:R35,3)</f>
        <v>216.36375719454014</v>
      </c>
      <c r="S38" s="1936">
        <f>QUARTILE(S11:S35,3)</f>
        <v>147.00093858536454</v>
      </c>
      <c r="T38" s="1936">
        <f>QUARTILE(T11:T35,3)</f>
        <v>32.160506052438421</v>
      </c>
      <c r="U38" s="1935"/>
      <c r="V38" s="1936">
        <f>QUARTILE(V11:V35,3)</f>
        <v>47.005775474483599</v>
      </c>
      <c r="W38" s="1936">
        <f>QUARTILE(W11:W35,3)</f>
        <v>23.219037219795116</v>
      </c>
      <c r="X38" s="1936">
        <f>QUARTILE(X11:X35,3)</f>
        <v>50.519446653414384</v>
      </c>
      <c r="Y38" s="1936">
        <f>QUARTILE(Y11:Y35,3)</f>
        <v>25.246016019226804</v>
      </c>
      <c r="Z38" s="1937">
        <f>QUARTILE(Z11:Z35,3)</f>
        <v>12.790761357717894</v>
      </c>
      <c r="AA38" s="1919"/>
      <c r="AB38" s="1919"/>
      <c r="AG38" s="1921"/>
    </row>
    <row r="39" spans="2:38" s="1002" customFormat="1" ht="14.85" customHeight="1">
      <c r="B39" s="1932" t="s">
        <v>113</v>
      </c>
      <c r="C39" s="1933">
        <f>AVERAGE(C11:C35)</f>
        <v>1277.0073039130434</v>
      </c>
      <c r="D39" s="1934"/>
      <c r="E39" s="2012"/>
      <c r="F39" s="2012"/>
      <c r="G39" s="1934"/>
      <c r="H39" s="1933">
        <f>AVERAGE(H11:H35)</f>
        <v>24.231190000000005</v>
      </c>
      <c r="I39" s="1933">
        <f>AVERAGE(I11:I35)</f>
        <v>29.672139999999995</v>
      </c>
      <c r="J39" s="1933">
        <f>AVERAGE(J11:J35)</f>
        <v>52.583256111111105</v>
      </c>
      <c r="K39" s="1933"/>
      <c r="L39" s="1933">
        <f>AVERAGE(L11:L35)</f>
        <v>39.640364999999989</v>
      </c>
      <c r="M39" s="1933">
        <f>AVERAGE(M11:M35)</f>
        <v>53.665469999999999</v>
      </c>
      <c r="N39" s="1933">
        <f>AVERAGE(N11:N35)</f>
        <v>54.637677894736846</v>
      </c>
      <c r="O39" s="1933">
        <f>AVERAGE(O11:O35)</f>
        <v>96.043005714285727</v>
      </c>
      <c r="P39" s="1933">
        <f>AVERAGE(P11:P35)</f>
        <v>189.4738725</v>
      </c>
      <c r="Q39" s="1935"/>
      <c r="R39" s="1936">
        <f>AVERAGE(R11:R35)</f>
        <v>421.15460160645256</v>
      </c>
      <c r="S39" s="1936">
        <f>AVERAGE(S11:S35)</f>
        <v>145.61584366185758</v>
      </c>
      <c r="T39" s="1936">
        <f>AVERAGE(T11:T35)</f>
        <v>27.328260118107838</v>
      </c>
      <c r="U39" s="1935"/>
      <c r="V39" s="1936">
        <f>AVERAGE(V11:V35)</f>
        <v>32.448389065907229</v>
      </c>
      <c r="W39" s="1936">
        <f>AVERAGE(W11:W35)</f>
        <v>20.686714670551847</v>
      </c>
      <c r="X39" s="1936">
        <f>AVERAGE(X11:X35)</f>
        <v>33.333447952163482</v>
      </c>
      <c r="Y39" s="1936">
        <f>AVERAGE(Y11:Y35)</f>
        <v>24.864476973885765</v>
      </c>
      <c r="Z39" s="1937">
        <f>AVERAGE(Z11:Z35)</f>
        <v>10.946417483360644</v>
      </c>
      <c r="AA39" s="1919"/>
      <c r="AB39" s="1919"/>
      <c r="AG39" s="1921"/>
    </row>
    <row r="40" spans="2:38" s="1002" customFormat="1" ht="14.85" customHeight="1">
      <c r="B40" s="1932" t="s">
        <v>44</v>
      </c>
      <c r="C40" s="1933">
        <f>MEDIAN(C11:C35)</f>
        <v>727.28158000000008</v>
      </c>
      <c r="D40" s="1934"/>
      <c r="E40" s="1934"/>
      <c r="F40" s="1934"/>
      <c r="G40" s="1934"/>
      <c r="H40" s="1933">
        <f>MEDIAN(H11:H35)</f>
        <v>9.9429999999999996</v>
      </c>
      <c r="I40" s="1933">
        <f>MEDIAN(I11:I35)</f>
        <v>10.959</v>
      </c>
      <c r="J40" s="1933">
        <f>MEDIAN(J11:J35)</f>
        <v>29.3535</v>
      </c>
      <c r="K40" s="1933"/>
      <c r="L40" s="1933">
        <f>MEDIAN(L11:L35)</f>
        <v>13.6045</v>
      </c>
      <c r="M40" s="1933">
        <f>MEDIAN(M11:M35)</f>
        <v>23.155584999999999</v>
      </c>
      <c r="N40" s="1933">
        <f>MEDIAN(N11:N35)</f>
        <v>22.738</v>
      </c>
      <c r="O40" s="1933">
        <f>MEDIAN(O11:O35)</f>
        <v>54.68</v>
      </c>
      <c r="P40" s="1933">
        <f>MEDIAN(P11:P35)</f>
        <v>118.31450000000001</v>
      </c>
      <c r="Q40" s="1935"/>
      <c r="R40" s="1936">
        <f>MEDIAN(R11:R35)</f>
        <v>78.483578597074967</v>
      </c>
      <c r="S40" s="1936">
        <f>MEDIAN(S11:S35)</f>
        <v>87.31090460325882</v>
      </c>
      <c r="T40" s="1936">
        <f>MEDIAN(T11:T35)</f>
        <v>18.261569090925263</v>
      </c>
      <c r="U40" s="1935"/>
      <c r="V40" s="1936">
        <f>MEDIAN(V11:V35)</f>
        <v>18.752635887421093</v>
      </c>
      <c r="W40" s="1936">
        <f>MEDIAN(W11:W35)</f>
        <v>12.870562379284348</v>
      </c>
      <c r="X40" s="1936">
        <f>MEDIAN(X11:X35)</f>
        <v>23.886358747184097</v>
      </c>
      <c r="Y40" s="1936">
        <f>MEDIAN(Y11:Y35)</f>
        <v>17.911758796762538</v>
      </c>
      <c r="Z40" s="1937">
        <f>MEDIAN(Z11:Z35)</f>
        <v>9.0504385330022252</v>
      </c>
      <c r="AA40" s="1919"/>
      <c r="AB40" s="1919"/>
      <c r="AG40" s="1921"/>
    </row>
    <row r="41" spans="2:38" s="1002" customFormat="1" ht="14.85" customHeight="1">
      <c r="B41" s="1932" t="s">
        <v>114</v>
      </c>
      <c r="C41" s="1933">
        <f>QUARTILE(C11:C35,1)</f>
        <v>214.77052</v>
      </c>
      <c r="D41" s="1934"/>
      <c r="E41" s="1934"/>
      <c r="F41" s="1934"/>
      <c r="G41" s="1934"/>
      <c r="H41" s="1933">
        <f>QUARTILE(H11:H35,1)</f>
        <v>2.1917875000000002</v>
      </c>
      <c r="I41" s="1933">
        <f>QUARTILE(I11:I35,1)</f>
        <v>4.4839349999999998</v>
      </c>
      <c r="J41" s="1933">
        <f>QUARTILE(J11:J35,1)</f>
        <v>8.0897500000000004</v>
      </c>
      <c r="K41" s="1933"/>
      <c r="L41" s="1933">
        <f>QUARTILE(L11:L35,1)</f>
        <v>10.623249999999999</v>
      </c>
      <c r="M41" s="1933">
        <f>QUARTILE(M11:M35,1)</f>
        <v>6.6045374999999993</v>
      </c>
      <c r="N41" s="1933">
        <f>QUARTILE(N11:N35,1)</f>
        <v>11.126145000000001</v>
      </c>
      <c r="O41" s="1933">
        <f>QUARTILE(O11:O35,1)</f>
        <v>14.32714</v>
      </c>
      <c r="P41" s="1933">
        <f>QUARTILE(P11:P35,1)</f>
        <v>42.221512499999996</v>
      </c>
      <c r="Q41" s="1935"/>
      <c r="R41" s="1936">
        <f>QUARTILE(R11:R35,1)</f>
        <v>29.509241730906677</v>
      </c>
      <c r="S41" s="1936">
        <f>QUARTILE(S11:S35,1)</f>
        <v>24.10596791900997</v>
      </c>
      <c r="T41" s="1936">
        <f>QUARTILE(T11:T35,1)</f>
        <v>10.540464214047674</v>
      </c>
      <c r="U41" s="1935"/>
      <c r="V41" s="1936">
        <f>QUARTILE(V11:V35,1)</f>
        <v>13.20364066613714</v>
      </c>
      <c r="W41" s="1936">
        <f>QUARTILE(W11:W35,1)</f>
        <v>8.2246225160820483</v>
      </c>
      <c r="X41" s="1936">
        <f>QUARTILE(X11:X35,1)</f>
        <v>10.496888583398796</v>
      </c>
      <c r="Y41" s="1936">
        <f>QUARTILE(Y11:Y35,1)</f>
        <v>7.1079346248046056</v>
      </c>
      <c r="Z41" s="1937">
        <f>QUARTILE(Z11:Z35,1)</f>
        <v>4.6653990963314076</v>
      </c>
      <c r="AA41" s="1919"/>
      <c r="AB41" s="1919"/>
      <c r="AG41" s="1921"/>
    </row>
    <row r="42" spans="2:38" s="1002" customFormat="1" ht="14.85" customHeight="1">
      <c r="B42" s="1938" t="s">
        <v>112</v>
      </c>
      <c r="C42" s="1939">
        <f>MIN(C11:C35)</f>
        <v>10.735910000000001</v>
      </c>
      <c r="D42" s="1940"/>
      <c r="E42" s="1940"/>
      <c r="F42" s="1940"/>
      <c r="G42" s="1940"/>
      <c r="H42" s="1939">
        <f>MIN(H11:H35)</f>
        <v>5.3879999999999997E-2</v>
      </c>
      <c r="I42" s="1939">
        <f>MIN(I11:I35)</f>
        <v>0</v>
      </c>
      <c r="J42" s="1939">
        <f>MIN(J11:J35)</f>
        <v>2.7040000000000002</v>
      </c>
      <c r="K42" s="1939"/>
      <c r="L42" s="1939">
        <f>MIN(L11:L35)</f>
        <v>0.83699999999999997</v>
      </c>
      <c r="M42" s="1939">
        <f>MIN(M11:M35)</f>
        <v>3.677</v>
      </c>
      <c r="N42" s="1939">
        <f>MIN(N11:N35)</f>
        <v>3.6</v>
      </c>
      <c r="O42" s="1939">
        <f>MIN(O11:O35)</f>
        <v>2.52867</v>
      </c>
      <c r="P42" s="1939">
        <f>MIN(P11:P35)</f>
        <v>4</v>
      </c>
      <c r="Q42" s="1941"/>
      <c r="R42" s="1942">
        <f>MIN(R11:R35)</f>
        <v>9.6410008931229534</v>
      </c>
      <c r="S42" s="1942">
        <f>MIN(S11:S35)</f>
        <v>6.6733925521011281</v>
      </c>
      <c r="T42" s="1942">
        <f>MIN(T11:T35)</f>
        <v>1.4703432528729867</v>
      </c>
      <c r="U42" s="1941"/>
      <c r="V42" s="1942">
        <f>MIN(V11:V35)</f>
        <v>2.9207526292179642</v>
      </c>
      <c r="W42" s="1942">
        <f>MIN(W11:W35)</f>
        <v>1.7107716112457305</v>
      </c>
      <c r="X42" s="1942">
        <f>MIN(X11:X35)</f>
        <v>2.5771422288679746</v>
      </c>
      <c r="Y42" s="1942">
        <f>MIN(Y11:Y35)</f>
        <v>0.90284354055927907</v>
      </c>
      <c r="Z42" s="1943">
        <f>MIN(Z11:Z35)</f>
        <v>0.29299530000000007</v>
      </c>
      <c r="AA42" s="1919"/>
      <c r="AB42" s="1919"/>
      <c r="AG42" s="1921"/>
    </row>
    <row r="43" spans="2:38" ht="14.85" customHeight="1">
      <c r="C43" s="259"/>
      <c r="H43" s="259"/>
      <c r="I43" s="259"/>
      <c r="J43" s="259"/>
      <c r="K43" s="259"/>
      <c r="L43" s="259"/>
      <c r="M43" s="259"/>
      <c r="N43" s="259"/>
      <c r="O43" s="259"/>
      <c r="P43" s="259"/>
    </row>
    <row r="44" spans="2:38" ht="14.85" customHeight="1">
      <c r="B44" s="279" t="s">
        <v>116</v>
      </c>
    </row>
    <row r="45" spans="2:38" ht="14.85" customHeight="1">
      <c r="B45" s="279"/>
    </row>
    <row r="46" spans="2:38" ht="14.85" customHeight="1"/>
    <row r="47" spans="2:38" ht="14.85" customHeight="1"/>
    <row r="48" spans="2:3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sheetData>
  <conditionalFormatting sqref="B11:C35">
    <cfRule type="cellIs" dxfId="318" priority="19" operator="equal">
      <formula>"(Invalid Identifier)"</formula>
    </cfRule>
  </conditionalFormatting>
  <conditionalFormatting sqref="B4:L4">
    <cfRule type="cellIs" dxfId="317" priority="16" stopIfTrue="1" operator="equal">
      <formula>"input"</formula>
    </cfRule>
  </conditionalFormatting>
  <conditionalFormatting sqref="M4">
    <cfRule type="cellIs" dxfId="316" priority="14" stopIfTrue="1" operator="equal">
      <formula>"input"</formula>
    </cfRule>
  </conditionalFormatting>
  <conditionalFormatting sqref="M4">
    <cfRule type="cellIs" dxfId="315" priority="15" stopIfTrue="1" operator="equal">
      <formula>"input"</formula>
    </cfRule>
  </conditionalFormatting>
  <conditionalFormatting sqref="N4:P4">
    <cfRule type="cellIs" dxfId="314" priority="12" stopIfTrue="1" operator="equal">
      <formula>"input"</formula>
    </cfRule>
  </conditionalFormatting>
  <conditionalFormatting sqref="N4:P4">
    <cfRule type="cellIs" dxfId="313" priority="13" stopIfTrue="1" operator="equal">
      <formula>"input"</formula>
    </cfRule>
  </conditionalFormatting>
  <conditionalFormatting sqref="Q4">
    <cfRule type="cellIs" dxfId="312" priority="10" stopIfTrue="1" operator="equal">
      <formula>"input"</formula>
    </cfRule>
  </conditionalFormatting>
  <conditionalFormatting sqref="Q4">
    <cfRule type="cellIs" dxfId="311" priority="11" stopIfTrue="1" operator="equal">
      <formula>"input"</formula>
    </cfRule>
  </conditionalFormatting>
  <conditionalFormatting sqref="R4:Y4">
    <cfRule type="cellIs" dxfId="310" priority="8" stopIfTrue="1" operator="equal">
      <formula>"input"</formula>
    </cfRule>
  </conditionalFormatting>
  <conditionalFormatting sqref="R4:Y4">
    <cfRule type="cellIs" dxfId="309" priority="9" stopIfTrue="1" operator="equal">
      <formula>"input"</formula>
    </cfRule>
  </conditionalFormatting>
  <conditionalFormatting sqref="Z4">
    <cfRule type="cellIs" dxfId="308" priority="1" stopIfTrue="1" operator="equal">
      <formula>"input"</formula>
    </cfRule>
  </conditionalFormatting>
  <conditionalFormatting sqref="Z4">
    <cfRule type="cellIs" dxfId="307" priority="2" stopIfTrue="1" operator="equal">
      <formula>"input"</formula>
    </cfRule>
  </conditionalFormatting>
  <pageMargins left="0.5" right="0.5" top="0.5" bottom="0.5" header="0.5" footer="0.5"/>
  <pageSetup scale="65" fitToWidth="0" fitToHeight="0" orientation="landscape" r:id="rId1"/>
  <legacyDrawingHF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0"/>
  <dimension ref="B1:D760"/>
  <sheetViews>
    <sheetView showGridLines="0" view="pageBreakPreview" zoomScaleNormal="100" zoomScaleSheetLayoutView="100" workbookViewId="0"/>
  </sheetViews>
  <sheetFormatPr defaultRowHeight="14.25"/>
  <cols>
    <col min="1" max="1" width="4.5" style="234" customWidth="1"/>
    <col min="2" max="2" width="36.1640625" style="234" customWidth="1"/>
    <col min="3" max="3" width="2.83203125" style="234" customWidth="1"/>
    <col min="4" max="4" width="104.83203125" style="234" customWidth="1"/>
    <col min="5" max="5" width="4.5" style="234" customWidth="1"/>
    <col min="6" max="16384" width="9.33203125" style="234"/>
  </cols>
  <sheetData>
    <row r="1" spans="2:4" ht="10.7" customHeight="1" thickBot="1"/>
    <row r="2" spans="2:4" ht="16.5" customHeight="1" thickTop="1">
      <c r="B2" s="223" t="str">
        <f>'MASTER PubCo Inputs'!$C$5</f>
        <v>Trucode Gene Repair, Inc.</v>
      </c>
      <c r="C2" s="223"/>
      <c r="D2" s="223"/>
    </row>
    <row r="3" spans="2:4" ht="15.75" customHeight="1">
      <c r="B3" s="232" t="str">
        <f>VLOOKUP(B4,Outline!$E$8:$G$65,COLUMNS(Outline!$E$8:$G$8),FALSE)</f>
        <v>Exhibit E.2</v>
      </c>
      <c r="C3" s="232"/>
      <c r="D3" s="232"/>
    </row>
    <row r="4" spans="2:4" ht="16.5" customHeight="1" thickBot="1">
      <c r="B4" s="225" t="s">
        <v>720</v>
      </c>
      <c r="C4" s="225"/>
      <c r="D4" s="225"/>
    </row>
    <row r="5" spans="2:4" ht="14.85" customHeight="1" thickTop="1"/>
    <row r="6" spans="2:4" ht="14.85" customHeight="1"/>
    <row r="7" spans="2:4" ht="14.85" customHeight="1">
      <c r="B7" s="1325" t="s">
        <v>454</v>
      </c>
      <c r="D7" s="1327" t="s">
        <v>126</v>
      </c>
    </row>
    <row r="8" spans="2:4" ht="14.85" customHeight="1"/>
    <row r="9" spans="2:4" ht="14.85" customHeight="1">
      <c r="B9" s="1916" t="s">
        <v>4220</v>
      </c>
    </row>
    <row r="10" spans="2:4" ht="313.5">
      <c r="B10" s="628" t="str">
        <f>'Comp.1'!$B11</f>
        <v>Alnylam Pharmaceuticals, Inc.</v>
      </c>
      <c r="C10" s="1396"/>
      <c r="D10" s="628" t="str">
        <f>'Capital IQ Sheet-GPC'!AP13</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1" spans="2:4" ht="256.5">
      <c r="B11" s="628" t="str">
        <f>'Comp.1'!$B12</f>
        <v>bluebird bio, Inc.</v>
      </c>
      <c r="C11" s="1396"/>
      <c r="D11" s="628" t="str">
        <f>'Capital IQ Sheet-GPC'!AP14</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2" spans="2:4" ht="327.75">
      <c r="B12" s="628" t="str">
        <f>'Comp.1'!$B13</f>
        <v>Ironwood Pharmaceuticals, Inc.</v>
      </c>
      <c r="C12" s="1396"/>
      <c r="D12" s="628" t="str">
        <f>'Capital IQ Sheet-GPC'!AP15</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3" spans="2:4" ht="114">
      <c r="B13" s="628" t="str">
        <f>'Comp.1'!$B14</f>
        <v>Global Blood Therapeutics, Inc.</v>
      </c>
      <c r="C13" s="1397"/>
      <c r="D13" s="628" t="str">
        <f>'Capital IQ Sheet-GPC'!AP16</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4" spans="2:4" ht="185.25">
      <c r="B14" s="628" t="str">
        <f>'Comp.1'!$B15</f>
        <v>Acceleron Pharma Inc.</v>
      </c>
      <c r="C14" s="1397"/>
      <c r="D14" s="628" t="str">
        <f>'Capital IQ Sheet-GPC'!AP17</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5" spans="2:4" ht="199.5">
      <c r="B15" s="628" t="str">
        <f>'Comp.1'!$B16</f>
        <v>Spark Therapeutics, Inc.</v>
      </c>
      <c r="C15" s="1397"/>
      <c r="D15" s="628" t="str">
        <f>'Capital IQ Sheet-GPC'!AP18</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6" spans="2:4" ht="213.75">
      <c r="B16" s="628" t="str">
        <f>'Comp.1'!$B17</f>
        <v>REGENXBIO Inc.</v>
      </c>
      <c r="C16" s="1397"/>
      <c r="D16" s="628" t="str">
        <f>'Capital IQ Sheet-GPC'!AP19</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17" spans="2:4" ht="114">
      <c r="B17" s="628" t="str">
        <f>'Comp.1'!$B18</f>
        <v>uniQure N.V.</v>
      </c>
      <c r="C17" s="1397"/>
      <c r="D17" s="628" t="str">
        <f>'Capital IQ Sheet-GPC'!AP20</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18" spans="2:4" ht="185.25">
      <c r="B18" s="628" t="str">
        <f>'Comp.1'!$B19</f>
        <v>Audentes Therapeutics, Inc.</v>
      </c>
      <c r="C18" s="1397"/>
      <c r="D18" s="628" t="str">
        <f>'Capital IQ Sheet-GPC'!AP21</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19" spans="2:4" ht="342">
      <c r="B19" s="628" t="str">
        <f>'Comp.1'!$B20</f>
        <v>Sangamo Therapeutics, Inc.</v>
      </c>
      <c r="C19" s="1397"/>
      <c r="D19" s="628" t="str">
        <f>'Capital IQ Sheet-GPC'!AP22</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0" spans="2:4" ht="142.5">
      <c r="B20" s="628" t="str">
        <f>'Comp.1'!$B21</f>
        <v>Homology Medicines, Inc.</v>
      </c>
      <c r="C20" s="1397"/>
      <c r="D20" s="628" t="str">
        <f>'Capital IQ Sheet-GPC'!AP23</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1" spans="2:4" ht="99.75">
      <c r="B21" s="628" t="str">
        <f>'Comp.1'!$B22</f>
        <v>Corbus Pharmaceuticals Holdings, Inc.</v>
      </c>
      <c r="C21" s="1397"/>
      <c r="D21" s="628" t="str">
        <f>'Capital IQ Sheet-GPC'!AP24</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2" spans="2:4" ht="171">
      <c r="B22" s="628" t="str">
        <f>'Comp.1'!$B23</f>
        <v>GlycoMimetics, Inc.</v>
      </c>
      <c r="C22" s="1397"/>
      <c r="D22" s="628" t="str">
        <f>'Capital IQ Sheet-GPC'!AP25</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3" spans="2:4" ht="114">
      <c r="B23" s="628" t="str">
        <f>'Comp.1'!$B24</f>
        <v>LogicBio Therapeutics, Inc.</v>
      </c>
      <c r="C23" s="1396"/>
      <c r="D23" s="628" t="str">
        <f>'Capital IQ Sheet-GPC'!AP26</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4" spans="2:4" ht="327.75">
      <c r="B24" s="628" t="str">
        <f>'Comp.1'!$B25</f>
        <v>Arbutus Biopharma Corporation</v>
      </c>
      <c r="C24" s="1396"/>
      <c r="D24" s="628" t="str">
        <f>'Capital IQ Sheet-GPC'!AP27</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5" spans="2:4" ht="199.5">
      <c r="B25" s="628" t="str">
        <f>'Comp.1'!$B26</f>
        <v>Voyager Therapeutics, Inc.</v>
      </c>
      <c r="C25" s="1396"/>
      <c r="D25" s="628" t="str">
        <f>'Capital IQ Sheet-GPC'!AP28</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6" spans="2:4" ht="114">
      <c r="B26" s="628" t="str">
        <f>'Comp.1'!$B27</f>
        <v>La Jolla Pharmaceutical Company</v>
      </c>
      <c r="C26" s="1396"/>
      <c r="D26" s="628" t="str">
        <f>'Capital IQ Sheet-GPC'!AP29</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27" spans="2:4" ht="171">
      <c r="B27" s="628" t="str">
        <f>'Comp.1'!$B28</f>
        <v>Protagonist Therapeutics, Inc.</v>
      </c>
      <c r="C27" s="1396"/>
      <c r="D27" s="628" t="str">
        <f>'Capital IQ Sheet-GPC'!AP30</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28" spans="2:4" ht="156.75">
      <c r="B28" s="628" t="str">
        <f>'Comp.1'!$B29</f>
        <v>Fibrocell Science, Inc.</v>
      </c>
      <c r="C28" s="1396"/>
      <c r="D28" s="628" t="str">
        <f>'Capital IQ Sheet-GPC'!AP31</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29" spans="2:4" ht="14.85" customHeight="1">
      <c r="B29" s="1912"/>
      <c r="C29" s="1913"/>
      <c r="D29" s="1912"/>
    </row>
    <row r="30" spans="2:4" ht="14.85" customHeight="1">
      <c r="B30" s="1917" t="str">
        <f>'Comp.1'!$B31</f>
        <v>CRISPR/Cas9</v>
      </c>
      <c r="C30" s="1914"/>
      <c r="D30" s="1915"/>
    </row>
    <row r="31" spans="2:4" ht="342">
      <c r="B31" s="628" t="str">
        <f>'Comp.1'!$B32</f>
        <v>CRISPR Therapeutics AG</v>
      </c>
      <c r="C31" s="1396"/>
      <c r="D31" s="628" t="str">
        <f>'Capital IQ Sheet-GPC'!AP33</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2" spans="2:4" ht="228">
      <c r="B32" s="628" t="str">
        <f>'Comp.1'!$B33</f>
        <v>Editas Medicine, Inc.</v>
      </c>
      <c r="C32" s="1396"/>
      <c r="D32" s="628" t="str">
        <f>'Capital IQ Sheet-GPC'!AP34</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3" spans="2:4" ht="171">
      <c r="B33" s="628" t="str">
        <f>'Comp.1'!$B34</f>
        <v>Intellia Therapeutics, Inc.</v>
      </c>
      <c r="C33" s="1396"/>
      <c r="D33" s="628" t="str">
        <f>'Capital IQ Sheet-GPC'!AP35</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4" spans="2:4" ht="285">
      <c r="B34" s="628" t="str">
        <f>'Comp.1'!$B35</f>
        <v>Abeona Therapeutics Inc.</v>
      </c>
      <c r="C34" s="1396"/>
      <c r="D34" s="628" t="str">
        <f>'Capital IQ Sheet-GPC'!AP36</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5" spans="2:4" ht="14.85" customHeight="1">
      <c r="D35" s="1329"/>
    </row>
    <row r="36" spans="2:4" ht="14.85" customHeight="1">
      <c r="B36" s="279" t="s">
        <v>116</v>
      </c>
      <c r="D36" s="1329"/>
    </row>
    <row r="37" spans="2:4" ht="14.85" customHeight="1">
      <c r="D37" s="1329"/>
    </row>
    <row r="38" spans="2:4" ht="14.85" customHeight="1"/>
    <row r="39" spans="2:4" ht="14.85" customHeight="1"/>
    <row r="40" spans="2:4" ht="14.85" customHeight="1"/>
    <row r="41" spans="2:4" ht="14.85" customHeight="1"/>
    <row r="42" spans="2:4" ht="14.85" customHeight="1"/>
    <row r="43" spans="2:4" ht="14.85" customHeight="1"/>
    <row r="44" spans="2:4" ht="14.85" customHeight="1"/>
    <row r="45" spans="2:4" ht="14.85" customHeight="1"/>
    <row r="46" spans="2:4" ht="14.85" customHeight="1"/>
    <row r="47" spans="2:4" ht="14.85" customHeight="1"/>
    <row r="48" spans="2: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sheetData>
  <conditionalFormatting sqref="C4:D4">
    <cfRule type="cellIs" dxfId="306" priority="2" stopIfTrue="1" operator="equal">
      <formula>"input"</formula>
    </cfRule>
  </conditionalFormatting>
  <conditionalFormatting sqref="B4">
    <cfRule type="cellIs" dxfId="305" priority="1" stopIfTrue="1" operator="equal">
      <formula>"input"</formula>
    </cfRule>
  </conditionalFormatting>
  <pageMargins left="0.5" right="0.5" top="0.5" bottom="0.5" header="0.5" footer="0.5"/>
  <pageSetup fitToWidth="0" fitToHeight="0" orientation="landscape" r:id="rId1"/>
  <rowBreaks count="1" manualBreakCount="1">
    <brk id="29" max="4" man="1"/>
  </rowBreaks>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1">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6"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4037</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scale="98"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3"/>
  <dimension ref="B1:AR749"/>
  <sheetViews>
    <sheetView showGridLines="0" tabSelected="1" view="pageBreakPreview" zoomScale="70" zoomScaleNormal="100" zoomScaleSheetLayoutView="70" workbookViewId="0">
      <selection activeCell="D14" sqref="D14"/>
    </sheetView>
  </sheetViews>
  <sheetFormatPr defaultRowHeight="14.25" outlineLevelCol="1"/>
  <cols>
    <col min="1" max="1" width="4.5" style="234" customWidth="1"/>
    <col min="2" max="2" width="11.83203125" style="234" customWidth="1"/>
    <col min="3" max="4" width="31.83203125" style="234" customWidth="1"/>
    <col min="5" max="5" width="26.33203125" style="234" hidden="1" customWidth="1" outlineLevel="1"/>
    <col min="6" max="6" width="11.83203125" style="234" customWidth="1" collapsed="1"/>
    <col min="7" max="7" width="10" style="234" hidden="1" customWidth="1" outlineLevel="1"/>
    <col min="8" max="8" width="2.83203125" style="234" hidden="1" customWidth="1" outlineLevel="1" collapsed="1"/>
    <col min="9" max="9" width="15.83203125" style="234" hidden="1" customWidth="1" outlineLevel="1"/>
    <col min="10" max="10" width="17.5" style="234" customWidth="1" collapsed="1"/>
    <col min="11" max="11" width="2.83203125" style="234" customWidth="1"/>
    <col min="12" max="13" width="14.5" style="234" customWidth="1"/>
    <col min="14" max="14" width="15.83203125" style="234" customWidth="1"/>
    <col min="15" max="15" width="14.5" style="234" customWidth="1"/>
    <col min="16" max="16" width="2.83203125" style="234" hidden="1" customWidth="1" outlineLevel="1"/>
    <col min="17" max="17" width="10.5" style="234" hidden="1" customWidth="1" outlineLevel="1"/>
    <col min="18" max="19" width="8.83203125" style="234" hidden="1" customWidth="1" outlineLevel="1"/>
    <col min="20" max="20" width="2.83203125" style="234" hidden="1" customWidth="1" outlineLevel="1"/>
    <col min="21" max="23" width="8.83203125" style="234" hidden="1" customWidth="1" outlineLevel="1"/>
    <col min="24" max="25" width="11.33203125" style="234" hidden="1" customWidth="1" outlineLevel="1"/>
    <col min="26" max="26" width="2.83203125" style="234" hidden="1" customWidth="1" outlineLevel="1"/>
    <col min="27" max="29" width="11.33203125" style="234" hidden="1" customWidth="1" outlineLevel="1"/>
    <col min="30" max="30" width="2.83203125" style="234" hidden="1" customWidth="1" outlineLevel="1"/>
    <col min="31" max="33" width="11.33203125" style="234" hidden="1" customWidth="1" outlineLevel="1"/>
    <col min="34" max="34" width="2.83203125" style="234" hidden="1" customWidth="1" outlineLevel="1"/>
    <col min="35" max="36" width="10.83203125" style="234" hidden="1" customWidth="1" outlineLevel="1"/>
    <col min="37" max="37" width="4.5" style="234" customWidth="1" collapsed="1"/>
    <col min="38" max="38" width="14.33203125" style="234" bestFit="1" customWidth="1"/>
    <col min="39" max="39" width="10.33203125" style="234" customWidth="1"/>
    <col min="40" max="40" width="9.33203125" style="234"/>
    <col min="41" max="41" width="9.83203125" style="234" bestFit="1" customWidth="1"/>
    <col min="42" max="42" width="12" style="234" bestFit="1" customWidth="1"/>
    <col min="43" max="43" width="11.6640625" style="234" bestFit="1" customWidth="1"/>
    <col min="44" max="44" width="12" style="234" bestFit="1" customWidth="1"/>
    <col min="45" max="16384" width="9.33203125" style="234"/>
  </cols>
  <sheetData>
    <row r="1" spans="2:44" ht="10.7" customHeight="1" thickBot="1"/>
    <row r="2" spans="2:44"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632"/>
      <c r="AI2" s="223"/>
      <c r="AJ2" s="223"/>
      <c r="AL2" s="779" t="s">
        <v>87</v>
      </c>
      <c r="AM2" s="780">
        <f>+'Comp.1'!$AL$2</f>
        <v>43496</v>
      </c>
      <c r="AO2" s="1330"/>
      <c r="AP2" s="1331" t="s">
        <v>854</v>
      </c>
      <c r="AQ2" s="1331" t="s">
        <v>855</v>
      </c>
      <c r="AR2" s="1332" t="s">
        <v>110</v>
      </c>
    </row>
    <row r="3" spans="2:44" ht="15.75" customHeight="1">
      <c r="B3" s="232" t="str">
        <f>VLOOKUP(B4,Outline!$E$8:$G$65,COLUMNS(Outline!$E$8:$G$8),FALSE)</f>
        <v>Exhibit F.1</v>
      </c>
      <c r="C3" s="232"/>
      <c r="D3" s="232"/>
      <c r="E3" s="232"/>
      <c r="F3" s="232"/>
      <c r="G3" s="232"/>
      <c r="H3" s="232"/>
      <c r="I3" s="232"/>
      <c r="J3" s="232"/>
      <c r="K3" s="232"/>
      <c r="L3" s="232"/>
      <c r="M3" s="232"/>
      <c r="N3" s="232"/>
      <c r="O3" s="232"/>
      <c r="P3" s="232"/>
      <c r="Q3" s="232"/>
      <c r="R3" s="232"/>
      <c r="S3" s="232"/>
      <c r="T3" s="232"/>
      <c r="U3" s="232"/>
      <c r="V3" s="232"/>
      <c r="W3" s="232"/>
      <c r="X3" s="232"/>
      <c r="Y3" s="232"/>
      <c r="Z3" s="232"/>
      <c r="AA3" s="232"/>
      <c r="AB3" s="232"/>
      <c r="AC3" s="232"/>
      <c r="AD3" s="232"/>
      <c r="AE3" s="232"/>
      <c r="AF3" s="232"/>
      <c r="AG3" s="232"/>
      <c r="AH3" s="633"/>
      <c r="AI3" s="232"/>
      <c r="AJ3" s="232"/>
      <c r="AL3" s="619" t="s">
        <v>455</v>
      </c>
      <c r="AM3" s="889" t="str">
        <f>+'Comp.1'!$AL$3</f>
        <v>F</v>
      </c>
      <c r="AO3" s="1333" t="str">
        <f>+L7</f>
        <v>Enterprise Value</v>
      </c>
      <c r="AP3" s="591" t="e">
        <f ca="1">SUM('STM Linked'!I10:I29)</f>
        <v>#NAME?</v>
      </c>
      <c r="AQ3" s="591">
        <f>+SUM('Capital IQ Sheet-STM'!I10:I29)</f>
        <v>12482.443510000003</v>
      </c>
      <c r="AR3" s="348" t="e">
        <f ca="1">AP3=AQ3</f>
        <v>#NAME?</v>
      </c>
    </row>
    <row r="4" spans="2:44" ht="16.5" customHeight="1" thickBot="1">
      <c r="B4" s="225" t="s">
        <v>721</v>
      </c>
      <c r="C4" s="225"/>
      <c r="D4" s="225"/>
      <c r="E4" s="225"/>
      <c r="F4" s="225"/>
      <c r="G4" s="225"/>
      <c r="H4" s="225"/>
      <c r="I4" s="225"/>
      <c r="J4" s="225"/>
      <c r="K4" s="225"/>
      <c r="L4" s="225"/>
      <c r="M4" s="225"/>
      <c r="N4" s="225"/>
      <c r="O4" s="233" t="str">
        <f>+'MASTER PubCo Inputs'!$C$24</f>
        <v>(in millions of USD)</v>
      </c>
      <c r="P4" s="225"/>
      <c r="Q4" s="233"/>
      <c r="R4" s="233"/>
      <c r="S4" s="233"/>
      <c r="T4" s="233"/>
      <c r="U4" s="233"/>
      <c r="V4" s="233"/>
      <c r="W4" s="233"/>
      <c r="X4" s="233"/>
      <c r="Y4" s="233"/>
      <c r="Z4" s="233"/>
      <c r="AA4" s="233"/>
      <c r="AB4" s="233"/>
      <c r="AC4" s="233"/>
      <c r="AD4" s="233"/>
      <c r="AE4" s="233"/>
      <c r="AF4" s="233"/>
      <c r="AG4" s="233"/>
      <c r="AH4" s="634"/>
      <c r="AI4" s="233"/>
      <c r="AJ4" s="233"/>
      <c r="AL4" s="619" t="s">
        <v>456</v>
      </c>
      <c r="AM4" s="889" t="str">
        <f>+'Comp.1'!$AL$4</f>
        <v>USD</v>
      </c>
      <c r="AO4" s="1333" t="str">
        <f>+Q7</f>
        <v>Revenue</v>
      </c>
      <c r="AP4" s="591" t="e">
        <f ca="1">+SUM('STM Linked'!N10:N29)</f>
        <v>#NAME?</v>
      </c>
      <c r="AQ4" s="591">
        <f>+SUM('Capital IQ Sheet-STM'!N10:N29)</f>
        <v>18.99363</v>
      </c>
      <c r="AR4" s="348" t="e">
        <f t="shared" ref="AR4:AR5" ca="1" si="0">AP4=AQ4</f>
        <v>#NAME?</v>
      </c>
    </row>
    <row r="5" spans="2:44" ht="14.85" customHeight="1" thickTop="1">
      <c r="AL5" s="384" t="s">
        <v>89</v>
      </c>
      <c r="AM5" s="890" t="str">
        <f>+'Comp.1'!$AL$5</f>
        <v>H</v>
      </c>
      <c r="AO5" s="1334" t="str">
        <f>+R7</f>
        <v>EBITDA</v>
      </c>
      <c r="AP5" s="1335" t="e">
        <f ca="1">+SUM('STM Linked'!O10:O29)</f>
        <v>#NAME?</v>
      </c>
      <c r="AQ5" s="1335">
        <f>+SUM('Capital IQ Sheet-STM'!O10:O29)</f>
        <v>-511.02458999999999</v>
      </c>
      <c r="AR5" s="594" t="e">
        <f t="shared" ca="1" si="0"/>
        <v>#NAME?</v>
      </c>
    </row>
    <row r="6" spans="2:44" ht="14.85" customHeight="1">
      <c r="L6" s="500" t="s">
        <v>469</v>
      </c>
      <c r="M6" s="948"/>
      <c r="N6" s="948"/>
      <c r="O6" s="502"/>
      <c r="Q6" s="500" t="s">
        <v>353</v>
      </c>
      <c r="R6" s="501"/>
      <c r="S6" s="502"/>
      <c r="U6" s="790" t="s">
        <v>352</v>
      </c>
      <c r="V6" s="791"/>
      <c r="W6" s="787"/>
      <c r="X6" s="791"/>
      <c r="Y6" s="792"/>
      <c r="AA6" s="500" t="s">
        <v>354</v>
      </c>
      <c r="AB6" s="501"/>
      <c r="AC6" s="502"/>
      <c r="AE6" s="500" t="s">
        <v>355</v>
      </c>
      <c r="AF6" s="501"/>
      <c r="AG6" s="502"/>
      <c r="AI6" s="1336" t="s">
        <v>358</v>
      </c>
      <c r="AJ6" s="1337"/>
    </row>
    <row r="7" spans="2:44" s="270" customFormat="1" ht="60" customHeight="1">
      <c r="B7" s="1338" t="s">
        <v>347</v>
      </c>
      <c r="C7" s="1339" t="s">
        <v>846</v>
      </c>
      <c r="D7" s="1339" t="s">
        <v>348</v>
      </c>
      <c r="E7" s="1339" t="s">
        <v>473</v>
      </c>
      <c r="F7" s="1340" t="s">
        <v>349</v>
      </c>
      <c r="G7" s="1341" t="s">
        <v>351</v>
      </c>
      <c r="I7" s="1342" t="s">
        <v>1980</v>
      </c>
      <c r="J7" s="2013" t="s">
        <v>1981</v>
      </c>
      <c r="L7" s="1343" t="str">
        <f>'Capital IQ Sheet-STM'!I8</f>
        <v>Enterprise Value</v>
      </c>
      <c r="M7" s="1344" t="str">
        <f>'Capital IQ Sheet-STM'!J8</f>
        <v>Upfront Value</v>
      </c>
      <c r="N7" s="1344" t="str">
        <f>'Capital IQ Sheet-STM'!K8</f>
        <v>Contingent Payments</v>
      </c>
      <c r="O7" s="794" t="str">
        <f>'Capital IQ Sheet-STM'!L8</f>
        <v>Total Trans. Value</v>
      </c>
      <c r="P7" s="798"/>
      <c r="Q7" s="1343" t="s">
        <v>160</v>
      </c>
      <c r="R7" s="1345" t="s">
        <v>173</v>
      </c>
      <c r="S7" s="794" t="s">
        <v>174</v>
      </c>
      <c r="T7" s="271"/>
      <c r="U7" s="1343" t="s">
        <v>160</v>
      </c>
      <c r="V7" s="1345" t="s">
        <v>173</v>
      </c>
      <c r="W7" s="802" t="s">
        <v>174</v>
      </c>
      <c r="X7" s="1345" t="s">
        <v>471</v>
      </c>
      <c r="Y7" s="794" t="s">
        <v>472</v>
      </c>
      <c r="Z7" s="271"/>
      <c r="AA7" s="1343" t="s">
        <v>160</v>
      </c>
      <c r="AB7" s="1345" t="s">
        <v>173</v>
      </c>
      <c r="AC7" s="794" t="s">
        <v>174</v>
      </c>
      <c r="AD7" s="271"/>
      <c r="AE7" s="1343" t="s">
        <v>160</v>
      </c>
      <c r="AF7" s="1345" t="s">
        <v>173</v>
      </c>
      <c r="AG7" s="794" t="s">
        <v>174</v>
      </c>
      <c r="AH7" s="271"/>
      <c r="AI7" s="1346" t="s">
        <v>356</v>
      </c>
      <c r="AJ7" s="1347" t="s">
        <v>357</v>
      </c>
      <c r="AL7" s="483" t="s">
        <v>934</v>
      </c>
      <c r="AM7" s="1348">
        <v>50</v>
      </c>
      <c r="AN7" s="483" t="s">
        <v>935</v>
      </c>
      <c r="AO7" s="1348">
        <v>0</v>
      </c>
    </row>
    <row r="8" spans="2:44">
      <c r="J8" s="245"/>
      <c r="L8" s="271"/>
      <c r="M8" s="271"/>
      <c r="N8" s="271"/>
      <c r="O8" s="271"/>
      <c r="P8" s="271"/>
      <c r="Q8" s="271"/>
      <c r="R8" s="271"/>
      <c r="S8" s="271"/>
      <c r="T8" s="271"/>
      <c r="U8" s="271"/>
      <c r="V8" s="271"/>
      <c r="W8" s="271"/>
      <c r="X8" s="271"/>
      <c r="Y8" s="271"/>
      <c r="Z8" s="271"/>
      <c r="AA8" s="271"/>
      <c r="AB8" s="271"/>
      <c r="AC8" s="271"/>
      <c r="AD8" s="271"/>
      <c r="AE8" s="271"/>
      <c r="AF8" s="271"/>
      <c r="AG8" s="271"/>
      <c r="AH8" s="271"/>
      <c r="AI8" s="271"/>
      <c r="AJ8" s="271"/>
    </row>
    <row r="9" spans="2:44" s="1350" customFormat="1" ht="14.85" customHeight="1">
      <c r="B9" s="627">
        <f>IFERROR('Capital IQ Sheet-STM'!B10,"n/a")</f>
        <v>43234</v>
      </c>
      <c r="C9" s="627" t="str">
        <f>'Capital IQ Sheet-STM'!C10</f>
        <v>Novartis AG</v>
      </c>
      <c r="D9" s="627" t="str">
        <f>'Capital IQ Sheet-STM'!D10</f>
        <v>AveXis, Inc.</v>
      </c>
      <c r="E9" s="627" t="str">
        <f>'Capital IQ Sheet-STM'!E10</f>
        <v>Biotechnology</v>
      </c>
      <c r="F9" s="1349">
        <f>IFERROR('Capital IQ Sheet-STM'!F10,"n/a")</f>
        <v>1</v>
      </c>
      <c r="G9" s="627" t="str">
        <f>'Capital IQ Sheet-STM'!G10</f>
        <v>Majority</v>
      </c>
      <c r="J9" s="2014" t="str">
        <f>IFERROR('Capital IQ Sheet-STM'!AF10,"n/a")</f>
        <v>Phase I</v>
      </c>
      <c r="L9" s="1351">
        <f>'Capital IQ Sheet-STM'!I10</f>
        <v>8109.5210200000001</v>
      </c>
      <c r="M9" s="1351">
        <f>'Capital IQ Sheet-STM'!J10</f>
        <v>8070.8470100000004</v>
      </c>
      <c r="N9" s="1351" t="str">
        <f>'Capital IQ Sheet-STM'!K10</f>
        <v>n/a</v>
      </c>
      <c r="O9" s="1351">
        <f>'Capital IQ Sheet-STM'!L10</f>
        <v>8696.3290199999992</v>
      </c>
      <c r="P9" s="1290"/>
      <c r="Q9" s="1351" t="str">
        <f>'Capital IQ Sheet-STM'!N10</f>
        <v>n/a</v>
      </c>
      <c r="R9" s="1351">
        <f>'Capital IQ Sheet-STM'!O10</f>
        <v>-409.565</v>
      </c>
      <c r="S9" s="1351">
        <f>'Capital IQ Sheet-STM'!P10</f>
        <v>-412.858</v>
      </c>
      <c r="T9" s="1290"/>
      <c r="U9" s="1352" t="str">
        <f>IFERROR(IF(($L9/Q9)&gt;$AM$7, "NM", IF(($L9/Q9)&lt;$AO$7, "NM", $L9/Q9)),"n/a")</f>
        <v>n/a</v>
      </c>
      <c r="V9" s="1352" t="str">
        <f>IFERROR(IF(($L9/R9)&gt;$AM$7, "NM", IF(($L9/R9)&lt;$AO$7, "NM", $L9/R9)),"n/a")</f>
        <v>NM</v>
      </c>
      <c r="W9" s="1352" t="str">
        <f>IFERROR(IF(($L9/S9)&gt;$AM$7, "NM", IF(($L9/S9)&lt;$AO$7, "NM", $L9/S9)),"n/a")</f>
        <v>NM</v>
      </c>
      <c r="X9" s="1352">
        <f>'Capital IQ Sheet-STM'!U10</f>
        <v>14.17614</v>
      </c>
      <c r="Y9" s="1352" t="str">
        <f>'Capital IQ Sheet-STM'!V10</f>
        <v>NM</v>
      </c>
      <c r="Z9" s="1290"/>
      <c r="AA9" s="465">
        <f>'Capital IQ Sheet-STM'!X10</f>
        <v>0.94545000000000001</v>
      </c>
      <c r="AB9" s="465">
        <f>'Capital IQ Sheet-STM'!Y10</f>
        <v>-346.97478999999998</v>
      </c>
      <c r="AC9" s="465" t="str">
        <f>'Capital IQ Sheet-STM'!Z10</f>
        <v>NM</v>
      </c>
      <c r="AD9" s="1290"/>
      <c r="AE9" s="1352">
        <f>IF(ISERROR($L9/AA9), "n/a", $L9/AA9)</f>
        <v>8577.4192395155751</v>
      </c>
      <c r="AF9" s="1352">
        <f>IF(ISERROR($L9/AB9), "n/a", $L9/AB9)</f>
        <v>-23.372075590852006</v>
      </c>
      <c r="AG9" s="627" t="str">
        <f>'Capital IQ Sheet-STM'!AD10</f>
        <v>n/a</v>
      </c>
      <c r="AI9" s="1349">
        <f>IFERROR('Capital IQ Sheet-STM'!AH10,"n/a")</f>
        <v>0.83347400000000005</v>
      </c>
      <c r="AJ9" s="1349">
        <f>IFERROR('Capital IQ Sheet-STM'!AI10,"n/a")</f>
        <v>0.59205399999999997</v>
      </c>
      <c r="AL9" s="285"/>
    </row>
    <row r="10" spans="2:44" s="1350" customFormat="1" ht="28.5">
      <c r="B10" s="627">
        <f>IFERROR('Capital IQ Sheet-STM'!B11,"n/a")</f>
        <v>43046</v>
      </c>
      <c r="C10" s="627" t="str">
        <f>'Capital IQ Sheet-STM'!C11</f>
        <v>Ultragenyx Pharmaceutical Inc.</v>
      </c>
      <c r="D10" s="627" t="str">
        <f>'Capital IQ Sheet-STM'!D11</f>
        <v>Dimension Therapeutics, Inc.</v>
      </c>
      <c r="E10" s="627" t="str">
        <f>'Capital IQ Sheet-STM'!E11</f>
        <v>Biotechnology</v>
      </c>
      <c r="F10" s="1349">
        <f>IFERROR('Capital IQ Sheet-STM'!F11,"n/a")</f>
        <v>1</v>
      </c>
      <c r="G10" s="627" t="str">
        <f>'Capital IQ Sheet-STM'!G11</f>
        <v>Majority</v>
      </c>
      <c r="J10" s="2014" t="str">
        <f>IFERROR('Capital IQ Sheet-STM'!AF11,"n/a")</f>
        <v>Phase I/II</v>
      </c>
      <c r="L10" s="1351">
        <f>'Capital IQ Sheet-STM'!I11</f>
        <v>134.66464999999999</v>
      </c>
      <c r="M10" s="1351">
        <f>'Capital IQ Sheet-STM'!J11</f>
        <v>151.27395999999999</v>
      </c>
      <c r="N10" s="1351" t="str">
        <f>'Capital IQ Sheet-STM'!K11</f>
        <v>n/a</v>
      </c>
      <c r="O10" s="1351">
        <f>'Capital IQ Sheet-STM'!L11</f>
        <v>168.38065</v>
      </c>
      <c r="P10" s="1290"/>
      <c r="Q10" s="1351">
        <f>'Capital IQ Sheet-STM'!N11</f>
        <v>16.599</v>
      </c>
      <c r="R10" s="1351">
        <f>'Capital IQ Sheet-STM'!O11</f>
        <v>-52.607999999999997</v>
      </c>
      <c r="S10" s="1351">
        <f>'Capital IQ Sheet-STM'!P11</f>
        <v>-54.767000000000003</v>
      </c>
      <c r="T10" s="1290"/>
      <c r="U10" s="1352">
        <f t="shared" ref="U10:U26" si="1">IFERROR(IF(($L10/Q10)&gt;$AM$7, "NM", IF(($L10/Q10)&lt;$AO$7, "NM", $L10/Q10)),"n/a")</f>
        <v>8.1128170371709132</v>
      </c>
      <c r="V10" s="1352" t="str">
        <f t="shared" ref="V10:V26" si="2">IFERROR(IF(($L10/R10)&gt;$AM$7, "NM", IF(($L10/R10)&lt;$AO$7, "NM", $L10/R10)),"n/a")</f>
        <v>NM</v>
      </c>
      <c r="W10" s="1352" t="str">
        <f t="shared" ref="W10:W26" si="3">IFERROR(IF(($L10/S10)&gt;$AM$7, "NM", IF(($L10/S10)&lt;$AO$7, "NM", $L10/S10)),"n/a")</f>
        <v>NM</v>
      </c>
      <c r="X10" s="1352">
        <f>'Capital IQ Sheet-STM'!U11</f>
        <v>7.4343399999999997</v>
      </c>
      <c r="Y10" s="1352" t="str">
        <f>'Capital IQ Sheet-STM'!V11</f>
        <v>NM</v>
      </c>
      <c r="Z10" s="1290"/>
      <c r="AA10" s="465">
        <f>'Capital IQ Sheet-STM'!X11</f>
        <v>15.033300000000001</v>
      </c>
      <c r="AB10" s="465" t="str">
        <f>'Capital IQ Sheet-STM'!Y11</f>
        <v>n/a</v>
      </c>
      <c r="AC10" s="465" t="str">
        <f>'Capital IQ Sheet-STM'!Z11</f>
        <v>NM</v>
      </c>
      <c r="AD10" s="1290"/>
      <c r="AE10" s="1352">
        <f t="shared" ref="AE10:AE26" si="4">IF(ISERROR($L10/AA10), "n/a", $L10/AA10)</f>
        <v>8.9577571125434865</v>
      </c>
      <c r="AF10" s="1352" t="str">
        <f t="shared" ref="AF10:AF26" si="5">IF(ISERROR($L10/AB10), "n/a", $L10/AB10)</f>
        <v>n/a</v>
      </c>
      <c r="AG10" s="627" t="str">
        <f>'Capital IQ Sheet-STM'!AD11</f>
        <v>n/a</v>
      </c>
      <c r="AI10" s="1349">
        <f>IFERROR('Capital IQ Sheet-STM'!AH11,"n/a")</f>
        <v>0.538462</v>
      </c>
      <c r="AJ10" s="1349">
        <f>IFERROR('Capital IQ Sheet-STM'!AI11,"n/a")</f>
        <v>3.6153849999999998</v>
      </c>
      <c r="AL10" s="285"/>
    </row>
    <row r="11" spans="2:44" s="1350" customFormat="1" ht="14.85" customHeight="1">
      <c r="B11" s="627">
        <f>IFERROR('Capital IQ Sheet-STM'!B12,"n/a")</f>
        <v>42692</v>
      </c>
      <c r="C11" s="627" t="str">
        <f>'Capital IQ Sheet-STM'!C12</f>
        <v>Novartis AG</v>
      </c>
      <c r="D11" s="627" t="str">
        <f>'Capital IQ Sheet-STM'!D12</f>
        <v>Selexys Pharmaceuticals Corporation</v>
      </c>
      <c r="E11" s="627" t="str">
        <f>'Capital IQ Sheet-STM'!E12</f>
        <v>Pharmaceuticals</v>
      </c>
      <c r="F11" s="1349">
        <f>IFERROR('Capital IQ Sheet-STM'!F12,"n/a")</f>
        <v>1</v>
      </c>
      <c r="G11" s="627" t="str">
        <f>'Capital IQ Sheet-STM'!G12</f>
        <v>Majority</v>
      </c>
      <c r="J11" s="2014" t="str">
        <f>IFERROR('Capital IQ Sheet-STM'!AF12,"n/a")</f>
        <v>Phase II</v>
      </c>
      <c r="L11" s="1351">
        <f>'Capital IQ Sheet-STM'!I12</f>
        <v>665</v>
      </c>
      <c r="M11" s="1351">
        <f>'Capital IQ Sheet-STM'!J12</f>
        <v>0</v>
      </c>
      <c r="N11" s="1351" t="str">
        <f>'Capital IQ Sheet-STM'!K12</f>
        <v>n/a</v>
      </c>
      <c r="O11" s="1351">
        <f>'Capital IQ Sheet-STM'!L12</f>
        <v>665</v>
      </c>
      <c r="P11" s="1290"/>
      <c r="Q11" s="1351" t="str">
        <f>'Capital IQ Sheet-STM'!N12</f>
        <v>n/a</v>
      </c>
      <c r="R11" s="1351" t="str">
        <f>'Capital IQ Sheet-STM'!O12</f>
        <v>n/a</v>
      </c>
      <c r="S11" s="1351" t="str">
        <f>'Capital IQ Sheet-STM'!P12</f>
        <v>n/a</v>
      </c>
      <c r="T11" s="1290"/>
      <c r="U11" s="1352" t="str">
        <f t="shared" si="1"/>
        <v>n/a</v>
      </c>
      <c r="V11" s="1352" t="str">
        <f t="shared" si="2"/>
        <v>n/a</v>
      </c>
      <c r="W11" s="1352" t="str">
        <f t="shared" si="3"/>
        <v>n/a</v>
      </c>
      <c r="X11" s="1352" t="str">
        <f>'Capital IQ Sheet-STM'!U12</f>
        <v>n/a</v>
      </c>
      <c r="Y11" s="1352" t="str">
        <f>'Capital IQ Sheet-STM'!V12</f>
        <v>n/a</v>
      </c>
      <c r="Z11" s="1290"/>
      <c r="AA11" s="465" t="str">
        <f>'Capital IQ Sheet-STM'!X12</f>
        <v>n/a</v>
      </c>
      <c r="AB11" s="465" t="str">
        <f>'Capital IQ Sheet-STM'!Y12</f>
        <v>n/a</v>
      </c>
      <c r="AC11" s="465" t="str">
        <f>'Capital IQ Sheet-STM'!Z12</f>
        <v>n/a</v>
      </c>
      <c r="AD11" s="1290"/>
      <c r="AE11" s="1352" t="str">
        <f t="shared" si="4"/>
        <v>n/a</v>
      </c>
      <c r="AF11" s="1352" t="str">
        <f t="shared" si="5"/>
        <v>n/a</v>
      </c>
      <c r="AG11" s="627" t="str">
        <f>'Capital IQ Sheet-STM'!AD12</f>
        <v>n/a</v>
      </c>
      <c r="AI11" s="1349" t="str">
        <f>IFERROR('Capital IQ Sheet-STM'!AH12,"n/a")</f>
        <v>NM</v>
      </c>
      <c r="AJ11" s="1349" t="str">
        <f>IFERROR('Capital IQ Sheet-STM'!AI12,"n/a")</f>
        <v>NM</v>
      </c>
      <c r="AL11" s="285"/>
    </row>
    <row r="12" spans="2:44" s="1350" customFormat="1" ht="14.85" customHeight="1">
      <c r="B12" s="627">
        <f>IFERROR('Capital IQ Sheet-STM'!B13,"n/a")</f>
        <v>42689</v>
      </c>
      <c r="C12" s="627" t="str">
        <f>'Capital IQ Sheet-STM'!C13</f>
        <v>Marina Biotech, Inc. (nka:Adhera Therapeutics, Inc.)</v>
      </c>
      <c r="D12" s="627" t="str">
        <f>'Capital IQ Sheet-STM'!D13</f>
        <v>Marina Biotech, Inc.</v>
      </c>
      <c r="E12" s="627" t="str">
        <f>'Capital IQ Sheet-STM'!E13</f>
        <v>Biotechnology</v>
      </c>
      <c r="F12" s="1349">
        <f>IFERROR('Capital IQ Sheet-STM'!F13,"n/a")</f>
        <v>1</v>
      </c>
      <c r="G12" s="627" t="str">
        <f>'Capital IQ Sheet-STM'!G13</f>
        <v>Majority</v>
      </c>
      <c r="J12" s="2014" t="str">
        <f>IFERROR('Capital IQ Sheet-STM'!AF13,"n/a")</f>
        <v>n/a</v>
      </c>
      <c r="L12" s="1351" t="str">
        <f>'Capital IQ Sheet-STM'!I13</f>
        <v>n/a</v>
      </c>
      <c r="M12" s="1351">
        <f>'Capital IQ Sheet-STM'!J13</f>
        <v>0</v>
      </c>
      <c r="N12" s="1351" t="str">
        <f>'Capital IQ Sheet-STM'!K13</f>
        <v>n/a</v>
      </c>
      <c r="O12" s="1351" t="str">
        <f>'Capital IQ Sheet-STM'!L13</f>
        <v>n/a</v>
      </c>
      <c r="P12" s="1290"/>
      <c r="Q12" s="1351">
        <f>'Capital IQ Sheet-STM'!N13</f>
        <v>0.5</v>
      </c>
      <c r="R12" s="1351" t="str">
        <f>'Capital IQ Sheet-STM'!O13</f>
        <v>n/a</v>
      </c>
      <c r="S12" s="1351">
        <f>'Capital IQ Sheet-STM'!P13</f>
        <v>-2.5230000000000001</v>
      </c>
      <c r="T12" s="1290"/>
      <c r="U12" s="1352" t="str">
        <f t="shared" si="1"/>
        <v>n/a</v>
      </c>
      <c r="V12" s="1352" t="str">
        <f t="shared" si="2"/>
        <v>n/a</v>
      </c>
      <c r="W12" s="1352" t="str">
        <f t="shared" si="3"/>
        <v>n/a</v>
      </c>
      <c r="X12" s="1352" t="str">
        <f>'Capital IQ Sheet-STM'!U13</f>
        <v>n/a</v>
      </c>
      <c r="Y12" s="1352" t="str">
        <f>'Capital IQ Sheet-STM'!V13</f>
        <v>n/a</v>
      </c>
      <c r="Z12" s="1290"/>
      <c r="AA12" s="465" t="str">
        <f>'Capital IQ Sheet-STM'!X13</f>
        <v>n/a</v>
      </c>
      <c r="AB12" s="465" t="str">
        <f>'Capital IQ Sheet-STM'!Y13</f>
        <v>n/a</v>
      </c>
      <c r="AC12" s="465" t="str">
        <f>'Capital IQ Sheet-STM'!Z13</f>
        <v>n/a</v>
      </c>
      <c r="AD12" s="1290"/>
      <c r="AE12" s="1352" t="str">
        <f t="shared" si="4"/>
        <v>n/a</v>
      </c>
      <c r="AF12" s="1352" t="str">
        <f t="shared" si="5"/>
        <v>n/a</v>
      </c>
      <c r="AG12" s="627" t="str">
        <f>'Capital IQ Sheet-STM'!AD13</f>
        <v>n/a</v>
      </c>
      <c r="AI12" s="1349" t="str">
        <f>IFERROR('Capital IQ Sheet-STM'!AH13,"n/a")</f>
        <v>NM</v>
      </c>
      <c r="AJ12" s="1349" t="str">
        <f>IFERROR('Capital IQ Sheet-STM'!AI13,"n/a")</f>
        <v>NM</v>
      </c>
      <c r="AL12" s="1353"/>
    </row>
    <row r="13" spans="2:44" s="1350" customFormat="1" ht="14.85" customHeight="1">
      <c r="B13" s="627">
        <f>IFERROR('Capital IQ Sheet-STM'!B14,"n/a")</f>
        <v>42675</v>
      </c>
      <c r="C13" s="627" t="str">
        <f>'Capital IQ Sheet-STM'!C14</f>
        <v>Allergan plc</v>
      </c>
      <c r="D13" s="627" t="str">
        <f>'Capital IQ Sheet-STM'!D14</f>
        <v>Tobira Therapeutics, Inc.</v>
      </c>
      <c r="E13" s="627" t="str">
        <f>'Capital IQ Sheet-STM'!E14</f>
        <v>Biotechnology</v>
      </c>
      <c r="F13" s="1349">
        <f>IFERROR('Capital IQ Sheet-STM'!F14,"n/a")</f>
        <v>1</v>
      </c>
      <c r="G13" s="627" t="str">
        <f>'Capital IQ Sheet-STM'!G14</f>
        <v>Majority</v>
      </c>
      <c r="J13" s="2014" t="str">
        <f>IFERROR('Capital IQ Sheet-STM'!AF14,"n/a")</f>
        <v>Phase III</v>
      </c>
      <c r="L13" s="1351">
        <f>'Capital IQ Sheet-STM'!I14</f>
        <v>1661.6181300000001</v>
      </c>
      <c r="M13" s="1351">
        <f>'Capital IQ Sheet-STM'!J14</f>
        <v>533.58190000000002</v>
      </c>
      <c r="N13" s="1351">
        <f>'Capital IQ Sheet-STM'!K14</f>
        <v>938.05015000000003</v>
      </c>
      <c r="O13" s="1351">
        <f>'Capital IQ Sheet-STM'!L14</f>
        <v>1702.3101300000001</v>
      </c>
      <c r="P13" s="1290"/>
      <c r="Q13" s="1351">
        <f>'Capital IQ Sheet-STM'!N14</f>
        <v>1.165</v>
      </c>
      <c r="R13" s="1351">
        <f>'Capital IQ Sheet-STM'!O14</f>
        <v>-41.228999999999999</v>
      </c>
      <c r="S13" s="1351">
        <f>'Capital IQ Sheet-STM'!P14</f>
        <v>-41.347999999999999</v>
      </c>
      <c r="T13" s="1290"/>
      <c r="U13" s="1352" t="str">
        <f t="shared" si="1"/>
        <v>NM</v>
      </c>
      <c r="V13" s="1352" t="str">
        <f t="shared" si="2"/>
        <v>NM</v>
      </c>
      <c r="W13" s="1352" t="str">
        <f t="shared" si="3"/>
        <v>NM</v>
      </c>
      <c r="X13" s="1352">
        <f>'Capital IQ Sheet-STM'!U14</f>
        <v>27.005870000000002</v>
      </c>
      <c r="Y13" s="1352" t="str">
        <f>'Capital IQ Sheet-STM'!V14</f>
        <v>NM</v>
      </c>
      <c r="Z13" s="1290"/>
      <c r="AA13" s="465">
        <f>'Capital IQ Sheet-STM'!X14</f>
        <v>0.1125</v>
      </c>
      <c r="AB13" s="465" t="str">
        <f>'Capital IQ Sheet-STM'!Y14</f>
        <v>n/a</v>
      </c>
      <c r="AC13" s="465" t="str">
        <f>'Capital IQ Sheet-STM'!Z14</f>
        <v>NM</v>
      </c>
      <c r="AD13" s="1290"/>
      <c r="AE13" s="1352">
        <f t="shared" si="4"/>
        <v>14769.938933333333</v>
      </c>
      <c r="AF13" s="1352" t="str">
        <f t="shared" si="5"/>
        <v>n/a</v>
      </c>
      <c r="AG13" s="627" t="str">
        <f>'Capital IQ Sheet-STM'!AD14</f>
        <v>n/a</v>
      </c>
      <c r="AI13" s="1349">
        <f>IFERROR('Capital IQ Sheet-STM'!AH14,"n/a")</f>
        <v>5.2444930000000003</v>
      </c>
      <c r="AJ13" s="1349">
        <f>IFERROR('Capital IQ Sheet-STM'!AI14,"n/a")</f>
        <v>4.8213549999999996</v>
      </c>
      <c r="AL13" s="1353"/>
    </row>
    <row r="14" spans="2:44" s="1350" customFormat="1" ht="29.45" customHeight="1">
      <c r="B14" s="627">
        <f>IFERROR('Capital IQ Sheet-STM'!B15,"n/a")</f>
        <v>42619</v>
      </c>
      <c r="C14" s="627" t="str">
        <f>'Capital IQ Sheet-STM'!C15</f>
        <v>Allergan plc</v>
      </c>
      <c r="D14" s="627" t="str">
        <f>'Capital IQ Sheet-STM'!D15</f>
        <v>RetroSense Therapeutics, LLC</v>
      </c>
      <c r="E14" s="627" t="str">
        <f>'Capital IQ Sheet-STM'!E15</f>
        <v>Biotechnology</v>
      </c>
      <c r="F14" s="1349">
        <f>IFERROR('Capital IQ Sheet-STM'!F15,"n/a")</f>
        <v>1</v>
      </c>
      <c r="G14" s="627" t="str">
        <f>'Capital IQ Sheet-STM'!G15</f>
        <v>Majority</v>
      </c>
      <c r="J14" s="2014" t="str">
        <f>IFERROR('Capital IQ Sheet-STM'!AF15,"n/a")</f>
        <v>Pre-clinical / Phase I</v>
      </c>
      <c r="L14" s="1351">
        <f>'Capital IQ Sheet-STM'!I15</f>
        <v>555</v>
      </c>
      <c r="M14" s="1351">
        <f>'Capital IQ Sheet-STM'!J15</f>
        <v>60</v>
      </c>
      <c r="N14" s="1351">
        <f>'Capital IQ Sheet-STM'!K15</f>
        <v>495</v>
      </c>
      <c r="O14" s="1351">
        <f>'Capital IQ Sheet-STM'!L15</f>
        <v>555</v>
      </c>
      <c r="P14" s="1290"/>
      <c r="Q14" s="1351" t="str">
        <f>'Capital IQ Sheet-STM'!N15</f>
        <v>n/a</v>
      </c>
      <c r="R14" s="1351" t="str">
        <f>'Capital IQ Sheet-STM'!O15</f>
        <v>n/a</v>
      </c>
      <c r="S14" s="1351" t="str">
        <f>'Capital IQ Sheet-STM'!P15</f>
        <v>n/a</v>
      </c>
      <c r="T14" s="1290"/>
      <c r="U14" s="1352" t="str">
        <f t="shared" si="1"/>
        <v>n/a</v>
      </c>
      <c r="V14" s="1352" t="str">
        <f t="shared" si="2"/>
        <v>n/a</v>
      </c>
      <c r="W14" s="1352" t="str">
        <f t="shared" si="3"/>
        <v>n/a</v>
      </c>
      <c r="X14" s="1352" t="str">
        <f>'Capital IQ Sheet-STM'!U15</f>
        <v>n/a</v>
      </c>
      <c r="Y14" s="1352" t="str">
        <f>'Capital IQ Sheet-STM'!V15</f>
        <v>n/a</v>
      </c>
      <c r="Z14" s="1290"/>
      <c r="AA14" s="465" t="str">
        <f>'Capital IQ Sheet-STM'!X15</f>
        <v>n/a</v>
      </c>
      <c r="AB14" s="465" t="str">
        <f>'Capital IQ Sheet-STM'!Y15</f>
        <v>n/a</v>
      </c>
      <c r="AC14" s="465" t="str">
        <f>'Capital IQ Sheet-STM'!Z15</f>
        <v>n/a</v>
      </c>
      <c r="AD14" s="1290"/>
      <c r="AE14" s="1352" t="str">
        <f t="shared" si="4"/>
        <v>n/a</v>
      </c>
      <c r="AF14" s="1352" t="str">
        <f t="shared" si="5"/>
        <v>n/a</v>
      </c>
      <c r="AG14" s="627" t="str">
        <f>'Capital IQ Sheet-STM'!AD15</f>
        <v>n/a</v>
      </c>
      <c r="AI14" s="1349" t="str">
        <f>IFERROR('Capital IQ Sheet-STM'!AH15,"n/a")</f>
        <v>NM</v>
      </c>
      <c r="AJ14" s="1349" t="str">
        <f>IFERROR('Capital IQ Sheet-STM'!AI15,"n/a")</f>
        <v>NM</v>
      </c>
      <c r="AL14" s="1353"/>
    </row>
    <row r="15" spans="2:44" s="1350" customFormat="1" ht="14.85" customHeight="1">
      <c r="B15" s="627">
        <f>IFERROR('Capital IQ Sheet-STM'!B16,"n/a")</f>
        <v>42501</v>
      </c>
      <c r="C15" s="627" t="str">
        <f>'Capital IQ Sheet-STM'!C16</f>
        <v>Avalanche Biotechnologies, Inc. (nka:Adverum Biotechnologies, Inc.)</v>
      </c>
      <c r="D15" s="627" t="str">
        <f>'Capital IQ Sheet-STM'!D16</f>
        <v>Annapurna Therapeutics SAS</v>
      </c>
      <c r="E15" s="627" t="str">
        <f>'Capital IQ Sheet-STM'!E16</f>
        <v>Biotechnology</v>
      </c>
      <c r="F15" s="1349">
        <f>IFERROR('Capital IQ Sheet-STM'!F16,"n/a")</f>
        <v>1</v>
      </c>
      <c r="G15" s="627" t="str">
        <f>'Capital IQ Sheet-STM'!G16</f>
        <v>Majority</v>
      </c>
      <c r="J15" s="2014" t="str">
        <f>IFERROR('Capital IQ Sheet-STM'!AF16,"n/a")</f>
        <v>Pre-clinical</v>
      </c>
      <c r="L15" s="1351">
        <f>'Capital IQ Sheet-STM'!I16</f>
        <v>78.811130000000006</v>
      </c>
      <c r="M15" s="1351">
        <f>'Capital IQ Sheet-STM'!J16</f>
        <v>0</v>
      </c>
      <c r="N15" s="1351" t="str">
        <f>'Capital IQ Sheet-STM'!K16</f>
        <v>n/a</v>
      </c>
      <c r="O15" s="1351">
        <f>'Capital IQ Sheet-STM'!L16</f>
        <v>78.811130000000006</v>
      </c>
      <c r="P15" s="1290"/>
      <c r="Q15" s="1351" t="str">
        <f>'Capital IQ Sheet-STM'!N16</f>
        <v>n/a</v>
      </c>
      <c r="R15" s="1351" t="str">
        <f>'Capital IQ Sheet-STM'!O16</f>
        <v>n/a</v>
      </c>
      <c r="S15" s="1351" t="str">
        <f>'Capital IQ Sheet-STM'!P16</f>
        <v>n/a</v>
      </c>
      <c r="T15" s="1290"/>
      <c r="U15" s="1352" t="str">
        <f t="shared" si="1"/>
        <v>n/a</v>
      </c>
      <c r="V15" s="1352" t="str">
        <f t="shared" si="2"/>
        <v>n/a</v>
      </c>
      <c r="W15" s="1352" t="str">
        <f t="shared" si="3"/>
        <v>n/a</v>
      </c>
      <c r="X15" s="1352" t="str">
        <f>'Capital IQ Sheet-STM'!U16</f>
        <v>n/a</v>
      </c>
      <c r="Y15" s="1352" t="str">
        <f>'Capital IQ Sheet-STM'!V16</f>
        <v>n/a</v>
      </c>
      <c r="Z15" s="1290"/>
      <c r="AA15" s="465" t="str">
        <f>'Capital IQ Sheet-STM'!X16</f>
        <v>n/a</v>
      </c>
      <c r="AB15" s="465" t="str">
        <f>'Capital IQ Sheet-STM'!Y16</f>
        <v>n/a</v>
      </c>
      <c r="AC15" s="465" t="str">
        <f>'Capital IQ Sheet-STM'!Z16</f>
        <v>n/a</v>
      </c>
      <c r="AD15" s="1290"/>
      <c r="AE15" s="1352" t="str">
        <f t="shared" si="4"/>
        <v>n/a</v>
      </c>
      <c r="AF15" s="1352" t="str">
        <f t="shared" si="5"/>
        <v>n/a</v>
      </c>
      <c r="AG15" s="627" t="str">
        <f>'Capital IQ Sheet-STM'!AD16</f>
        <v>n/a</v>
      </c>
      <c r="AI15" s="1349" t="str">
        <f>IFERROR('Capital IQ Sheet-STM'!AH16,"n/a")</f>
        <v>NM</v>
      </c>
      <c r="AJ15" s="1349" t="str">
        <f>IFERROR('Capital IQ Sheet-STM'!AI16,"n/a")</f>
        <v>NM</v>
      </c>
      <c r="AL15" s="1353"/>
    </row>
    <row r="16" spans="2:44" s="1350" customFormat="1" ht="14.85" customHeight="1">
      <c r="B16" s="627">
        <f>IFERROR('Capital IQ Sheet-STM'!B17,"n/a")</f>
        <v>42436</v>
      </c>
      <c r="C16" s="627" t="str">
        <f>'Capital IQ Sheet-STM'!C17</f>
        <v>Spark Therapeutics, Inc.</v>
      </c>
      <c r="D16" s="627" t="str">
        <f>'Capital IQ Sheet-STM'!D17</f>
        <v>Genable Technologies Limited</v>
      </c>
      <c r="E16" s="627" t="str">
        <f>'Capital IQ Sheet-STM'!E17</f>
        <v>Biotechnology</v>
      </c>
      <c r="F16" s="1349">
        <f>IFERROR('Capital IQ Sheet-STM'!F17,"n/a")</f>
        <v>1</v>
      </c>
      <c r="G16" s="627" t="str">
        <f>'Capital IQ Sheet-STM'!G17</f>
        <v>Majority</v>
      </c>
      <c r="J16" s="2014" t="str">
        <f>IFERROR('Capital IQ Sheet-STM'!AF17,"n/a")</f>
        <v>Pre-clinical</v>
      </c>
      <c r="L16" s="1351">
        <f>'Capital IQ Sheet-STM'!I17</f>
        <v>15.250450000000001</v>
      </c>
      <c r="M16" s="1351">
        <f>'Capital IQ Sheet-STM'!J17</f>
        <v>15.3</v>
      </c>
      <c r="N16" s="1351" t="str">
        <f>'Capital IQ Sheet-STM'!K17</f>
        <v>n/a</v>
      </c>
      <c r="O16" s="1351">
        <f>'Capital IQ Sheet-STM'!L17</f>
        <v>15.3</v>
      </c>
      <c r="P16" s="1290"/>
      <c r="Q16" s="1351" t="str">
        <f>'Capital IQ Sheet-STM'!N17</f>
        <v>n/a</v>
      </c>
      <c r="R16" s="1351" t="str">
        <f>'Capital IQ Sheet-STM'!O17</f>
        <v>n/a</v>
      </c>
      <c r="S16" s="1351" t="str">
        <f>'Capital IQ Sheet-STM'!P17</f>
        <v>n/a</v>
      </c>
      <c r="T16" s="1290"/>
      <c r="U16" s="1352" t="str">
        <f t="shared" si="1"/>
        <v>n/a</v>
      </c>
      <c r="V16" s="1352" t="str">
        <f t="shared" si="2"/>
        <v>n/a</v>
      </c>
      <c r="W16" s="1352" t="str">
        <f t="shared" si="3"/>
        <v>n/a</v>
      </c>
      <c r="X16" s="1352" t="str">
        <f>'Capital IQ Sheet-STM'!U17</f>
        <v>n/a</v>
      </c>
      <c r="Y16" s="1352" t="str">
        <f>'Capital IQ Sheet-STM'!V17</f>
        <v>n/a</v>
      </c>
      <c r="Z16" s="1290"/>
      <c r="AA16" s="465" t="str">
        <f>'Capital IQ Sheet-STM'!X17</f>
        <v>n/a</v>
      </c>
      <c r="AB16" s="465" t="str">
        <f>'Capital IQ Sheet-STM'!Y17</f>
        <v>n/a</v>
      </c>
      <c r="AC16" s="465" t="str">
        <f>'Capital IQ Sheet-STM'!Z17</f>
        <v>n/a</v>
      </c>
      <c r="AD16" s="1290"/>
      <c r="AE16" s="1352" t="str">
        <f t="shared" si="4"/>
        <v>n/a</v>
      </c>
      <c r="AF16" s="1352" t="str">
        <f t="shared" si="5"/>
        <v>n/a</v>
      </c>
      <c r="AG16" s="627" t="str">
        <f>'Capital IQ Sheet-STM'!AD17</f>
        <v>n/a</v>
      </c>
      <c r="AI16" s="1349" t="str">
        <f>IFERROR('Capital IQ Sheet-STM'!AH17,"n/a")</f>
        <v>NM</v>
      </c>
      <c r="AJ16" s="1349" t="str">
        <f>IFERROR('Capital IQ Sheet-STM'!AI17,"n/a")</f>
        <v>NM</v>
      </c>
      <c r="AL16" s="1353"/>
    </row>
    <row r="17" spans="2:38" s="1350" customFormat="1" ht="14.85" customHeight="1">
      <c r="B17" s="627">
        <f>IFERROR('Capital IQ Sheet-STM'!B18,"n/a")</f>
        <v>42247</v>
      </c>
      <c r="C17" s="627" t="str">
        <f>'Capital IQ Sheet-STM'!C18</f>
        <v>Audentes Therapeutics, Inc.</v>
      </c>
      <c r="D17" s="627" t="str">
        <f>'Capital IQ Sheet-STM'!D18</f>
        <v>Cardiogen Sciences, Inc.</v>
      </c>
      <c r="E17" s="627" t="str">
        <f>'Capital IQ Sheet-STM'!E18</f>
        <v>n/a</v>
      </c>
      <c r="F17" s="1349">
        <f>IFERROR('Capital IQ Sheet-STM'!F18,"n/a")</f>
        <v>1</v>
      </c>
      <c r="G17" s="627" t="str">
        <f>'Capital IQ Sheet-STM'!G18</f>
        <v>Majority</v>
      </c>
      <c r="J17" s="2014" t="str">
        <f>IFERROR('Capital IQ Sheet-STM'!AF18,"n/a")</f>
        <v>Pre-clinical</v>
      </c>
      <c r="L17" s="1351" t="str">
        <f>'Capital IQ Sheet-STM'!I18</f>
        <v>n/a</v>
      </c>
      <c r="M17" s="1351">
        <f>'Capital IQ Sheet-STM'!J18</f>
        <v>0</v>
      </c>
      <c r="N17" s="1351" t="str">
        <f>'Capital IQ Sheet-STM'!K18</f>
        <v>n/a</v>
      </c>
      <c r="O17" s="1351" t="str">
        <f>'Capital IQ Sheet-STM'!L18</f>
        <v>n/a</v>
      </c>
      <c r="P17" s="1290"/>
      <c r="Q17" s="1351" t="str">
        <f>'Capital IQ Sheet-STM'!N18</f>
        <v>n/a</v>
      </c>
      <c r="R17" s="1351" t="str">
        <f>'Capital IQ Sheet-STM'!O18</f>
        <v>n/a</v>
      </c>
      <c r="S17" s="1351" t="str">
        <f>'Capital IQ Sheet-STM'!P18</f>
        <v>n/a</v>
      </c>
      <c r="T17" s="1290"/>
      <c r="U17" s="1352" t="str">
        <f t="shared" si="1"/>
        <v>n/a</v>
      </c>
      <c r="V17" s="1352" t="str">
        <f t="shared" si="2"/>
        <v>n/a</v>
      </c>
      <c r="W17" s="1352" t="str">
        <f t="shared" si="3"/>
        <v>n/a</v>
      </c>
      <c r="X17" s="1352" t="str">
        <f>'Capital IQ Sheet-STM'!U18</f>
        <v>n/a</v>
      </c>
      <c r="Y17" s="1352" t="str">
        <f>'Capital IQ Sheet-STM'!V18</f>
        <v>n/a</v>
      </c>
      <c r="Z17" s="1290"/>
      <c r="AA17" s="465" t="str">
        <f>'Capital IQ Sheet-STM'!X18</f>
        <v>n/a</v>
      </c>
      <c r="AB17" s="465" t="str">
        <f>'Capital IQ Sheet-STM'!Y18</f>
        <v>n/a</v>
      </c>
      <c r="AC17" s="465" t="str">
        <f>'Capital IQ Sheet-STM'!Z18</f>
        <v>n/a</v>
      </c>
      <c r="AD17" s="1290"/>
      <c r="AE17" s="1352" t="str">
        <f t="shared" si="4"/>
        <v>n/a</v>
      </c>
      <c r="AF17" s="1352" t="str">
        <f t="shared" si="5"/>
        <v>n/a</v>
      </c>
      <c r="AG17" s="627" t="str">
        <f>'Capital IQ Sheet-STM'!AD18</f>
        <v>n/a</v>
      </c>
      <c r="AI17" s="1349" t="str">
        <f>IFERROR('Capital IQ Sheet-STM'!AH18,"n/a")</f>
        <v>NM</v>
      </c>
      <c r="AJ17" s="1349" t="str">
        <f>IFERROR('Capital IQ Sheet-STM'!AI18,"n/a")</f>
        <v>NM</v>
      </c>
      <c r="AL17" s="1353"/>
    </row>
    <row r="18" spans="2:38" s="1350" customFormat="1" ht="14.85" customHeight="1">
      <c r="B18" s="627">
        <f>IFERROR('Capital IQ Sheet-STM'!B19,"n/a")</f>
        <v>42139</v>
      </c>
      <c r="C18" s="627" t="str">
        <f>'Capital IQ Sheet-STM'!C19</f>
        <v>PlasmaTech Biopharmaceuticals, Inc. (nka:Abeona Therapeutics Inc.)</v>
      </c>
      <c r="D18" s="627" t="str">
        <f>'Capital IQ Sheet-STM'!D19</f>
        <v>Abeona Therapeutics LLC</v>
      </c>
      <c r="E18" s="627" t="str">
        <f>'Capital IQ Sheet-STM'!E19</f>
        <v>Biotechnology</v>
      </c>
      <c r="F18" s="1349">
        <f>IFERROR('Capital IQ Sheet-STM'!F19,"n/a")</f>
        <v>1</v>
      </c>
      <c r="G18" s="627" t="str">
        <f>'Capital IQ Sheet-STM'!G19</f>
        <v>Majority</v>
      </c>
      <c r="J18" s="2014" t="str">
        <f>IFERROR('Capital IQ Sheet-STM'!AF19,"n/a")</f>
        <v>n/a</v>
      </c>
      <c r="L18" s="1351">
        <f>'Capital IQ Sheet-STM'!I19</f>
        <v>42.191209999999998</v>
      </c>
      <c r="M18" s="1351">
        <f>'Capital IQ Sheet-STM'!J19</f>
        <v>21.38326</v>
      </c>
      <c r="N18" s="1351">
        <f>'Capital IQ Sheet-STM'!K19</f>
        <v>11.375920000000001</v>
      </c>
      <c r="O18" s="1351">
        <f>'Capital IQ Sheet-STM'!L19</f>
        <v>32.759169999999997</v>
      </c>
      <c r="P18" s="1290"/>
      <c r="Q18" s="1351" t="str">
        <f>'Capital IQ Sheet-STM'!N19</f>
        <v>n/a</v>
      </c>
      <c r="R18" s="1351" t="str">
        <f>'Capital IQ Sheet-STM'!O19</f>
        <v>n/a</v>
      </c>
      <c r="S18" s="1351" t="str">
        <f>'Capital IQ Sheet-STM'!P19</f>
        <v>n/a</v>
      </c>
      <c r="T18" s="1290"/>
      <c r="U18" s="1352" t="str">
        <f t="shared" si="1"/>
        <v>n/a</v>
      </c>
      <c r="V18" s="1352" t="str">
        <f t="shared" si="2"/>
        <v>n/a</v>
      </c>
      <c r="W18" s="1352" t="str">
        <f t="shared" si="3"/>
        <v>n/a</v>
      </c>
      <c r="X18" s="1352">
        <f>'Capital IQ Sheet-STM'!U19</f>
        <v>5.1156100000000002</v>
      </c>
      <c r="Y18" s="1352" t="str">
        <f>'Capital IQ Sheet-STM'!V19</f>
        <v>NM</v>
      </c>
      <c r="Z18" s="1290"/>
      <c r="AA18" s="465" t="str">
        <f>'Capital IQ Sheet-STM'!X19</f>
        <v>n/a</v>
      </c>
      <c r="AB18" s="465" t="str">
        <f>'Capital IQ Sheet-STM'!Y19</f>
        <v>n/a</v>
      </c>
      <c r="AC18" s="465" t="str">
        <f>'Capital IQ Sheet-STM'!Z19</f>
        <v>n/a</v>
      </c>
      <c r="AD18" s="1290"/>
      <c r="AE18" s="1352" t="str">
        <f t="shared" si="4"/>
        <v>n/a</v>
      </c>
      <c r="AF18" s="1352" t="str">
        <f t="shared" si="5"/>
        <v>n/a</v>
      </c>
      <c r="AG18" s="627" t="str">
        <f>'Capital IQ Sheet-STM'!AD19</f>
        <v>n/a</v>
      </c>
      <c r="AI18" s="1349" t="str">
        <f>IFERROR('Capital IQ Sheet-STM'!AH19,"n/a")</f>
        <v>NM</v>
      </c>
      <c r="AJ18" s="1349" t="str">
        <f>IFERROR('Capital IQ Sheet-STM'!AI19,"n/a")</f>
        <v>NM</v>
      </c>
      <c r="AL18" s="1353"/>
    </row>
    <row r="19" spans="2:38" s="1350" customFormat="1" ht="14.85" customHeight="1">
      <c r="B19" s="627">
        <f>IFERROR('Capital IQ Sheet-STM'!B20,"n/a")</f>
        <v>42066</v>
      </c>
      <c r="C19" s="627" t="str">
        <f>'Capital IQ Sheet-STM'!C20</f>
        <v>Arrowhead Research Corp. (nka:Arrowhead Pharmaceuticals, Inc.)</v>
      </c>
      <c r="D19" s="627" t="str">
        <f>'Capital IQ Sheet-STM'!D20</f>
        <v>Novartis Institutes for BioMedical Research, Inc., RNAi Assets</v>
      </c>
      <c r="E19" s="627" t="str">
        <f>'Capital IQ Sheet-STM'!E20</f>
        <v>Pharmaceuticals</v>
      </c>
      <c r="F19" s="1349">
        <f>IFERROR('Capital IQ Sheet-STM'!F20,"n/a")</f>
        <v>1</v>
      </c>
      <c r="G19" s="627" t="str">
        <f>'Capital IQ Sheet-STM'!G20</f>
        <v>Majority</v>
      </c>
      <c r="J19" s="2014" t="str">
        <f>IFERROR('Capital IQ Sheet-STM'!AF20,"n/a")</f>
        <v>Pre-clinical</v>
      </c>
      <c r="L19" s="1351">
        <f>'Capital IQ Sheet-STM'!I20</f>
        <v>34.367469999999997</v>
      </c>
      <c r="M19" s="1351">
        <f>'Capital IQ Sheet-STM'!J20</f>
        <v>17</v>
      </c>
      <c r="N19" s="1351">
        <f>'Capital IQ Sheet-STM'!K20</f>
        <v>17.999960000000002</v>
      </c>
      <c r="O19" s="1351">
        <f>'Capital IQ Sheet-STM'!L20</f>
        <v>34.999960000000002</v>
      </c>
      <c r="P19" s="1290"/>
      <c r="Q19" s="1351" t="str">
        <f>'Capital IQ Sheet-STM'!N20</f>
        <v>n/a</v>
      </c>
      <c r="R19" s="1351" t="str">
        <f>'Capital IQ Sheet-STM'!O20</f>
        <v>n/a</v>
      </c>
      <c r="S19" s="1351" t="str">
        <f>'Capital IQ Sheet-STM'!P20</f>
        <v>n/a</v>
      </c>
      <c r="T19" s="1290"/>
      <c r="U19" s="1352" t="str">
        <f t="shared" si="1"/>
        <v>n/a</v>
      </c>
      <c r="V19" s="1352" t="str">
        <f t="shared" si="2"/>
        <v>n/a</v>
      </c>
      <c r="W19" s="1352" t="str">
        <f t="shared" si="3"/>
        <v>n/a</v>
      </c>
      <c r="X19" s="1352" t="str">
        <f>'Capital IQ Sheet-STM'!U20</f>
        <v>n/a</v>
      </c>
      <c r="Y19" s="1352" t="str">
        <f>'Capital IQ Sheet-STM'!V20</f>
        <v>n/a</v>
      </c>
      <c r="Z19" s="1290"/>
      <c r="AA19" s="465" t="str">
        <f>'Capital IQ Sheet-STM'!X20</f>
        <v>n/a</v>
      </c>
      <c r="AB19" s="465" t="str">
        <f>'Capital IQ Sheet-STM'!Y20</f>
        <v>n/a</v>
      </c>
      <c r="AC19" s="465" t="str">
        <f>'Capital IQ Sheet-STM'!Z20</f>
        <v>n/a</v>
      </c>
      <c r="AD19" s="1290"/>
      <c r="AE19" s="1352" t="str">
        <f t="shared" si="4"/>
        <v>n/a</v>
      </c>
      <c r="AF19" s="1352" t="str">
        <f t="shared" si="5"/>
        <v>n/a</v>
      </c>
      <c r="AG19" s="627" t="str">
        <f>'Capital IQ Sheet-STM'!AD20</f>
        <v>n/a</v>
      </c>
      <c r="AI19" s="1349" t="str">
        <f>IFERROR('Capital IQ Sheet-STM'!AH20,"n/a")</f>
        <v>NM</v>
      </c>
      <c r="AJ19" s="1349" t="str">
        <f>IFERROR('Capital IQ Sheet-STM'!AI20,"n/a")</f>
        <v>NM</v>
      </c>
      <c r="AL19" s="1353"/>
    </row>
    <row r="20" spans="2:38" s="1350" customFormat="1" ht="14.85" customHeight="1">
      <c r="B20" s="627">
        <f>IFERROR('Capital IQ Sheet-STM'!B21,"n/a")</f>
        <v>41856</v>
      </c>
      <c r="C20" s="627" t="str">
        <f>'Capital IQ Sheet-STM'!C21</f>
        <v>Regen BioPharma, Inc.</v>
      </c>
      <c r="D20" s="627" t="str">
        <f>'Capital IQ Sheet-STM'!D21</f>
        <v>Benitec Australia Ltd., License To Develop Cancer Vaccines Using ddRNAi Gene Silencing Technology</v>
      </c>
      <c r="E20" s="627" t="str">
        <f>'Capital IQ Sheet-STM'!E21</f>
        <v>Pharmaceuticals</v>
      </c>
      <c r="F20" s="1349">
        <f>IFERROR('Capital IQ Sheet-STM'!F21,"n/a")</f>
        <v>1</v>
      </c>
      <c r="G20" s="627" t="str">
        <f>'Capital IQ Sheet-STM'!G21</f>
        <v>Majority</v>
      </c>
      <c r="J20" s="2014" t="str">
        <f>IFERROR('Capital IQ Sheet-STM'!AF21,"n/a")</f>
        <v>n/a</v>
      </c>
      <c r="L20" s="1351">
        <f>'Capital IQ Sheet-STM'!I21</f>
        <v>3.64798</v>
      </c>
      <c r="M20" s="1351">
        <f>'Capital IQ Sheet-STM'!J21</f>
        <v>5.1389999999999998E-2</v>
      </c>
      <c r="N20" s="1351">
        <f>'Capital IQ Sheet-STM'!K21</f>
        <v>3.6</v>
      </c>
      <c r="O20" s="1351">
        <f>'Capital IQ Sheet-STM'!L21</f>
        <v>3.6513900000000001</v>
      </c>
      <c r="P20" s="1290"/>
      <c r="Q20" s="1351" t="str">
        <f>'Capital IQ Sheet-STM'!N21</f>
        <v>n/a</v>
      </c>
      <c r="R20" s="1351" t="str">
        <f>'Capital IQ Sheet-STM'!O21</f>
        <v>n/a</v>
      </c>
      <c r="S20" s="1351" t="str">
        <f>'Capital IQ Sheet-STM'!P21</f>
        <v>n/a</v>
      </c>
      <c r="T20" s="1290"/>
      <c r="U20" s="1352" t="str">
        <f t="shared" si="1"/>
        <v>n/a</v>
      </c>
      <c r="V20" s="1352" t="str">
        <f t="shared" si="2"/>
        <v>n/a</v>
      </c>
      <c r="W20" s="1352" t="str">
        <f t="shared" si="3"/>
        <v>n/a</v>
      </c>
      <c r="X20" s="1352" t="str">
        <f>'Capital IQ Sheet-STM'!U21</f>
        <v>n/a</v>
      </c>
      <c r="Y20" s="1352" t="str">
        <f>'Capital IQ Sheet-STM'!V21</f>
        <v>n/a</v>
      </c>
      <c r="Z20" s="1290"/>
      <c r="AA20" s="465" t="str">
        <f>'Capital IQ Sheet-STM'!X21</f>
        <v>n/a</v>
      </c>
      <c r="AB20" s="465" t="str">
        <f>'Capital IQ Sheet-STM'!Y21</f>
        <v>n/a</v>
      </c>
      <c r="AC20" s="465" t="str">
        <f>'Capital IQ Sheet-STM'!Z21</f>
        <v>n/a</v>
      </c>
      <c r="AD20" s="1290"/>
      <c r="AE20" s="1352" t="str">
        <f t="shared" si="4"/>
        <v>n/a</v>
      </c>
      <c r="AF20" s="1352" t="str">
        <f t="shared" si="5"/>
        <v>n/a</v>
      </c>
      <c r="AG20" s="627" t="str">
        <f>'Capital IQ Sheet-STM'!AD21</f>
        <v>n/a</v>
      </c>
      <c r="AI20" s="1349" t="str">
        <f>IFERROR('Capital IQ Sheet-STM'!AH21,"n/a")</f>
        <v>NM</v>
      </c>
      <c r="AJ20" s="1349" t="str">
        <f>IFERROR('Capital IQ Sheet-STM'!AI21,"n/a")</f>
        <v>NM</v>
      </c>
      <c r="AL20" s="1353"/>
    </row>
    <row r="21" spans="2:38" s="1350" customFormat="1" ht="14.85" customHeight="1">
      <c r="B21" s="627">
        <f>IFERROR('Capital IQ Sheet-STM'!B22,"n/a")</f>
        <v>41851</v>
      </c>
      <c r="C21" s="627" t="str">
        <f>'Capital IQ Sheet-STM'!C22</f>
        <v>uniQure N.V.</v>
      </c>
      <c r="D21" s="627" t="str">
        <f>'Capital IQ Sheet-STM'!D22</f>
        <v>InoCard GmbH</v>
      </c>
      <c r="E21" s="627" t="str">
        <f>'Capital IQ Sheet-STM'!E22</f>
        <v>Biotechnology</v>
      </c>
      <c r="F21" s="1349">
        <f>IFERROR('Capital IQ Sheet-STM'!F22,"n/a")</f>
        <v>1</v>
      </c>
      <c r="G21" s="627" t="str">
        <f>'Capital IQ Sheet-STM'!G22</f>
        <v>Majority</v>
      </c>
      <c r="J21" s="2014" t="str">
        <f>IFERROR('Capital IQ Sheet-STM'!AF22,"n/a")</f>
        <v>Pre-clinical</v>
      </c>
      <c r="L21" s="1351">
        <f>'Capital IQ Sheet-STM'!I22</f>
        <v>4.1213300000000004</v>
      </c>
      <c r="M21" s="1351">
        <f>'Capital IQ Sheet-STM'!J22</f>
        <v>3</v>
      </c>
      <c r="N21" s="1351" t="str">
        <f>'Capital IQ Sheet-STM'!K22</f>
        <v>n/a</v>
      </c>
      <c r="O21" s="1351">
        <f>'Capital IQ Sheet-STM'!L22</f>
        <v>4.0152599999999996</v>
      </c>
      <c r="P21" s="1290"/>
      <c r="Q21" s="1351" t="str">
        <f>'Capital IQ Sheet-STM'!N22</f>
        <v>n/a</v>
      </c>
      <c r="R21" s="1351" t="str">
        <f>'Capital IQ Sheet-STM'!O22</f>
        <v>n/a</v>
      </c>
      <c r="S21" s="1351" t="str">
        <f>'Capital IQ Sheet-STM'!P22</f>
        <v>n/a</v>
      </c>
      <c r="T21" s="1290"/>
      <c r="U21" s="1352" t="str">
        <f t="shared" si="1"/>
        <v>n/a</v>
      </c>
      <c r="V21" s="1352" t="str">
        <f t="shared" si="2"/>
        <v>n/a</v>
      </c>
      <c r="W21" s="1352" t="str">
        <f t="shared" si="3"/>
        <v>n/a</v>
      </c>
      <c r="X21" s="1352" t="str">
        <f>'Capital IQ Sheet-STM'!U22</f>
        <v>n/a</v>
      </c>
      <c r="Y21" s="1352" t="str">
        <f>'Capital IQ Sheet-STM'!V22</f>
        <v>n/a</v>
      </c>
      <c r="Z21" s="1290"/>
      <c r="AA21" s="465" t="str">
        <f>'Capital IQ Sheet-STM'!X22</f>
        <v>n/a</v>
      </c>
      <c r="AB21" s="465" t="str">
        <f>'Capital IQ Sheet-STM'!Y22</f>
        <v>n/a</v>
      </c>
      <c r="AC21" s="465" t="str">
        <f>'Capital IQ Sheet-STM'!Z22</f>
        <v>n/a</v>
      </c>
      <c r="AD21" s="1290"/>
      <c r="AE21" s="1352" t="str">
        <f t="shared" si="4"/>
        <v>n/a</v>
      </c>
      <c r="AF21" s="1352" t="str">
        <f t="shared" si="5"/>
        <v>n/a</v>
      </c>
      <c r="AG21" s="627" t="str">
        <f>'Capital IQ Sheet-STM'!AD22</f>
        <v>n/a</v>
      </c>
      <c r="AI21" s="1349" t="str">
        <f>IFERROR('Capital IQ Sheet-STM'!AH22,"n/a")</f>
        <v>NM</v>
      </c>
      <c r="AJ21" s="1349" t="str">
        <f>IFERROR('Capital IQ Sheet-STM'!AI22,"n/a")</f>
        <v>NM</v>
      </c>
      <c r="AL21" s="1353"/>
    </row>
    <row r="22" spans="2:38" s="1350" customFormat="1" ht="14.85" customHeight="1">
      <c r="B22" s="627">
        <f>IFERROR('Capital IQ Sheet-STM'!B23,"n/a")</f>
        <v>41820</v>
      </c>
      <c r="C22" s="627" t="str">
        <f>'Capital IQ Sheet-STM'!C23</f>
        <v>Baxter International Inc.</v>
      </c>
      <c r="D22" s="627" t="str">
        <f>'Capital IQ Sheet-STM'!D23</f>
        <v>AesRx, LLC</v>
      </c>
      <c r="E22" s="627" t="str">
        <f>'Capital IQ Sheet-STM'!E23</f>
        <v>Pharmaceuticals</v>
      </c>
      <c r="F22" s="1349">
        <f>IFERROR('Capital IQ Sheet-STM'!F23,"n/a")</f>
        <v>1</v>
      </c>
      <c r="G22" s="627" t="str">
        <f>'Capital IQ Sheet-STM'!G23</f>
        <v>Majority</v>
      </c>
      <c r="J22" s="2014" t="str">
        <f>IFERROR('Capital IQ Sheet-STM'!AF23,"n/a")</f>
        <v>Pre-clinical</v>
      </c>
      <c r="L22" s="1351">
        <f>'Capital IQ Sheet-STM'!I23</f>
        <v>565</v>
      </c>
      <c r="M22" s="1351">
        <f>'Capital IQ Sheet-STM'!J23</f>
        <v>15</v>
      </c>
      <c r="N22" s="1351">
        <f>'Capital IQ Sheet-STM'!K23</f>
        <v>550</v>
      </c>
      <c r="O22" s="1351">
        <f>'Capital IQ Sheet-STM'!L23</f>
        <v>565</v>
      </c>
      <c r="P22" s="1290"/>
      <c r="Q22" s="1351" t="str">
        <f>'Capital IQ Sheet-STM'!N23</f>
        <v>n/a</v>
      </c>
      <c r="R22" s="1351" t="str">
        <f>'Capital IQ Sheet-STM'!O23</f>
        <v>n/a</v>
      </c>
      <c r="S22" s="1351" t="str">
        <f>'Capital IQ Sheet-STM'!P23</f>
        <v>n/a</v>
      </c>
      <c r="T22" s="1290"/>
      <c r="U22" s="1352" t="str">
        <f t="shared" si="1"/>
        <v>n/a</v>
      </c>
      <c r="V22" s="1352" t="str">
        <f t="shared" si="2"/>
        <v>n/a</v>
      </c>
      <c r="W22" s="1352" t="str">
        <f t="shared" si="3"/>
        <v>n/a</v>
      </c>
      <c r="X22" s="1352" t="str">
        <f>'Capital IQ Sheet-STM'!U23</f>
        <v>n/a</v>
      </c>
      <c r="Y22" s="1352" t="str">
        <f>'Capital IQ Sheet-STM'!V23</f>
        <v>n/a</v>
      </c>
      <c r="Z22" s="1290"/>
      <c r="AA22" s="465" t="str">
        <f>'Capital IQ Sheet-STM'!X23</f>
        <v>n/a</v>
      </c>
      <c r="AB22" s="465" t="str">
        <f>'Capital IQ Sheet-STM'!Y23</f>
        <v>n/a</v>
      </c>
      <c r="AC22" s="465" t="str">
        <f>'Capital IQ Sheet-STM'!Z23</f>
        <v>n/a</v>
      </c>
      <c r="AD22" s="1290"/>
      <c r="AE22" s="1352" t="str">
        <f t="shared" si="4"/>
        <v>n/a</v>
      </c>
      <c r="AF22" s="1352" t="str">
        <f t="shared" si="5"/>
        <v>n/a</v>
      </c>
      <c r="AG22" s="627" t="str">
        <f>'Capital IQ Sheet-STM'!AD23</f>
        <v>n/a</v>
      </c>
      <c r="AI22" s="1349" t="str">
        <f>IFERROR('Capital IQ Sheet-STM'!AH23,"n/a")</f>
        <v>NM</v>
      </c>
      <c r="AJ22" s="1349" t="str">
        <f>IFERROR('Capital IQ Sheet-STM'!AI23,"n/a")</f>
        <v>NM</v>
      </c>
      <c r="AL22" s="1353"/>
    </row>
    <row r="23" spans="2:38" s="1350" customFormat="1" ht="14.85" customHeight="1">
      <c r="B23" s="627">
        <f>IFERROR('Capital IQ Sheet-STM'!B24,"n/a")</f>
        <v>41820</v>
      </c>
      <c r="C23" s="627" t="str">
        <f>'Capital IQ Sheet-STM'!C24</f>
        <v>bluebird bio, Inc.</v>
      </c>
      <c r="D23" s="627" t="str">
        <f>'Capital IQ Sheet-STM'!D24</f>
        <v>Precision Genome Engineering, Inc.</v>
      </c>
      <c r="E23" s="627" t="str">
        <f>'Capital IQ Sheet-STM'!E24</f>
        <v>Biotechnology</v>
      </c>
      <c r="F23" s="1349">
        <f>IFERROR('Capital IQ Sheet-STM'!F24,"n/a")</f>
        <v>1</v>
      </c>
      <c r="G23" s="627" t="str">
        <f>'Capital IQ Sheet-STM'!G24</f>
        <v>Majority</v>
      </c>
      <c r="J23" s="2014" t="str">
        <f>IFERROR('Capital IQ Sheet-STM'!AF24,"n/a")</f>
        <v>Phase II</v>
      </c>
      <c r="L23" s="1351">
        <f>'Capital IQ Sheet-STM'!I24</f>
        <v>154.91475</v>
      </c>
      <c r="M23" s="1351">
        <f>'Capital IQ Sheet-STM'!J24</f>
        <v>16.105560000000001</v>
      </c>
      <c r="N23" s="1351">
        <f>'Capital IQ Sheet-STM'!K24</f>
        <v>138.80919</v>
      </c>
      <c r="O23" s="1351">
        <f>'Capital IQ Sheet-STM'!L24</f>
        <v>154.91475</v>
      </c>
      <c r="P23" s="1290"/>
      <c r="Q23" s="1351" t="str">
        <f>'Capital IQ Sheet-STM'!N24</f>
        <v>n/a</v>
      </c>
      <c r="R23" s="1351" t="str">
        <f>'Capital IQ Sheet-STM'!O24</f>
        <v>n/a</v>
      </c>
      <c r="S23" s="1351" t="str">
        <f>'Capital IQ Sheet-STM'!P24</f>
        <v>n/a</v>
      </c>
      <c r="T23" s="1290"/>
      <c r="U23" s="1352" t="str">
        <f t="shared" si="1"/>
        <v>n/a</v>
      </c>
      <c r="V23" s="1352" t="str">
        <f t="shared" si="2"/>
        <v>n/a</v>
      </c>
      <c r="W23" s="1352" t="str">
        <f t="shared" si="3"/>
        <v>n/a</v>
      </c>
      <c r="X23" s="1352" t="str">
        <f>'Capital IQ Sheet-STM'!U24</f>
        <v>n/a</v>
      </c>
      <c r="Y23" s="1352" t="str">
        <f>'Capital IQ Sheet-STM'!V24</f>
        <v>n/a</v>
      </c>
      <c r="Z23" s="1290"/>
      <c r="AA23" s="465" t="str">
        <f>'Capital IQ Sheet-STM'!X24</f>
        <v>n/a</v>
      </c>
      <c r="AB23" s="465" t="str">
        <f>'Capital IQ Sheet-STM'!Y24</f>
        <v>n/a</v>
      </c>
      <c r="AC23" s="465" t="str">
        <f>'Capital IQ Sheet-STM'!Z24</f>
        <v>n/a</v>
      </c>
      <c r="AD23" s="1290"/>
      <c r="AE23" s="1352" t="str">
        <f t="shared" si="4"/>
        <v>n/a</v>
      </c>
      <c r="AF23" s="1352" t="str">
        <f t="shared" si="5"/>
        <v>n/a</v>
      </c>
      <c r="AG23" s="627" t="str">
        <f>'Capital IQ Sheet-STM'!AD24</f>
        <v>n/a</v>
      </c>
      <c r="AI23" s="1349" t="str">
        <f>IFERROR('Capital IQ Sheet-STM'!AH24,"n/a")</f>
        <v>NM</v>
      </c>
      <c r="AJ23" s="1349" t="str">
        <f>IFERROR('Capital IQ Sheet-STM'!AI24,"n/a")</f>
        <v>NM</v>
      </c>
      <c r="AL23" s="1353"/>
    </row>
    <row r="24" spans="2:38" s="1350" customFormat="1" ht="14.85" customHeight="1">
      <c r="B24" s="627">
        <f>IFERROR('Capital IQ Sheet-STM'!B25,"n/a")</f>
        <v>41810</v>
      </c>
      <c r="C24" s="627" t="str">
        <f>'Capital IQ Sheet-STM'!C25</f>
        <v>Celsion Corporation</v>
      </c>
      <c r="D24" s="627" t="str">
        <f>'Capital IQ Sheet-STM'!D25</f>
        <v>EGWU, Inc.</v>
      </c>
      <c r="E24" s="627" t="str">
        <f>'Capital IQ Sheet-STM'!E25</f>
        <v>Biotechnology</v>
      </c>
      <c r="F24" s="1349">
        <f>IFERROR('Capital IQ Sheet-STM'!F25,"n/a")</f>
        <v>1</v>
      </c>
      <c r="G24" s="627" t="str">
        <f>'Capital IQ Sheet-STM'!G25</f>
        <v>Majority</v>
      </c>
      <c r="J24" s="2014" t="str">
        <f>IFERROR('Capital IQ Sheet-STM'!AF25,"n/a")</f>
        <v>Phase Ib</v>
      </c>
      <c r="L24" s="1351">
        <f>'Capital IQ Sheet-STM'!I25</f>
        <v>44.05462</v>
      </c>
      <c r="M24" s="1351">
        <f>'Capital IQ Sheet-STM'!J25</f>
        <v>11.326420000000001</v>
      </c>
      <c r="N24" s="1351">
        <f>'Capital IQ Sheet-STM'!K25</f>
        <v>32.457120000000003</v>
      </c>
      <c r="O24" s="1351">
        <f>'Capital IQ Sheet-STM'!L25</f>
        <v>43.816279999999999</v>
      </c>
      <c r="P24" s="1290"/>
      <c r="Q24" s="1351">
        <f>'Capital IQ Sheet-STM'!N25</f>
        <v>0.12762999999999999</v>
      </c>
      <c r="R24" s="1351">
        <f>'Capital IQ Sheet-STM'!O25</f>
        <v>-2.5185900000000001</v>
      </c>
      <c r="S24" s="1351">
        <f>'Capital IQ Sheet-STM'!P25</f>
        <v>-2.6534800000000001</v>
      </c>
      <c r="T24" s="1290"/>
      <c r="U24" s="1352" t="str">
        <f t="shared" si="1"/>
        <v>NM</v>
      </c>
      <c r="V24" s="1352" t="str">
        <f t="shared" si="2"/>
        <v>NM</v>
      </c>
      <c r="W24" s="1352" t="str">
        <f t="shared" si="3"/>
        <v>NM</v>
      </c>
      <c r="X24" s="1352">
        <f>'Capital IQ Sheet-STM'!U25</f>
        <v>5.2804200000000003</v>
      </c>
      <c r="Y24" s="1352" t="str">
        <f>'Capital IQ Sheet-STM'!V25</f>
        <v>NM</v>
      </c>
      <c r="Z24" s="1290"/>
      <c r="AA24" s="465" t="str">
        <f>'Capital IQ Sheet-STM'!X25</f>
        <v>n/a</v>
      </c>
      <c r="AB24" s="465" t="str">
        <f>'Capital IQ Sheet-STM'!Y25</f>
        <v>n/a</v>
      </c>
      <c r="AC24" s="465" t="str">
        <f>'Capital IQ Sheet-STM'!Z25</f>
        <v>n/a</v>
      </c>
      <c r="AD24" s="1290"/>
      <c r="AE24" s="1352" t="str">
        <f t="shared" si="4"/>
        <v>n/a</v>
      </c>
      <c r="AF24" s="1352" t="str">
        <f t="shared" si="5"/>
        <v>n/a</v>
      </c>
      <c r="AG24" s="627" t="str">
        <f>'Capital IQ Sheet-STM'!AD25</f>
        <v>n/a</v>
      </c>
      <c r="AI24" s="1349" t="str">
        <f>IFERROR('Capital IQ Sheet-STM'!AH25,"n/a")</f>
        <v>NM</v>
      </c>
      <c r="AJ24" s="1349" t="str">
        <f>IFERROR('Capital IQ Sheet-STM'!AI25,"n/a")</f>
        <v>NM</v>
      </c>
      <c r="AL24" s="1353"/>
    </row>
    <row r="25" spans="2:38" s="1350" customFormat="1" ht="14.85" customHeight="1">
      <c r="B25" s="627">
        <f>IFERROR('Capital IQ Sheet-STM'!B26,"n/a")</f>
        <v>41703</v>
      </c>
      <c r="C25" s="627" t="str">
        <f>'Capital IQ Sheet-STM'!C26</f>
        <v>Alnylam Pharmaceuticals, Inc.</v>
      </c>
      <c r="D25" s="627" t="str">
        <f>'Capital IQ Sheet-STM'!D26</f>
        <v>Sirna Therapeutics, Inc.</v>
      </c>
      <c r="E25" s="627" t="str">
        <f>'Capital IQ Sheet-STM'!E26</f>
        <v>Biotechnology</v>
      </c>
      <c r="F25" s="1349">
        <f>IFERROR('Capital IQ Sheet-STM'!F26,"n/a")</f>
        <v>1</v>
      </c>
      <c r="G25" s="627" t="str">
        <f>'Capital IQ Sheet-STM'!G26</f>
        <v>Majority</v>
      </c>
      <c r="J25" s="2014" t="str">
        <f>IFERROR('Capital IQ Sheet-STM'!AF26,"n/a")</f>
        <v>Pre-clinical</v>
      </c>
      <c r="L25" s="1351">
        <f>'Capital IQ Sheet-STM'!I26</f>
        <v>344.90478000000002</v>
      </c>
      <c r="M25" s="1351">
        <f>'Capital IQ Sheet-STM'!J26</f>
        <v>166.82427000000001</v>
      </c>
      <c r="N25" s="1351">
        <f>'Capital IQ Sheet-STM'!K26</f>
        <v>140.02784</v>
      </c>
      <c r="O25" s="1351">
        <f>'Capital IQ Sheet-STM'!L26</f>
        <v>306.85210999999998</v>
      </c>
      <c r="P25" s="1290"/>
      <c r="Q25" s="1351" t="str">
        <f>'Capital IQ Sheet-STM'!N26</f>
        <v>n/a</v>
      </c>
      <c r="R25" s="1351" t="str">
        <f>'Capital IQ Sheet-STM'!O26</f>
        <v>n/a</v>
      </c>
      <c r="S25" s="1351" t="str">
        <f>'Capital IQ Sheet-STM'!P26</f>
        <v>n/a</v>
      </c>
      <c r="T25" s="1290"/>
      <c r="U25" s="1352" t="str">
        <f t="shared" si="1"/>
        <v>n/a</v>
      </c>
      <c r="V25" s="1352" t="str">
        <f t="shared" si="2"/>
        <v>n/a</v>
      </c>
      <c r="W25" s="1352" t="str">
        <f t="shared" si="3"/>
        <v>n/a</v>
      </c>
      <c r="X25" s="1352" t="str">
        <f>'Capital IQ Sheet-STM'!U26</f>
        <v>n/a</v>
      </c>
      <c r="Y25" s="1352" t="str">
        <f>'Capital IQ Sheet-STM'!V26</f>
        <v>n/a</v>
      </c>
      <c r="Z25" s="1290"/>
      <c r="AA25" s="465" t="str">
        <f>'Capital IQ Sheet-STM'!X26</f>
        <v>n/a</v>
      </c>
      <c r="AB25" s="465" t="str">
        <f>'Capital IQ Sheet-STM'!Y26</f>
        <v>n/a</v>
      </c>
      <c r="AC25" s="465" t="str">
        <f>'Capital IQ Sheet-STM'!Z26</f>
        <v>n/a</v>
      </c>
      <c r="AD25" s="1290"/>
      <c r="AE25" s="1352" t="str">
        <f t="shared" si="4"/>
        <v>n/a</v>
      </c>
      <c r="AF25" s="1352" t="str">
        <f t="shared" si="5"/>
        <v>n/a</v>
      </c>
      <c r="AG25" s="627" t="str">
        <f>'Capital IQ Sheet-STM'!AD26</f>
        <v>n/a</v>
      </c>
      <c r="AI25" s="1349" t="str">
        <f>IFERROR('Capital IQ Sheet-STM'!AH26,"n/a")</f>
        <v>NM</v>
      </c>
      <c r="AJ25" s="1349" t="str">
        <f>IFERROR('Capital IQ Sheet-STM'!AI26,"n/a")</f>
        <v>NM</v>
      </c>
      <c r="AL25" s="1353"/>
    </row>
    <row r="26" spans="2:38" s="1350" customFormat="1" ht="14.85" customHeight="1">
      <c r="B26" s="627">
        <f>IFERROR('Capital IQ Sheet-STM'!B27,"n/a")</f>
        <v>41548</v>
      </c>
      <c r="C26" s="627" t="str">
        <f>'Capital IQ Sheet-STM'!C27</f>
        <v>Sangamo BioSciences, Inc. (nka:Sangamo Therapeutics, Inc.)</v>
      </c>
      <c r="D26" s="627" t="str">
        <f>'Capital IQ Sheet-STM'!D27</f>
        <v>Ceregene, Inc.</v>
      </c>
      <c r="E26" s="627" t="str">
        <f>'Capital IQ Sheet-STM'!E27</f>
        <v>Biotechnology</v>
      </c>
      <c r="F26" s="1349">
        <f>IFERROR('Capital IQ Sheet-STM'!F27,"n/a")</f>
        <v>1</v>
      </c>
      <c r="G26" s="627" t="str">
        <f>'Capital IQ Sheet-STM'!G27</f>
        <v>Majority</v>
      </c>
      <c r="J26" s="2014" t="str">
        <f>IFERROR('Capital IQ Sheet-STM'!AF27,"n/a")</f>
        <v>Phase II</v>
      </c>
      <c r="L26" s="1351">
        <f>'Capital IQ Sheet-STM'!I27</f>
        <v>69.375990000000002</v>
      </c>
      <c r="M26" s="1351">
        <f>'Capital IQ Sheet-STM'!J27</f>
        <v>0.99899000000000004</v>
      </c>
      <c r="N26" s="1351" t="str">
        <f>'Capital IQ Sheet-STM'!K27</f>
        <v>n/a</v>
      </c>
      <c r="O26" s="1351">
        <f>'Capital IQ Sheet-STM'!L27</f>
        <v>72.898989999999998</v>
      </c>
      <c r="P26" s="1290"/>
      <c r="Q26" s="1351">
        <f>'Capital IQ Sheet-STM'!N27</f>
        <v>0.60199999999999998</v>
      </c>
      <c r="R26" s="1351">
        <f>'Capital IQ Sheet-STM'!O27</f>
        <v>-5.1040000000000001</v>
      </c>
      <c r="S26" s="1351">
        <f>'Capital IQ Sheet-STM'!P27</f>
        <v>-5.14</v>
      </c>
      <c r="T26" s="1290"/>
      <c r="U26" s="1352" t="str">
        <f t="shared" si="1"/>
        <v>NM</v>
      </c>
      <c r="V26" s="1352" t="str">
        <f t="shared" si="2"/>
        <v>NM</v>
      </c>
      <c r="W26" s="1352" t="str">
        <f t="shared" si="3"/>
        <v>NM</v>
      </c>
      <c r="X26" s="1352" t="str">
        <f>'Capital IQ Sheet-STM'!U27</f>
        <v>NM</v>
      </c>
      <c r="Y26" s="1352" t="str">
        <f>'Capital IQ Sheet-STM'!V27</f>
        <v>NM</v>
      </c>
      <c r="Z26" s="1290"/>
      <c r="AA26" s="465" t="str">
        <f>'Capital IQ Sheet-STM'!X27</f>
        <v>n/a</v>
      </c>
      <c r="AB26" s="465" t="str">
        <f>'Capital IQ Sheet-STM'!Y27</f>
        <v>n/a</v>
      </c>
      <c r="AC26" s="465" t="str">
        <f>'Capital IQ Sheet-STM'!Z27</f>
        <v>n/a</v>
      </c>
      <c r="AD26" s="1290"/>
      <c r="AE26" s="1352" t="str">
        <f t="shared" si="4"/>
        <v>n/a</v>
      </c>
      <c r="AF26" s="1352" t="str">
        <f t="shared" si="5"/>
        <v>n/a</v>
      </c>
      <c r="AG26" s="627" t="str">
        <f>'Capital IQ Sheet-STM'!AD27</f>
        <v>n/a</v>
      </c>
      <c r="AI26" s="1349" t="str">
        <f>IFERROR('Capital IQ Sheet-STM'!AH27,"n/a")</f>
        <v>NM</v>
      </c>
      <c r="AJ26" s="1349" t="str">
        <f>IFERROR('Capital IQ Sheet-STM'!AI27,"n/a")</f>
        <v>NM</v>
      </c>
      <c r="AL26" s="1353"/>
    </row>
    <row r="27" spans="2:38" ht="14.85" customHeight="1">
      <c r="F27" s="370"/>
      <c r="J27" s="245"/>
    </row>
    <row r="28" spans="2:38" ht="14.85" customHeight="1">
      <c r="B28" s="558" t="s">
        <v>111</v>
      </c>
      <c r="C28" s="1354"/>
      <c r="D28" s="1354"/>
      <c r="E28" s="525"/>
      <c r="F28" s="1355"/>
      <c r="G28" s="1354"/>
      <c r="H28" s="1354"/>
      <c r="I28" s="1356"/>
      <c r="J28" s="2015"/>
      <c r="K28" s="1356"/>
      <c r="L28" s="1357">
        <f>MAX(L9:L27)</f>
        <v>8109.5210200000001</v>
      </c>
      <c r="M28" s="1358">
        <f>MAX(M9:M27)</f>
        <v>8070.8470100000004</v>
      </c>
      <c r="N28" s="1358">
        <f>MAX(N9:N27)</f>
        <v>938.05015000000003</v>
      </c>
      <c r="O28" s="1359">
        <f>MAX(O9:O27)</f>
        <v>8696.3290199999992</v>
      </c>
      <c r="P28" s="1354"/>
      <c r="Q28" s="1357">
        <f>MAX(Q9:Q27)</f>
        <v>16.599</v>
      </c>
      <c r="R28" s="1357">
        <f>MAX(R9:R27)</f>
        <v>-2.5185900000000001</v>
      </c>
      <c r="S28" s="1357">
        <f>MAX(S9:S27)</f>
        <v>-2.5230000000000001</v>
      </c>
      <c r="T28" s="1360"/>
      <c r="U28" s="1361">
        <f>MAX(U9:U27)</f>
        <v>8.1128170371709132</v>
      </c>
      <c r="V28" s="1361">
        <f>MAX(V9:V27)</f>
        <v>0</v>
      </c>
      <c r="W28" s="1361">
        <f>MAX(W9:W27)</f>
        <v>0</v>
      </c>
      <c r="X28" s="1361">
        <f>MAX(X9:X27)</f>
        <v>27.005870000000002</v>
      </c>
      <c r="Y28" s="1361">
        <f>MAX(Y9:Y27)</f>
        <v>0</v>
      </c>
      <c r="Z28" s="1354"/>
      <c r="AA28" s="1357">
        <f>MAX(AA9:AA27)</f>
        <v>15.033300000000001</v>
      </c>
      <c r="AB28" s="1357">
        <f>MAX(AB9:AB27)</f>
        <v>-346.97478999999998</v>
      </c>
      <c r="AC28" s="1357">
        <f>MAX(AC9:AC27)</f>
        <v>0</v>
      </c>
      <c r="AD28" s="1354"/>
      <c r="AE28" s="1361">
        <f>MAX(AE9:AE27)</f>
        <v>14769.938933333333</v>
      </c>
      <c r="AF28" s="1361">
        <f>MAX(AF9:AF27)</f>
        <v>-23.372075590852006</v>
      </c>
      <c r="AG28" s="1361">
        <f>MAX(AG9:AG27)</f>
        <v>0</v>
      </c>
      <c r="AH28" s="1362"/>
      <c r="AI28" s="1363">
        <f>MAX(AI9:AI27)</f>
        <v>5.2444930000000003</v>
      </c>
      <c r="AJ28" s="1364">
        <f>MAX(AJ9:AJ27)</f>
        <v>4.8213549999999996</v>
      </c>
    </row>
    <row r="29" spans="2:38" ht="14.85" customHeight="1">
      <c r="B29" s="1365" t="s">
        <v>115</v>
      </c>
      <c r="C29" s="530"/>
      <c r="D29" s="530"/>
      <c r="E29" s="530"/>
      <c r="F29" s="1229"/>
      <c r="G29" s="530"/>
      <c r="H29" s="530"/>
      <c r="I29" s="530"/>
      <c r="J29" s="1773"/>
      <c r="K29" s="530"/>
      <c r="L29" s="822">
        <f>QUARTILE(L9:L27,3)</f>
        <v>557.5</v>
      </c>
      <c r="M29" s="822">
        <f>QUARTILE(M9:M27,3)</f>
        <v>50.345815000000002</v>
      </c>
      <c r="N29" s="822">
        <f>QUARTILE(N9:N27,3)</f>
        <v>495</v>
      </c>
      <c r="O29" s="822">
        <f>QUARTILE(O9:O27,3)</f>
        <v>557.5</v>
      </c>
      <c r="P29" s="530"/>
      <c r="Q29" s="822">
        <f>QUARTILE(Q9:Q27,3)</f>
        <v>1.165</v>
      </c>
      <c r="R29" s="822">
        <f>QUARTILE(R9:R27,3)</f>
        <v>-5.1040000000000001</v>
      </c>
      <c r="S29" s="822">
        <f>QUARTILE(S9:S27,3)</f>
        <v>-3.2751099999999997</v>
      </c>
      <c r="T29" s="568"/>
      <c r="U29" s="1366">
        <f>QUARTILE(U9:U27,3)</f>
        <v>8.1128170371709132</v>
      </c>
      <c r="V29" s="1366" t="e">
        <f>QUARTILE(V9:V27,3)</f>
        <v>#NUM!</v>
      </c>
      <c r="W29" s="1366" t="e">
        <f>QUARTILE(W9:W27,3)</f>
        <v>#NUM!</v>
      </c>
      <c r="X29" s="1366">
        <f>QUARTILE(X9:X27,3)</f>
        <v>14.17614</v>
      </c>
      <c r="Y29" s="1366" t="e">
        <f>QUARTILE(Y9:Y27,3)</f>
        <v>#NUM!</v>
      </c>
      <c r="Z29" s="530"/>
      <c r="AA29" s="822">
        <f>QUARTILE(AA9:AA27,3)</f>
        <v>7.9893750000000008</v>
      </c>
      <c r="AB29" s="822">
        <f>QUARTILE(AB9:AB27,3)</f>
        <v>-346.97478999999998</v>
      </c>
      <c r="AC29" s="822" t="e">
        <f>QUARTILE(AC9:AC27,3)</f>
        <v>#NUM!</v>
      </c>
      <c r="AD29" s="530"/>
      <c r="AE29" s="1366">
        <f>QUARTILE(AE9:AE27,3)</f>
        <v>11673.679086424454</v>
      </c>
      <c r="AF29" s="1366">
        <f>QUARTILE(AF9:AF27,3)</f>
        <v>-23.372075590852006</v>
      </c>
      <c r="AG29" s="1366" t="e">
        <f>QUARTILE(AG9:AG27,3)</f>
        <v>#NUM!</v>
      </c>
      <c r="AI29" s="860">
        <f>QUARTILE(AI9:AI27,3)</f>
        <v>3.0389835000000005</v>
      </c>
      <c r="AJ29" s="861">
        <f>QUARTILE(AJ9:AJ27,3)</f>
        <v>4.2183700000000002</v>
      </c>
    </row>
    <row r="30" spans="2:38" ht="14.85" customHeight="1">
      <c r="B30" s="1365" t="s">
        <v>113</v>
      </c>
      <c r="C30" s="530"/>
      <c r="D30" s="530"/>
      <c r="E30" s="530"/>
      <c r="F30" s="1229"/>
      <c r="G30" s="530"/>
      <c r="H30" s="530"/>
      <c r="I30" s="530"/>
      <c r="J30" s="1773"/>
      <c r="K30" s="530"/>
      <c r="L30" s="822">
        <f>AVERAGE(L9:L27)</f>
        <v>780.15271937500017</v>
      </c>
      <c r="M30" s="822">
        <f>AVERAGE(M9:M27)</f>
        <v>504.59404222222213</v>
      </c>
      <c r="N30" s="822">
        <f>AVERAGE(N9:N27)</f>
        <v>258.59113111111111</v>
      </c>
      <c r="O30" s="822">
        <f>AVERAGE(O9:O27)</f>
        <v>818.75242749999973</v>
      </c>
      <c r="P30" s="530"/>
      <c r="Q30" s="822">
        <f>AVERAGE(Q9:Q27)</f>
        <v>3.7987259999999998</v>
      </c>
      <c r="R30" s="822">
        <f>AVERAGE(R9:R27)</f>
        <v>-102.20491799999999</v>
      </c>
      <c r="S30" s="822">
        <f>AVERAGE(S9:S27)</f>
        <v>-86.548246666666671</v>
      </c>
      <c r="T30" s="568"/>
      <c r="U30" s="1366">
        <f>AVERAGE(U9:U27)</f>
        <v>8.1128170371709132</v>
      </c>
      <c r="V30" s="1366" t="e">
        <f>AVERAGE(V9:V27)</f>
        <v>#DIV/0!</v>
      </c>
      <c r="W30" s="1366" t="e">
        <f>AVERAGE(W9:W27)</f>
        <v>#DIV/0!</v>
      </c>
      <c r="X30" s="1366">
        <f>AVERAGE(X9:X27)</f>
        <v>11.802476</v>
      </c>
      <c r="Y30" s="1366" t="e">
        <f>AVERAGE(Y9:Y27)</f>
        <v>#DIV/0!</v>
      </c>
      <c r="Z30" s="530"/>
      <c r="AA30" s="822">
        <f>AVERAGE(AA9:AA27)</f>
        <v>5.3637499999999996</v>
      </c>
      <c r="AB30" s="822">
        <f>AVERAGE(AB9:AB27)</f>
        <v>-346.97478999999998</v>
      </c>
      <c r="AC30" s="822" t="e">
        <f>AVERAGE(AC9:AC27)</f>
        <v>#DIV/0!</v>
      </c>
      <c r="AD30" s="530"/>
      <c r="AE30" s="1366">
        <f>AVERAGE(AE9:AE27)</f>
        <v>7785.4386433204827</v>
      </c>
      <c r="AF30" s="1366">
        <f>AVERAGE(AF9:AF27)</f>
        <v>-23.372075590852006</v>
      </c>
      <c r="AG30" s="1366" t="e">
        <f>AVERAGE(AG9:AG27)</f>
        <v>#DIV/0!</v>
      </c>
      <c r="AI30" s="860">
        <f>AVERAGE(AI9:AI27)</f>
        <v>2.2054763333333334</v>
      </c>
      <c r="AJ30" s="861">
        <f>AVERAGE(AJ9:AJ27)</f>
        <v>3.009598</v>
      </c>
    </row>
    <row r="31" spans="2:38" ht="14.85" customHeight="1">
      <c r="B31" s="1365" t="s">
        <v>44</v>
      </c>
      <c r="C31" s="530"/>
      <c r="D31" s="530"/>
      <c r="E31" s="530"/>
      <c r="F31" s="1229"/>
      <c r="G31" s="530"/>
      <c r="H31" s="530"/>
      <c r="I31" s="530"/>
      <c r="J31" s="1773"/>
      <c r="K31" s="530"/>
      <c r="L31" s="822">
        <f>MEDIAN(L9:L27)</f>
        <v>106.73788999999999</v>
      </c>
      <c r="M31" s="822">
        <f>MEDIAN(M9:M27)</f>
        <v>15.15</v>
      </c>
      <c r="N31" s="822">
        <f>MEDIAN(N9:N27)</f>
        <v>138.80919</v>
      </c>
      <c r="O31" s="822">
        <f>MEDIAN(O9:O27)</f>
        <v>116.86294000000001</v>
      </c>
      <c r="P31" s="530"/>
      <c r="Q31" s="822">
        <f>MEDIAN(Q9:Q27)</f>
        <v>0.60199999999999998</v>
      </c>
      <c r="R31" s="822">
        <f>MEDIAN(R9:R27)</f>
        <v>-41.228999999999999</v>
      </c>
      <c r="S31" s="822">
        <f>MEDIAN(S9:S27)</f>
        <v>-23.244</v>
      </c>
      <c r="T31" s="568"/>
      <c r="U31" s="1366">
        <f>MEDIAN(U9:U27)</f>
        <v>8.1128170371709132</v>
      </c>
      <c r="V31" s="1366" t="e">
        <f>MEDIAN(V9:V27)</f>
        <v>#NUM!</v>
      </c>
      <c r="W31" s="1366" t="e">
        <f>MEDIAN(W9:W27)</f>
        <v>#NUM!</v>
      </c>
      <c r="X31" s="1366">
        <f>MEDIAN(X9:X27)</f>
        <v>7.4343399999999997</v>
      </c>
      <c r="Y31" s="1366" t="e">
        <f>MEDIAN(Y9:Y27)</f>
        <v>#NUM!</v>
      </c>
      <c r="Z31" s="530"/>
      <c r="AA31" s="822">
        <f>MEDIAN(AA9:AA27)</f>
        <v>0.94545000000000001</v>
      </c>
      <c r="AB31" s="822">
        <f>MEDIAN(AB9:AB27)</f>
        <v>-346.97478999999998</v>
      </c>
      <c r="AC31" s="822" t="e">
        <f>MEDIAN(AC9:AC27)</f>
        <v>#NUM!</v>
      </c>
      <c r="AD31" s="530"/>
      <c r="AE31" s="1366">
        <f>MEDIAN(AE9:AE27)</f>
        <v>8577.4192395155751</v>
      </c>
      <c r="AF31" s="1366">
        <f>MEDIAN(AF9:AF27)</f>
        <v>-23.372075590852006</v>
      </c>
      <c r="AG31" s="1366" t="e">
        <f>MEDIAN(AG9:AG27)</f>
        <v>#NUM!</v>
      </c>
      <c r="AI31" s="860">
        <f>MEDIAN(AI9:AI27)</f>
        <v>0.83347400000000005</v>
      </c>
      <c r="AJ31" s="861">
        <f>MEDIAN(AJ9:AJ27)</f>
        <v>3.6153849999999998</v>
      </c>
    </row>
    <row r="32" spans="2:38" ht="14.85" customHeight="1">
      <c r="B32" s="1365" t="s">
        <v>114</v>
      </c>
      <c r="C32" s="530"/>
      <c r="D32" s="530"/>
      <c r="E32" s="530"/>
      <c r="F32" s="530"/>
      <c r="G32" s="530"/>
      <c r="H32" s="530"/>
      <c r="I32" s="530"/>
      <c r="J32" s="1773"/>
      <c r="K32" s="530"/>
      <c r="L32" s="822">
        <f>QUARTILE(L9:L27,1)</f>
        <v>40.235275000000001</v>
      </c>
      <c r="M32" s="822">
        <f>QUARTILE(M9:M27,1)</f>
        <v>0.28828999999999999</v>
      </c>
      <c r="N32" s="822">
        <f>QUARTILE(N9:N27,1)</f>
        <v>17.999960000000002</v>
      </c>
      <c r="O32" s="822">
        <f>QUARTILE(O9:O27,1)</f>
        <v>34.439762500000001</v>
      </c>
      <c r="P32" s="530"/>
      <c r="Q32" s="822">
        <f>QUARTILE(Q9:Q27,1)</f>
        <v>0.5</v>
      </c>
      <c r="R32" s="822">
        <f>QUARTILE(R9:R27,1)</f>
        <v>-52.607999999999997</v>
      </c>
      <c r="S32" s="822">
        <f>QUARTILE(S9:S27,1)</f>
        <v>-51.41225</v>
      </c>
      <c r="T32" s="568"/>
      <c r="U32" s="1366">
        <f>QUARTILE(U9:U27,1)</f>
        <v>8.1128170371709132</v>
      </c>
      <c r="V32" s="1366" t="e">
        <f>QUARTILE(V9:V27,1)</f>
        <v>#NUM!</v>
      </c>
      <c r="W32" s="1366" t="e">
        <f>QUARTILE(W9:W27,1)</f>
        <v>#NUM!</v>
      </c>
      <c r="X32" s="1366">
        <f>QUARTILE(X9:X27,1)</f>
        <v>5.2804200000000003</v>
      </c>
      <c r="Y32" s="1366" t="e">
        <f>QUARTILE(Y9:Y27,1)</f>
        <v>#NUM!</v>
      </c>
      <c r="Z32" s="530"/>
      <c r="AA32" s="822">
        <f>QUARTILE(AA9:AA27,1)</f>
        <v>0.52897499999999997</v>
      </c>
      <c r="AB32" s="822">
        <f>QUARTILE(AB9:AB27,1)</f>
        <v>-346.97478999999998</v>
      </c>
      <c r="AC32" s="822" t="e">
        <f>QUARTILE(AC9:AC27,1)</f>
        <v>#NUM!</v>
      </c>
      <c r="AD32" s="530"/>
      <c r="AE32" s="1366">
        <f>QUARTILE(AE9:AE27,1)</f>
        <v>4293.1884983140599</v>
      </c>
      <c r="AF32" s="1366">
        <f>QUARTILE(AF9:AF27,1)</f>
        <v>-23.372075590852006</v>
      </c>
      <c r="AG32" s="1366" t="e">
        <f>QUARTILE(AG9:AG27,1)</f>
        <v>#NUM!</v>
      </c>
      <c r="AI32" s="860">
        <f>QUARTILE(AI9:AI27,1)</f>
        <v>0.68596800000000002</v>
      </c>
      <c r="AJ32" s="861">
        <f>QUARTILE(AJ9:AJ27,1)</f>
        <v>2.1037195</v>
      </c>
    </row>
    <row r="33" spans="2:36" ht="14.85" customHeight="1">
      <c r="B33" s="754" t="s">
        <v>112</v>
      </c>
      <c r="C33" s="864"/>
      <c r="D33" s="864"/>
      <c r="E33" s="864"/>
      <c r="F33" s="864"/>
      <c r="G33" s="864"/>
      <c r="H33" s="864"/>
      <c r="I33" s="864"/>
      <c r="J33" s="1777"/>
      <c r="K33" s="864"/>
      <c r="L33" s="565">
        <f>MIN(L9:L27)</f>
        <v>3.64798</v>
      </c>
      <c r="M33" s="565">
        <f>MIN(M9:M27)</f>
        <v>0</v>
      </c>
      <c r="N33" s="565">
        <f>MIN(N9:N27)</f>
        <v>3.6</v>
      </c>
      <c r="O33" s="565">
        <f>MIN(O9:O27)</f>
        <v>3.6513900000000001</v>
      </c>
      <c r="P33" s="864"/>
      <c r="Q33" s="565">
        <f>MIN(Q9:Q27)</f>
        <v>0.12762999999999999</v>
      </c>
      <c r="R33" s="565">
        <f>MIN(R9:R27)</f>
        <v>-409.565</v>
      </c>
      <c r="S33" s="565">
        <f>MIN(S9:S27)</f>
        <v>-412.858</v>
      </c>
      <c r="T33" s="1367"/>
      <c r="U33" s="1368">
        <f>MIN(U9:U27)</f>
        <v>8.1128170371709132</v>
      </c>
      <c r="V33" s="1368">
        <f>MIN(V9:V27)</f>
        <v>0</v>
      </c>
      <c r="W33" s="1368">
        <f>MIN(W9:W27)</f>
        <v>0</v>
      </c>
      <c r="X33" s="1368">
        <f>MIN(X9:X27)</f>
        <v>5.1156100000000002</v>
      </c>
      <c r="Y33" s="1368">
        <f>MIN(Y9:Y27)</f>
        <v>0</v>
      </c>
      <c r="Z33" s="864"/>
      <c r="AA33" s="565">
        <f>MIN(AA9:AA27)</f>
        <v>0.1125</v>
      </c>
      <c r="AB33" s="565">
        <f>MIN(AB9:AB27)</f>
        <v>-346.97478999999998</v>
      </c>
      <c r="AC33" s="565">
        <f>MIN(AC9:AC27)</f>
        <v>0</v>
      </c>
      <c r="AD33" s="864"/>
      <c r="AE33" s="1368">
        <f>MIN(AE9:AE27)</f>
        <v>8.9577571125434865</v>
      </c>
      <c r="AF33" s="1368">
        <f>MIN(AF9:AF27)</f>
        <v>-23.372075590852006</v>
      </c>
      <c r="AG33" s="1368">
        <f>MIN(AG9:AG27)</f>
        <v>0</v>
      </c>
      <c r="AH33" s="269"/>
      <c r="AI33" s="865">
        <f>MIN(AI9:AI27)</f>
        <v>0.538462</v>
      </c>
      <c r="AJ33" s="756">
        <f>MIN(AJ9:AJ27)</f>
        <v>0.59205399999999997</v>
      </c>
    </row>
    <row r="34" spans="2:36" ht="14.85" customHeight="1">
      <c r="J34" s="245"/>
    </row>
    <row r="35" spans="2:36" ht="14.85" customHeight="1">
      <c r="B35" s="279" t="s">
        <v>116</v>
      </c>
      <c r="J35" s="245"/>
    </row>
    <row r="36" spans="2:36" ht="14.85" customHeight="1">
      <c r="J36" s="245"/>
    </row>
    <row r="37" spans="2:36" ht="14.85" customHeight="1">
      <c r="J37" s="245"/>
    </row>
    <row r="38" spans="2:36" ht="14.85" customHeight="1"/>
    <row r="39" spans="2:36" ht="14.85" customHeight="1"/>
    <row r="40" spans="2:36" ht="14.85" customHeight="1"/>
    <row r="41" spans="2:36" ht="14.85" customHeight="1"/>
    <row r="42" spans="2:36" ht="14.85" customHeight="1"/>
    <row r="43" spans="2:36" ht="14.85" customHeight="1"/>
    <row r="44" spans="2:36" ht="14.85" customHeight="1"/>
    <row r="45" spans="2:36" ht="14.85" customHeight="1"/>
    <row r="46" spans="2:36" ht="14.85" customHeight="1"/>
    <row r="47" spans="2:36" ht="14.85" customHeight="1"/>
    <row r="48" spans="2:36"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sheetData>
  <conditionalFormatting sqref="U4">
    <cfRule type="cellIs" dxfId="304" priority="11" stopIfTrue="1" operator="equal">
      <formula>"input"</formula>
    </cfRule>
  </conditionalFormatting>
  <conditionalFormatting sqref="B4:N4 P4">
    <cfRule type="cellIs" dxfId="303" priority="17" stopIfTrue="1" operator="equal">
      <formula>"input"</formula>
    </cfRule>
  </conditionalFormatting>
  <conditionalFormatting sqref="Q4">
    <cfRule type="cellIs" dxfId="302" priority="15" stopIfTrue="1" operator="equal">
      <formula>"input"</formula>
    </cfRule>
  </conditionalFormatting>
  <conditionalFormatting sqref="Q4">
    <cfRule type="cellIs" dxfId="301" priority="16" stopIfTrue="1" operator="equal">
      <formula>"input"</formula>
    </cfRule>
  </conditionalFormatting>
  <conditionalFormatting sqref="R4:T4">
    <cfRule type="cellIs" dxfId="300" priority="13" stopIfTrue="1" operator="equal">
      <formula>"input"</formula>
    </cfRule>
  </conditionalFormatting>
  <conditionalFormatting sqref="R4:T4">
    <cfRule type="cellIs" dxfId="299" priority="14" stopIfTrue="1" operator="equal">
      <formula>"input"</formula>
    </cfRule>
  </conditionalFormatting>
  <conditionalFormatting sqref="U4">
    <cfRule type="cellIs" dxfId="298" priority="12" stopIfTrue="1" operator="equal">
      <formula>"input"</formula>
    </cfRule>
  </conditionalFormatting>
  <conditionalFormatting sqref="V4:AI4">
    <cfRule type="cellIs" dxfId="297" priority="9" stopIfTrue="1" operator="equal">
      <formula>"input"</formula>
    </cfRule>
  </conditionalFormatting>
  <conditionalFormatting sqref="V4:AI4">
    <cfRule type="cellIs" dxfId="296" priority="10" stopIfTrue="1" operator="equal">
      <formula>"input"</formula>
    </cfRule>
  </conditionalFormatting>
  <conditionalFormatting sqref="AJ4">
    <cfRule type="cellIs" dxfId="295" priority="3" stopIfTrue="1" operator="equal">
      <formula>"input"</formula>
    </cfRule>
  </conditionalFormatting>
  <conditionalFormatting sqref="AJ4">
    <cfRule type="cellIs" dxfId="294" priority="4" stopIfTrue="1" operator="equal">
      <formula>"input"</formula>
    </cfRule>
  </conditionalFormatting>
  <conditionalFormatting sqref="O4">
    <cfRule type="cellIs" dxfId="293" priority="1" stopIfTrue="1" operator="equal">
      <formula>"input"</formula>
    </cfRule>
  </conditionalFormatting>
  <conditionalFormatting sqref="O4">
    <cfRule type="cellIs" dxfId="292" priority="2" stopIfTrue="1" operator="equal">
      <formula>"input"</formula>
    </cfRule>
  </conditionalFormatting>
  <pageMargins left="0.5" right="0.5" top="0.5" bottom="0.5" header="0.5" footer="0.5"/>
  <pageSetup scale="88" fitToWidth="0" fitToHeight="0" orientation="landscape" r:id="rId1"/>
  <legacyDrawingHF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4"/>
  <dimension ref="B1:D761"/>
  <sheetViews>
    <sheetView showGridLines="0" view="pageBreakPreview" zoomScale="70" zoomScaleNormal="100" zoomScaleSheetLayoutView="70" workbookViewId="0"/>
  </sheetViews>
  <sheetFormatPr defaultRowHeight="14.25"/>
  <cols>
    <col min="1" max="1" width="4.5" style="234" customWidth="1"/>
    <col min="2" max="2" width="38.83203125" style="234" customWidth="1"/>
    <col min="3" max="3" width="2.83203125" style="234" customWidth="1"/>
    <col min="4" max="4" width="102.83203125" style="234" customWidth="1"/>
    <col min="5" max="5" width="4.5" style="234" customWidth="1"/>
    <col min="6" max="16384" width="9.33203125" style="234"/>
  </cols>
  <sheetData>
    <row r="1" spans="2:4" ht="15" thickBot="1"/>
    <row r="2" spans="2:4" ht="15.75" thickTop="1">
      <c r="B2" s="223" t="str">
        <f>'MASTER PubCo Inputs'!$C$5</f>
        <v>Trucode Gene Repair, Inc.</v>
      </c>
      <c r="C2" s="223"/>
      <c r="D2" s="223"/>
    </row>
    <row r="3" spans="2:4" ht="15">
      <c r="B3" s="232" t="str">
        <f>VLOOKUP(B4,Outline!$E$8:$G$65,COLUMNS(Outline!$E$8:$G$8),FALSE)</f>
        <v>Exhibit F.2</v>
      </c>
      <c r="C3" s="232"/>
      <c r="D3" s="232"/>
    </row>
    <row r="4" spans="2:4" ht="15.75" thickBot="1">
      <c r="B4" s="225" t="s">
        <v>722</v>
      </c>
      <c r="C4" s="225"/>
      <c r="D4" s="233"/>
    </row>
    <row r="5" spans="2:4" ht="14.85" customHeight="1" thickTop="1"/>
    <row r="6" spans="2:4" ht="14.85" customHeight="1">
      <c r="B6" s="1325" t="s">
        <v>723</v>
      </c>
      <c r="C6" s="1326"/>
      <c r="D6" s="1327" t="s">
        <v>126</v>
      </c>
    </row>
    <row r="7" spans="2:4" ht="14.85" customHeight="1"/>
    <row r="8" spans="2:4" ht="185.25">
      <c r="B8" s="626" t="str">
        <f>Trans.1!D9</f>
        <v>AveXis, Inc.</v>
      </c>
      <c r="C8" s="1328"/>
      <c r="D8" s="626" t="str">
        <f>'Capital IQ Sheet-STM'!AL10</f>
        <v>AveXis, Inc., a clinical-stage gene therapy company, engages in developing and commercializing treatments for patients suffering from rare and life-threatening neurological genetic diseases. Its initial product candidate is AVXS-101, a gene therapy product candidate that has completed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 As of May 14, 2018, AveXis, Inc. operates as a subsidiary of Novartis AG.</v>
      </c>
    </row>
    <row r="9" spans="2:4" ht="199.5">
      <c r="B9" s="626" t="str">
        <f>Trans.1!D10</f>
        <v>Dimension Therapeutics, Inc.</v>
      </c>
      <c r="C9" s="1328"/>
      <c r="D9" s="626" t="str">
        <f>'Capital IQ Sheet-STM'!AL11</f>
        <v>Dimension Therapeutics, Inc., a gene therapy platform company, focuses on discovering and developing therapeutic products for people living with rare and metabolic diseases associated with the liver. The company's pipeline of programs includes DTX101, a lead gene therapy product candidate designed to deliver FIX gene expression in patients with hemophilia B; and DTX201, a FVIII gene therapy program for the treatment of hemophilia A. Its pipeline programs also comprise DTX301, a gene therapy product candidate for the treatment of ornithine transcarbamylase deficiency; DTX401, a gene therapy program for the treatment of glycogen storage disease type Ia; DTX501, gene therapy program for the treatment of patients with PKU; DTX701, a gene therapy program for the treatment of Wilson disease; and DTX601, a gene therapy program for the treatment of citrullinemia type I. Dimension Therapeutics, Inc. was founded in 2013 and is based in Cambridge, Massachusetts. As of November 7, 2017, Dimension Therapeutics, Inc. operates as a subsidiary of Ultragenyx Pharmaceutical Inc.</v>
      </c>
    </row>
    <row r="10" spans="2:4" ht="199.5">
      <c r="B10" s="626" t="str">
        <f>Trans.1!D11</f>
        <v>Selexys Pharmaceuticals Corporation</v>
      </c>
      <c r="C10" s="1328"/>
      <c r="D10" s="626" t="str">
        <f>'Capital IQ Sheet-STM'!AL12</f>
        <v>As of November 18, 2016, Selexys Pharmaceuticals Corporation was acquired by Novartis AG. Selexys Pharmaceuticals Corporation, a biopharmaceutical company, develops drugs to treat inflammatory and thrombotic diseases. The company alos provides related research and clinical trial services. Its products include P-selectin, a therapeutic target for antibody-based drugs; and an antibody directed against PSGL-1 proteins. The company’s solutions are used to treat vasoocclusion and thrombosis, such as vasoocclusive pain crisis in sickle cell disease and deep venous thrombosis; chronic inflammatory diseases, including crohn's diseases, ulcerative colitis, rheumatoid arthritis, psoriasis, asthma, allergic reactions, cutaneous vasculitis, and chronic obstructive pulmonary disease; ischemia reperfusion injury, such as delayed graft function in organ transplantation, heart attack, and stroke; stenosis and restenosis, including coronary artery bypass graft, stent placement, endarterectomy, and formation of atherosclerotic plaques. Selexys Pharmaceuticals Corporation was founded in 2002 and is based in Oklahoma City, Oklahoma.</v>
      </c>
    </row>
    <row r="11" spans="2:4" ht="256.5">
      <c r="B11" s="626" t="str">
        <f>Trans.1!D12</f>
        <v>Marina Biotech, Inc.</v>
      </c>
      <c r="C11" s="1328"/>
      <c r="D11" s="626" t="str">
        <f>'Capital IQ Sheet-STM'!AL13</f>
        <v>As of November 15, 2016, Marina Biotech, Inc. was acquired by IthenaPharma Inc. in a reverse merger transaction. Marina Biotech, Inc., a biotechnology company, focuses on the discovery, development, and commercialization of nucleic acid-based therapies to treat orphan diseases. The company’s therapies include small interfering RNA, microRNA (miRNA) mimics, and single stranded oligonucleotide-based compounds. Its pipeline includes CEQ508 that is in clinical development for the treatment of Familial Adenomatous Polyposis; and preclinical programs in type 1 myotonic dystrophy and Duchenne’s muscular dystrophy. The company also has a strategic alliance with Rosetta Genomics, Ltd. to identify and develop miRNA -based products to diagnose and treat various neuromuscular diseases and dystrophies; and with Avecia Nitto Denko to develop, supply, and commercialize various oligonucleotides constructs using company’s conformationally restricted nucleotide technology. It has licensing agreements with Mirna Therapeutics, Inc.; ProNAi Therapeutics, Inc.; Monsanto Company; MiNA Therapeutics, Ltd.; Novartis Institutes for Biomedical Research, Inc.; Protiva Biotherapeutics Inc.; Arcturus Therapeutics, Inc; Hongene Biotechnology; and Arbutus. The company was formerly known as MDRNA, Inc. and changed its name to Marina Biotech, Inc. in July 2010. Marina Biotech, Inc. was founded in 1983 and is based in Bothell, Washington.</v>
      </c>
    </row>
    <row r="12" spans="2:4" ht="114">
      <c r="B12" s="626" t="str">
        <f>Trans.1!D13</f>
        <v>Tobira Therapeutics, Inc.</v>
      </c>
      <c r="C12" s="1328"/>
      <c r="D12" s="626" t="str">
        <f>'Capital IQ Sheet-STM'!AL14</f>
        <v>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v>
      </c>
    </row>
    <row r="13" spans="2:4" ht="128.25">
      <c r="B13" s="626" t="str">
        <f>Trans.1!D14</f>
        <v>RetroSense Therapeutics, LLC</v>
      </c>
      <c r="C13" s="1328"/>
      <c r="D13" s="626" t="str">
        <f>'Capital IQ Sheet-STM'!AL15</f>
        <v>RetroSense Therapeutics, LLC is a biotechnology company that develops life-enhancing gene therapy to restore vision in patients suffering from blindness due to retinitis pigmentosa (RP) and advanced dry age-related macular degeneration (advanced dry-AMD). Its products include RST-001 that develops a photosensitivity gene; and channelrhodopsin-2 that creates photo sensors in retinal cells and restores vision in retinal degenerative conditions, such as RP and advanced dry-AMD. RetroSense Therapeutics, LLC was founded in 2009 and is based in Ann Arbor, Michigan. As of September 6, 2016, RetroSense Therapeutics, LLC operates as a subsidiary of Allergan plc.</v>
      </c>
    </row>
    <row r="14" spans="2:4" ht="156.75">
      <c r="B14" s="626" t="str">
        <f>Trans.1!D15</f>
        <v>Annapurna Therapeutics SAS</v>
      </c>
      <c r="C14" s="1328"/>
      <c r="D14" s="626" t="str">
        <f>'Capital IQ Sheet-STM'!AL16</f>
        <v>Annapurna Therapeutics SAS, a gene therapy company, discovers and develops therapeutic products for people living with severe diseases. It offers ANN-001, a gene therapy product candidate designed to deliver alpha-1 antitrypsin protein in patients with alpha-1 antitrypsin deficiency; ANN-002 designed for the treatment of patients with hereditary angioedema; ANN-003, a gene therapy program for the treatment of the cardiomyopathy associated with Friedreich’s Ataxia; ANN-004, a gene therapy program for the treatment of severe allergies, which are diseases that cause extreme discomfort and can be fatal; and adeno-associated virus gene therapy for a range of severe disorders, including monogenic diseases. The company was incorporated in 2014 and is based in Paris, France. As of May 11, 2016, Annapurna Therapeutics SAS operates as a subsidiary of Adverum Biotechnologies, Inc.</v>
      </c>
    </row>
    <row r="15" spans="2:4" ht="114">
      <c r="B15" s="626" t="str">
        <f>Trans.1!D16</f>
        <v>Genable Technologies Limited</v>
      </c>
      <c r="C15" s="1328"/>
      <c r="D15" s="626" t="str">
        <f>'Capital IQ Sheet-STM'!AL17</f>
        <v>Genable Technologies Limited, a bio-pharmaceutical gene therapy company, develops gene therapies for the treatment of autosomal dominant genetic diseases. Its RhoNova product is designed for the treatment of patients with rhodopsin (RHO)-linked autosomal dominant retinitis pigmentosa– a debilitating, progressive form of inherited blindness resulting from various mutations in the RHO gene. Genable Technologies Limited was formerly known as Optigen Technologies Ltd. The company was incorporated in 1998 and is based in Dublin, Ireland. As of March 7, 2016, Genable Technologies Limited operates as a subsidiary of Spark Therapeutics, Inc.</v>
      </c>
    </row>
    <row r="16" spans="2:4" ht="42.75">
      <c r="B16" s="626" t="str">
        <f>Trans.1!D17</f>
        <v>Cardiogen Sciences, Inc.</v>
      </c>
      <c r="C16" s="1328"/>
      <c r="D16" s="626" t="str">
        <f>'Capital IQ Sheet-STM'!AL18</f>
        <v>Cardiogen Sciences, Inc. operates in the healthcare sector. The company was founded in 2014 and is based in Palo Alto, California. As of August 31, 2015, Cardiogen Sciences, Inc. operates as a subsidiary of Audentes Therapeutics, Inc.</v>
      </c>
    </row>
    <row r="17" spans="2:4" ht="242.25">
      <c r="B17" s="626" t="str">
        <f>Trans.1!D18</f>
        <v>Abeona Therapeutics LLC</v>
      </c>
      <c r="C17" s="1328"/>
      <c r="D17" s="626" t="str">
        <f>'Capital IQ Sheet-STM'!AL19</f>
        <v>Abeona Therapeutics LLC, a biopharmaceutical company, focuses on developing and delivering gene therapy and plasma-based products for severe and life-threatening rare diseases. It engages in developing adeno-associated viral (AAV)-based gene therapies for MPS III (Sanfilippo syndrome), which involves a one-time delivery of a normal copy of the defective gene to cells of the central nervous system to reverse the effects of the genetic errors that cause the disease. The company offers ABO-101 and ABO-102, which induce cells in the central nervous system and peripheral organs to produce the missing enzymes and help repair damage caused to the cells; ABO-201 for Juvenile Batten Disease (JBD); and ABO-301 (AAV LK19 FANCC), an AAV-based gene therapy for the delivery of a normal copy of the defective gene to cells of the hematopoietic or blood system to reverse the effects of the genetic errors that cause Fanconi anemia. It also provides Salt Diafiltration Process (SDF) that focuses on the ethanol-free extraction of therapeutic biologics from human plasma, including PTB-101 SDF Alpha (alpha1-proteinase inhibitor) for chronic augmentation and maintenance therapy in adults; and PTB-201 SDF IVIG for autoimmune, infectious, and idiopathic diseases. The company was founded in 2013 and is based in Cleveland, Ohio. As of May 15, 2015, Abeona Therapeutics LLC operates as a subsidiary of Abeona Therapeutics Inc.</v>
      </c>
    </row>
    <row r="18" spans="2:4" ht="42.75">
      <c r="B18" s="626" t="str">
        <f>Trans.1!D19</f>
        <v>Novartis Institutes for BioMedical Research, Inc., RNAi Assets</v>
      </c>
      <c r="C18" s="1328"/>
      <c r="D18" s="626" t="str">
        <f>'Capital IQ Sheet-STM'!AL20</f>
        <v>As of March 3, 2015, RNAi Assets of Novartis Institutes for BioMedical Research, Inc. were acquired by Arrowhead Research Corp. RNAi Assets of Novartis Institutes for BioMedical Research, Inc. comprises a therapeutics based on RNA interference.</v>
      </c>
    </row>
    <row r="19" spans="2:4" ht="57">
      <c r="B19" s="626" t="str">
        <f>Trans.1!D20</f>
        <v>Benitec Australia Ltd., License To Develop Cancer Vaccines Using ddRNAi Gene Silencing Technology</v>
      </c>
      <c r="C19" s="1328"/>
      <c r="D19" s="626" t="str">
        <f>'Capital IQ Sheet-STM'!AL21</f>
        <v>As of August 5, 2014, Benitec Australia Ltd., License To Develop Cancer Vaccines Using ddRNAi Gene Silencing Technology was acquired by Regen BioPharma Inc. Benitec Australia Ltd., License To Develop Cancer Vaccines Using ddRNAi Gene Silencing Technology comprises cancer vaccines using ddRNAi gene silencing technology.</v>
      </c>
    </row>
    <row r="20" spans="2:4" ht="71.25">
      <c r="B20" s="626" t="str">
        <f>Trans.1!D21</f>
        <v>InoCard GmbH</v>
      </c>
      <c r="C20" s="1328"/>
      <c r="D20" s="626" t="str">
        <f>'Capital IQ Sheet-STM'!AL22</f>
        <v>InoCard GmbH is a biotechnology company and develops AAV-based gene therapy approach for the long-term treatment of congestive heart failure, targeting the calcium-binding protein S100A1. The company was founded in 2013 and is based in Heidelberg, Germany. As of July 31, 2014, InoCard GmbH operates as a subsidiary of uniQure N.V.</v>
      </c>
    </row>
    <row r="21" spans="2:4" ht="42.75">
      <c r="B21" s="626" t="str">
        <f>Trans.1!D22</f>
        <v>AesRx, LLC</v>
      </c>
      <c r="C21" s="1328"/>
      <c r="D21" s="626" t="str">
        <f>'Capital IQ Sheet-STM'!AL23</f>
        <v>AesRx, LLC develops drugs for the treatment of sickle cell disease. The company was incorporated in 2008 and is based in Newton, Massachusetts. As of June 2014, AesRx, LLC operates as a subsidiary of Baxter International Inc.</v>
      </c>
    </row>
    <row r="22" spans="2:4" ht="213.75">
      <c r="B22" s="626" t="str">
        <f>Trans.1!D23</f>
        <v>Precision Genome Engineering, Inc.</v>
      </c>
      <c r="C22" s="1328"/>
      <c r="D22" s="626" t="str">
        <f>'Capital IQ Sheet-STM'!AL24</f>
        <v>Precision Genome Engineering, Inc., doing business as Pregenen, operates as a biotechnology company designing and engineering molecules for the generation of gene and cell-based therapies primarily in the areas of cancer and infectious diseases. It develops DisplayArray platform, which produces active and portable DNA-targeting enzymes with integrated DNA binding and cleavage activity. The company also provides a suite of custom genome engineering tools for creating site specific DNA breaks, such as TrueCut reagents that include engineered homing endonuclease enzymes for producing the DNA double-stranded break combined with accessory proteins to increase the rate of gene disruption following the creation of a DNA break-point. In addition, it undertakes a range of analyses to determine the in vitro and in vivo activity and specificity of genome engineering tools; and develops a cell signaling system to provide pharmacological control over chimeric antigen receptor driven immunotherapies. The company was founded in 2006 and is based in Seattle, Washington. As of June 30, 2014, Precision Genome Engineering, Inc. operates as a subsidiary of bluebird bio, Inc.</v>
      </c>
    </row>
    <row r="23" spans="2:4" ht="138.94999999999999" customHeight="1">
      <c r="B23" s="626" t="str">
        <f>Trans.1!D24</f>
        <v>EGWU, Inc.</v>
      </c>
      <c r="C23" s="1328"/>
      <c r="D23" s="626" t="str">
        <f>'Capital IQ Sheet-STM'!AL25</f>
        <v>EGWU, Inc. researches and develops therapeutics based on genes, inhibitory RNA, and small molecules for the treatment of human diseases. The company develops EGEN-001, an interleukin-12 gene therapy for the treatment of disseminated epithelial ovarian cancer. It also engages in the development of therapeutics for the treatment of cardiovascular anomalies and joint tissue diseases. In addition, it provides various services, which include the development of therapeutics; contract research services; and custom design of drug delivery products for various applications. The company was formerly known as EGEN, Inc. and changed its name to EGWU, Inc. in September 2012. The company was founded in 2002 and is based in Huntsville, Alabama. As of June 20, 2014, EGWU, Inc. operates as a subsidiary of Celsion Corp.</v>
      </c>
    </row>
    <row r="24" spans="2:4" ht="123" customHeight="1">
      <c r="B24" s="626" t="str">
        <f>Trans.1!D25</f>
        <v>Sirna Therapeutics, Inc.</v>
      </c>
      <c r="C24" s="1328"/>
      <c r="D24" s="626" t="str">
        <f>'Capital IQ Sheet-STM'!AL26</f>
        <v>Sirna Therapeutics, Inc. develops therapeutic candidates based on RNA interference (RNAi) technology. It provides research, preclinical, and clinical development with product candidates in areas, including age-related macular degeneration (AMD), chronic hepatitis, dermatology, asthma, Huntington’s disease (HD), oncology, and diabetes. Sirna Therapeutics, Inc. was formerly known as Ribozyme Pharmaceuticals, Inc. and changed its name to Sirna Therapeutics, Inc. in April 2003. The company was founded in 1992 and is headquartered in San Francisco, California. As of March 5, 2014, Sirna Therapeutics, Inc. operates as a subsidiary of Alnylam Pharmaceuticals, Inc.</v>
      </c>
    </row>
    <row r="25" spans="2:4" ht="194.1" customHeight="1">
      <c r="B25" s="626" t="str">
        <f>Trans.1!D26</f>
        <v>Ceregene, Inc.</v>
      </c>
      <c r="C25" s="1328"/>
      <c r="D25" s="626" t="str">
        <f>'Capital IQ Sheet-STM'!AL27</f>
        <v>Ceregene, Inc., a biotechnology company, focuses on developing neurotrophic growth factor treatments for neurodegenerative disorders. The company develops adeno-associated virus (AAV) vectors for delivering the neurotrophic gene. Its pipeline includes CERE-120, a AAV-neurturin for brain degenerating in Parkinson’s diseases; CERE-110, a AAV-nerve growth factor that has profound protective and function restoring effects on cholinergic neurons in the brain; CERE-130, a AAV-insulin-like growth factor-1 to enhance the function and provide protective support of motor neurons that originate in the spinal cord and control various muscles; and CERE-140, a AAV-neurotrophic factor 4/5 for treating ocular diseases. The company targets neurodegenerative disorders, including Parkinson’s, Alzheimer’s, amyotrophic lateral sclerosis, and Huntington diseases; and degenerative diseases of the eye, such as retinitis pigmentosa, age-related macular degeneration, and glaucoma. Ceregene, Inc. was incorporated in 2000 and is based in San Diego, California. As of October 1, 2013, Ceregene, Inc. operates as a subsidiary of Sangamo Biosciences Inc.</v>
      </c>
    </row>
    <row r="26" spans="2:4" ht="14.85" customHeight="1">
      <c r="B26" s="279" t="s">
        <v>116</v>
      </c>
      <c r="C26" s="279"/>
    </row>
    <row r="27" spans="2:4" ht="14.85" customHeight="1"/>
    <row r="28" spans="2:4" ht="14.85" customHeight="1"/>
    <row r="29" spans="2:4" ht="14.85" customHeight="1"/>
    <row r="30" spans="2:4" ht="14.85" customHeight="1"/>
    <row r="31" spans="2:4" ht="14.85" customHeight="1"/>
    <row r="32" spans="2:4"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sheetData>
  <conditionalFormatting sqref="B8:C25">
    <cfRule type="cellIs" dxfId="291" priority="8" operator="equal">
      <formula>"(Invalid Identifier)"</formula>
    </cfRule>
  </conditionalFormatting>
  <conditionalFormatting sqref="D4">
    <cfRule type="cellIs" dxfId="290" priority="2" stopIfTrue="1" operator="equal">
      <formula>"input"</formula>
    </cfRule>
  </conditionalFormatting>
  <conditionalFormatting sqref="D4">
    <cfRule type="cellIs" dxfId="289" priority="3" stopIfTrue="1" operator="equal">
      <formula>"input"</formula>
    </cfRule>
  </conditionalFormatting>
  <conditionalFormatting sqref="B4:C4">
    <cfRule type="cellIs" dxfId="288" priority="1" stopIfTrue="1" operator="equal">
      <formula>"input"</formula>
    </cfRule>
  </conditionalFormatting>
  <pageMargins left="0.5" right="0.5" top="0.5" bottom="0.5" header="0.5" footer="0.5"/>
  <pageSetup scale="99" fitToWidth="0" fitToHeight="0" orientation="landscape"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5">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4.5"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461</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orientation="landscape"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6"/>
  <dimension ref="A1:N745"/>
  <sheetViews>
    <sheetView showGridLines="0" view="pageBreakPreview" zoomScaleNormal="100" zoomScaleSheetLayoutView="100" workbookViewId="0"/>
  </sheetViews>
  <sheetFormatPr defaultRowHeight="14.25"/>
  <cols>
    <col min="1" max="1" width="4.5" style="234" customWidth="1"/>
    <col min="2" max="2" width="42" style="234" customWidth="1"/>
    <col min="3" max="3" width="4.1640625" style="234" customWidth="1"/>
    <col min="4" max="8" width="20.5" style="234" customWidth="1"/>
    <col min="9" max="9" width="2.83203125" style="234" customWidth="1"/>
    <col min="10" max="10" width="20.5" style="234" customWidth="1"/>
    <col min="11" max="11" width="4.5" style="234" customWidth="1"/>
    <col min="12" max="16384" width="9.33203125" style="234"/>
  </cols>
  <sheetData>
    <row r="1" spans="2:10" ht="10.7" customHeight="1" thickBot="1"/>
    <row r="2" spans="2:10" ht="16.5" customHeight="1" thickTop="1">
      <c r="B2" s="223" t="str">
        <f>'MASTER PubCo Inputs'!$C$5</f>
        <v>Trucode Gene Repair, Inc.</v>
      </c>
      <c r="C2" s="223"/>
      <c r="D2" s="223"/>
      <c r="E2" s="223"/>
      <c r="F2" s="223"/>
      <c r="G2" s="223"/>
      <c r="H2" s="223"/>
      <c r="I2" s="223"/>
      <c r="J2" s="223"/>
    </row>
    <row r="3" spans="2:10" ht="15.75" customHeight="1">
      <c r="B3" s="232" t="str">
        <f>VLOOKUP(B4,Outline!$E$8:$G$65,COLUMNS(Outline!$E$8:$G$8),FALSE)</f>
        <v>Exhibit G.1</v>
      </c>
      <c r="C3" s="232"/>
      <c r="D3" s="232"/>
      <c r="E3" s="232"/>
      <c r="F3" s="232"/>
      <c r="G3" s="232"/>
      <c r="H3" s="232"/>
      <c r="I3" s="232"/>
      <c r="J3" s="232"/>
    </row>
    <row r="4" spans="2:10" ht="16.5" customHeight="1" thickBot="1">
      <c r="B4" s="225" t="s">
        <v>674</v>
      </c>
      <c r="C4" s="225"/>
      <c r="D4" s="225"/>
      <c r="E4" s="225"/>
      <c r="F4" s="225"/>
      <c r="G4" s="225"/>
      <c r="H4" s="225"/>
      <c r="I4" s="233"/>
      <c r="J4" s="233" t="str">
        <f>+'MASTER PubCo Inputs'!$C$20</f>
        <v>(in thousands of USD and shares, except price per share)</v>
      </c>
    </row>
    <row r="5" spans="2:10" ht="14.85" customHeight="1" thickTop="1"/>
    <row r="6" spans="2:10" ht="14.85" customHeight="1"/>
    <row r="7" spans="2:10" s="270" customFormat="1" ht="14.85" customHeight="1">
      <c r="B7" s="1302" t="s">
        <v>2929</v>
      </c>
      <c r="D7" s="1303" t="s">
        <v>644</v>
      </c>
      <c r="E7" s="372" t="s">
        <v>3455</v>
      </c>
      <c r="F7" s="372" t="s">
        <v>484</v>
      </c>
      <c r="G7" s="372" t="s">
        <v>490</v>
      </c>
      <c r="H7" s="399" t="s">
        <v>236</v>
      </c>
      <c r="I7" s="271"/>
      <c r="J7" s="1304" t="s">
        <v>161</v>
      </c>
    </row>
    <row r="8" spans="2:10" ht="14.85" customHeight="1"/>
    <row r="9" spans="2:10" ht="14.85" customHeight="1">
      <c r="B9" s="234" t="s">
        <v>3454</v>
      </c>
      <c r="D9" s="1305">
        <f>'Detailed Cap'!J68/1000</f>
        <v>1010.456</v>
      </c>
      <c r="E9" s="1305">
        <f>'Detailed Cap'!H68/1000</f>
        <v>1787.64</v>
      </c>
      <c r="F9" s="1305">
        <f>'Detailed Cap'!D68/1000</f>
        <v>6120.1109999999999</v>
      </c>
      <c r="G9" s="1305">
        <f>'Detailed Cap'!F68/1000</f>
        <v>5097.5659999999998</v>
      </c>
      <c r="H9" s="1305">
        <f>'Detailed Cap'!B68/1000</f>
        <v>3618.2730000000001</v>
      </c>
      <c r="J9" s="259">
        <f>SUM(D9:H9)</f>
        <v>17634.046000000002</v>
      </c>
    </row>
    <row r="10" spans="2:10" ht="14.85" customHeight="1">
      <c r="B10" s="269"/>
      <c r="C10" s="269"/>
      <c r="D10" s="269"/>
      <c r="E10" s="269"/>
      <c r="F10" s="269"/>
      <c r="G10" s="269"/>
      <c r="H10" s="269"/>
      <c r="J10" s="269"/>
    </row>
    <row r="11" spans="2:10" ht="14.85" customHeight="1">
      <c r="B11" s="434" t="s">
        <v>161</v>
      </c>
      <c r="D11" s="309">
        <f t="shared" ref="D11:H11" si="0">SUM(D9:D9)</f>
        <v>1010.456</v>
      </c>
      <c r="E11" s="309">
        <f t="shared" si="0"/>
        <v>1787.64</v>
      </c>
      <c r="F11" s="309">
        <f t="shared" si="0"/>
        <v>6120.1109999999999</v>
      </c>
      <c r="G11" s="309">
        <f t="shared" si="0"/>
        <v>5097.5659999999998</v>
      </c>
      <c r="H11" s="309">
        <f t="shared" si="0"/>
        <v>3618.2730000000001</v>
      </c>
      <c r="J11" s="309">
        <f>SUM(J9:J9)</f>
        <v>17634.046000000002</v>
      </c>
    </row>
    <row r="12" spans="2:10" ht="14.85" customHeight="1"/>
    <row r="13" spans="2:10" ht="14.85" customHeight="1">
      <c r="B13" s="256" t="s">
        <v>361</v>
      </c>
      <c r="D13" s="1306">
        <v>0</v>
      </c>
      <c r="E13" s="1306">
        <v>0</v>
      </c>
      <c r="F13" s="1306">
        <v>0</v>
      </c>
      <c r="G13" s="1306">
        <v>0</v>
      </c>
      <c r="H13" s="259">
        <f>SUM(D24:D28)</f>
        <v>1737.874</v>
      </c>
      <c r="J13" s="259">
        <f>H13</f>
        <v>1737.874</v>
      </c>
    </row>
    <row r="14" spans="2:10" ht="14.85" customHeight="1">
      <c r="B14" s="256" t="s">
        <v>362</v>
      </c>
      <c r="D14" s="1306">
        <v>0</v>
      </c>
      <c r="E14" s="1306">
        <v>0</v>
      </c>
      <c r="F14" s="1306">
        <v>0</v>
      </c>
      <c r="G14" s="1306">
        <v>0</v>
      </c>
      <c r="H14" s="259">
        <f>D29</f>
        <v>1602.6010000000001</v>
      </c>
      <c r="J14" s="259">
        <f>H14</f>
        <v>1602.6010000000001</v>
      </c>
    </row>
    <row r="15" spans="2:10" ht="14.85" customHeight="1">
      <c r="B15" s="269"/>
      <c r="C15" s="269"/>
      <c r="D15" s="269"/>
      <c r="E15" s="269"/>
      <c r="F15" s="269"/>
      <c r="G15" s="269"/>
      <c r="H15" s="269"/>
      <c r="J15" s="269"/>
    </row>
    <row r="16" spans="2:10" ht="14.85" customHeight="1">
      <c r="B16" s="434" t="s">
        <v>363</v>
      </c>
      <c r="D16" s="309">
        <f>SUM(D11:D14)</f>
        <v>1010.456</v>
      </c>
      <c r="E16" s="309">
        <f>SUM(E11:E14)</f>
        <v>1787.64</v>
      </c>
      <c r="F16" s="309">
        <f>SUM(F11:F14)</f>
        <v>6120.1109999999999</v>
      </c>
      <c r="G16" s="309">
        <f>SUM(G11:G14)</f>
        <v>5097.5659999999998</v>
      </c>
      <c r="H16" s="309">
        <f>SUM(H11:H14)</f>
        <v>6958.7479999999996</v>
      </c>
      <c r="J16" s="309">
        <f>SUM(J11:J14)</f>
        <v>20974.521000000001</v>
      </c>
    </row>
    <row r="17" spans="2:14" ht="14.85" customHeight="1"/>
    <row r="18" spans="2:14" ht="14.85" customHeight="1">
      <c r="B18" s="317" t="s">
        <v>364</v>
      </c>
      <c r="D18" s="1307">
        <v>1</v>
      </c>
      <c r="E18" s="1307">
        <v>1</v>
      </c>
      <c r="F18" s="1307">
        <v>1</v>
      </c>
      <c r="G18" s="1307">
        <v>1</v>
      </c>
      <c r="H18" s="1307">
        <v>1</v>
      </c>
      <c r="J18" s="1307">
        <v>1</v>
      </c>
    </row>
    <row r="19" spans="2:14" ht="14.85" customHeight="1"/>
    <row r="20" spans="2:14" ht="14.85" customHeight="1">
      <c r="B20" s="1308" t="s">
        <v>365</v>
      </c>
      <c r="C20" s="1309"/>
      <c r="D20" s="1310">
        <f t="shared" ref="D20:H20" si="1">D16*D18</f>
        <v>1010.456</v>
      </c>
      <c r="E20" s="1310">
        <f t="shared" si="1"/>
        <v>1787.64</v>
      </c>
      <c r="F20" s="1310">
        <f t="shared" si="1"/>
        <v>6120.1109999999999</v>
      </c>
      <c r="G20" s="1310">
        <f t="shared" si="1"/>
        <v>5097.5659999999998</v>
      </c>
      <c r="H20" s="1311">
        <f t="shared" si="1"/>
        <v>6958.7479999999996</v>
      </c>
      <c r="J20" s="1312">
        <f>SUM(D20:H20)</f>
        <v>20974.521000000001</v>
      </c>
    </row>
    <row r="21" spans="2:14" ht="14.85" customHeight="1"/>
    <row r="22" spans="2:14" ht="14.85" customHeight="1">
      <c r="B22" s="1313" t="s">
        <v>4189</v>
      </c>
      <c r="C22" s="1314"/>
      <c r="D22" s="1314"/>
      <c r="E22" s="1315"/>
      <c r="I22" s="491"/>
      <c r="J22" s="259"/>
    </row>
    <row r="23" spans="2:14" ht="14.85" customHeight="1">
      <c r="B23" s="1316"/>
      <c r="D23" s="1317" t="s">
        <v>865</v>
      </c>
      <c r="E23" s="1317" t="s">
        <v>82</v>
      </c>
      <c r="I23" s="491"/>
    </row>
    <row r="24" spans="2:14" ht="14.85" customHeight="1">
      <c r="B24" s="1318" t="str">
        <f>"Options at " &amp;TEXT(E24,"$0.0000") &amp; " Strike Price"</f>
        <v>Options at $0.0059 Strike Price</v>
      </c>
      <c r="D24" s="1319">
        <f>'Options &amp; RSUs'!L87/1000</f>
        <v>79.688000000000002</v>
      </c>
      <c r="E24" s="2188">
        <f>'Options &amp; RSUs'!K87</f>
        <v>5.875E-3</v>
      </c>
      <c r="H24" s="1067"/>
      <c r="I24" s="491"/>
      <c r="L24" s="259"/>
      <c r="M24" s="234" t="s">
        <v>110</v>
      </c>
      <c r="N24" s="1669" t="str">
        <f>IF(J16-(DetailedCapShares/1000)=0,"","Check")</f>
        <v/>
      </c>
    </row>
    <row r="25" spans="2:14" ht="14.85" customHeight="1">
      <c r="B25" s="1318" t="str">
        <f>"Options at " &amp;TEXT(E25,"$0.000") &amp; " Strike Price"</f>
        <v>Options at $0.350 Strike Price</v>
      </c>
      <c r="D25" s="1319">
        <f>'Options &amp; RSUs'!L86/1000</f>
        <v>10</v>
      </c>
      <c r="E25" s="2188">
        <f>'Options &amp; RSUs'!K86</f>
        <v>0.35</v>
      </c>
      <c r="I25" s="491"/>
    </row>
    <row r="26" spans="2:14" ht="14.85" customHeight="1">
      <c r="B26" s="1318" t="str">
        <f t="shared" ref="B26:B28" si="2">"Options at " &amp;TEXT(E26,"$0.00") &amp; " Strike Price"</f>
        <v>Options at $0.38 Strike Price</v>
      </c>
      <c r="D26" s="1319">
        <f>'Options &amp; RSUs'!L88/1000</f>
        <v>328.69</v>
      </c>
      <c r="E26" s="2188">
        <f>'Options &amp; RSUs'!K88</f>
        <v>0.38</v>
      </c>
      <c r="I26" s="491"/>
    </row>
    <row r="27" spans="2:14" ht="14.85" customHeight="1">
      <c r="B27" s="1318" t="str">
        <f t="shared" si="2"/>
        <v>Options at $0.81 Strike Price</v>
      </c>
      <c r="D27" s="1319">
        <f>'Options &amp; RSUs'!L89/1000</f>
        <v>1224.4010000000001</v>
      </c>
      <c r="E27" s="2188">
        <f>'Options &amp; RSUs'!K89</f>
        <v>0.81</v>
      </c>
      <c r="I27" s="491"/>
    </row>
    <row r="28" spans="2:14" ht="14.85" customHeight="1">
      <c r="B28" s="1318" t="str">
        <f t="shared" si="2"/>
        <v>Options at $0.91 Strike Price</v>
      </c>
      <c r="D28" s="1319">
        <f>'Options &amp; RSUs'!L90/1000</f>
        <v>95.094999999999999</v>
      </c>
      <c r="E28" s="2188">
        <f>'Options &amp; RSUs'!K90</f>
        <v>0.91</v>
      </c>
      <c r="I28" s="491"/>
    </row>
    <row r="29" spans="2:14" ht="14.85" customHeight="1">
      <c r="B29" s="1318" t="s">
        <v>520</v>
      </c>
      <c r="C29" s="493" t="s">
        <v>249</v>
      </c>
      <c r="D29" s="1319">
        <f>'Detailed Cap'!$L$65/1000</f>
        <v>1602.6010000000001</v>
      </c>
      <c r="E29" s="2189">
        <f>'Val Summ'!M11</f>
        <v>0.6</v>
      </c>
      <c r="I29" s="491"/>
    </row>
    <row r="30" spans="2:14" ht="14.85" customHeight="1">
      <c r="B30" s="1320"/>
      <c r="C30" s="269"/>
      <c r="D30" s="1321"/>
      <c r="E30" s="457"/>
      <c r="I30" s="491"/>
    </row>
    <row r="31" spans="2:14" ht="14.85" customHeight="1">
      <c r="B31" s="1322" t="s">
        <v>161</v>
      </c>
      <c r="D31" s="309">
        <f>SUM(D24:D29)</f>
        <v>3340.4750000000004</v>
      </c>
      <c r="E31" s="252"/>
      <c r="F31" s="252"/>
      <c r="G31" s="252"/>
      <c r="I31" s="491"/>
    </row>
    <row r="32" spans="2:14" ht="14.85" customHeight="1">
      <c r="D32" s="252"/>
      <c r="E32" s="252"/>
      <c r="F32" s="252"/>
      <c r="G32" s="252"/>
      <c r="I32" s="491"/>
    </row>
    <row r="33" spans="1:2" ht="14.85" customHeight="1">
      <c r="B33" s="279" t="s">
        <v>86</v>
      </c>
    </row>
    <row r="34" spans="1:2" ht="14.85" customHeight="1">
      <c r="A34" s="280" t="s">
        <v>250</v>
      </c>
      <c r="B34" s="1323" t="s">
        <v>949</v>
      </c>
    </row>
    <row r="35" spans="1:2" ht="14.85" customHeight="1">
      <c r="A35" s="280" t="s">
        <v>249</v>
      </c>
      <c r="B35" s="1323" t="s">
        <v>950</v>
      </c>
    </row>
    <row r="36" spans="1:2" ht="14.85" customHeight="1">
      <c r="B36" s="1301"/>
    </row>
    <row r="37" spans="1:2" ht="14.85" customHeight="1"/>
    <row r="38" spans="1:2" ht="14.85" customHeight="1"/>
    <row r="39" spans="1:2" ht="14.85" customHeight="1"/>
    <row r="40" spans="1:2" ht="14.85" customHeight="1"/>
    <row r="41" spans="1:2" ht="14.85" customHeight="1"/>
    <row r="42" spans="1:2" ht="14.85" customHeight="1"/>
    <row r="43" spans="1:2" ht="14.85" customHeight="1"/>
    <row r="44" spans="1:2" ht="14.85" customHeight="1"/>
    <row r="45" spans="1:2" ht="14.85" customHeight="1"/>
    <row r="46" spans="1:2" ht="14.85" customHeight="1"/>
    <row r="47" spans="1:2" ht="14.85" customHeight="1"/>
    <row r="48" spans="1:2"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sheetData>
  <conditionalFormatting sqref="B4:H4">
    <cfRule type="cellIs" dxfId="287" priority="7" stopIfTrue="1" operator="equal">
      <formula>"input"</formula>
    </cfRule>
  </conditionalFormatting>
  <conditionalFormatting sqref="I4">
    <cfRule type="cellIs" dxfId="286" priority="5" stopIfTrue="1" operator="equal">
      <formula>"input"</formula>
    </cfRule>
  </conditionalFormatting>
  <conditionalFormatting sqref="I4">
    <cfRule type="cellIs" dxfId="285" priority="6" stopIfTrue="1" operator="equal">
      <formula>"input"</formula>
    </cfRule>
  </conditionalFormatting>
  <conditionalFormatting sqref="J4">
    <cfRule type="cellIs" dxfId="284" priority="1" stopIfTrue="1" operator="equal">
      <formula>"input"</formula>
    </cfRule>
  </conditionalFormatting>
  <conditionalFormatting sqref="J4">
    <cfRule type="cellIs" dxfId="283" priority="2" stopIfTrue="1" operator="equal">
      <formula>"input"</formula>
    </cfRule>
  </conditionalFormatting>
  <pageMargins left="0.5" right="0.5" top="0.5" bottom="0.5" header="0.5" footer="0.5"/>
  <pageSetup scale="85" fitToWidth="0" fitToHeight="0" orientation="landscape" r:id="rId1"/>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0000000}">
          <x14:formula1>
            <xm:f>'List Data'!$B$3:$B$49</xm:f>
          </x14:formula1>
          <xm:sqref>D7:H7</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7"/>
  <dimension ref="A1:U759"/>
  <sheetViews>
    <sheetView showGridLines="0" view="pageBreakPreview" zoomScaleNormal="145" zoomScaleSheetLayoutView="100" workbookViewId="0"/>
  </sheetViews>
  <sheetFormatPr defaultRowHeight="14.25"/>
  <cols>
    <col min="1" max="1" width="4.5" style="234" customWidth="1"/>
    <col min="2" max="2" width="45.83203125" style="234" customWidth="1"/>
    <col min="3" max="3" width="2.83203125" style="234" customWidth="1"/>
    <col min="4" max="7" width="25.83203125" style="234" customWidth="1"/>
    <col min="8" max="8" width="4.5" style="234" customWidth="1"/>
    <col min="9" max="9" width="9.33203125" style="234"/>
    <col min="10" max="10" width="11.1640625" style="234" bestFit="1" customWidth="1"/>
    <col min="11" max="16384" width="9.33203125" style="234"/>
  </cols>
  <sheetData>
    <row r="1" spans="2:21" ht="10.7" customHeight="1" thickBot="1"/>
    <row r="2" spans="2:21" ht="16.5" customHeight="1" thickTop="1">
      <c r="B2" s="223" t="str">
        <f>'MASTER PubCo Inputs'!$C$5</f>
        <v>Trucode Gene Repair, Inc.</v>
      </c>
      <c r="C2" s="223"/>
      <c r="D2" s="223"/>
      <c r="E2" s="223"/>
      <c r="F2" s="223"/>
      <c r="G2" s="223"/>
    </row>
    <row r="3" spans="2:21" ht="15.75" customHeight="1">
      <c r="B3" s="232" t="str">
        <f>VLOOKUP(B4,Outline!$E$8:$G$65,COLUMNS(Outline!$E$8:$G$8),FALSE)</f>
        <v>Exhibit G.2</v>
      </c>
      <c r="C3" s="232"/>
      <c r="D3" s="232"/>
      <c r="E3" s="232"/>
      <c r="F3" s="232"/>
      <c r="G3" s="232"/>
    </row>
    <row r="4" spans="2:21" ht="16.5" customHeight="1" thickBot="1">
      <c r="B4" s="225" t="s">
        <v>675</v>
      </c>
      <c r="C4" s="225"/>
      <c r="D4" s="225"/>
      <c r="E4" s="225"/>
      <c r="F4" s="225"/>
      <c r="G4" s="233" t="str">
        <f>+'MASTER PubCo Inputs'!$C$20</f>
        <v>(in thousands of USD and shares, except price per share)</v>
      </c>
    </row>
    <row r="5" spans="2:21" ht="14.85" customHeight="1" thickTop="1"/>
    <row r="6" spans="2:21" ht="14.85" customHeight="1">
      <c r="D6" s="252" t="str">
        <f>A31</f>
        <v>(2)</v>
      </c>
      <c r="E6" s="252" t="str">
        <f>A31</f>
        <v>(2)</v>
      </c>
    </row>
    <row r="7" spans="2:21" s="270" customFormat="1" ht="14.85" customHeight="1">
      <c r="D7" s="448" t="str">
        <f>'Cap Table'!D7</f>
        <v>Series Seed</v>
      </c>
      <c r="E7" s="373" t="str">
        <f>'Cap Table'!E7</f>
        <v>Series Seed-1</v>
      </c>
      <c r="F7" s="373" t="str">
        <f>'Cap Table'!F7</f>
        <v>Series A</v>
      </c>
      <c r="G7" s="449" t="str">
        <f>'Cap Table'!G7</f>
        <v>Series B</v>
      </c>
      <c r="J7" s="234" t="s">
        <v>3458</v>
      </c>
    </row>
    <row r="8" spans="2:21" ht="14.85" customHeight="1">
      <c r="J8" s="1672" t="s">
        <v>1357</v>
      </c>
      <c r="K8" s="369" t="s">
        <v>126</v>
      </c>
      <c r="L8" s="345"/>
      <c r="M8" s="345"/>
      <c r="N8" s="345"/>
      <c r="O8" s="345"/>
      <c r="P8" s="346"/>
    </row>
    <row r="9" spans="2:21" ht="14.85" customHeight="1">
      <c r="B9" s="629" t="s">
        <v>2928</v>
      </c>
      <c r="C9" s="522"/>
      <c r="D9" s="522"/>
      <c r="E9" s="522"/>
      <c r="F9" s="522"/>
      <c r="G9" s="1292"/>
      <c r="J9" s="1969">
        <v>0</v>
      </c>
      <c r="K9" s="354" t="s">
        <v>3460</v>
      </c>
      <c r="L9" s="1676"/>
      <c r="M9" s="1676"/>
      <c r="N9" s="1676"/>
      <c r="O9" s="1676"/>
      <c r="P9" s="1677"/>
    </row>
    <row r="10" spans="2:21" ht="14.85" customHeight="1">
      <c r="B10" s="256" t="s">
        <v>372</v>
      </c>
      <c r="D10" s="1670"/>
      <c r="E10" s="1670"/>
      <c r="F10" s="1293">
        <v>42783</v>
      </c>
      <c r="G10" s="1293">
        <v>43031</v>
      </c>
      <c r="J10" s="1970">
        <v>0</v>
      </c>
      <c r="K10" s="347" t="s">
        <v>3461</v>
      </c>
      <c r="P10" s="348"/>
      <c r="S10" s="358"/>
      <c r="T10" s="358"/>
    </row>
    <row r="11" spans="2:21" ht="14.85" customHeight="1">
      <c r="B11" s="256" t="s">
        <v>382</v>
      </c>
      <c r="D11" s="839">
        <f>'Cap Table'!D9</f>
        <v>1010.456</v>
      </c>
      <c r="E11" s="839">
        <f>'Cap Table'!E9</f>
        <v>1787.64</v>
      </c>
      <c r="F11" s="839">
        <f>'Cap Table'!F9</f>
        <v>6120.1109999999999</v>
      </c>
      <c r="G11" s="839">
        <f>'Cap Table'!G9</f>
        <v>5097.5659999999998</v>
      </c>
      <c r="J11" s="1673">
        <f>'Cap Table'!E24</f>
        <v>5.875E-3</v>
      </c>
      <c r="K11" s="347" t="str">
        <f>"Options at "&amp;TEXT(J11,"$0.0000")&amp;" Strike Price Exercise"</f>
        <v>Options at $0.0059 Strike Price Exercise</v>
      </c>
      <c r="P11" s="348"/>
    </row>
    <row r="12" spans="2:21" ht="14.85" customHeight="1">
      <c r="B12" s="256" t="s">
        <v>435</v>
      </c>
      <c r="D12" s="1671">
        <v>1.0094624999999999</v>
      </c>
      <c r="E12" s="1671">
        <v>1.9187375</v>
      </c>
      <c r="F12" s="1671">
        <v>2.1463000000000001</v>
      </c>
      <c r="G12" s="1671">
        <v>4.2926000000000002</v>
      </c>
      <c r="J12" s="1971">
        <f>'Cap Table'!E25</f>
        <v>0.35</v>
      </c>
      <c r="K12" s="347" t="str">
        <f t="shared" ref="K12:K16" si="0">"Options at "&amp;TEXT(J12,"$0.0000")&amp;" Strike Price Exercise"</f>
        <v>Options at $0.3500 Strike Price Exercise</v>
      </c>
      <c r="O12" s="358"/>
      <c r="P12" s="482"/>
      <c r="Q12" s="358"/>
      <c r="R12" s="358"/>
      <c r="S12" s="358"/>
      <c r="T12" s="358"/>
      <c r="U12" s="358"/>
    </row>
    <row r="13" spans="2:21" ht="14.85" customHeight="1">
      <c r="B13" s="256" t="s">
        <v>529</v>
      </c>
      <c r="D13" s="1294">
        <f>D11*D12</f>
        <v>1020.0174399</v>
      </c>
      <c r="E13" s="1294">
        <f t="shared" ref="E13:G13" si="1">E11*E12</f>
        <v>3430.0119045000001</v>
      </c>
      <c r="F13" s="1294">
        <f t="shared" si="1"/>
        <v>13135.5942393</v>
      </c>
      <c r="G13" s="1294">
        <f t="shared" si="1"/>
        <v>21881.811811600001</v>
      </c>
      <c r="J13" s="1971">
        <f>'Cap Table'!E26</f>
        <v>0.38</v>
      </c>
      <c r="K13" s="347" t="str">
        <f t="shared" si="0"/>
        <v>Options at $0.3800 Strike Price Exercise</v>
      </c>
      <c r="O13" s="358"/>
      <c r="P13" s="482"/>
      <c r="Q13" s="358"/>
      <c r="R13" s="358"/>
      <c r="S13" s="358"/>
      <c r="T13" s="358"/>
      <c r="U13" s="358"/>
    </row>
    <row r="14" spans="2:21" ht="14.85" customHeight="1">
      <c r="B14" s="256"/>
      <c r="D14" s="1295"/>
      <c r="E14" s="1295"/>
      <c r="F14" s="1295"/>
      <c r="G14" s="1295"/>
      <c r="J14" s="1971">
        <f>'Cap Table'!E29</f>
        <v>0.6</v>
      </c>
      <c r="K14" s="347" t="str">
        <f>"Expected Options at "&amp;TEXT(J14,"$0.0000")&amp;" Strike Price Exercise"</f>
        <v>Expected Options at $0.6000 Strike Price Exercise</v>
      </c>
      <c r="O14" s="358"/>
      <c r="P14" s="482"/>
      <c r="Q14" s="358"/>
      <c r="R14" s="358"/>
      <c r="S14" s="358"/>
      <c r="T14" s="358"/>
      <c r="U14" s="358"/>
    </row>
    <row r="15" spans="2:21" ht="14.85" customHeight="1">
      <c r="B15" s="256" t="s">
        <v>531</v>
      </c>
      <c r="D15" s="1296">
        <v>1</v>
      </c>
      <c r="E15" s="1296">
        <v>1</v>
      </c>
      <c r="F15" s="1296">
        <v>1</v>
      </c>
      <c r="G15" s="1296">
        <v>1</v>
      </c>
      <c r="J15" s="1971">
        <f>'Cap Table'!E27</f>
        <v>0.81</v>
      </c>
      <c r="K15" s="347" t="str">
        <f t="shared" si="0"/>
        <v>Options at $0.8100 Strike Price Exercise</v>
      </c>
      <c r="O15" s="358"/>
      <c r="P15" s="482"/>
      <c r="Q15" s="358"/>
      <c r="R15" s="358"/>
      <c r="S15" s="358"/>
      <c r="T15" s="358"/>
      <c r="U15" s="358"/>
    </row>
    <row r="16" spans="2:21" ht="14.85" customHeight="1">
      <c r="B16" s="256" t="s">
        <v>530</v>
      </c>
      <c r="D16" s="1294">
        <f>D13*D15</f>
        <v>1020.0174399</v>
      </c>
      <c r="E16" s="1294">
        <f t="shared" ref="E16:G16" si="2">E13*E15</f>
        <v>3430.0119045000001</v>
      </c>
      <c r="F16" s="1294">
        <f t="shared" si="2"/>
        <v>13135.5942393</v>
      </c>
      <c r="G16" s="1294">
        <f t="shared" si="2"/>
        <v>21881.811811600001</v>
      </c>
      <c r="H16" s="834"/>
      <c r="J16" s="1971">
        <f>'Cap Table'!E28</f>
        <v>0.91</v>
      </c>
      <c r="K16" s="347" t="str">
        <f t="shared" si="0"/>
        <v>Options at $0.9100 Strike Price Exercise</v>
      </c>
      <c r="O16" s="358"/>
      <c r="P16" s="482"/>
      <c r="Q16" s="358"/>
      <c r="R16" s="358"/>
      <c r="S16" s="358"/>
      <c r="T16" s="358"/>
      <c r="U16" s="358"/>
    </row>
    <row r="17" spans="1:21" ht="14.85" customHeight="1">
      <c r="B17" s="256" t="s">
        <v>379</v>
      </c>
      <c r="D17" s="1297">
        <v>1</v>
      </c>
      <c r="E17" s="1297">
        <v>1</v>
      </c>
      <c r="F17" s="1297">
        <v>1</v>
      </c>
      <c r="G17" s="1297">
        <v>1</v>
      </c>
      <c r="J17" s="1674">
        <f>D12</f>
        <v>1.0094624999999999</v>
      </c>
      <c r="K17" s="347" t="s">
        <v>3462</v>
      </c>
      <c r="O17" s="358"/>
      <c r="P17" s="482"/>
      <c r="Q17" s="358"/>
      <c r="R17" s="358"/>
      <c r="S17" s="358"/>
      <c r="T17" s="358"/>
      <c r="U17" s="358"/>
    </row>
    <row r="18" spans="1:21" ht="14.85" customHeight="1">
      <c r="B18" s="256"/>
      <c r="D18" s="1297"/>
      <c r="E18" s="1297"/>
      <c r="F18" s="1297"/>
      <c r="G18" s="1297"/>
      <c r="J18" s="1674">
        <f>E12</f>
        <v>1.9187375</v>
      </c>
      <c r="K18" s="347" t="s">
        <v>3463</v>
      </c>
      <c r="O18" s="358"/>
      <c r="P18" s="482"/>
      <c r="Q18" s="358"/>
      <c r="R18" s="358"/>
      <c r="S18" s="358"/>
      <c r="T18" s="358"/>
      <c r="U18" s="358"/>
    </row>
    <row r="19" spans="1:21" ht="14.85" customHeight="1">
      <c r="B19" s="256" t="s">
        <v>368</v>
      </c>
      <c r="D19" s="1297" t="s">
        <v>370</v>
      </c>
      <c r="E19" s="1297" t="s">
        <v>370</v>
      </c>
      <c r="F19" s="1297" t="s">
        <v>370</v>
      </c>
      <c r="G19" s="1297" t="s">
        <v>370</v>
      </c>
      <c r="J19" s="1674">
        <f>F12</f>
        <v>2.1463000000000001</v>
      </c>
      <c r="K19" s="347" t="s">
        <v>3464</v>
      </c>
      <c r="P19" s="348"/>
    </row>
    <row r="20" spans="1:21" ht="14.85" customHeight="1">
      <c r="B20" s="256" t="s">
        <v>373</v>
      </c>
      <c r="D20" s="1296" t="s">
        <v>13</v>
      </c>
      <c r="E20" s="1296" t="s">
        <v>13</v>
      </c>
      <c r="F20" s="1296" t="s">
        <v>13</v>
      </c>
      <c r="G20" s="1296" t="s">
        <v>13</v>
      </c>
      <c r="J20" s="1675">
        <f>G12</f>
        <v>4.2926000000000002</v>
      </c>
      <c r="K20" s="366" t="s">
        <v>3465</v>
      </c>
      <c r="L20" s="269"/>
      <c r="M20" s="269"/>
      <c r="N20" s="269"/>
      <c r="O20" s="269"/>
      <c r="P20" s="594"/>
    </row>
    <row r="21" spans="1:21" ht="14.85" customHeight="1">
      <c r="B21" s="256"/>
      <c r="D21" s="1296"/>
      <c r="E21" s="1296"/>
      <c r="F21" s="1296"/>
      <c r="G21" s="1296"/>
    </row>
    <row r="22" spans="1:21" ht="14.85" customHeight="1">
      <c r="B22" s="256" t="s">
        <v>367</v>
      </c>
      <c r="D22" s="1298">
        <v>0.08</v>
      </c>
      <c r="E22" s="1298">
        <v>0.08</v>
      </c>
      <c r="F22" s="1298">
        <v>0.08</v>
      </c>
      <c r="G22" s="1298">
        <v>0.08</v>
      </c>
    </row>
    <row r="23" spans="1:21" ht="14.85" customHeight="1">
      <c r="B23" s="256" t="s">
        <v>522</v>
      </c>
      <c r="D23" s="1299" t="s">
        <v>525</v>
      </c>
      <c r="E23" s="1299" t="s">
        <v>525</v>
      </c>
      <c r="F23" s="1299" t="s">
        <v>525</v>
      </c>
      <c r="G23" s="1299" t="s">
        <v>525</v>
      </c>
      <c r="O23" s="358"/>
      <c r="P23" s="358"/>
      <c r="Q23" s="358"/>
      <c r="R23" s="358"/>
      <c r="S23" s="358"/>
      <c r="T23" s="358"/>
      <c r="U23" s="358"/>
    </row>
    <row r="24" spans="1:21" ht="14.85" customHeight="1">
      <c r="B24" s="256" t="s">
        <v>523</v>
      </c>
      <c r="D24" s="1299" t="s">
        <v>526</v>
      </c>
      <c r="E24" s="1299" t="s">
        <v>526</v>
      </c>
      <c r="F24" s="1299" t="s">
        <v>526</v>
      </c>
      <c r="G24" s="1299" t="s">
        <v>526</v>
      </c>
      <c r="P24" s="358"/>
      <c r="Q24" s="358"/>
      <c r="R24" s="358"/>
      <c r="S24" s="358"/>
      <c r="T24" s="358"/>
      <c r="U24" s="358"/>
    </row>
    <row r="25" spans="1:21" ht="14.85" customHeight="1">
      <c r="B25" s="256"/>
      <c r="D25" s="455"/>
      <c r="E25" s="455"/>
      <c r="F25" s="455"/>
      <c r="G25" s="455"/>
      <c r="U25" s="358"/>
    </row>
    <row r="26" spans="1:21" ht="14.85" customHeight="1">
      <c r="B26" s="256" t="s">
        <v>366</v>
      </c>
      <c r="D26" s="1297" t="s">
        <v>370</v>
      </c>
      <c r="E26" s="1297" t="s">
        <v>370</v>
      </c>
      <c r="F26" s="1297" t="s">
        <v>370</v>
      </c>
      <c r="G26" s="1297" t="s">
        <v>370</v>
      </c>
    </row>
    <row r="27" spans="1:21" ht="14.85" customHeight="1">
      <c r="B27" s="256" t="s">
        <v>369</v>
      </c>
      <c r="D27" s="1297" t="s">
        <v>371</v>
      </c>
      <c r="E27" s="1297" t="s">
        <v>371</v>
      </c>
      <c r="F27" s="1297" t="s">
        <v>371</v>
      </c>
      <c r="G27" s="1297" t="s">
        <v>371</v>
      </c>
    </row>
    <row r="28" spans="1:21" ht="14.85" customHeight="1">
      <c r="B28" s="256"/>
    </row>
    <row r="29" spans="1:21" ht="14.85" customHeight="1">
      <c r="B29" s="279" t="s">
        <v>86</v>
      </c>
    </row>
    <row r="30" spans="1:21" ht="14.85" customHeight="1">
      <c r="A30" s="280" t="s">
        <v>250</v>
      </c>
      <c r="B30" s="234" t="s">
        <v>949</v>
      </c>
    </row>
    <row r="31" spans="1:21" ht="14.85" customHeight="1">
      <c r="A31" s="234" t="s">
        <v>249</v>
      </c>
      <c r="B31" s="234" t="s">
        <v>4188</v>
      </c>
    </row>
    <row r="32" spans="1:21"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spans="2:2" ht="14.85" customHeight="1">
      <c r="B49" s="279"/>
    </row>
    <row r="50" spans="2:2" ht="14.85" customHeight="1">
      <c r="B50" s="1300"/>
    </row>
    <row r="51" spans="2:2" ht="14.85" customHeight="1"/>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4:F4">
    <cfRule type="cellIs" dxfId="282" priority="7" stopIfTrue="1" operator="equal">
      <formula>"input"</formula>
    </cfRule>
  </conditionalFormatting>
  <conditionalFormatting sqref="G4">
    <cfRule type="cellIs" dxfId="281" priority="1" stopIfTrue="1" operator="equal">
      <formula>"input"</formula>
    </cfRule>
  </conditionalFormatting>
  <conditionalFormatting sqref="G4">
    <cfRule type="cellIs" dxfId="280" priority="2" stopIfTrue="1" operator="equal">
      <formula>"input"</formula>
    </cfRule>
  </conditionalFormatting>
  <pageMargins left="0.5" right="0.5" top="0.5" bottom="0.5" header="0.5" footer="0.5"/>
  <pageSetup scale="95" fitToWidth="0" fitToHeight="0" orientation="landscape" r:id="rId1"/>
  <legacyDrawingHF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1C00-000000000000}">
          <x14:formula1>
            <xm:f>'List Data'!$C$3:$C$6</xm:f>
          </x14:formula1>
          <xm:sqref>D19:G19 D26:G26</xm:sqref>
        </x14:dataValidation>
        <x14:dataValidation type="list" allowBlank="1" showInputMessage="1" showErrorMessage="1" xr:uid="{00000000-0002-0000-1C00-000001000000}">
          <x14:formula1>
            <xm:f>'List Data'!$D$3:$D$5</xm:f>
          </x14:formula1>
          <xm:sqref>D23:G23</xm:sqref>
        </x14:dataValidation>
        <x14:dataValidation type="list" allowBlank="1" showInputMessage="1" showErrorMessage="1" xr:uid="{00000000-0002-0000-1C00-000002000000}">
          <x14:formula1>
            <xm:f>'List Data'!$E$3:$E$5</xm:f>
          </x14:formula1>
          <xm:sqref>D24:G24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8">
    <tabColor theme="3" tint="-0.499984740745262"/>
    <pageSetUpPr fitToPage="1"/>
  </sheetPr>
  <dimension ref="B6:F30"/>
  <sheetViews>
    <sheetView showGridLines="0" view="pageBreakPreview" zoomScale="60" zoomScaleNormal="100" workbookViewId="0"/>
  </sheetViews>
  <sheetFormatPr defaultColWidth="9.33203125" defaultRowHeight="14.25"/>
  <cols>
    <col min="1" max="1" width="4.5" style="195" customWidth="1"/>
    <col min="2" max="2" width="3.83203125" style="195" customWidth="1"/>
    <col min="3" max="3" width="15.83203125" style="195" customWidth="1"/>
    <col min="4" max="4" width="105.5" style="214" customWidth="1"/>
    <col min="5" max="5" width="15.83203125" style="195" customWidth="1"/>
    <col min="6" max="6" width="3.83203125" style="195" customWidth="1"/>
    <col min="7" max="7" width="4.5" style="195" customWidth="1"/>
    <col min="8" max="8" width="9.33203125" style="195"/>
    <col min="9" max="9" width="16.33203125" style="195" bestFit="1" customWidth="1"/>
    <col min="10" max="10" width="19" style="195" bestFit="1" customWidth="1"/>
    <col min="11" max="16384" width="9.33203125" style="195"/>
  </cols>
  <sheetData>
    <row r="6" spans="2:6">
      <c r="C6" s="196"/>
      <c r="D6" s="197"/>
      <c r="E6" s="196"/>
      <c r="F6" s="196"/>
    </row>
    <row r="7" spans="2:6" ht="15" thickBot="1">
      <c r="C7" s="196"/>
      <c r="D7" s="197"/>
      <c r="E7" s="196"/>
      <c r="F7" s="196"/>
    </row>
    <row r="8" spans="2:6" ht="15" thickTop="1">
      <c r="B8" s="198"/>
      <c r="C8" s="199"/>
      <c r="D8" s="200"/>
      <c r="E8" s="199"/>
      <c r="F8" s="199"/>
    </row>
    <row r="9" spans="2:6" s="204" customFormat="1" ht="39.75">
      <c r="B9" s="201"/>
      <c r="C9" s="203"/>
      <c r="D9" s="286" t="s">
        <v>463</v>
      </c>
      <c r="E9" s="203"/>
      <c r="F9" s="203"/>
    </row>
    <row r="10" spans="2:6" ht="15" thickBot="1">
      <c r="B10" s="211"/>
      <c r="C10" s="212"/>
      <c r="D10" s="213"/>
      <c r="E10" s="212"/>
      <c r="F10" s="212"/>
    </row>
    <row r="11" spans="2:6" ht="15" thickTop="1"/>
    <row r="13" spans="2:6" ht="18">
      <c r="D13" s="215"/>
    </row>
    <row r="14" spans="2:6" ht="18">
      <c r="D14" s="216"/>
    </row>
    <row r="27" spans="4:4" ht="23.25">
      <c r="D27" s="218"/>
    </row>
    <row r="29" spans="4:4" ht="18">
      <c r="D29" s="219"/>
    </row>
    <row r="30" spans="4:4" ht="36">
      <c r="D30" s="220" t="s">
        <v>451</v>
      </c>
    </row>
  </sheetData>
  <pageMargins left="0.5" right="0.5" top="0.5" bottom="0.5" header="0.5" footer="0.5"/>
  <pageSetup scale="98" orientation="landscape"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9"/>
  <dimension ref="A1:I762"/>
  <sheetViews>
    <sheetView showGridLines="0" view="pageBreakPreview" zoomScaleNormal="100" zoomScaleSheetLayoutView="100" workbookViewId="0"/>
  </sheetViews>
  <sheetFormatPr defaultRowHeight="14.25" outlineLevelRow="1"/>
  <cols>
    <col min="1" max="1" width="4.5" style="234" customWidth="1"/>
    <col min="2" max="2" width="50.83203125" style="234" customWidth="1"/>
    <col min="3" max="3" width="2.83203125" style="234" customWidth="1"/>
    <col min="4" max="7" width="23.83203125" style="234" customWidth="1"/>
    <col min="8" max="8" width="2.83203125" style="234" customWidth="1"/>
    <col min="9" max="9" width="19.83203125" style="234" customWidth="1"/>
    <col min="10" max="10" width="4.5" style="234" customWidth="1"/>
    <col min="11" max="16384" width="9.33203125" style="234"/>
  </cols>
  <sheetData>
    <row r="1" spans="2:9" ht="10.7" customHeight="1" thickBot="1"/>
    <row r="2" spans="2:9" ht="16.5" customHeight="1" thickTop="1">
      <c r="B2" s="223" t="str">
        <f>'MASTER PubCo Inputs'!$C$5</f>
        <v>Trucode Gene Repair, Inc.</v>
      </c>
      <c r="C2" s="223"/>
      <c r="D2" s="223"/>
      <c r="E2" s="223"/>
      <c r="F2" s="223"/>
      <c r="G2" s="223"/>
      <c r="H2" s="223"/>
      <c r="I2" s="223"/>
    </row>
    <row r="3" spans="2:9" ht="15.75" customHeight="1">
      <c r="B3" s="232" t="str">
        <f>VLOOKUP(B4,Outline!$E$8:$G$65,COLUMNS(Outline!$E$8:$G$8),FALSE)</f>
        <v>Exhibit H.1</v>
      </c>
      <c r="C3" s="232"/>
      <c r="D3" s="232"/>
      <c r="E3" s="232"/>
      <c r="F3" s="232"/>
      <c r="G3" s="232"/>
      <c r="H3" s="232"/>
      <c r="I3" s="232"/>
    </row>
    <row r="4" spans="2:9" ht="16.5" customHeight="1" thickBot="1">
      <c r="B4" s="225" t="s">
        <v>1776</v>
      </c>
      <c r="C4" s="225"/>
      <c r="D4" s="225"/>
      <c r="E4" s="225"/>
      <c r="F4" s="225"/>
      <c r="G4" s="225"/>
      <c r="H4" s="225"/>
      <c r="I4" s="233"/>
    </row>
    <row r="5" spans="2:9" ht="14.85" customHeight="1" thickTop="1">
      <c r="B5" s="323"/>
    </row>
    <row r="6" spans="2:9" ht="14.85" customHeight="1">
      <c r="B6" s="1274" t="s">
        <v>570</v>
      </c>
      <c r="C6" s="948"/>
      <c r="D6" s="1974" t="str">
        <f>PWERM!D7</f>
        <v>IPO - Phase I</v>
      </c>
      <c r="E6" s="1974" t="str">
        <f>PWERM!E7</f>
        <v>IPO - Phase II</v>
      </c>
      <c r="F6" s="1974" t="str">
        <f>PWERM!F7</f>
        <v>M&amp;A - Phase I</v>
      </c>
      <c r="G6" s="1975" t="str">
        <f>PWERM!G7</f>
        <v>M&amp;A - Phase II</v>
      </c>
      <c r="I6" s="950" t="s">
        <v>70</v>
      </c>
    </row>
    <row r="7" spans="2:9" ht="14.85" customHeight="1">
      <c r="I7" s="1275"/>
    </row>
    <row r="8" spans="2:9" s="1002" customFormat="1" ht="14.85" customHeight="1">
      <c r="B8" s="1002" t="s">
        <v>1770</v>
      </c>
      <c r="D8" s="2144">
        <f>PWERM!D13</f>
        <v>1.9178082191780821</v>
      </c>
      <c r="E8" s="2144">
        <f>PWERM!E13</f>
        <v>3.6657534246575341</v>
      </c>
      <c r="F8" s="2144">
        <f>PWERM!F13</f>
        <v>1.9178082191780821</v>
      </c>
      <c r="G8" s="2144">
        <f>PWERM!G13</f>
        <v>3.6657534246575341</v>
      </c>
      <c r="I8" s="2145" t="str">
        <f>PWERM!B3</f>
        <v>Exhibit B.1</v>
      </c>
    </row>
    <row r="9" spans="2:9" s="1002" customFormat="1" ht="14.85" customHeight="1">
      <c r="B9" s="1002" t="s">
        <v>1771</v>
      </c>
      <c r="D9" s="2146"/>
      <c r="E9" s="2146"/>
      <c r="F9" s="2147">
        <v>1</v>
      </c>
      <c r="G9" s="1922">
        <f>F9</f>
        <v>1</v>
      </c>
      <c r="I9" s="2148" t="s">
        <v>250</v>
      </c>
    </row>
    <row r="10" spans="2:9" s="1002" customFormat="1" ht="14.85" customHeight="1">
      <c r="B10" s="2149" t="s">
        <v>1772</v>
      </c>
      <c r="C10" s="2150"/>
      <c r="D10" s="2151">
        <f>SUM(D8:D9)</f>
        <v>1.9178082191780821</v>
      </c>
      <c r="E10" s="2151">
        <f>SUM(E8:E9)</f>
        <v>3.6657534246575341</v>
      </c>
      <c r="F10" s="2151">
        <f>SUM(F8:F9)</f>
        <v>2.9178082191780819</v>
      </c>
      <c r="G10" s="2152">
        <f>SUM(G8:G9)</f>
        <v>4.6657534246575345</v>
      </c>
      <c r="I10" s="2145"/>
    </row>
    <row r="11" spans="2:9" ht="14.85" customHeight="1"/>
    <row r="12" spans="2:9" ht="14.85" customHeight="1">
      <c r="B12" s="1274" t="s">
        <v>466</v>
      </c>
      <c r="C12" s="948"/>
      <c r="D12" s="985" t="str">
        <f>D6</f>
        <v>IPO - Phase I</v>
      </c>
      <c r="E12" s="985" t="str">
        <f>E6</f>
        <v>IPO - Phase II</v>
      </c>
      <c r="F12" s="985" t="str">
        <f>F6</f>
        <v>M&amp;A - Phase I</v>
      </c>
      <c r="G12" s="986" t="str">
        <f>G6</f>
        <v>M&amp;A - Phase II</v>
      </c>
    </row>
    <row r="13" spans="2:9" ht="14.85" customHeight="1"/>
    <row r="14" spans="2:9" s="1002" customFormat="1" ht="14.85" customHeight="1">
      <c r="B14" s="2153" t="s">
        <v>71</v>
      </c>
      <c r="C14" s="2154"/>
      <c r="D14" s="2155">
        <f>D10</f>
        <v>1.9178082191780821</v>
      </c>
      <c r="E14" s="2155">
        <f t="shared" ref="E14:G14" si="0">E10</f>
        <v>3.6657534246575341</v>
      </c>
      <c r="F14" s="2155">
        <f t="shared" ref="F14" si="1">F10</f>
        <v>2.9178082191780819</v>
      </c>
      <c r="G14" s="2156">
        <f t="shared" si="0"/>
        <v>4.6657534246575345</v>
      </c>
      <c r="I14" s="2157"/>
    </row>
    <row r="15" spans="2:9" s="1002" customFormat="1" ht="14.85" customHeight="1">
      <c r="B15" s="2158" t="s">
        <v>72</v>
      </c>
      <c r="D15" s="2159">
        <f>'Risk-Free Rates'!E27</f>
        <v>2.4582191780821917E-2</v>
      </c>
      <c r="E15" s="2159">
        <f>'Risk-Free Rates'!E35</f>
        <v>2.4299999999999999E-2</v>
      </c>
      <c r="F15" s="2159">
        <f>'Risk-Free Rates'!E43</f>
        <v>2.4316438356164382E-2</v>
      </c>
      <c r="G15" s="2160">
        <f>'Risk-Free Rates'!E51</f>
        <v>2.4299999999999999E-2</v>
      </c>
      <c r="I15" s="2161" t="str">
        <f>'Risk-Free Rates'!B3</f>
        <v>Exhibit H.7</v>
      </c>
    </row>
    <row r="16" spans="2:9" s="1002" customFormat="1" ht="14.85" customHeight="1">
      <c r="B16" s="2158" t="s">
        <v>73</v>
      </c>
      <c r="D16" s="2162">
        <v>0</v>
      </c>
      <c r="E16" s="2162">
        <v>0</v>
      </c>
      <c r="F16" s="2162">
        <v>0</v>
      </c>
      <c r="G16" s="2163">
        <v>0</v>
      </c>
      <c r="I16" s="1920"/>
    </row>
    <row r="17" spans="2:9" s="1002" customFormat="1" ht="14.85" customHeight="1">
      <c r="B17" s="2158" t="s">
        <v>74</v>
      </c>
      <c r="D17" s="2164">
        <f>'Asset Vol_IPO Phase I'!Q46</f>
        <v>0.88596017288425599</v>
      </c>
      <c r="E17" s="2164">
        <f>'Asset Vol_IPO Phase II'!Q46</f>
        <v>0.84799999999999998</v>
      </c>
      <c r="F17" s="2164">
        <f>'Asset Vol_M&amp;A Phase I'!Q46</f>
        <v>0.87458546711474328</v>
      </c>
      <c r="G17" s="2165">
        <f>'Asset Vol_M&amp;A Phase II'!Q46</f>
        <v>0.83</v>
      </c>
      <c r="I17" s="2166" t="s">
        <v>249</v>
      </c>
    </row>
    <row r="18" spans="2:9" s="1002" customFormat="1" ht="14.85" customHeight="1">
      <c r="B18" s="2158"/>
      <c r="G18" s="2113"/>
    </row>
    <row r="19" spans="2:9" s="1002" customFormat="1" ht="14.85" customHeight="1">
      <c r="B19" s="2158" t="s">
        <v>75</v>
      </c>
      <c r="D19" s="2167">
        <f t="shared" ref="D19:G19" si="2">D17^2*D14</f>
        <v>1.5053364371396452</v>
      </c>
      <c r="E19" s="2167">
        <f t="shared" si="2"/>
        <v>2.6360579506849313</v>
      </c>
      <c r="F19" s="2167">
        <f t="shared" ref="F19" si="3">F17^2*F14</f>
        <v>2.2318307461426135</v>
      </c>
      <c r="G19" s="2168">
        <f t="shared" si="2"/>
        <v>3.2142375342465752</v>
      </c>
    </row>
    <row r="20" spans="2:9" s="1002" customFormat="1" ht="14.85" customHeight="1">
      <c r="B20" s="2158" t="s">
        <v>76</v>
      </c>
      <c r="D20" s="2167">
        <f t="shared" ref="D20:G20" si="4">(D17^2*D14+LN(2*(EXP(D19)-D17^2*D14-1))-2*LN(EXP(D19)-1))^0.5</f>
        <v>0.61889765173002798</v>
      </c>
      <c r="E20" s="2167">
        <f t="shared" si="4"/>
        <v>0.73487837487953356</v>
      </c>
      <c r="F20" s="2167">
        <f t="shared" ref="F20" si="5">(F17^2*F14+LN(2*(EXP(F19)-F17^2*F14-1))-2*LN(EXP(F19)-1))^0.5</f>
        <v>0.70301941274168267</v>
      </c>
      <c r="G20" s="2168">
        <f t="shared" si="4"/>
        <v>0.76787240766821385</v>
      </c>
    </row>
    <row r="21" spans="2:9" s="1002" customFormat="1" ht="14.85" customHeight="1">
      <c r="B21" s="2158" t="s">
        <v>77</v>
      </c>
      <c r="D21" s="2167">
        <f>((D15-D16)*D14)/D20+0.5*D20</f>
        <v>0.38562285772777671</v>
      </c>
      <c r="E21" s="2167">
        <f>((E15-E16)*E14)/E20+0.5*E20</f>
        <v>0.48865354244617221</v>
      </c>
      <c r="F21" s="2167">
        <f>((F15-F16)*F14)/F20+0.5*F20</f>
        <v>0.45243252928415928</v>
      </c>
      <c r="G21" s="2168">
        <f t="shared" ref="G21" si="6">((G15-G16)*G14)/G20+0.5*G20</f>
        <v>0.53158808855733941</v>
      </c>
    </row>
    <row r="22" spans="2:9" s="1002" customFormat="1" ht="14.85" customHeight="1">
      <c r="B22" s="2158" t="s">
        <v>78</v>
      </c>
      <c r="D22" s="2167">
        <f>((D15-D16)*D14)/D20-0.5*D20</f>
        <v>-0.23327479400225126</v>
      </c>
      <c r="E22" s="2167">
        <f>((E15-E16)*E14)/E20-0.5*E20</f>
        <v>-0.24622483243336135</v>
      </c>
      <c r="F22" s="2167">
        <f>((F15-F16)*F14)/F20-0.5*F20</f>
        <v>-0.25058688345752339</v>
      </c>
      <c r="G22" s="2168">
        <f t="shared" ref="G22" si="7">((G15-G16)*G14)/G20-0.5*G20</f>
        <v>-0.23628431911087444</v>
      </c>
    </row>
    <row r="23" spans="2:9" s="1002" customFormat="1" ht="14.85" customHeight="1">
      <c r="B23" s="2158"/>
      <c r="D23" s="2169"/>
      <c r="E23" s="2169"/>
      <c r="F23" s="2169"/>
      <c r="G23" s="2170"/>
    </row>
    <row r="24" spans="2:9" s="1002" customFormat="1" ht="14.85" customHeight="1">
      <c r="B24" s="2171" t="s">
        <v>79</v>
      </c>
      <c r="C24" s="2172"/>
      <c r="D24" s="2173">
        <f>EXP((D15-D16)*D14)*NORMSDIST(D21)-NORMSDIST(D22)</f>
        <v>0.27372075943769486</v>
      </c>
      <c r="E24" s="2173">
        <f>EXP((E15-E16)*E14)*NORMSDIST(E21)-NORMSDIST(E22)</f>
        <v>0.34874977649560457</v>
      </c>
      <c r="F24" s="2173">
        <f>EXP((F15-F16)*F14)*NORMSDIST(F21)-NORMSDIST(F22)</f>
        <v>0.32305093585830913</v>
      </c>
      <c r="G24" s="2174">
        <f t="shared" ref="G24" si="8">EXP((G15-G16)*G14)*NORMSDIST(G21)-NORMSDIST(G22)</f>
        <v>0.38022628633820799</v>
      </c>
    </row>
    <row r="25" spans="2:9" ht="14.85" hidden="1" customHeight="1" outlineLevel="1"/>
    <row r="26" spans="2:9" ht="30" hidden="1" customHeight="1" outlineLevel="1">
      <c r="B26" s="1274" t="s">
        <v>80</v>
      </c>
      <c r="C26" s="948"/>
      <c r="D26" s="985" t="str">
        <f>D12</f>
        <v>IPO - Phase I</v>
      </c>
      <c r="E26" s="985" t="str">
        <f t="shared" ref="E26:G26" si="9">E12</f>
        <v>IPO - Phase II</v>
      </c>
      <c r="F26" s="985" t="str">
        <f t="shared" ref="F26" si="10">F12</f>
        <v>M&amp;A - Phase I</v>
      </c>
      <c r="G26" s="986" t="str">
        <f t="shared" si="9"/>
        <v>M&amp;A - Phase II</v>
      </c>
    </row>
    <row r="27" spans="2:9" ht="14.85" hidden="1" customHeight="1" outlineLevel="1"/>
    <row r="28" spans="2:9" ht="14.85" hidden="1" customHeight="1" outlineLevel="1">
      <c r="B28" s="951" t="s">
        <v>81</v>
      </c>
      <c r="C28" s="1237"/>
      <c r="D28" s="1278">
        <v>1</v>
      </c>
      <c r="E28" s="1278">
        <v>1</v>
      </c>
      <c r="F28" s="1278">
        <v>1</v>
      </c>
      <c r="G28" s="1279">
        <v>1</v>
      </c>
    </row>
    <row r="29" spans="2:9" ht="14.85" hidden="1" customHeight="1" outlineLevel="1">
      <c r="B29" s="347" t="s">
        <v>82</v>
      </c>
      <c r="D29" s="358">
        <v>1</v>
      </c>
      <c r="E29" s="358">
        <v>1</v>
      </c>
      <c r="F29" s="358">
        <v>1</v>
      </c>
      <c r="G29" s="482">
        <v>1</v>
      </c>
    </row>
    <row r="30" spans="2:9" ht="14.85" hidden="1" customHeight="1" outlineLevel="1">
      <c r="B30" s="347" t="s">
        <v>83</v>
      </c>
      <c r="D30" s="259">
        <f t="shared" ref="D30:G30" si="11">D14</f>
        <v>1.9178082191780821</v>
      </c>
      <c r="E30" s="259">
        <f t="shared" si="11"/>
        <v>3.6657534246575341</v>
      </c>
      <c r="F30" s="259">
        <f t="shared" ref="F30" si="12">F14</f>
        <v>2.9178082191780819</v>
      </c>
      <c r="G30" s="546">
        <f t="shared" si="11"/>
        <v>4.6657534246575345</v>
      </c>
      <c r="I30" s="497"/>
    </row>
    <row r="31" spans="2:9" ht="14.85" hidden="1" customHeight="1" outlineLevel="1">
      <c r="B31" s="347" t="s">
        <v>72</v>
      </c>
      <c r="D31" s="370">
        <f>D15</f>
        <v>2.4582191780821917E-2</v>
      </c>
      <c r="E31" s="370">
        <f>E15</f>
        <v>2.4299999999999999E-2</v>
      </c>
      <c r="F31" s="370">
        <f>F15</f>
        <v>2.4316438356164382E-2</v>
      </c>
      <c r="G31" s="964">
        <f t="shared" ref="G31" si="13">G15</f>
        <v>2.4299999999999999E-2</v>
      </c>
      <c r="I31" s="497" t="str">
        <f>+I15</f>
        <v>Exhibit H.7</v>
      </c>
    </row>
    <row r="32" spans="2:9" ht="14.85" hidden="1" customHeight="1" outlineLevel="1">
      <c r="B32" s="347" t="s">
        <v>74</v>
      </c>
      <c r="D32" s="261">
        <f t="shared" ref="D32:G32" si="14">D17</f>
        <v>0.88596017288425599</v>
      </c>
      <c r="E32" s="261">
        <f t="shared" si="14"/>
        <v>0.84799999999999998</v>
      </c>
      <c r="F32" s="261">
        <f t="shared" ref="F32" si="15">F17</f>
        <v>0.87458546711474328</v>
      </c>
      <c r="G32" s="411">
        <f t="shared" si="14"/>
        <v>0.83</v>
      </c>
      <c r="I32" s="497" t="str">
        <f>+I17</f>
        <v>(2)</v>
      </c>
    </row>
    <row r="33" spans="2:9" ht="14.85" hidden="1" customHeight="1" outlineLevel="1">
      <c r="B33" s="347"/>
      <c r="G33" s="348"/>
    </row>
    <row r="34" spans="2:9" ht="14.85" hidden="1" customHeight="1" outlineLevel="1">
      <c r="B34" s="347" t="s">
        <v>84</v>
      </c>
      <c r="D34" s="324">
        <f t="shared" ref="D34:G34" si="16">(LN(D28/D29)+(D31+D32^2/2)*D30)/(D32*SQRT(D30))</f>
        <v>0.65188533204640575</v>
      </c>
      <c r="E34" s="324">
        <f t="shared" si="16"/>
        <v>0.86666165130767991</v>
      </c>
      <c r="F34" s="324">
        <f t="shared" ref="F34" si="17">(LN(F28/F29)+(F31+F32^2/2)*F30)/(F32*SQRT(F30))</f>
        <v>0.79445826741949044</v>
      </c>
      <c r="G34" s="956">
        <f t="shared" si="16"/>
        <v>0.95965433257400834</v>
      </c>
    </row>
    <row r="35" spans="2:9" ht="14.85" hidden="1" customHeight="1" outlineLevel="1">
      <c r="B35" s="347" t="s">
        <v>85</v>
      </c>
      <c r="D35" s="324">
        <f t="shared" ref="D35:G35" si="18">D34-D32*SQRT(D30)</f>
        <v>-0.57503619647106441</v>
      </c>
      <c r="E35" s="324">
        <f t="shared" si="18"/>
        <v>-0.7569324946182443</v>
      </c>
      <c r="F35" s="324">
        <f t="shared" ref="F35" si="19">F34-F32*SQRT(F30)</f>
        <v>-0.69947303827786778</v>
      </c>
      <c r="G35" s="956">
        <f t="shared" si="18"/>
        <v>-0.83317514460628805</v>
      </c>
    </row>
    <row r="36" spans="2:9" ht="14.85" hidden="1" customHeight="1" outlineLevel="1">
      <c r="B36" s="347"/>
      <c r="G36" s="348"/>
    </row>
    <row r="37" spans="2:9" ht="14.85" hidden="1" customHeight="1" outlineLevel="1">
      <c r="B37" s="958" t="s">
        <v>79</v>
      </c>
      <c r="C37" s="269"/>
      <c r="D37" s="960">
        <f t="shared" ref="D37:G37" si="20">D29*EXP(-D31*D30)*NORMSDIST(-D35)-D28*NORMSDIST(-D34)</f>
        <v>0.42709434772502541</v>
      </c>
      <c r="E37" s="960">
        <f t="shared" si="20"/>
        <v>0.51630252589215431</v>
      </c>
      <c r="F37" s="960">
        <f t="shared" ref="F37" si="21">F29*EXP(-F31*F30)*NORMSDIST(-F35)-F28*NORMSDIST(-F34)</f>
        <v>0.49249912747735541</v>
      </c>
      <c r="G37" s="961">
        <f t="shared" si="20"/>
        <v>0.54351739286383738</v>
      </c>
    </row>
    <row r="38" spans="2:9" ht="14.85" customHeight="1" collapsed="1"/>
    <row r="39" spans="2:9" ht="14.85" customHeight="1">
      <c r="B39" s="1274" t="s">
        <v>462</v>
      </c>
      <c r="C39" s="948"/>
      <c r="D39" s="985" t="str">
        <f>D12</f>
        <v>IPO - Phase I</v>
      </c>
      <c r="E39" s="985" t="str">
        <f t="shared" ref="E39:G39" si="22">E12</f>
        <v>IPO - Phase II</v>
      </c>
      <c r="F39" s="985" t="str">
        <f t="shared" ref="F39" si="23">F12</f>
        <v>M&amp;A - Phase I</v>
      </c>
      <c r="G39" s="986" t="str">
        <f t="shared" si="22"/>
        <v>M&amp;A - Phase II</v>
      </c>
    </row>
    <row r="40" spans="2:9" ht="14.85" customHeight="1"/>
    <row r="41" spans="2:9" s="1002" customFormat="1" ht="14.85" customHeight="1">
      <c r="B41" s="2153" t="s">
        <v>83</v>
      </c>
      <c r="C41" s="2154"/>
      <c r="D41" s="2175">
        <f t="shared" ref="D41:G41" si="24">+D30</f>
        <v>1.9178082191780821</v>
      </c>
      <c r="E41" s="2175">
        <f t="shared" si="24"/>
        <v>3.6657534246575341</v>
      </c>
      <c r="F41" s="2175">
        <f t="shared" ref="F41" si="25">+F30</f>
        <v>2.9178082191780819</v>
      </c>
      <c r="G41" s="2176">
        <f t="shared" si="24"/>
        <v>4.6657534246575345</v>
      </c>
      <c r="I41" s="2161"/>
    </row>
    <row r="42" spans="2:9" s="1002" customFormat="1" ht="14.85" customHeight="1">
      <c r="B42" s="2158" t="s">
        <v>81</v>
      </c>
      <c r="D42" s="2177">
        <f t="shared" ref="D42:G42" si="26">+D28</f>
        <v>1</v>
      </c>
      <c r="E42" s="2177">
        <f t="shared" si="26"/>
        <v>1</v>
      </c>
      <c r="F42" s="2177">
        <f t="shared" ref="F42" si="27">+F28</f>
        <v>1</v>
      </c>
      <c r="G42" s="2178">
        <f t="shared" si="26"/>
        <v>1</v>
      </c>
    </row>
    <row r="43" spans="2:9" s="1002" customFormat="1" ht="14.85" customHeight="1">
      <c r="B43" s="2158" t="s">
        <v>82</v>
      </c>
      <c r="D43" s="2177">
        <f t="shared" ref="D43:G43" si="28">+D29</f>
        <v>1</v>
      </c>
      <c r="E43" s="2177">
        <f t="shared" si="28"/>
        <v>1</v>
      </c>
      <c r="F43" s="2177">
        <f t="shared" ref="F43" si="29">+F29</f>
        <v>1</v>
      </c>
      <c r="G43" s="2178">
        <f t="shared" si="28"/>
        <v>1</v>
      </c>
    </row>
    <row r="44" spans="2:9" s="1002" customFormat="1" ht="14.85" customHeight="1">
      <c r="B44" s="2158" t="s">
        <v>73</v>
      </c>
      <c r="D44" s="2179">
        <f t="shared" ref="D44:G44" si="30">+D16</f>
        <v>0</v>
      </c>
      <c r="E44" s="2179">
        <f t="shared" si="30"/>
        <v>0</v>
      </c>
      <c r="F44" s="2179">
        <f t="shared" ref="F44" si="31">+F16</f>
        <v>0</v>
      </c>
      <c r="G44" s="2180">
        <f t="shared" si="30"/>
        <v>0</v>
      </c>
    </row>
    <row r="45" spans="2:9" s="1002" customFormat="1" ht="14.85" customHeight="1">
      <c r="B45" s="2158" t="s">
        <v>74</v>
      </c>
      <c r="D45" s="2181">
        <f t="shared" ref="D45:G45" si="32">+D17</f>
        <v>0.88596017288425599</v>
      </c>
      <c r="E45" s="2181">
        <f t="shared" si="32"/>
        <v>0.84799999999999998</v>
      </c>
      <c r="F45" s="2181">
        <f t="shared" ref="F45" si="33">+F17</f>
        <v>0.87458546711474328</v>
      </c>
      <c r="G45" s="2182">
        <f t="shared" si="32"/>
        <v>0.83</v>
      </c>
      <c r="I45" s="2161"/>
    </row>
    <row r="46" spans="2:9" s="1002" customFormat="1" ht="14.85" customHeight="1">
      <c r="B46" s="2158"/>
      <c r="G46" s="2113"/>
    </row>
    <row r="47" spans="2:9" s="1002" customFormat="1" ht="14.85" customHeight="1">
      <c r="B47" s="2158" t="s">
        <v>464</v>
      </c>
      <c r="D47" s="2167">
        <f t="shared" ref="D47:G47" si="34">LN(2*(EXP((D45^2)*D41)-((D45^2)*D41)-1))-2*(LN((D45^2)*D41))</f>
        <v>0.56842791462221876</v>
      </c>
      <c r="E47" s="2167">
        <f t="shared" si="34"/>
        <v>1.0888568417662525</v>
      </c>
      <c r="F47" s="2167">
        <f t="shared" ref="F47" si="35">LN(2*(EXP((F45^2)*F41)-((F45^2)*F41)-1))-2*(LN((F45^2)*F41))</f>
        <v>0.89334207668823895</v>
      </c>
      <c r="G47" s="2168">
        <f t="shared" si="34"/>
        <v>1.3866537787291886</v>
      </c>
    </row>
    <row r="48" spans="2:9" s="1002" customFormat="1" ht="14.85" customHeight="1">
      <c r="B48" s="2158" t="s">
        <v>465</v>
      </c>
      <c r="D48" s="2167">
        <f t="shared" ref="D48:G48" si="36">SQRT(D47)</f>
        <v>0.75394158568301484</v>
      </c>
      <c r="E48" s="2167">
        <f t="shared" si="36"/>
        <v>1.0434830337701964</v>
      </c>
      <c r="F48" s="2167">
        <f t="shared" ref="F48" si="37">SQRT(F47)</f>
        <v>0.94516775055449231</v>
      </c>
      <c r="G48" s="2168">
        <f t="shared" si="36"/>
        <v>1.1775626432293056</v>
      </c>
    </row>
    <row r="49" spans="2:9" s="1002" customFormat="1" ht="14.85" customHeight="1">
      <c r="B49" s="2158"/>
      <c r="G49" s="2113"/>
    </row>
    <row r="50" spans="2:9" s="1002" customFormat="1" ht="14.85" customHeight="1">
      <c r="B50" s="2171" t="s">
        <v>79</v>
      </c>
      <c r="C50" s="2117"/>
      <c r="D50" s="2173">
        <f t="shared" ref="D50:G50" si="38">EXP(-D44*D41)*D43*(2*NORMSDIST(D48/2)-1)</f>
        <v>0.293804689634376</v>
      </c>
      <c r="E50" s="2173">
        <f t="shared" si="38"/>
        <v>0.39814968604249779</v>
      </c>
      <c r="F50" s="2173">
        <f t="shared" ref="F50" si="39">EXP(-F44*F41)*F43*(2*NORMSDIST(F48/2)-1)</f>
        <v>0.36348991126660812</v>
      </c>
      <c r="G50" s="2174">
        <f t="shared" si="38"/>
        <v>0.44399202273155858</v>
      </c>
    </row>
    <row r="51" spans="2:9" ht="14.85" customHeight="1"/>
    <row r="52" spans="2:9" ht="14.85" hidden="1" customHeight="1" outlineLevel="1">
      <c r="B52" s="1280" t="s">
        <v>2044</v>
      </c>
      <c r="C52" s="1281"/>
      <c r="D52" s="1282" t="str">
        <f>D6</f>
        <v>IPO - Phase I</v>
      </c>
      <c r="E52" s="1282" t="str">
        <f>E6</f>
        <v>IPO - Phase II</v>
      </c>
      <c r="F52" s="1282" t="str">
        <f>F6</f>
        <v>M&amp;A - Phase I</v>
      </c>
      <c r="G52" s="1283" t="str">
        <f>G6</f>
        <v>M&amp;A - Phase II</v>
      </c>
    </row>
    <row r="53" spans="2:9" ht="14.85" hidden="1" customHeight="1" outlineLevel="1"/>
    <row r="54" spans="2:9" ht="14.85" hidden="1" customHeight="1" outlineLevel="1">
      <c r="B54" s="1284" t="s">
        <v>71</v>
      </c>
      <c r="C54" s="1285"/>
      <c r="D54" s="1286">
        <f t="shared" ref="D54:G54" si="40">D10</f>
        <v>1.9178082191780821</v>
      </c>
      <c r="E54" s="1286">
        <f t="shared" si="40"/>
        <v>3.6657534246575341</v>
      </c>
      <c r="F54" s="1286">
        <f t="shared" ref="F54" si="41">F10</f>
        <v>2.9178082191780819</v>
      </c>
      <c r="G54" s="1287">
        <f t="shared" si="40"/>
        <v>4.6657534246575345</v>
      </c>
      <c r="I54" s="266" t="str">
        <f>I8</f>
        <v>Exhibit B.1</v>
      </c>
    </row>
    <row r="55" spans="2:9" ht="14.85" hidden="1" customHeight="1" outlineLevel="1">
      <c r="B55" s="347" t="s">
        <v>72</v>
      </c>
      <c r="D55" s="899">
        <f t="shared" ref="D55:G55" si="42">D15</f>
        <v>2.4582191780821917E-2</v>
      </c>
      <c r="E55" s="899">
        <f t="shared" si="42"/>
        <v>2.4299999999999999E-2</v>
      </c>
      <c r="F55" s="899">
        <f t="shared" ref="F55" si="43">F15</f>
        <v>2.4316438356164382E-2</v>
      </c>
      <c r="G55" s="1288">
        <f t="shared" si="42"/>
        <v>2.4299999999999999E-2</v>
      </c>
      <c r="I55" s="245" t="str">
        <f>I15</f>
        <v>Exhibit H.7</v>
      </c>
    </row>
    <row r="56" spans="2:9" ht="14.85" hidden="1" customHeight="1" outlineLevel="1">
      <c r="B56" s="347" t="s">
        <v>73</v>
      </c>
      <c r="D56" s="304">
        <f t="shared" ref="D56:G57" si="44">D16</f>
        <v>0</v>
      </c>
      <c r="E56" s="304">
        <f t="shared" si="44"/>
        <v>0</v>
      </c>
      <c r="F56" s="304">
        <f t="shared" ref="F56" si="45">F16</f>
        <v>0</v>
      </c>
      <c r="G56" s="1289">
        <f t="shared" si="44"/>
        <v>0</v>
      </c>
    </row>
    <row r="57" spans="2:9" ht="14.85" hidden="1" customHeight="1" outlineLevel="1">
      <c r="B57" s="347" t="s">
        <v>74</v>
      </c>
      <c r="D57" s="304">
        <f t="shared" si="44"/>
        <v>0.88596017288425599</v>
      </c>
      <c r="E57" s="304">
        <f t="shared" si="44"/>
        <v>0.84799999999999998</v>
      </c>
      <c r="F57" s="304">
        <f t="shared" ref="F57" si="46">F17</f>
        <v>0.87458546711474328</v>
      </c>
      <c r="G57" s="1289">
        <f t="shared" si="44"/>
        <v>0.83</v>
      </c>
      <c r="I57" s="282"/>
    </row>
    <row r="58" spans="2:9" ht="14.85" hidden="1" customHeight="1" outlineLevel="1">
      <c r="B58" s="347"/>
      <c r="G58" s="348"/>
    </row>
    <row r="59" spans="2:9" ht="14.85" hidden="1" customHeight="1" outlineLevel="1">
      <c r="B59" s="347" t="s">
        <v>75</v>
      </c>
      <c r="D59" s="324">
        <f t="shared" ref="D59:G59" si="47">D57^2*D54</f>
        <v>1.5053364371396452</v>
      </c>
      <c r="E59" s="324">
        <f t="shared" si="47"/>
        <v>2.6360579506849313</v>
      </c>
      <c r="F59" s="324">
        <f t="shared" ref="F59" si="48">F57^2*F54</f>
        <v>2.2318307461426135</v>
      </c>
      <c r="G59" s="956">
        <f t="shared" si="47"/>
        <v>3.2142375342465752</v>
      </c>
    </row>
    <row r="60" spans="2:9" ht="14.85" hidden="1" customHeight="1" outlineLevel="1">
      <c r="B60" s="347"/>
      <c r="D60" s="324"/>
      <c r="E60" s="324"/>
      <c r="F60" s="324"/>
      <c r="G60" s="956"/>
    </row>
    <row r="61" spans="2:9" ht="14.85" hidden="1" customHeight="1" outlineLevel="1">
      <c r="B61" s="347" t="s">
        <v>2045</v>
      </c>
      <c r="D61" s="261">
        <f t="shared" ref="D61:G61" si="49">(2+(D59/2))*NORMSDIST(SQRT(D59)/2)+(SQRT(D59/(2*PI()))*EXP(-D59/8))-1</f>
        <v>1.4155522729873993</v>
      </c>
      <c r="E61" s="261">
        <f t="shared" si="49"/>
        <v>2.0922634745471367</v>
      </c>
      <c r="F61" s="261">
        <f t="shared" ref="F61" si="50">(2+(F59/2))*NORMSDIST(SQRT(F59)/2)+(SQRT(F59/(2*PI()))*EXP(-F59/8))-1</f>
        <v>1.8578148424243399</v>
      </c>
      <c r="G61" s="411">
        <f t="shared" si="49"/>
        <v>2.4183295356292405</v>
      </c>
    </row>
    <row r="62" spans="2:9" ht="14.85" hidden="1" customHeight="1" outlineLevel="1">
      <c r="B62" s="347"/>
      <c r="D62" s="324"/>
      <c r="E62" s="324"/>
      <c r="F62" s="324"/>
      <c r="G62" s="956"/>
    </row>
    <row r="63" spans="2:9" ht="14.85" hidden="1" customHeight="1" outlineLevel="1">
      <c r="B63" s="958" t="s">
        <v>2046</v>
      </c>
      <c r="C63" s="959"/>
      <c r="D63" s="960">
        <f t="shared" ref="D63:G63" si="51">D61/(1+D61)</f>
        <v>0.58601599676281713</v>
      </c>
      <c r="E63" s="960">
        <f t="shared" si="51"/>
        <v>0.67661229121284683</v>
      </c>
      <c r="F63" s="960">
        <f t="shared" ref="F63" si="52">F61/(1+F61)</f>
        <v>0.65008229884071822</v>
      </c>
      <c r="G63" s="961">
        <f t="shared" si="51"/>
        <v>0.70745945071210881</v>
      </c>
    </row>
    <row r="64" spans="2:9" ht="14.85" hidden="1" customHeight="1" outlineLevel="1"/>
    <row r="65" spans="1:9" ht="14.85" customHeight="1" collapsed="1">
      <c r="B65" s="966" t="s">
        <v>467</v>
      </c>
      <c r="C65" s="967"/>
      <c r="D65" s="2048">
        <f>ROUND(AVERAGE(D50,D24),1)</f>
        <v>0.3</v>
      </c>
      <c r="E65" s="2048">
        <f>ROUND(AVERAGE(E50,E24),1)</f>
        <v>0.4</v>
      </c>
      <c r="F65" s="2048">
        <f>MROUND(AVERAGE(F50,F24),0.5%)</f>
        <v>0.34500000000000003</v>
      </c>
      <c r="G65" s="2049">
        <f>ROUND(AVERAGE(G50,G24),1)</f>
        <v>0.4</v>
      </c>
    </row>
    <row r="66" spans="1:9" ht="14.85" customHeight="1"/>
    <row r="67" spans="1:9" ht="14.85" customHeight="1">
      <c r="B67" s="279" t="s">
        <v>86</v>
      </c>
    </row>
    <row r="68" spans="1:9" ht="30" customHeight="1">
      <c r="A68" s="1265" t="s">
        <v>250</v>
      </c>
      <c r="B68" s="2199" t="str">
        <f>"We applied an additional term of "&amp;TEXT(G9,"0.0")&amp;" year to account for a structured exit for a biopharma company in which cash flows to a preferred shareholder and a common shareholder would accrue over a period given the split of deal value between upfront and milestone payments."</f>
        <v>We applied an additional term of 1.0 year to account for a structured exit for a biopharma company in which cash flows to a preferred shareholder and a common shareholder would accrue over a period given the split of deal value between upfront and milestone payments.</v>
      </c>
      <c r="C68" s="2199"/>
      <c r="D68" s="2199"/>
      <c r="E68" s="2199"/>
      <c r="F68" s="2199"/>
      <c r="G68" s="2199"/>
      <c r="H68" s="2199"/>
      <c r="I68" s="2199"/>
    </row>
    <row r="69" spans="1:9" ht="14.85" customHeight="1">
      <c r="A69" s="1290" t="str">
        <f>I17</f>
        <v>(2)</v>
      </c>
      <c r="B69" s="2200" t="str">
        <f>"Refer to "&amp;'Asset Vol_IPO Phase I'!B3&amp;" through "&amp;'Asset Vol_M&amp;A Phase II'!B3&amp;"."</f>
        <v>Refer to Exhibit H.2 through Exhibit H.5.</v>
      </c>
      <c r="C69" s="2200"/>
      <c r="D69" s="2200"/>
      <c r="E69" s="2200"/>
      <c r="F69" s="2200"/>
      <c r="G69" s="2200"/>
      <c r="H69" s="2200"/>
      <c r="I69" s="2200"/>
    </row>
    <row r="70" spans="1:9" ht="14.85" customHeight="1"/>
    <row r="71" spans="1:9" ht="14.85" customHeight="1"/>
    <row r="72" spans="1:9" ht="14.85" customHeight="1"/>
    <row r="73" spans="1:9" ht="14.85" customHeight="1"/>
    <row r="74" spans="1:9" ht="14.85" customHeight="1"/>
    <row r="75" spans="1:9" ht="14.85" customHeight="1"/>
    <row r="76" spans="1:9" ht="14.85" customHeight="1"/>
    <row r="77" spans="1:9" ht="14.85" customHeight="1"/>
    <row r="78" spans="1:9" ht="14.85" customHeight="1"/>
    <row r="79" spans="1:9" ht="14.85" customHeight="1"/>
    <row r="80" spans="1:9"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sheetData>
  <mergeCells count="2">
    <mergeCell ref="B68:I68"/>
    <mergeCell ref="B69:I69"/>
  </mergeCells>
  <conditionalFormatting sqref="B4:F4 H4">
    <cfRule type="cellIs" dxfId="279" priority="13" stopIfTrue="1" operator="equal">
      <formula>"input"</formula>
    </cfRule>
  </conditionalFormatting>
  <conditionalFormatting sqref="I4">
    <cfRule type="cellIs" dxfId="278" priority="9" stopIfTrue="1" operator="equal">
      <formula>"input"</formula>
    </cfRule>
  </conditionalFormatting>
  <conditionalFormatting sqref="I4">
    <cfRule type="cellIs" dxfId="277" priority="10" stopIfTrue="1" operator="equal">
      <formula>"input"</formula>
    </cfRule>
  </conditionalFormatting>
  <conditionalFormatting sqref="D9:E9 G9">
    <cfRule type="cellIs" dxfId="276" priority="8" operator="equal">
      <formula>0</formula>
    </cfRule>
  </conditionalFormatting>
  <conditionalFormatting sqref="G4">
    <cfRule type="cellIs" dxfId="275" priority="5" stopIfTrue="1" operator="equal">
      <formula>"input"</formula>
    </cfRule>
  </conditionalFormatting>
  <conditionalFormatting sqref="F9">
    <cfRule type="cellIs" dxfId="274" priority="1" operator="equal">
      <formula>0</formula>
    </cfRule>
  </conditionalFormatting>
  <pageMargins left="0.5" right="0.5" top="0.5" bottom="0.5" header="0.5" footer="0.5"/>
  <pageSetup scale="84" fitToWidth="0" fitToHeight="0" orientation="landscape" r:id="rId1"/>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77"/>
  <dimension ref="A1:AI759"/>
  <sheetViews>
    <sheetView showGridLines="0" view="pageBreakPreview" topLeftCell="A28" zoomScaleNormal="100" zoomScaleSheetLayoutView="100" workbookViewId="0">
      <selection activeCell="Y46" sqref="Y46"/>
    </sheetView>
  </sheetViews>
  <sheetFormatPr defaultRowHeight="14.25" outlineLevelRow="1" outlineLevelCol="1"/>
  <cols>
    <col min="1" max="1" width="4.5" style="234" customWidth="1"/>
    <col min="2" max="2" width="42.83203125" style="234" customWidth="1"/>
    <col min="3" max="3" width="3.5" style="234" customWidth="1"/>
    <col min="4" max="4" width="13.16406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Exhibit H.2</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tr">
        <f>"Asset Volatility ("&amp;TEXT('PWERM DLOM'!D6,"")&amp;")"</f>
        <v>Asset Volatility (IPO - Phase I)</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'PWERM DLOM'!D10</f>
        <v>1.9178082191780821</v>
      </c>
      <c r="O6" s="440">
        <f>'Risk-Free Rates'!E27</f>
        <v>2.4582191780821917E-2</v>
      </c>
      <c r="Q6" s="268">
        <f>HLOOKUP(ROUND(N6,0),'Equity Vol'!$D$8:$K$8,1,TRUE)</f>
        <v>2</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4.2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row r="10" spans="2:35" ht="14.85" customHeight="1">
      <c r="B10" s="1918" t="s">
        <v>4046</v>
      </c>
      <c r="C10" s="1002"/>
      <c r="D10" s="1002"/>
      <c r="E10" s="1002"/>
      <c r="F10" s="1002"/>
      <c r="G10" s="1002"/>
      <c r="H10" s="1002"/>
      <c r="I10" s="1002"/>
      <c r="J10" s="1002"/>
      <c r="K10" s="1002"/>
      <c r="L10" s="1002"/>
      <c r="M10" s="1002"/>
      <c r="N10" s="1002"/>
      <c r="O10" s="1002"/>
      <c r="P10" s="1920"/>
      <c r="Q10" s="1002"/>
      <c r="R10" s="1002"/>
      <c r="S10" s="1002"/>
      <c r="T10" s="1002"/>
      <c r="U10" s="1002"/>
      <c r="V10" s="1002"/>
      <c r="W10" s="1002"/>
      <c r="X10" s="1002"/>
      <c r="Y10" s="1002"/>
    </row>
    <row r="11" spans="2:35" s="1002" customFormat="1" ht="14.85" customHeight="1">
      <c r="B11" s="1002" t="str">
        <f>'Comp.1'!B11</f>
        <v>Alnylam Pharmaceuticals, Inc.</v>
      </c>
      <c r="D11" s="1922">
        <f>'Beta Calc'!K11</f>
        <v>8868.9653999999991</v>
      </c>
      <c r="E11" s="1922">
        <f>'Beta Calc'!L11</f>
        <v>30</v>
      </c>
      <c r="F11" s="1922" t="str">
        <f>'Beta Calc'!M11</f>
        <v>n/a</v>
      </c>
      <c r="G11" s="1922" t="str">
        <f>'Beta Calc'!N11</f>
        <v>n/a</v>
      </c>
      <c r="H11" s="1922">
        <f>SUM(E11:G11)</f>
        <v>30</v>
      </c>
      <c r="I11" s="1922">
        <f>SUM(D11:G11)</f>
        <v>8898.9653999999991</v>
      </c>
      <c r="J11" s="1922">
        <f>'Beta Calc'!Q11</f>
        <v>1236.8340000000001</v>
      </c>
      <c r="K11" s="1922">
        <f>I11-J11</f>
        <v>7662.1313999999993</v>
      </c>
      <c r="M11" s="2070">
        <f>IFERROR('Capital IQ Sheet-GPC'!AT13,"n/a")</f>
        <v>0</v>
      </c>
      <c r="N11" s="1922">
        <f t="shared" ref="N11:O35" si="0">N$6</f>
        <v>1.9178082191780821</v>
      </c>
      <c r="O11" s="2085">
        <f t="shared" si="0"/>
        <v>2.4582191780821917E-2</v>
      </c>
      <c r="P11" s="2086"/>
      <c r="Q11" s="2087">
        <f>IFERROR(HLOOKUP($Q$6,'Equity Vol'!$B$8:$K11,ROWS('Equity Vol'!$C$8:$C11),FALSE),"n/a")</f>
        <v>0.59416943228496266</v>
      </c>
      <c r="R11" s="2088"/>
      <c r="S11" s="2089">
        <f>IFERROR(IF(Q11="n/a","n/a",Q11^2),"n/a")</f>
        <v>0.35303731426183482</v>
      </c>
      <c r="T11" s="2089">
        <f t="shared" ref="T11:T35" si="1">IF(OR(K11="n/a",S11="n/a"),"n/a",IF(H11=0,0,IF(M11=0,(LN(K11/H11)+((O11+(S11/2))*N11))/((S11*N11)^0.5),(LN(K11/H11)+((O11-M11+(S11/2))*N11))/((S11*N11)^0.5))))</f>
        <v>7.2049913895021325</v>
      </c>
      <c r="U11" s="2090">
        <f t="shared" ref="U11:U35" si="2">IF(T11="n/a","n/a",IF(H11=0,0,T11-(S11*N11)^0.5))</f>
        <v>6.3821561307972674</v>
      </c>
      <c r="V11" s="2090">
        <f t="shared" ref="V11:V35" si="3">IF(OR(T11="n/a",S11="n/a"),"n/a",IF(H11=0,0,NORMSDIST(T11)))</f>
        <v>0.99999999999970979</v>
      </c>
      <c r="W11" s="2090">
        <f t="shared" ref="W11:W35" si="4">IF(OR(U11="n/a",S11="n/a"),"n/a",IF(H11=0,0,NORMSDIST(U11)))</f>
        <v>0.99999999991269406</v>
      </c>
      <c r="X11" s="1351">
        <f t="shared" ref="X11:X35" si="5">IF(OR(K11="n/a",S11="n/a"),"n/a",IF(M11=0,(K11*V11)-((H11*EXP(1)^(-O11*N11))*W11),(K11*(2.718^(-M11*N11))*V11)-(H11*(2.718^(-O11*N11))*W11)))</f>
        <v>7633.5128974141307</v>
      </c>
      <c r="Y11" s="2087">
        <f>IFERROR(IF(LEN(B11)&gt;0,IF(H11=0,Q11,IF(ISERROR(Q11/((K11/X11)*V11)),"n/a",Q11/((K11/X11)*V11)))),"n/a")</f>
        <v>0.59195017519509152</v>
      </c>
      <c r="AA11" s="1924" t="str">
        <f>IF('MASTER PubCo Inputs'!B28=0,"",'MASTER PubCo Inputs'!B28)</f>
        <v>NasdaqGS:ALNY</v>
      </c>
      <c r="AB11" s="1922">
        <f>'Beta Calc'!Z11</f>
        <v>7662.1313899999996</v>
      </c>
      <c r="AC11" s="2091">
        <f t="shared" ref="AC11:AC35" si="6">K11-AB11</f>
        <v>9.9999997473787516E-6</v>
      </c>
      <c r="AI11" s="2092"/>
    </row>
    <row r="12" spans="2:35" s="1002" customFormat="1" ht="14.85" customHeight="1">
      <c r="B12" s="1002" t="str">
        <f>'Comp.1'!B12</f>
        <v>bluebird bio, Inc.</v>
      </c>
      <c r="D12" s="1922">
        <f>'Beta Calc'!K12</f>
        <v>7297.8752599999998</v>
      </c>
      <c r="E12" s="1922">
        <f>'Beta Calc'!L12</f>
        <v>155.03399999999999</v>
      </c>
      <c r="F12" s="1922" t="str">
        <f>'Beta Calc'!M12</f>
        <v>n/a</v>
      </c>
      <c r="G12" s="1922" t="str">
        <f>'Beta Calc'!N12</f>
        <v>n/a</v>
      </c>
      <c r="H12" s="1922">
        <f t="shared" ref="H12:H35" si="7">SUM(E12:G12)</f>
        <v>155.03399999999999</v>
      </c>
      <c r="I12" s="1922">
        <f t="shared" ref="I12:I35" si="8">SUM(D12:G12)</f>
        <v>7452.9092599999994</v>
      </c>
      <c r="J12" s="1922">
        <f>'Beta Calc'!Q12</f>
        <v>1695.2950000000001</v>
      </c>
      <c r="K12" s="1922">
        <f t="shared" ref="K12:K35" si="9">I12-J12</f>
        <v>5757.6142599999994</v>
      </c>
      <c r="M12" s="2070">
        <f>IFERROR('Capital IQ Sheet-GPC'!AT14,"n/a")</f>
        <v>0</v>
      </c>
      <c r="N12" s="1922">
        <f t="shared" si="0"/>
        <v>1.9178082191780821</v>
      </c>
      <c r="O12" s="2085">
        <f t="shared" si="0"/>
        <v>2.4582191780821917E-2</v>
      </c>
      <c r="P12" s="2086"/>
      <c r="Q12" s="2087">
        <f>IFERROR(HLOOKUP($Q$6,'Equity Vol'!$B$8:$K12,ROWS('Equity Vol'!$C$8:$C12),FALSE),"n/a")</f>
        <v>0.53858552321462028</v>
      </c>
      <c r="R12" s="2088"/>
      <c r="S12" s="2089">
        <f t="shared" ref="S12:S35" si="10">IFERROR(IF(Q12="n/a","n/a",Q12^2),"n/a")</f>
        <v>0.29007436581636625</v>
      </c>
      <c r="T12" s="2089">
        <f t="shared" si="1"/>
        <v>5.2824014480913792</v>
      </c>
      <c r="U12" s="2090">
        <f t="shared" si="2"/>
        <v>4.5365415397067705</v>
      </c>
      <c r="V12" s="2090">
        <f t="shared" si="3"/>
        <v>0.99999993624928674</v>
      </c>
      <c r="W12" s="2090">
        <f t="shared" si="4"/>
        <v>0.99999714078848712</v>
      </c>
      <c r="X12" s="1351">
        <f t="shared" si="5"/>
        <v>5609.7196181455329</v>
      </c>
      <c r="Y12" s="2087">
        <f t="shared" ref="Y12:Y35" si="11">IFERROR(IF(LEN(B12)&gt;0,IF(H12=0,Q12,IF(ISERROR(Q12/((K12/X12)*V12)),"n/a",Q12/((K12/X12)*V12)))),"n/a")</f>
        <v>0.52475102217722247</v>
      </c>
      <c r="AA12" s="1924" t="str">
        <f>IF('MASTER PubCo Inputs'!B29=0,"",'MASTER PubCo Inputs'!B29)</f>
        <v>NasdaqGS:BLUE</v>
      </c>
      <c r="AB12" s="1922">
        <f>'Beta Calc'!Z12</f>
        <v>5757.6142600000003</v>
      </c>
      <c r="AC12" s="2091">
        <f t="shared" si="6"/>
        <v>0</v>
      </c>
      <c r="AI12" s="2092"/>
    </row>
    <row r="13" spans="2:35" s="1002" customFormat="1" ht="14.85" customHeight="1">
      <c r="B13" s="1002" t="str">
        <f>'Comp.1'!B13</f>
        <v>Ironwood Pharmaceuticals, Inc.</v>
      </c>
      <c r="D13" s="1922">
        <f>'Beta Calc'!K13</f>
        <v>2104.44911</v>
      </c>
      <c r="E13" s="1922">
        <f>'Beta Calc'!L13</f>
        <v>409.30599999999998</v>
      </c>
      <c r="F13" s="1922" t="str">
        <f>'Beta Calc'!M13</f>
        <v>n/a</v>
      </c>
      <c r="G13" s="1922" t="str">
        <f>'Beta Calc'!N13</f>
        <v>n/a</v>
      </c>
      <c r="H13" s="1922">
        <f t="shared" si="7"/>
        <v>409.30599999999998</v>
      </c>
      <c r="I13" s="1922">
        <f t="shared" si="8"/>
        <v>2513.7551100000001</v>
      </c>
      <c r="J13" s="1922">
        <f>'Beta Calc'!Q13</f>
        <v>161.398</v>
      </c>
      <c r="K13" s="1922">
        <f t="shared" si="9"/>
        <v>2352.3571099999999</v>
      </c>
      <c r="M13" s="2070">
        <f>IFERROR('Capital IQ Sheet-GPC'!AT15,"n/a")</f>
        <v>0</v>
      </c>
      <c r="N13" s="1922">
        <f t="shared" si="0"/>
        <v>1.9178082191780821</v>
      </c>
      <c r="O13" s="2085">
        <f t="shared" si="0"/>
        <v>2.4582191780821917E-2</v>
      </c>
      <c r="P13" s="2086"/>
      <c r="Q13" s="2087">
        <f>IFERROR(HLOOKUP($Q$6,'Equity Vol'!$B$8:$K13,ROWS('Equity Vol'!$C$8:$C13),FALSE),"n/a")</f>
        <v>0.4634353984441596</v>
      </c>
      <c r="R13" s="2088"/>
      <c r="S13" s="2089">
        <f t="shared" si="10"/>
        <v>0.21477236853109696</v>
      </c>
      <c r="T13" s="2089">
        <f t="shared" si="1"/>
        <v>3.1190972849858665</v>
      </c>
      <c r="U13" s="2090">
        <f t="shared" si="2"/>
        <v>2.4773089915266588</v>
      </c>
      <c r="V13" s="2090">
        <f t="shared" si="3"/>
        <v>0.99909296972787609</v>
      </c>
      <c r="W13" s="2090">
        <f t="shared" si="4"/>
        <v>0.99338113783891346</v>
      </c>
      <c r="X13" s="1351">
        <f t="shared" si="5"/>
        <v>1962.3503412386913</v>
      </c>
      <c r="Y13" s="2087">
        <f t="shared" si="11"/>
        <v>0.38695155217451771</v>
      </c>
      <c r="AA13" s="1924" t="str">
        <f>IF('MASTER PubCo Inputs'!B30=0,"",'MASTER PubCo Inputs'!B30)</f>
        <v>NasdaqGS:IRWD</v>
      </c>
      <c r="AB13" s="1922">
        <f>'Beta Calc'!Z13</f>
        <v>2352.3571099999999</v>
      </c>
      <c r="AC13" s="2091">
        <f t="shared" si="6"/>
        <v>0</v>
      </c>
      <c r="AI13" s="2092"/>
    </row>
    <row r="14" spans="2:35" s="1002" customFormat="1" ht="14.85" customHeight="1">
      <c r="B14" s="1002" t="str">
        <f>'Comp.1'!B14</f>
        <v>Global Blood Therapeutics, Inc.</v>
      </c>
      <c r="D14" s="1922">
        <f>'Beta Calc'!K14</f>
        <v>2660.4172400000002</v>
      </c>
      <c r="E14" s="1922">
        <f>'Beta Calc'!L14</f>
        <v>0</v>
      </c>
      <c r="F14" s="1922" t="str">
        <f>'Beta Calc'!M14</f>
        <v>n/a</v>
      </c>
      <c r="G14" s="1922" t="str">
        <f>'Beta Calc'!N14</f>
        <v>n/a</v>
      </c>
      <c r="H14" s="1922">
        <f t="shared" si="7"/>
        <v>0</v>
      </c>
      <c r="I14" s="1922">
        <f t="shared" si="8"/>
        <v>2660.4172400000002</v>
      </c>
      <c r="J14" s="1922">
        <f>'Beta Calc'!Q14</f>
        <v>383.22800000000001</v>
      </c>
      <c r="K14" s="1922">
        <f t="shared" si="9"/>
        <v>2277.1892400000002</v>
      </c>
      <c r="M14" s="2070">
        <f>IFERROR('Capital IQ Sheet-GPC'!AT16,"n/a")</f>
        <v>0</v>
      </c>
      <c r="N14" s="1922">
        <f t="shared" si="0"/>
        <v>1.9178082191780821</v>
      </c>
      <c r="O14" s="2085">
        <f t="shared" si="0"/>
        <v>2.4582191780821917E-2</v>
      </c>
      <c r="P14" s="2086"/>
      <c r="Q14" s="2087">
        <f>IFERROR(HLOOKUP($Q$6,'Equity Vol'!$B$8:$K14,ROWS('Equity Vol'!$C$8:$C14),FALSE),"n/a")</f>
        <v>0.70150122776605739</v>
      </c>
      <c r="R14" s="2088"/>
      <c r="S14" s="2089">
        <f t="shared" si="10"/>
        <v>0.49210397255728594</v>
      </c>
      <c r="T14" s="2089">
        <f t="shared" si="1"/>
        <v>0</v>
      </c>
      <c r="U14" s="2090">
        <f t="shared" si="2"/>
        <v>0</v>
      </c>
      <c r="V14" s="2090">
        <f t="shared" si="3"/>
        <v>0</v>
      </c>
      <c r="W14" s="2090">
        <f t="shared" si="4"/>
        <v>0</v>
      </c>
      <c r="X14" s="1351">
        <f t="shared" si="5"/>
        <v>0</v>
      </c>
      <c r="Y14" s="2087">
        <f t="shared" si="11"/>
        <v>0.70150122776605739</v>
      </c>
      <c r="AA14" s="1924" t="str">
        <f>IF('MASTER PubCo Inputs'!B31=0,"",'MASTER PubCo Inputs'!B31)</f>
        <v>NasdaqGS:GBT</v>
      </c>
      <c r="AB14" s="1922">
        <f>'Beta Calc'!Z14</f>
        <v>2277.1892400000002</v>
      </c>
      <c r="AC14" s="2091">
        <f t="shared" si="6"/>
        <v>0</v>
      </c>
      <c r="AI14" s="2092"/>
    </row>
    <row r="15" spans="2:35" s="1002" customFormat="1" ht="14.85" customHeight="1">
      <c r="B15" s="1002" t="str">
        <f>'Comp.1'!B15</f>
        <v>Acceleron Pharma Inc.</v>
      </c>
      <c r="D15" s="1922">
        <f>'Beta Calc'!K15</f>
        <v>2185.0571599999998</v>
      </c>
      <c r="E15" s="1922">
        <f>'Beta Calc'!L15</f>
        <v>0</v>
      </c>
      <c r="F15" s="1922" t="str">
        <f>'Beta Calc'!M15</f>
        <v>n/a</v>
      </c>
      <c r="G15" s="1922" t="str">
        <f>'Beta Calc'!N15</f>
        <v>n/a</v>
      </c>
      <c r="H15" s="1922">
        <f t="shared" si="7"/>
        <v>0</v>
      </c>
      <c r="I15" s="1922">
        <f t="shared" si="8"/>
        <v>2185.0571599999998</v>
      </c>
      <c r="J15" s="1922">
        <f>'Beta Calc'!Q15</f>
        <v>307.97199999999998</v>
      </c>
      <c r="K15" s="1922">
        <f t="shared" si="9"/>
        <v>1877.0851599999999</v>
      </c>
      <c r="M15" s="2070">
        <f>IFERROR('Capital IQ Sheet-GPC'!AT17,"n/a")</f>
        <v>0</v>
      </c>
      <c r="N15" s="1922">
        <f t="shared" si="0"/>
        <v>1.9178082191780821</v>
      </c>
      <c r="O15" s="2085">
        <f t="shared" si="0"/>
        <v>2.4582191780821917E-2</v>
      </c>
      <c r="P15" s="2086"/>
      <c r="Q15" s="2087">
        <f>IFERROR(HLOOKUP($Q$6,'Equity Vol'!$B$8:$K15,ROWS('Equity Vol'!$C$8:$C15),FALSE),"n/a")</f>
        <v>0.52894966684130962</v>
      </c>
      <c r="R15" s="2088"/>
      <c r="S15" s="2089">
        <f t="shared" si="10"/>
        <v>0.27978775005153245</v>
      </c>
      <c r="T15" s="2089">
        <f t="shared" si="1"/>
        <v>0</v>
      </c>
      <c r="U15" s="2090">
        <f t="shared" si="2"/>
        <v>0</v>
      </c>
      <c r="V15" s="2090">
        <f t="shared" si="3"/>
        <v>0</v>
      </c>
      <c r="W15" s="2090">
        <f t="shared" si="4"/>
        <v>0</v>
      </c>
      <c r="X15" s="1351">
        <f t="shared" si="5"/>
        <v>0</v>
      </c>
      <c r="Y15" s="2087">
        <f t="shared" si="11"/>
        <v>0.52894966684130962</v>
      </c>
      <c r="AA15" s="1924" t="str">
        <f>IF('MASTER PubCo Inputs'!B32=0,"",'MASTER PubCo Inputs'!B32)</f>
        <v>NasdaqGM:XLRN</v>
      </c>
      <c r="AB15" s="1922">
        <f>'Beta Calc'!Z15</f>
        <v>1877.0851600000001</v>
      </c>
      <c r="AC15" s="2091">
        <f t="shared" si="6"/>
        <v>0</v>
      </c>
      <c r="AI15" s="2092"/>
    </row>
    <row r="16" spans="2:35" s="1002" customFormat="1" ht="14.85" customHeight="1">
      <c r="B16" s="1002" t="str">
        <f>'Comp.1'!B16</f>
        <v>Spark Therapeutics, Inc.</v>
      </c>
      <c r="D16" s="1922">
        <f>'Beta Calc'!K16</f>
        <v>1805.0671400000001</v>
      </c>
      <c r="E16" s="1922">
        <f>'Beta Calc'!L16</f>
        <v>84.891000000000005</v>
      </c>
      <c r="F16" s="1922" t="str">
        <f>'Beta Calc'!M16</f>
        <v>n/a</v>
      </c>
      <c r="G16" s="1922" t="str">
        <f>'Beta Calc'!N16</f>
        <v>n/a</v>
      </c>
      <c r="H16" s="1922">
        <f t="shared" si="7"/>
        <v>84.891000000000005</v>
      </c>
      <c r="I16" s="1922">
        <f t="shared" si="8"/>
        <v>1889.9581400000002</v>
      </c>
      <c r="J16" s="1922">
        <f>'Beta Calc'!Q16</f>
        <v>590.476</v>
      </c>
      <c r="K16" s="1922">
        <f t="shared" si="9"/>
        <v>1299.4821400000001</v>
      </c>
      <c r="M16" s="2070">
        <f>IFERROR('Capital IQ Sheet-GPC'!AT18,"n/a")</f>
        <v>0</v>
      </c>
      <c r="N16" s="1922">
        <f t="shared" si="0"/>
        <v>1.9178082191780821</v>
      </c>
      <c r="O16" s="2085">
        <f t="shared" si="0"/>
        <v>2.4582191780821917E-2</v>
      </c>
      <c r="P16" s="2086"/>
      <c r="Q16" s="2087">
        <f>IFERROR(HLOOKUP($Q$6,'Equity Vol'!$B$8:$K16,ROWS('Equity Vol'!$C$8:$C16),FALSE),"n/a")</f>
        <v>0.64539841996562952</v>
      </c>
      <c r="R16" s="2088"/>
      <c r="S16" s="2089">
        <f t="shared" si="10"/>
        <v>0.41653912049413111</v>
      </c>
      <c r="T16" s="2089">
        <f t="shared" si="1"/>
        <v>3.5522378052831081</v>
      </c>
      <c r="U16" s="2090">
        <f t="shared" si="2"/>
        <v>2.6584581070952078</v>
      </c>
      <c r="V16" s="2090">
        <f t="shared" si="3"/>
        <v>0.99980901525917787</v>
      </c>
      <c r="W16" s="2090">
        <f t="shared" si="4"/>
        <v>0.99607504453655737</v>
      </c>
      <c r="X16" s="1351">
        <f t="shared" si="5"/>
        <v>1218.5700318394433</v>
      </c>
      <c r="Y16" s="2087">
        <f t="shared" si="11"/>
        <v>0.60532836897919629</v>
      </c>
      <c r="AA16" s="1924" t="str">
        <f>IF('MASTER PubCo Inputs'!B33=0,"",'MASTER PubCo Inputs'!B33)</f>
        <v>NasdaqGS:ONCE</v>
      </c>
      <c r="AB16" s="1922">
        <f>'Beta Calc'!Z16</f>
        <v>1299.4821300000001</v>
      </c>
      <c r="AC16" s="2091">
        <f t="shared" si="6"/>
        <v>9.9999999747524271E-6</v>
      </c>
      <c r="AI16" s="2092"/>
    </row>
    <row r="17" spans="2:35" s="1002" customFormat="1" ht="14.85" customHeight="1">
      <c r="B17" s="1002" t="str">
        <f>'Comp.1'!B17</f>
        <v>REGENXBIO Inc.</v>
      </c>
      <c r="D17" s="1922">
        <f>'Beta Calc'!K17</f>
        <v>1575.5421799999999</v>
      </c>
      <c r="E17" s="1922">
        <f>'Beta Calc'!L17</f>
        <v>0</v>
      </c>
      <c r="F17" s="1922" t="str">
        <f>'Beta Calc'!M17</f>
        <v>n/a</v>
      </c>
      <c r="G17" s="1922" t="str">
        <f>'Beta Calc'!N17</f>
        <v>n/a</v>
      </c>
      <c r="H17" s="1922">
        <f t="shared" si="7"/>
        <v>0</v>
      </c>
      <c r="I17" s="1922">
        <f t="shared" si="8"/>
        <v>1575.5421799999999</v>
      </c>
      <c r="J17" s="1922">
        <f>'Beta Calc'!Q17</f>
        <v>372.589</v>
      </c>
      <c r="K17" s="1922">
        <f t="shared" si="9"/>
        <v>1202.95318</v>
      </c>
      <c r="M17" s="2070">
        <f>IFERROR('Capital IQ Sheet-GPC'!AT19,"n/a")</f>
        <v>0</v>
      </c>
      <c r="N17" s="1922">
        <f t="shared" si="0"/>
        <v>1.9178082191780821</v>
      </c>
      <c r="O17" s="2085">
        <f t="shared" si="0"/>
        <v>2.4582191780821917E-2</v>
      </c>
      <c r="P17" s="2086"/>
      <c r="Q17" s="2087">
        <f>IFERROR(HLOOKUP($Q$6,'Equity Vol'!$B$8:$K17,ROWS('Equity Vol'!$C$8:$C17),FALSE),"n/a")</f>
        <v>0.67554666584600742</v>
      </c>
      <c r="R17" s="2088"/>
      <c r="S17" s="2089">
        <f t="shared" si="10"/>
        <v>0.4563632977356572</v>
      </c>
      <c r="T17" s="2089">
        <f t="shared" si="1"/>
        <v>0</v>
      </c>
      <c r="U17" s="2090">
        <f t="shared" si="2"/>
        <v>0</v>
      </c>
      <c r="V17" s="2090">
        <f t="shared" si="3"/>
        <v>0</v>
      </c>
      <c r="W17" s="2090">
        <f t="shared" si="4"/>
        <v>0</v>
      </c>
      <c r="X17" s="1351">
        <f t="shared" si="5"/>
        <v>0</v>
      </c>
      <c r="Y17" s="2087">
        <f t="shared" si="11"/>
        <v>0.67554666584600742</v>
      </c>
      <c r="AA17" s="1924" t="str">
        <f>IF('MASTER PubCo Inputs'!B34=0,"",'MASTER PubCo Inputs'!B34)</f>
        <v>NasdaqGS:RGNX</v>
      </c>
      <c r="AB17" s="1922">
        <f>'Beta Calc'!Z17</f>
        <v>1202.95318</v>
      </c>
      <c r="AC17" s="2091">
        <f t="shared" si="6"/>
        <v>0</v>
      </c>
      <c r="AI17" s="2092"/>
    </row>
    <row r="18" spans="2:35" s="1002" customFormat="1" ht="14.85" customHeight="1">
      <c r="B18" s="1002" t="str">
        <f>'Comp.1'!B18</f>
        <v>uniQure N.V.</v>
      </c>
      <c r="D18" s="1922">
        <f>'Beta Calc'!K18</f>
        <v>1275.6593700000001</v>
      </c>
      <c r="E18" s="1922">
        <f>'Beta Calc'!L18</f>
        <v>20.707999999999998</v>
      </c>
      <c r="F18" s="1922" t="str">
        <f>'Beta Calc'!M18</f>
        <v>n/a</v>
      </c>
      <c r="G18" s="1922" t="str">
        <f>'Beta Calc'!N18</f>
        <v>n/a</v>
      </c>
      <c r="H18" s="1922">
        <f t="shared" si="7"/>
        <v>20.707999999999998</v>
      </c>
      <c r="I18" s="1922">
        <f t="shared" si="8"/>
        <v>1296.3673700000002</v>
      </c>
      <c r="J18" s="1922">
        <f>'Beta Calc'!Q18</f>
        <v>239.54599999999999</v>
      </c>
      <c r="K18" s="1922">
        <f t="shared" si="9"/>
        <v>1056.8213700000001</v>
      </c>
      <c r="M18" s="2070">
        <f>IFERROR('Capital IQ Sheet-GPC'!AT20,"n/a")</f>
        <v>0</v>
      </c>
      <c r="N18" s="1922">
        <f t="shared" si="0"/>
        <v>1.9178082191780821</v>
      </c>
      <c r="O18" s="2085">
        <f t="shared" si="0"/>
        <v>2.4582191780821917E-2</v>
      </c>
      <c r="P18" s="2086"/>
      <c r="Q18" s="2087">
        <f>IFERROR(HLOOKUP($Q$6,'Equity Vol'!$B$8:$K18,ROWS('Equity Vol'!$C$8:$C18),FALSE),"n/a")</f>
        <v>0.76002768683622213</v>
      </c>
      <c r="R18" s="2088"/>
      <c r="S18" s="2089">
        <f t="shared" si="10"/>
        <v>0.57764208475761858</v>
      </c>
      <c r="T18" s="2089">
        <f t="shared" si="1"/>
        <v>4.3073110358094464</v>
      </c>
      <c r="U18" s="2090">
        <f t="shared" si="2"/>
        <v>3.2547870513362547</v>
      </c>
      <c r="V18" s="2090">
        <f t="shared" si="3"/>
        <v>0.99999173744185355</v>
      </c>
      <c r="W18" s="2090">
        <f t="shared" si="4"/>
        <v>0.99943261291023355</v>
      </c>
      <c r="X18" s="1351">
        <f t="shared" si="5"/>
        <v>1037.0694479574613</v>
      </c>
      <c r="Y18" s="2087">
        <f t="shared" si="11"/>
        <v>0.74582898170776957</v>
      </c>
      <c r="AA18" s="1924" t="str">
        <f>IF('MASTER PubCo Inputs'!B35=0,"",'MASTER PubCo Inputs'!B35)</f>
        <v>NasdaqGS:QURE</v>
      </c>
      <c r="AB18" s="1922">
        <f>'Beta Calc'!Z18</f>
        <v>1056.8213699999999</v>
      </c>
      <c r="AC18" s="2091">
        <f t="shared" si="6"/>
        <v>0</v>
      </c>
      <c r="AI18" s="2092"/>
    </row>
    <row r="19" spans="2:35" s="1002" customFormat="1" ht="14.85" customHeight="1">
      <c r="B19" s="1002" t="str">
        <f>'Comp.1'!B19</f>
        <v>Audentes Therapeutics, Inc.</v>
      </c>
      <c r="D19" s="1922">
        <f>'Beta Calc'!K19</f>
        <v>1058.70937</v>
      </c>
      <c r="E19" s="1922">
        <f>'Beta Calc'!L19</f>
        <v>0</v>
      </c>
      <c r="F19" s="1922" t="str">
        <f>'Beta Calc'!M19</f>
        <v>n/a</v>
      </c>
      <c r="G19" s="1922" t="str">
        <f>'Beta Calc'!N19</f>
        <v>n/a</v>
      </c>
      <c r="H19" s="1922">
        <f t="shared" si="7"/>
        <v>0</v>
      </c>
      <c r="I19" s="1922">
        <f t="shared" si="8"/>
        <v>1058.70937</v>
      </c>
      <c r="J19" s="1922">
        <f>'Beta Calc'!Q19</f>
        <v>280.68599999999998</v>
      </c>
      <c r="K19" s="1922">
        <f t="shared" si="9"/>
        <v>778.02337000000011</v>
      </c>
      <c r="M19" s="2070">
        <f>IFERROR('Capital IQ Sheet-GPC'!AT21,"n/a")</f>
        <v>0</v>
      </c>
      <c r="N19" s="1922">
        <f t="shared" si="0"/>
        <v>1.9178082191780821</v>
      </c>
      <c r="O19" s="2085">
        <f t="shared" si="0"/>
        <v>2.4582191780821917E-2</v>
      </c>
      <c r="P19" s="2086"/>
      <c r="Q19" s="2087">
        <f>IFERROR(HLOOKUP($Q$6,'Equity Vol'!$B$8:$K19,ROWS('Equity Vol'!$C$8:$C19),FALSE),"n/a")</f>
        <v>0.60947723086456018</v>
      </c>
      <c r="R19" s="2088"/>
      <c r="S19" s="2089">
        <f t="shared" si="10"/>
        <v>0.37146249494233241</v>
      </c>
      <c r="T19" s="2089">
        <f t="shared" si="1"/>
        <v>0</v>
      </c>
      <c r="U19" s="2090">
        <f t="shared" si="2"/>
        <v>0</v>
      </c>
      <c r="V19" s="2090">
        <f t="shared" si="3"/>
        <v>0</v>
      </c>
      <c r="W19" s="2090">
        <f t="shared" si="4"/>
        <v>0</v>
      </c>
      <c r="X19" s="1351">
        <f t="shared" si="5"/>
        <v>0</v>
      </c>
      <c r="Y19" s="2087">
        <f t="shared" si="11"/>
        <v>0.60947723086456018</v>
      </c>
      <c r="AA19" s="1924" t="str">
        <f>IF('MASTER PubCo Inputs'!B36=0,"",'MASTER PubCo Inputs'!B36)</f>
        <v>NasdaqGM:BOLD</v>
      </c>
      <c r="AB19" s="1922">
        <f>'Beta Calc'!Z19</f>
        <v>778.02337</v>
      </c>
      <c r="AC19" s="2091">
        <f t="shared" si="6"/>
        <v>0</v>
      </c>
      <c r="AI19" s="2092"/>
    </row>
    <row r="20" spans="2:35" s="1002" customFormat="1" ht="14.85" customHeight="1">
      <c r="B20" s="1002" t="str">
        <f>'Comp.1'!B20</f>
        <v>Sangamo Therapeutics, Inc.</v>
      </c>
      <c r="D20" s="1922">
        <f>'Beta Calc'!K20</f>
        <v>1193.4655700000001</v>
      </c>
      <c r="E20" s="1922">
        <f>'Beta Calc'!L20</f>
        <v>0</v>
      </c>
      <c r="F20" s="1922" t="str">
        <f>'Beta Calc'!M20</f>
        <v>n/a</v>
      </c>
      <c r="G20" s="1922" t="str">
        <f>'Beta Calc'!N20</f>
        <v>n/a</v>
      </c>
      <c r="H20" s="1922">
        <f t="shared" si="7"/>
        <v>0</v>
      </c>
      <c r="I20" s="1922">
        <f t="shared" si="8"/>
        <v>1193.4655700000001</v>
      </c>
      <c r="J20" s="1922">
        <f>'Beta Calc'!Q20</f>
        <v>458.57</v>
      </c>
      <c r="K20" s="1922">
        <f t="shared" si="9"/>
        <v>734.89557000000013</v>
      </c>
      <c r="M20" s="2070">
        <f>IFERROR('Capital IQ Sheet-GPC'!AT22,"n/a")</f>
        <v>0</v>
      </c>
      <c r="N20" s="1922">
        <f t="shared" si="0"/>
        <v>1.9178082191780821</v>
      </c>
      <c r="O20" s="2085">
        <f t="shared" si="0"/>
        <v>2.4582191780821917E-2</v>
      </c>
      <c r="P20" s="2086"/>
      <c r="Q20" s="2087">
        <f>IFERROR(HLOOKUP($Q$6,'Equity Vol'!$B$8:$K20,ROWS('Equity Vol'!$C$8:$C20),FALSE),"n/a")</f>
        <v>0.8134368682842571</v>
      </c>
      <c r="R20" s="2088"/>
      <c r="S20" s="2089">
        <f t="shared" si="10"/>
        <v>0.66167953868409979</v>
      </c>
      <c r="T20" s="2089">
        <f t="shared" si="1"/>
        <v>0</v>
      </c>
      <c r="U20" s="2090">
        <f t="shared" si="2"/>
        <v>0</v>
      </c>
      <c r="V20" s="2090">
        <f t="shared" si="3"/>
        <v>0</v>
      </c>
      <c r="W20" s="2090">
        <f t="shared" si="4"/>
        <v>0</v>
      </c>
      <c r="X20" s="1351">
        <f t="shared" si="5"/>
        <v>0</v>
      </c>
      <c r="Y20" s="2087">
        <f t="shared" si="11"/>
        <v>0.8134368682842571</v>
      </c>
      <c r="AA20" s="1924" t="str">
        <f>IF('MASTER PubCo Inputs'!B37=0,"",'MASTER PubCo Inputs'!B37)</f>
        <v>NasdaqGS:SGMO</v>
      </c>
      <c r="AB20" s="1922">
        <f>'Beta Calc'!Z20</f>
        <v>734.89557000000002</v>
      </c>
      <c r="AC20" s="2091">
        <f t="shared" si="6"/>
        <v>0</v>
      </c>
      <c r="AI20" s="2092"/>
    </row>
    <row r="21" spans="2:35" s="1002" customFormat="1" ht="14.85" customHeight="1">
      <c r="B21" s="1002" t="str">
        <f>'Comp.1'!B21</f>
        <v>Homology Medicines, Inc.</v>
      </c>
      <c r="D21" s="1922">
        <f>'Beta Calc'!K21</f>
        <v>756.27498000000003</v>
      </c>
      <c r="E21" s="1922">
        <f>'Beta Calc'!L21</f>
        <v>0</v>
      </c>
      <c r="F21" s="1922" t="str">
        <f>'Beta Calc'!M21</f>
        <v>n/a</v>
      </c>
      <c r="G21" s="1922" t="str">
        <f>'Beta Calc'!N21</f>
        <v>n/a</v>
      </c>
      <c r="H21" s="1922">
        <f t="shared" si="7"/>
        <v>0</v>
      </c>
      <c r="I21" s="1922">
        <f t="shared" si="8"/>
        <v>756.27498000000003</v>
      </c>
      <c r="J21" s="1922">
        <f>'Beta Calc'!Q21</f>
        <v>237.54401999999999</v>
      </c>
      <c r="K21" s="1922">
        <f t="shared" si="9"/>
        <v>518.7309600000001</v>
      </c>
      <c r="M21" s="2070">
        <f>IFERROR('Capital IQ Sheet-GPC'!AT23,"n/a")</f>
        <v>0</v>
      </c>
      <c r="N21" s="1922">
        <f t="shared" si="0"/>
        <v>1.9178082191780821</v>
      </c>
      <c r="O21" s="2085">
        <f t="shared" si="0"/>
        <v>2.4582191780821917E-2</v>
      </c>
      <c r="P21" s="2086"/>
      <c r="Q21" s="2087" t="str">
        <f>IFERROR(HLOOKUP($Q$6,'Equity Vol'!$B$8:$K21,ROWS('Equity Vol'!$C$8:$C21),FALSE),"n/a")</f>
        <v>NM</v>
      </c>
      <c r="R21" s="2088"/>
      <c r="S21" s="2089" t="str">
        <f t="shared" si="10"/>
        <v>n/a</v>
      </c>
      <c r="T21" s="2089" t="str">
        <f t="shared" si="1"/>
        <v>n/a</v>
      </c>
      <c r="U21" s="2090" t="str">
        <f t="shared" si="2"/>
        <v>n/a</v>
      </c>
      <c r="V21" s="2090" t="str">
        <f t="shared" si="3"/>
        <v>n/a</v>
      </c>
      <c r="W21" s="2090" t="str">
        <f t="shared" si="4"/>
        <v>n/a</v>
      </c>
      <c r="X21" s="1351" t="str">
        <f t="shared" si="5"/>
        <v>n/a</v>
      </c>
      <c r="Y21" s="2087" t="str">
        <f t="shared" si="11"/>
        <v>NM</v>
      </c>
      <c r="AA21" s="1924" t="str">
        <f>IF('MASTER PubCo Inputs'!B38=0,"",'MASTER PubCo Inputs'!B38)</f>
        <v>NasdaqGS:FIXX</v>
      </c>
      <c r="AB21" s="1922">
        <f>'Beta Calc'!Z21</f>
        <v>518.73095999999998</v>
      </c>
      <c r="AC21" s="2091">
        <f t="shared" si="6"/>
        <v>0</v>
      </c>
      <c r="AI21" s="2092"/>
    </row>
    <row r="22" spans="2:35" s="1002" customFormat="1" ht="14.85" customHeight="1">
      <c r="B22" s="1002" t="str">
        <f>'Comp.1'!B22</f>
        <v>Corbus Pharmaceuticals Holdings, Inc.</v>
      </c>
      <c r="D22" s="1922">
        <f>'Beta Calc'!K22</f>
        <v>473.53946999999999</v>
      </c>
      <c r="E22" s="1922">
        <f>'Beta Calc'!L22</f>
        <v>0</v>
      </c>
      <c r="F22" s="1922" t="str">
        <f>'Beta Calc'!M22</f>
        <v>n/a</v>
      </c>
      <c r="G22" s="1922" t="str">
        <f>'Beta Calc'!N22</f>
        <v>n/a</v>
      </c>
      <c r="H22" s="1922">
        <f t="shared" si="7"/>
        <v>0</v>
      </c>
      <c r="I22" s="1922">
        <f t="shared" si="8"/>
        <v>473.53946999999999</v>
      </c>
      <c r="J22" s="1922">
        <f>'Beta Calc'!Q22</f>
        <v>55.659350000000003</v>
      </c>
      <c r="K22" s="1922">
        <f t="shared" si="9"/>
        <v>417.88011999999998</v>
      </c>
      <c r="M22" s="2070">
        <f>IFERROR('Capital IQ Sheet-GPC'!AT24,"n/a")</f>
        <v>0</v>
      </c>
      <c r="N22" s="1922">
        <f t="shared" si="0"/>
        <v>1.9178082191780821</v>
      </c>
      <c r="O22" s="2085">
        <f t="shared" si="0"/>
        <v>2.4582191780821917E-2</v>
      </c>
      <c r="P22" s="2086"/>
      <c r="Q22" s="2087">
        <f>IFERROR(HLOOKUP($Q$6,'Equity Vol'!$B$8:$K22,ROWS('Equity Vol'!$C$8:$C22),FALSE),"n/a")</f>
        <v>0.6748916162350671</v>
      </c>
      <c r="R22" s="2088"/>
      <c r="S22" s="2089">
        <f t="shared" si="10"/>
        <v>0.4554786936643811</v>
      </c>
      <c r="T22" s="2089">
        <f t="shared" si="1"/>
        <v>0</v>
      </c>
      <c r="U22" s="2090">
        <f t="shared" si="2"/>
        <v>0</v>
      </c>
      <c r="V22" s="2090">
        <f t="shared" si="3"/>
        <v>0</v>
      </c>
      <c r="W22" s="2090">
        <f t="shared" si="4"/>
        <v>0</v>
      </c>
      <c r="X22" s="1351">
        <f t="shared" si="5"/>
        <v>0</v>
      </c>
      <c r="Y22" s="2087">
        <f t="shared" si="11"/>
        <v>0.6748916162350671</v>
      </c>
      <c r="AA22" s="1924" t="str">
        <f>IF('MASTER PubCo Inputs'!B39=0,"",'MASTER PubCo Inputs'!B39)</f>
        <v>NasdaqGM:CRBP</v>
      </c>
      <c r="AB22" s="1922">
        <f>'Beta Calc'!Z22</f>
        <v>417.88011999999998</v>
      </c>
      <c r="AC22" s="2091">
        <f t="shared" si="6"/>
        <v>0</v>
      </c>
      <c r="AI22" s="2092"/>
    </row>
    <row r="23" spans="2:35" s="1002" customFormat="1" ht="14.85" customHeight="1">
      <c r="B23" s="1002" t="str">
        <f>'Comp.1'!B23</f>
        <v>GlycoMimetics, Inc.</v>
      </c>
      <c r="D23" s="1922">
        <f>'Beta Calc'!K23</f>
        <v>483.13693999999998</v>
      </c>
      <c r="E23" s="1922">
        <f>'Beta Calc'!L23</f>
        <v>0</v>
      </c>
      <c r="F23" s="1922" t="str">
        <f>'Beta Calc'!M23</f>
        <v>n/a</v>
      </c>
      <c r="G23" s="1922" t="str">
        <f>'Beta Calc'!N23</f>
        <v>n/a</v>
      </c>
      <c r="H23" s="1922">
        <f t="shared" si="7"/>
        <v>0</v>
      </c>
      <c r="I23" s="1922">
        <f t="shared" si="8"/>
        <v>483.13693999999998</v>
      </c>
      <c r="J23" s="1922">
        <f>'Beta Calc'!Q23</f>
        <v>219.82863</v>
      </c>
      <c r="K23" s="1922">
        <f t="shared" si="9"/>
        <v>263.30831000000001</v>
      </c>
      <c r="M23" s="2070">
        <f>IFERROR('Capital IQ Sheet-GPC'!AT25,"n/a")</f>
        <v>0</v>
      </c>
      <c r="N23" s="1922">
        <f t="shared" si="0"/>
        <v>1.9178082191780821</v>
      </c>
      <c r="O23" s="2085">
        <f t="shared" si="0"/>
        <v>2.4582191780821917E-2</v>
      </c>
      <c r="P23" s="2086"/>
      <c r="Q23" s="2087">
        <f>IFERROR(HLOOKUP($Q$6,'Equity Vol'!$B$8:$K23,ROWS('Equity Vol'!$C$8:$C23),FALSE),"n/a")</f>
        <v>0.81863428009693251</v>
      </c>
      <c r="R23" s="2088"/>
      <c r="S23" s="2089">
        <f t="shared" si="10"/>
        <v>0.67016208454982296</v>
      </c>
      <c r="T23" s="2089">
        <f t="shared" si="1"/>
        <v>0</v>
      </c>
      <c r="U23" s="2090">
        <f t="shared" si="2"/>
        <v>0</v>
      </c>
      <c r="V23" s="2090">
        <f t="shared" si="3"/>
        <v>0</v>
      </c>
      <c r="W23" s="2090">
        <f t="shared" si="4"/>
        <v>0</v>
      </c>
      <c r="X23" s="1351">
        <f t="shared" si="5"/>
        <v>0</v>
      </c>
      <c r="Y23" s="2087">
        <f t="shared" si="11"/>
        <v>0.81863428009693251</v>
      </c>
      <c r="AA23" s="1924" t="str">
        <f>IF('MASTER PubCo Inputs'!B40=0,"",'MASTER PubCo Inputs'!B40)</f>
        <v>NasdaqGM:GLYC</v>
      </c>
      <c r="AB23" s="1922">
        <f>'Beta Calc'!Z23</f>
        <v>263.30831000000001</v>
      </c>
      <c r="AC23" s="2091">
        <f t="shared" si="6"/>
        <v>0</v>
      </c>
      <c r="AI23" s="2092"/>
    </row>
    <row r="24" spans="2:35" s="1002" customFormat="1" ht="14.85" customHeight="1">
      <c r="B24" s="1002" t="str">
        <f>'Comp.1'!B24</f>
        <v>LogicBio Therapeutics, Inc.</v>
      </c>
      <c r="D24" s="1922">
        <f>'Beta Calc'!K24</f>
        <v>196.03698</v>
      </c>
      <c r="E24" s="1922">
        <f>'Beta Calc'!L24</f>
        <v>0</v>
      </c>
      <c r="F24" s="1922">
        <f>'Beta Calc'!M24</f>
        <v>33.061999999999998</v>
      </c>
      <c r="G24" s="1922" t="str">
        <f>'Beta Calc'!N24</f>
        <v>n/a</v>
      </c>
      <c r="H24" s="1922">
        <f t="shared" si="7"/>
        <v>33.061999999999998</v>
      </c>
      <c r="I24" s="1922">
        <f t="shared" si="8"/>
        <v>229.09897999999998</v>
      </c>
      <c r="J24" s="1922">
        <f>'Beta Calc'!Q24</f>
        <v>12.877000000000001</v>
      </c>
      <c r="K24" s="1922">
        <f t="shared" si="9"/>
        <v>216.22197999999997</v>
      </c>
      <c r="M24" s="2070">
        <f>IFERROR('Capital IQ Sheet-GPC'!AT26,"n/a")</f>
        <v>0</v>
      </c>
      <c r="N24" s="1922">
        <f t="shared" si="0"/>
        <v>1.9178082191780821</v>
      </c>
      <c r="O24" s="2085">
        <f t="shared" si="0"/>
        <v>2.4582191780821917E-2</v>
      </c>
      <c r="P24" s="2086"/>
      <c r="Q24" s="2087" t="str">
        <f>IFERROR(HLOOKUP($Q$6,'Equity Vol'!$B$8:$K24,ROWS('Equity Vol'!$C$8:$C24),FALSE),"n/a")</f>
        <v>NM</v>
      </c>
      <c r="R24" s="2088"/>
      <c r="S24" s="2089" t="str">
        <f t="shared" si="10"/>
        <v>n/a</v>
      </c>
      <c r="T24" s="2089" t="str">
        <f t="shared" si="1"/>
        <v>n/a</v>
      </c>
      <c r="U24" s="2090" t="str">
        <f t="shared" si="2"/>
        <v>n/a</v>
      </c>
      <c r="V24" s="2090" t="str">
        <f t="shared" si="3"/>
        <v>n/a</v>
      </c>
      <c r="W24" s="2090" t="str">
        <f t="shared" si="4"/>
        <v>n/a</v>
      </c>
      <c r="X24" s="1351" t="str">
        <f t="shared" si="5"/>
        <v>n/a</v>
      </c>
      <c r="Y24" s="2087" t="str">
        <f t="shared" si="11"/>
        <v>n/a</v>
      </c>
      <c r="AA24" s="1924" t="str">
        <f>IF('MASTER PubCo Inputs'!B41=0,"",'MASTER PubCo Inputs'!B41)</f>
        <v>NasdaqGM:LOGC</v>
      </c>
      <c r="AB24" s="1922">
        <f>'Beta Calc'!Z24</f>
        <v>216.22198</v>
      </c>
      <c r="AC24" s="2091">
        <f t="shared" si="6"/>
        <v>0</v>
      </c>
      <c r="AI24" s="2092"/>
    </row>
    <row r="25" spans="2:35" s="1002" customFormat="1" ht="14.85" customHeight="1">
      <c r="B25" s="1002" t="str">
        <f>'Comp.1'!B25</f>
        <v>Arbutus Biopharma Corporation</v>
      </c>
      <c r="D25" s="1922">
        <f>'Beta Calc'!K25</f>
        <v>204.79499999999999</v>
      </c>
      <c r="E25" s="1922">
        <f>'Beta Calc'!L25</f>
        <v>0</v>
      </c>
      <c r="F25" s="1922">
        <f>'Beta Calc'!M25</f>
        <v>123.489</v>
      </c>
      <c r="G25" s="1922" t="str">
        <f>'Beta Calc'!N25</f>
        <v>n/a</v>
      </c>
      <c r="H25" s="1922">
        <f t="shared" si="7"/>
        <v>123.489</v>
      </c>
      <c r="I25" s="1922">
        <f t="shared" si="8"/>
        <v>328.28399999999999</v>
      </c>
      <c r="J25" s="1922">
        <f>'Beta Calc'!Q25</f>
        <v>142.018</v>
      </c>
      <c r="K25" s="1922">
        <f t="shared" si="9"/>
        <v>186.26599999999999</v>
      </c>
      <c r="M25" s="2070">
        <f>IFERROR('Capital IQ Sheet-GPC'!AT27,"n/a")</f>
        <v>0</v>
      </c>
      <c r="N25" s="1922">
        <f t="shared" si="0"/>
        <v>1.9178082191780821</v>
      </c>
      <c r="O25" s="2085">
        <f t="shared" si="0"/>
        <v>2.4582191780821917E-2</v>
      </c>
      <c r="P25" s="2086"/>
      <c r="Q25" s="2087">
        <f>IFERROR(HLOOKUP($Q$6,'Equity Vol'!$B$8:$K25,ROWS('Equity Vol'!$C$8:$C25),FALSE),"n/a")</f>
        <v>0.78028811938036324</v>
      </c>
      <c r="R25" s="2088"/>
      <c r="S25" s="2089">
        <f t="shared" si="10"/>
        <v>0.60884954924614398</v>
      </c>
      <c r="T25" s="2089">
        <f t="shared" si="1"/>
        <v>0.96429173601607754</v>
      </c>
      <c r="U25" s="2090">
        <f t="shared" si="2"/>
        <v>-0.11628989893203012</v>
      </c>
      <c r="V25" s="2090">
        <f t="shared" si="3"/>
        <v>0.83255015854468151</v>
      </c>
      <c r="W25" s="2090">
        <f t="shared" si="4"/>
        <v>0.45371139539147076</v>
      </c>
      <c r="X25" s="1351">
        <f t="shared" si="5"/>
        <v>101.62752277365098</v>
      </c>
      <c r="Y25" s="2087">
        <f t="shared" si="11"/>
        <v>0.51135480097324293</v>
      </c>
      <c r="AA25" s="1924" t="str">
        <f>IF('MASTER PubCo Inputs'!B42=0,"",'MASTER PubCo Inputs'!B42)</f>
        <v>NasdaqGS:ABUS</v>
      </c>
      <c r="AB25" s="1922">
        <f>'Beta Calc'!Z25</f>
        <v>186.26599999999999</v>
      </c>
      <c r="AC25" s="2091">
        <f t="shared" si="6"/>
        <v>0</v>
      </c>
      <c r="AI25" s="2092"/>
    </row>
    <row r="26" spans="2:35" s="1002" customFormat="1" ht="14.85" customHeight="1">
      <c r="B26" s="1002" t="str">
        <f>'Comp.1'!B26</f>
        <v>Voyager Therapeutics, Inc.</v>
      </c>
      <c r="D26" s="1922">
        <f>'Beta Calc'!K26</f>
        <v>341.52161000000001</v>
      </c>
      <c r="E26" s="1922">
        <f>'Beta Calc'!L26</f>
        <v>0</v>
      </c>
      <c r="F26" s="1922" t="str">
        <f>'Beta Calc'!M26</f>
        <v>n/a</v>
      </c>
      <c r="G26" s="1922" t="str">
        <f>'Beta Calc'!N26</f>
        <v>n/a</v>
      </c>
      <c r="H26" s="1922">
        <f t="shared" si="7"/>
        <v>0</v>
      </c>
      <c r="I26" s="1922">
        <f t="shared" si="8"/>
        <v>341.52161000000001</v>
      </c>
      <c r="J26" s="1922">
        <f>'Beta Calc'!Q26</f>
        <v>179.601</v>
      </c>
      <c r="K26" s="1922">
        <f t="shared" si="9"/>
        <v>161.92061000000001</v>
      </c>
      <c r="M26" s="2070">
        <f>IFERROR('Capital IQ Sheet-GPC'!AT28,"n/a")</f>
        <v>0</v>
      </c>
      <c r="N26" s="1922">
        <f t="shared" si="0"/>
        <v>1.9178082191780821</v>
      </c>
      <c r="O26" s="2085">
        <f t="shared" si="0"/>
        <v>2.4582191780821917E-2</v>
      </c>
      <c r="P26" s="2086"/>
      <c r="Q26" s="2087">
        <f>IFERROR(HLOOKUP($Q$6,'Equity Vol'!$B$8:$K26,ROWS('Equity Vol'!$C$8:$C26),FALSE),"n/a")</f>
        <v>0.75170905184037895</v>
      </c>
      <c r="R26" s="2088"/>
      <c r="S26" s="2089">
        <f t="shared" si="10"/>
        <v>0.56506649861876157</v>
      </c>
      <c r="T26" s="2089">
        <f t="shared" si="1"/>
        <v>0</v>
      </c>
      <c r="U26" s="2090">
        <f t="shared" si="2"/>
        <v>0</v>
      </c>
      <c r="V26" s="2090">
        <f t="shared" si="3"/>
        <v>0</v>
      </c>
      <c r="W26" s="2090">
        <f t="shared" si="4"/>
        <v>0</v>
      </c>
      <c r="X26" s="1351">
        <f t="shared" si="5"/>
        <v>0</v>
      </c>
      <c r="Y26" s="2087">
        <f t="shared" si="11"/>
        <v>0.75170905184037895</v>
      </c>
      <c r="AA26" s="1924" t="str">
        <f>IF('MASTER PubCo Inputs'!B43=0,"",'MASTER PubCo Inputs'!B43)</f>
        <v>NasdaqGS:VYGR</v>
      </c>
      <c r="AB26" s="1922">
        <f>'Beta Calc'!Z26</f>
        <v>161.92061000000001</v>
      </c>
      <c r="AC26" s="2091">
        <f t="shared" si="6"/>
        <v>0</v>
      </c>
      <c r="AI26" s="2092"/>
    </row>
    <row r="27" spans="2:35" s="1002" customFormat="1" ht="14.85" customHeight="1">
      <c r="B27" s="1002" t="str">
        <f>'Comp.1'!B27</f>
        <v>La Jolla Pharmaceutical Company</v>
      </c>
      <c r="D27" s="1922">
        <f>'Beta Calc'!K27</f>
        <v>158.45113000000001</v>
      </c>
      <c r="E27" s="1922">
        <f>'Beta Calc'!L27</f>
        <v>124.324</v>
      </c>
      <c r="F27" s="1922">
        <f>'Beta Calc'!M27</f>
        <v>6.6429999999999998</v>
      </c>
      <c r="G27" s="1922" t="str">
        <f>'Beta Calc'!N27</f>
        <v>n/a</v>
      </c>
      <c r="H27" s="1922">
        <f t="shared" si="7"/>
        <v>130.96699999999998</v>
      </c>
      <c r="I27" s="1922">
        <f t="shared" si="8"/>
        <v>289.41812999999996</v>
      </c>
      <c r="J27" s="1922">
        <f>'Beta Calc'!Q27</f>
        <v>204.33699999999999</v>
      </c>
      <c r="K27" s="1922">
        <f t="shared" si="9"/>
        <v>85.081129999999973</v>
      </c>
      <c r="M27" s="2070">
        <f>IFERROR('Capital IQ Sheet-GPC'!AT29,"n/a")</f>
        <v>0</v>
      </c>
      <c r="N27" s="1922">
        <f t="shared" si="0"/>
        <v>1.9178082191780821</v>
      </c>
      <c r="O27" s="2085">
        <f t="shared" si="0"/>
        <v>2.4582191780821917E-2</v>
      </c>
      <c r="P27" s="2086"/>
      <c r="Q27" s="2087">
        <f>IFERROR(HLOOKUP($Q$6,'Equity Vol'!$B$8:$K27,ROWS('Equity Vol'!$C$8:$C27),FALSE),"n/a")</f>
        <v>0.89691591389580794</v>
      </c>
      <c r="R27" s="2088"/>
      <c r="S27" s="2089">
        <f t="shared" si="10"/>
        <v>0.80445815659955233</v>
      </c>
      <c r="T27" s="2089">
        <f t="shared" si="1"/>
        <v>0.31173339627416213</v>
      </c>
      <c r="U27" s="2090">
        <f t="shared" si="2"/>
        <v>-0.93036018502777429</v>
      </c>
      <c r="V27" s="2090">
        <f t="shared" si="3"/>
        <v>0.6223784273904287</v>
      </c>
      <c r="W27" s="2090">
        <f t="shared" si="4"/>
        <v>0.17609231296583369</v>
      </c>
      <c r="X27" s="1351">
        <f t="shared" si="5"/>
        <v>30.952394033623783</v>
      </c>
      <c r="Y27" s="2087">
        <f t="shared" si="11"/>
        <v>0.5242738483694801</v>
      </c>
      <c r="AA27" s="1924" t="str">
        <f>IF('MASTER PubCo Inputs'!B44=0,"",'MASTER PubCo Inputs'!B44)</f>
        <v>NasdaqCM:LJPC</v>
      </c>
      <c r="AB27" s="1922">
        <f>'Beta Calc'!Z27</f>
        <v>85.081130000000002</v>
      </c>
      <c r="AC27" s="2091">
        <f t="shared" si="6"/>
        <v>0</v>
      </c>
      <c r="AI27" s="2092"/>
    </row>
    <row r="28" spans="2:35" s="1002" customFormat="1" ht="14.85" customHeight="1">
      <c r="B28" s="1002" t="str">
        <f>'Comp.1'!B28</f>
        <v>Protagonist Therapeutics, Inc.</v>
      </c>
      <c r="D28" s="1922">
        <f>'Beta Calc'!K28</f>
        <v>197.11606</v>
      </c>
      <c r="E28" s="1922">
        <f>'Beta Calc'!L28</f>
        <v>0</v>
      </c>
      <c r="F28" s="1922" t="str">
        <f>'Beta Calc'!M28</f>
        <v>n/a</v>
      </c>
      <c r="G28" s="1922" t="str">
        <f>'Beta Calc'!N28</f>
        <v>n/a</v>
      </c>
      <c r="H28" s="1922">
        <f t="shared" si="7"/>
        <v>0</v>
      </c>
      <c r="I28" s="1922">
        <f t="shared" si="8"/>
        <v>197.11606</v>
      </c>
      <c r="J28" s="1922">
        <f>'Beta Calc'!Q28</f>
        <v>138.517</v>
      </c>
      <c r="K28" s="1922">
        <f t="shared" si="9"/>
        <v>58.599060000000009</v>
      </c>
      <c r="M28" s="2070">
        <f>IFERROR('Capital IQ Sheet-GPC'!AT30,"n/a")</f>
        <v>0</v>
      </c>
      <c r="N28" s="1922">
        <f t="shared" si="0"/>
        <v>1.9178082191780821</v>
      </c>
      <c r="O28" s="2085">
        <f t="shared" si="0"/>
        <v>2.4582191780821917E-2</v>
      </c>
      <c r="P28" s="2086"/>
      <c r="Q28" s="2087">
        <f>IFERROR(HLOOKUP($Q$6,'Equity Vol'!$B$8:$K28,ROWS('Equity Vol'!$C$8:$C28),FALSE),"n/a")</f>
        <v>0.9785041500826186</v>
      </c>
      <c r="R28" s="2088"/>
      <c r="S28" s="2089">
        <f t="shared" si="10"/>
        <v>0.95747037172890781</v>
      </c>
      <c r="T28" s="2089">
        <f t="shared" si="1"/>
        <v>0</v>
      </c>
      <c r="U28" s="2090">
        <f t="shared" si="2"/>
        <v>0</v>
      </c>
      <c r="V28" s="2090">
        <f t="shared" si="3"/>
        <v>0</v>
      </c>
      <c r="W28" s="2090">
        <f t="shared" si="4"/>
        <v>0</v>
      </c>
      <c r="X28" s="1351">
        <f t="shared" si="5"/>
        <v>0</v>
      </c>
      <c r="Y28" s="2087">
        <f t="shared" si="11"/>
        <v>0.9785041500826186</v>
      </c>
      <c r="AA28" s="1924" t="str">
        <f>IF('MASTER PubCo Inputs'!B45=0,"",'MASTER PubCo Inputs'!B45)</f>
        <v>NasdaqGM:PTGX</v>
      </c>
      <c r="AB28" s="1922">
        <f>'Beta Calc'!Z28</f>
        <v>58.599049999999998</v>
      </c>
      <c r="AC28" s="2091">
        <f t="shared" si="6"/>
        <v>1.0000000010279564E-5</v>
      </c>
      <c r="AI28" s="2092"/>
    </row>
    <row r="29" spans="2:35" s="1002" customFormat="1" ht="14.85" customHeight="1">
      <c r="B29" s="1002" t="str">
        <f>'Comp.1'!B29</f>
        <v>Fibrocell Science, Inc.</v>
      </c>
      <c r="D29" s="1922">
        <f>'Beta Calc'!K29</f>
        <v>19.22391</v>
      </c>
      <c r="E29" s="1922">
        <f>'Beta Calc'!L29</f>
        <v>0</v>
      </c>
      <c r="F29" s="1922">
        <f>'Beta Calc'!M29</f>
        <v>7.6230000000000002</v>
      </c>
      <c r="G29" s="1922" t="str">
        <f>'Beta Calc'!N29</f>
        <v>n/a</v>
      </c>
      <c r="H29" s="1922">
        <f t="shared" si="7"/>
        <v>7.6230000000000002</v>
      </c>
      <c r="I29" s="1922">
        <f t="shared" si="8"/>
        <v>26.846910000000001</v>
      </c>
      <c r="J29" s="1922">
        <f>'Beta Calc'!Q29</f>
        <v>16.111000000000001</v>
      </c>
      <c r="K29" s="1922">
        <f t="shared" si="9"/>
        <v>10.735910000000001</v>
      </c>
      <c r="M29" s="2070">
        <f>IFERROR('Capital IQ Sheet-GPC'!AT31,"n/a")</f>
        <v>0</v>
      </c>
      <c r="N29" s="1922">
        <f t="shared" si="0"/>
        <v>1.9178082191780821</v>
      </c>
      <c r="O29" s="2085">
        <f t="shared" si="0"/>
        <v>2.4582191780821917E-2</v>
      </c>
      <c r="P29" s="2086"/>
      <c r="Q29" s="2087">
        <f>IFERROR(HLOOKUP($Q$6,'Equity Vol'!$B$8:$K29,ROWS('Equity Vol'!$C$8:$C29),FALSE),"n/a")</f>
        <v>0.88336531692825482</v>
      </c>
      <c r="R29" s="2088"/>
      <c r="S29" s="2089">
        <f t="shared" si="10"/>
        <v>0.78033428315175613</v>
      </c>
      <c r="T29" s="2089">
        <f t="shared" si="1"/>
        <v>0.93011346438379372</v>
      </c>
      <c r="U29" s="2090">
        <f t="shared" si="2"/>
        <v>-0.2932145790840549</v>
      </c>
      <c r="V29" s="2090">
        <f t="shared" si="3"/>
        <v>0.8238438299266595</v>
      </c>
      <c r="W29" s="2090">
        <f t="shared" si="4"/>
        <v>0.38467907054571593</v>
      </c>
      <c r="X29" s="1351">
        <f t="shared" si="5"/>
        <v>6.0473418185374301</v>
      </c>
      <c r="Y29" s="2087">
        <f t="shared" si="11"/>
        <v>0.60397798028869132</v>
      </c>
      <c r="AA29" s="1924" t="str">
        <f>IF('MASTER PubCo Inputs'!B46=0,"",'MASTER PubCo Inputs'!B46)</f>
        <v>NasdaqCM:FCSC</v>
      </c>
      <c r="AB29" s="1922">
        <f>'Beta Calc'!Z29</f>
        <v>10.735910000000001</v>
      </c>
      <c r="AC29" s="2091">
        <f t="shared" si="6"/>
        <v>0</v>
      </c>
      <c r="AI29" s="2092"/>
    </row>
    <row r="30" spans="2:35" s="1002" customFormat="1" ht="9.9499999999999993" customHeight="1">
      <c r="D30" s="1922"/>
      <c r="E30" s="1922"/>
      <c r="F30" s="1922"/>
      <c r="G30" s="1922"/>
      <c r="H30" s="1922"/>
      <c r="I30" s="1922"/>
      <c r="J30" s="1922"/>
      <c r="K30" s="1922"/>
      <c r="M30" s="2070"/>
      <c r="N30" s="1922"/>
      <c r="O30" s="2085"/>
      <c r="P30" s="2086"/>
      <c r="Q30" s="2087"/>
      <c r="R30" s="2088"/>
      <c r="S30" s="2089"/>
      <c r="T30" s="2089"/>
      <c r="U30" s="2090"/>
      <c r="V30" s="2090"/>
      <c r="W30" s="2090"/>
      <c r="X30" s="1351"/>
      <c r="Y30" s="2087"/>
      <c r="AA30" s="1924"/>
      <c r="AB30" s="1922"/>
      <c r="AC30" s="2091"/>
      <c r="AI30" s="2092"/>
    </row>
    <row r="31" spans="2:35" s="1002" customFormat="1" ht="14.85" customHeight="1">
      <c r="B31" s="1918" t="str">
        <f>'Comp.1'!B31</f>
        <v>CRISPR/Cas9</v>
      </c>
      <c r="D31" s="1922"/>
      <c r="E31" s="1922"/>
      <c r="F31" s="1922"/>
      <c r="G31" s="1922"/>
      <c r="H31" s="1922"/>
      <c r="I31" s="1922"/>
      <c r="J31" s="1922"/>
      <c r="K31" s="1922"/>
      <c r="M31" s="2070"/>
      <c r="N31" s="1922"/>
      <c r="O31" s="2085"/>
      <c r="P31" s="2086"/>
      <c r="Q31" s="2087"/>
      <c r="R31" s="2088"/>
      <c r="S31" s="2089"/>
      <c r="T31" s="2089"/>
      <c r="U31" s="2090"/>
      <c r="V31" s="2090"/>
      <c r="W31" s="2090"/>
      <c r="X31" s="1351"/>
      <c r="Y31" s="2087"/>
      <c r="AA31" s="1924"/>
      <c r="AB31" s="1922"/>
      <c r="AC31" s="2091"/>
      <c r="AI31" s="2092"/>
    </row>
    <row r="32" spans="2:35" s="1002" customFormat="1" ht="14.85" customHeight="1">
      <c r="B32" s="1002" t="str">
        <f>'Comp.1'!B32</f>
        <v>CRISPR Therapeutics AG</v>
      </c>
      <c r="D32" s="1922">
        <f>'Beta Calc'!K32</f>
        <v>1679.8645300000001</v>
      </c>
      <c r="E32" s="1922">
        <f>'Beta Calc'!L32</f>
        <v>0</v>
      </c>
      <c r="F32" s="1922" t="str">
        <f>'Beta Calc'!M32</f>
        <v>n/a</v>
      </c>
      <c r="G32" s="1922" t="str">
        <f>'Beta Calc'!N32</f>
        <v>n/a</v>
      </c>
      <c r="H32" s="1922">
        <f t="shared" si="7"/>
        <v>0</v>
      </c>
      <c r="I32" s="1922">
        <f t="shared" si="8"/>
        <v>1679.8645300000001</v>
      </c>
      <c r="J32" s="1922">
        <f>'Beta Calc'!Q32</f>
        <v>487.29500000000002</v>
      </c>
      <c r="K32" s="1922">
        <f t="shared" si="9"/>
        <v>1192.56953</v>
      </c>
      <c r="M32" s="2070">
        <f>IFERROR('Capital IQ Sheet-GPC'!AT33,"n/a")</f>
        <v>0</v>
      </c>
      <c r="N32" s="1922">
        <f t="shared" si="0"/>
        <v>1.9178082191780821</v>
      </c>
      <c r="O32" s="2085">
        <f t="shared" si="0"/>
        <v>2.4582191780821917E-2</v>
      </c>
      <c r="P32" s="2086"/>
      <c r="Q32" s="2087">
        <f>IFERROR(HLOOKUP($Q$6,'Equity Vol'!$B$8:$K32,ROWS('Equity Vol'!$C$8:$C32),FALSE),"n/a")</f>
        <v>0.69448805510556844</v>
      </c>
      <c r="R32" s="2088"/>
      <c r="S32" s="2089">
        <f t="shared" si="10"/>
        <v>0.48231365868431508</v>
      </c>
      <c r="T32" s="2089">
        <f t="shared" si="1"/>
        <v>0</v>
      </c>
      <c r="U32" s="2090">
        <f t="shared" si="2"/>
        <v>0</v>
      </c>
      <c r="V32" s="2090">
        <f t="shared" si="3"/>
        <v>0</v>
      </c>
      <c r="W32" s="2090">
        <f t="shared" si="4"/>
        <v>0</v>
      </c>
      <c r="X32" s="1351">
        <f t="shared" si="5"/>
        <v>0</v>
      </c>
      <c r="Y32" s="2087">
        <f t="shared" si="11"/>
        <v>0.69448805510556844</v>
      </c>
      <c r="AA32" s="1924" t="str">
        <f>IF('MASTER PubCo Inputs'!B48=0,"",'MASTER PubCo Inputs'!B48)</f>
        <v>NasdaqGM:CRSP</v>
      </c>
      <c r="AB32" s="1922">
        <f>'Beta Calc'!Z32</f>
        <v>1192.56953</v>
      </c>
      <c r="AC32" s="2091">
        <f t="shared" si="6"/>
        <v>0</v>
      </c>
      <c r="AI32" s="2092"/>
    </row>
    <row r="33" spans="2:35" s="1002" customFormat="1" ht="14.85" customHeight="1">
      <c r="B33" s="1002" t="str">
        <f>'Comp.1'!B33</f>
        <v>Editas Medicine, Inc.</v>
      </c>
      <c r="D33" s="1922">
        <f>'Beta Calc'!K33</f>
        <v>1032.0795800000001</v>
      </c>
      <c r="E33" s="1922">
        <f>'Beta Calc'!L33</f>
        <v>32.694000000000003</v>
      </c>
      <c r="F33" s="1922" t="str">
        <f>'Beta Calc'!M33</f>
        <v>n/a</v>
      </c>
      <c r="G33" s="1922" t="str">
        <f>'Beta Calc'!N33</f>
        <v>n/a</v>
      </c>
      <c r="H33" s="1922">
        <f t="shared" si="7"/>
        <v>32.694000000000003</v>
      </c>
      <c r="I33" s="1922">
        <f t="shared" si="8"/>
        <v>1064.77358</v>
      </c>
      <c r="J33" s="1922">
        <f>'Beta Calc'!Q33</f>
        <v>337.49200000000002</v>
      </c>
      <c r="K33" s="1922">
        <f t="shared" si="9"/>
        <v>727.28158000000008</v>
      </c>
      <c r="M33" s="2070">
        <f>IFERROR('Capital IQ Sheet-GPC'!AT34,"n/a")</f>
        <v>0</v>
      </c>
      <c r="N33" s="1922">
        <f t="shared" si="0"/>
        <v>1.9178082191780821</v>
      </c>
      <c r="O33" s="2085">
        <f t="shared" si="0"/>
        <v>2.4582191780821917E-2</v>
      </c>
      <c r="P33" s="2086"/>
      <c r="Q33" s="2087">
        <f>IFERROR(HLOOKUP($Q$6,'Equity Vol'!$B$8:$K33,ROWS('Equity Vol'!$C$8:$C33),FALSE),"n/a")</f>
        <v>0.71472719223896919</v>
      </c>
      <c r="R33" s="2088"/>
      <c r="S33" s="2089">
        <f t="shared" si="10"/>
        <v>0.51083495932580036</v>
      </c>
      <c r="T33" s="2089">
        <f t="shared" si="1"/>
        <v>3.6766478031883278</v>
      </c>
      <c r="U33" s="2090">
        <f t="shared" si="2"/>
        <v>2.6868581873413433</v>
      </c>
      <c r="V33" s="2090">
        <f t="shared" si="3"/>
        <v>0.9998818405221529</v>
      </c>
      <c r="W33" s="2090">
        <f t="shared" si="4"/>
        <v>0.99639362158731792</v>
      </c>
      <c r="X33" s="1351">
        <f t="shared" si="5"/>
        <v>696.11967800147374</v>
      </c>
      <c r="Y33" s="2087">
        <f t="shared" si="11"/>
        <v>0.68418405209942945</v>
      </c>
      <c r="AA33" s="1924" t="str">
        <f>IF('MASTER PubCo Inputs'!B49=0,"",'MASTER PubCo Inputs'!B49)</f>
        <v>NasdaqGS:EDIT</v>
      </c>
      <c r="AB33" s="1922">
        <f>'Beta Calc'!Z33</f>
        <v>727.28157999999996</v>
      </c>
      <c r="AC33" s="2091">
        <f t="shared" si="6"/>
        <v>0</v>
      </c>
      <c r="AI33" s="2092"/>
    </row>
    <row r="34" spans="2:35" s="1002" customFormat="1" ht="14.85" customHeight="1">
      <c r="B34" s="1002" t="str">
        <f>'Comp.1'!B34</f>
        <v>Intellia Therapeutics, Inc.</v>
      </c>
      <c r="D34" s="1922">
        <f>'Beta Calc'!K34</f>
        <v>613.94893999999999</v>
      </c>
      <c r="E34" s="1922">
        <f>'Beta Calc'!L34</f>
        <v>0</v>
      </c>
      <c r="F34" s="1922" t="str">
        <f>'Beta Calc'!M34</f>
        <v>n/a</v>
      </c>
      <c r="G34" s="1922" t="str">
        <f>'Beta Calc'!N34</f>
        <v>n/a</v>
      </c>
      <c r="H34" s="1922">
        <f t="shared" si="7"/>
        <v>0</v>
      </c>
      <c r="I34" s="1922">
        <f t="shared" si="8"/>
        <v>613.94893999999999</v>
      </c>
      <c r="J34" s="1922">
        <f>'Beta Calc'!Q34</f>
        <v>293.24799999999999</v>
      </c>
      <c r="K34" s="1922">
        <f t="shared" si="9"/>
        <v>320.70094</v>
      </c>
      <c r="M34" s="2070">
        <f>IFERROR('Capital IQ Sheet-GPC'!AT35,"n/a")</f>
        <v>0</v>
      </c>
      <c r="N34" s="1922">
        <f t="shared" si="0"/>
        <v>1.9178082191780821</v>
      </c>
      <c r="O34" s="2085">
        <f t="shared" si="0"/>
        <v>2.4582191780821917E-2</v>
      </c>
      <c r="P34" s="2086"/>
      <c r="Q34" s="2087">
        <f>IFERROR(HLOOKUP($Q$6,'Equity Vol'!$B$8:$K34,ROWS('Equity Vol'!$C$8:$C34),FALSE),"n/a")</f>
        <v>0.74114018699687567</v>
      </c>
      <c r="R34" s="2088"/>
      <c r="S34" s="2089">
        <f t="shared" si="10"/>
        <v>0.5492887767817638</v>
      </c>
      <c r="T34" s="2089">
        <f t="shared" si="1"/>
        <v>0</v>
      </c>
      <c r="U34" s="2090">
        <f t="shared" si="2"/>
        <v>0</v>
      </c>
      <c r="V34" s="2090">
        <f t="shared" si="3"/>
        <v>0</v>
      </c>
      <c r="W34" s="2090">
        <f t="shared" si="4"/>
        <v>0</v>
      </c>
      <c r="X34" s="1351">
        <f t="shared" si="5"/>
        <v>0</v>
      </c>
      <c r="Y34" s="2087">
        <f t="shared" si="11"/>
        <v>0.74114018699687567</v>
      </c>
      <c r="AA34" s="1924" t="str">
        <f>IF('MASTER PubCo Inputs'!B50=0,"",'MASTER PubCo Inputs'!B50)</f>
        <v>NasdaqGM:NTLA</v>
      </c>
      <c r="AB34" s="1922">
        <f>'Beta Calc'!Z34</f>
        <v>320.70094</v>
      </c>
      <c r="AC34" s="2091">
        <f t="shared" si="6"/>
        <v>0</v>
      </c>
      <c r="AI34" s="2092"/>
    </row>
    <row r="35" spans="2:35" s="1002" customFormat="1" ht="14.85" customHeight="1">
      <c r="B35" s="1002" t="str">
        <f>'Comp.1'!B35</f>
        <v>Abeona Therapeutics Inc.</v>
      </c>
      <c r="D35" s="1922">
        <f>'Beta Calc'!K35</f>
        <v>325.54306000000003</v>
      </c>
      <c r="E35" s="1922">
        <f>'Beta Calc'!L35</f>
        <v>0</v>
      </c>
      <c r="F35" s="1922" t="str">
        <f>'Beta Calc'!M35</f>
        <v>n/a</v>
      </c>
      <c r="G35" s="1922" t="str">
        <f>'Beta Calc'!N35</f>
        <v>n/a</v>
      </c>
      <c r="H35" s="1922">
        <f t="shared" si="7"/>
        <v>0</v>
      </c>
      <c r="I35" s="1922">
        <f t="shared" si="8"/>
        <v>325.54306000000003</v>
      </c>
      <c r="J35" s="1922">
        <f>'Beta Calc'!Q35</f>
        <v>112.224</v>
      </c>
      <c r="K35" s="1922">
        <f t="shared" si="9"/>
        <v>213.31906000000004</v>
      </c>
      <c r="M35" s="2070">
        <f>IFERROR('Capital IQ Sheet-GPC'!AT36,"n/a")</f>
        <v>0</v>
      </c>
      <c r="N35" s="1922">
        <f t="shared" si="0"/>
        <v>1.9178082191780821</v>
      </c>
      <c r="O35" s="2085">
        <f t="shared" si="0"/>
        <v>2.4582191780821917E-2</v>
      </c>
      <c r="P35" s="2086"/>
      <c r="Q35" s="2087">
        <f>IFERROR(HLOOKUP($Q$6,'Equity Vol'!$B$8:$K35,ROWS('Equity Vol'!$C$8:$C35),FALSE),"n/a")</f>
        <v>0.77912879298972271</v>
      </c>
      <c r="R35" s="2088"/>
      <c r="S35" s="2089">
        <f t="shared" si="10"/>
        <v>0.6070416760656222</v>
      </c>
      <c r="T35" s="2089">
        <f t="shared" si="1"/>
        <v>0</v>
      </c>
      <c r="U35" s="2090">
        <f t="shared" si="2"/>
        <v>0</v>
      </c>
      <c r="V35" s="2090">
        <f t="shared" si="3"/>
        <v>0</v>
      </c>
      <c r="W35" s="2090">
        <f t="shared" si="4"/>
        <v>0</v>
      </c>
      <c r="X35" s="1351">
        <f t="shared" si="5"/>
        <v>0</v>
      </c>
      <c r="Y35" s="2087">
        <f t="shared" si="11"/>
        <v>0.77912879298972271</v>
      </c>
      <c r="AA35" s="1924" t="str">
        <f>IF('MASTER PubCo Inputs'!B51=0,"",'MASTER PubCo Inputs'!B51)</f>
        <v>NasdaqCM:ABEO</v>
      </c>
      <c r="AB35" s="1922">
        <f>'Beta Calc'!Z35</f>
        <v>213.31906000000001</v>
      </c>
      <c r="AC35" s="2091">
        <f t="shared" si="6"/>
        <v>0</v>
      </c>
      <c r="AI35" s="2092"/>
    </row>
    <row r="36" spans="2:35" s="1002" customFormat="1" ht="14.85" customHeight="1">
      <c r="D36" s="1922"/>
      <c r="E36" s="1922"/>
      <c r="F36" s="1922"/>
      <c r="G36" s="1922"/>
      <c r="H36" s="1922"/>
      <c r="I36" s="1922"/>
      <c r="J36" s="1922"/>
      <c r="K36" s="1922"/>
      <c r="P36" s="1920"/>
      <c r="R36" s="1920"/>
    </row>
    <row r="37" spans="2:35" s="1002" customFormat="1" ht="14.85" customHeight="1">
      <c r="B37" s="2073" t="s">
        <v>111</v>
      </c>
      <c r="C37" s="2093"/>
      <c r="D37" s="2094">
        <f t="shared" ref="D37:K37" si="12">MAX(D11:D35)</f>
        <v>8868.9653999999991</v>
      </c>
      <c r="E37" s="2094">
        <f t="shared" si="12"/>
        <v>409.30599999999998</v>
      </c>
      <c r="F37" s="2094">
        <f t="shared" si="12"/>
        <v>123.489</v>
      </c>
      <c r="G37" s="2094">
        <f t="shared" si="12"/>
        <v>0</v>
      </c>
      <c r="H37" s="2094">
        <f t="shared" si="12"/>
        <v>409.30599999999998</v>
      </c>
      <c r="I37" s="2094">
        <f t="shared" si="12"/>
        <v>8898.9653999999991</v>
      </c>
      <c r="J37" s="2094">
        <f t="shared" si="12"/>
        <v>1695.2950000000001</v>
      </c>
      <c r="K37" s="2094">
        <f t="shared" si="12"/>
        <v>7662.1313999999993</v>
      </c>
      <c r="L37" s="2093"/>
      <c r="M37" s="2075">
        <f>MAX(M11:M35)</f>
        <v>0</v>
      </c>
      <c r="N37" s="2094">
        <f>MAX(N11:N35)</f>
        <v>1.9178082191780821</v>
      </c>
      <c r="O37" s="2095">
        <f>MAX(O11:O35)</f>
        <v>2.4582191780821917E-2</v>
      </c>
      <c r="P37" s="2096"/>
      <c r="Q37" s="2097">
        <f>MAX(Q11:Q35)</f>
        <v>0.9785041500826186</v>
      </c>
      <c r="R37" s="2098"/>
      <c r="S37" s="2099">
        <f>MAX(S11:S36)</f>
        <v>0.95747037172890781</v>
      </c>
      <c r="T37" s="2099">
        <f>MAX(T11:T36)</f>
        <v>7.2049913895021325</v>
      </c>
      <c r="U37" s="2100">
        <f>MAX(U11:U36)</f>
        <v>6.3821561307972674</v>
      </c>
      <c r="V37" s="2100">
        <f>MAX(V11:V36)</f>
        <v>0.99999999999970979</v>
      </c>
      <c r="W37" s="2100">
        <f>MAX(W11:W36)</f>
        <v>0.99999999991269406</v>
      </c>
      <c r="X37" s="2094">
        <f>MAX(X11:X35)</f>
        <v>7633.5128974141307</v>
      </c>
      <c r="Y37" s="2101">
        <f>MAX(Y11:Y35)</f>
        <v>0.9785041500826186</v>
      </c>
      <c r="AB37" s="2102">
        <f>+'Asset Vol_IPO Phase I'!Y44</f>
        <v>0.67561578746954964</v>
      </c>
      <c r="AC37" s="2103" t="s">
        <v>1388</v>
      </c>
      <c r="AD37" s="2103"/>
      <c r="AE37" s="2103"/>
      <c r="AF37" s="2104"/>
    </row>
    <row r="38" spans="2:35" s="1002" customFormat="1" ht="14.85" customHeight="1">
      <c r="B38" s="2077" t="s">
        <v>115</v>
      </c>
      <c r="C38" s="1934"/>
      <c r="D38" s="1933">
        <f t="shared" ref="D38:K38" si="13">QUARTILE(D11:D35,3)</f>
        <v>1742.465835</v>
      </c>
      <c r="E38" s="1933">
        <f t="shared" si="13"/>
        <v>25.353999999999999</v>
      </c>
      <c r="F38" s="1933">
        <f t="shared" si="13"/>
        <v>55.668750000000003</v>
      </c>
      <c r="G38" s="1933" t="e">
        <f t="shared" si="13"/>
        <v>#NUM!</v>
      </c>
      <c r="H38" s="1933">
        <f t="shared" si="13"/>
        <v>32.878</v>
      </c>
      <c r="I38" s="1933">
        <f t="shared" si="13"/>
        <v>1784.9113350000002</v>
      </c>
      <c r="J38" s="1933">
        <f t="shared" si="13"/>
        <v>377.9085</v>
      </c>
      <c r="K38" s="1933">
        <f t="shared" si="13"/>
        <v>1251.21766</v>
      </c>
      <c r="L38" s="1934"/>
      <c r="M38" s="2079">
        <f>QUARTILE(M11:M35,3)</f>
        <v>0</v>
      </c>
      <c r="N38" s="1933">
        <f>QUARTILE(N11:N35,3)</f>
        <v>1.9178082191780821</v>
      </c>
      <c r="O38" s="2105">
        <f>QUARTILE(O11:O35,3)</f>
        <v>2.4582191780821917E-2</v>
      </c>
      <c r="P38" s="2106"/>
      <c r="Q38" s="2107">
        <f>QUARTILE(Q11:Q35,3)</f>
        <v>0.78028811938036324</v>
      </c>
      <c r="R38" s="2108"/>
      <c r="S38" s="2109">
        <f>QUARTILE(S11:S36,3)</f>
        <v>0.60884954924614398</v>
      </c>
      <c r="T38" s="2109">
        <f>QUARTILE(T11:T36,3)</f>
        <v>3.1190972849858665</v>
      </c>
      <c r="U38" s="2110">
        <f>QUARTILE(U11:U36,3)</f>
        <v>2.4773089915266588</v>
      </c>
      <c r="V38" s="2110">
        <f>QUARTILE(V11:V36,3)</f>
        <v>0.99909296972787609</v>
      </c>
      <c r="W38" s="2110">
        <f>QUARTILE(W11:W36,3)</f>
        <v>0.99338113783891346</v>
      </c>
      <c r="X38" s="1933">
        <f>QUARTILE(X11:X35,3)</f>
        <v>696.11967800147374</v>
      </c>
      <c r="Y38" s="2111">
        <f>QUARTILE(Y11:Y35,3)</f>
        <v>0.74582898170776957</v>
      </c>
      <c r="AB38" s="2112">
        <f>+'Asset Vol_IPO Phase I'!Y46</f>
        <v>0.67599654928912778</v>
      </c>
      <c r="AC38" s="1002" t="s">
        <v>1389</v>
      </c>
      <c r="AF38" s="2113"/>
    </row>
    <row r="39" spans="2:35" s="1002" customFormat="1" ht="14.85" customHeight="1">
      <c r="B39" s="2077" t="s">
        <v>113</v>
      </c>
      <c r="C39" s="1934"/>
      <c r="D39" s="1933">
        <f t="shared" ref="D39:K39" si="14">AVERAGE(D11:D35)</f>
        <v>1587.2495647826088</v>
      </c>
      <c r="E39" s="1933">
        <f t="shared" si="14"/>
        <v>37.258999999999993</v>
      </c>
      <c r="F39" s="1933">
        <f t="shared" si="14"/>
        <v>42.704249999999995</v>
      </c>
      <c r="G39" s="1933" t="e">
        <f t="shared" si="14"/>
        <v>#DIV/0!</v>
      </c>
      <c r="H39" s="1933">
        <f t="shared" si="14"/>
        <v>44.685826086956517</v>
      </c>
      <c r="I39" s="1933">
        <f t="shared" si="14"/>
        <v>1631.9353908695655</v>
      </c>
      <c r="J39" s="1933">
        <f t="shared" si="14"/>
        <v>354.92808695652167</v>
      </c>
      <c r="K39" s="1933">
        <f t="shared" si="14"/>
        <v>1277.0073039130434</v>
      </c>
      <c r="L39" s="1934"/>
      <c r="M39" s="2079">
        <f>AVERAGE(M11:M35)</f>
        <v>0</v>
      </c>
      <c r="N39" s="1933">
        <f>AVERAGE(N11:N35)</f>
        <v>1.9178082191780823</v>
      </c>
      <c r="O39" s="2105">
        <f>AVERAGE(O11:O35)</f>
        <v>2.4582191780821921E-2</v>
      </c>
      <c r="P39" s="2106"/>
      <c r="Q39" s="2107">
        <f>AVERAGE(Q11:Q35)</f>
        <v>0.71639622838754036</v>
      </c>
      <c r="R39" s="2108"/>
      <c r="S39" s="2109">
        <f>AVERAGE(S11:S36)</f>
        <v>0.52879814363089439</v>
      </c>
      <c r="T39" s="2109">
        <f>AVERAGE(T11:T36)</f>
        <v>1.397563112549252</v>
      </c>
      <c r="U39" s="2110">
        <f>AVERAGE(U11:U36)</f>
        <v>0.98363073070284013</v>
      </c>
      <c r="V39" s="2110">
        <f>AVERAGE(V11:V36)</f>
        <v>0.39416894833627747</v>
      </c>
      <c r="W39" s="2110">
        <f>AVERAGE(W11:W36)</f>
        <v>0.33332201602272499</v>
      </c>
      <c r="X39" s="1933">
        <f>AVERAGE(X11:X35)</f>
        <v>871.23663205821629</v>
      </c>
      <c r="Y39" s="2111">
        <f>AVERAGE(Y11:Y35)</f>
        <v>0.66409564642447605</v>
      </c>
      <c r="AB39" s="2112">
        <f>+'Asset Vol_IPO Phase I'!Y40</f>
        <v>0.67554666584600742</v>
      </c>
      <c r="AC39" s="1002" t="s">
        <v>1387</v>
      </c>
      <c r="AF39" s="2114"/>
    </row>
    <row r="40" spans="2:35" s="1002" customFormat="1" ht="14.85" customHeight="1">
      <c r="B40" s="2077" t="s">
        <v>44</v>
      </c>
      <c r="C40" s="1934"/>
      <c r="D40" s="1933">
        <f t="shared" ref="D40:K40" si="15">MEDIAN(D11:D35)</f>
        <v>1032.0795800000001</v>
      </c>
      <c r="E40" s="1933">
        <f t="shared" si="15"/>
        <v>0</v>
      </c>
      <c r="F40" s="1933">
        <f t="shared" si="15"/>
        <v>20.342499999999998</v>
      </c>
      <c r="G40" s="1933" t="e">
        <f t="shared" si="15"/>
        <v>#NUM!</v>
      </c>
      <c r="H40" s="1933">
        <f t="shared" si="15"/>
        <v>0</v>
      </c>
      <c r="I40" s="1933">
        <f t="shared" si="15"/>
        <v>1058.70937</v>
      </c>
      <c r="J40" s="1933">
        <f t="shared" si="15"/>
        <v>239.54599999999999</v>
      </c>
      <c r="K40" s="1933">
        <f t="shared" si="15"/>
        <v>727.28158000000008</v>
      </c>
      <c r="L40" s="1934"/>
      <c r="M40" s="2079">
        <f>MEDIAN(M11:M35)</f>
        <v>0</v>
      </c>
      <c r="N40" s="1933">
        <f>MEDIAN(N11:N35)</f>
        <v>1.9178082191780821</v>
      </c>
      <c r="O40" s="2105">
        <f>MEDIAN(O11:O35)</f>
        <v>2.4582191780821917E-2</v>
      </c>
      <c r="P40" s="2106"/>
      <c r="Q40" s="2107">
        <f>MEDIAN(Q11:Q35)</f>
        <v>0.71472719223896919</v>
      </c>
      <c r="R40" s="2108"/>
      <c r="S40" s="2109">
        <f>MEDIAN(S11:S36)</f>
        <v>0.51083495932580036</v>
      </c>
      <c r="T40" s="2109">
        <f>MEDIAN(T11:T36)</f>
        <v>0</v>
      </c>
      <c r="U40" s="2110">
        <f>MEDIAN(U11:U36)</f>
        <v>0</v>
      </c>
      <c r="V40" s="2110">
        <f>MEDIAN(V11:V36)</f>
        <v>0</v>
      </c>
      <c r="W40" s="2110">
        <f>MEDIAN(W11:W36)</f>
        <v>0</v>
      </c>
      <c r="X40" s="1933">
        <f>MEDIAN(X11:X35)</f>
        <v>0</v>
      </c>
      <c r="Y40" s="2111">
        <f>MEDIAN(Y11:Y35)</f>
        <v>0.67554666584600742</v>
      </c>
      <c r="AB40" s="2115" t="str">
        <f>IF(ROUND(AB37,3)=ROUND(AB39,3),"","Update Volatility - OPM")</f>
        <v/>
      </c>
      <c r="AF40" s="2113"/>
    </row>
    <row r="41" spans="2:35" s="1002" customFormat="1" ht="14.85" customHeight="1">
      <c r="B41" s="2077" t="s">
        <v>114</v>
      </c>
      <c r="C41" s="1934"/>
      <c r="D41" s="1933">
        <f t="shared" ref="D41:K41" si="16">QUARTILE(D11:D35,1)</f>
        <v>333.53233499999999</v>
      </c>
      <c r="E41" s="1933">
        <f t="shared" si="16"/>
        <v>0</v>
      </c>
      <c r="F41" s="1933">
        <f t="shared" si="16"/>
        <v>7.3780000000000001</v>
      </c>
      <c r="G41" s="1933" t="e">
        <f t="shared" si="16"/>
        <v>#NUM!</v>
      </c>
      <c r="H41" s="1933">
        <f t="shared" si="16"/>
        <v>0</v>
      </c>
      <c r="I41" s="1933">
        <f t="shared" si="16"/>
        <v>334.902805</v>
      </c>
      <c r="J41" s="1933">
        <f t="shared" si="16"/>
        <v>151.708</v>
      </c>
      <c r="K41" s="1933">
        <f t="shared" si="16"/>
        <v>214.77052</v>
      </c>
      <c r="L41" s="1934"/>
      <c r="M41" s="2079">
        <f>QUARTILE(M11:M35,1)</f>
        <v>0</v>
      </c>
      <c r="N41" s="1933">
        <f>QUARTILE(N11:N35,1)</f>
        <v>1.9178082191780821</v>
      </c>
      <c r="O41" s="2105">
        <f>QUARTILE(O11:O35,1)</f>
        <v>2.4582191780821917E-2</v>
      </c>
      <c r="P41" s="2106"/>
      <c r="Q41" s="2107">
        <f>QUARTILE(Q11:Q35,1)</f>
        <v>0.64539841996562952</v>
      </c>
      <c r="R41" s="2108"/>
      <c r="S41" s="2109">
        <f>QUARTILE(S11:S36,1)</f>
        <v>0.41653912049413111</v>
      </c>
      <c r="T41" s="2109">
        <f>QUARTILE(T11:T36,1)</f>
        <v>0</v>
      </c>
      <c r="U41" s="2110">
        <f>QUARTILE(U11:U36,1)</f>
        <v>0</v>
      </c>
      <c r="V41" s="2110">
        <f>QUARTILE(V11:V36,1)</f>
        <v>0</v>
      </c>
      <c r="W41" s="2110">
        <f>QUARTILE(W11:W36,1)</f>
        <v>0</v>
      </c>
      <c r="X41" s="1933">
        <f>QUARTILE(X11:X35,1)</f>
        <v>0</v>
      </c>
      <c r="Y41" s="2111">
        <f>QUARTILE(Y11:Y35,1)</f>
        <v>0.59195017519509152</v>
      </c>
      <c r="AB41" s="2116" t="str">
        <f>IF(ROUND(AB38,3)=ROUND(AB39,3),"","Update Volatility - DLOM")</f>
        <v/>
      </c>
      <c r="AC41" s="2117"/>
      <c r="AD41" s="2117"/>
      <c r="AE41" s="2117"/>
      <c r="AF41" s="2118"/>
    </row>
    <row r="42" spans="2:35" s="1002" customFormat="1" ht="14.85" customHeight="1">
      <c r="B42" s="1938" t="s">
        <v>112</v>
      </c>
      <c r="C42" s="1940"/>
      <c r="D42" s="1939">
        <f t="shared" ref="D42:K42" si="17">MIN(D11:D35)</f>
        <v>19.22391</v>
      </c>
      <c r="E42" s="1939">
        <f t="shared" si="17"/>
        <v>0</v>
      </c>
      <c r="F42" s="1939">
        <f t="shared" si="17"/>
        <v>6.6429999999999998</v>
      </c>
      <c r="G42" s="1939">
        <f t="shared" si="17"/>
        <v>0</v>
      </c>
      <c r="H42" s="1939">
        <f t="shared" si="17"/>
        <v>0</v>
      </c>
      <c r="I42" s="1939">
        <f t="shared" si="17"/>
        <v>26.846910000000001</v>
      </c>
      <c r="J42" s="1939">
        <f t="shared" si="17"/>
        <v>12.877000000000001</v>
      </c>
      <c r="K42" s="1939">
        <f t="shared" si="17"/>
        <v>10.735910000000001</v>
      </c>
      <c r="L42" s="1940"/>
      <c r="M42" s="2082">
        <f>MIN(M11:M35)</f>
        <v>0</v>
      </c>
      <c r="N42" s="1939">
        <f>MIN(N11:N35)</f>
        <v>1.9178082191780821</v>
      </c>
      <c r="O42" s="2119">
        <f>MIN(O11:O35)</f>
        <v>2.4582191780821917E-2</v>
      </c>
      <c r="P42" s="2120"/>
      <c r="Q42" s="2121">
        <f>MIN(Q11:Q35)</f>
        <v>0.4634353984441596</v>
      </c>
      <c r="R42" s="2122"/>
      <c r="S42" s="2123">
        <f>MIN(S11:S36)</f>
        <v>0.21477236853109696</v>
      </c>
      <c r="T42" s="2123">
        <f>MIN(T11:T36)</f>
        <v>0</v>
      </c>
      <c r="U42" s="2124">
        <f>MIN(U11:U36)</f>
        <v>-0.93036018502777429</v>
      </c>
      <c r="V42" s="2124">
        <f>MIN(V11:V36)</f>
        <v>0</v>
      </c>
      <c r="W42" s="2124">
        <f>MIN(W11:W36)</f>
        <v>0</v>
      </c>
      <c r="X42" s="1939">
        <f>MIN(X11:X35)</f>
        <v>0</v>
      </c>
      <c r="Y42" s="2125">
        <f>MIN(Y11:Y35)</f>
        <v>0.38695155217451771</v>
      </c>
      <c r="AB42" s="2126" t="str">
        <f>IF(K44&lt;&gt;K46,"Check","")</f>
        <v/>
      </c>
    </row>
    <row r="43" spans="2:35" s="1002" customFormat="1" ht="9.9499999999999993" customHeight="1">
      <c r="P43" s="1920"/>
      <c r="AB43" s="2127" t="str">
        <f>IF(AND(AB40=$AF$41,AB42=$AF$41,AB41=$AF$41),"","Check")</f>
        <v/>
      </c>
    </row>
    <row r="44" spans="2:35" s="1002" customFormat="1" ht="14.85" hidden="1" customHeight="1" outlineLevel="1">
      <c r="B44" s="2128" t="str">
        <f>B2</f>
        <v>Trucode Gene Repair, Inc.</v>
      </c>
      <c r="C44" s="2129" t="s">
        <v>249</v>
      </c>
      <c r="D44" s="2130">
        <f>'Val Summ'!D9/1000</f>
        <v>42.64</v>
      </c>
      <c r="E44" s="2131"/>
      <c r="F44" s="2131"/>
      <c r="G44" s="2131"/>
      <c r="H44" s="2130">
        <f>'Hist BS'!$E$61/1000</f>
        <v>0.15776502000000001</v>
      </c>
      <c r="I44" s="2132">
        <f t="shared" ref="I44" si="18">SUM(D44:G44)</f>
        <v>42.64</v>
      </c>
      <c r="J44" s="2131"/>
      <c r="K44" s="2130">
        <f>+'Val Summ'!D9/1000+H44</f>
        <v>42.79776502</v>
      </c>
      <c r="L44" s="2131"/>
      <c r="M44" s="2133">
        <f>'PWERM DLOM'!D16</f>
        <v>0</v>
      </c>
      <c r="N44" s="2134">
        <f>N$6</f>
        <v>1.9178082191780821</v>
      </c>
      <c r="O44" s="2135">
        <f>O$6</f>
        <v>2.4582191780821917E-2</v>
      </c>
      <c r="P44" s="2136"/>
      <c r="Q44" s="2137">
        <v>0.67800000000000005</v>
      </c>
      <c r="R44" s="2131"/>
      <c r="S44" s="2138">
        <f>IF(Q44="n/a","n/a",Q44^2)</f>
        <v>0.45968400000000004</v>
      </c>
      <c r="T44" s="2138">
        <f>IF(OR(K44="n/a",S44="n/a"),"n/a",IF(H44=0,0,IF(M44=0,(LN(K44/H44)+((O44+(S44/2))*N44))/((S44*N44)^0.5),(LN(K44/H44)+((O44-M44+(S44/2))*N44))/((S44*N44)^0.5))))</f>
        <v>6.4872614086514311</v>
      </c>
      <c r="U44" s="2139">
        <f>IF(T44="n/a","n/a",IF(H44=0,0,T44-(S44*N44)^0.5))</f>
        <v>5.5483334276940752</v>
      </c>
      <c r="V44" s="2139">
        <f>IF(OR(T44="n/a",S44="n/a"),"n/a",IF(H44=0,0,NORMSDIST(T44)))</f>
        <v>0.99999999995629474</v>
      </c>
      <c r="W44" s="2139">
        <f>IF(OR(U44="n/a",S44="n/a"),"n/a",IF(H44=0,0,NORMSDIST(U44)))</f>
        <v>0.99999998557972636</v>
      </c>
      <c r="X44" s="2139">
        <f>IF(OR(K44="n/a",S44="n/a"),"n/a",IF(M44=0,(K44*V44)-((H44*EXP(1)^(-O44*N44))*W44),(K44*(2.718^(-M44*N44))*V44)-(H44*(2.718^(-O44*N44))*W44)))</f>
        <v>42.647265065870663</v>
      </c>
      <c r="Y44" s="2140">
        <f>IF(LEN(B44)&gt;0,IF(H44=0,Q44,IF(ISERROR(Q44/((K44/X44)*V44)),"n/a",Q44/((K44/X44)*V44))))</f>
        <v>0.67561578746954964</v>
      </c>
    </row>
    <row r="45" spans="2:35" s="1002" customFormat="1" ht="14.85" hidden="1" customHeight="1" outlineLevel="1">
      <c r="P45" s="1920"/>
    </row>
    <row r="46" spans="2:35" s="1002" customFormat="1" ht="14.85" customHeight="1" collapsed="1">
      <c r="B46" s="2128" t="str">
        <f>B44</f>
        <v>Trucode Gene Repair, Inc.</v>
      </c>
      <c r="C46" s="2129" t="s">
        <v>249</v>
      </c>
      <c r="D46" s="2130">
        <f>(PWERM!B177-PWERM!B129)/1000</f>
        <v>25.540442656150042</v>
      </c>
      <c r="E46" s="2130">
        <f>H44+(PWERM!B129/1000)</f>
        <v>17.257322363849958</v>
      </c>
      <c r="F46" s="2131"/>
      <c r="G46" s="2131"/>
      <c r="H46" s="2190">
        <f t="shared" ref="H46" si="19">SUM(E46:G46)</f>
        <v>17.257322363849958</v>
      </c>
      <c r="I46" s="2132">
        <f>K46+J46</f>
        <v>42.79776502</v>
      </c>
      <c r="J46" s="2131"/>
      <c r="K46" s="2141">
        <f>K44</f>
        <v>42.79776502</v>
      </c>
      <c r="L46" s="2131"/>
      <c r="M46" s="2143">
        <f>M44</f>
        <v>0</v>
      </c>
      <c r="N46" s="2134">
        <f>N$6</f>
        <v>1.9178082191780821</v>
      </c>
      <c r="O46" s="2135">
        <f>O$6</f>
        <v>2.4582191780821917E-2</v>
      </c>
      <c r="P46" s="2136"/>
      <c r="Q46" s="2137">
        <v>0.88596017288425599</v>
      </c>
      <c r="R46" s="2131"/>
      <c r="S46" s="2138">
        <f>IF(Q46="n/a","n/a",Q46^2)</f>
        <v>0.78492542793710074</v>
      </c>
      <c r="T46" s="2138">
        <f>IF(OR(K46="n/a",S46="n/a"),"n/a",IF(H46=0,0,IF(M46=0,(LN(K46/H46)+((O46+(S46/2))*N46))/((S46*N46)^0.5),(LN(K46/H46)+((O46-M46+(S46/2))*N46))/((S46*N46)^0.5))))</f>
        <v>1.3921521891231152</v>
      </c>
      <c r="U46" s="2139">
        <f>IF(T46="n/a","n/a",IF(H46=0,0,T46-(S46*N46)^0.5))</f>
        <v>0.16523066060564506</v>
      </c>
      <c r="V46" s="2139">
        <f>IF(OR(T46="n/a",S46="n/a"),"n/a",IF(H46=0,0,NORMSDIST(T46)))</f>
        <v>0.91806184138377311</v>
      </c>
      <c r="W46" s="2139">
        <f>IF(OR(U46="n/a",S46="n/a"),"n/a",IF(H46=0,0,NORMSDIST(U46)))</f>
        <v>0.56561878337297533</v>
      </c>
      <c r="X46" s="2139">
        <f>IF(OR(K46="n/a",S46="n/a"),"n/a",IF(M46=0,(K46*V46)-((H46*EXP(1)^(-O46*N46))*W46),(K46*(2.718^(-M46*N46))*V46)-(H46*(2.718^(-O46*N46))*W46)))</f>
        <v>29.979425514755505</v>
      </c>
      <c r="Y46" s="2140">
        <f>IF(LEN(B46)&gt;0,IF(H46=0,Q46,IF(ISERROR(Q46/((K46/X46)*V46)),"n/a",Q46/((K46/X46)*V46))))</f>
        <v>0.67599654928912778</v>
      </c>
    </row>
    <row r="47" spans="2:35" s="1002" customFormat="1" ht="14.85" customHeight="1">
      <c r="P47" s="1920"/>
    </row>
    <row r="48" spans="2:35" s="1002" customFormat="1" ht="14.85" customHeight="1">
      <c r="B48" s="2084" t="s">
        <v>86</v>
      </c>
      <c r="P48" s="1920"/>
    </row>
    <row r="49" spans="1:27" ht="14.85" customHeight="1">
      <c r="A49" s="280" t="s">
        <v>250</v>
      </c>
      <c r="B49" s="388" t="s">
        <v>2925</v>
      </c>
    </row>
    <row r="50" spans="1:27" s="282" customFormat="1" ht="14.85" customHeight="1">
      <c r="A50" s="280" t="s">
        <v>249</v>
      </c>
      <c r="B50" s="388" t="s">
        <v>4246</v>
      </c>
      <c r="C50" s="234"/>
      <c r="D50" s="234"/>
      <c r="E50" s="234"/>
      <c r="F50" s="234"/>
      <c r="G50" s="234"/>
      <c r="H50" s="234"/>
      <c r="I50" s="234"/>
      <c r="J50" s="234"/>
      <c r="K50" s="234"/>
      <c r="L50" s="234"/>
      <c r="M50" s="234"/>
      <c r="N50" s="234"/>
      <c r="O50" s="234"/>
      <c r="P50" s="435"/>
      <c r="Q50" s="234"/>
      <c r="R50" s="234"/>
      <c r="S50" s="234"/>
      <c r="T50" s="234"/>
      <c r="U50" s="234"/>
      <c r="V50" s="234"/>
      <c r="W50" s="234"/>
      <c r="X50" s="234"/>
      <c r="Y50" s="234"/>
      <c r="Z50" s="234"/>
      <c r="AA50" s="234"/>
    </row>
    <row r="51" spans="1:27" ht="14.85" customHeight="1"/>
    <row r="52" spans="1:27" ht="14.85" customHeight="1">
      <c r="B52" s="279" t="s">
        <v>116</v>
      </c>
    </row>
    <row r="53" spans="1:27" ht="14.85" customHeight="1"/>
    <row r="54" spans="1:27" ht="14.85" customHeight="1">
      <c r="B54" s="234" t="s">
        <v>1416</v>
      </c>
    </row>
    <row r="55" spans="1:27" ht="14.85" customHeight="1">
      <c r="B55" s="234" t="s">
        <v>1417</v>
      </c>
    </row>
    <row r="56" spans="1:27" ht="14.85" customHeight="1">
      <c r="B56" s="234" t="s">
        <v>1418</v>
      </c>
    </row>
    <row r="57" spans="1:27" ht="14.85" customHeight="1">
      <c r="B57" s="234" t="s">
        <v>1419</v>
      </c>
    </row>
    <row r="58" spans="1:27" ht="14.85" customHeight="1">
      <c r="B58" s="234" t="s">
        <v>1420</v>
      </c>
    </row>
    <row r="59" spans="1:27" ht="14.85" customHeight="1">
      <c r="B59" s="234" t="s">
        <v>1421</v>
      </c>
    </row>
    <row r="60" spans="1:27" ht="14.85" customHeight="1">
      <c r="B60" s="234" t="s">
        <v>1422</v>
      </c>
    </row>
    <row r="61" spans="1:27" ht="14.85" customHeight="1"/>
    <row r="62" spans="1:27" ht="14.85" customHeight="1">
      <c r="B62" s="234" t="s">
        <v>1423</v>
      </c>
    </row>
    <row r="63" spans="1:27" ht="14.85" customHeight="1">
      <c r="B63" s="234" t="s">
        <v>1424</v>
      </c>
    </row>
    <row r="64" spans="1:27"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273" priority="8" operator="equal">
      <formula>"(Invalid Identifier)"</formula>
    </cfRule>
  </conditionalFormatting>
  <conditionalFormatting sqref="B4:I4">
    <cfRule type="cellIs" dxfId="272" priority="7" stopIfTrue="1" operator="equal">
      <formula>"input"</formula>
    </cfRule>
  </conditionalFormatting>
  <conditionalFormatting sqref="J4">
    <cfRule type="cellIs" dxfId="271" priority="5" stopIfTrue="1" operator="equal">
      <formula>"input"</formula>
    </cfRule>
  </conditionalFormatting>
  <conditionalFormatting sqref="J4">
    <cfRule type="cellIs" dxfId="270" priority="6" stopIfTrue="1" operator="equal">
      <formula>"input"</formula>
    </cfRule>
  </conditionalFormatting>
  <conditionalFormatting sqref="K4:X4">
    <cfRule type="cellIs" dxfId="269" priority="3" stopIfTrue="1" operator="equal">
      <formula>"input"</formula>
    </cfRule>
  </conditionalFormatting>
  <conditionalFormatting sqref="K4:X4">
    <cfRule type="cellIs" dxfId="268" priority="4" stopIfTrue="1" operator="equal">
      <formula>"input"</formula>
    </cfRule>
  </conditionalFormatting>
  <conditionalFormatting sqref="Y4">
    <cfRule type="cellIs" dxfId="267" priority="1" stopIfTrue="1" operator="equal">
      <formula>"input"</formula>
    </cfRule>
  </conditionalFormatting>
  <conditionalFormatting sqref="Y4">
    <cfRule type="cellIs" dxfId="266"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70"/>
  <dimension ref="A1:AI759"/>
  <sheetViews>
    <sheetView showGridLines="0" view="pageBreakPreview" topLeftCell="A24" zoomScaleNormal="100" zoomScaleSheetLayoutView="100" workbookViewId="0">
      <selection activeCell="Q47" sqref="Q47"/>
    </sheetView>
  </sheetViews>
  <sheetFormatPr defaultRowHeight="14.25" outlineLevelRow="1" outlineLevelCol="1"/>
  <cols>
    <col min="1" max="1" width="4.5" style="234" customWidth="1"/>
    <col min="2" max="2" width="42.83203125" style="234" customWidth="1"/>
    <col min="3" max="3" width="3.5" style="234" customWidth="1"/>
    <col min="4" max="4" width="13.332031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Exhibit H.3</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tr">
        <f>"Asset Volatility ("&amp;TEXT('PWERM DLOM'!E6,"")&amp;")"</f>
        <v>Asset Volatility (IPO - Phase II)</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'PWERM DLOM'!E10</f>
        <v>3.6657534246575341</v>
      </c>
      <c r="O6" s="440">
        <f>'Risk-Free Rates'!E35</f>
        <v>2.4299999999999999E-2</v>
      </c>
      <c r="Q6" s="268">
        <f>HLOOKUP(ROUND(N6,0),'Equity Vol'!$D$8:$K$8,1,TRUE)</f>
        <v>4</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row r="10" spans="2:35" ht="14.85" customHeight="1">
      <c r="B10" s="1918" t="s">
        <v>4046</v>
      </c>
      <c r="C10" s="1002"/>
      <c r="D10" s="1002"/>
      <c r="E10" s="1002"/>
      <c r="F10" s="1002"/>
      <c r="G10" s="1002"/>
      <c r="H10" s="1002"/>
      <c r="I10" s="1002"/>
      <c r="J10" s="1002"/>
      <c r="K10" s="1002"/>
      <c r="L10" s="1002"/>
      <c r="M10" s="1002"/>
      <c r="N10" s="1002"/>
      <c r="O10" s="1002"/>
      <c r="P10" s="1920"/>
      <c r="Q10" s="1002"/>
      <c r="R10" s="1002"/>
      <c r="S10" s="1002"/>
      <c r="T10" s="1002"/>
      <c r="U10" s="1002"/>
      <c r="V10" s="1002"/>
      <c r="W10" s="1002"/>
      <c r="X10" s="1002"/>
      <c r="Y10" s="1002"/>
    </row>
    <row r="11" spans="2:35" s="1002" customFormat="1" ht="14.85" customHeight="1">
      <c r="B11" s="1002" t="str">
        <f>'Comp.1'!B11</f>
        <v>Alnylam Pharmaceuticals, Inc.</v>
      </c>
      <c r="D11" s="1922">
        <f>'Beta Calc'!K11</f>
        <v>8868.9653999999991</v>
      </c>
      <c r="E11" s="1922">
        <f>'Beta Calc'!L11</f>
        <v>30</v>
      </c>
      <c r="F11" s="1922" t="str">
        <f>'Beta Calc'!M11</f>
        <v>n/a</v>
      </c>
      <c r="G11" s="1922" t="str">
        <f>'Beta Calc'!N11</f>
        <v>n/a</v>
      </c>
      <c r="H11" s="1922">
        <f>SUM(E11:G11)</f>
        <v>30</v>
      </c>
      <c r="I11" s="1922">
        <f>SUM(D11:G11)</f>
        <v>8898.9653999999991</v>
      </c>
      <c r="J11" s="1922">
        <f>'Beta Calc'!Q11</f>
        <v>1236.8340000000001</v>
      </c>
      <c r="K11" s="1922">
        <f>I11-J11</f>
        <v>7662.1313999999993</v>
      </c>
      <c r="M11" s="2070">
        <f>IFERROR('Capital IQ Sheet-GPC'!AT13,"n/a")</f>
        <v>0</v>
      </c>
      <c r="N11" s="1922">
        <f t="shared" ref="N11:O35" si="0">N$6</f>
        <v>3.6657534246575341</v>
      </c>
      <c r="O11" s="2085">
        <f t="shared" si="0"/>
        <v>2.4299999999999999E-2</v>
      </c>
      <c r="P11" s="2086"/>
      <c r="Q11" s="2087">
        <f>IFERROR(HLOOKUP($Q$6,'Equity Vol'!$B$8:$K11,ROWS('Equity Vol'!$C$8:$C11),FALSE),"n/a")</f>
        <v>0.67742114470135883</v>
      </c>
      <c r="R11" s="2088"/>
      <c r="S11" s="2089">
        <f>IFERROR(IF(Q11="n/a","n/a",Q11^2),"n/a")</f>
        <v>0.45889940728849937</v>
      </c>
      <c r="T11" s="2089">
        <f t="shared" ref="T11:T35" si="1">IF(OR(K11="n/a",S11="n/a"),"n/a",IF(H11=0,0,IF(M11=0,(LN(K11/H11)+((O11+(S11/2))*N11))/((S11*N11)^0.5),(LN(K11/H11)+((O11-M11+(S11/2))*N11))/((S11*N11)^0.5))))</f>
        <v>4.9907679446392796</v>
      </c>
      <c r="U11" s="2090">
        <f t="shared" ref="U11:U35" si="2">IF(T11="n/a","n/a",IF(H11=0,0,T11-(S11*N11)^0.5))</f>
        <v>3.693766759658661</v>
      </c>
      <c r="V11" s="2090">
        <f t="shared" ref="V11:V35" si="3">IF(OR(T11="n/a",S11="n/a"),"n/a",IF(H11=0,0,NORMSDIST(T11)))</f>
        <v>0.99999969930143606</v>
      </c>
      <c r="W11" s="2090">
        <f t="shared" ref="W11:W35" si="4">IF(OR(U11="n/a",S11="n/a"),"n/a",IF(H11=0,0,NORMSDIST(U11)))</f>
        <v>0.99988952175776336</v>
      </c>
      <c r="X11" s="1351">
        <f t="shared" ref="X11:X35" si="5">IF(OR(K11="n/a",S11="n/a"),"n/a",IF(M11=0,(K11*V11)-((H11*EXP(1)^(-O11*N11))*W11),(K11*(2.718^(-M11*N11))*V11)-(H11*(2.718^(-O11*N11))*W11)))</f>
        <v>7634.6888960729393</v>
      </c>
      <c r="Y11" s="2087">
        <f>IFERROR(IF(LEN(B11)&gt;0,IF(H11=0,Q11,IF(ISERROR(Q11/((K11/X11)*V11)),"n/a",Q11/((K11/X11)*V11)))),"n/a")</f>
        <v>0.67499511253484412</v>
      </c>
      <c r="AA11" s="1924" t="str">
        <f>IF('MASTER PubCo Inputs'!B28=0,"",'MASTER PubCo Inputs'!B28)</f>
        <v>NasdaqGS:ALNY</v>
      </c>
      <c r="AB11" s="1922">
        <f>'Beta Calc'!Z11</f>
        <v>7662.1313899999996</v>
      </c>
      <c r="AC11" s="2091">
        <f t="shared" ref="AC11:AC35" si="6">K11-AB11</f>
        <v>9.9999997473787516E-6</v>
      </c>
      <c r="AI11" s="2092"/>
    </row>
    <row r="12" spans="2:35" s="1002" customFormat="1" ht="14.85" customHeight="1">
      <c r="B12" s="1002" t="str">
        <f>'Comp.1'!B12</f>
        <v>bluebird bio, Inc.</v>
      </c>
      <c r="D12" s="1922">
        <f>'Beta Calc'!K12</f>
        <v>7297.8752599999998</v>
      </c>
      <c r="E12" s="1922">
        <f>'Beta Calc'!L12</f>
        <v>155.03399999999999</v>
      </c>
      <c r="F12" s="1922" t="str">
        <f>'Beta Calc'!M12</f>
        <v>n/a</v>
      </c>
      <c r="G12" s="1922" t="str">
        <f>'Beta Calc'!N12</f>
        <v>n/a</v>
      </c>
      <c r="H12" s="1922">
        <f t="shared" ref="H12:H35" si="7">SUM(E12:G12)</f>
        <v>155.03399999999999</v>
      </c>
      <c r="I12" s="1922">
        <f t="shared" ref="I12:I35" si="8">SUM(D12:G12)</f>
        <v>7452.9092599999994</v>
      </c>
      <c r="J12" s="1922">
        <f>'Beta Calc'!Q12</f>
        <v>1695.2950000000001</v>
      </c>
      <c r="K12" s="1922">
        <f t="shared" ref="K12:K35" si="9">I12-J12</f>
        <v>5757.6142599999994</v>
      </c>
      <c r="M12" s="2070">
        <f>IFERROR('Capital IQ Sheet-GPC'!AT14,"n/a")</f>
        <v>0</v>
      </c>
      <c r="N12" s="1922">
        <f t="shared" si="0"/>
        <v>3.6657534246575341</v>
      </c>
      <c r="O12" s="2085">
        <f t="shared" si="0"/>
        <v>2.4299999999999999E-2</v>
      </c>
      <c r="P12" s="2086"/>
      <c r="Q12" s="2087">
        <f>IFERROR(HLOOKUP($Q$6,'Equity Vol'!$B$8:$K12,ROWS('Equity Vol'!$C$8:$C12),FALSE),"n/a")</f>
        <v>0.68241342423020646</v>
      </c>
      <c r="R12" s="2088"/>
      <c r="S12" s="2089">
        <f t="shared" ref="S12:S35" si="10">IFERROR(IF(Q12="n/a","n/a",Q12^2),"n/a")</f>
        <v>0.46568808156959574</v>
      </c>
      <c r="T12" s="2089">
        <f t="shared" si="1"/>
        <v>3.4879856144011026</v>
      </c>
      <c r="U12" s="2090">
        <f t="shared" si="2"/>
        <v>2.1814261324654569</v>
      </c>
      <c r="V12" s="2090">
        <f t="shared" si="3"/>
        <v>0.99975666286858866</v>
      </c>
      <c r="W12" s="2090">
        <f t="shared" si="4"/>
        <v>0.98542404374599735</v>
      </c>
      <c r="X12" s="1351">
        <f t="shared" si="5"/>
        <v>5616.4592639237571</v>
      </c>
      <c r="Y12" s="2087">
        <f t="shared" ref="Y12:Y35" si="11">IFERROR(IF(LEN(B12)&gt;0,IF(H12=0,Q12,IF(ISERROR(Q12/((K12/X12)*V12)),"n/a",Q12/((K12/X12)*V12)))),"n/a")</f>
        <v>0.66584524456417638</v>
      </c>
      <c r="AA12" s="1924" t="str">
        <f>IF('MASTER PubCo Inputs'!B29=0,"",'MASTER PubCo Inputs'!B29)</f>
        <v>NasdaqGS:BLUE</v>
      </c>
      <c r="AB12" s="1922">
        <f>'Beta Calc'!Z12</f>
        <v>5757.6142600000003</v>
      </c>
      <c r="AC12" s="2091">
        <f t="shared" si="6"/>
        <v>0</v>
      </c>
      <c r="AI12" s="2092"/>
    </row>
    <row r="13" spans="2:35" s="1002" customFormat="1" ht="14.85" customHeight="1">
      <c r="B13" s="1002" t="str">
        <f>'Comp.1'!B13</f>
        <v>Ironwood Pharmaceuticals, Inc.</v>
      </c>
      <c r="D13" s="1922">
        <f>'Beta Calc'!K13</f>
        <v>2104.44911</v>
      </c>
      <c r="E13" s="1922">
        <f>'Beta Calc'!L13</f>
        <v>409.30599999999998</v>
      </c>
      <c r="F13" s="1922" t="str">
        <f>'Beta Calc'!M13</f>
        <v>n/a</v>
      </c>
      <c r="G13" s="1922" t="str">
        <f>'Beta Calc'!N13</f>
        <v>n/a</v>
      </c>
      <c r="H13" s="1922">
        <f t="shared" si="7"/>
        <v>409.30599999999998</v>
      </c>
      <c r="I13" s="1922">
        <f t="shared" si="8"/>
        <v>2513.7551100000001</v>
      </c>
      <c r="J13" s="1922">
        <f>'Beta Calc'!Q13</f>
        <v>161.398</v>
      </c>
      <c r="K13" s="1922">
        <f t="shared" si="9"/>
        <v>2352.3571099999999</v>
      </c>
      <c r="M13" s="2070">
        <f>IFERROR('Capital IQ Sheet-GPC'!AT15,"n/a")</f>
        <v>0</v>
      </c>
      <c r="N13" s="1922">
        <f t="shared" si="0"/>
        <v>3.6657534246575341</v>
      </c>
      <c r="O13" s="2085">
        <f t="shared" si="0"/>
        <v>2.4299999999999999E-2</v>
      </c>
      <c r="P13" s="2086"/>
      <c r="Q13" s="2087">
        <f>IFERROR(HLOOKUP($Q$6,'Equity Vol'!$B$8:$K13,ROWS('Equity Vol'!$C$8:$C13),FALSE),"n/a")</f>
        <v>0.43862245376883774</v>
      </c>
      <c r="R13" s="2088"/>
      <c r="S13" s="2089">
        <f t="shared" si="10"/>
        <v>0.19238965695019619</v>
      </c>
      <c r="T13" s="2089">
        <f t="shared" si="1"/>
        <v>2.6082775586270484</v>
      </c>
      <c r="U13" s="2090">
        <f t="shared" si="2"/>
        <v>1.7684841055483345</v>
      </c>
      <c r="V13" s="2090">
        <f t="shared" si="3"/>
        <v>0.99545004328924958</v>
      </c>
      <c r="W13" s="2090">
        <f t="shared" si="4"/>
        <v>0.96150999646424617</v>
      </c>
      <c r="X13" s="1351">
        <f t="shared" si="5"/>
        <v>1981.6428679838045</v>
      </c>
      <c r="Y13" s="2087">
        <f t="shared" si="11"/>
        <v>0.37118765713506935</v>
      </c>
      <c r="AA13" s="1924" t="str">
        <f>IF('MASTER PubCo Inputs'!B30=0,"",'MASTER PubCo Inputs'!B30)</f>
        <v>NasdaqGS:IRWD</v>
      </c>
      <c r="AB13" s="1922">
        <f>'Beta Calc'!Z13</f>
        <v>2352.3571099999999</v>
      </c>
      <c r="AC13" s="2091">
        <f t="shared" si="6"/>
        <v>0</v>
      </c>
      <c r="AI13" s="2092"/>
    </row>
    <row r="14" spans="2:35" s="1002" customFormat="1" ht="14.85" customHeight="1">
      <c r="B14" s="1002" t="str">
        <f>'Comp.1'!B14</f>
        <v>Global Blood Therapeutics, Inc.</v>
      </c>
      <c r="D14" s="1922">
        <f>'Beta Calc'!K14</f>
        <v>2660.4172400000002</v>
      </c>
      <c r="E14" s="1922">
        <f>'Beta Calc'!L14</f>
        <v>0</v>
      </c>
      <c r="F14" s="1922" t="str">
        <f>'Beta Calc'!M14</f>
        <v>n/a</v>
      </c>
      <c r="G14" s="1922" t="str">
        <f>'Beta Calc'!N14</f>
        <v>n/a</v>
      </c>
      <c r="H14" s="1922">
        <f t="shared" si="7"/>
        <v>0</v>
      </c>
      <c r="I14" s="1922">
        <f t="shared" si="8"/>
        <v>2660.4172400000002</v>
      </c>
      <c r="J14" s="1922">
        <f>'Beta Calc'!Q14</f>
        <v>383.22800000000001</v>
      </c>
      <c r="K14" s="1922">
        <f t="shared" si="9"/>
        <v>2277.1892400000002</v>
      </c>
      <c r="M14" s="2070">
        <f>IFERROR('Capital IQ Sheet-GPC'!AT16,"n/a")</f>
        <v>0</v>
      </c>
      <c r="N14" s="1922">
        <f t="shared" si="0"/>
        <v>3.6657534246575341</v>
      </c>
      <c r="O14" s="2085">
        <f t="shared" si="0"/>
        <v>2.4299999999999999E-2</v>
      </c>
      <c r="P14" s="2086"/>
      <c r="Q14" s="2087">
        <f>IFERROR(HLOOKUP($Q$6,'Equity Vol'!$B$8:$K14,ROWS('Equity Vol'!$C$8:$C14),FALSE),"n/a")</f>
        <v>0.77604783372898034</v>
      </c>
      <c r="R14" s="2088"/>
      <c r="S14" s="2089">
        <f t="shared" si="10"/>
        <v>0.60225024023544316</v>
      </c>
      <c r="T14" s="2089">
        <f t="shared" si="1"/>
        <v>0</v>
      </c>
      <c r="U14" s="2090">
        <f t="shared" si="2"/>
        <v>0</v>
      </c>
      <c r="V14" s="2090">
        <f t="shared" si="3"/>
        <v>0</v>
      </c>
      <c r="W14" s="2090">
        <f t="shared" si="4"/>
        <v>0</v>
      </c>
      <c r="X14" s="1351">
        <f t="shared" si="5"/>
        <v>0</v>
      </c>
      <c r="Y14" s="2087">
        <f t="shared" si="11"/>
        <v>0.77604783372898034</v>
      </c>
      <c r="AA14" s="1924" t="str">
        <f>IF('MASTER PubCo Inputs'!B31=0,"",'MASTER PubCo Inputs'!B31)</f>
        <v>NasdaqGS:GBT</v>
      </c>
      <c r="AB14" s="1922">
        <f>'Beta Calc'!Z14</f>
        <v>2277.1892400000002</v>
      </c>
      <c r="AC14" s="2091">
        <f t="shared" si="6"/>
        <v>0</v>
      </c>
      <c r="AI14" s="2092"/>
    </row>
    <row r="15" spans="2:35" s="1002" customFormat="1" ht="14.85" customHeight="1">
      <c r="B15" s="1002" t="str">
        <f>'Comp.1'!B15</f>
        <v>Acceleron Pharma Inc.</v>
      </c>
      <c r="D15" s="1922">
        <f>'Beta Calc'!K15</f>
        <v>2185.0571599999998</v>
      </c>
      <c r="E15" s="1922">
        <f>'Beta Calc'!L15</f>
        <v>0</v>
      </c>
      <c r="F15" s="1922" t="str">
        <f>'Beta Calc'!M15</f>
        <v>n/a</v>
      </c>
      <c r="G15" s="1922" t="str">
        <f>'Beta Calc'!N15</f>
        <v>n/a</v>
      </c>
      <c r="H15" s="1922">
        <f t="shared" si="7"/>
        <v>0</v>
      </c>
      <c r="I15" s="1922">
        <f t="shared" si="8"/>
        <v>2185.0571599999998</v>
      </c>
      <c r="J15" s="1922">
        <f>'Beta Calc'!Q15</f>
        <v>307.97199999999998</v>
      </c>
      <c r="K15" s="1922">
        <f t="shared" si="9"/>
        <v>1877.0851599999999</v>
      </c>
      <c r="M15" s="2070">
        <f>IFERROR('Capital IQ Sheet-GPC'!AT17,"n/a")</f>
        <v>0</v>
      </c>
      <c r="N15" s="1922">
        <f t="shared" si="0"/>
        <v>3.6657534246575341</v>
      </c>
      <c r="O15" s="2085">
        <f t="shared" si="0"/>
        <v>2.4299999999999999E-2</v>
      </c>
      <c r="P15" s="2086"/>
      <c r="Q15" s="2087">
        <f>IFERROR(HLOOKUP($Q$6,'Equity Vol'!$B$8:$K15,ROWS('Equity Vol'!$C$8:$C15),FALSE),"n/a")</f>
        <v>0.56506394177110653</v>
      </c>
      <c r="R15" s="2088"/>
      <c r="S15" s="2089">
        <f t="shared" si="10"/>
        <v>0.31929725828990047</v>
      </c>
      <c r="T15" s="2089">
        <f t="shared" si="1"/>
        <v>0</v>
      </c>
      <c r="U15" s="2090">
        <f t="shared" si="2"/>
        <v>0</v>
      </c>
      <c r="V15" s="2090">
        <f t="shared" si="3"/>
        <v>0</v>
      </c>
      <c r="W15" s="2090">
        <f t="shared" si="4"/>
        <v>0</v>
      </c>
      <c r="X15" s="1351">
        <f t="shared" si="5"/>
        <v>0</v>
      </c>
      <c r="Y15" s="2087">
        <f t="shared" si="11"/>
        <v>0.56506394177110653</v>
      </c>
      <c r="AA15" s="1924" t="str">
        <f>IF('MASTER PubCo Inputs'!B32=0,"",'MASTER PubCo Inputs'!B32)</f>
        <v>NasdaqGM:XLRN</v>
      </c>
      <c r="AB15" s="1922">
        <f>'Beta Calc'!Z15</f>
        <v>1877.0851600000001</v>
      </c>
      <c r="AC15" s="2091">
        <f t="shared" si="6"/>
        <v>0</v>
      </c>
      <c r="AI15" s="2092"/>
    </row>
    <row r="16" spans="2:35" s="1002" customFormat="1" ht="14.85" customHeight="1">
      <c r="B16" s="1002" t="str">
        <f>'Comp.1'!B16</f>
        <v>Spark Therapeutics, Inc.</v>
      </c>
      <c r="D16" s="1922">
        <f>'Beta Calc'!K16</f>
        <v>1805.0671400000001</v>
      </c>
      <c r="E16" s="1922">
        <f>'Beta Calc'!L16</f>
        <v>84.891000000000005</v>
      </c>
      <c r="F16" s="1922" t="str">
        <f>'Beta Calc'!M16</f>
        <v>n/a</v>
      </c>
      <c r="G16" s="1922" t="str">
        <f>'Beta Calc'!N16</f>
        <v>n/a</v>
      </c>
      <c r="H16" s="1922">
        <f t="shared" si="7"/>
        <v>84.891000000000005</v>
      </c>
      <c r="I16" s="1922">
        <f t="shared" si="8"/>
        <v>1889.9581400000002</v>
      </c>
      <c r="J16" s="1922">
        <f>'Beta Calc'!Q16</f>
        <v>590.476</v>
      </c>
      <c r="K16" s="1922">
        <f t="shared" si="9"/>
        <v>1299.4821400000001</v>
      </c>
      <c r="M16" s="2070">
        <f>IFERROR('Capital IQ Sheet-GPC'!AT18,"n/a")</f>
        <v>0</v>
      </c>
      <c r="N16" s="1922">
        <f t="shared" si="0"/>
        <v>3.6657534246575341</v>
      </c>
      <c r="O16" s="2085">
        <f t="shared" si="0"/>
        <v>2.4299999999999999E-2</v>
      </c>
      <c r="P16" s="2086"/>
      <c r="Q16" s="2087">
        <f>IFERROR(HLOOKUP($Q$6,'Equity Vol'!$B$8:$K16,ROWS('Equity Vol'!$C$8:$C16),FALSE),"n/a")</f>
        <v>0.70620405110079632</v>
      </c>
      <c r="R16" s="2088"/>
      <c r="S16" s="2089">
        <f t="shared" si="10"/>
        <v>0.49872416179117612</v>
      </c>
      <c r="T16" s="2089">
        <f t="shared" si="1"/>
        <v>2.7597846490067552</v>
      </c>
      <c r="U16" s="2090">
        <f t="shared" si="2"/>
        <v>1.4076752584449332</v>
      </c>
      <c r="V16" s="2090">
        <f t="shared" si="3"/>
        <v>0.99710802626477124</v>
      </c>
      <c r="W16" s="2090">
        <f t="shared" si="4"/>
        <v>0.92038637435568482</v>
      </c>
      <c r="X16" s="1351">
        <f t="shared" si="5"/>
        <v>1224.2504434290922</v>
      </c>
      <c r="Y16" s="2087">
        <f t="shared" si="11"/>
        <v>0.66724902434105393</v>
      </c>
      <c r="AA16" s="1924" t="str">
        <f>IF('MASTER PubCo Inputs'!B33=0,"",'MASTER PubCo Inputs'!B33)</f>
        <v>NasdaqGS:ONCE</v>
      </c>
      <c r="AB16" s="1922">
        <f>'Beta Calc'!Z16</f>
        <v>1299.4821300000001</v>
      </c>
      <c r="AC16" s="2091">
        <f t="shared" si="6"/>
        <v>9.9999999747524271E-6</v>
      </c>
      <c r="AI16" s="2092"/>
    </row>
    <row r="17" spans="2:35" s="1002" customFormat="1" ht="14.85" customHeight="1">
      <c r="B17" s="1002" t="str">
        <f>'Comp.1'!B17</f>
        <v>REGENXBIO Inc.</v>
      </c>
      <c r="D17" s="1922">
        <f>'Beta Calc'!K17</f>
        <v>1575.5421799999999</v>
      </c>
      <c r="E17" s="1922">
        <f>'Beta Calc'!L17</f>
        <v>0</v>
      </c>
      <c r="F17" s="1922" t="str">
        <f>'Beta Calc'!M17</f>
        <v>n/a</v>
      </c>
      <c r="G17" s="1922" t="str">
        <f>'Beta Calc'!N17</f>
        <v>n/a</v>
      </c>
      <c r="H17" s="1922">
        <f t="shared" si="7"/>
        <v>0</v>
      </c>
      <c r="I17" s="1922">
        <f t="shared" si="8"/>
        <v>1575.5421799999999</v>
      </c>
      <c r="J17" s="1922">
        <f>'Beta Calc'!Q17</f>
        <v>372.589</v>
      </c>
      <c r="K17" s="1922">
        <f t="shared" si="9"/>
        <v>1202.95318</v>
      </c>
      <c r="M17" s="2070">
        <f>IFERROR('Capital IQ Sheet-GPC'!AT19,"n/a")</f>
        <v>0</v>
      </c>
      <c r="N17" s="1922">
        <f t="shared" si="0"/>
        <v>3.6657534246575341</v>
      </c>
      <c r="O17" s="2085">
        <f t="shared" si="0"/>
        <v>2.4299999999999999E-2</v>
      </c>
      <c r="P17" s="2086"/>
      <c r="Q17" s="2087">
        <f>IFERROR(HLOOKUP($Q$6,'Equity Vol'!$B$8:$K17,ROWS('Equity Vol'!$C$8:$C17),FALSE),"n/a")</f>
        <v>0.69199779427093266</v>
      </c>
      <c r="R17" s="2088"/>
      <c r="S17" s="2089">
        <f t="shared" si="10"/>
        <v>0.47886094727583606</v>
      </c>
      <c r="T17" s="2089">
        <f t="shared" si="1"/>
        <v>0</v>
      </c>
      <c r="U17" s="2090">
        <f t="shared" si="2"/>
        <v>0</v>
      </c>
      <c r="V17" s="2090">
        <f t="shared" si="3"/>
        <v>0</v>
      </c>
      <c r="W17" s="2090">
        <f t="shared" si="4"/>
        <v>0</v>
      </c>
      <c r="X17" s="1351">
        <f t="shared" si="5"/>
        <v>0</v>
      </c>
      <c r="Y17" s="2087">
        <f t="shared" si="11"/>
        <v>0.69199779427093266</v>
      </c>
      <c r="AA17" s="1924" t="str">
        <f>IF('MASTER PubCo Inputs'!B34=0,"",'MASTER PubCo Inputs'!B34)</f>
        <v>NasdaqGS:RGNX</v>
      </c>
      <c r="AB17" s="1922">
        <f>'Beta Calc'!Z17</f>
        <v>1202.95318</v>
      </c>
      <c r="AC17" s="2091">
        <f t="shared" si="6"/>
        <v>0</v>
      </c>
      <c r="AI17" s="2092"/>
    </row>
    <row r="18" spans="2:35" s="1002" customFormat="1" ht="14.85" customHeight="1">
      <c r="B18" s="1002" t="str">
        <f>'Comp.1'!B18</f>
        <v>uniQure N.V.</v>
      </c>
      <c r="D18" s="1922">
        <f>'Beta Calc'!K18</f>
        <v>1275.6593700000001</v>
      </c>
      <c r="E18" s="1922">
        <f>'Beta Calc'!L18</f>
        <v>20.707999999999998</v>
      </c>
      <c r="F18" s="1922" t="str">
        <f>'Beta Calc'!M18</f>
        <v>n/a</v>
      </c>
      <c r="G18" s="1922" t="str">
        <f>'Beta Calc'!N18</f>
        <v>n/a</v>
      </c>
      <c r="H18" s="1922">
        <f t="shared" si="7"/>
        <v>20.707999999999998</v>
      </c>
      <c r="I18" s="1922">
        <f t="shared" si="8"/>
        <v>1296.3673700000002</v>
      </c>
      <c r="J18" s="1922">
        <f>'Beta Calc'!Q18</f>
        <v>239.54599999999999</v>
      </c>
      <c r="K18" s="1922">
        <f t="shared" si="9"/>
        <v>1056.8213700000001</v>
      </c>
      <c r="M18" s="2070">
        <f>IFERROR('Capital IQ Sheet-GPC'!AT20,"n/a")</f>
        <v>0</v>
      </c>
      <c r="N18" s="1922">
        <f t="shared" si="0"/>
        <v>3.6657534246575341</v>
      </c>
      <c r="O18" s="2085">
        <f t="shared" si="0"/>
        <v>2.4299999999999999E-2</v>
      </c>
      <c r="P18" s="2086"/>
      <c r="Q18" s="2087">
        <f>IFERROR(HLOOKUP($Q$6,'Equity Vol'!$B$8:$K18,ROWS('Equity Vol'!$C$8:$C18),FALSE),"n/a")</f>
        <v>0.74709905352006156</v>
      </c>
      <c r="R18" s="2088"/>
      <c r="S18" s="2089">
        <f t="shared" si="10"/>
        <v>0.55815699577057176</v>
      </c>
      <c r="T18" s="2089">
        <f t="shared" si="1"/>
        <v>3.5266952038761112</v>
      </c>
      <c r="U18" s="2090">
        <f t="shared" si="2"/>
        <v>2.0962875980719007</v>
      </c>
      <c r="V18" s="2090">
        <f t="shared" si="3"/>
        <v>0.99978960957106133</v>
      </c>
      <c r="W18" s="2090">
        <f t="shared" si="4"/>
        <v>0.98197165688297161</v>
      </c>
      <c r="X18" s="1351">
        <f t="shared" si="5"/>
        <v>1037.9973903255629</v>
      </c>
      <c r="Y18" s="2087">
        <f t="shared" si="11"/>
        <v>0.73394622708733259</v>
      </c>
      <c r="AA18" s="1924" t="str">
        <f>IF('MASTER PubCo Inputs'!B35=0,"",'MASTER PubCo Inputs'!B35)</f>
        <v>NasdaqGS:QURE</v>
      </c>
      <c r="AB18" s="1922">
        <f>'Beta Calc'!Z18</f>
        <v>1056.8213699999999</v>
      </c>
      <c r="AC18" s="2091">
        <f t="shared" si="6"/>
        <v>0</v>
      </c>
      <c r="AI18" s="2092"/>
    </row>
    <row r="19" spans="2:35" s="1002" customFormat="1" ht="14.85" customHeight="1">
      <c r="B19" s="1002" t="str">
        <f>'Comp.1'!B19</f>
        <v>Audentes Therapeutics, Inc.</v>
      </c>
      <c r="D19" s="1922">
        <f>'Beta Calc'!K19</f>
        <v>1058.70937</v>
      </c>
      <c r="E19" s="1922">
        <f>'Beta Calc'!L19</f>
        <v>0</v>
      </c>
      <c r="F19" s="1922" t="str">
        <f>'Beta Calc'!M19</f>
        <v>n/a</v>
      </c>
      <c r="G19" s="1922" t="str">
        <f>'Beta Calc'!N19</f>
        <v>n/a</v>
      </c>
      <c r="H19" s="1922">
        <f t="shared" si="7"/>
        <v>0</v>
      </c>
      <c r="I19" s="1922">
        <f t="shared" si="8"/>
        <v>1058.70937</v>
      </c>
      <c r="J19" s="1922">
        <f>'Beta Calc'!Q19</f>
        <v>280.68599999999998</v>
      </c>
      <c r="K19" s="1922">
        <f t="shared" si="9"/>
        <v>778.02337000000011</v>
      </c>
      <c r="M19" s="2070">
        <f>IFERROR('Capital IQ Sheet-GPC'!AT21,"n/a")</f>
        <v>0</v>
      </c>
      <c r="N19" s="1922">
        <f t="shared" si="0"/>
        <v>3.6657534246575341</v>
      </c>
      <c r="O19" s="2085">
        <f t="shared" si="0"/>
        <v>2.4299999999999999E-2</v>
      </c>
      <c r="P19" s="2086"/>
      <c r="Q19" s="2087">
        <f>IFERROR(HLOOKUP($Q$6,'Equity Vol'!$B$8:$K19,ROWS('Equity Vol'!$C$8:$C19),FALSE),"n/a")</f>
        <v>0.59768048017248299</v>
      </c>
      <c r="R19" s="2088"/>
      <c r="S19" s="2089">
        <f t="shared" si="10"/>
        <v>0.35722195637920984</v>
      </c>
      <c r="T19" s="2089">
        <f t="shared" si="1"/>
        <v>0</v>
      </c>
      <c r="U19" s="2090">
        <f t="shared" si="2"/>
        <v>0</v>
      </c>
      <c r="V19" s="2090">
        <f t="shared" si="3"/>
        <v>0</v>
      </c>
      <c r="W19" s="2090">
        <f t="shared" si="4"/>
        <v>0</v>
      </c>
      <c r="X19" s="1351">
        <f t="shared" si="5"/>
        <v>0</v>
      </c>
      <c r="Y19" s="2087">
        <f t="shared" si="11"/>
        <v>0.59768048017248299</v>
      </c>
      <c r="AA19" s="1924" t="str">
        <f>IF('MASTER PubCo Inputs'!B36=0,"",'MASTER PubCo Inputs'!B36)</f>
        <v>NasdaqGM:BOLD</v>
      </c>
      <c r="AB19" s="1922">
        <f>'Beta Calc'!Z19</f>
        <v>778.02337</v>
      </c>
      <c r="AC19" s="2091">
        <f t="shared" si="6"/>
        <v>0</v>
      </c>
      <c r="AI19" s="2092"/>
    </row>
    <row r="20" spans="2:35" s="1002" customFormat="1" ht="14.85" customHeight="1">
      <c r="B20" s="1002" t="str">
        <f>'Comp.1'!B20</f>
        <v>Sangamo Therapeutics, Inc.</v>
      </c>
      <c r="D20" s="1922">
        <f>'Beta Calc'!K20</f>
        <v>1193.4655700000001</v>
      </c>
      <c r="E20" s="1922">
        <f>'Beta Calc'!L20</f>
        <v>0</v>
      </c>
      <c r="F20" s="1922" t="str">
        <f>'Beta Calc'!M20</f>
        <v>n/a</v>
      </c>
      <c r="G20" s="1922" t="str">
        <f>'Beta Calc'!N20</f>
        <v>n/a</v>
      </c>
      <c r="H20" s="1922">
        <f t="shared" si="7"/>
        <v>0</v>
      </c>
      <c r="I20" s="1922">
        <f t="shared" si="8"/>
        <v>1193.4655700000001</v>
      </c>
      <c r="J20" s="1922">
        <f>'Beta Calc'!Q20</f>
        <v>458.57</v>
      </c>
      <c r="K20" s="1922">
        <f t="shared" si="9"/>
        <v>734.89557000000013</v>
      </c>
      <c r="M20" s="2070">
        <f>IFERROR('Capital IQ Sheet-GPC'!AT22,"n/a")</f>
        <v>0</v>
      </c>
      <c r="N20" s="1922">
        <f t="shared" si="0"/>
        <v>3.6657534246575341</v>
      </c>
      <c r="O20" s="2085">
        <f t="shared" si="0"/>
        <v>2.4299999999999999E-2</v>
      </c>
      <c r="P20" s="2086"/>
      <c r="Q20" s="2087">
        <f>IFERROR(HLOOKUP($Q$6,'Equity Vol'!$B$8:$K20,ROWS('Equity Vol'!$C$8:$C20),FALSE),"n/a")</f>
        <v>0.79008025868768383</v>
      </c>
      <c r="R20" s="2088"/>
      <c r="S20" s="2089">
        <f t="shared" si="10"/>
        <v>0.62422681516799738</v>
      </c>
      <c r="T20" s="2089">
        <f t="shared" si="1"/>
        <v>0</v>
      </c>
      <c r="U20" s="2090">
        <f t="shared" si="2"/>
        <v>0</v>
      </c>
      <c r="V20" s="2090">
        <f t="shared" si="3"/>
        <v>0</v>
      </c>
      <c r="W20" s="2090">
        <f t="shared" si="4"/>
        <v>0</v>
      </c>
      <c r="X20" s="1351">
        <f t="shared" si="5"/>
        <v>0</v>
      </c>
      <c r="Y20" s="2087">
        <f t="shared" si="11"/>
        <v>0.79008025868768383</v>
      </c>
      <c r="AA20" s="1924" t="str">
        <f>IF('MASTER PubCo Inputs'!B37=0,"",'MASTER PubCo Inputs'!B37)</f>
        <v>NasdaqGS:SGMO</v>
      </c>
      <c r="AB20" s="1922">
        <f>'Beta Calc'!Z20</f>
        <v>734.89557000000002</v>
      </c>
      <c r="AC20" s="2091">
        <f t="shared" si="6"/>
        <v>0</v>
      </c>
      <c r="AI20" s="2092"/>
    </row>
    <row r="21" spans="2:35" s="1002" customFormat="1" ht="14.85" customHeight="1">
      <c r="B21" s="1002" t="str">
        <f>'Comp.1'!B21</f>
        <v>Homology Medicines, Inc.</v>
      </c>
      <c r="D21" s="1922">
        <f>'Beta Calc'!K21</f>
        <v>756.27498000000003</v>
      </c>
      <c r="E21" s="1922">
        <f>'Beta Calc'!L21</f>
        <v>0</v>
      </c>
      <c r="F21" s="1922" t="str">
        <f>'Beta Calc'!M21</f>
        <v>n/a</v>
      </c>
      <c r="G21" s="1922" t="str">
        <f>'Beta Calc'!N21</f>
        <v>n/a</v>
      </c>
      <c r="H21" s="1922">
        <f t="shared" si="7"/>
        <v>0</v>
      </c>
      <c r="I21" s="1922">
        <f t="shared" si="8"/>
        <v>756.27498000000003</v>
      </c>
      <c r="J21" s="1922">
        <f>'Beta Calc'!Q21</f>
        <v>237.54401999999999</v>
      </c>
      <c r="K21" s="1922">
        <f t="shared" si="9"/>
        <v>518.7309600000001</v>
      </c>
      <c r="M21" s="2070">
        <f>IFERROR('Capital IQ Sheet-GPC'!AT23,"n/a")</f>
        <v>0</v>
      </c>
      <c r="N21" s="1922">
        <f t="shared" si="0"/>
        <v>3.6657534246575341</v>
      </c>
      <c r="O21" s="2085">
        <f t="shared" si="0"/>
        <v>2.4299999999999999E-2</v>
      </c>
      <c r="P21" s="2086"/>
      <c r="Q21" s="2087" t="str">
        <f>IFERROR(HLOOKUP($Q$6,'Equity Vol'!$B$8:$K21,ROWS('Equity Vol'!$C$8:$C21),FALSE),"n/a")</f>
        <v>NM</v>
      </c>
      <c r="R21" s="2088"/>
      <c r="S21" s="2089" t="str">
        <f t="shared" si="10"/>
        <v>n/a</v>
      </c>
      <c r="T21" s="2089" t="str">
        <f t="shared" si="1"/>
        <v>n/a</v>
      </c>
      <c r="U21" s="2090" t="str">
        <f t="shared" si="2"/>
        <v>n/a</v>
      </c>
      <c r="V21" s="2090" t="str">
        <f t="shared" si="3"/>
        <v>n/a</v>
      </c>
      <c r="W21" s="2090" t="str">
        <f t="shared" si="4"/>
        <v>n/a</v>
      </c>
      <c r="X21" s="1351" t="str">
        <f t="shared" si="5"/>
        <v>n/a</v>
      </c>
      <c r="Y21" s="2087" t="str">
        <f t="shared" si="11"/>
        <v>NM</v>
      </c>
      <c r="AA21" s="1924" t="str">
        <f>IF('MASTER PubCo Inputs'!B38=0,"",'MASTER PubCo Inputs'!B38)</f>
        <v>NasdaqGS:FIXX</v>
      </c>
      <c r="AB21" s="1922">
        <f>'Beta Calc'!Z21</f>
        <v>518.73095999999998</v>
      </c>
      <c r="AC21" s="2091">
        <f t="shared" si="6"/>
        <v>0</v>
      </c>
      <c r="AI21" s="2092"/>
    </row>
    <row r="22" spans="2:35" s="1002" customFormat="1" ht="14.85" customHeight="1">
      <c r="B22" s="1002" t="str">
        <f>'Comp.1'!B22</f>
        <v>Corbus Pharmaceuticals Holdings, Inc.</v>
      </c>
      <c r="D22" s="1922">
        <f>'Beta Calc'!K22</f>
        <v>473.53946999999999</v>
      </c>
      <c r="E22" s="1922">
        <f>'Beta Calc'!L22</f>
        <v>0</v>
      </c>
      <c r="F22" s="1922" t="str">
        <f>'Beta Calc'!M22</f>
        <v>n/a</v>
      </c>
      <c r="G22" s="1922" t="str">
        <f>'Beta Calc'!N22</f>
        <v>n/a</v>
      </c>
      <c r="H22" s="1922">
        <f t="shared" si="7"/>
        <v>0</v>
      </c>
      <c r="I22" s="1922">
        <f t="shared" si="8"/>
        <v>473.53946999999999</v>
      </c>
      <c r="J22" s="1922">
        <f>'Beta Calc'!Q22</f>
        <v>55.659350000000003</v>
      </c>
      <c r="K22" s="1922">
        <f t="shared" si="9"/>
        <v>417.88011999999998</v>
      </c>
      <c r="M22" s="2070">
        <f>IFERROR('Capital IQ Sheet-GPC'!AT24,"n/a")</f>
        <v>0</v>
      </c>
      <c r="N22" s="1922">
        <f t="shared" si="0"/>
        <v>3.6657534246575341</v>
      </c>
      <c r="O22" s="2085">
        <f t="shared" si="0"/>
        <v>2.4299999999999999E-2</v>
      </c>
      <c r="P22" s="2086"/>
      <c r="Q22" s="2087">
        <f>IFERROR(HLOOKUP($Q$6,'Equity Vol'!$B$8:$K22,ROWS('Equity Vol'!$C$8:$C22),FALSE),"n/a")</f>
        <v>0.82195391684459584</v>
      </c>
      <c r="R22" s="2088"/>
      <c r="S22" s="2089">
        <f t="shared" si="10"/>
        <v>0.67560824141617282</v>
      </c>
      <c r="T22" s="2089">
        <f t="shared" si="1"/>
        <v>0</v>
      </c>
      <c r="U22" s="2090">
        <f t="shared" si="2"/>
        <v>0</v>
      </c>
      <c r="V22" s="2090">
        <f t="shared" si="3"/>
        <v>0</v>
      </c>
      <c r="W22" s="2090">
        <f t="shared" si="4"/>
        <v>0</v>
      </c>
      <c r="X22" s="1351">
        <f t="shared" si="5"/>
        <v>0</v>
      </c>
      <c r="Y22" s="2087">
        <f t="shared" si="11"/>
        <v>0.82195391684459584</v>
      </c>
      <c r="AA22" s="1924" t="str">
        <f>IF('MASTER PubCo Inputs'!B39=0,"",'MASTER PubCo Inputs'!B39)</f>
        <v>NasdaqGM:CRBP</v>
      </c>
      <c r="AB22" s="1922">
        <f>'Beta Calc'!Z22</f>
        <v>417.88011999999998</v>
      </c>
      <c r="AC22" s="2091">
        <f t="shared" si="6"/>
        <v>0</v>
      </c>
      <c r="AI22" s="2092"/>
    </row>
    <row r="23" spans="2:35" s="1002" customFormat="1" ht="14.85" customHeight="1">
      <c r="B23" s="1002" t="str">
        <f>'Comp.1'!B23</f>
        <v>GlycoMimetics, Inc.</v>
      </c>
      <c r="D23" s="1922">
        <f>'Beta Calc'!K23</f>
        <v>483.13693999999998</v>
      </c>
      <c r="E23" s="1922">
        <f>'Beta Calc'!L23</f>
        <v>0</v>
      </c>
      <c r="F23" s="1922" t="str">
        <f>'Beta Calc'!M23</f>
        <v>n/a</v>
      </c>
      <c r="G23" s="1922" t="str">
        <f>'Beta Calc'!N23</f>
        <v>n/a</v>
      </c>
      <c r="H23" s="1922">
        <f t="shared" si="7"/>
        <v>0</v>
      </c>
      <c r="I23" s="1922">
        <f t="shared" si="8"/>
        <v>483.13693999999998</v>
      </c>
      <c r="J23" s="1922">
        <f>'Beta Calc'!Q23</f>
        <v>219.82863</v>
      </c>
      <c r="K23" s="1922">
        <f t="shared" si="9"/>
        <v>263.30831000000001</v>
      </c>
      <c r="M23" s="2070">
        <f>IFERROR('Capital IQ Sheet-GPC'!AT25,"n/a")</f>
        <v>0</v>
      </c>
      <c r="N23" s="1922">
        <f t="shared" si="0"/>
        <v>3.6657534246575341</v>
      </c>
      <c r="O23" s="2085">
        <f t="shared" si="0"/>
        <v>2.4299999999999999E-2</v>
      </c>
      <c r="P23" s="2086"/>
      <c r="Q23" s="2087">
        <f>IFERROR(HLOOKUP($Q$6,'Equity Vol'!$B$8:$K23,ROWS('Equity Vol'!$C$8:$C23),FALSE),"n/a")</f>
        <v>0.69953280830101872</v>
      </c>
      <c r="R23" s="2088"/>
      <c r="S23" s="2089">
        <f t="shared" si="10"/>
        <v>0.48934614988950981</v>
      </c>
      <c r="T23" s="2089">
        <f t="shared" si="1"/>
        <v>0</v>
      </c>
      <c r="U23" s="2090">
        <f t="shared" si="2"/>
        <v>0</v>
      </c>
      <c r="V23" s="2090">
        <f t="shared" si="3"/>
        <v>0</v>
      </c>
      <c r="W23" s="2090">
        <f t="shared" si="4"/>
        <v>0</v>
      </c>
      <c r="X23" s="1351">
        <f t="shared" si="5"/>
        <v>0</v>
      </c>
      <c r="Y23" s="2087">
        <f t="shared" si="11"/>
        <v>0.69953280830101872</v>
      </c>
      <c r="AA23" s="1924" t="str">
        <f>IF('MASTER PubCo Inputs'!B40=0,"",'MASTER PubCo Inputs'!B40)</f>
        <v>NasdaqGM:GLYC</v>
      </c>
      <c r="AB23" s="1922">
        <f>'Beta Calc'!Z23</f>
        <v>263.30831000000001</v>
      </c>
      <c r="AC23" s="2091">
        <f t="shared" si="6"/>
        <v>0</v>
      </c>
      <c r="AI23" s="2092"/>
    </row>
    <row r="24" spans="2:35" s="1002" customFormat="1" ht="14.85" customHeight="1">
      <c r="B24" s="1002" t="str">
        <f>'Comp.1'!B24</f>
        <v>LogicBio Therapeutics, Inc.</v>
      </c>
      <c r="D24" s="1922">
        <f>'Beta Calc'!K24</f>
        <v>196.03698</v>
      </c>
      <c r="E24" s="1922">
        <f>'Beta Calc'!L24</f>
        <v>0</v>
      </c>
      <c r="F24" s="1922">
        <f>'Beta Calc'!M24</f>
        <v>33.061999999999998</v>
      </c>
      <c r="G24" s="1922" t="str">
        <f>'Beta Calc'!N24</f>
        <v>n/a</v>
      </c>
      <c r="H24" s="1922">
        <f t="shared" si="7"/>
        <v>33.061999999999998</v>
      </c>
      <c r="I24" s="1922">
        <f t="shared" si="8"/>
        <v>229.09897999999998</v>
      </c>
      <c r="J24" s="1922">
        <f>'Beta Calc'!Q24</f>
        <v>12.877000000000001</v>
      </c>
      <c r="K24" s="1922">
        <f t="shared" si="9"/>
        <v>216.22197999999997</v>
      </c>
      <c r="M24" s="2070">
        <f>IFERROR('Capital IQ Sheet-GPC'!AT26,"n/a")</f>
        <v>0</v>
      </c>
      <c r="N24" s="1922">
        <f t="shared" si="0"/>
        <v>3.6657534246575341</v>
      </c>
      <c r="O24" s="2085">
        <f t="shared" si="0"/>
        <v>2.4299999999999999E-2</v>
      </c>
      <c r="P24" s="2086"/>
      <c r="Q24" s="2087" t="str">
        <f>IFERROR(HLOOKUP($Q$6,'Equity Vol'!$B$8:$K24,ROWS('Equity Vol'!$C$8:$C24),FALSE),"n/a")</f>
        <v>NM</v>
      </c>
      <c r="R24" s="2088"/>
      <c r="S24" s="2089" t="str">
        <f t="shared" si="10"/>
        <v>n/a</v>
      </c>
      <c r="T24" s="2089" t="str">
        <f t="shared" si="1"/>
        <v>n/a</v>
      </c>
      <c r="U24" s="2090" t="str">
        <f t="shared" si="2"/>
        <v>n/a</v>
      </c>
      <c r="V24" s="2090" t="str">
        <f t="shared" si="3"/>
        <v>n/a</v>
      </c>
      <c r="W24" s="2090" t="str">
        <f t="shared" si="4"/>
        <v>n/a</v>
      </c>
      <c r="X24" s="1351" t="str">
        <f t="shared" si="5"/>
        <v>n/a</v>
      </c>
      <c r="Y24" s="2087" t="str">
        <f t="shared" si="11"/>
        <v>n/a</v>
      </c>
      <c r="AA24" s="1924" t="str">
        <f>IF('MASTER PubCo Inputs'!B41=0,"",'MASTER PubCo Inputs'!B41)</f>
        <v>NasdaqGM:LOGC</v>
      </c>
      <c r="AB24" s="1922">
        <f>'Beta Calc'!Z24</f>
        <v>216.22198</v>
      </c>
      <c r="AC24" s="2091">
        <f t="shared" si="6"/>
        <v>0</v>
      </c>
      <c r="AI24" s="2092"/>
    </row>
    <row r="25" spans="2:35" s="1002" customFormat="1" ht="14.85" customHeight="1">
      <c r="B25" s="1002" t="str">
        <f>'Comp.1'!B25</f>
        <v>Arbutus Biopharma Corporation</v>
      </c>
      <c r="D25" s="1922">
        <f>'Beta Calc'!K25</f>
        <v>204.79499999999999</v>
      </c>
      <c r="E25" s="1922">
        <f>'Beta Calc'!L25</f>
        <v>0</v>
      </c>
      <c r="F25" s="1922">
        <f>'Beta Calc'!M25</f>
        <v>123.489</v>
      </c>
      <c r="G25" s="1922" t="str">
        <f>'Beta Calc'!N25</f>
        <v>n/a</v>
      </c>
      <c r="H25" s="1922">
        <f t="shared" si="7"/>
        <v>123.489</v>
      </c>
      <c r="I25" s="1922">
        <f t="shared" si="8"/>
        <v>328.28399999999999</v>
      </c>
      <c r="J25" s="1922">
        <f>'Beta Calc'!Q25</f>
        <v>142.018</v>
      </c>
      <c r="K25" s="1922">
        <f t="shared" si="9"/>
        <v>186.26599999999999</v>
      </c>
      <c r="M25" s="2070">
        <f>IFERROR('Capital IQ Sheet-GPC'!AT27,"n/a")</f>
        <v>0</v>
      </c>
      <c r="N25" s="1922">
        <f t="shared" si="0"/>
        <v>3.6657534246575341</v>
      </c>
      <c r="O25" s="2085">
        <f t="shared" si="0"/>
        <v>2.4299999999999999E-2</v>
      </c>
      <c r="P25" s="2086"/>
      <c r="Q25" s="2087">
        <f>IFERROR(HLOOKUP($Q$6,'Equity Vol'!$B$8:$K25,ROWS('Equity Vol'!$C$8:$C25),FALSE),"n/a")</f>
        <v>0.67684767311578031</v>
      </c>
      <c r="R25" s="2088"/>
      <c r="S25" s="2089">
        <f t="shared" si="10"/>
        <v>0.45812277260224621</v>
      </c>
      <c r="T25" s="2089">
        <f t="shared" si="1"/>
        <v>1.0338612006985062</v>
      </c>
      <c r="U25" s="2090">
        <f t="shared" si="2"/>
        <v>-0.26204200655899923</v>
      </c>
      <c r="V25" s="2090">
        <f t="shared" si="3"/>
        <v>0.84939947215389244</v>
      </c>
      <c r="W25" s="2090">
        <f t="shared" si="4"/>
        <v>0.39664452840723691</v>
      </c>
      <c r="X25" s="1351">
        <f t="shared" si="5"/>
        <v>113.40746145472087</v>
      </c>
      <c r="Y25" s="2087">
        <f t="shared" si="11"/>
        <v>0.48516224197235763</v>
      </c>
      <c r="AA25" s="1924" t="str">
        <f>IF('MASTER PubCo Inputs'!B42=0,"",'MASTER PubCo Inputs'!B42)</f>
        <v>NasdaqGS:ABUS</v>
      </c>
      <c r="AB25" s="1922">
        <f>'Beta Calc'!Z25</f>
        <v>186.26599999999999</v>
      </c>
      <c r="AC25" s="2091">
        <f t="shared" si="6"/>
        <v>0</v>
      </c>
      <c r="AI25" s="2092"/>
    </row>
    <row r="26" spans="2:35" s="1002" customFormat="1" ht="14.85" customHeight="1">
      <c r="B26" s="1002" t="str">
        <f>'Comp.1'!B26</f>
        <v>Voyager Therapeutics, Inc.</v>
      </c>
      <c r="D26" s="1922">
        <f>'Beta Calc'!K26</f>
        <v>341.52161000000001</v>
      </c>
      <c r="E26" s="1922">
        <f>'Beta Calc'!L26</f>
        <v>0</v>
      </c>
      <c r="F26" s="1922" t="str">
        <f>'Beta Calc'!M26</f>
        <v>n/a</v>
      </c>
      <c r="G26" s="1922" t="str">
        <f>'Beta Calc'!N26</f>
        <v>n/a</v>
      </c>
      <c r="H26" s="1922">
        <f t="shared" si="7"/>
        <v>0</v>
      </c>
      <c r="I26" s="1922">
        <f t="shared" si="8"/>
        <v>341.52161000000001</v>
      </c>
      <c r="J26" s="1922">
        <f>'Beta Calc'!Q26</f>
        <v>179.601</v>
      </c>
      <c r="K26" s="1922">
        <f t="shared" si="9"/>
        <v>161.92061000000001</v>
      </c>
      <c r="M26" s="2070">
        <f>IFERROR('Capital IQ Sheet-GPC'!AT28,"n/a")</f>
        <v>0</v>
      </c>
      <c r="N26" s="1922">
        <f t="shared" si="0"/>
        <v>3.6657534246575341</v>
      </c>
      <c r="O26" s="2085">
        <f t="shared" si="0"/>
        <v>2.4299999999999999E-2</v>
      </c>
      <c r="P26" s="2086"/>
      <c r="Q26" s="2087">
        <f>IFERROR(HLOOKUP($Q$6,'Equity Vol'!$B$8:$K26,ROWS('Equity Vol'!$C$8:$C26),FALSE),"n/a")</f>
        <v>0.74305494919301052</v>
      </c>
      <c r="R26" s="2088"/>
      <c r="S26" s="2089">
        <f t="shared" si="10"/>
        <v>0.55213065752022739</v>
      </c>
      <c r="T26" s="2089">
        <f t="shared" si="1"/>
        <v>0</v>
      </c>
      <c r="U26" s="2090">
        <f t="shared" si="2"/>
        <v>0</v>
      </c>
      <c r="V26" s="2090">
        <f t="shared" si="3"/>
        <v>0</v>
      </c>
      <c r="W26" s="2090">
        <f t="shared" si="4"/>
        <v>0</v>
      </c>
      <c r="X26" s="1351">
        <f t="shared" si="5"/>
        <v>0</v>
      </c>
      <c r="Y26" s="2087">
        <f t="shared" si="11"/>
        <v>0.74305494919301052</v>
      </c>
      <c r="AA26" s="1924" t="str">
        <f>IF('MASTER PubCo Inputs'!B43=0,"",'MASTER PubCo Inputs'!B43)</f>
        <v>NasdaqGS:VYGR</v>
      </c>
      <c r="AB26" s="1922">
        <f>'Beta Calc'!Z26</f>
        <v>161.92061000000001</v>
      </c>
      <c r="AC26" s="2091">
        <f t="shared" si="6"/>
        <v>0</v>
      </c>
      <c r="AI26" s="2092"/>
    </row>
    <row r="27" spans="2:35" s="1002" customFormat="1" ht="14.85" customHeight="1">
      <c r="B27" s="1002" t="str">
        <f>'Comp.1'!B27</f>
        <v>La Jolla Pharmaceutical Company</v>
      </c>
      <c r="D27" s="1922">
        <f>'Beta Calc'!K27</f>
        <v>158.45113000000001</v>
      </c>
      <c r="E27" s="1922">
        <f>'Beta Calc'!L27</f>
        <v>124.324</v>
      </c>
      <c r="F27" s="1922">
        <f>'Beta Calc'!M27</f>
        <v>6.6429999999999998</v>
      </c>
      <c r="G27" s="1922" t="str">
        <f>'Beta Calc'!N27</f>
        <v>n/a</v>
      </c>
      <c r="H27" s="1922">
        <f t="shared" si="7"/>
        <v>130.96699999999998</v>
      </c>
      <c r="I27" s="1922">
        <f t="shared" si="8"/>
        <v>289.41812999999996</v>
      </c>
      <c r="J27" s="1922">
        <f>'Beta Calc'!Q27</f>
        <v>204.33699999999999</v>
      </c>
      <c r="K27" s="1922">
        <f t="shared" si="9"/>
        <v>85.081129999999973</v>
      </c>
      <c r="M27" s="2070">
        <f>IFERROR('Capital IQ Sheet-GPC'!AT29,"n/a")</f>
        <v>0</v>
      </c>
      <c r="N27" s="1922">
        <f t="shared" si="0"/>
        <v>3.6657534246575341</v>
      </c>
      <c r="O27" s="2085">
        <f t="shared" si="0"/>
        <v>2.4299999999999999E-2</v>
      </c>
      <c r="P27" s="2086"/>
      <c r="Q27" s="2087">
        <f>IFERROR(HLOOKUP($Q$6,'Equity Vol'!$B$8:$K27,ROWS('Equity Vol'!$C$8:$C27),FALSE),"n/a")</f>
        <v>0.8332343854173021</v>
      </c>
      <c r="R27" s="2088"/>
      <c r="S27" s="2089">
        <f t="shared" si="10"/>
        <v>0.69427954104174916</v>
      </c>
      <c r="T27" s="2089">
        <f t="shared" si="1"/>
        <v>0.58312085401346159</v>
      </c>
      <c r="U27" s="2090">
        <f t="shared" si="2"/>
        <v>-1.0122028138494124</v>
      </c>
      <c r="V27" s="2090">
        <f t="shared" si="3"/>
        <v>0.72009402697884539</v>
      </c>
      <c r="W27" s="2090">
        <f t="shared" si="4"/>
        <v>0.15572054554600367</v>
      </c>
      <c r="X27" s="1351">
        <f t="shared" si="5"/>
        <v>42.610273380671885</v>
      </c>
      <c r="Y27" s="2087">
        <f t="shared" si="11"/>
        <v>0.57950748072243274</v>
      </c>
      <c r="AA27" s="1924" t="str">
        <f>IF('MASTER PubCo Inputs'!B44=0,"",'MASTER PubCo Inputs'!B44)</f>
        <v>NasdaqCM:LJPC</v>
      </c>
      <c r="AB27" s="1922">
        <f>'Beta Calc'!Z27</f>
        <v>85.081130000000002</v>
      </c>
      <c r="AC27" s="2091">
        <f t="shared" si="6"/>
        <v>0</v>
      </c>
      <c r="AI27" s="2092"/>
    </row>
    <row r="28" spans="2:35" s="1002" customFormat="1" ht="14.85" customHeight="1">
      <c r="B28" s="1002" t="str">
        <f>'Comp.1'!B28</f>
        <v>Protagonist Therapeutics, Inc.</v>
      </c>
      <c r="D28" s="1922">
        <f>'Beta Calc'!K28</f>
        <v>197.11606</v>
      </c>
      <c r="E28" s="1922">
        <f>'Beta Calc'!L28</f>
        <v>0</v>
      </c>
      <c r="F28" s="1922" t="str">
        <f>'Beta Calc'!M28</f>
        <v>n/a</v>
      </c>
      <c r="G28" s="1922" t="str">
        <f>'Beta Calc'!N28</f>
        <v>n/a</v>
      </c>
      <c r="H28" s="1922">
        <f t="shared" si="7"/>
        <v>0</v>
      </c>
      <c r="I28" s="1922">
        <f t="shared" si="8"/>
        <v>197.11606</v>
      </c>
      <c r="J28" s="1922">
        <f>'Beta Calc'!Q28</f>
        <v>138.517</v>
      </c>
      <c r="K28" s="1922">
        <f t="shared" si="9"/>
        <v>58.599060000000009</v>
      </c>
      <c r="M28" s="2070">
        <f>IFERROR('Capital IQ Sheet-GPC'!AT30,"n/a")</f>
        <v>0</v>
      </c>
      <c r="N28" s="1922">
        <f t="shared" si="0"/>
        <v>3.6657534246575341</v>
      </c>
      <c r="O28" s="2085">
        <f t="shared" si="0"/>
        <v>2.4299999999999999E-2</v>
      </c>
      <c r="P28" s="2086"/>
      <c r="Q28" s="2087">
        <f>IFERROR(HLOOKUP($Q$6,'Equity Vol'!$B$8:$K28,ROWS('Equity Vol'!$C$8:$C28),FALSE),"n/a")</f>
        <v>0.91520299544650408</v>
      </c>
      <c r="R28" s="2088"/>
      <c r="S28" s="2089">
        <f t="shared" si="10"/>
        <v>0.83759652287425379</v>
      </c>
      <c r="T28" s="2089">
        <f t="shared" si="1"/>
        <v>0</v>
      </c>
      <c r="U28" s="2090">
        <f t="shared" si="2"/>
        <v>0</v>
      </c>
      <c r="V28" s="2090">
        <f t="shared" si="3"/>
        <v>0</v>
      </c>
      <c r="W28" s="2090">
        <f t="shared" si="4"/>
        <v>0</v>
      </c>
      <c r="X28" s="1351">
        <f t="shared" si="5"/>
        <v>0</v>
      </c>
      <c r="Y28" s="2087">
        <f t="shared" si="11"/>
        <v>0.91520299544650408</v>
      </c>
      <c r="AA28" s="1924" t="str">
        <f>IF('MASTER PubCo Inputs'!B45=0,"",'MASTER PubCo Inputs'!B45)</f>
        <v>NasdaqGM:PTGX</v>
      </c>
      <c r="AB28" s="1922">
        <f>'Beta Calc'!Z28</f>
        <v>58.599049999999998</v>
      </c>
      <c r="AC28" s="2091">
        <f t="shared" si="6"/>
        <v>1.0000000010279564E-5</v>
      </c>
      <c r="AI28" s="2092"/>
    </row>
    <row r="29" spans="2:35" s="1002" customFormat="1" ht="14.85" customHeight="1">
      <c r="B29" s="1002" t="str">
        <f>'Comp.1'!B29</f>
        <v>Fibrocell Science, Inc.</v>
      </c>
      <c r="D29" s="1922">
        <f>'Beta Calc'!K29</f>
        <v>19.22391</v>
      </c>
      <c r="E29" s="1922">
        <f>'Beta Calc'!L29</f>
        <v>0</v>
      </c>
      <c r="F29" s="1922">
        <f>'Beta Calc'!M29</f>
        <v>7.6230000000000002</v>
      </c>
      <c r="G29" s="1922" t="str">
        <f>'Beta Calc'!N29</f>
        <v>n/a</v>
      </c>
      <c r="H29" s="1922">
        <f t="shared" si="7"/>
        <v>7.6230000000000002</v>
      </c>
      <c r="I29" s="1922">
        <f t="shared" si="8"/>
        <v>26.846910000000001</v>
      </c>
      <c r="J29" s="1922">
        <f>'Beta Calc'!Q29</f>
        <v>16.111000000000001</v>
      </c>
      <c r="K29" s="1922">
        <f t="shared" si="9"/>
        <v>10.735910000000001</v>
      </c>
      <c r="M29" s="2070">
        <f>IFERROR('Capital IQ Sheet-GPC'!AT31,"n/a")</f>
        <v>0</v>
      </c>
      <c r="N29" s="1922">
        <f t="shared" si="0"/>
        <v>3.6657534246575341</v>
      </c>
      <c r="O29" s="2085">
        <f t="shared" si="0"/>
        <v>2.4299999999999999E-2</v>
      </c>
      <c r="P29" s="2086"/>
      <c r="Q29" s="2087">
        <f>IFERROR(HLOOKUP($Q$6,'Equity Vol'!$B$8:$K29,ROWS('Equity Vol'!$C$8:$C29),FALSE),"n/a")</f>
        <v>0.91248999315047907</v>
      </c>
      <c r="R29" s="2088"/>
      <c r="S29" s="2089">
        <f t="shared" si="10"/>
        <v>0.83263798759976138</v>
      </c>
      <c r="T29" s="2089">
        <f t="shared" si="1"/>
        <v>1.1205202796051379</v>
      </c>
      <c r="U29" s="2090">
        <f t="shared" si="2"/>
        <v>-0.626547422157957</v>
      </c>
      <c r="V29" s="2090">
        <f t="shared" si="3"/>
        <v>0.86875394219160595</v>
      </c>
      <c r="W29" s="2090">
        <f t="shared" si="4"/>
        <v>0.26547797117622779</v>
      </c>
      <c r="X29" s="1351">
        <f t="shared" si="5"/>
        <v>7.4755999079424695</v>
      </c>
      <c r="Y29" s="2087">
        <f t="shared" si="11"/>
        <v>0.73137230366849471</v>
      </c>
      <c r="AA29" s="1924" t="str">
        <f>IF('MASTER PubCo Inputs'!B46=0,"",'MASTER PubCo Inputs'!B46)</f>
        <v>NasdaqCM:FCSC</v>
      </c>
      <c r="AB29" s="1922">
        <f>'Beta Calc'!Z29</f>
        <v>10.735910000000001</v>
      </c>
      <c r="AC29" s="2091">
        <f t="shared" si="6"/>
        <v>0</v>
      </c>
      <c r="AI29" s="2092"/>
    </row>
    <row r="30" spans="2:35" s="1002" customFormat="1" ht="9.9499999999999993" customHeight="1">
      <c r="D30" s="1922"/>
      <c r="E30" s="1922"/>
      <c r="F30" s="1922"/>
      <c r="G30" s="1922"/>
      <c r="H30" s="1922"/>
      <c r="I30" s="1922"/>
      <c r="J30" s="1922"/>
      <c r="K30" s="1922"/>
      <c r="M30" s="2070"/>
      <c r="N30" s="1922"/>
      <c r="O30" s="2085"/>
      <c r="P30" s="2086"/>
      <c r="Q30" s="2087"/>
      <c r="R30" s="2088"/>
      <c r="S30" s="2089"/>
      <c r="T30" s="2089"/>
      <c r="U30" s="2090"/>
      <c r="V30" s="2090"/>
      <c r="W30" s="2090"/>
      <c r="X30" s="1351"/>
      <c r="Y30" s="2087"/>
      <c r="AA30" s="1924"/>
      <c r="AB30" s="1922"/>
      <c r="AC30" s="2091"/>
      <c r="AI30" s="2092"/>
    </row>
    <row r="31" spans="2:35" s="1002" customFormat="1" ht="14.85" customHeight="1">
      <c r="B31" s="1918" t="str">
        <f>'Comp.1'!B31</f>
        <v>CRISPR/Cas9</v>
      </c>
      <c r="D31" s="1922"/>
      <c r="E31" s="1922"/>
      <c r="F31" s="1922"/>
      <c r="G31" s="1922"/>
      <c r="H31" s="1922"/>
      <c r="I31" s="1922"/>
      <c r="J31" s="1922"/>
      <c r="K31" s="1922"/>
      <c r="M31" s="2070"/>
      <c r="N31" s="1922"/>
      <c r="O31" s="2085"/>
      <c r="P31" s="2086"/>
      <c r="Q31" s="2087"/>
      <c r="R31" s="2088"/>
      <c r="S31" s="2089"/>
      <c r="T31" s="2089"/>
      <c r="U31" s="2090"/>
      <c r="V31" s="2090"/>
      <c r="W31" s="2090"/>
      <c r="X31" s="1351"/>
      <c r="Y31" s="2087"/>
      <c r="AA31" s="1924"/>
      <c r="AB31" s="1922"/>
      <c r="AC31" s="2091"/>
      <c r="AI31" s="2092"/>
    </row>
    <row r="32" spans="2:35" s="1002" customFormat="1" ht="14.85" customHeight="1">
      <c r="B32" s="1002" t="str">
        <f>'Comp.1'!B32</f>
        <v>CRISPR Therapeutics AG</v>
      </c>
      <c r="D32" s="1922">
        <f>'Beta Calc'!K32</f>
        <v>1679.8645300000001</v>
      </c>
      <c r="E32" s="1922">
        <f>'Beta Calc'!L32</f>
        <v>0</v>
      </c>
      <c r="F32" s="1922" t="str">
        <f>'Beta Calc'!M32</f>
        <v>n/a</v>
      </c>
      <c r="G32" s="1922" t="str">
        <f>'Beta Calc'!N32</f>
        <v>n/a</v>
      </c>
      <c r="H32" s="1922">
        <f t="shared" si="7"/>
        <v>0</v>
      </c>
      <c r="I32" s="1922">
        <f t="shared" si="8"/>
        <v>1679.8645300000001</v>
      </c>
      <c r="J32" s="1922">
        <f>'Beta Calc'!Q32</f>
        <v>487.29500000000002</v>
      </c>
      <c r="K32" s="1922">
        <f t="shared" si="9"/>
        <v>1192.56953</v>
      </c>
      <c r="M32" s="2070">
        <f>IFERROR('Capital IQ Sheet-GPC'!AT33,"n/a")</f>
        <v>0</v>
      </c>
      <c r="N32" s="1922">
        <f t="shared" si="0"/>
        <v>3.6657534246575341</v>
      </c>
      <c r="O32" s="2085">
        <f t="shared" si="0"/>
        <v>2.4299999999999999E-2</v>
      </c>
      <c r="P32" s="2086"/>
      <c r="Q32" s="2087">
        <f>IFERROR(HLOOKUP($Q$6,'Equity Vol'!$B$8:$K32,ROWS('Equity Vol'!$C$8:$C32),FALSE),"n/a")</f>
        <v>0.70462779949123155</v>
      </c>
      <c r="R32" s="2088"/>
      <c r="S32" s="2089">
        <f t="shared" si="10"/>
        <v>0.49650033581585523</v>
      </c>
      <c r="T32" s="2089">
        <f t="shared" si="1"/>
        <v>0</v>
      </c>
      <c r="U32" s="2090">
        <f t="shared" si="2"/>
        <v>0</v>
      </c>
      <c r="V32" s="2090">
        <f t="shared" si="3"/>
        <v>0</v>
      </c>
      <c r="W32" s="2090">
        <f t="shared" si="4"/>
        <v>0</v>
      </c>
      <c r="X32" s="1351">
        <f t="shared" si="5"/>
        <v>0</v>
      </c>
      <c r="Y32" s="2087">
        <f t="shared" si="11"/>
        <v>0.70462779949123155</v>
      </c>
      <c r="AA32" s="1924" t="str">
        <f>IF('MASTER PubCo Inputs'!B48=0,"",'MASTER PubCo Inputs'!B48)</f>
        <v>NasdaqGM:CRSP</v>
      </c>
      <c r="AB32" s="1922">
        <f>'Beta Calc'!Z32</f>
        <v>1192.56953</v>
      </c>
      <c r="AC32" s="2091">
        <f t="shared" si="6"/>
        <v>0</v>
      </c>
      <c r="AI32" s="2092"/>
    </row>
    <row r="33" spans="2:35" s="1002" customFormat="1" ht="14.85" customHeight="1">
      <c r="B33" s="1002" t="str">
        <f>'Comp.1'!B33</f>
        <v>Editas Medicine, Inc.</v>
      </c>
      <c r="D33" s="1922">
        <f>'Beta Calc'!K33</f>
        <v>1032.0795800000001</v>
      </c>
      <c r="E33" s="1922">
        <f>'Beta Calc'!L33</f>
        <v>32.694000000000003</v>
      </c>
      <c r="F33" s="1922" t="str">
        <f>'Beta Calc'!M33</f>
        <v>n/a</v>
      </c>
      <c r="G33" s="1922" t="str">
        <f>'Beta Calc'!N33</f>
        <v>n/a</v>
      </c>
      <c r="H33" s="1922">
        <f t="shared" si="7"/>
        <v>32.694000000000003</v>
      </c>
      <c r="I33" s="1922">
        <f t="shared" si="8"/>
        <v>1064.77358</v>
      </c>
      <c r="J33" s="1922">
        <f>'Beta Calc'!Q33</f>
        <v>337.49200000000002</v>
      </c>
      <c r="K33" s="1922">
        <f t="shared" si="9"/>
        <v>727.28158000000008</v>
      </c>
      <c r="M33" s="2070">
        <f>IFERROR('Capital IQ Sheet-GPC'!AT34,"n/a")</f>
        <v>0</v>
      </c>
      <c r="N33" s="1922">
        <f t="shared" si="0"/>
        <v>3.6657534246575341</v>
      </c>
      <c r="O33" s="2085">
        <f t="shared" si="0"/>
        <v>2.4299999999999999E-2</v>
      </c>
      <c r="P33" s="2086"/>
      <c r="Q33" s="2087">
        <f>IFERROR(HLOOKUP($Q$6,'Equity Vol'!$B$8:$K33,ROWS('Equity Vol'!$C$8:$C33),FALSE),"n/a")</f>
        <v>0.76544326890760306</v>
      </c>
      <c r="R33" s="2088"/>
      <c r="S33" s="2089">
        <f t="shared" si="10"/>
        <v>0.58590339791595714</v>
      </c>
      <c r="T33" s="2089">
        <f t="shared" si="1"/>
        <v>2.9102709840381826</v>
      </c>
      <c r="U33" s="2090">
        <f t="shared" si="2"/>
        <v>1.4447412547495182</v>
      </c>
      <c r="V33" s="2090">
        <f t="shared" si="3"/>
        <v>0.99819442245805901</v>
      </c>
      <c r="W33" s="2090">
        <f t="shared" si="4"/>
        <v>0.92573471133624796</v>
      </c>
      <c r="X33" s="1351">
        <f t="shared" si="5"/>
        <v>698.28188175496848</v>
      </c>
      <c r="Y33" s="2087">
        <f t="shared" si="11"/>
        <v>0.73625126642549088</v>
      </c>
      <c r="AA33" s="1924" t="str">
        <f>IF('MASTER PubCo Inputs'!B49=0,"",'MASTER PubCo Inputs'!B49)</f>
        <v>NasdaqGS:EDIT</v>
      </c>
      <c r="AB33" s="1922">
        <f>'Beta Calc'!Z33</f>
        <v>727.28157999999996</v>
      </c>
      <c r="AC33" s="2091">
        <f t="shared" si="6"/>
        <v>0</v>
      </c>
      <c r="AI33" s="2092"/>
    </row>
    <row r="34" spans="2:35" s="1002" customFormat="1" ht="14.85" customHeight="1">
      <c r="B34" s="1002" t="str">
        <f>'Comp.1'!B34</f>
        <v>Intellia Therapeutics, Inc.</v>
      </c>
      <c r="D34" s="1922">
        <f>'Beta Calc'!K34</f>
        <v>613.94893999999999</v>
      </c>
      <c r="E34" s="1922">
        <f>'Beta Calc'!L34</f>
        <v>0</v>
      </c>
      <c r="F34" s="1922" t="str">
        <f>'Beta Calc'!M34</f>
        <v>n/a</v>
      </c>
      <c r="G34" s="1922" t="str">
        <f>'Beta Calc'!N34</f>
        <v>n/a</v>
      </c>
      <c r="H34" s="1922">
        <f t="shared" si="7"/>
        <v>0</v>
      </c>
      <c r="I34" s="1922">
        <f t="shared" si="8"/>
        <v>613.94893999999999</v>
      </c>
      <c r="J34" s="1922">
        <f>'Beta Calc'!Q34</f>
        <v>293.24799999999999</v>
      </c>
      <c r="K34" s="1922">
        <f t="shared" si="9"/>
        <v>320.70094</v>
      </c>
      <c r="M34" s="2070">
        <f>IFERROR('Capital IQ Sheet-GPC'!AT35,"n/a")</f>
        <v>0</v>
      </c>
      <c r="N34" s="1922">
        <f t="shared" si="0"/>
        <v>3.6657534246575341</v>
      </c>
      <c r="O34" s="2085">
        <f t="shared" si="0"/>
        <v>2.4299999999999999E-2</v>
      </c>
      <c r="P34" s="2086"/>
      <c r="Q34" s="2087">
        <f>IFERROR(HLOOKUP($Q$6,'Equity Vol'!$B$8:$K34,ROWS('Equity Vol'!$C$8:$C34),FALSE),"n/a")</f>
        <v>0.72806937672607763</v>
      </c>
      <c r="R34" s="2088"/>
      <c r="S34" s="2089">
        <f t="shared" si="10"/>
        <v>0.5300850173262992</v>
      </c>
      <c r="T34" s="2089">
        <f t="shared" si="1"/>
        <v>0</v>
      </c>
      <c r="U34" s="2090">
        <f t="shared" si="2"/>
        <v>0</v>
      </c>
      <c r="V34" s="2090">
        <f t="shared" si="3"/>
        <v>0</v>
      </c>
      <c r="W34" s="2090">
        <f t="shared" si="4"/>
        <v>0</v>
      </c>
      <c r="X34" s="1351">
        <f t="shared" si="5"/>
        <v>0</v>
      </c>
      <c r="Y34" s="2087">
        <f t="shared" si="11"/>
        <v>0.72806937672607763</v>
      </c>
      <c r="AA34" s="1924" t="str">
        <f>IF('MASTER PubCo Inputs'!B50=0,"",'MASTER PubCo Inputs'!B50)</f>
        <v>NasdaqGM:NTLA</v>
      </c>
      <c r="AB34" s="1922">
        <f>'Beta Calc'!Z34</f>
        <v>320.70094</v>
      </c>
      <c r="AC34" s="2091">
        <f t="shared" si="6"/>
        <v>0</v>
      </c>
      <c r="AI34" s="2092"/>
    </row>
    <row r="35" spans="2:35" s="1002" customFormat="1" ht="14.85" customHeight="1">
      <c r="B35" s="1002" t="str">
        <f>'Comp.1'!B35</f>
        <v>Abeona Therapeutics Inc.</v>
      </c>
      <c r="D35" s="1922">
        <f>'Beta Calc'!K35</f>
        <v>325.54306000000003</v>
      </c>
      <c r="E35" s="1922">
        <f>'Beta Calc'!L35</f>
        <v>0</v>
      </c>
      <c r="F35" s="1922" t="str">
        <f>'Beta Calc'!M35</f>
        <v>n/a</v>
      </c>
      <c r="G35" s="1922" t="str">
        <f>'Beta Calc'!N35</f>
        <v>n/a</v>
      </c>
      <c r="H35" s="1922">
        <f t="shared" si="7"/>
        <v>0</v>
      </c>
      <c r="I35" s="1922">
        <f t="shared" si="8"/>
        <v>325.54306000000003</v>
      </c>
      <c r="J35" s="1922">
        <f>'Beta Calc'!Q35</f>
        <v>112.224</v>
      </c>
      <c r="K35" s="1922">
        <f t="shared" si="9"/>
        <v>213.31906000000004</v>
      </c>
      <c r="M35" s="2070">
        <f>IFERROR('Capital IQ Sheet-GPC'!AT36,"n/a")</f>
        <v>0</v>
      </c>
      <c r="N35" s="1922">
        <f t="shared" si="0"/>
        <v>3.6657534246575341</v>
      </c>
      <c r="O35" s="2085">
        <f t="shared" si="0"/>
        <v>2.4299999999999999E-2</v>
      </c>
      <c r="P35" s="2086"/>
      <c r="Q35" s="2087">
        <f>IFERROR(HLOOKUP($Q$6,'Equity Vol'!$B$8:$K35,ROWS('Equity Vol'!$C$8:$C35),FALSE),"n/a")</f>
        <v>0.8803241164043264</v>
      </c>
      <c r="R35" s="2088"/>
      <c r="S35" s="2089">
        <f t="shared" si="10"/>
        <v>0.77497054992305803</v>
      </c>
      <c r="T35" s="2089">
        <f t="shared" si="1"/>
        <v>0</v>
      </c>
      <c r="U35" s="2090">
        <f t="shared" si="2"/>
        <v>0</v>
      </c>
      <c r="V35" s="2090">
        <f t="shared" si="3"/>
        <v>0</v>
      </c>
      <c r="W35" s="2090">
        <f t="shared" si="4"/>
        <v>0</v>
      </c>
      <c r="X35" s="1351">
        <f t="shared" si="5"/>
        <v>0</v>
      </c>
      <c r="Y35" s="2087">
        <f t="shared" si="11"/>
        <v>0.8803241164043264</v>
      </c>
      <c r="AA35" s="1924" t="str">
        <f>IF('MASTER PubCo Inputs'!B51=0,"",'MASTER PubCo Inputs'!B51)</f>
        <v>NasdaqCM:ABEO</v>
      </c>
      <c r="AB35" s="1922">
        <f>'Beta Calc'!Z35</f>
        <v>213.31906000000001</v>
      </c>
      <c r="AC35" s="2091">
        <f t="shared" si="6"/>
        <v>0</v>
      </c>
      <c r="AI35" s="2092"/>
    </row>
    <row r="36" spans="2:35" s="1002" customFormat="1" ht="14.85" customHeight="1">
      <c r="D36" s="1922"/>
      <c r="E36" s="1922"/>
      <c r="F36" s="1922"/>
      <c r="G36" s="1922"/>
      <c r="H36" s="1922"/>
      <c r="I36" s="1922"/>
      <c r="J36" s="1922"/>
      <c r="K36" s="1922"/>
      <c r="P36" s="1920"/>
      <c r="R36" s="1920"/>
    </row>
    <row r="37" spans="2:35" s="1002" customFormat="1" ht="14.85" customHeight="1">
      <c r="B37" s="2073" t="s">
        <v>111</v>
      </c>
      <c r="C37" s="2093"/>
      <c r="D37" s="2094">
        <f t="shared" ref="D37:K37" si="12">MAX(D11:D35)</f>
        <v>8868.9653999999991</v>
      </c>
      <c r="E37" s="2094">
        <f t="shared" si="12"/>
        <v>409.30599999999998</v>
      </c>
      <c r="F37" s="2094">
        <f t="shared" si="12"/>
        <v>123.489</v>
      </c>
      <c r="G37" s="2094">
        <f t="shared" si="12"/>
        <v>0</v>
      </c>
      <c r="H37" s="2094">
        <f t="shared" si="12"/>
        <v>409.30599999999998</v>
      </c>
      <c r="I37" s="2094">
        <f t="shared" si="12"/>
        <v>8898.9653999999991</v>
      </c>
      <c r="J37" s="2094">
        <f t="shared" si="12"/>
        <v>1695.2950000000001</v>
      </c>
      <c r="K37" s="2094">
        <f t="shared" si="12"/>
        <v>7662.1313999999993</v>
      </c>
      <c r="L37" s="2093"/>
      <c r="M37" s="2075">
        <f>MAX(M11:M35)</f>
        <v>0</v>
      </c>
      <c r="N37" s="2094">
        <f>MAX(N11:N35)</f>
        <v>3.6657534246575341</v>
      </c>
      <c r="O37" s="2095">
        <f>MAX(O11:O35)</f>
        <v>2.4299999999999999E-2</v>
      </c>
      <c r="P37" s="2096"/>
      <c r="Q37" s="2097">
        <f>MAX(Q11:Q35)</f>
        <v>0.91520299544650408</v>
      </c>
      <c r="R37" s="2098"/>
      <c r="S37" s="2099">
        <f>MAX(S11:S36)</f>
        <v>0.83759652287425379</v>
      </c>
      <c r="T37" s="2099">
        <f>MAX(T11:T36)</f>
        <v>4.9907679446392796</v>
      </c>
      <c r="U37" s="2100">
        <f>MAX(U11:U36)</f>
        <v>3.693766759658661</v>
      </c>
      <c r="V37" s="2100">
        <f>MAX(V11:V36)</f>
        <v>0.99999969930143606</v>
      </c>
      <c r="W37" s="2100">
        <f>MAX(W11:W36)</f>
        <v>0.99988952175776336</v>
      </c>
      <c r="X37" s="2094">
        <f>MAX(X11:X35)</f>
        <v>7634.6888960729393</v>
      </c>
      <c r="Y37" s="2101">
        <f>MAX(Y11:Y35)</f>
        <v>0.91520299544650408</v>
      </c>
      <c r="AB37" s="2102">
        <f>+'Asset Vol_IPO Phase II'!Y44</f>
        <v>0.70461640510740386</v>
      </c>
      <c r="AC37" s="2103" t="s">
        <v>1388</v>
      </c>
      <c r="AD37" s="2103"/>
      <c r="AE37" s="2103"/>
      <c r="AF37" s="2104"/>
    </row>
    <row r="38" spans="2:35" s="1002" customFormat="1" ht="14.85" customHeight="1">
      <c r="B38" s="2077" t="s">
        <v>115</v>
      </c>
      <c r="C38" s="1934"/>
      <c r="D38" s="1933">
        <f t="shared" ref="D38:K38" si="13">QUARTILE(D11:D35,3)</f>
        <v>1742.465835</v>
      </c>
      <c r="E38" s="1933">
        <f t="shared" si="13"/>
        <v>25.353999999999999</v>
      </c>
      <c r="F38" s="1933">
        <f t="shared" si="13"/>
        <v>55.668750000000003</v>
      </c>
      <c r="G38" s="1933" t="e">
        <f t="shared" si="13"/>
        <v>#NUM!</v>
      </c>
      <c r="H38" s="1933">
        <f t="shared" si="13"/>
        <v>32.878</v>
      </c>
      <c r="I38" s="1933">
        <f t="shared" si="13"/>
        <v>1784.9113350000002</v>
      </c>
      <c r="J38" s="1933">
        <f t="shared" si="13"/>
        <v>377.9085</v>
      </c>
      <c r="K38" s="1933">
        <f t="shared" si="13"/>
        <v>1251.21766</v>
      </c>
      <c r="L38" s="1934"/>
      <c r="M38" s="2079">
        <f>QUARTILE(M11:M35,3)</f>
        <v>0</v>
      </c>
      <c r="N38" s="1933">
        <f>QUARTILE(N11:N35,3)</f>
        <v>3.6657534246575341</v>
      </c>
      <c r="O38" s="2105">
        <f>QUARTILE(O11:O35,3)</f>
        <v>2.4299999999999999E-2</v>
      </c>
      <c r="P38" s="2106"/>
      <c r="Q38" s="2107">
        <f>QUARTILE(Q11:Q35,3)</f>
        <v>0.79008025868768383</v>
      </c>
      <c r="R38" s="2108"/>
      <c r="S38" s="2109">
        <f>QUARTILE(S11:S36,3)</f>
        <v>0.62422681516799738</v>
      </c>
      <c r="T38" s="2109">
        <f>QUARTILE(T11:T36,3)</f>
        <v>2.6082775586270484</v>
      </c>
      <c r="U38" s="2110">
        <f>QUARTILE(U11:U36,3)</f>
        <v>1.4076752584449332</v>
      </c>
      <c r="V38" s="2110">
        <f>QUARTILE(V11:V36,3)</f>
        <v>0.99545004328924958</v>
      </c>
      <c r="W38" s="2110">
        <f>QUARTILE(W11:W36,3)</f>
        <v>0.92038637435568482</v>
      </c>
      <c r="X38" s="1933">
        <f>QUARTILE(X11:X35,3)</f>
        <v>698.28188175496848</v>
      </c>
      <c r="Y38" s="2111">
        <f>QUARTILE(Y11:Y35,3)</f>
        <v>0.74305494919301052</v>
      </c>
      <c r="AB38" s="2112">
        <f>+'Asset Vol_IPO Phase II'!Y46</f>
        <v>0.70509851957057934</v>
      </c>
      <c r="AC38" s="1002" t="s">
        <v>1389</v>
      </c>
      <c r="AF38" s="2113"/>
    </row>
    <row r="39" spans="2:35" s="1002" customFormat="1" ht="14.85" customHeight="1">
      <c r="B39" s="2077" t="s">
        <v>113</v>
      </c>
      <c r="C39" s="1934"/>
      <c r="D39" s="1933">
        <f t="shared" ref="D39:K39" si="14">AVERAGE(D11:D35)</f>
        <v>1587.2495647826088</v>
      </c>
      <c r="E39" s="1933">
        <f t="shared" si="14"/>
        <v>37.258999999999993</v>
      </c>
      <c r="F39" s="1933">
        <f t="shared" si="14"/>
        <v>42.704249999999995</v>
      </c>
      <c r="G39" s="1933" t="e">
        <f t="shared" si="14"/>
        <v>#DIV/0!</v>
      </c>
      <c r="H39" s="1933">
        <f t="shared" si="14"/>
        <v>44.685826086956517</v>
      </c>
      <c r="I39" s="1933">
        <f t="shared" si="14"/>
        <v>1631.9353908695655</v>
      </c>
      <c r="J39" s="1933">
        <f t="shared" si="14"/>
        <v>354.92808695652167</v>
      </c>
      <c r="K39" s="1933">
        <f t="shared" si="14"/>
        <v>1277.0073039130434</v>
      </c>
      <c r="L39" s="1934"/>
      <c r="M39" s="2079">
        <f>AVERAGE(M11:M35)</f>
        <v>0</v>
      </c>
      <c r="N39" s="1933">
        <f>AVERAGE(N11:N35)</f>
        <v>3.6657534246575336</v>
      </c>
      <c r="O39" s="2105">
        <f>AVERAGE(O11:O35)</f>
        <v>2.4299999999999992E-2</v>
      </c>
      <c r="P39" s="2106"/>
      <c r="Q39" s="2107">
        <f>AVERAGE(Q11:Q35)</f>
        <v>0.73111484375954172</v>
      </c>
      <c r="R39" s="2108"/>
      <c r="S39" s="2109">
        <f>AVERAGE(S11:S36)</f>
        <v>0.54680460450683421</v>
      </c>
      <c r="T39" s="2109">
        <f>AVERAGE(T11:T36)</f>
        <v>1.0962516328050278</v>
      </c>
      <c r="U39" s="2110">
        <f>AVERAGE(U11:U36)</f>
        <v>0.50912327935106827</v>
      </c>
      <c r="V39" s="2110">
        <f>AVERAGE(V11:V36)</f>
        <v>0.40135932881321473</v>
      </c>
      <c r="W39" s="2110">
        <f>AVERAGE(W11:W36)</f>
        <v>0.31394092141297048</v>
      </c>
      <c r="X39" s="1933">
        <f>AVERAGE(X11:X35)</f>
        <v>874.13400372540286</v>
      </c>
      <c r="Y39" s="2111">
        <f>AVERAGE(Y11:Y35)</f>
        <v>0.69329299188043814</v>
      </c>
      <c r="AB39" s="2112">
        <f>+'Asset Vol_IPO Phase II'!Y40</f>
        <v>0.70462779949123155</v>
      </c>
      <c r="AC39" s="1002" t="s">
        <v>1387</v>
      </c>
      <c r="AF39" s="2114" t="s">
        <v>1764</v>
      </c>
    </row>
    <row r="40" spans="2:35" s="1002" customFormat="1" ht="14.85" customHeight="1">
      <c r="B40" s="2077" t="s">
        <v>44</v>
      </c>
      <c r="C40" s="1934"/>
      <c r="D40" s="1933">
        <f t="shared" ref="D40:K40" si="15">MEDIAN(D11:D35)</f>
        <v>1032.0795800000001</v>
      </c>
      <c r="E40" s="1933">
        <f t="shared" si="15"/>
        <v>0</v>
      </c>
      <c r="F40" s="1933">
        <f t="shared" si="15"/>
        <v>20.342499999999998</v>
      </c>
      <c r="G40" s="1933" t="e">
        <f t="shared" si="15"/>
        <v>#NUM!</v>
      </c>
      <c r="H40" s="1933">
        <f t="shared" si="15"/>
        <v>0</v>
      </c>
      <c r="I40" s="1933">
        <f t="shared" si="15"/>
        <v>1058.70937</v>
      </c>
      <c r="J40" s="1933">
        <f t="shared" si="15"/>
        <v>239.54599999999999</v>
      </c>
      <c r="K40" s="1933">
        <f t="shared" si="15"/>
        <v>727.28158000000008</v>
      </c>
      <c r="L40" s="1934"/>
      <c r="M40" s="2079">
        <f>MEDIAN(M11:M35)</f>
        <v>0</v>
      </c>
      <c r="N40" s="1933">
        <f>MEDIAN(N11:N35)</f>
        <v>3.6657534246575341</v>
      </c>
      <c r="O40" s="2105">
        <f>MEDIAN(O11:O35)</f>
        <v>2.4299999999999999E-2</v>
      </c>
      <c r="P40" s="2106"/>
      <c r="Q40" s="2107">
        <f>MEDIAN(Q11:Q35)</f>
        <v>0.72806937672607763</v>
      </c>
      <c r="R40" s="2108"/>
      <c r="S40" s="2109">
        <f>MEDIAN(S11:S36)</f>
        <v>0.5300850173262992</v>
      </c>
      <c r="T40" s="2109">
        <f>MEDIAN(T11:T36)</f>
        <v>0</v>
      </c>
      <c r="U40" s="2110">
        <f>MEDIAN(U11:U36)</f>
        <v>0</v>
      </c>
      <c r="V40" s="2110">
        <f>MEDIAN(V11:V36)</f>
        <v>0</v>
      </c>
      <c r="W40" s="2110">
        <f>MEDIAN(W11:W36)</f>
        <v>0</v>
      </c>
      <c r="X40" s="1933">
        <f>MEDIAN(X11:X35)</f>
        <v>0</v>
      </c>
      <c r="Y40" s="2111">
        <f>MEDIAN(Y11:Y35)</f>
        <v>0.70462779949123155</v>
      </c>
      <c r="AB40" s="2115" t="str">
        <f>IF(ROUND(AB37,3)=ROUND(AB39,3),"","Update Volatility - OPM")</f>
        <v/>
      </c>
      <c r="AF40" s="2113"/>
    </row>
    <row r="41" spans="2:35" s="1002" customFormat="1" ht="14.85" customHeight="1">
      <c r="B41" s="2077" t="s">
        <v>114</v>
      </c>
      <c r="C41" s="1934"/>
      <c r="D41" s="1933">
        <f t="shared" ref="D41:K41" si="16">QUARTILE(D11:D35,1)</f>
        <v>333.53233499999999</v>
      </c>
      <c r="E41" s="1933">
        <f t="shared" si="16"/>
        <v>0</v>
      </c>
      <c r="F41" s="1933">
        <f t="shared" si="16"/>
        <v>7.3780000000000001</v>
      </c>
      <c r="G41" s="1933" t="e">
        <f t="shared" si="16"/>
        <v>#NUM!</v>
      </c>
      <c r="H41" s="1933">
        <f t="shared" si="16"/>
        <v>0</v>
      </c>
      <c r="I41" s="1933">
        <f t="shared" si="16"/>
        <v>334.902805</v>
      </c>
      <c r="J41" s="1933">
        <f t="shared" si="16"/>
        <v>151.708</v>
      </c>
      <c r="K41" s="1933">
        <f t="shared" si="16"/>
        <v>214.77052</v>
      </c>
      <c r="L41" s="1934"/>
      <c r="M41" s="2079">
        <f>QUARTILE(M11:M35,1)</f>
        <v>0</v>
      </c>
      <c r="N41" s="1933">
        <f>QUARTILE(N11:N35,1)</f>
        <v>3.6657534246575341</v>
      </c>
      <c r="O41" s="2105">
        <f>QUARTILE(O11:O35,1)</f>
        <v>2.4299999999999999E-2</v>
      </c>
      <c r="P41" s="2106"/>
      <c r="Q41" s="2107">
        <f>QUARTILE(Q11:Q35,1)</f>
        <v>0.68241342423020646</v>
      </c>
      <c r="R41" s="2108"/>
      <c r="S41" s="2109">
        <f>QUARTILE(S11:S36,1)</f>
        <v>0.46568808156959574</v>
      </c>
      <c r="T41" s="2109">
        <f>QUARTILE(T11:T36,1)</f>
        <v>0</v>
      </c>
      <c r="U41" s="2110">
        <f>QUARTILE(U11:U36,1)</f>
        <v>0</v>
      </c>
      <c r="V41" s="2110">
        <f>QUARTILE(V11:V36,1)</f>
        <v>0</v>
      </c>
      <c r="W41" s="2110">
        <f>QUARTILE(W11:W36,1)</f>
        <v>0</v>
      </c>
      <c r="X41" s="1933">
        <f>QUARTILE(X11:X35,1)</f>
        <v>0</v>
      </c>
      <c r="Y41" s="2111">
        <f>QUARTILE(Y11:Y35,1)</f>
        <v>0.66584524456417638</v>
      </c>
      <c r="AB41" s="2116" t="str">
        <f>IF(ROUND(AB38,3)=ROUND(AB39,3),"","Update Volatility - DLOM")</f>
        <v/>
      </c>
      <c r="AC41" s="2117"/>
      <c r="AD41" s="2117"/>
      <c r="AE41" s="2117"/>
      <c r="AF41" s="2118"/>
    </row>
    <row r="42" spans="2:35" s="1002" customFormat="1" ht="14.85" customHeight="1">
      <c r="B42" s="1938" t="s">
        <v>112</v>
      </c>
      <c r="C42" s="1940"/>
      <c r="D42" s="1939">
        <f t="shared" ref="D42:K42" si="17">MIN(D11:D35)</f>
        <v>19.22391</v>
      </c>
      <c r="E42" s="1939">
        <f t="shared" si="17"/>
        <v>0</v>
      </c>
      <c r="F42" s="1939">
        <f t="shared" si="17"/>
        <v>6.6429999999999998</v>
      </c>
      <c r="G42" s="1939">
        <f t="shared" si="17"/>
        <v>0</v>
      </c>
      <c r="H42" s="1939">
        <f t="shared" si="17"/>
        <v>0</v>
      </c>
      <c r="I42" s="1939">
        <f t="shared" si="17"/>
        <v>26.846910000000001</v>
      </c>
      <c r="J42" s="1939">
        <f t="shared" si="17"/>
        <v>12.877000000000001</v>
      </c>
      <c r="K42" s="1939">
        <f t="shared" si="17"/>
        <v>10.735910000000001</v>
      </c>
      <c r="L42" s="1940"/>
      <c r="M42" s="2082">
        <f>MIN(M11:M35)</f>
        <v>0</v>
      </c>
      <c r="N42" s="1939">
        <f>MIN(N11:N35)</f>
        <v>3.6657534246575341</v>
      </c>
      <c r="O42" s="2119">
        <f>MIN(O11:O35)</f>
        <v>2.4299999999999999E-2</v>
      </c>
      <c r="P42" s="2120"/>
      <c r="Q42" s="2121">
        <f>MIN(Q11:Q35)</f>
        <v>0.43862245376883774</v>
      </c>
      <c r="R42" s="2122"/>
      <c r="S42" s="2123">
        <f>MIN(S11:S36)</f>
        <v>0.19238965695019619</v>
      </c>
      <c r="T42" s="2123">
        <f>MIN(T11:T36)</f>
        <v>0</v>
      </c>
      <c r="U42" s="2124">
        <f>MIN(U11:U36)</f>
        <v>-1.0122028138494124</v>
      </c>
      <c r="V42" s="2124">
        <f>MIN(V11:V36)</f>
        <v>0</v>
      </c>
      <c r="W42" s="2124">
        <f>MIN(W11:W36)</f>
        <v>0</v>
      </c>
      <c r="X42" s="1939">
        <f>MIN(X11:X35)</f>
        <v>0</v>
      </c>
      <c r="Y42" s="2125">
        <f>MIN(Y11:Y35)</f>
        <v>0.37118765713506935</v>
      </c>
      <c r="AB42" s="2126" t="str">
        <f>IF(K44&lt;&gt;K46,"Check","")</f>
        <v/>
      </c>
    </row>
    <row r="43" spans="2:35" s="1002" customFormat="1" ht="9.9499999999999993" customHeight="1">
      <c r="P43" s="1920"/>
      <c r="AB43" s="2127" t="str">
        <f>IF(AND(AB40=$AF$41,AB42=$AF$41,AB41=$AF$41),"","Check")</f>
        <v/>
      </c>
    </row>
    <row r="44" spans="2:35" s="1002" customFormat="1" ht="14.85" hidden="1" customHeight="1" outlineLevel="1">
      <c r="B44" s="2128" t="str">
        <f>B2</f>
        <v>Trucode Gene Repair, Inc.</v>
      </c>
      <c r="C44" s="2129" t="s">
        <v>249</v>
      </c>
      <c r="D44" s="2130">
        <f>'Val Summ'!D9/1000</f>
        <v>42.64</v>
      </c>
      <c r="E44" s="2131"/>
      <c r="F44" s="2131"/>
      <c r="G44" s="2131"/>
      <c r="H44" s="2130">
        <f>'Hist BS'!$E$61/1000</f>
        <v>0.15776502000000001</v>
      </c>
      <c r="I44" s="2132">
        <f t="shared" ref="I44" si="18">SUM(D44:G44)</f>
        <v>42.64</v>
      </c>
      <c r="J44" s="2131"/>
      <c r="K44" s="2130">
        <f>+'Val Summ'!D9/1000+H44</f>
        <v>42.79776502</v>
      </c>
      <c r="L44" s="2131"/>
      <c r="M44" s="2133">
        <f>'PWERM DLOM'!E16</f>
        <v>0</v>
      </c>
      <c r="N44" s="2134">
        <f>N$6</f>
        <v>3.6657534246575341</v>
      </c>
      <c r="O44" s="2135">
        <f>O$6</f>
        <v>2.4299999999999999E-2</v>
      </c>
      <c r="P44" s="2136"/>
      <c r="Q44" s="2137">
        <v>0.70699999999999996</v>
      </c>
      <c r="R44" s="2131"/>
      <c r="S44" s="2138">
        <f>IF(Q44="n/a","n/a",Q44^2)</f>
        <v>0.49984899999999993</v>
      </c>
      <c r="T44" s="2138">
        <f>IF(OR(K44="n/a",S44="n/a"),"n/a",IF(H44=0,0,IF(M44=0,(LN(K44/H44)+((O44+(S44/2))*N44))/((S44*N44)^0.5),(LN(K44/H44)+((O44-M44+(S44/2))*N44))/((S44*N44)^0.5))))</f>
        <v>4.8819526818137993</v>
      </c>
      <c r="U44" s="2139">
        <f>IF(T44="n/a","n/a",IF(H44=0,0,T44-(S44*N44)^0.5))</f>
        <v>3.5283193549628225</v>
      </c>
      <c r="V44" s="2139">
        <f>IF(OR(T44="n/a",S44="n/a"),"n/a",IF(H44=0,0,NORMSDIST(T44)))</f>
        <v>0.99999947479767604</v>
      </c>
      <c r="W44" s="2139">
        <f>IF(OR(U44="n/a",S44="n/a"),"n/a",IF(H44=0,0,NORMSDIST(U44)))</f>
        <v>0.99979089635942242</v>
      </c>
      <c r="X44" s="2139">
        <f>IF(OR(K44="n/a",S44="n/a"),"n/a",IF(M44=0,(K44*V44)-((H44*EXP(1)^(-O44*N44))*W44),(K44*(2.718^(-M44*N44))*V44)-(H44*(2.718^(-O44*N44))*W44)))</f>
        <v>42.653453319686946</v>
      </c>
      <c r="Y44" s="2140">
        <f>IF(LEN(B44)&gt;0,IF(H44=0,Q44,IF(ISERROR(Q44/((K44/X44)*V44)),"n/a",Q44/((K44/X44)*V44))))</f>
        <v>0.70461640510740386</v>
      </c>
    </row>
    <row r="45" spans="2:35" s="1002" customFormat="1" ht="14.85" hidden="1" customHeight="1" outlineLevel="1">
      <c r="P45" s="1920"/>
    </row>
    <row r="46" spans="2:35" s="1002" customFormat="1" ht="14.85" customHeight="1" collapsed="1">
      <c r="B46" s="2128" t="str">
        <f>B44</f>
        <v>Trucode Gene Repair, Inc.</v>
      </c>
      <c r="C46" s="2129" t="s">
        <v>249</v>
      </c>
      <c r="D46" s="2130">
        <f>(PWERM!B177-PWERM!B129)/1000</f>
        <v>25.540442656150042</v>
      </c>
      <c r="E46" s="2130">
        <f>H44+(PWERM!B129/1000)</f>
        <v>17.257322363849958</v>
      </c>
      <c r="F46" s="2131"/>
      <c r="G46" s="2131"/>
      <c r="H46" s="2190">
        <f t="shared" ref="H46" si="19">SUM(E46:G46)</f>
        <v>17.257322363849958</v>
      </c>
      <c r="I46" s="2132">
        <f>K46+J46</f>
        <v>42.79776502</v>
      </c>
      <c r="J46" s="2131"/>
      <c r="K46" s="2141">
        <f>K44</f>
        <v>42.79776502</v>
      </c>
      <c r="L46" s="2131"/>
      <c r="M46" s="2143">
        <f>M44</f>
        <v>0</v>
      </c>
      <c r="N46" s="2134">
        <f>N$6</f>
        <v>3.6657534246575341</v>
      </c>
      <c r="O46" s="2135">
        <f>O$6</f>
        <v>2.4299999999999999E-2</v>
      </c>
      <c r="P46" s="2136"/>
      <c r="Q46" s="2137">
        <v>0.84799999999999998</v>
      </c>
      <c r="R46" s="2131"/>
      <c r="S46" s="2138">
        <f>IF(Q46="n/a","n/a",Q46^2)</f>
        <v>0.71910399999999997</v>
      </c>
      <c r="T46" s="2138">
        <f>IF(OR(K46="n/a",S46="n/a"),"n/a",IF(H46=0,0,IF(M46=0,(LN(K46/H46)+((O46+(S46/2))*N46))/((S46*N46)^0.5),(LN(K46/H46)+((O46-M46+(S46/2))*N46))/((S46*N46)^0.5))))</f>
        <v>1.4260682900138153</v>
      </c>
      <c r="U46" s="2139">
        <f>IF(T46="n/a","n/a",IF(H46=0,0,T46-(S46*N46)^0.5))</f>
        <v>-0.19752585591210892</v>
      </c>
      <c r="V46" s="2139">
        <f>IF(OR(T46="n/a",S46="n/a"),"n/a",IF(H46=0,0,NORMSDIST(T46)))</f>
        <v>0.92307568455690536</v>
      </c>
      <c r="W46" s="2139">
        <f>IF(OR(U46="n/a",S46="n/a"),"n/a",IF(H46=0,0,NORMSDIST(U46)))</f>
        <v>0.42170802495480497</v>
      </c>
      <c r="X46" s="2139">
        <f>IF(OR(K46="n/a",S46="n/a"),"n/a",IF(M46=0,(K46*V46)-((H46*EXP(1)^(-O46*N46))*W46),(K46*(2.718^(-M46*N46))*V46)-(H46*(2.718^(-O46*N46))*W46)))</f>
        <v>32.848258636749001</v>
      </c>
      <c r="Y46" s="2140">
        <f>IF(LEN(B46)&gt;0,IF(H46=0,Q46,IF(ISERROR(Q46/((K46/X46)*V46)),"n/a",Q46/((K46/X46)*V46))))</f>
        <v>0.70509851957057934</v>
      </c>
    </row>
    <row r="47" spans="2:35" s="1002" customFormat="1" ht="14.85" customHeight="1">
      <c r="P47" s="1920"/>
    </row>
    <row r="48" spans="2:35" s="1002" customFormat="1" ht="14.85" customHeight="1">
      <c r="B48" s="2084" t="s">
        <v>86</v>
      </c>
      <c r="P48" s="1920"/>
    </row>
    <row r="49" spans="1:27" ht="14.85" customHeight="1">
      <c r="A49" s="280" t="s">
        <v>250</v>
      </c>
      <c r="B49" s="388" t="s">
        <v>2925</v>
      </c>
    </row>
    <row r="50" spans="1:27" s="282" customFormat="1" ht="14.85" customHeight="1">
      <c r="A50" s="280" t="s">
        <v>249</v>
      </c>
      <c r="B50" s="388" t="s">
        <v>4246</v>
      </c>
      <c r="C50" s="234"/>
      <c r="D50" s="234"/>
      <c r="E50" s="234"/>
      <c r="F50" s="234"/>
      <c r="G50" s="234"/>
      <c r="H50" s="234"/>
      <c r="I50" s="234"/>
      <c r="J50" s="234"/>
      <c r="K50" s="234"/>
      <c r="L50" s="234"/>
      <c r="M50" s="234"/>
      <c r="N50" s="234"/>
      <c r="O50" s="234"/>
      <c r="P50" s="435"/>
      <c r="Q50" s="234"/>
      <c r="R50" s="234"/>
      <c r="S50" s="234"/>
      <c r="T50" s="234"/>
      <c r="U50" s="234"/>
      <c r="V50" s="234"/>
      <c r="W50" s="234"/>
      <c r="X50" s="234"/>
      <c r="Y50" s="234"/>
      <c r="Z50" s="234"/>
      <c r="AA50" s="234"/>
    </row>
    <row r="51" spans="1:27" ht="14.85" customHeight="1"/>
    <row r="52" spans="1:27" ht="14.85" customHeight="1">
      <c r="B52" s="279" t="s">
        <v>116</v>
      </c>
    </row>
    <row r="53" spans="1:27" ht="14.85" customHeight="1"/>
    <row r="54" spans="1:27" ht="14.85" customHeight="1">
      <c r="B54" s="234" t="s">
        <v>1416</v>
      </c>
    </row>
    <row r="55" spans="1:27" ht="14.85" customHeight="1">
      <c r="B55" s="234" t="s">
        <v>1417</v>
      </c>
    </row>
    <row r="56" spans="1:27" ht="14.85" customHeight="1">
      <c r="B56" s="234" t="s">
        <v>1418</v>
      </c>
    </row>
    <row r="57" spans="1:27" ht="14.85" customHeight="1">
      <c r="B57" s="234" t="s">
        <v>1419</v>
      </c>
    </row>
    <row r="58" spans="1:27" ht="14.85" customHeight="1">
      <c r="B58" s="234" t="s">
        <v>1420</v>
      </c>
    </row>
    <row r="59" spans="1:27" ht="14.85" customHeight="1">
      <c r="B59" s="234" t="s">
        <v>1421</v>
      </c>
    </row>
    <row r="60" spans="1:27" ht="14.85" customHeight="1">
      <c r="B60" s="234" t="s">
        <v>1422</v>
      </c>
    </row>
    <row r="61" spans="1:27" ht="14.85" customHeight="1"/>
    <row r="62" spans="1:27" ht="14.85" customHeight="1">
      <c r="B62" s="234" t="s">
        <v>1423</v>
      </c>
    </row>
    <row r="63" spans="1:27" ht="14.85" customHeight="1">
      <c r="B63" s="234" t="s">
        <v>1424</v>
      </c>
    </row>
    <row r="64" spans="1:27"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265" priority="9" operator="equal">
      <formula>"(Invalid Identifier)"</formula>
    </cfRule>
  </conditionalFormatting>
  <conditionalFormatting sqref="C4:I4">
    <cfRule type="cellIs" dxfId="264" priority="8" stopIfTrue="1" operator="equal">
      <formula>"input"</formula>
    </cfRule>
  </conditionalFormatting>
  <conditionalFormatting sqref="J4">
    <cfRule type="cellIs" dxfId="263" priority="6" stopIfTrue="1" operator="equal">
      <formula>"input"</formula>
    </cfRule>
  </conditionalFormatting>
  <conditionalFormatting sqref="J4">
    <cfRule type="cellIs" dxfId="262" priority="7" stopIfTrue="1" operator="equal">
      <formula>"input"</formula>
    </cfRule>
  </conditionalFormatting>
  <conditionalFormatting sqref="K4:X4">
    <cfRule type="cellIs" dxfId="261" priority="4" stopIfTrue="1" operator="equal">
      <formula>"input"</formula>
    </cfRule>
  </conditionalFormatting>
  <conditionalFormatting sqref="K4:X4">
    <cfRule type="cellIs" dxfId="260" priority="5" stopIfTrue="1" operator="equal">
      <formula>"input"</formula>
    </cfRule>
  </conditionalFormatting>
  <conditionalFormatting sqref="Y4">
    <cfRule type="cellIs" dxfId="259" priority="2" stopIfTrue="1" operator="equal">
      <formula>"input"</formula>
    </cfRule>
  </conditionalFormatting>
  <conditionalFormatting sqref="Y4">
    <cfRule type="cellIs" dxfId="258" priority="3" stopIfTrue="1" operator="equal">
      <formula>"input"</formula>
    </cfRule>
  </conditionalFormatting>
  <conditionalFormatting sqref="B4">
    <cfRule type="cellIs" dxfId="257"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74"/>
  <dimension ref="A1:AI759"/>
  <sheetViews>
    <sheetView showGridLines="0" view="pageBreakPreview" topLeftCell="A28" zoomScaleNormal="100" zoomScaleSheetLayoutView="100" workbookViewId="0">
      <selection activeCell="Y46" sqref="Y46"/>
    </sheetView>
  </sheetViews>
  <sheetFormatPr defaultRowHeight="14.25" outlineLevelRow="1" outlineLevelCol="1"/>
  <cols>
    <col min="1" max="1" width="4.5" style="234" customWidth="1"/>
    <col min="2" max="2" width="42.83203125" style="234" customWidth="1"/>
    <col min="3" max="3" width="3.5" style="234" customWidth="1"/>
    <col min="4" max="4" width="13.332031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Exhibit H.4</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tr">
        <f>"Asset Volatility ("&amp;TEXT('PWERM DLOM'!F6,"")&amp;")"</f>
        <v>Asset Volatility (M&amp;A - Phase I)</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'PWERM DLOM'!F10</f>
        <v>2.9178082191780819</v>
      </c>
      <c r="O6" s="440">
        <f>'Risk-Free Rates'!E43</f>
        <v>2.4316438356164382E-2</v>
      </c>
      <c r="Q6" s="268">
        <f>HLOOKUP(ROUND(N6,0),'Equity Vol'!$D$8:$K$8,1,TRUE)</f>
        <v>3</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row r="10" spans="2:35" ht="14.85" customHeight="1">
      <c r="B10" s="1918" t="s">
        <v>4046</v>
      </c>
      <c r="C10" s="1002"/>
      <c r="D10" s="1002"/>
      <c r="E10" s="1002"/>
      <c r="F10" s="1002"/>
      <c r="G10" s="1002"/>
      <c r="H10" s="1002"/>
      <c r="I10" s="1002"/>
      <c r="J10" s="1002"/>
      <c r="K10" s="1002"/>
      <c r="L10" s="1002"/>
      <c r="M10" s="1002"/>
      <c r="N10" s="1002"/>
      <c r="O10" s="1002"/>
      <c r="P10" s="1920"/>
      <c r="Q10" s="1002"/>
      <c r="R10" s="1002"/>
      <c r="S10" s="1002"/>
      <c r="T10" s="1002"/>
      <c r="U10" s="1002"/>
      <c r="V10" s="1002"/>
      <c r="W10" s="1002"/>
      <c r="X10" s="1002"/>
      <c r="Y10" s="1002"/>
    </row>
    <row r="11" spans="2:35" s="1002" customFormat="1" ht="14.85" customHeight="1">
      <c r="B11" s="1002" t="str">
        <f>'Comp.1'!B11</f>
        <v>Alnylam Pharmaceuticals, Inc.</v>
      </c>
      <c r="D11" s="1922">
        <f>'Beta Calc'!K11</f>
        <v>8868.9653999999991</v>
      </c>
      <c r="E11" s="1922">
        <f>'Beta Calc'!L11</f>
        <v>30</v>
      </c>
      <c r="F11" s="1922" t="str">
        <f>'Beta Calc'!M11</f>
        <v>n/a</v>
      </c>
      <c r="G11" s="1922" t="str">
        <f>'Beta Calc'!N11</f>
        <v>n/a</v>
      </c>
      <c r="H11" s="1922">
        <f>SUM(E11:G11)</f>
        <v>30</v>
      </c>
      <c r="I11" s="1922">
        <f>SUM(D11:G11)</f>
        <v>8898.9653999999991</v>
      </c>
      <c r="J11" s="1922">
        <f>'Beta Calc'!Q11</f>
        <v>1236.8340000000001</v>
      </c>
      <c r="K11" s="1922">
        <f>I11-J11</f>
        <v>7662.1313999999993</v>
      </c>
      <c r="M11" s="2070">
        <f>IFERROR('Capital IQ Sheet-GPC'!AT13,"n/a")</f>
        <v>0</v>
      </c>
      <c r="N11" s="1922">
        <f t="shared" ref="N11:O35" si="0">N$6</f>
        <v>2.9178082191780819</v>
      </c>
      <c r="O11" s="2085">
        <f t="shared" si="0"/>
        <v>2.4316438356164382E-2</v>
      </c>
      <c r="P11" s="2086"/>
      <c r="Q11" s="2087">
        <f>IFERROR(HLOOKUP($Q$6,'Equity Vol'!$B$8:$K11,ROWS('Equity Vol'!$C$8:$C11),FALSE),"n/a")</f>
        <v>0.7096389326799265</v>
      </c>
      <c r="R11" s="2088"/>
      <c r="S11" s="2089">
        <f>IFERROR(IF(Q11="n/a","n/a",Q11^2),"n/a")</f>
        <v>0.50358741477510527</v>
      </c>
      <c r="T11" s="2089">
        <f t="shared" ref="T11:T35" si="1">IF(OR(K11="n/a",S11="n/a"),"n/a",IF(H11=0,0,IF(M11=0,(LN(K11/H11)+((O11+(S11/2))*N11))/((S11*N11)^0.5),(LN(K11/H11)+((O11-M11+(S11/2))*N11))/((S11*N11)^0.5))))</f>
        <v>5.237261523667299</v>
      </c>
      <c r="U11" s="2090">
        <f t="shared" ref="U11:U35" si="2">IF(T11="n/a","n/a",IF(H11=0,0,T11-(S11*N11)^0.5))</f>
        <v>4.0250851759746684</v>
      </c>
      <c r="V11" s="2090">
        <f t="shared" ref="V11:V35" si="3">IF(OR(T11="n/a",S11="n/a"),"n/a",IF(H11=0,0,NORMSDIST(T11)))</f>
        <v>0.99999991851166026</v>
      </c>
      <c r="W11" s="2090">
        <f t="shared" ref="W11:W35" si="4">IF(OR(U11="n/a",S11="n/a"),"n/a",IF(H11=0,0,NORMSDIST(U11)))</f>
        <v>0.9999715226516197</v>
      </c>
      <c r="X11" s="1351">
        <f t="shared" ref="X11:X35" si="5">IF(OR(K11="n/a",S11="n/a"),"n/a",IF(M11=0,(K11*V11)-((H11*EXP(1)^(-O11*N11))*W11),(K11*(2.718^(-M11*N11))*V11)-(H11*(2.718^(-O11*N11))*W11)))</f>
        <v>7634.1863371051877</v>
      </c>
      <c r="Y11" s="2087">
        <f>IFERROR(IF(LEN(B11)&gt;0,IF(H11=0,Q11,IF(ISERROR(Q11/((K11/X11)*V11)),"n/a",Q11/((K11/X11)*V11)))),"n/a")</f>
        <v>0.70705081951575655</v>
      </c>
      <c r="AA11" s="1924" t="str">
        <f>IF('MASTER PubCo Inputs'!B28=0,"",'MASTER PubCo Inputs'!B28)</f>
        <v>NasdaqGS:ALNY</v>
      </c>
      <c r="AB11" s="1922">
        <f>'Beta Calc'!Z11</f>
        <v>7662.1313899999996</v>
      </c>
      <c r="AC11" s="2091">
        <f t="shared" ref="AC11:AC35" si="6">K11-AB11</f>
        <v>9.9999997473787516E-6</v>
      </c>
      <c r="AI11" s="2092"/>
    </row>
    <row r="12" spans="2:35" s="1002" customFormat="1" ht="14.85" customHeight="1">
      <c r="B12" s="1002" t="str">
        <f>'Comp.1'!B12</f>
        <v>bluebird bio, Inc.</v>
      </c>
      <c r="D12" s="1922">
        <f>'Beta Calc'!K12</f>
        <v>7297.8752599999998</v>
      </c>
      <c r="E12" s="1922">
        <f>'Beta Calc'!L12</f>
        <v>155.03399999999999</v>
      </c>
      <c r="F12" s="1922" t="str">
        <f>'Beta Calc'!M12</f>
        <v>n/a</v>
      </c>
      <c r="G12" s="1922" t="str">
        <f>'Beta Calc'!N12</f>
        <v>n/a</v>
      </c>
      <c r="H12" s="1922">
        <f t="shared" ref="H12:H35" si="7">SUM(E12:G12)</f>
        <v>155.03399999999999</v>
      </c>
      <c r="I12" s="1922">
        <f t="shared" ref="I12:I35" si="8">SUM(D12:G12)</f>
        <v>7452.9092599999994</v>
      </c>
      <c r="J12" s="1922">
        <f>'Beta Calc'!Q12</f>
        <v>1695.2950000000001</v>
      </c>
      <c r="K12" s="1922">
        <f t="shared" ref="K12:K35" si="9">I12-J12</f>
        <v>5757.6142599999994</v>
      </c>
      <c r="M12" s="2070">
        <f>IFERROR('Capital IQ Sheet-GPC'!AT14,"n/a")</f>
        <v>0</v>
      </c>
      <c r="N12" s="1922">
        <f t="shared" si="0"/>
        <v>2.9178082191780819</v>
      </c>
      <c r="O12" s="2085">
        <f t="shared" si="0"/>
        <v>2.4316438356164382E-2</v>
      </c>
      <c r="P12" s="2086"/>
      <c r="Q12" s="2087">
        <f>IFERROR(HLOOKUP($Q$6,'Equity Vol'!$B$8:$K12,ROWS('Equity Vol'!$C$8:$C12),FALSE),"n/a")</f>
        <v>0.62078542774096979</v>
      </c>
      <c r="R12" s="2088"/>
      <c r="S12" s="2089">
        <f t="shared" ref="S12:S35" si="10">IFERROR(IF(Q12="n/a","n/a",Q12^2),"n/a")</f>
        <v>0.38537454729553883</v>
      </c>
      <c r="T12" s="2089">
        <f t="shared" si="1"/>
        <v>4.0058540327608538</v>
      </c>
      <c r="U12" s="2090">
        <f t="shared" si="2"/>
        <v>2.9454536265175539</v>
      </c>
      <c r="V12" s="2090">
        <f t="shared" si="3"/>
        <v>0.99996910309883158</v>
      </c>
      <c r="W12" s="2090">
        <f t="shared" si="4"/>
        <v>0.99838759257796539</v>
      </c>
      <c r="X12" s="1351">
        <f t="shared" si="5"/>
        <v>5613.2538420418587</v>
      </c>
      <c r="Y12" s="2087">
        <f t="shared" ref="Y12:Y35" si="11">IFERROR(IF(LEN(B12)&gt;0,IF(H12=0,Q12,IF(ISERROR(Q12/((K12/X12)*V12)),"n/a",Q12/((K12/X12)*V12)))),"n/a")</f>
        <v>0.60523920107633411</v>
      </c>
      <c r="AA12" s="1924" t="str">
        <f>IF('MASTER PubCo Inputs'!B29=0,"",'MASTER PubCo Inputs'!B29)</f>
        <v>NasdaqGS:BLUE</v>
      </c>
      <c r="AB12" s="1922">
        <f>'Beta Calc'!Z12</f>
        <v>5757.6142600000003</v>
      </c>
      <c r="AC12" s="2091">
        <f t="shared" si="6"/>
        <v>0</v>
      </c>
      <c r="AI12" s="2092"/>
    </row>
    <row r="13" spans="2:35" s="1002" customFormat="1" ht="14.85" customHeight="1">
      <c r="B13" s="1002" t="str">
        <f>'Comp.1'!B13</f>
        <v>Ironwood Pharmaceuticals, Inc.</v>
      </c>
      <c r="D13" s="1922">
        <f>'Beta Calc'!K13</f>
        <v>2104.44911</v>
      </c>
      <c r="E13" s="1922">
        <f>'Beta Calc'!L13</f>
        <v>409.30599999999998</v>
      </c>
      <c r="F13" s="1922" t="str">
        <f>'Beta Calc'!M13</f>
        <v>n/a</v>
      </c>
      <c r="G13" s="1922" t="str">
        <f>'Beta Calc'!N13</f>
        <v>n/a</v>
      </c>
      <c r="H13" s="1922">
        <f t="shared" si="7"/>
        <v>409.30599999999998</v>
      </c>
      <c r="I13" s="1922">
        <f t="shared" si="8"/>
        <v>2513.7551100000001</v>
      </c>
      <c r="J13" s="1922">
        <f>'Beta Calc'!Q13</f>
        <v>161.398</v>
      </c>
      <c r="K13" s="1922">
        <f t="shared" si="9"/>
        <v>2352.3571099999999</v>
      </c>
      <c r="M13" s="2070">
        <f>IFERROR('Capital IQ Sheet-GPC'!AT15,"n/a")</f>
        <v>0</v>
      </c>
      <c r="N13" s="1922">
        <f t="shared" si="0"/>
        <v>2.9178082191780819</v>
      </c>
      <c r="O13" s="2085">
        <f t="shared" si="0"/>
        <v>2.4316438356164382E-2</v>
      </c>
      <c r="P13" s="2086"/>
      <c r="Q13" s="2087">
        <f>IFERROR(HLOOKUP($Q$6,'Equity Vol'!$B$8:$K13,ROWS('Equity Vol'!$C$8:$C13),FALSE),"n/a")</f>
        <v>0.45368577964898188</v>
      </c>
      <c r="R13" s="2088"/>
      <c r="S13" s="2089">
        <f t="shared" si="10"/>
        <v>0.20583078665570453</v>
      </c>
      <c r="T13" s="2089">
        <f t="shared" si="1"/>
        <v>2.7355314040398722</v>
      </c>
      <c r="U13" s="2090">
        <f t="shared" si="2"/>
        <v>1.9605638169345114</v>
      </c>
      <c r="V13" s="2090">
        <f t="shared" si="3"/>
        <v>0.99688601783180286</v>
      </c>
      <c r="W13" s="2090">
        <f t="shared" si="4"/>
        <v>0.97503503664461455</v>
      </c>
      <c r="X13" s="1351">
        <f t="shared" si="5"/>
        <v>1973.2786107819529</v>
      </c>
      <c r="Y13" s="2087">
        <f t="shared" si="11"/>
        <v>0.38176386447105587</v>
      </c>
      <c r="AA13" s="1924" t="str">
        <f>IF('MASTER PubCo Inputs'!B30=0,"",'MASTER PubCo Inputs'!B30)</f>
        <v>NasdaqGS:IRWD</v>
      </c>
      <c r="AB13" s="1922">
        <f>'Beta Calc'!Z13</f>
        <v>2352.3571099999999</v>
      </c>
      <c r="AC13" s="2091">
        <f t="shared" si="6"/>
        <v>0</v>
      </c>
      <c r="AI13" s="2092"/>
    </row>
    <row r="14" spans="2:35" s="1002" customFormat="1" ht="14.85" customHeight="1">
      <c r="B14" s="1002" t="str">
        <f>'Comp.1'!B14</f>
        <v>Global Blood Therapeutics, Inc.</v>
      </c>
      <c r="D14" s="1922">
        <f>'Beta Calc'!K14</f>
        <v>2660.4172400000002</v>
      </c>
      <c r="E14" s="1922">
        <f>'Beta Calc'!L14</f>
        <v>0</v>
      </c>
      <c r="F14" s="1922" t="str">
        <f>'Beta Calc'!M14</f>
        <v>n/a</v>
      </c>
      <c r="G14" s="1922" t="str">
        <f>'Beta Calc'!N14</f>
        <v>n/a</v>
      </c>
      <c r="H14" s="1922">
        <f t="shared" si="7"/>
        <v>0</v>
      </c>
      <c r="I14" s="1922">
        <f t="shared" si="8"/>
        <v>2660.4172400000002</v>
      </c>
      <c r="J14" s="1922">
        <f>'Beta Calc'!Q14</f>
        <v>383.22800000000001</v>
      </c>
      <c r="K14" s="1922">
        <f t="shared" si="9"/>
        <v>2277.1892400000002</v>
      </c>
      <c r="M14" s="2070">
        <f>IFERROR('Capital IQ Sheet-GPC'!AT16,"n/a")</f>
        <v>0</v>
      </c>
      <c r="N14" s="1922">
        <f t="shared" si="0"/>
        <v>2.9178082191780819</v>
      </c>
      <c r="O14" s="2085">
        <f t="shared" si="0"/>
        <v>2.4316438356164382E-2</v>
      </c>
      <c r="P14" s="2086"/>
      <c r="Q14" s="2087">
        <f>IFERROR(HLOOKUP($Q$6,'Equity Vol'!$B$8:$K14,ROWS('Equity Vol'!$C$8:$C14),FALSE),"n/a")</f>
        <v>0.73278037479134861</v>
      </c>
      <c r="R14" s="2088"/>
      <c r="S14" s="2089">
        <f t="shared" si="10"/>
        <v>0.53696707767934937</v>
      </c>
      <c r="T14" s="2089">
        <f t="shared" si="1"/>
        <v>0</v>
      </c>
      <c r="U14" s="2090">
        <f t="shared" si="2"/>
        <v>0</v>
      </c>
      <c r="V14" s="2090">
        <f t="shared" si="3"/>
        <v>0</v>
      </c>
      <c r="W14" s="2090">
        <f t="shared" si="4"/>
        <v>0</v>
      </c>
      <c r="X14" s="1351">
        <f t="shared" si="5"/>
        <v>0</v>
      </c>
      <c r="Y14" s="2087">
        <f t="shared" si="11"/>
        <v>0.73278037479134861</v>
      </c>
      <c r="AA14" s="1924" t="str">
        <f>IF('MASTER PubCo Inputs'!B31=0,"",'MASTER PubCo Inputs'!B31)</f>
        <v>NasdaqGS:GBT</v>
      </c>
      <c r="AB14" s="1922">
        <f>'Beta Calc'!Z14</f>
        <v>2277.1892400000002</v>
      </c>
      <c r="AC14" s="2091">
        <f t="shared" si="6"/>
        <v>0</v>
      </c>
      <c r="AI14" s="2092"/>
    </row>
    <row r="15" spans="2:35" s="1002" customFormat="1" ht="14.85" customHeight="1">
      <c r="B15" s="1002" t="str">
        <f>'Comp.1'!B15</f>
        <v>Acceleron Pharma Inc.</v>
      </c>
      <c r="D15" s="1922">
        <f>'Beta Calc'!K15</f>
        <v>2185.0571599999998</v>
      </c>
      <c r="E15" s="1922">
        <f>'Beta Calc'!L15</f>
        <v>0</v>
      </c>
      <c r="F15" s="1922" t="str">
        <f>'Beta Calc'!M15</f>
        <v>n/a</v>
      </c>
      <c r="G15" s="1922" t="str">
        <f>'Beta Calc'!N15</f>
        <v>n/a</v>
      </c>
      <c r="H15" s="1922">
        <f t="shared" si="7"/>
        <v>0</v>
      </c>
      <c r="I15" s="1922">
        <f t="shared" si="8"/>
        <v>2185.0571599999998</v>
      </c>
      <c r="J15" s="1922">
        <f>'Beta Calc'!Q15</f>
        <v>307.97199999999998</v>
      </c>
      <c r="K15" s="1922">
        <f t="shared" si="9"/>
        <v>1877.0851599999999</v>
      </c>
      <c r="M15" s="2070">
        <f>IFERROR('Capital IQ Sheet-GPC'!AT17,"n/a")</f>
        <v>0</v>
      </c>
      <c r="N15" s="1922">
        <f t="shared" si="0"/>
        <v>2.9178082191780819</v>
      </c>
      <c r="O15" s="2085">
        <f t="shared" si="0"/>
        <v>2.4316438356164382E-2</v>
      </c>
      <c r="P15" s="2086"/>
      <c r="Q15" s="2087">
        <f>IFERROR(HLOOKUP($Q$6,'Equity Vol'!$B$8:$K15,ROWS('Equity Vol'!$C$8:$C15),FALSE),"n/a")</f>
        <v>0.56423016277929228</v>
      </c>
      <c r="R15" s="2088"/>
      <c r="S15" s="2089">
        <f t="shared" si="10"/>
        <v>0.31835567658994668</v>
      </c>
      <c r="T15" s="2089">
        <f t="shared" si="1"/>
        <v>0</v>
      </c>
      <c r="U15" s="2090">
        <f t="shared" si="2"/>
        <v>0</v>
      </c>
      <c r="V15" s="2090">
        <f t="shared" si="3"/>
        <v>0</v>
      </c>
      <c r="W15" s="2090">
        <f t="shared" si="4"/>
        <v>0</v>
      </c>
      <c r="X15" s="1351">
        <f t="shared" si="5"/>
        <v>0</v>
      </c>
      <c r="Y15" s="2087">
        <f t="shared" si="11"/>
        <v>0.56423016277929228</v>
      </c>
      <c r="AA15" s="1924" t="str">
        <f>IF('MASTER PubCo Inputs'!B32=0,"",'MASTER PubCo Inputs'!B32)</f>
        <v>NasdaqGM:XLRN</v>
      </c>
      <c r="AB15" s="1922">
        <f>'Beta Calc'!Z15</f>
        <v>1877.0851600000001</v>
      </c>
      <c r="AC15" s="2091">
        <f t="shared" si="6"/>
        <v>0</v>
      </c>
      <c r="AI15" s="2092"/>
    </row>
    <row r="16" spans="2:35" s="1002" customFormat="1" ht="14.85" customHeight="1">
      <c r="B16" s="1002" t="str">
        <f>'Comp.1'!B16</f>
        <v>Spark Therapeutics, Inc.</v>
      </c>
      <c r="D16" s="1922">
        <f>'Beta Calc'!K16</f>
        <v>1805.0671400000001</v>
      </c>
      <c r="E16" s="1922">
        <f>'Beta Calc'!L16</f>
        <v>84.891000000000005</v>
      </c>
      <c r="F16" s="1922" t="str">
        <f>'Beta Calc'!M16</f>
        <v>n/a</v>
      </c>
      <c r="G16" s="1922" t="str">
        <f>'Beta Calc'!N16</f>
        <v>n/a</v>
      </c>
      <c r="H16" s="1922">
        <f t="shared" si="7"/>
        <v>84.891000000000005</v>
      </c>
      <c r="I16" s="1922">
        <f t="shared" si="8"/>
        <v>1889.9581400000002</v>
      </c>
      <c r="J16" s="1922">
        <f>'Beta Calc'!Q16</f>
        <v>590.476</v>
      </c>
      <c r="K16" s="1922">
        <f t="shared" si="9"/>
        <v>1299.4821400000001</v>
      </c>
      <c r="M16" s="2070">
        <f>IFERROR('Capital IQ Sheet-GPC'!AT18,"n/a")</f>
        <v>0</v>
      </c>
      <c r="N16" s="1922">
        <f t="shared" si="0"/>
        <v>2.9178082191780819</v>
      </c>
      <c r="O16" s="2085">
        <f t="shared" si="0"/>
        <v>2.4316438356164382E-2</v>
      </c>
      <c r="P16" s="2086"/>
      <c r="Q16" s="2087">
        <f>IFERROR(HLOOKUP($Q$6,'Equity Vol'!$B$8:$K16,ROWS('Equity Vol'!$C$8:$C16),FALSE),"n/a")</f>
        <v>0.67870462913818252</v>
      </c>
      <c r="R16" s="2088"/>
      <c r="S16" s="2089">
        <f t="shared" si="10"/>
        <v>0.46063997361359788</v>
      </c>
      <c r="T16" s="2089">
        <f t="shared" si="1"/>
        <v>2.9942435964805334</v>
      </c>
      <c r="U16" s="2090">
        <f t="shared" si="2"/>
        <v>1.8349079672981423</v>
      </c>
      <c r="V16" s="2090">
        <f t="shared" si="3"/>
        <v>0.99862436904797858</v>
      </c>
      <c r="W16" s="2090">
        <f t="shared" si="4"/>
        <v>0.96674033651335922</v>
      </c>
      <c r="X16" s="1351">
        <f t="shared" si="5"/>
        <v>1221.247964661874</v>
      </c>
      <c r="Y16" s="2087">
        <f t="shared" si="11"/>
        <v>0.63872246234289431</v>
      </c>
      <c r="AA16" s="1924" t="str">
        <f>IF('MASTER PubCo Inputs'!B33=0,"",'MASTER PubCo Inputs'!B33)</f>
        <v>NasdaqGS:ONCE</v>
      </c>
      <c r="AB16" s="1922">
        <f>'Beta Calc'!Z16</f>
        <v>1299.4821300000001</v>
      </c>
      <c r="AC16" s="2091">
        <f t="shared" si="6"/>
        <v>9.9999999747524271E-6</v>
      </c>
      <c r="AI16" s="2092"/>
    </row>
    <row r="17" spans="2:35" s="1002" customFormat="1" ht="14.85" customHeight="1">
      <c r="B17" s="1002" t="str">
        <f>'Comp.1'!B17</f>
        <v>REGENXBIO Inc.</v>
      </c>
      <c r="D17" s="1922">
        <f>'Beta Calc'!K17</f>
        <v>1575.5421799999999</v>
      </c>
      <c r="E17" s="1922">
        <f>'Beta Calc'!L17</f>
        <v>0</v>
      </c>
      <c r="F17" s="1922" t="str">
        <f>'Beta Calc'!M17</f>
        <v>n/a</v>
      </c>
      <c r="G17" s="1922" t="str">
        <f>'Beta Calc'!N17</f>
        <v>n/a</v>
      </c>
      <c r="H17" s="1922">
        <f t="shared" si="7"/>
        <v>0</v>
      </c>
      <c r="I17" s="1922">
        <f t="shared" si="8"/>
        <v>1575.5421799999999</v>
      </c>
      <c r="J17" s="1922">
        <f>'Beta Calc'!Q17</f>
        <v>372.589</v>
      </c>
      <c r="K17" s="1922">
        <f t="shared" si="9"/>
        <v>1202.95318</v>
      </c>
      <c r="M17" s="2070">
        <f>IFERROR('Capital IQ Sheet-GPC'!AT19,"n/a")</f>
        <v>0</v>
      </c>
      <c r="N17" s="1922">
        <f t="shared" si="0"/>
        <v>2.9178082191780819</v>
      </c>
      <c r="O17" s="2085">
        <f t="shared" si="0"/>
        <v>2.4316438356164382E-2</v>
      </c>
      <c r="P17" s="2086"/>
      <c r="Q17" s="2087">
        <f>IFERROR(HLOOKUP($Q$6,'Equity Vol'!$B$8:$K17,ROWS('Equity Vol'!$C$8:$C17),FALSE),"n/a")</f>
        <v>0.66256910320315288</v>
      </c>
      <c r="R17" s="2088"/>
      <c r="S17" s="2089">
        <f t="shared" si="10"/>
        <v>0.43899781651943026</v>
      </c>
      <c r="T17" s="2089">
        <f t="shared" si="1"/>
        <v>0</v>
      </c>
      <c r="U17" s="2090">
        <f t="shared" si="2"/>
        <v>0</v>
      </c>
      <c r="V17" s="2090">
        <f t="shared" si="3"/>
        <v>0</v>
      </c>
      <c r="W17" s="2090">
        <f t="shared" si="4"/>
        <v>0</v>
      </c>
      <c r="X17" s="1351">
        <f t="shared" si="5"/>
        <v>0</v>
      </c>
      <c r="Y17" s="2087">
        <f t="shared" si="11"/>
        <v>0.66256910320315288</v>
      </c>
      <c r="AA17" s="1924" t="str">
        <f>IF('MASTER PubCo Inputs'!B34=0,"",'MASTER PubCo Inputs'!B34)</f>
        <v>NasdaqGS:RGNX</v>
      </c>
      <c r="AB17" s="1922">
        <f>'Beta Calc'!Z17</f>
        <v>1202.95318</v>
      </c>
      <c r="AC17" s="2091">
        <f t="shared" si="6"/>
        <v>0</v>
      </c>
      <c r="AI17" s="2092"/>
    </row>
    <row r="18" spans="2:35" s="1002" customFormat="1" ht="14.85" customHeight="1">
      <c r="B18" s="1002" t="str">
        <f>'Comp.1'!B18</f>
        <v>uniQure N.V.</v>
      </c>
      <c r="D18" s="1922">
        <f>'Beta Calc'!K18</f>
        <v>1275.6593700000001</v>
      </c>
      <c r="E18" s="1922">
        <f>'Beta Calc'!L18</f>
        <v>20.707999999999998</v>
      </c>
      <c r="F18" s="1922" t="str">
        <f>'Beta Calc'!M18</f>
        <v>n/a</v>
      </c>
      <c r="G18" s="1922" t="str">
        <f>'Beta Calc'!N18</f>
        <v>n/a</v>
      </c>
      <c r="H18" s="1922">
        <f t="shared" si="7"/>
        <v>20.707999999999998</v>
      </c>
      <c r="I18" s="1922">
        <f t="shared" si="8"/>
        <v>1296.3673700000002</v>
      </c>
      <c r="J18" s="1922">
        <f>'Beta Calc'!Q18</f>
        <v>239.54599999999999</v>
      </c>
      <c r="K18" s="1922">
        <f t="shared" si="9"/>
        <v>1056.8213700000001</v>
      </c>
      <c r="M18" s="2070">
        <f>IFERROR('Capital IQ Sheet-GPC'!AT20,"n/a")</f>
        <v>0</v>
      </c>
      <c r="N18" s="1922">
        <f t="shared" si="0"/>
        <v>2.9178082191780819</v>
      </c>
      <c r="O18" s="2085">
        <f t="shared" si="0"/>
        <v>2.4316438356164382E-2</v>
      </c>
      <c r="P18" s="2086"/>
      <c r="Q18" s="2087">
        <f>IFERROR(HLOOKUP($Q$6,'Equity Vol'!$B$8:$K18,ROWS('Equity Vol'!$C$8:$C18),FALSE),"n/a")</f>
        <v>0.72202351879102378</v>
      </c>
      <c r="R18" s="2088"/>
      <c r="S18" s="2089">
        <f t="shared" si="10"/>
        <v>0.52131796168737188</v>
      </c>
      <c r="T18" s="2089">
        <f t="shared" si="1"/>
        <v>3.8627130490402575</v>
      </c>
      <c r="U18" s="2090">
        <f t="shared" si="2"/>
        <v>2.6293818553146719</v>
      </c>
      <c r="V18" s="2090">
        <f t="shared" si="3"/>
        <v>0.99994393265145198</v>
      </c>
      <c r="W18" s="2090">
        <f t="shared" si="4"/>
        <v>0.99572298754844357</v>
      </c>
      <c r="X18" s="1351">
        <f t="shared" si="5"/>
        <v>1037.5549552120772</v>
      </c>
      <c r="Y18" s="2087">
        <f t="shared" si="11"/>
        <v>0.70890039278659356</v>
      </c>
      <c r="AA18" s="1924" t="str">
        <f>IF('MASTER PubCo Inputs'!B35=0,"",'MASTER PubCo Inputs'!B35)</f>
        <v>NasdaqGS:QURE</v>
      </c>
      <c r="AB18" s="1922">
        <f>'Beta Calc'!Z18</f>
        <v>1056.8213699999999</v>
      </c>
      <c r="AC18" s="2091">
        <f t="shared" si="6"/>
        <v>0</v>
      </c>
      <c r="AI18" s="2092"/>
    </row>
    <row r="19" spans="2:35" s="1002" customFormat="1" ht="14.85" customHeight="1">
      <c r="B19" s="1002" t="str">
        <f>'Comp.1'!B19</f>
        <v>Audentes Therapeutics, Inc.</v>
      </c>
      <c r="D19" s="1922">
        <f>'Beta Calc'!K19</f>
        <v>1058.70937</v>
      </c>
      <c r="E19" s="1922">
        <f>'Beta Calc'!L19</f>
        <v>0</v>
      </c>
      <c r="F19" s="1922" t="str">
        <f>'Beta Calc'!M19</f>
        <v>n/a</v>
      </c>
      <c r="G19" s="1922" t="str">
        <f>'Beta Calc'!N19</f>
        <v>n/a</v>
      </c>
      <c r="H19" s="1922">
        <f t="shared" si="7"/>
        <v>0</v>
      </c>
      <c r="I19" s="1922">
        <f t="shared" si="8"/>
        <v>1058.70937</v>
      </c>
      <c r="J19" s="1922">
        <f>'Beta Calc'!Q19</f>
        <v>280.68599999999998</v>
      </c>
      <c r="K19" s="1922">
        <f t="shared" si="9"/>
        <v>778.02337000000011</v>
      </c>
      <c r="M19" s="2070">
        <f>IFERROR('Capital IQ Sheet-GPC'!AT21,"n/a")</f>
        <v>0</v>
      </c>
      <c r="N19" s="1922">
        <f t="shared" si="0"/>
        <v>2.9178082191780819</v>
      </c>
      <c r="O19" s="2085">
        <f t="shared" si="0"/>
        <v>2.4316438356164382E-2</v>
      </c>
      <c r="P19" s="2086"/>
      <c r="Q19" s="2087">
        <f>IFERROR(HLOOKUP($Q$6,'Equity Vol'!$B$8:$K19,ROWS('Equity Vol'!$C$8:$C19),FALSE),"n/a")</f>
        <v>0.59768048017248299</v>
      </c>
      <c r="R19" s="2088"/>
      <c r="S19" s="2089">
        <f t="shared" si="10"/>
        <v>0.35722195637920984</v>
      </c>
      <c r="T19" s="2089">
        <f t="shared" si="1"/>
        <v>0</v>
      </c>
      <c r="U19" s="2090">
        <f t="shared" si="2"/>
        <v>0</v>
      </c>
      <c r="V19" s="2090">
        <f t="shared" si="3"/>
        <v>0</v>
      </c>
      <c r="W19" s="2090">
        <f t="shared" si="4"/>
        <v>0</v>
      </c>
      <c r="X19" s="1351">
        <f t="shared" si="5"/>
        <v>0</v>
      </c>
      <c r="Y19" s="2087">
        <f t="shared" si="11"/>
        <v>0.59768048017248299</v>
      </c>
      <c r="AA19" s="1924" t="str">
        <f>IF('MASTER PubCo Inputs'!B36=0,"",'MASTER PubCo Inputs'!B36)</f>
        <v>NasdaqGM:BOLD</v>
      </c>
      <c r="AB19" s="1922">
        <f>'Beta Calc'!Z19</f>
        <v>778.02337</v>
      </c>
      <c r="AC19" s="2091">
        <f t="shared" si="6"/>
        <v>0</v>
      </c>
      <c r="AI19" s="2092"/>
    </row>
    <row r="20" spans="2:35" s="1002" customFormat="1" ht="14.85" customHeight="1">
      <c r="B20" s="1002" t="str">
        <f>'Comp.1'!B20</f>
        <v>Sangamo Therapeutics, Inc.</v>
      </c>
      <c r="D20" s="1922">
        <f>'Beta Calc'!K20</f>
        <v>1193.4655700000001</v>
      </c>
      <c r="E20" s="1922">
        <f>'Beta Calc'!L20</f>
        <v>0</v>
      </c>
      <c r="F20" s="1922" t="str">
        <f>'Beta Calc'!M20</f>
        <v>n/a</v>
      </c>
      <c r="G20" s="1922" t="str">
        <f>'Beta Calc'!N20</f>
        <v>n/a</v>
      </c>
      <c r="H20" s="1922">
        <f t="shared" si="7"/>
        <v>0</v>
      </c>
      <c r="I20" s="1922">
        <f t="shared" si="8"/>
        <v>1193.4655700000001</v>
      </c>
      <c r="J20" s="1922">
        <f>'Beta Calc'!Q20</f>
        <v>458.57</v>
      </c>
      <c r="K20" s="1922">
        <f t="shared" si="9"/>
        <v>734.89557000000013</v>
      </c>
      <c r="M20" s="2070">
        <f>IFERROR('Capital IQ Sheet-GPC'!AT22,"n/a")</f>
        <v>0</v>
      </c>
      <c r="N20" s="1922">
        <f t="shared" si="0"/>
        <v>2.9178082191780819</v>
      </c>
      <c r="O20" s="2085">
        <f t="shared" si="0"/>
        <v>2.4316438356164382E-2</v>
      </c>
      <c r="P20" s="2086"/>
      <c r="Q20" s="2087">
        <f>IFERROR(HLOOKUP($Q$6,'Equity Vol'!$B$8:$K20,ROWS('Equity Vol'!$C$8:$C20),FALSE),"n/a")</f>
        <v>0.81085681085935835</v>
      </c>
      <c r="R20" s="2088"/>
      <c r="S20" s="2089">
        <f t="shared" si="10"/>
        <v>0.65748876771700926</v>
      </c>
      <c r="T20" s="2089">
        <f t="shared" si="1"/>
        <v>0</v>
      </c>
      <c r="U20" s="2090">
        <f t="shared" si="2"/>
        <v>0</v>
      </c>
      <c r="V20" s="2090">
        <f t="shared" si="3"/>
        <v>0</v>
      </c>
      <c r="W20" s="2090">
        <f t="shared" si="4"/>
        <v>0</v>
      </c>
      <c r="X20" s="1351">
        <f t="shared" si="5"/>
        <v>0</v>
      </c>
      <c r="Y20" s="2087">
        <f t="shared" si="11"/>
        <v>0.81085681085935835</v>
      </c>
      <c r="AA20" s="1924" t="str">
        <f>IF('MASTER PubCo Inputs'!B37=0,"",'MASTER PubCo Inputs'!B37)</f>
        <v>NasdaqGS:SGMO</v>
      </c>
      <c r="AB20" s="1922">
        <f>'Beta Calc'!Z20</f>
        <v>734.89557000000002</v>
      </c>
      <c r="AC20" s="2091">
        <f t="shared" si="6"/>
        <v>0</v>
      </c>
      <c r="AI20" s="2092"/>
    </row>
    <row r="21" spans="2:35" s="1002" customFormat="1" ht="14.85" customHeight="1">
      <c r="B21" s="1002" t="str">
        <f>'Comp.1'!B21</f>
        <v>Homology Medicines, Inc.</v>
      </c>
      <c r="D21" s="1922">
        <f>'Beta Calc'!K21</f>
        <v>756.27498000000003</v>
      </c>
      <c r="E21" s="1922">
        <f>'Beta Calc'!L21</f>
        <v>0</v>
      </c>
      <c r="F21" s="1922" t="str">
        <f>'Beta Calc'!M21</f>
        <v>n/a</v>
      </c>
      <c r="G21" s="1922" t="str">
        <f>'Beta Calc'!N21</f>
        <v>n/a</v>
      </c>
      <c r="H21" s="1922">
        <f t="shared" si="7"/>
        <v>0</v>
      </c>
      <c r="I21" s="1922">
        <f t="shared" si="8"/>
        <v>756.27498000000003</v>
      </c>
      <c r="J21" s="1922">
        <f>'Beta Calc'!Q21</f>
        <v>237.54401999999999</v>
      </c>
      <c r="K21" s="1922">
        <f t="shared" si="9"/>
        <v>518.7309600000001</v>
      </c>
      <c r="M21" s="2070">
        <f>IFERROR('Capital IQ Sheet-GPC'!AT23,"n/a")</f>
        <v>0</v>
      </c>
      <c r="N21" s="1922">
        <f t="shared" si="0"/>
        <v>2.9178082191780819</v>
      </c>
      <c r="O21" s="2085">
        <f t="shared" si="0"/>
        <v>2.4316438356164382E-2</v>
      </c>
      <c r="P21" s="2086"/>
      <c r="Q21" s="2087" t="str">
        <f>IFERROR(HLOOKUP($Q$6,'Equity Vol'!$B$8:$K21,ROWS('Equity Vol'!$C$8:$C21),FALSE),"n/a")</f>
        <v>NM</v>
      </c>
      <c r="R21" s="2088"/>
      <c r="S21" s="2089" t="str">
        <f t="shared" si="10"/>
        <v>n/a</v>
      </c>
      <c r="T21" s="2089" t="str">
        <f t="shared" si="1"/>
        <v>n/a</v>
      </c>
      <c r="U21" s="2090" t="str">
        <f t="shared" si="2"/>
        <v>n/a</v>
      </c>
      <c r="V21" s="2090" t="str">
        <f t="shared" si="3"/>
        <v>n/a</v>
      </c>
      <c r="W21" s="2090" t="str">
        <f t="shared" si="4"/>
        <v>n/a</v>
      </c>
      <c r="X21" s="1351" t="str">
        <f t="shared" si="5"/>
        <v>n/a</v>
      </c>
      <c r="Y21" s="2087" t="str">
        <f t="shared" si="11"/>
        <v>NM</v>
      </c>
      <c r="AA21" s="1924" t="str">
        <f>IF('MASTER PubCo Inputs'!B38=0,"",'MASTER PubCo Inputs'!B38)</f>
        <v>NasdaqGS:FIXX</v>
      </c>
      <c r="AB21" s="1922">
        <f>'Beta Calc'!Z21</f>
        <v>518.73095999999998</v>
      </c>
      <c r="AC21" s="2091">
        <f t="shared" si="6"/>
        <v>0</v>
      </c>
      <c r="AI21" s="2092"/>
    </row>
    <row r="22" spans="2:35" s="1002" customFormat="1" ht="14.85" customHeight="1">
      <c r="B22" s="1002" t="str">
        <f>'Comp.1'!B22</f>
        <v>Corbus Pharmaceuticals Holdings, Inc.</v>
      </c>
      <c r="D22" s="1922">
        <f>'Beta Calc'!K22</f>
        <v>473.53946999999999</v>
      </c>
      <c r="E22" s="1922">
        <f>'Beta Calc'!L22</f>
        <v>0</v>
      </c>
      <c r="F22" s="1922" t="str">
        <f>'Beta Calc'!M22</f>
        <v>n/a</v>
      </c>
      <c r="G22" s="1922" t="str">
        <f>'Beta Calc'!N22</f>
        <v>n/a</v>
      </c>
      <c r="H22" s="1922">
        <f t="shared" si="7"/>
        <v>0</v>
      </c>
      <c r="I22" s="1922">
        <f t="shared" si="8"/>
        <v>473.53946999999999</v>
      </c>
      <c r="J22" s="1922">
        <f>'Beta Calc'!Q22</f>
        <v>55.659350000000003</v>
      </c>
      <c r="K22" s="1922">
        <f t="shared" si="9"/>
        <v>417.88011999999998</v>
      </c>
      <c r="M22" s="2070">
        <f>IFERROR('Capital IQ Sheet-GPC'!AT24,"n/a")</f>
        <v>0</v>
      </c>
      <c r="N22" s="1922">
        <f t="shared" si="0"/>
        <v>2.9178082191780819</v>
      </c>
      <c r="O22" s="2085">
        <f t="shared" si="0"/>
        <v>2.4316438356164382E-2</v>
      </c>
      <c r="P22" s="2086"/>
      <c r="Q22" s="2087">
        <f>IFERROR(HLOOKUP($Q$6,'Equity Vol'!$B$8:$K22,ROWS('Equity Vol'!$C$8:$C22),FALSE),"n/a")</f>
        <v>0.8020029159787504</v>
      </c>
      <c r="R22" s="2088"/>
      <c r="S22" s="2089">
        <f t="shared" si="10"/>
        <v>0.64320867723841857</v>
      </c>
      <c r="T22" s="2089">
        <f t="shared" si="1"/>
        <v>0</v>
      </c>
      <c r="U22" s="2090">
        <f t="shared" si="2"/>
        <v>0</v>
      </c>
      <c r="V22" s="2090">
        <f t="shared" si="3"/>
        <v>0</v>
      </c>
      <c r="W22" s="2090">
        <f t="shared" si="4"/>
        <v>0</v>
      </c>
      <c r="X22" s="1351">
        <f t="shared" si="5"/>
        <v>0</v>
      </c>
      <c r="Y22" s="2087">
        <f t="shared" si="11"/>
        <v>0.8020029159787504</v>
      </c>
      <c r="AA22" s="1924" t="str">
        <f>IF('MASTER PubCo Inputs'!B39=0,"",'MASTER PubCo Inputs'!B39)</f>
        <v>NasdaqGM:CRBP</v>
      </c>
      <c r="AB22" s="1922">
        <f>'Beta Calc'!Z22</f>
        <v>417.88011999999998</v>
      </c>
      <c r="AC22" s="2091">
        <f t="shared" si="6"/>
        <v>0</v>
      </c>
      <c r="AI22" s="2092"/>
    </row>
    <row r="23" spans="2:35" s="1002" customFormat="1" ht="14.85" customHeight="1">
      <c r="B23" s="1002" t="str">
        <f>'Comp.1'!B23</f>
        <v>GlycoMimetics, Inc.</v>
      </c>
      <c r="D23" s="1922">
        <f>'Beta Calc'!K23</f>
        <v>483.13693999999998</v>
      </c>
      <c r="E23" s="1922">
        <f>'Beta Calc'!L23</f>
        <v>0</v>
      </c>
      <c r="F23" s="1922" t="str">
        <f>'Beta Calc'!M23</f>
        <v>n/a</v>
      </c>
      <c r="G23" s="1922" t="str">
        <f>'Beta Calc'!N23</f>
        <v>n/a</v>
      </c>
      <c r="H23" s="1922">
        <f t="shared" si="7"/>
        <v>0</v>
      </c>
      <c r="I23" s="1922">
        <f t="shared" si="8"/>
        <v>483.13693999999998</v>
      </c>
      <c r="J23" s="1922">
        <f>'Beta Calc'!Q23</f>
        <v>219.82863</v>
      </c>
      <c r="K23" s="1922">
        <f t="shared" si="9"/>
        <v>263.30831000000001</v>
      </c>
      <c r="M23" s="2070">
        <f>IFERROR('Capital IQ Sheet-GPC'!AT25,"n/a")</f>
        <v>0</v>
      </c>
      <c r="N23" s="1922">
        <f t="shared" si="0"/>
        <v>2.9178082191780819</v>
      </c>
      <c r="O23" s="2085">
        <f t="shared" si="0"/>
        <v>2.4316438356164382E-2</v>
      </c>
      <c r="P23" s="2086"/>
      <c r="Q23" s="2087">
        <f>IFERROR(HLOOKUP($Q$6,'Equity Vol'!$B$8:$K23,ROWS('Equity Vol'!$C$8:$C23),FALSE),"n/a")</f>
        <v>0.75849447476702381</v>
      </c>
      <c r="R23" s="2088"/>
      <c r="S23" s="2089">
        <f t="shared" si="10"/>
        <v>0.57531386825210329</v>
      </c>
      <c r="T23" s="2089">
        <f t="shared" si="1"/>
        <v>0</v>
      </c>
      <c r="U23" s="2090">
        <f t="shared" si="2"/>
        <v>0</v>
      </c>
      <c r="V23" s="2090">
        <f t="shared" si="3"/>
        <v>0</v>
      </c>
      <c r="W23" s="2090">
        <f t="shared" si="4"/>
        <v>0</v>
      </c>
      <c r="X23" s="1351">
        <f t="shared" si="5"/>
        <v>0</v>
      </c>
      <c r="Y23" s="2087">
        <f t="shared" si="11"/>
        <v>0.75849447476702381</v>
      </c>
      <c r="AA23" s="1924" t="str">
        <f>IF('MASTER PubCo Inputs'!B40=0,"",'MASTER PubCo Inputs'!B40)</f>
        <v>NasdaqGM:GLYC</v>
      </c>
      <c r="AB23" s="1922">
        <f>'Beta Calc'!Z23</f>
        <v>263.30831000000001</v>
      </c>
      <c r="AC23" s="2091">
        <f t="shared" si="6"/>
        <v>0</v>
      </c>
      <c r="AI23" s="2092"/>
    </row>
    <row r="24" spans="2:35" s="1002" customFormat="1" ht="14.85" customHeight="1">
      <c r="B24" s="1002" t="str">
        <f>'Comp.1'!B24</f>
        <v>LogicBio Therapeutics, Inc.</v>
      </c>
      <c r="D24" s="1922">
        <f>'Beta Calc'!K24</f>
        <v>196.03698</v>
      </c>
      <c r="E24" s="1922">
        <f>'Beta Calc'!L24</f>
        <v>0</v>
      </c>
      <c r="F24" s="1922">
        <f>'Beta Calc'!M24</f>
        <v>33.061999999999998</v>
      </c>
      <c r="G24" s="1922" t="str">
        <f>'Beta Calc'!N24</f>
        <v>n/a</v>
      </c>
      <c r="H24" s="1922">
        <f t="shared" si="7"/>
        <v>33.061999999999998</v>
      </c>
      <c r="I24" s="1922">
        <f t="shared" si="8"/>
        <v>229.09897999999998</v>
      </c>
      <c r="J24" s="1922">
        <f>'Beta Calc'!Q24</f>
        <v>12.877000000000001</v>
      </c>
      <c r="K24" s="1922">
        <f t="shared" si="9"/>
        <v>216.22197999999997</v>
      </c>
      <c r="M24" s="2070">
        <f>IFERROR('Capital IQ Sheet-GPC'!AT26,"n/a")</f>
        <v>0</v>
      </c>
      <c r="N24" s="1922">
        <f t="shared" si="0"/>
        <v>2.9178082191780819</v>
      </c>
      <c r="O24" s="2085">
        <f t="shared" si="0"/>
        <v>2.4316438356164382E-2</v>
      </c>
      <c r="P24" s="2086"/>
      <c r="Q24" s="2087" t="str">
        <f>IFERROR(HLOOKUP($Q$6,'Equity Vol'!$B$8:$K24,ROWS('Equity Vol'!$C$8:$C24),FALSE),"n/a")</f>
        <v>NM</v>
      </c>
      <c r="R24" s="2088"/>
      <c r="S24" s="2089" t="str">
        <f t="shared" si="10"/>
        <v>n/a</v>
      </c>
      <c r="T24" s="2089" t="str">
        <f t="shared" si="1"/>
        <v>n/a</v>
      </c>
      <c r="U24" s="2090" t="str">
        <f t="shared" si="2"/>
        <v>n/a</v>
      </c>
      <c r="V24" s="2090" t="str">
        <f t="shared" si="3"/>
        <v>n/a</v>
      </c>
      <c r="W24" s="2090" t="str">
        <f t="shared" si="4"/>
        <v>n/a</v>
      </c>
      <c r="X24" s="1351" t="str">
        <f t="shared" si="5"/>
        <v>n/a</v>
      </c>
      <c r="Y24" s="2087" t="str">
        <f t="shared" si="11"/>
        <v>n/a</v>
      </c>
      <c r="AA24" s="1924" t="str">
        <f>IF('MASTER PubCo Inputs'!B41=0,"",'MASTER PubCo Inputs'!B41)</f>
        <v>NasdaqGM:LOGC</v>
      </c>
      <c r="AB24" s="1922">
        <f>'Beta Calc'!Z24</f>
        <v>216.22198</v>
      </c>
      <c r="AC24" s="2091">
        <f t="shared" si="6"/>
        <v>0</v>
      </c>
      <c r="AI24" s="2092"/>
    </row>
    <row r="25" spans="2:35" s="1002" customFormat="1" ht="14.85" customHeight="1">
      <c r="B25" s="1002" t="str">
        <f>'Comp.1'!B25</f>
        <v>Arbutus Biopharma Corporation</v>
      </c>
      <c r="D25" s="1922">
        <f>'Beta Calc'!K25</f>
        <v>204.79499999999999</v>
      </c>
      <c r="E25" s="1922">
        <f>'Beta Calc'!L25</f>
        <v>0</v>
      </c>
      <c r="F25" s="1922">
        <f>'Beta Calc'!M25</f>
        <v>123.489</v>
      </c>
      <c r="G25" s="1922" t="str">
        <f>'Beta Calc'!N25</f>
        <v>n/a</v>
      </c>
      <c r="H25" s="1922">
        <f t="shared" si="7"/>
        <v>123.489</v>
      </c>
      <c r="I25" s="1922">
        <f t="shared" si="8"/>
        <v>328.28399999999999</v>
      </c>
      <c r="J25" s="1922">
        <f>'Beta Calc'!Q25</f>
        <v>142.018</v>
      </c>
      <c r="K25" s="1922">
        <f t="shared" si="9"/>
        <v>186.26599999999999</v>
      </c>
      <c r="M25" s="2070">
        <f>IFERROR('Capital IQ Sheet-GPC'!AT27,"n/a")</f>
        <v>0</v>
      </c>
      <c r="N25" s="1922">
        <f t="shared" si="0"/>
        <v>2.9178082191780819</v>
      </c>
      <c r="O25" s="2085">
        <f t="shared" si="0"/>
        <v>2.4316438356164382E-2</v>
      </c>
      <c r="P25" s="2086"/>
      <c r="Q25" s="2087">
        <f>IFERROR(HLOOKUP($Q$6,'Equity Vol'!$B$8:$K25,ROWS('Equity Vol'!$C$8:$C25),FALSE),"n/a")</f>
        <v>0.71784148374896406</v>
      </c>
      <c r="R25" s="2088"/>
      <c r="S25" s="2089">
        <f t="shared" si="10"/>
        <v>0.51529639579091424</v>
      </c>
      <c r="T25" s="2089">
        <f t="shared" si="1"/>
        <v>1.0061612087667493</v>
      </c>
      <c r="U25" s="2090">
        <f t="shared" si="2"/>
        <v>-0.22002640287821085</v>
      </c>
      <c r="V25" s="2090">
        <f t="shared" si="3"/>
        <v>0.84283098558271408</v>
      </c>
      <c r="W25" s="2090">
        <f t="shared" si="4"/>
        <v>0.41292529600162753</v>
      </c>
      <c r="X25" s="1351">
        <f t="shared" si="5"/>
        <v>109.49155982557353</v>
      </c>
      <c r="Y25" s="2087">
        <f t="shared" si="11"/>
        <v>0.50065102930435301</v>
      </c>
      <c r="AA25" s="1924" t="str">
        <f>IF('MASTER PubCo Inputs'!B42=0,"",'MASTER PubCo Inputs'!B42)</f>
        <v>NasdaqGS:ABUS</v>
      </c>
      <c r="AB25" s="1922">
        <f>'Beta Calc'!Z25</f>
        <v>186.26599999999999</v>
      </c>
      <c r="AC25" s="2091">
        <f t="shared" si="6"/>
        <v>0</v>
      </c>
      <c r="AI25" s="2092"/>
    </row>
    <row r="26" spans="2:35" s="1002" customFormat="1" ht="14.85" customHeight="1">
      <c r="B26" s="1002" t="str">
        <f>'Comp.1'!B26</f>
        <v>Voyager Therapeutics, Inc.</v>
      </c>
      <c r="D26" s="1922">
        <f>'Beta Calc'!K26</f>
        <v>341.52161000000001</v>
      </c>
      <c r="E26" s="1922">
        <f>'Beta Calc'!L26</f>
        <v>0</v>
      </c>
      <c r="F26" s="1922" t="str">
        <f>'Beta Calc'!M26</f>
        <v>n/a</v>
      </c>
      <c r="G26" s="1922" t="str">
        <f>'Beta Calc'!N26</f>
        <v>n/a</v>
      </c>
      <c r="H26" s="1922">
        <f t="shared" si="7"/>
        <v>0</v>
      </c>
      <c r="I26" s="1922">
        <f t="shared" si="8"/>
        <v>341.52161000000001</v>
      </c>
      <c r="J26" s="1922">
        <f>'Beta Calc'!Q26</f>
        <v>179.601</v>
      </c>
      <c r="K26" s="1922">
        <f t="shared" si="9"/>
        <v>161.92061000000001</v>
      </c>
      <c r="M26" s="2070">
        <f>IFERROR('Capital IQ Sheet-GPC'!AT28,"n/a")</f>
        <v>0</v>
      </c>
      <c r="N26" s="1922">
        <f t="shared" si="0"/>
        <v>2.9178082191780819</v>
      </c>
      <c r="O26" s="2085">
        <f t="shared" si="0"/>
        <v>2.4316438356164382E-2</v>
      </c>
      <c r="P26" s="2086"/>
      <c r="Q26" s="2087">
        <f>IFERROR(HLOOKUP($Q$6,'Equity Vol'!$B$8:$K26,ROWS('Equity Vol'!$C$8:$C26),FALSE),"n/a")</f>
        <v>0.72546741238615475</v>
      </c>
      <c r="R26" s="2088"/>
      <c r="S26" s="2089">
        <f t="shared" si="10"/>
        <v>0.52630296643426311</v>
      </c>
      <c r="T26" s="2089">
        <f t="shared" si="1"/>
        <v>0</v>
      </c>
      <c r="U26" s="2090">
        <f t="shared" si="2"/>
        <v>0</v>
      </c>
      <c r="V26" s="2090">
        <f t="shared" si="3"/>
        <v>0</v>
      </c>
      <c r="W26" s="2090">
        <f t="shared" si="4"/>
        <v>0</v>
      </c>
      <c r="X26" s="1351">
        <f t="shared" si="5"/>
        <v>0</v>
      </c>
      <c r="Y26" s="2087">
        <f t="shared" si="11"/>
        <v>0.72546741238615475</v>
      </c>
      <c r="AA26" s="1924" t="str">
        <f>IF('MASTER PubCo Inputs'!B43=0,"",'MASTER PubCo Inputs'!B43)</f>
        <v>NasdaqGS:VYGR</v>
      </c>
      <c r="AB26" s="1922">
        <f>'Beta Calc'!Z26</f>
        <v>161.92061000000001</v>
      </c>
      <c r="AC26" s="2091">
        <f t="shared" si="6"/>
        <v>0</v>
      </c>
      <c r="AI26" s="2092"/>
    </row>
    <row r="27" spans="2:35" s="1002" customFormat="1" ht="14.85" customHeight="1">
      <c r="B27" s="1002" t="str">
        <f>'Comp.1'!B27</f>
        <v>La Jolla Pharmaceutical Company</v>
      </c>
      <c r="D27" s="1922">
        <f>'Beta Calc'!K27</f>
        <v>158.45113000000001</v>
      </c>
      <c r="E27" s="1922">
        <f>'Beta Calc'!L27</f>
        <v>124.324</v>
      </c>
      <c r="F27" s="1922">
        <f>'Beta Calc'!M27</f>
        <v>6.6429999999999998</v>
      </c>
      <c r="G27" s="1922" t="str">
        <f>'Beta Calc'!N27</f>
        <v>n/a</v>
      </c>
      <c r="H27" s="1922">
        <f t="shared" si="7"/>
        <v>130.96699999999998</v>
      </c>
      <c r="I27" s="1922">
        <f t="shared" si="8"/>
        <v>289.41812999999996</v>
      </c>
      <c r="J27" s="1922">
        <f>'Beta Calc'!Q27</f>
        <v>204.33699999999999</v>
      </c>
      <c r="K27" s="1922">
        <f t="shared" si="9"/>
        <v>85.081129999999973</v>
      </c>
      <c r="M27" s="2070">
        <f>IFERROR('Capital IQ Sheet-GPC'!AT29,"n/a")</f>
        <v>0</v>
      </c>
      <c r="N27" s="1922">
        <f t="shared" si="0"/>
        <v>2.9178082191780819</v>
      </c>
      <c r="O27" s="2085">
        <f t="shared" si="0"/>
        <v>2.4316438356164382E-2</v>
      </c>
      <c r="P27" s="2086"/>
      <c r="Q27" s="2087">
        <f>IFERROR(HLOOKUP($Q$6,'Equity Vol'!$B$8:$K27,ROWS('Equity Vol'!$C$8:$C27),FALSE),"n/a")</f>
        <v>0.83012698647985494</v>
      </c>
      <c r="R27" s="2088"/>
      <c r="S27" s="2089">
        <f t="shared" si="10"/>
        <v>0.68911081368212523</v>
      </c>
      <c r="T27" s="2089">
        <f t="shared" si="1"/>
        <v>0.4548393024677545</v>
      </c>
      <c r="U27" s="2090">
        <f t="shared" si="2"/>
        <v>-0.96314983574388957</v>
      </c>
      <c r="V27" s="2090">
        <f t="shared" si="3"/>
        <v>0.67538757360736712</v>
      </c>
      <c r="W27" s="2090">
        <f t="shared" si="4"/>
        <v>0.16773616763387583</v>
      </c>
      <c r="X27" s="1351">
        <f t="shared" si="5"/>
        <v>36.999465027811013</v>
      </c>
      <c r="Y27" s="2087">
        <f t="shared" si="11"/>
        <v>0.53450732597141648</v>
      </c>
      <c r="AA27" s="1924" t="str">
        <f>IF('MASTER PubCo Inputs'!B44=0,"",'MASTER PubCo Inputs'!B44)</f>
        <v>NasdaqCM:LJPC</v>
      </c>
      <c r="AB27" s="1922">
        <f>'Beta Calc'!Z27</f>
        <v>85.081130000000002</v>
      </c>
      <c r="AC27" s="2091">
        <f t="shared" si="6"/>
        <v>0</v>
      </c>
      <c r="AI27" s="2092"/>
    </row>
    <row r="28" spans="2:35" s="1002" customFormat="1" ht="14.85" customHeight="1">
      <c r="B28" s="1002" t="str">
        <f>'Comp.1'!B28</f>
        <v>Protagonist Therapeutics, Inc.</v>
      </c>
      <c r="D28" s="1922">
        <f>'Beta Calc'!K28</f>
        <v>197.11606</v>
      </c>
      <c r="E28" s="1922">
        <f>'Beta Calc'!L28</f>
        <v>0</v>
      </c>
      <c r="F28" s="1922" t="str">
        <f>'Beta Calc'!M28</f>
        <v>n/a</v>
      </c>
      <c r="G28" s="1922" t="str">
        <f>'Beta Calc'!N28</f>
        <v>n/a</v>
      </c>
      <c r="H28" s="1922">
        <f t="shared" si="7"/>
        <v>0</v>
      </c>
      <c r="I28" s="1922">
        <f t="shared" si="8"/>
        <v>197.11606</v>
      </c>
      <c r="J28" s="1922">
        <f>'Beta Calc'!Q28</f>
        <v>138.517</v>
      </c>
      <c r="K28" s="1922">
        <f t="shared" si="9"/>
        <v>58.599060000000009</v>
      </c>
      <c r="M28" s="2070">
        <f>IFERROR('Capital IQ Sheet-GPC'!AT30,"n/a")</f>
        <v>0</v>
      </c>
      <c r="N28" s="1922">
        <f t="shared" si="0"/>
        <v>2.9178082191780819</v>
      </c>
      <c r="O28" s="2085">
        <f t="shared" si="0"/>
        <v>2.4316438356164382E-2</v>
      </c>
      <c r="P28" s="2086"/>
      <c r="Q28" s="2087">
        <f>IFERROR(HLOOKUP($Q$6,'Equity Vol'!$B$8:$K28,ROWS('Equity Vol'!$C$8:$C28),FALSE),"n/a")</f>
        <v>0.91520299544650408</v>
      </c>
      <c r="R28" s="2088"/>
      <c r="S28" s="2089">
        <f t="shared" si="10"/>
        <v>0.83759652287425379</v>
      </c>
      <c r="T28" s="2089">
        <f t="shared" si="1"/>
        <v>0</v>
      </c>
      <c r="U28" s="2090">
        <f t="shared" si="2"/>
        <v>0</v>
      </c>
      <c r="V28" s="2090">
        <f t="shared" si="3"/>
        <v>0</v>
      </c>
      <c r="W28" s="2090">
        <f t="shared" si="4"/>
        <v>0</v>
      </c>
      <c r="X28" s="1351">
        <f t="shared" si="5"/>
        <v>0</v>
      </c>
      <c r="Y28" s="2087">
        <f t="shared" si="11"/>
        <v>0.91520299544650408</v>
      </c>
      <c r="AA28" s="1924" t="str">
        <f>IF('MASTER PubCo Inputs'!B45=0,"",'MASTER PubCo Inputs'!B45)</f>
        <v>NasdaqGM:PTGX</v>
      </c>
      <c r="AB28" s="1922">
        <f>'Beta Calc'!Z28</f>
        <v>58.599049999999998</v>
      </c>
      <c r="AC28" s="2091">
        <f t="shared" si="6"/>
        <v>1.0000000010279564E-5</v>
      </c>
      <c r="AI28" s="2092"/>
    </row>
    <row r="29" spans="2:35" s="1002" customFormat="1" ht="14.85" customHeight="1">
      <c r="B29" s="1002" t="str">
        <f>'Comp.1'!B29</f>
        <v>Fibrocell Science, Inc.</v>
      </c>
      <c r="D29" s="1922">
        <f>'Beta Calc'!K29</f>
        <v>19.22391</v>
      </c>
      <c r="E29" s="1922">
        <f>'Beta Calc'!L29</f>
        <v>0</v>
      </c>
      <c r="F29" s="1922">
        <f>'Beta Calc'!M29</f>
        <v>7.6230000000000002</v>
      </c>
      <c r="G29" s="1922" t="str">
        <f>'Beta Calc'!N29</f>
        <v>n/a</v>
      </c>
      <c r="H29" s="1922">
        <f t="shared" si="7"/>
        <v>7.6230000000000002</v>
      </c>
      <c r="I29" s="1922">
        <f t="shared" si="8"/>
        <v>26.846910000000001</v>
      </c>
      <c r="J29" s="1922">
        <f>'Beta Calc'!Q29</f>
        <v>16.111000000000001</v>
      </c>
      <c r="K29" s="1922">
        <f t="shared" si="9"/>
        <v>10.735910000000001</v>
      </c>
      <c r="M29" s="2070">
        <f>IFERROR('Capital IQ Sheet-GPC'!AT31,"n/a")</f>
        <v>0</v>
      </c>
      <c r="N29" s="1922">
        <f t="shared" si="0"/>
        <v>2.9178082191780819</v>
      </c>
      <c r="O29" s="2085">
        <f t="shared" si="0"/>
        <v>2.4316438356164382E-2</v>
      </c>
      <c r="P29" s="2086"/>
      <c r="Q29" s="2087">
        <f>IFERROR(HLOOKUP($Q$6,'Equity Vol'!$B$8:$K29,ROWS('Equity Vol'!$C$8:$C29),FALSE),"n/a")</f>
        <v>0.92725005077133138</v>
      </c>
      <c r="R29" s="2088"/>
      <c r="S29" s="2089">
        <f t="shared" si="10"/>
        <v>0.85979265665543658</v>
      </c>
      <c r="T29" s="2089">
        <f t="shared" si="1"/>
        <v>1.0529324012692274</v>
      </c>
      <c r="U29" s="2090">
        <f t="shared" si="2"/>
        <v>-0.53095840316717413</v>
      </c>
      <c r="V29" s="2090">
        <f t="shared" si="3"/>
        <v>0.85381401261122924</v>
      </c>
      <c r="W29" s="2090">
        <f t="shared" si="4"/>
        <v>0.29772380237250479</v>
      </c>
      <c r="X29" s="1351">
        <f t="shared" si="5"/>
        <v>7.0523681988252882</v>
      </c>
      <c r="Y29" s="2087">
        <f t="shared" si="11"/>
        <v>0.71339441331502595</v>
      </c>
      <c r="AA29" s="1924" t="str">
        <f>IF('MASTER PubCo Inputs'!B46=0,"",'MASTER PubCo Inputs'!B46)</f>
        <v>NasdaqCM:FCSC</v>
      </c>
      <c r="AB29" s="1922">
        <f>'Beta Calc'!Z29</f>
        <v>10.735910000000001</v>
      </c>
      <c r="AC29" s="2091">
        <f t="shared" si="6"/>
        <v>0</v>
      </c>
      <c r="AI29" s="2092"/>
    </row>
    <row r="30" spans="2:35" s="1002" customFormat="1" ht="9.9499999999999993" customHeight="1">
      <c r="D30" s="1922"/>
      <c r="E30" s="1922"/>
      <c r="F30" s="1922"/>
      <c r="G30" s="1922"/>
      <c r="H30" s="1922"/>
      <c r="I30" s="1922"/>
      <c r="J30" s="1922"/>
      <c r="K30" s="1922"/>
      <c r="M30" s="2070"/>
      <c r="N30" s="1922"/>
      <c r="O30" s="2085"/>
      <c r="P30" s="2086"/>
      <c r="Q30" s="2087"/>
      <c r="R30" s="2088"/>
      <c r="S30" s="2089"/>
      <c r="T30" s="2089"/>
      <c r="U30" s="2090"/>
      <c r="V30" s="2090"/>
      <c r="W30" s="2090"/>
      <c r="X30" s="1351"/>
      <c r="Y30" s="2087"/>
      <c r="AA30" s="1924"/>
      <c r="AB30" s="1922"/>
      <c r="AC30" s="2091"/>
      <c r="AI30" s="2092"/>
    </row>
    <row r="31" spans="2:35" s="1002" customFormat="1" ht="14.85" customHeight="1">
      <c r="B31" s="1918" t="str">
        <f>'Comp.1'!B31</f>
        <v>CRISPR/Cas9</v>
      </c>
      <c r="D31" s="1922"/>
      <c r="E31" s="1922"/>
      <c r="F31" s="1922"/>
      <c r="G31" s="1922"/>
      <c r="H31" s="1922"/>
      <c r="I31" s="1922"/>
      <c r="J31" s="1922"/>
      <c r="K31" s="1922"/>
      <c r="M31" s="2070"/>
      <c r="N31" s="1922"/>
      <c r="O31" s="2085"/>
      <c r="P31" s="2086"/>
      <c r="Q31" s="2087"/>
      <c r="R31" s="2088"/>
      <c r="S31" s="2089"/>
      <c r="T31" s="2089"/>
      <c r="U31" s="2090"/>
      <c r="V31" s="2090"/>
      <c r="W31" s="2090"/>
      <c r="X31" s="1351"/>
      <c r="Y31" s="2087"/>
      <c r="AA31" s="1924"/>
      <c r="AB31" s="1922"/>
      <c r="AC31" s="2091"/>
      <c r="AI31" s="2092"/>
    </row>
    <row r="32" spans="2:35" s="1002" customFormat="1" ht="14.85" customHeight="1">
      <c r="B32" s="1002" t="str">
        <f>'Comp.1'!B32</f>
        <v>CRISPR Therapeutics AG</v>
      </c>
      <c r="D32" s="1922">
        <f>'Beta Calc'!K32</f>
        <v>1679.8645300000001</v>
      </c>
      <c r="E32" s="1922">
        <f>'Beta Calc'!L32</f>
        <v>0</v>
      </c>
      <c r="F32" s="1922" t="str">
        <f>'Beta Calc'!M32</f>
        <v>n/a</v>
      </c>
      <c r="G32" s="1922" t="str">
        <f>'Beta Calc'!N32</f>
        <v>n/a</v>
      </c>
      <c r="H32" s="1922">
        <f t="shared" si="7"/>
        <v>0</v>
      </c>
      <c r="I32" s="1922">
        <f t="shared" si="8"/>
        <v>1679.8645300000001</v>
      </c>
      <c r="J32" s="1922">
        <f>'Beta Calc'!Q32</f>
        <v>487.29500000000002</v>
      </c>
      <c r="K32" s="1922">
        <f t="shared" si="9"/>
        <v>1192.56953</v>
      </c>
      <c r="M32" s="2070">
        <f>IFERROR('Capital IQ Sheet-GPC'!AT33,"n/a")</f>
        <v>0</v>
      </c>
      <c r="N32" s="1922">
        <f t="shared" si="0"/>
        <v>2.9178082191780819</v>
      </c>
      <c r="O32" s="2085">
        <f t="shared" si="0"/>
        <v>2.4316438356164382E-2</v>
      </c>
      <c r="P32" s="2086"/>
      <c r="Q32" s="2087">
        <f>IFERROR(HLOOKUP($Q$6,'Equity Vol'!$B$8:$K32,ROWS('Equity Vol'!$C$8:$C32),FALSE),"n/a")</f>
        <v>0.70462779949123155</v>
      </c>
      <c r="R32" s="2088"/>
      <c r="S32" s="2089">
        <f t="shared" si="10"/>
        <v>0.49650033581585523</v>
      </c>
      <c r="T32" s="2089">
        <f t="shared" si="1"/>
        <v>0</v>
      </c>
      <c r="U32" s="2090">
        <f t="shared" si="2"/>
        <v>0</v>
      </c>
      <c r="V32" s="2090">
        <f t="shared" si="3"/>
        <v>0</v>
      </c>
      <c r="W32" s="2090">
        <f t="shared" si="4"/>
        <v>0</v>
      </c>
      <c r="X32" s="1351">
        <f t="shared" si="5"/>
        <v>0</v>
      </c>
      <c r="Y32" s="2087">
        <f t="shared" si="11"/>
        <v>0.70462779949123155</v>
      </c>
      <c r="AA32" s="1924" t="str">
        <f>IF('MASTER PubCo Inputs'!B48=0,"",'MASTER PubCo Inputs'!B48)</f>
        <v>NasdaqGM:CRSP</v>
      </c>
      <c r="AB32" s="1922">
        <f>'Beta Calc'!Z32</f>
        <v>1192.56953</v>
      </c>
      <c r="AC32" s="2091">
        <f t="shared" si="6"/>
        <v>0</v>
      </c>
      <c r="AI32" s="2092"/>
    </row>
    <row r="33" spans="2:35" s="1002" customFormat="1" ht="14.85" customHeight="1">
      <c r="B33" s="1002" t="str">
        <f>'Comp.1'!B33</f>
        <v>Editas Medicine, Inc.</v>
      </c>
      <c r="D33" s="1922">
        <f>'Beta Calc'!K33</f>
        <v>1032.0795800000001</v>
      </c>
      <c r="E33" s="1922">
        <f>'Beta Calc'!L33</f>
        <v>32.694000000000003</v>
      </c>
      <c r="F33" s="1922" t="str">
        <f>'Beta Calc'!M33</f>
        <v>n/a</v>
      </c>
      <c r="G33" s="1922" t="str">
        <f>'Beta Calc'!N33</f>
        <v>n/a</v>
      </c>
      <c r="H33" s="1922">
        <f t="shared" si="7"/>
        <v>32.694000000000003</v>
      </c>
      <c r="I33" s="1922">
        <f t="shared" si="8"/>
        <v>1064.77358</v>
      </c>
      <c r="J33" s="1922">
        <f>'Beta Calc'!Q33</f>
        <v>337.49200000000002</v>
      </c>
      <c r="K33" s="1922">
        <f t="shared" si="9"/>
        <v>727.28158000000008</v>
      </c>
      <c r="M33" s="2070">
        <f>IFERROR('Capital IQ Sheet-GPC'!AT34,"n/a")</f>
        <v>0</v>
      </c>
      <c r="N33" s="1922">
        <f t="shared" si="0"/>
        <v>2.9178082191780819</v>
      </c>
      <c r="O33" s="2085">
        <f t="shared" si="0"/>
        <v>2.4316438356164382E-2</v>
      </c>
      <c r="P33" s="2086"/>
      <c r="Q33" s="2087">
        <f>IFERROR(HLOOKUP($Q$6,'Equity Vol'!$B$8:$K33,ROWS('Equity Vol'!$C$8:$C33),FALSE),"n/a")</f>
        <v>0.76544326890760306</v>
      </c>
      <c r="R33" s="2088"/>
      <c r="S33" s="2089">
        <f t="shared" si="10"/>
        <v>0.58590339791595714</v>
      </c>
      <c r="T33" s="2089">
        <f t="shared" si="1"/>
        <v>3.0805756552219452</v>
      </c>
      <c r="U33" s="2090">
        <f t="shared" si="2"/>
        <v>1.7730766112132905</v>
      </c>
      <c r="V33" s="2090">
        <f t="shared" si="3"/>
        <v>0.99896699569915981</v>
      </c>
      <c r="W33" s="2090">
        <f t="shared" si="4"/>
        <v>0.96189199350253385</v>
      </c>
      <c r="X33" s="1351">
        <f t="shared" si="5"/>
        <v>697.23614716006307</v>
      </c>
      <c r="Y33" s="2087">
        <f t="shared" si="11"/>
        <v>0.73458012605350009</v>
      </c>
      <c r="AA33" s="1924" t="str">
        <f>IF('MASTER PubCo Inputs'!B49=0,"",'MASTER PubCo Inputs'!B49)</f>
        <v>NasdaqGS:EDIT</v>
      </c>
      <c r="AB33" s="1922">
        <f>'Beta Calc'!Z33</f>
        <v>727.28157999999996</v>
      </c>
      <c r="AC33" s="2091">
        <f t="shared" si="6"/>
        <v>0</v>
      </c>
      <c r="AI33" s="2092"/>
    </row>
    <row r="34" spans="2:35" s="1002" customFormat="1" ht="14.85" customHeight="1">
      <c r="B34" s="1002" t="str">
        <f>'Comp.1'!B34</f>
        <v>Intellia Therapeutics, Inc.</v>
      </c>
      <c r="D34" s="1922">
        <f>'Beta Calc'!K34</f>
        <v>613.94893999999999</v>
      </c>
      <c r="E34" s="1922">
        <f>'Beta Calc'!L34</f>
        <v>0</v>
      </c>
      <c r="F34" s="1922" t="str">
        <f>'Beta Calc'!M34</f>
        <v>n/a</v>
      </c>
      <c r="G34" s="1922" t="str">
        <f>'Beta Calc'!N34</f>
        <v>n/a</v>
      </c>
      <c r="H34" s="1922">
        <f t="shared" si="7"/>
        <v>0</v>
      </c>
      <c r="I34" s="1922">
        <f t="shared" si="8"/>
        <v>613.94893999999999</v>
      </c>
      <c r="J34" s="1922">
        <f>'Beta Calc'!Q34</f>
        <v>293.24799999999999</v>
      </c>
      <c r="K34" s="1922">
        <f t="shared" si="9"/>
        <v>320.70094</v>
      </c>
      <c r="M34" s="2070">
        <f>IFERROR('Capital IQ Sheet-GPC'!AT35,"n/a")</f>
        <v>0</v>
      </c>
      <c r="N34" s="1922">
        <f t="shared" si="0"/>
        <v>2.9178082191780819</v>
      </c>
      <c r="O34" s="2085">
        <f t="shared" si="0"/>
        <v>2.4316438356164382E-2</v>
      </c>
      <c r="P34" s="2086"/>
      <c r="Q34" s="2087">
        <f>IFERROR(HLOOKUP($Q$6,'Equity Vol'!$B$8:$K34,ROWS('Equity Vol'!$C$8:$C34),FALSE),"n/a")</f>
        <v>0.72806937672607763</v>
      </c>
      <c r="R34" s="2088"/>
      <c r="S34" s="2089">
        <f t="shared" si="10"/>
        <v>0.5300850173262992</v>
      </c>
      <c r="T34" s="2089">
        <f t="shared" si="1"/>
        <v>0</v>
      </c>
      <c r="U34" s="2090">
        <f t="shared" si="2"/>
        <v>0</v>
      </c>
      <c r="V34" s="2090">
        <f t="shared" si="3"/>
        <v>0</v>
      </c>
      <c r="W34" s="2090">
        <f t="shared" si="4"/>
        <v>0</v>
      </c>
      <c r="X34" s="1351">
        <f t="shared" si="5"/>
        <v>0</v>
      </c>
      <c r="Y34" s="2087">
        <f t="shared" si="11"/>
        <v>0.72806937672607763</v>
      </c>
      <c r="AA34" s="1924" t="str">
        <f>IF('MASTER PubCo Inputs'!B50=0,"",'MASTER PubCo Inputs'!B50)</f>
        <v>NasdaqGM:NTLA</v>
      </c>
      <c r="AB34" s="1922">
        <f>'Beta Calc'!Z34</f>
        <v>320.70094</v>
      </c>
      <c r="AC34" s="2091">
        <f t="shared" si="6"/>
        <v>0</v>
      </c>
      <c r="AI34" s="2092"/>
    </row>
    <row r="35" spans="2:35" s="1002" customFormat="1" ht="14.85" customHeight="1">
      <c r="B35" s="1002" t="str">
        <f>'Comp.1'!B35</f>
        <v>Abeona Therapeutics Inc.</v>
      </c>
      <c r="D35" s="1922">
        <f>'Beta Calc'!K35</f>
        <v>325.54306000000003</v>
      </c>
      <c r="E35" s="1922">
        <f>'Beta Calc'!L35</f>
        <v>0</v>
      </c>
      <c r="F35" s="1922" t="str">
        <f>'Beta Calc'!M35</f>
        <v>n/a</v>
      </c>
      <c r="G35" s="1922" t="str">
        <f>'Beta Calc'!N35</f>
        <v>n/a</v>
      </c>
      <c r="H35" s="1922">
        <f t="shared" si="7"/>
        <v>0</v>
      </c>
      <c r="I35" s="1922">
        <f t="shared" si="8"/>
        <v>325.54306000000003</v>
      </c>
      <c r="J35" s="1922">
        <f>'Beta Calc'!Q35</f>
        <v>112.224</v>
      </c>
      <c r="K35" s="1922">
        <f t="shared" si="9"/>
        <v>213.31906000000004</v>
      </c>
      <c r="M35" s="2070">
        <f>IFERROR('Capital IQ Sheet-GPC'!AT36,"n/a")</f>
        <v>0</v>
      </c>
      <c r="N35" s="1922">
        <f t="shared" si="0"/>
        <v>2.9178082191780819</v>
      </c>
      <c r="O35" s="2085">
        <f t="shared" si="0"/>
        <v>2.4316438356164382E-2</v>
      </c>
      <c r="P35" s="2086"/>
      <c r="Q35" s="2087">
        <f>IFERROR(HLOOKUP($Q$6,'Equity Vol'!$B$8:$K35,ROWS('Equity Vol'!$C$8:$C35),FALSE),"n/a")</f>
        <v>0.76863186184610754</v>
      </c>
      <c r="R35" s="2088"/>
      <c r="S35" s="2089">
        <f t="shared" si="10"/>
        <v>0.59079493904501379</v>
      </c>
      <c r="T35" s="2089">
        <f t="shared" si="1"/>
        <v>0</v>
      </c>
      <c r="U35" s="2090">
        <f t="shared" si="2"/>
        <v>0</v>
      </c>
      <c r="V35" s="2090">
        <f t="shared" si="3"/>
        <v>0</v>
      </c>
      <c r="W35" s="2090">
        <f t="shared" si="4"/>
        <v>0</v>
      </c>
      <c r="X35" s="1351">
        <f t="shared" si="5"/>
        <v>0</v>
      </c>
      <c r="Y35" s="2087">
        <f t="shared" si="11"/>
        <v>0.76863186184610754</v>
      </c>
      <c r="AA35" s="1924" t="str">
        <f>IF('MASTER PubCo Inputs'!B51=0,"",'MASTER PubCo Inputs'!B51)</f>
        <v>NasdaqCM:ABEO</v>
      </c>
      <c r="AB35" s="1922">
        <f>'Beta Calc'!Z35</f>
        <v>213.31906000000001</v>
      </c>
      <c r="AC35" s="2091">
        <f t="shared" si="6"/>
        <v>0</v>
      </c>
      <c r="AI35" s="2092"/>
    </row>
    <row r="36" spans="2:35" s="1002" customFormat="1" ht="14.85" customHeight="1">
      <c r="D36" s="1922"/>
      <c r="E36" s="1922"/>
      <c r="F36" s="1922"/>
      <c r="G36" s="1922"/>
      <c r="H36" s="1922"/>
      <c r="I36" s="1922"/>
      <c r="J36" s="1922"/>
      <c r="K36" s="1922"/>
      <c r="P36" s="1920"/>
      <c r="R36" s="1920"/>
    </row>
    <row r="37" spans="2:35" s="1002" customFormat="1" ht="14.85" customHeight="1">
      <c r="B37" s="2073" t="s">
        <v>111</v>
      </c>
      <c r="C37" s="2093"/>
      <c r="D37" s="2094">
        <f t="shared" ref="D37:K37" si="12">MAX(D11:D35)</f>
        <v>8868.9653999999991</v>
      </c>
      <c r="E37" s="2094">
        <f t="shared" si="12"/>
        <v>409.30599999999998</v>
      </c>
      <c r="F37" s="2094">
        <f t="shared" si="12"/>
        <v>123.489</v>
      </c>
      <c r="G37" s="2094">
        <f t="shared" si="12"/>
        <v>0</v>
      </c>
      <c r="H37" s="2094">
        <f t="shared" si="12"/>
        <v>409.30599999999998</v>
      </c>
      <c r="I37" s="2094">
        <f t="shared" si="12"/>
        <v>8898.9653999999991</v>
      </c>
      <c r="J37" s="2094">
        <f t="shared" si="12"/>
        <v>1695.2950000000001</v>
      </c>
      <c r="K37" s="2094">
        <f t="shared" si="12"/>
        <v>7662.1313999999993</v>
      </c>
      <c r="L37" s="2093"/>
      <c r="M37" s="2075">
        <f>MAX(M11:M35)</f>
        <v>0</v>
      </c>
      <c r="N37" s="2094">
        <f>MAX(N11:N35)</f>
        <v>2.9178082191780819</v>
      </c>
      <c r="O37" s="2095">
        <f>MAX(O11:O35)</f>
        <v>2.4316438356164382E-2</v>
      </c>
      <c r="P37" s="2096"/>
      <c r="Q37" s="2097">
        <f>MAX(Q11:Q35)</f>
        <v>0.92725005077133138</v>
      </c>
      <c r="R37" s="2098"/>
      <c r="S37" s="2099">
        <f>MAX(S11:S36)</f>
        <v>0.85979265665543658</v>
      </c>
      <c r="T37" s="2099">
        <f>MAX(T11:T36)</f>
        <v>5.237261523667299</v>
      </c>
      <c r="U37" s="2100">
        <f>MAX(U11:U36)</f>
        <v>4.0250851759746684</v>
      </c>
      <c r="V37" s="2100">
        <f>MAX(V11:V36)</f>
        <v>0.99999991851166026</v>
      </c>
      <c r="W37" s="2100">
        <f>MAX(W11:W36)</f>
        <v>0.9999715226516197</v>
      </c>
      <c r="X37" s="2094">
        <f>MAX(X11:X35)</f>
        <v>7634.1863371051877</v>
      </c>
      <c r="Y37" s="2101">
        <f>MAX(Y11:Y35)</f>
        <v>0.91520299544650408</v>
      </c>
      <c r="AB37" s="2102">
        <f>+'Asset Vol_M&amp;A Phase I'!Y44</f>
        <v>0.70945553173816456</v>
      </c>
      <c r="AC37" s="2103" t="s">
        <v>1388</v>
      </c>
      <c r="AD37" s="2103"/>
      <c r="AE37" s="2103"/>
      <c r="AF37" s="2104"/>
    </row>
    <row r="38" spans="2:35" s="1002" customFormat="1" ht="14.85" customHeight="1">
      <c r="B38" s="2077" t="s">
        <v>115</v>
      </c>
      <c r="C38" s="1934"/>
      <c r="D38" s="1933">
        <f t="shared" ref="D38:K38" si="13">QUARTILE(D11:D35,3)</f>
        <v>1742.465835</v>
      </c>
      <c r="E38" s="1933">
        <f t="shared" si="13"/>
        <v>25.353999999999999</v>
      </c>
      <c r="F38" s="1933">
        <f t="shared" si="13"/>
        <v>55.668750000000003</v>
      </c>
      <c r="G38" s="1933" t="e">
        <f t="shared" si="13"/>
        <v>#NUM!</v>
      </c>
      <c r="H38" s="1933">
        <f t="shared" si="13"/>
        <v>32.878</v>
      </c>
      <c r="I38" s="1933">
        <f t="shared" si="13"/>
        <v>1784.9113350000002</v>
      </c>
      <c r="J38" s="1933">
        <f t="shared" si="13"/>
        <v>377.9085</v>
      </c>
      <c r="K38" s="1933">
        <f t="shared" si="13"/>
        <v>1251.21766</v>
      </c>
      <c r="L38" s="1934"/>
      <c r="M38" s="2079">
        <f>QUARTILE(M11:M35,3)</f>
        <v>0</v>
      </c>
      <c r="N38" s="1933">
        <f>QUARTILE(N11:N35,3)</f>
        <v>2.9178082191780819</v>
      </c>
      <c r="O38" s="2105">
        <f>QUARTILE(O11:O35,3)</f>
        <v>2.4316438356164382E-2</v>
      </c>
      <c r="P38" s="2106"/>
      <c r="Q38" s="2107">
        <f>QUARTILE(Q11:Q35,3)</f>
        <v>0.76863186184610754</v>
      </c>
      <c r="R38" s="2108"/>
      <c r="S38" s="2109">
        <f>QUARTILE(S11:S36,3)</f>
        <v>0.59079493904501379</v>
      </c>
      <c r="T38" s="2109">
        <f>QUARTILE(T11:T36,3)</f>
        <v>2.7355314040398722</v>
      </c>
      <c r="U38" s="2110">
        <f>QUARTILE(U11:U36,3)</f>
        <v>1.7730766112132905</v>
      </c>
      <c r="V38" s="2110">
        <f>QUARTILE(V11:V36,3)</f>
        <v>0.99688601783180286</v>
      </c>
      <c r="W38" s="2110">
        <f>QUARTILE(W11:W36,3)</f>
        <v>0.96189199350253385</v>
      </c>
      <c r="X38" s="1933">
        <f>QUARTILE(X11:X35,3)</f>
        <v>697.23614716006307</v>
      </c>
      <c r="Y38" s="2111">
        <f>QUARTILE(Y11:Y35,3)</f>
        <v>0.73458012605350009</v>
      </c>
      <c r="AB38" s="2112">
        <f>+'Asset Vol_M&amp;A Phase I'!Y46</f>
        <v>0.70899735672073083</v>
      </c>
      <c r="AC38" s="1002" t="s">
        <v>1389</v>
      </c>
      <c r="AF38" s="2113"/>
    </row>
    <row r="39" spans="2:35" s="1002" customFormat="1" ht="14.85" customHeight="1">
      <c r="B39" s="2077" t="s">
        <v>113</v>
      </c>
      <c r="C39" s="1934"/>
      <c r="D39" s="1933">
        <f t="shared" ref="D39:K39" si="14">AVERAGE(D11:D35)</f>
        <v>1587.2495647826088</v>
      </c>
      <c r="E39" s="1933">
        <f t="shared" si="14"/>
        <v>37.258999999999993</v>
      </c>
      <c r="F39" s="1933">
        <f t="shared" si="14"/>
        <v>42.704249999999995</v>
      </c>
      <c r="G39" s="1933" t="e">
        <f t="shared" si="14"/>
        <v>#DIV/0!</v>
      </c>
      <c r="H39" s="1933">
        <f t="shared" si="14"/>
        <v>44.685826086956517</v>
      </c>
      <c r="I39" s="1933">
        <f t="shared" si="14"/>
        <v>1631.9353908695655</v>
      </c>
      <c r="J39" s="1933">
        <f t="shared" si="14"/>
        <v>354.92808695652167</v>
      </c>
      <c r="K39" s="1933">
        <f t="shared" si="14"/>
        <v>1277.0073039130434</v>
      </c>
      <c r="L39" s="1934"/>
      <c r="M39" s="2079">
        <f>AVERAGE(M11:M35)</f>
        <v>0</v>
      </c>
      <c r="N39" s="1933">
        <f>AVERAGE(N11:N35)</f>
        <v>2.9178082191780828</v>
      </c>
      <c r="O39" s="2105">
        <f>AVERAGE(O11:O35)</f>
        <v>2.4316438356164375E-2</v>
      </c>
      <c r="P39" s="2106"/>
      <c r="Q39" s="2107">
        <f>AVERAGE(Q11:Q35)</f>
        <v>0.72362446887401544</v>
      </c>
      <c r="R39" s="2108"/>
      <c r="S39" s="2109">
        <f>AVERAGE(S11:S36)</f>
        <v>0.53503274142585244</v>
      </c>
      <c r="T39" s="2109">
        <f>AVERAGE(T11:T36)</f>
        <v>1.1633386749387853</v>
      </c>
      <c r="U39" s="2110">
        <f>AVERAGE(U11:U36)</f>
        <v>0.64068259102207448</v>
      </c>
      <c r="V39" s="2110">
        <f>AVERAGE(V11:V36)</f>
        <v>0.39840109088772363</v>
      </c>
      <c r="W39" s="2110">
        <f>AVERAGE(W11:W36)</f>
        <v>0.32267308264031164</v>
      </c>
      <c r="X39" s="1933">
        <f>AVERAGE(X11:X35)</f>
        <v>872.87148809596295</v>
      </c>
      <c r="Y39" s="2111">
        <f>AVERAGE(Y11:Y35)</f>
        <v>0.68073444777544834</v>
      </c>
      <c r="AB39" s="2112">
        <f>+'Asset Vol_M&amp;A Phase I'!Y40</f>
        <v>0.70890039278659356</v>
      </c>
      <c r="AC39" s="1002" t="s">
        <v>1387</v>
      </c>
      <c r="AF39" s="2114" t="s">
        <v>1764</v>
      </c>
    </row>
    <row r="40" spans="2:35" s="1002" customFormat="1" ht="14.85" customHeight="1">
      <c r="B40" s="2077" t="s">
        <v>44</v>
      </c>
      <c r="C40" s="1934"/>
      <c r="D40" s="1933">
        <f t="shared" ref="D40:K40" si="15">MEDIAN(D11:D35)</f>
        <v>1032.0795800000001</v>
      </c>
      <c r="E40" s="1933">
        <f t="shared" si="15"/>
        <v>0</v>
      </c>
      <c r="F40" s="1933">
        <f t="shared" si="15"/>
        <v>20.342499999999998</v>
      </c>
      <c r="G40" s="1933" t="e">
        <f t="shared" si="15"/>
        <v>#NUM!</v>
      </c>
      <c r="H40" s="1933">
        <f t="shared" si="15"/>
        <v>0</v>
      </c>
      <c r="I40" s="1933">
        <f t="shared" si="15"/>
        <v>1058.70937</v>
      </c>
      <c r="J40" s="1933">
        <f t="shared" si="15"/>
        <v>239.54599999999999</v>
      </c>
      <c r="K40" s="1933">
        <f t="shared" si="15"/>
        <v>727.28158000000008</v>
      </c>
      <c r="L40" s="1934"/>
      <c r="M40" s="2079">
        <f>MEDIAN(M11:M35)</f>
        <v>0</v>
      </c>
      <c r="N40" s="1933">
        <f>MEDIAN(N11:N35)</f>
        <v>2.9178082191780819</v>
      </c>
      <c r="O40" s="2105">
        <f>MEDIAN(O11:O35)</f>
        <v>2.4316438356164382E-2</v>
      </c>
      <c r="P40" s="2106"/>
      <c r="Q40" s="2107">
        <f>MEDIAN(Q11:Q35)</f>
        <v>0.72546741238615475</v>
      </c>
      <c r="R40" s="2108"/>
      <c r="S40" s="2109">
        <f>MEDIAN(S11:S36)</f>
        <v>0.52630296643426311</v>
      </c>
      <c r="T40" s="2109">
        <f>MEDIAN(T11:T36)</f>
        <v>0</v>
      </c>
      <c r="U40" s="2110">
        <f>MEDIAN(U11:U36)</f>
        <v>0</v>
      </c>
      <c r="V40" s="2110">
        <f>MEDIAN(V11:V36)</f>
        <v>0</v>
      </c>
      <c r="W40" s="2110">
        <f>MEDIAN(W11:W36)</f>
        <v>0</v>
      </c>
      <c r="X40" s="1933">
        <f>MEDIAN(X11:X35)</f>
        <v>0</v>
      </c>
      <c r="Y40" s="2111">
        <f>MEDIAN(Y11:Y35)</f>
        <v>0.70890039278659356</v>
      </c>
      <c r="AB40" s="2115" t="str">
        <f>IF(ROUND(AB37,3)=ROUND(AB39,3),"","Update Volatility - OPM")</f>
        <v/>
      </c>
      <c r="AF40" s="2113"/>
    </row>
    <row r="41" spans="2:35" s="1002" customFormat="1" ht="14.85" customHeight="1">
      <c r="B41" s="2077" t="s">
        <v>114</v>
      </c>
      <c r="C41" s="1934"/>
      <c r="D41" s="1933">
        <f t="shared" ref="D41:K41" si="16">QUARTILE(D11:D35,1)</f>
        <v>333.53233499999999</v>
      </c>
      <c r="E41" s="1933">
        <f t="shared" si="16"/>
        <v>0</v>
      </c>
      <c r="F41" s="1933">
        <f t="shared" si="16"/>
        <v>7.3780000000000001</v>
      </c>
      <c r="G41" s="1933" t="e">
        <f t="shared" si="16"/>
        <v>#NUM!</v>
      </c>
      <c r="H41" s="1933">
        <f t="shared" si="16"/>
        <v>0</v>
      </c>
      <c r="I41" s="1933">
        <f t="shared" si="16"/>
        <v>334.902805</v>
      </c>
      <c r="J41" s="1933">
        <f t="shared" si="16"/>
        <v>151.708</v>
      </c>
      <c r="K41" s="1933">
        <f t="shared" si="16"/>
        <v>214.77052</v>
      </c>
      <c r="L41" s="1934"/>
      <c r="M41" s="2079">
        <f>QUARTILE(M11:M35,1)</f>
        <v>0</v>
      </c>
      <c r="N41" s="1933">
        <f>QUARTILE(N11:N35,1)</f>
        <v>2.9178082191780819</v>
      </c>
      <c r="O41" s="2105">
        <f>QUARTILE(O11:O35,1)</f>
        <v>2.4316438356164382E-2</v>
      </c>
      <c r="P41" s="2106"/>
      <c r="Q41" s="2107">
        <f>QUARTILE(Q11:Q35,1)</f>
        <v>0.67870462913818252</v>
      </c>
      <c r="R41" s="2108"/>
      <c r="S41" s="2109">
        <f>QUARTILE(S11:S36,1)</f>
        <v>0.46063997361359788</v>
      </c>
      <c r="T41" s="2109">
        <f>QUARTILE(T11:T36,1)</f>
        <v>0</v>
      </c>
      <c r="U41" s="2110">
        <f>QUARTILE(U11:U36,1)</f>
        <v>0</v>
      </c>
      <c r="V41" s="2110">
        <f>QUARTILE(V11:V36,1)</f>
        <v>0</v>
      </c>
      <c r="W41" s="2110">
        <f>QUARTILE(W11:W36,1)</f>
        <v>0</v>
      </c>
      <c r="X41" s="1933">
        <f>QUARTILE(X11:X35,1)</f>
        <v>0</v>
      </c>
      <c r="Y41" s="2111">
        <f>QUARTILE(Y11:Y35,1)</f>
        <v>0.60523920107633411</v>
      </c>
      <c r="AB41" s="2116" t="str">
        <f>IF(ROUND(AB38,3)=ROUND(AB39,3),"","Update Volatility - DLOM")</f>
        <v/>
      </c>
      <c r="AC41" s="2117"/>
      <c r="AD41" s="2117"/>
      <c r="AE41" s="2117"/>
      <c r="AF41" s="2118"/>
    </row>
    <row r="42" spans="2:35" s="1002" customFormat="1" ht="14.85" customHeight="1">
      <c r="B42" s="1938" t="s">
        <v>112</v>
      </c>
      <c r="C42" s="1940"/>
      <c r="D42" s="1939">
        <f t="shared" ref="D42:K42" si="17">MIN(D11:D35)</f>
        <v>19.22391</v>
      </c>
      <c r="E42" s="1939">
        <f t="shared" si="17"/>
        <v>0</v>
      </c>
      <c r="F42" s="1939">
        <f t="shared" si="17"/>
        <v>6.6429999999999998</v>
      </c>
      <c r="G42" s="1939">
        <f t="shared" si="17"/>
        <v>0</v>
      </c>
      <c r="H42" s="1939">
        <f t="shared" si="17"/>
        <v>0</v>
      </c>
      <c r="I42" s="1939">
        <f t="shared" si="17"/>
        <v>26.846910000000001</v>
      </c>
      <c r="J42" s="1939">
        <f t="shared" si="17"/>
        <v>12.877000000000001</v>
      </c>
      <c r="K42" s="1939">
        <f t="shared" si="17"/>
        <v>10.735910000000001</v>
      </c>
      <c r="L42" s="1940"/>
      <c r="M42" s="2082">
        <f>MIN(M11:M35)</f>
        <v>0</v>
      </c>
      <c r="N42" s="1939">
        <f>MIN(N11:N35)</f>
        <v>2.9178082191780819</v>
      </c>
      <c r="O42" s="2119">
        <f>MIN(O11:O35)</f>
        <v>2.4316438356164382E-2</v>
      </c>
      <c r="P42" s="2120"/>
      <c r="Q42" s="2121">
        <f>MIN(Q11:Q35)</f>
        <v>0.45368577964898188</v>
      </c>
      <c r="R42" s="2122"/>
      <c r="S42" s="2123">
        <f>MIN(S11:S36)</f>
        <v>0.20583078665570453</v>
      </c>
      <c r="T42" s="2123">
        <f>MIN(T11:T36)</f>
        <v>0</v>
      </c>
      <c r="U42" s="2124">
        <f>MIN(U11:U36)</f>
        <v>-0.96314983574388957</v>
      </c>
      <c r="V42" s="2124">
        <f>MIN(V11:V36)</f>
        <v>0</v>
      </c>
      <c r="W42" s="2124">
        <f>MIN(W11:W36)</f>
        <v>0</v>
      </c>
      <c r="X42" s="1939">
        <f>MIN(X11:X35)</f>
        <v>0</v>
      </c>
      <c r="Y42" s="2125">
        <f>MIN(Y11:Y35)</f>
        <v>0.38176386447105587</v>
      </c>
      <c r="AB42" s="2126" t="str">
        <f>IF(K44&lt;&gt;K46,"Check","")</f>
        <v/>
      </c>
    </row>
    <row r="43" spans="2:35" s="1002" customFormat="1" ht="9.9499999999999993" customHeight="1">
      <c r="P43" s="1920"/>
      <c r="AB43" s="2127" t="str">
        <f>IF(AND(AB40=$AF$41,AB42=$AF$41,AB41=$AF$41),"","Check")</f>
        <v/>
      </c>
    </row>
    <row r="44" spans="2:35" s="1002" customFormat="1" ht="14.85" hidden="1" customHeight="1" outlineLevel="1">
      <c r="B44" s="2128" t="str">
        <f>B2</f>
        <v>Trucode Gene Repair, Inc.</v>
      </c>
      <c r="C44" s="2129" t="s">
        <v>249</v>
      </c>
      <c r="D44" s="2130">
        <f>'Val Summ'!D9/1000</f>
        <v>42.64</v>
      </c>
      <c r="E44" s="2131"/>
      <c r="F44" s="2131"/>
      <c r="G44" s="2131"/>
      <c r="H44" s="2130">
        <f>'Hist BS'!$E$61/1000</f>
        <v>0.15776502000000001</v>
      </c>
      <c r="I44" s="2132">
        <f t="shared" ref="I44" si="18">SUM(D44:G44)</f>
        <v>42.64</v>
      </c>
      <c r="J44" s="2131"/>
      <c r="K44" s="2130">
        <f>+'Val Summ'!D9/1000+H44</f>
        <v>42.79776502</v>
      </c>
      <c r="L44" s="2131"/>
      <c r="M44" s="2133">
        <f>'PWERM DLOM'!E16</f>
        <v>0</v>
      </c>
      <c r="N44" s="2134">
        <f>N$6</f>
        <v>2.9178082191780819</v>
      </c>
      <c r="O44" s="2135">
        <f>O$6</f>
        <v>2.4316438356164382E-2</v>
      </c>
      <c r="P44" s="2136"/>
      <c r="Q44" s="2137">
        <v>0.71189999999999998</v>
      </c>
      <c r="R44" s="2131"/>
      <c r="S44" s="2138">
        <f>IF(Q44="n/a","n/a",Q44^2)</f>
        <v>0.50680161000000001</v>
      </c>
      <c r="T44" s="2138">
        <f>IF(OR(K44="n/a",S44="n/a"),"n/a",IF(H44=0,0,IF(M44=0,(LN(K44/H44)+((O44+(S44/2))*N44))/((S44*N44)^0.5),(LN(K44/H44)+((O44-M44+(S44/2))*N44))/((S44*N44)^0.5))))</f>
        <v>5.2740595965486508</v>
      </c>
      <c r="U44" s="2139">
        <f>IF(T44="n/a","n/a",IF(H44=0,0,T44-(S44*N44)^0.5))</f>
        <v>4.0580209856687635</v>
      </c>
      <c r="V44" s="2139">
        <f>IF(OR(T44="n/a",S44="n/a"),"n/a",IF(H44=0,0,NORMSDIST(T44)))</f>
        <v>0.99999993328072856</v>
      </c>
      <c r="W44" s="2139">
        <f>IF(OR(U44="n/a",S44="n/a"),"n/a",IF(H44=0,0,NORMSDIST(U44)))</f>
        <v>0.99997525483921224</v>
      </c>
      <c r="X44" s="2139">
        <f>IF(OR(K44="n/a",S44="n/a"),"n/a",IF(M44=0,(K44*V44)-((H44*EXP(1)^(-O44*N44))*W44),(K44*(2.718^(-M44*N44))*V44)-(H44*(2.718^(-O44*N44))*W44)))</f>
        <v>42.650806452682211</v>
      </c>
      <c r="Y44" s="2140">
        <f>IF(LEN(B44)&gt;0,IF(H44=0,Q44,IF(ISERROR(Q44/((K44/X44)*V44)),"n/a",Q44/((K44/X44)*V44))))</f>
        <v>0.70945553173816456</v>
      </c>
    </row>
    <row r="45" spans="2:35" s="1002" customFormat="1" ht="14.85" hidden="1" customHeight="1" outlineLevel="1">
      <c r="P45" s="1920"/>
    </row>
    <row r="46" spans="2:35" s="1002" customFormat="1" ht="14.85" customHeight="1" collapsed="1">
      <c r="B46" s="2128" t="str">
        <f>B44</f>
        <v>Trucode Gene Repair, Inc.</v>
      </c>
      <c r="C46" s="2129" t="s">
        <v>249</v>
      </c>
      <c r="D46" s="2130">
        <f>(PWERM!B177-PWERM!B129)/1000</f>
        <v>25.540442656150042</v>
      </c>
      <c r="E46" s="2130">
        <f>H44+(PWERM!B129/1000)</f>
        <v>17.257322363849958</v>
      </c>
      <c r="F46" s="2131"/>
      <c r="G46" s="2131"/>
      <c r="H46" s="2190">
        <f t="shared" ref="H46" si="19">SUM(E46:G46)</f>
        <v>17.257322363849958</v>
      </c>
      <c r="I46" s="2132">
        <f>K46+J46</f>
        <v>42.79776502</v>
      </c>
      <c r="J46" s="2131"/>
      <c r="K46" s="2141">
        <f>K44</f>
        <v>42.79776502</v>
      </c>
      <c r="L46" s="2131"/>
      <c r="M46" s="2143">
        <f>M44</f>
        <v>0</v>
      </c>
      <c r="N46" s="2134">
        <f>N$6</f>
        <v>2.9178082191780819</v>
      </c>
      <c r="O46" s="2135">
        <f>O$6</f>
        <v>2.4316438356164382E-2</v>
      </c>
      <c r="P46" s="2136"/>
      <c r="Q46" s="2137">
        <v>0.87458546711474328</v>
      </c>
      <c r="R46" s="2131"/>
      <c r="S46" s="2138">
        <f>IF(Q46="n/a","n/a",Q46^2)</f>
        <v>0.76489973928831367</v>
      </c>
      <c r="T46" s="2138">
        <f>IF(OR(K46="n/a",S46="n/a"),"n/a",IF(H46=0,0,IF(M46=0,(LN(K46/H46)+((O46+(S46/2))*N46))/((S46*N46)^0.5),(LN(K46/H46)+((O46-M46+(S46/2))*N46))/((S46*N46)^0.5))))</f>
        <v>1.4024175091407252</v>
      </c>
      <c r="U46" s="2139">
        <f>IF(T46="n/a","n/a",IF(H46=0,0,T46-(S46*N46)^0.5))</f>
        <v>-9.1513796556633054E-2</v>
      </c>
      <c r="V46" s="2139">
        <f>IF(OR(T46="n/a",S46="n/a"),"n/a",IF(H46=0,0,NORMSDIST(T46)))</f>
        <v>0.91960469607995876</v>
      </c>
      <c r="W46" s="2139">
        <f>IF(OR(U46="n/a",S46="n/a"),"n/a",IF(H46=0,0,NORMSDIST(U46)))</f>
        <v>0.4635421720848637</v>
      </c>
      <c r="X46" s="2139">
        <f>IF(OR(K46="n/a",S46="n/a"),"n/a",IF(M46=0,(K46*V46)-((H46*EXP(1)^(-O46*N46))*W46),(K46*(2.718^(-M46*N46))*V46)-(H46*(2.718^(-O46*N46))*W46)))</f>
        <v>31.905432041508</v>
      </c>
      <c r="Y46" s="2140">
        <f>IF(LEN(B46)&gt;0,IF(H46=0,Q46,IF(ISERROR(Q46/((K46/X46)*V46)),"n/a",Q46/((K46/X46)*V46))))</f>
        <v>0.70899735672073083</v>
      </c>
    </row>
    <row r="47" spans="2:35" s="1002" customFormat="1" ht="14.85" customHeight="1">
      <c r="P47" s="1920"/>
    </row>
    <row r="48" spans="2:35" s="1002" customFormat="1" ht="14.85" customHeight="1">
      <c r="B48" s="2084" t="s">
        <v>86</v>
      </c>
      <c r="P48" s="1920"/>
    </row>
    <row r="49" spans="1:35" ht="14.85" customHeight="1">
      <c r="A49" s="280" t="s">
        <v>250</v>
      </c>
      <c r="B49" s="388" t="s">
        <v>2925</v>
      </c>
    </row>
    <row r="50" spans="1:35" s="282" customFormat="1" ht="14.85" customHeight="1">
      <c r="A50" s="280" t="s">
        <v>249</v>
      </c>
      <c r="B50" s="388" t="s">
        <v>4246</v>
      </c>
      <c r="C50" s="234"/>
      <c r="D50" s="234"/>
      <c r="E50" s="234"/>
      <c r="F50" s="234"/>
      <c r="G50" s="234"/>
      <c r="H50" s="234"/>
      <c r="I50" s="234"/>
      <c r="J50" s="234"/>
      <c r="K50" s="234"/>
      <c r="L50" s="234"/>
      <c r="M50" s="234"/>
      <c r="N50" s="234"/>
      <c r="O50" s="234"/>
      <c r="P50" s="435"/>
      <c r="Q50" s="234"/>
      <c r="R50" s="234"/>
      <c r="S50" s="234"/>
      <c r="T50" s="234"/>
      <c r="U50" s="234"/>
      <c r="V50" s="234"/>
      <c r="W50" s="234"/>
      <c r="X50" s="234"/>
      <c r="Y50" s="234"/>
      <c r="Z50" s="234"/>
      <c r="AA50" s="234"/>
      <c r="AB50" s="234"/>
      <c r="AC50" s="234"/>
      <c r="AD50" s="234"/>
      <c r="AE50" s="234"/>
      <c r="AF50" s="234"/>
      <c r="AG50" s="234"/>
      <c r="AH50" s="234"/>
      <c r="AI50" s="234"/>
    </row>
    <row r="51" spans="1:35" ht="14.85" customHeight="1"/>
    <row r="52" spans="1:35" ht="14.85" customHeight="1">
      <c r="B52" s="279" t="s">
        <v>116</v>
      </c>
    </row>
    <row r="53" spans="1:35" ht="14.85" customHeight="1"/>
    <row r="54" spans="1:35" ht="14.85" customHeight="1">
      <c r="B54" s="234" t="s">
        <v>1416</v>
      </c>
    </row>
    <row r="55" spans="1:35" ht="14.85" customHeight="1">
      <c r="B55" s="234" t="s">
        <v>1417</v>
      </c>
    </row>
    <row r="56" spans="1:35" ht="14.85" customHeight="1">
      <c r="B56" s="234" t="s">
        <v>1418</v>
      </c>
    </row>
    <row r="57" spans="1:35" ht="14.85" customHeight="1">
      <c r="B57" s="234" t="s">
        <v>1419</v>
      </c>
    </row>
    <row r="58" spans="1:35" ht="14.85" customHeight="1">
      <c r="B58" s="234" t="s">
        <v>1420</v>
      </c>
    </row>
    <row r="59" spans="1:35" ht="14.85" customHeight="1">
      <c r="B59" s="234" t="s">
        <v>1421</v>
      </c>
    </row>
    <row r="60" spans="1:35" ht="14.85" customHeight="1">
      <c r="B60" s="234" t="s">
        <v>1422</v>
      </c>
    </row>
    <row r="61" spans="1:35" ht="14.85" customHeight="1"/>
    <row r="62" spans="1:35" ht="14.85" customHeight="1">
      <c r="B62" s="234" t="s">
        <v>1423</v>
      </c>
    </row>
    <row r="63" spans="1:35" ht="14.85" customHeight="1">
      <c r="B63" s="234" t="s">
        <v>1424</v>
      </c>
    </row>
    <row r="64" spans="1:35"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256" priority="9" operator="equal">
      <formula>"(Invalid Identifier)"</formula>
    </cfRule>
  </conditionalFormatting>
  <conditionalFormatting sqref="C4:I4">
    <cfRule type="cellIs" dxfId="255" priority="8" stopIfTrue="1" operator="equal">
      <formula>"input"</formula>
    </cfRule>
  </conditionalFormatting>
  <conditionalFormatting sqref="J4">
    <cfRule type="cellIs" dxfId="254" priority="6" stopIfTrue="1" operator="equal">
      <formula>"input"</formula>
    </cfRule>
  </conditionalFormatting>
  <conditionalFormatting sqref="J4">
    <cfRule type="cellIs" dxfId="253" priority="7" stopIfTrue="1" operator="equal">
      <formula>"input"</formula>
    </cfRule>
  </conditionalFormatting>
  <conditionalFormatting sqref="K4:X4">
    <cfRule type="cellIs" dxfId="252" priority="4" stopIfTrue="1" operator="equal">
      <formula>"input"</formula>
    </cfRule>
  </conditionalFormatting>
  <conditionalFormatting sqref="K4:X4">
    <cfRule type="cellIs" dxfId="251" priority="5" stopIfTrue="1" operator="equal">
      <formula>"input"</formula>
    </cfRule>
  </conditionalFormatting>
  <conditionalFormatting sqref="Y4">
    <cfRule type="cellIs" dxfId="250" priority="2" stopIfTrue="1" operator="equal">
      <formula>"input"</formula>
    </cfRule>
  </conditionalFormatting>
  <conditionalFormatting sqref="Y4">
    <cfRule type="cellIs" dxfId="249" priority="3" stopIfTrue="1" operator="equal">
      <formula>"input"</formula>
    </cfRule>
  </conditionalFormatting>
  <conditionalFormatting sqref="B4">
    <cfRule type="cellIs" dxfId="248"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71"/>
  <dimension ref="A1:AI759"/>
  <sheetViews>
    <sheetView showGridLines="0" view="pageBreakPreview" topLeftCell="A25" zoomScaleNormal="100" zoomScaleSheetLayoutView="100" workbookViewId="0">
      <selection activeCell="Q47" sqref="Q47"/>
    </sheetView>
  </sheetViews>
  <sheetFormatPr defaultRowHeight="14.25" outlineLevelRow="1" outlineLevelCol="1"/>
  <cols>
    <col min="1" max="1" width="4.5" style="234" customWidth="1"/>
    <col min="2" max="2" width="42.83203125" style="234" customWidth="1"/>
    <col min="3" max="3" width="3.5" style="234" customWidth="1"/>
    <col min="4" max="4" width="13.16406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Exhibit H.5</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tr">
        <f>"Asset Volatility ("&amp;TEXT('PWERM DLOM'!G6,"")&amp;")"</f>
        <v>Asset Volatility (M&amp;A - Phase II)</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'PWERM DLOM'!G10</f>
        <v>4.6657534246575345</v>
      </c>
      <c r="O6" s="440">
        <f>'Risk-Free Rates'!E51</f>
        <v>2.4299999999999999E-2</v>
      </c>
      <c r="Q6" s="268">
        <f>HLOOKUP(ROUND(N6,0),'Equity Vol'!$D$8:$K$8,1,TRUE)</f>
        <v>5</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3.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c r="X9" s="252"/>
      <c r="Y9" s="252"/>
    </row>
    <row r="10" spans="2:35" ht="14.85" customHeight="1">
      <c r="B10" s="1918" t="s">
        <v>4046</v>
      </c>
      <c r="C10" s="1002"/>
      <c r="D10" s="1002"/>
      <c r="E10" s="1002"/>
      <c r="F10" s="1002"/>
      <c r="G10" s="1002"/>
      <c r="H10" s="1002"/>
      <c r="I10" s="1002"/>
      <c r="J10" s="1002"/>
      <c r="K10" s="1002"/>
      <c r="L10" s="1002"/>
      <c r="M10" s="1002"/>
      <c r="N10" s="1002"/>
      <c r="O10" s="1002"/>
      <c r="P10" s="1920"/>
      <c r="Q10" s="1002"/>
      <c r="R10" s="1002"/>
      <c r="S10" s="1002"/>
      <c r="T10" s="1002"/>
      <c r="U10" s="1002"/>
      <c r="V10" s="1002"/>
      <c r="W10" s="1002"/>
      <c r="X10" s="1290"/>
      <c r="Y10" s="1290"/>
    </row>
    <row r="11" spans="2:35" s="1002" customFormat="1" ht="14.85" customHeight="1">
      <c r="B11" s="1002" t="str">
        <f>'Comp.1'!B11</f>
        <v>Alnylam Pharmaceuticals, Inc.</v>
      </c>
      <c r="D11" s="1922">
        <f>'Beta Calc'!K11</f>
        <v>8868.9653999999991</v>
      </c>
      <c r="E11" s="1922">
        <f>'Beta Calc'!L11</f>
        <v>30</v>
      </c>
      <c r="F11" s="1922" t="str">
        <f>'Beta Calc'!M11</f>
        <v>n/a</v>
      </c>
      <c r="G11" s="1922" t="str">
        <f>'Beta Calc'!N11</f>
        <v>n/a</v>
      </c>
      <c r="H11" s="1922">
        <f>SUM(E11:G11)</f>
        <v>30</v>
      </c>
      <c r="I11" s="1922">
        <f>SUM(D11:G11)</f>
        <v>8898.9653999999991</v>
      </c>
      <c r="J11" s="1922">
        <f>'Beta Calc'!Q11</f>
        <v>1236.8340000000001</v>
      </c>
      <c r="K11" s="1922">
        <f>I11-J11</f>
        <v>7662.1313999999993</v>
      </c>
      <c r="M11" s="2070">
        <f>IFERROR('Capital IQ Sheet-GPC'!AT13,"n/a")</f>
        <v>0</v>
      </c>
      <c r="N11" s="1922">
        <f t="shared" ref="N11:O35" si="0">N$6</f>
        <v>4.6657534246575345</v>
      </c>
      <c r="O11" s="2085">
        <f t="shared" si="0"/>
        <v>2.4299999999999999E-2</v>
      </c>
      <c r="P11" s="2086"/>
      <c r="Q11" s="2087">
        <f>IFERROR(HLOOKUP($Q$6,'Equity Vol'!$B$8:$K11,ROWS('Equity Vol'!$C$8:$C11),FALSE),"n/a")</f>
        <v>0.65801935658532418</v>
      </c>
      <c r="R11" s="2088"/>
      <c r="S11" s="2089">
        <f>IFERROR(IF(Q11="n/a","n/a",Q11^2),"n/a")</f>
        <v>0.43298947364096402</v>
      </c>
      <c r="T11" s="2089">
        <f t="shared" ref="T11:T35" si="1">IF(OR(K11="n/a",S11="n/a"),"n/a",IF(H11=0,0,IF(M11=0,(LN(K11/H11)+((O11+(S11/2))*N11))/((S11*N11)^0.5),(LN(K11/H11)+((O11-M11+(S11/2))*N11))/((S11*N11)^0.5))))</f>
        <v>4.6901604598306239</v>
      </c>
      <c r="U11" s="2090">
        <f t="shared" ref="U11:U35" si="2">IF(T11="n/a","n/a",IF(H11=0,0,T11-(S11*N11)^0.5))</f>
        <v>3.268815280262694</v>
      </c>
      <c r="V11" s="2090">
        <f t="shared" ref="V11:V35" si="3">IF(OR(T11="n/a",S11="n/a"),"n/a",IF(H11=0,0,NORMSDIST(T11)))</f>
        <v>0.9999986350455855</v>
      </c>
      <c r="W11" s="2090">
        <f t="shared" ref="W11:W35" si="4">IF(OR(U11="n/a",S11="n/a"),"n/a",IF(H11=0,0,NORMSDIST(U11)))</f>
        <v>0.99946000608843411</v>
      </c>
      <c r="X11" s="1351">
        <f t="shared" ref="X11:X35" si="5">IF(OR(K11="n/a",S11="n/a"),"n/a",IF(M11=0,(K11*V11)-((H11*EXP(1)^(-O11*N11))*W11),(K11*(2.718^(-M11*N11))*V11)-(H11*(2.718^(-O11*N11))*W11)))</f>
        <v>7635.3510064263082</v>
      </c>
      <c r="Y11" s="2087">
        <f>IFERROR(IF(LEN(B11)&gt;0,IF(H11=0,Q11,IF(ISERROR(Q11/((K11/X11)*V11)),"n/a",Q11/((K11/X11)*V11)))),"n/a")</f>
        <v>0.65572036710007742</v>
      </c>
      <c r="AA11" s="1924" t="str">
        <f>IF('MASTER PubCo Inputs'!B28=0,"",'MASTER PubCo Inputs'!B28)</f>
        <v>NasdaqGS:ALNY</v>
      </c>
      <c r="AB11" s="1922">
        <f>'Beta Calc'!Z11</f>
        <v>7662.1313899999996</v>
      </c>
      <c r="AC11" s="2091">
        <f t="shared" ref="AC11:AC35" si="6">K11-AB11</f>
        <v>9.9999997473787516E-6</v>
      </c>
      <c r="AI11" s="2092"/>
    </row>
    <row r="12" spans="2:35" s="1002" customFormat="1" ht="14.85" customHeight="1">
      <c r="B12" s="1002" t="str">
        <f>'Comp.1'!B12</f>
        <v>bluebird bio, Inc.</v>
      </c>
      <c r="D12" s="1922">
        <f>'Beta Calc'!K12</f>
        <v>7297.8752599999998</v>
      </c>
      <c r="E12" s="1922">
        <f>'Beta Calc'!L12</f>
        <v>155.03399999999999</v>
      </c>
      <c r="F12" s="1922" t="str">
        <f>'Beta Calc'!M12</f>
        <v>n/a</v>
      </c>
      <c r="G12" s="1922" t="str">
        <f>'Beta Calc'!N12</f>
        <v>n/a</v>
      </c>
      <c r="H12" s="1922">
        <f t="shared" ref="H12:H35" si="7">SUM(E12:G12)</f>
        <v>155.03399999999999</v>
      </c>
      <c r="I12" s="1922">
        <f t="shared" ref="I12:I35" si="8">SUM(D12:G12)</f>
        <v>7452.9092599999994</v>
      </c>
      <c r="J12" s="1922">
        <f>'Beta Calc'!Q12</f>
        <v>1695.2950000000001</v>
      </c>
      <c r="K12" s="1922">
        <f t="shared" ref="K12:K35" si="9">I12-J12</f>
        <v>5757.6142599999994</v>
      </c>
      <c r="M12" s="2070">
        <f>IFERROR('Capital IQ Sheet-GPC'!AT14,"n/a")</f>
        <v>0</v>
      </c>
      <c r="N12" s="1922">
        <f t="shared" si="0"/>
        <v>4.6657534246575345</v>
      </c>
      <c r="O12" s="2085">
        <f t="shared" si="0"/>
        <v>2.4299999999999999E-2</v>
      </c>
      <c r="P12" s="2086"/>
      <c r="Q12" s="2087">
        <f>IFERROR(HLOOKUP($Q$6,'Equity Vol'!$B$8:$K12,ROWS('Equity Vol'!$C$8:$C12),FALSE),"n/a")</f>
        <v>0.72674534281867753</v>
      </c>
      <c r="R12" s="2088"/>
      <c r="S12" s="2089">
        <f t="shared" ref="S12:S35" si="10">IFERROR(IF(Q12="n/a","n/a",Q12^2),"n/a")</f>
        <v>0.52815879330863713</v>
      </c>
      <c r="T12" s="2089">
        <f t="shared" si="1"/>
        <v>3.1597366630768673</v>
      </c>
      <c r="U12" s="2090">
        <f t="shared" si="2"/>
        <v>1.5899409124638251</v>
      </c>
      <c r="V12" s="2090">
        <f t="shared" si="3"/>
        <v>0.99921044103056456</v>
      </c>
      <c r="W12" s="2090">
        <f t="shared" si="4"/>
        <v>0.94407593775381826</v>
      </c>
      <c r="X12" s="1351">
        <f t="shared" si="5"/>
        <v>5622.3926775087921</v>
      </c>
      <c r="Y12" s="2087">
        <f t="shared" ref="Y12:Y35" si="11">IFERROR(IF(LEN(B12)&gt;0,IF(H12=0,Q12,IF(ISERROR(Q12/((K12/X12)*V12)),"n/a",Q12/((K12/X12)*V12)))),"n/a")</f>
        <v>0.71023799686647937</v>
      </c>
      <c r="AA12" s="1924" t="str">
        <f>IF('MASTER PubCo Inputs'!B29=0,"",'MASTER PubCo Inputs'!B29)</f>
        <v>NasdaqGS:BLUE</v>
      </c>
      <c r="AB12" s="1922">
        <f>'Beta Calc'!Z12</f>
        <v>5757.6142600000003</v>
      </c>
      <c r="AC12" s="2091">
        <f t="shared" si="6"/>
        <v>0</v>
      </c>
      <c r="AI12" s="2092"/>
    </row>
    <row r="13" spans="2:35" s="1002" customFormat="1" ht="14.85" customHeight="1">
      <c r="B13" s="1002" t="str">
        <f>'Comp.1'!B13</f>
        <v>Ironwood Pharmaceuticals, Inc.</v>
      </c>
      <c r="D13" s="1922">
        <f>'Beta Calc'!K13</f>
        <v>2104.44911</v>
      </c>
      <c r="E13" s="1922">
        <f>'Beta Calc'!L13</f>
        <v>409.30599999999998</v>
      </c>
      <c r="F13" s="1922" t="str">
        <f>'Beta Calc'!M13</f>
        <v>n/a</v>
      </c>
      <c r="G13" s="1922" t="str">
        <f>'Beta Calc'!N13</f>
        <v>n/a</v>
      </c>
      <c r="H13" s="1922">
        <f t="shared" si="7"/>
        <v>409.30599999999998</v>
      </c>
      <c r="I13" s="1922">
        <f t="shared" si="8"/>
        <v>2513.7551100000001</v>
      </c>
      <c r="J13" s="1922">
        <f>'Beta Calc'!Q13</f>
        <v>161.398</v>
      </c>
      <c r="K13" s="1922">
        <f t="shared" si="9"/>
        <v>2352.3571099999999</v>
      </c>
      <c r="M13" s="2070">
        <f>IFERROR('Capital IQ Sheet-GPC'!AT15,"n/a")</f>
        <v>0</v>
      </c>
      <c r="N13" s="1922">
        <f t="shared" si="0"/>
        <v>4.6657534246575345</v>
      </c>
      <c r="O13" s="2085">
        <f t="shared" si="0"/>
        <v>2.4299999999999999E-2</v>
      </c>
      <c r="P13" s="2086"/>
      <c r="Q13" s="2087">
        <f>IFERROR(HLOOKUP($Q$6,'Equity Vol'!$B$8:$K13,ROWS('Equity Vol'!$C$8:$C13),FALSE),"n/a")</f>
        <v>0.45976240890543452</v>
      </c>
      <c r="R13" s="2088"/>
      <c r="S13" s="2089">
        <f t="shared" si="10"/>
        <v>0.21138147264252796</v>
      </c>
      <c r="T13" s="2089">
        <f t="shared" si="1"/>
        <v>2.3715712253407317</v>
      </c>
      <c r="U13" s="2090">
        <f t="shared" si="2"/>
        <v>1.3784680937924378</v>
      </c>
      <c r="V13" s="2090">
        <f t="shared" si="3"/>
        <v>0.99114368379541429</v>
      </c>
      <c r="W13" s="2090">
        <f t="shared" si="4"/>
        <v>0.91597059388498436</v>
      </c>
      <c r="X13" s="1351">
        <f t="shared" si="5"/>
        <v>1996.797245562193</v>
      </c>
      <c r="Y13" s="2087">
        <f t="shared" si="11"/>
        <v>0.39375633894206191</v>
      </c>
      <c r="AA13" s="1924" t="str">
        <f>IF('MASTER PubCo Inputs'!B30=0,"",'MASTER PubCo Inputs'!B30)</f>
        <v>NasdaqGS:IRWD</v>
      </c>
      <c r="AB13" s="1922">
        <f>'Beta Calc'!Z13</f>
        <v>2352.3571099999999</v>
      </c>
      <c r="AC13" s="2091">
        <f t="shared" si="6"/>
        <v>0</v>
      </c>
      <c r="AI13" s="2092"/>
    </row>
    <row r="14" spans="2:35" s="1002" customFormat="1" ht="14.85" customHeight="1">
      <c r="B14" s="1002" t="str">
        <f>'Comp.1'!B14</f>
        <v>Global Blood Therapeutics, Inc.</v>
      </c>
      <c r="D14" s="1922">
        <f>'Beta Calc'!K14</f>
        <v>2660.4172400000002</v>
      </c>
      <c r="E14" s="1922">
        <f>'Beta Calc'!L14</f>
        <v>0</v>
      </c>
      <c r="F14" s="1922" t="str">
        <f>'Beta Calc'!M14</f>
        <v>n/a</v>
      </c>
      <c r="G14" s="1922" t="str">
        <f>'Beta Calc'!N14</f>
        <v>n/a</v>
      </c>
      <c r="H14" s="1922">
        <f t="shared" si="7"/>
        <v>0</v>
      </c>
      <c r="I14" s="1922">
        <f t="shared" si="8"/>
        <v>2660.4172400000002</v>
      </c>
      <c r="J14" s="1922">
        <f>'Beta Calc'!Q14</f>
        <v>383.22800000000001</v>
      </c>
      <c r="K14" s="1922">
        <f t="shared" si="9"/>
        <v>2277.1892400000002</v>
      </c>
      <c r="M14" s="2070">
        <f>IFERROR('Capital IQ Sheet-GPC'!AT16,"n/a")</f>
        <v>0</v>
      </c>
      <c r="N14" s="1922">
        <f t="shared" si="0"/>
        <v>4.6657534246575345</v>
      </c>
      <c r="O14" s="2085">
        <f t="shared" si="0"/>
        <v>2.4299999999999999E-2</v>
      </c>
      <c r="P14" s="2086"/>
      <c r="Q14" s="2087">
        <f>IFERROR(HLOOKUP($Q$6,'Equity Vol'!$B$8:$K14,ROWS('Equity Vol'!$C$8:$C14),FALSE),"n/a")</f>
        <v>0.77604783372898034</v>
      </c>
      <c r="R14" s="2088"/>
      <c r="S14" s="2089">
        <f t="shared" si="10"/>
        <v>0.60225024023544316</v>
      </c>
      <c r="T14" s="2089">
        <f t="shared" si="1"/>
        <v>0</v>
      </c>
      <c r="U14" s="2090">
        <f t="shared" si="2"/>
        <v>0</v>
      </c>
      <c r="V14" s="2090">
        <f t="shared" si="3"/>
        <v>0</v>
      </c>
      <c r="W14" s="2090">
        <f t="shared" si="4"/>
        <v>0</v>
      </c>
      <c r="X14" s="1351">
        <f t="shared" si="5"/>
        <v>0</v>
      </c>
      <c r="Y14" s="2087">
        <f t="shared" si="11"/>
        <v>0.77604783372898034</v>
      </c>
      <c r="AA14" s="1924" t="str">
        <f>IF('MASTER PubCo Inputs'!B31=0,"",'MASTER PubCo Inputs'!B31)</f>
        <v>NasdaqGS:GBT</v>
      </c>
      <c r="AB14" s="1922">
        <f>'Beta Calc'!Z14</f>
        <v>2277.1892400000002</v>
      </c>
      <c r="AC14" s="2091">
        <f t="shared" si="6"/>
        <v>0</v>
      </c>
      <c r="AI14" s="2092"/>
    </row>
    <row r="15" spans="2:35" s="1002" customFormat="1" ht="14.85" customHeight="1">
      <c r="B15" s="1002" t="str">
        <f>'Comp.1'!B15</f>
        <v>Acceleron Pharma Inc.</v>
      </c>
      <c r="D15" s="1922">
        <f>'Beta Calc'!K15</f>
        <v>2185.0571599999998</v>
      </c>
      <c r="E15" s="1922">
        <f>'Beta Calc'!L15</f>
        <v>0</v>
      </c>
      <c r="F15" s="1922" t="str">
        <f>'Beta Calc'!M15</f>
        <v>n/a</v>
      </c>
      <c r="G15" s="1922" t="str">
        <f>'Beta Calc'!N15</f>
        <v>n/a</v>
      </c>
      <c r="H15" s="1922">
        <f t="shared" si="7"/>
        <v>0</v>
      </c>
      <c r="I15" s="1922">
        <f t="shared" si="8"/>
        <v>2185.0571599999998</v>
      </c>
      <c r="J15" s="1922">
        <f>'Beta Calc'!Q15</f>
        <v>307.97199999999998</v>
      </c>
      <c r="K15" s="1922">
        <f t="shared" si="9"/>
        <v>1877.0851599999999</v>
      </c>
      <c r="M15" s="2070">
        <f>IFERROR('Capital IQ Sheet-GPC'!AT17,"n/a")</f>
        <v>0</v>
      </c>
      <c r="N15" s="1922">
        <f t="shared" si="0"/>
        <v>4.6657534246575345</v>
      </c>
      <c r="O15" s="2085">
        <f t="shared" si="0"/>
        <v>2.4299999999999999E-2</v>
      </c>
      <c r="P15" s="2086"/>
      <c r="Q15" s="2087">
        <f>IFERROR(HLOOKUP($Q$6,'Equity Vol'!$B$8:$K15,ROWS('Equity Vol'!$C$8:$C15),FALSE),"n/a")</f>
        <v>0.56975187093811019</v>
      </c>
      <c r="R15" s="2088"/>
      <c r="S15" s="2089">
        <f t="shared" si="10"/>
        <v>0.324617194437477</v>
      </c>
      <c r="T15" s="2089">
        <f t="shared" si="1"/>
        <v>0</v>
      </c>
      <c r="U15" s="2090">
        <f t="shared" si="2"/>
        <v>0</v>
      </c>
      <c r="V15" s="2090">
        <f t="shared" si="3"/>
        <v>0</v>
      </c>
      <c r="W15" s="2090">
        <f t="shared" si="4"/>
        <v>0</v>
      </c>
      <c r="X15" s="1351">
        <f t="shared" si="5"/>
        <v>0</v>
      </c>
      <c r="Y15" s="2087">
        <f t="shared" si="11"/>
        <v>0.56975187093811019</v>
      </c>
      <c r="AA15" s="1924" t="str">
        <f>IF('MASTER PubCo Inputs'!B32=0,"",'MASTER PubCo Inputs'!B32)</f>
        <v>NasdaqGM:XLRN</v>
      </c>
      <c r="AB15" s="1922">
        <f>'Beta Calc'!Z15</f>
        <v>1877.0851600000001</v>
      </c>
      <c r="AC15" s="2091">
        <f t="shared" si="6"/>
        <v>0</v>
      </c>
      <c r="AI15" s="2092"/>
    </row>
    <row r="16" spans="2:35" s="1002" customFormat="1" ht="14.85" customHeight="1">
      <c r="B16" s="1002" t="str">
        <f>'Comp.1'!B16</f>
        <v>Spark Therapeutics, Inc.</v>
      </c>
      <c r="D16" s="1922">
        <f>'Beta Calc'!K16</f>
        <v>1805.0671400000001</v>
      </c>
      <c r="E16" s="1922">
        <f>'Beta Calc'!L16</f>
        <v>84.891000000000005</v>
      </c>
      <c r="F16" s="1922" t="str">
        <f>'Beta Calc'!M16</f>
        <v>n/a</v>
      </c>
      <c r="G16" s="1922" t="str">
        <f>'Beta Calc'!N16</f>
        <v>n/a</v>
      </c>
      <c r="H16" s="1922">
        <f t="shared" si="7"/>
        <v>84.891000000000005</v>
      </c>
      <c r="I16" s="1922">
        <f t="shared" si="8"/>
        <v>1889.9581400000002</v>
      </c>
      <c r="J16" s="1922">
        <f>'Beta Calc'!Q16</f>
        <v>590.476</v>
      </c>
      <c r="K16" s="1922">
        <f t="shared" si="9"/>
        <v>1299.4821400000001</v>
      </c>
      <c r="M16" s="2070">
        <f>IFERROR('Capital IQ Sheet-GPC'!AT18,"n/a")</f>
        <v>0</v>
      </c>
      <c r="N16" s="1922">
        <f t="shared" si="0"/>
        <v>4.6657534246575345</v>
      </c>
      <c r="O16" s="2085">
        <f t="shared" si="0"/>
        <v>2.4299999999999999E-2</v>
      </c>
      <c r="P16" s="2086"/>
      <c r="Q16" s="2087">
        <f>IFERROR(HLOOKUP($Q$6,'Equity Vol'!$B$8:$K16,ROWS('Equity Vol'!$C$8:$C16),FALSE),"n/a")</f>
        <v>0.70620405110079632</v>
      </c>
      <c r="R16" s="2088"/>
      <c r="S16" s="2089">
        <f t="shared" si="10"/>
        <v>0.49872416179117612</v>
      </c>
      <c r="T16" s="2089">
        <f t="shared" si="1"/>
        <v>2.625622786366109</v>
      </c>
      <c r="U16" s="2090">
        <f t="shared" si="2"/>
        <v>1.1001969553809907</v>
      </c>
      <c r="V16" s="2090">
        <f t="shared" si="3"/>
        <v>0.99567546960932352</v>
      </c>
      <c r="W16" s="2090">
        <f t="shared" si="4"/>
        <v>0.86437684156426509</v>
      </c>
      <c r="X16" s="1351">
        <f t="shared" si="5"/>
        <v>1228.3498024810822</v>
      </c>
      <c r="Y16" s="2087">
        <f t="shared" si="11"/>
        <v>0.67044652224627743</v>
      </c>
      <c r="AA16" s="1924" t="str">
        <f>IF('MASTER PubCo Inputs'!B33=0,"",'MASTER PubCo Inputs'!B33)</f>
        <v>NasdaqGS:ONCE</v>
      </c>
      <c r="AB16" s="1922">
        <f>'Beta Calc'!Z16</f>
        <v>1299.4821300000001</v>
      </c>
      <c r="AC16" s="2091">
        <f t="shared" si="6"/>
        <v>9.9999999747524271E-6</v>
      </c>
      <c r="AI16" s="2092"/>
    </row>
    <row r="17" spans="2:35" s="1002" customFormat="1" ht="14.85" customHeight="1">
      <c r="B17" s="1002" t="str">
        <f>'Comp.1'!B17</f>
        <v>REGENXBIO Inc.</v>
      </c>
      <c r="D17" s="1922">
        <f>'Beta Calc'!K17</f>
        <v>1575.5421799999999</v>
      </c>
      <c r="E17" s="1922">
        <f>'Beta Calc'!L17</f>
        <v>0</v>
      </c>
      <c r="F17" s="1922" t="str">
        <f>'Beta Calc'!M17</f>
        <v>n/a</v>
      </c>
      <c r="G17" s="1922" t="str">
        <f>'Beta Calc'!N17</f>
        <v>n/a</v>
      </c>
      <c r="H17" s="1922">
        <f t="shared" si="7"/>
        <v>0</v>
      </c>
      <c r="I17" s="1922">
        <f t="shared" si="8"/>
        <v>1575.5421799999999</v>
      </c>
      <c r="J17" s="1922">
        <f>'Beta Calc'!Q17</f>
        <v>372.589</v>
      </c>
      <c r="K17" s="1922">
        <f t="shared" si="9"/>
        <v>1202.95318</v>
      </c>
      <c r="M17" s="2070">
        <f>IFERROR('Capital IQ Sheet-GPC'!AT19,"n/a")</f>
        <v>0</v>
      </c>
      <c r="N17" s="1922">
        <f t="shared" si="0"/>
        <v>4.6657534246575345</v>
      </c>
      <c r="O17" s="2085">
        <f t="shared" si="0"/>
        <v>2.4299999999999999E-2</v>
      </c>
      <c r="P17" s="2086"/>
      <c r="Q17" s="2087">
        <f>IFERROR(HLOOKUP($Q$6,'Equity Vol'!$B$8:$K17,ROWS('Equity Vol'!$C$8:$C17),FALSE),"n/a")</f>
        <v>0.69199779427093266</v>
      </c>
      <c r="R17" s="2088"/>
      <c r="S17" s="2089">
        <f t="shared" si="10"/>
        <v>0.47886094727583606</v>
      </c>
      <c r="T17" s="2089">
        <f t="shared" si="1"/>
        <v>0</v>
      </c>
      <c r="U17" s="2090">
        <f t="shared" si="2"/>
        <v>0</v>
      </c>
      <c r="V17" s="2090">
        <f t="shared" si="3"/>
        <v>0</v>
      </c>
      <c r="W17" s="2090">
        <f t="shared" si="4"/>
        <v>0</v>
      </c>
      <c r="X17" s="1351">
        <f t="shared" si="5"/>
        <v>0</v>
      </c>
      <c r="Y17" s="2087">
        <f t="shared" si="11"/>
        <v>0.69199779427093266</v>
      </c>
      <c r="AA17" s="1924" t="str">
        <f>IF('MASTER PubCo Inputs'!B34=0,"",'MASTER PubCo Inputs'!B34)</f>
        <v>NasdaqGS:RGNX</v>
      </c>
      <c r="AB17" s="1922">
        <f>'Beta Calc'!Z17</f>
        <v>1202.95318</v>
      </c>
      <c r="AC17" s="2091">
        <f t="shared" si="6"/>
        <v>0</v>
      </c>
      <c r="AI17" s="2092"/>
    </row>
    <row r="18" spans="2:35" s="1002" customFormat="1" ht="14.85" customHeight="1">
      <c r="B18" s="1002" t="str">
        <f>'Comp.1'!B18</f>
        <v>uniQure N.V.</v>
      </c>
      <c r="D18" s="1922">
        <f>'Beta Calc'!K18</f>
        <v>1275.6593700000001</v>
      </c>
      <c r="E18" s="1922">
        <f>'Beta Calc'!L18</f>
        <v>20.707999999999998</v>
      </c>
      <c r="F18" s="1922" t="str">
        <f>'Beta Calc'!M18</f>
        <v>n/a</v>
      </c>
      <c r="G18" s="1922" t="str">
        <f>'Beta Calc'!N18</f>
        <v>n/a</v>
      </c>
      <c r="H18" s="1922">
        <f t="shared" si="7"/>
        <v>20.707999999999998</v>
      </c>
      <c r="I18" s="1922">
        <f t="shared" si="8"/>
        <v>1296.3673700000002</v>
      </c>
      <c r="J18" s="1922">
        <f>'Beta Calc'!Q18</f>
        <v>239.54599999999999</v>
      </c>
      <c r="K18" s="1922">
        <f t="shared" si="9"/>
        <v>1056.8213700000001</v>
      </c>
      <c r="M18" s="2070">
        <f>IFERROR('Capital IQ Sheet-GPC'!AT20,"n/a")</f>
        <v>0</v>
      </c>
      <c r="N18" s="1922">
        <f t="shared" si="0"/>
        <v>4.6657534246575345</v>
      </c>
      <c r="O18" s="2085">
        <f t="shared" si="0"/>
        <v>2.4299999999999999E-2</v>
      </c>
      <c r="P18" s="2086"/>
      <c r="Q18" s="2087">
        <f>IFERROR(HLOOKUP($Q$6,'Equity Vol'!$B$8:$K18,ROWS('Equity Vol'!$C$8:$C18),FALSE),"n/a")</f>
        <v>0.74360496881317673</v>
      </c>
      <c r="R18" s="2088"/>
      <c r="S18" s="2089">
        <f t="shared" si="10"/>
        <v>0.55294834964364548</v>
      </c>
      <c r="T18" s="2089">
        <f t="shared" si="1"/>
        <v>3.3219993496900386</v>
      </c>
      <c r="U18" s="2090">
        <f t="shared" si="2"/>
        <v>1.7157862081647395</v>
      </c>
      <c r="V18" s="2090">
        <f t="shared" si="3"/>
        <v>0.9995531254891693</v>
      </c>
      <c r="W18" s="2090">
        <f t="shared" si="4"/>
        <v>0.95689941031710546</v>
      </c>
      <c r="X18" s="1351">
        <f t="shared" si="5"/>
        <v>1038.6575859502684</v>
      </c>
      <c r="Y18" s="2087">
        <f t="shared" si="11"/>
        <v>0.73115122573876157</v>
      </c>
      <c r="AA18" s="1924" t="str">
        <f>IF('MASTER PubCo Inputs'!B35=0,"",'MASTER PubCo Inputs'!B35)</f>
        <v>NasdaqGS:QURE</v>
      </c>
      <c r="AB18" s="1922">
        <f>'Beta Calc'!Z18</f>
        <v>1056.8213699999999</v>
      </c>
      <c r="AC18" s="2091">
        <f t="shared" si="6"/>
        <v>0</v>
      </c>
      <c r="AI18" s="2092"/>
    </row>
    <row r="19" spans="2:35" s="1002" customFormat="1" ht="14.85" customHeight="1">
      <c r="B19" s="1002" t="str">
        <f>'Comp.1'!B19</f>
        <v>Audentes Therapeutics, Inc.</v>
      </c>
      <c r="D19" s="1922">
        <f>'Beta Calc'!K19</f>
        <v>1058.70937</v>
      </c>
      <c r="E19" s="1922">
        <f>'Beta Calc'!L19</f>
        <v>0</v>
      </c>
      <c r="F19" s="1922" t="str">
        <f>'Beta Calc'!M19</f>
        <v>n/a</v>
      </c>
      <c r="G19" s="1922" t="str">
        <f>'Beta Calc'!N19</f>
        <v>n/a</v>
      </c>
      <c r="H19" s="1922">
        <f t="shared" si="7"/>
        <v>0</v>
      </c>
      <c r="I19" s="1922">
        <f t="shared" si="8"/>
        <v>1058.70937</v>
      </c>
      <c r="J19" s="1922">
        <f>'Beta Calc'!Q19</f>
        <v>280.68599999999998</v>
      </c>
      <c r="K19" s="1922">
        <f t="shared" si="9"/>
        <v>778.02337000000011</v>
      </c>
      <c r="M19" s="2070">
        <f>IFERROR('Capital IQ Sheet-GPC'!AT21,"n/a")</f>
        <v>0</v>
      </c>
      <c r="N19" s="1922">
        <f t="shared" si="0"/>
        <v>4.6657534246575345</v>
      </c>
      <c r="O19" s="2085">
        <f t="shared" si="0"/>
        <v>2.4299999999999999E-2</v>
      </c>
      <c r="P19" s="2086"/>
      <c r="Q19" s="2087">
        <f>IFERROR(HLOOKUP($Q$6,'Equity Vol'!$B$8:$K19,ROWS('Equity Vol'!$C$8:$C19),FALSE),"n/a")</f>
        <v>0.59768048017248299</v>
      </c>
      <c r="R19" s="2088"/>
      <c r="S19" s="2089">
        <f t="shared" si="10"/>
        <v>0.35722195637920984</v>
      </c>
      <c r="T19" s="2089">
        <f t="shared" si="1"/>
        <v>0</v>
      </c>
      <c r="U19" s="2090">
        <f t="shared" si="2"/>
        <v>0</v>
      </c>
      <c r="V19" s="2090">
        <f t="shared" si="3"/>
        <v>0</v>
      </c>
      <c r="W19" s="2090">
        <f t="shared" si="4"/>
        <v>0</v>
      </c>
      <c r="X19" s="1351">
        <f t="shared" si="5"/>
        <v>0</v>
      </c>
      <c r="Y19" s="2087">
        <f t="shared" si="11"/>
        <v>0.59768048017248299</v>
      </c>
      <c r="AA19" s="1924" t="str">
        <f>IF('MASTER PubCo Inputs'!B36=0,"",'MASTER PubCo Inputs'!B36)</f>
        <v>NasdaqGM:BOLD</v>
      </c>
      <c r="AB19" s="1922">
        <f>'Beta Calc'!Z19</f>
        <v>778.02337</v>
      </c>
      <c r="AC19" s="2091">
        <f t="shared" si="6"/>
        <v>0</v>
      </c>
      <c r="AI19" s="2092"/>
    </row>
    <row r="20" spans="2:35" s="1002" customFormat="1" ht="14.85" customHeight="1">
      <c r="B20" s="1002" t="str">
        <f>'Comp.1'!B20</f>
        <v>Sangamo Therapeutics, Inc.</v>
      </c>
      <c r="D20" s="1922">
        <f>'Beta Calc'!K20</f>
        <v>1193.4655700000001</v>
      </c>
      <c r="E20" s="1922">
        <f>'Beta Calc'!L20</f>
        <v>0</v>
      </c>
      <c r="F20" s="1922" t="str">
        <f>'Beta Calc'!M20</f>
        <v>n/a</v>
      </c>
      <c r="G20" s="1922" t="str">
        <f>'Beta Calc'!N20</f>
        <v>n/a</v>
      </c>
      <c r="H20" s="1922">
        <f t="shared" si="7"/>
        <v>0</v>
      </c>
      <c r="I20" s="1922">
        <f t="shared" si="8"/>
        <v>1193.4655700000001</v>
      </c>
      <c r="J20" s="1922">
        <f>'Beta Calc'!Q20</f>
        <v>458.57</v>
      </c>
      <c r="K20" s="1922">
        <f t="shared" si="9"/>
        <v>734.89557000000013</v>
      </c>
      <c r="M20" s="2070">
        <f>IFERROR('Capital IQ Sheet-GPC'!AT22,"n/a")</f>
        <v>0</v>
      </c>
      <c r="N20" s="1922">
        <f t="shared" si="0"/>
        <v>4.6657534246575345</v>
      </c>
      <c r="O20" s="2085">
        <f t="shared" si="0"/>
        <v>2.4299999999999999E-2</v>
      </c>
      <c r="P20" s="2086"/>
      <c r="Q20" s="2087">
        <f>IFERROR(HLOOKUP($Q$6,'Equity Vol'!$B$8:$K20,ROWS('Equity Vol'!$C$8:$C20),FALSE),"n/a")</f>
        <v>0.76756249781285035</v>
      </c>
      <c r="R20" s="2088"/>
      <c r="S20" s="2089">
        <f t="shared" si="10"/>
        <v>0.58915218804870195</v>
      </c>
      <c r="T20" s="2089">
        <f t="shared" si="1"/>
        <v>0</v>
      </c>
      <c r="U20" s="2090">
        <f t="shared" si="2"/>
        <v>0</v>
      </c>
      <c r="V20" s="2090">
        <f t="shared" si="3"/>
        <v>0</v>
      </c>
      <c r="W20" s="2090">
        <f t="shared" si="4"/>
        <v>0</v>
      </c>
      <c r="X20" s="1351">
        <f t="shared" si="5"/>
        <v>0</v>
      </c>
      <c r="Y20" s="2087">
        <f t="shared" si="11"/>
        <v>0.76756249781285035</v>
      </c>
      <c r="AA20" s="1924" t="str">
        <f>IF('MASTER PubCo Inputs'!B37=0,"",'MASTER PubCo Inputs'!B37)</f>
        <v>NasdaqGS:SGMO</v>
      </c>
      <c r="AB20" s="1922">
        <f>'Beta Calc'!Z20</f>
        <v>734.89557000000002</v>
      </c>
      <c r="AC20" s="2091">
        <f t="shared" si="6"/>
        <v>0</v>
      </c>
      <c r="AI20" s="2092"/>
    </row>
    <row r="21" spans="2:35" s="1002" customFormat="1" ht="14.85" customHeight="1">
      <c r="B21" s="1002" t="str">
        <f>'Comp.1'!B21</f>
        <v>Homology Medicines, Inc.</v>
      </c>
      <c r="D21" s="1922">
        <f>'Beta Calc'!K21</f>
        <v>756.27498000000003</v>
      </c>
      <c r="E21" s="1922">
        <f>'Beta Calc'!L21</f>
        <v>0</v>
      </c>
      <c r="F21" s="1922" t="str">
        <f>'Beta Calc'!M21</f>
        <v>n/a</v>
      </c>
      <c r="G21" s="1922" t="str">
        <f>'Beta Calc'!N21</f>
        <v>n/a</v>
      </c>
      <c r="H21" s="1922">
        <f t="shared" si="7"/>
        <v>0</v>
      </c>
      <c r="I21" s="1922">
        <f t="shared" si="8"/>
        <v>756.27498000000003</v>
      </c>
      <c r="J21" s="1922">
        <f>'Beta Calc'!Q21</f>
        <v>237.54401999999999</v>
      </c>
      <c r="K21" s="1922">
        <f t="shared" si="9"/>
        <v>518.7309600000001</v>
      </c>
      <c r="M21" s="2070">
        <f>IFERROR('Capital IQ Sheet-GPC'!AT23,"n/a")</f>
        <v>0</v>
      </c>
      <c r="N21" s="1922">
        <f t="shared" si="0"/>
        <v>4.6657534246575345</v>
      </c>
      <c r="O21" s="2085">
        <f t="shared" si="0"/>
        <v>2.4299999999999999E-2</v>
      </c>
      <c r="P21" s="2086"/>
      <c r="Q21" s="2087" t="str">
        <f>IFERROR(HLOOKUP($Q$6,'Equity Vol'!$B$8:$K21,ROWS('Equity Vol'!$C$8:$C21),FALSE),"n/a")</f>
        <v>NM</v>
      </c>
      <c r="R21" s="2088"/>
      <c r="S21" s="2089" t="str">
        <f t="shared" si="10"/>
        <v>n/a</v>
      </c>
      <c r="T21" s="2089" t="str">
        <f t="shared" si="1"/>
        <v>n/a</v>
      </c>
      <c r="U21" s="2090" t="str">
        <f t="shared" si="2"/>
        <v>n/a</v>
      </c>
      <c r="V21" s="2090" t="str">
        <f t="shared" si="3"/>
        <v>n/a</v>
      </c>
      <c r="W21" s="2090" t="str">
        <f t="shared" si="4"/>
        <v>n/a</v>
      </c>
      <c r="X21" s="1351" t="str">
        <f t="shared" si="5"/>
        <v>n/a</v>
      </c>
      <c r="Y21" s="2087" t="str">
        <f t="shared" si="11"/>
        <v>NM</v>
      </c>
      <c r="AA21" s="1924" t="str">
        <f>IF('MASTER PubCo Inputs'!B38=0,"",'MASTER PubCo Inputs'!B38)</f>
        <v>NasdaqGS:FIXX</v>
      </c>
      <c r="AB21" s="1922">
        <f>'Beta Calc'!Z21</f>
        <v>518.73095999999998</v>
      </c>
      <c r="AC21" s="2091">
        <f t="shared" si="6"/>
        <v>0</v>
      </c>
      <c r="AI21" s="2092"/>
    </row>
    <row r="22" spans="2:35" s="1002" customFormat="1" ht="14.85" customHeight="1">
      <c r="B22" s="1002" t="str">
        <f>'Comp.1'!B22</f>
        <v>Corbus Pharmaceuticals Holdings, Inc.</v>
      </c>
      <c r="D22" s="1922">
        <f>'Beta Calc'!K22</f>
        <v>473.53946999999999</v>
      </c>
      <c r="E22" s="1922">
        <f>'Beta Calc'!L22</f>
        <v>0</v>
      </c>
      <c r="F22" s="1922" t="str">
        <f>'Beta Calc'!M22</f>
        <v>n/a</v>
      </c>
      <c r="G22" s="1922" t="str">
        <f>'Beta Calc'!N22</f>
        <v>n/a</v>
      </c>
      <c r="H22" s="1922">
        <f t="shared" si="7"/>
        <v>0</v>
      </c>
      <c r="I22" s="1922">
        <f t="shared" si="8"/>
        <v>473.53946999999999</v>
      </c>
      <c r="J22" s="1922">
        <f>'Beta Calc'!Q22</f>
        <v>55.659350000000003</v>
      </c>
      <c r="K22" s="1922">
        <f t="shared" si="9"/>
        <v>417.88011999999998</v>
      </c>
      <c r="M22" s="2070">
        <f>IFERROR('Capital IQ Sheet-GPC'!AT24,"n/a")</f>
        <v>0</v>
      </c>
      <c r="N22" s="1922">
        <f t="shared" si="0"/>
        <v>4.6657534246575345</v>
      </c>
      <c r="O22" s="2085">
        <f t="shared" si="0"/>
        <v>2.4299999999999999E-2</v>
      </c>
      <c r="P22" s="2086"/>
      <c r="Q22" s="2087">
        <f>IFERROR(HLOOKUP($Q$6,'Equity Vol'!$B$8:$K22,ROWS('Equity Vol'!$C$8:$C22),FALSE),"n/a")</f>
        <v>0.90147438590513396</v>
      </c>
      <c r="R22" s="2088"/>
      <c r="S22" s="2089">
        <f t="shared" si="10"/>
        <v>0.81265606844303839</v>
      </c>
      <c r="T22" s="2089">
        <f t="shared" si="1"/>
        <v>0</v>
      </c>
      <c r="U22" s="2090">
        <f t="shared" si="2"/>
        <v>0</v>
      </c>
      <c r="V22" s="2090">
        <f t="shared" si="3"/>
        <v>0</v>
      </c>
      <c r="W22" s="2090">
        <f t="shared" si="4"/>
        <v>0</v>
      </c>
      <c r="X22" s="1351">
        <f t="shared" si="5"/>
        <v>0</v>
      </c>
      <c r="Y22" s="2087">
        <f t="shared" si="11"/>
        <v>0.90147438590513396</v>
      </c>
      <c r="AA22" s="1924" t="str">
        <f>IF('MASTER PubCo Inputs'!B39=0,"",'MASTER PubCo Inputs'!B39)</f>
        <v>NasdaqGM:CRBP</v>
      </c>
      <c r="AB22" s="1922">
        <f>'Beta Calc'!Z22</f>
        <v>417.88011999999998</v>
      </c>
      <c r="AC22" s="2091">
        <f t="shared" si="6"/>
        <v>0</v>
      </c>
      <c r="AI22" s="2092"/>
    </row>
    <row r="23" spans="2:35" s="1002" customFormat="1" ht="14.85" customHeight="1">
      <c r="B23" s="1002" t="str">
        <f>'Comp.1'!B23</f>
        <v>GlycoMimetics, Inc.</v>
      </c>
      <c r="D23" s="1922">
        <f>'Beta Calc'!K23</f>
        <v>483.13693999999998</v>
      </c>
      <c r="E23" s="1922">
        <f>'Beta Calc'!L23</f>
        <v>0</v>
      </c>
      <c r="F23" s="1922" t="str">
        <f>'Beta Calc'!M23</f>
        <v>n/a</v>
      </c>
      <c r="G23" s="1922" t="str">
        <f>'Beta Calc'!N23</f>
        <v>n/a</v>
      </c>
      <c r="H23" s="1922">
        <f t="shared" si="7"/>
        <v>0</v>
      </c>
      <c r="I23" s="1922">
        <f t="shared" si="8"/>
        <v>483.13693999999998</v>
      </c>
      <c r="J23" s="1922">
        <f>'Beta Calc'!Q23</f>
        <v>219.82863</v>
      </c>
      <c r="K23" s="1922">
        <f t="shared" si="9"/>
        <v>263.30831000000001</v>
      </c>
      <c r="M23" s="2070">
        <f>IFERROR('Capital IQ Sheet-GPC'!AT25,"n/a")</f>
        <v>0</v>
      </c>
      <c r="N23" s="1922">
        <f t="shared" si="0"/>
        <v>4.6657534246575345</v>
      </c>
      <c r="O23" s="2085">
        <f t="shared" si="0"/>
        <v>2.4299999999999999E-2</v>
      </c>
      <c r="P23" s="2086"/>
      <c r="Q23" s="2087">
        <f>IFERROR(HLOOKUP($Q$6,'Equity Vol'!$B$8:$K23,ROWS('Equity Vol'!$C$8:$C23),FALSE),"n/a")</f>
        <v>0.70084150334510786</v>
      </c>
      <c r="R23" s="2088"/>
      <c r="S23" s="2089">
        <f t="shared" si="10"/>
        <v>0.49117881281103082</v>
      </c>
      <c r="T23" s="2089">
        <f t="shared" si="1"/>
        <v>0</v>
      </c>
      <c r="U23" s="2090">
        <f t="shared" si="2"/>
        <v>0</v>
      </c>
      <c r="V23" s="2090">
        <f t="shared" si="3"/>
        <v>0</v>
      </c>
      <c r="W23" s="2090">
        <f t="shared" si="4"/>
        <v>0</v>
      </c>
      <c r="X23" s="1351">
        <f t="shared" si="5"/>
        <v>0</v>
      </c>
      <c r="Y23" s="2087">
        <f t="shared" si="11"/>
        <v>0.70084150334510786</v>
      </c>
      <c r="AA23" s="1924" t="str">
        <f>IF('MASTER PubCo Inputs'!B40=0,"",'MASTER PubCo Inputs'!B40)</f>
        <v>NasdaqGM:GLYC</v>
      </c>
      <c r="AB23" s="1922">
        <f>'Beta Calc'!Z23</f>
        <v>263.30831000000001</v>
      </c>
      <c r="AC23" s="2091">
        <f t="shared" si="6"/>
        <v>0</v>
      </c>
      <c r="AI23" s="2092"/>
    </row>
    <row r="24" spans="2:35" s="1002" customFormat="1" ht="14.85" customHeight="1">
      <c r="B24" s="1002" t="str">
        <f>'Comp.1'!B24</f>
        <v>LogicBio Therapeutics, Inc.</v>
      </c>
      <c r="D24" s="1922">
        <f>'Beta Calc'!K24</f>
        <v>196.03698</v>
      </c>
      <c r="E24" s="1922">
        <f>'Beta Calc'!L24</f>
        <v>0</v>
      </c>
      <c r="F24" s="1922">
        <f>'Beta Calc'!M24</f>
        <v>33.061999999999998</v>
      </c>
      <c r="G24" s="1922" t="str">
        <f>'Beta Calc'!N24</f>
        <v>n/a</v>
      </c>
      <c r="H24" s="1922">
        <f t="shared" si="7"/>
        <v>33.061999999999998</v>
      </c>
      <c r="I24" s="1922">
        <f t="shared" si="8"/>
        <v>229.09897999999998</v>
      </c>
      <c r="J24" s="1922">
        <f>'Beta Calc'!Q24</f>
        <v>12.877000000000001</v>
      </c>
      <c r="K24" s="1922">
        <f t="shared" si="9"/>
        <v>216.22197999999997</v>
      </c>
      <c r="M24" s="2070">
        <f>IFERROR('Capital IQ Sheet-GPC'!AT26,"n/a")</f>
        <v>0</v>
      </c>
      <c r="N24" s="1922">
        <f t="shared" si="0"/>
        <v>4.6657534246575345</v>
      </c>
      <c r="O24" s="2085">
        <f t="shared" si="0"/>
        <v>2.4299999999999999E-2</v>
      </c>
      <c r="P24" s="2086"/>
      <c r="Q24" s="2087" t="str">
        <f>IFERROR(HLOOKUP($Q$6,'Equity Vol'!$B$8:$K24,ROWS('Equity Vol'!$C$8:$C24),FALSE),"n/a")</f>
        <v>NM</v>
      </c>
      <c r="R24" s="2088"/>
      <c r="S24" s="2089" t="str">
        <f t="shared" si="10"/>
        <v>n/a</v>
      </c>
      <c r="T24" s="2089" t="str">
        <f t="shared" si="1"/>
        <v>n/a</v>
      </c>
      <c r="U24" s="2090" t="str">
        <f t="shared" si="2"/>
        <v>n/a</v>
      </c>
      <c r="V24" s="2090" t="str">
        <f t="shared" si="3"/>
        <v>n/a</v>
      </c>
      <c r="W24" s="2090" t="str">
        <f t="shared" si="4"/>
        <v>n/a</v>
      </c>
      <c r="X24" s="1351" t="str">
        <f t="shared" si="5"/>
        <v>n/a</v>
      </c>
      <c r="Y24" s="2087" t="str">
        <f t="shared" si="11"/>
        <v>n/a</v>
      </c>
      <c r="AA24" s="1924" t="str">
        <f>IF('MASTER PubCo Inputs'!B41=0,"",'MASTER PubCo Inputs'!B41)</f>
        <v>NasdaqGM:LOGC</v>
      </c>
      <c r="AB24" s="1922">
        <f>'Beta Calc'!Z24</f>
        <v>216.22198</v>
      </c>
      <c r="AC24" s="2091">
        <f t="shared" si="6"/>
        <v>0</v>
      </c>
      <c r="AI24" s="2092"/>
    </row>
    <row r="25" spans="2:35" s="1002" customFormat="1" ht="14.85" customHeight="1">
      <c r="B25" s="1002" t="str">
        <f>'Comp.1'!B25</f>
        <v>Arbutus Biopharma Corporation</v>
      </c>
      <c r="D25" s="1922">
        <f>'Beta Calc'!K25</f>
        <v>204.79499999999999</v>
      </c>
      <c r="E25" s="1922">
        <f>'Beta Calc'!L25</f>
        <v>0</v>
      </c>
      <c r="F25" s="1922">
        <f>'Beta Calc'!M25</f>
        <v>123.489</v>
      </c>
      <c r="G25" s="1922" t="str">
        <f>'Beta Calc'!N25</f>
        <v>n/a</v>
      </c>
      <c r="H25" s="1922">
        <f t="shared" si="7"/>
        <v>123.489</v>
      </c>
      <c r="I25" s="1922">
        <f t="shared" si="8"/>
        <v>328.28399999999999</v>
      </c>
      <c r="J25" s="1922">
        <f>'Beta Calc'!Q25</f>
        <v>142.018</v>
      </c>
      <c r="K25" s="1922">
        <f t="shared" si="9"/>
        <v>186.26599999999999</v>
      </c>
      <c r="M25" s="2070">
        <f>IFERROR('Capital IQ Sheet-GPC'!AT27,"n/a")</f>
        <v>0</v>
      </c>
      <c r="N25" s="1922">
        <f t="shared" si="0"/>
        <v>4.6657534246575345</v>
      </c>
      <c r="O25" s="2085">
        <f t="shared" si="0"/>
        <v>2.4299999999999999E-2</v>
      </c>
      <c r="P25" s="2086"/>
      <c r="Q25" s="2087">
        <f>IFERROR(HLOOKUP($Q$6,'Equity Vol'!$B$8:$K25,ROWS('Equity Vol'!$C$8:$C25),FALSE),"n/a")</f>
        <v>0.79555038982014692</v>
      </c>
      <c r="R25" s="2088"/>
      <c r="S25" s="2089">
        <f t="shared" si="10"/>
        <v>0.63290042274298774</v>
      </c>
      <c r="T25" s="2089">
        <f t="shared" si="1"/>
        <v>1.1643739735666461</v>
      </c>
      <c r="U25" s="2090">
        <f t="shared" si="2"/>
        <v>-0.55404312215845652</v>
      </c>
      <c r="V25" s="2090">
        <f t="shared" si="3"/>
        <v>0.87786375490695712</v>
      </c>
      <c r="W25" s="2090">
        <f t="shared" si="4"/>
        <v>0.28977466718124384</v>
      </c>
      <c r="X25" s="1351">
        <f t="shared" si="5"/>
        <v>131.56775400612321</v>
      </c>
      <c r="Y25" s="2087">
        <f t="shared" si="11"/>
        <v>0.64011270492425087</v>
      </c>
      <c r="AA25" s="1924" t="str">
        <f>IF('MASTER PubCo Inputs'!B42=0,"",'MASTER PubCo Inputs'!B42)</f>
        <v>NasdaqGS:ABUS</v>
      </c>
      <c r="AB25" s="1922">
        <f>'Beta Calc'!Z25</f>
        <v>186.26599999999999</v>
      </c>
      <c r="AC25" s="2091">
        <f t="shared" si="6"/>
        <v>0</v>
      </c>
      <c r="AI25" s="2092"/>
    </row>
    <row r="26" spans="2:35" s="1002" customFormat="1" ht="14.85" customHeight="1">
      <c r="B26" s="1002" t="str">
        <f>'Comp.1'!B26</f>
        <v>Voyager Therapeutics, Inc.</v>
      </c>
      <c r="D26" s="1922">
        <f>'Beta Calc'!K26</f>
        <v>341.52161000000001</v>
      </c>
      <c r="E26" s="1922">
        <f>'Beta Calc'!L26</f>
        <v>0</v>
      </c>
      <c r="F26" s="1922" t="str">
        <f>'Beta Calc'!M26</f>
        <v>n/a</v>
      </c>
      <c r="G26" s="1922" t="str">
        <f>'Beta Calc'!N26</f>
        <v>n/a</v>
      </c>
      <c r="H26" s="1922">
        <f t="shared" si="7"/>
        <v>0</v>
      </c>
      <c r="I26" s="1922">
        <f t="shared" si="8"/>
        <v>341.52161000000001</v>
      </c>
      <c r="J26" s="1922">
        <f>'Beta Calc'!Q26</f>
        <v>179.601</v>
      </c>
      <c r="K26" s="1922">
        <f t="shared" si="9"/>
        <v>161.92061000000001</v>
      </c>
      <c r="M26" s="2070">
        <f>IFERROR('Capital IQ Sheet-GPC'!AT28,"n/a")</f>
        <v>0</v>
      </c>
      <c r="N26" s="1922">
        <f t="shared" si="0"/>
        <v>4.6657534246575345</v>
      </c>
      <c r="O26" s="2085">
        <f t="shared" si="0"/>
        <v>2.4299999999999999E-2</v>
      </c>
      <c r="P26" s="2086"/>
      <c r="Q26" s="2087">
        <f>IFERROR(HLOOKUP($Q$6,'Equity Vol'!$B$8:$K26,ROWS('Equity Vol'!$C$8:$C26),FALSE),"n/a")</f>
        <v>0.74305494919301052</v>
      </c>
      <c r="R26" s="2088"/>
      <c r="S26" s="2089">
        <f t="shared" si="10"/>
        <v>0.55213065752022739</v>
      </c>
      <c r="T26" s="2089">
        <f t="shared" si="1"/>
        <v>0</v>
      </c>
      <c r="U26" s="2090">
        <f t="shared" si="2"/>
        <v>0</v>
      </c>
      <c r="V26" s="2090">
        <f t="shared" si="3"/>
        <v>0</v>
      </c>
      <c r="W26" s="2090">
        <f t="shared" si="4"/>
        <v>0</v>
      </c>
      <c r="X26" s="1351">
        <f t="shared" si="5"/>
        <v>0</v>
      </c>
      <c r="Y26" s="2087">
        <f t="shared" si="11"/>
        <v>0.74305494919301052</v>
      </c>
      <c r="AA26" s="1924" t="str">
        <f>IF('MASTER PubCo Inputs'!B43=0,"",'MASTER PubCo Inputs'!B43)</f>
        <v>NasdaqGS:VYGR</v>
      </c>
      <c r="AB26" s="1922">
        <f>'Beta Calc'!Z26</f>
        <v>161.92061000000001</v>
      </c>
      <c r="AC26" s="2091">
        <f t="shared" si="6"/>
        <v>0</v>
      </c>
      <c r="AI26" s="2092"/>
    </row>
    <row r="27" spans="2:35" s="1002" customFormat="1" ht="14.85" customHeight="1">
      <c r="B27" s="1002" t="str">
        <f>'Comp.1'!B27</f>
        <v>La Jolla Pharmaceutical Company</v>
      </c>
      <c r="D27" s="1922">
        <f>'Beta Calc'!K27</f>
        <v>158.45113000000001</v>
      </c>
      <c r="E27" s="1922">
        <f>'Beta Calc'!L27</f>
        <v>124.324</v>
      </c>
      <c r="F27" s="1922">
        <f>'Beta Calc'!M27</f>
        <v>6.6429999999999998</v>
      </c>
      <c r="G27" s="1922" t="str">
        <f>'Beta Calc'!N27</f>
        <v>n/a</v>
      </c>
      <c r="H27" s="1922">
        <f t="shared" si="7"/>
        <v>130.96699999999998</v>
      </c>
      <c r="I27" s="1922">
        <f t="shared" si="8"/>
        <v>289.41812999999996</v>
      </c>
      <c r="J27" s="1922">
        <f>'Beta Calc'!Q27</f>
        <v>204.33699999999999</v>
      </c>
      <c r="K27" s="1922">
        <f t="shared" si="9"/>
        <v>85.081129999999973</v>
      </c>
      <c r="M27" s="2070">
        <f>IFERROR('Capital IQ Sheet-GPC'!AT29,"n/a")</f>
        <v>0</v>
      </c>
      <c r="N27" s="1922">
        <f t="shared" si="0"/>
        <v>4.6657534246575345</v>
      </c>
      <c r="O27" s="2085">
        <f t="shared" si="0"/>
        <v>2.4299999999999999E-2</v>
      </c>
      <c r="P27" s="2086"/>
      <c r="Q27" s="2087">
        <f>IFERROR(HLOOKUP($Q$6,'Equity Vol'!$B$8:$K27,ROWS('Equity Vol'!$C$8:$C27),FALSE),"n/a")</f>
        <v>0.86113120281070321</v>
      </c>
      <c r="R27" s="2088"/>
      <c r="S27" s="2089">
        <f t="shared" si="10"/>
        <v>0.74154694845420843</v>
      </c>
      <c r="T27" s="2089">
        <f t="shared" si="1"/>
        <v>0.75909631481447393</v>
      </c>
      <c r="U27" s="2090">
        <f t="shared" si="2"/>
        <v>-1.1009776660514934</v>
      </c>
      <c r="V27" s="2090">
        <f t="shared" si="3"/>
        <v>0.77610252826465476</v>
      </c>
      <c r="W27" s="2090">
        <f t="shared" si="4"/>
        <v>0.13545318878792673</v>
      </c>
      <c r="X27" s="1351">
        <f t="shared" si="5"/>
        <v>50.193263706014342</v>
      </c>
      <c r="Y27" s="2087">
        <f t="shared" si="11"/>
        <v>0.65457952125851182</v>
      </c>
      <c r="AA27" s="1924" t="str">
        <f>IF('MASTER PubCo Inputs'!B44=0,"",'MASTER PubCo Inputs'!B44)</f>
        <v>NasdaqCM:LJPC</v>
      </c>
      <c r="AB27" s="1922">
        <f>'Beta Calc'!Z27</f>
        <v>85.081130000000002</v>
      </c>
      <c r="AC27" s="2091">
        <f t="shared" si="6"/>
        <v>0</v>
      </c>
      <c r="AI27" s="2092"/>
    </row>
    <row r="28" spans="2:35" s="1002" customFormat="1" ht="14.85" customHeight="1">
      <c r="B28" s="1002" t="str">
        <f>'Comp.1'!B28</f>
        <v>Protagonist Therapeutics, Inc.</v>
      </c>
      <c r="D28" s="1922">
        <f>'Beta Calc'!K28</f>
        <v>197.11606</v>
      </c>
      <c r="E28" s="1922">
        <f>'Beta Calc'!L28</f>
        <v>0</v>
      </c>
      <c r="F28" s="1922" t="str">
        <f>'Beta Calc'!M28</f>
        <v>n/a</v>
      </c>
      <c r="G28" s="1922" t="str">
        <f>'Beta Calc'!N28</f>
        <v>n/a</v>
      </c>
      <c r="H28" s="1922">
        <f t="shared" si="7"/>
        <v>0</v>
      </c>
      <c r="I28" s="1922">
        <f t="shared" si="8"/>
        <v>197.11606</v>
      </c>
      <c r="J28" s="1922">
        <f>'Beta Calc'!Q28</f>
        <v>138.517</v>
      </c>
      <c r="K28" s="1922">
        <f t="shared" si="9"/>
        <v>58.599060000000009</v>
      </c>
      <c r="M28" s="2070">
        <f>IFERROR('Capital IQ Sheet-GPC'!AT30,"n/a")</f>
        <v>0</v>
      </c>
      <c r="N28" s="1922">
        <f t="shared" si="0"/>
        <v>4.6657534246575345</v>
      </c>
      <c r="O28" s="2085">
        <f t="shared" si="0"/>
        <v>2.4299999999999999E-2</v>
      </c>
      <c r="P28" s="2086"/>
      <c r="Q28" s="2087">
        <f>IFERROR(HLOOKUP($Q$6,'Equity Vol'!$B$8:$K28,ROWS('Equity Vol'!$C$8:$C28),FALSE),"n/a")</f>
        <v>0.91520299544650408</v>
      </c>
      <c r="R28" s="2088"/>
      <c r="S28" s="2089">
        <f t="shared" si="10"/>
        <v>0.83759652287425379</v>
      </c>
      <c r="T28" s="2089">
        <f t="shared" si="1"/>
        <v>0</v>
      </c>
      <c r="U28" s="2090">
        <f t="shared" si="2"/>
        <v>0</v>
      </c>
      <c r="V28" s="2090">
        <f t="shared" si="3"/>
        <v>0</v>
      </c>
      <c r="W28" s="2090">
        <f t="shared" si="4"/>
        <v>0</v>
      </c>
      <c r="X28" s="1351">
        <f t="shared" si="5"/>
        <v>0</v>
      </c>
      <c r="Y28" s="2087">
        <f t="shared" si="11"/>
        <v>0.91520299544650408</v>
      </c>
      <c r="AA28" s="1924" t="str">
        <f>IF('MASTER PubCo Inputs'!B45=0,"",'MASTER PubCo Inputs'!B45)</f>
        <v>NasdaqGM:PTGX</v>
      </c>
      <c r="AB28" s="1922">
        <f>'Beta Calc'!Z28</f>
        <v>58.599049999999998</v>
      </c>
      <c r="AC28" s="2091">
        <f t="shared" si="6"/>
        <v>1.0000000010279564E-5</v>
      </c>
      <c r="AI28" s="2092"/>
    </row>
    <row r="29" spans="2:35" s="1002" customFormat="1" ht="14.85" customHeight="1">
      <c r="B29" s="1002" t="str">
        <f>'Comp.1'!B29</f>
        <v>Fibrocell Science, Inc.</v>
      </c>
      <c r="D29" s="1922">
        <f>'Beta Calc'!K29</f>
        <v>19.22391</v>
      </c>
      <c r="E29" s="1922">
        <f>'Beta Calc'!L29</f>
        <v>0</v>
      </c>
      <c r="F29" s="1922">
        <f>'Beta Calc'!M29</f>
        <v>7.6230000000000002</v>
      </c>
      <c r="G29" s="1922" t="str">
        <f>'Beta Calc'!N29</f>
        <v>n/a</v>
      </c>
      <c r="H29" s="1922">
        <f t="shared" si="7"/>
        <v>7.6230000000000002</v>
      </c>
      <c r="I29" s="1922">
        <f t="shared" si="8"/>
        <v>26.846910000000001</v>
      </c>
      <c r="J29" s="1922">
        <f>'Beta Calc'!Q29</f>
        <v>16.111000000000001</v>
      </c>
      <c r="K29" s="1922">
        <f t="shared" si="9"/>
        <v>10.735910000000001</v>
      </c>
      <c r="M29" s="2070">
        <f>IFERROR('Capital IQ Sheet-GPC'!AT31,"n/a")</f>
        <v>0</v>
      </c>
      <c r="N29" s="1922">
        <f t="shared" si="0"/>
        <v>4.6657534246575345</v>
      </c>
      <c r="O29" s="2085">
        <f t="shared" si="0"/>
        <v>2.4299999999999999E-2</v>
      </c>
      <c r="P29" s="2086"/>
      <c r="Q29" s="2087">
        <f>IFERROR(HLOOKUP($Q$6,'Equity Vol'!$B$8:$K29,ROWS('Equity Vol'!$C$8:$C29),FALSE),"n/a")</f>
        <v>0.88871910618520333</v>
      </c>
      <c r="R29" s="2088"/>
      <c r="S29" s="2089">
        <f t="shared" si="10"/>
        <v>0.78982164969862667</v>
      </c>
      <c r="T29" s="2089">
        <f t="shared" si="1"/>
        <v>1.1972707462482957</v>
      </c>
      <c r="U29" s="2090">
        <f t="shared" si="2"/>
        <v>-0.72239408568201591</v>
      </c>
      <c r="V29" s="2090">
        <f t="shared" si="3"/>
        <v>0.88439947859565371</v>
      </c>
      <c r="W29" s="2090">
        <f t="shared" si="4"/>
        <v>0.23502611104071985</v>
      </c>
      <c r="X29" s="1351">
        <f t="shared" si="5"/>
        <v>7.8952653153419465</v>
      </c>
      <c r="Y29" s="2087">
        <f t="shared" si="11"/>
        <v>0.73899909368887995</v>
      </c>
      <c r="AA29" s="1924" t="str">
        <f>IF('MASTER PubCo Inputs'!B46=0,"",'MASTER PubCo Inputs'!B46)</f>
        <v>NasdaqCM:FCSC</v>
      </c>
      <c r="AB29" s="1922">
        <f>'Beta Calc'!Z29</f>
        <v>10.735910000000001</v>
      </c>
      <c r="AC29" s="2091">
        <f t="shared" si="6"/>
        <v>0</v>
      </c>
      <c r="AI29" s="2092"/>
    </row>
    <row r="30" spans="2:35" s="1002" customFormat="1" ht="9.9499999999999993" customHeight="1">
      <c r="D30" s="1922"/>
      <c r="E30" s="1922"/>
      <c r="F30" s="1922"/>
      <c r="G30" s="1922"/>
      <c r="H30" s="1922"/>
      <c r="I30" s="1922"/>
      <c r="J30" s="1922"/>
      <c r="K30" s="1922"/>
      <c r="M30" s="2070"/>
      <c r="N30" s="1922"/>
      <c r="O30" s="2085"/>
      <c r="P30" s="2086"/>
      <c r="Q30" s="2087"/>
      <c r="R30" s="2088"/>
      <c r="S30" s="2089"/>
      <c r="T30" s="2089"/>
      <c r="U30" s="2090"/>
      <c r="V30" s="2090"/>
      <c r="W30" s="2090"/>
      <c r="X30" s="1351"/>
      <c r="Y30" s="2087"/>
      <c r="AA30" s="1924"/>
      <c r="AB30" s="1922"/>
      <c r="AC30" s="2091"/>
      <c r="AI30" s="2092"/>
    </row>
    <row r="31" spans="2:35" s="1002" customFormat="1" ht="14.85" customHeight="1">
      <c r="B31" s="1918" t="str">
        <f>'Comp.1'!B31</f>
        <v>CRISPR/Cas9</v>
      </c>
      <c r="D31" s="1922"/>
      <c r="E31" s="1922"/>
      <c r="F31" s="1922"/>
      <c r="G31" s="1922"/>
      <c r="H31" s="1922"/>
      <c r="I31" s="1922"/>
      <c r="J31" s="1922"/>
      <c r="K31" s="1922"/>
      <c r="M31" s="2070"/>
      <c r="N31" s="1922"/>
      <c r="O31" s="2085"/>
      <c r="P31" s="2086"/>
      <c r="Q31" s="2087"/>
      <c r="R31" s="2088"/>
      <c r="S31" s="2089"/>
      <c r="T31" s="2089"/>
      <c r="U31" s="2090"/>
      <c r="V31" s="2090"/>
      <c r="W31" s="2090"/>
      <c r="X31" s="1351"/>
      <c r="Y31" s="2087"/>
      <c r="AA31" s="1924"/>
      <c r="AB31" s="1922"/>
      <c r="AC31" s="2091"/>
      <c r="AI31" s="2092"/>
    </row>
    <row r="32" spans="2:35" s="1002" customFormat="1" ht="14.85" customHeight="1">
      <c r="B32" s="1002" t="str">
        <f>'Comp.1'!B32</f>
        <v>CRISPR Therapeutics AG</v>
      </c>
      <c r="D32" s="1922">
        <f>'Beta Calc'!K32</f>
        <v>1679.8645300000001</v>
      </c>
      <c r="E32" s="1922">
        <f>'Beta Calc'!L32</f>
        <v>0</v>
      </c>
      <c r="F32" s="1922" t="str">
        <f>'Beta Calc'!M32</f>
        <v>n/a</v>
      </c>
      <c r="G32" s="1922" t="str">
        <f>'Beta Calc'!N32</f>
        <v>n/a</v>
      </c>
      <c r="H32" s="1922">
        <f t="shared" si="7"/>
        <v>0</v>
      </c>
      <c r="I32" s="1922">
        <f t="shared" si="8"/>
        <v>1679.8645300000001</v>
      </c>
      <c r="J32" s="1922">
        <f>'Beta Calc'!Q32</f>
        <v>487.29500000000002</v>
      </c>
      <c r="K32" s="1922">
        <f t="shared" si="9"/>
        <v>1192.56953</v>
      </c>
      <c r="M32" s="2070">
        <f>IFERROR('Capital IQ Sheet-GPC'!AT33,"n/a")</f>
        <v>0</v>
      </c>
      <c r="N32" s="1922">
        <f t="shared" si="0"/>
        <v>4.6657534246575345</v>
      </c>
      <c r="O32" s="2085">
        <f t="shared" si="0"/>
        <v>2.4299999999999999E-2</v>
      </c>
      <c r="P32" s="2086"/>
      <c r="Q32" s="2087">
        <f>IFERROR(HLOOKUP($Q$6,'Equity Vol'!$B$8:$K32,ROWS('Equity Vol'!$C$8:$C32),FALSE),"n/a")</f>
        <v>0.70462779949123155</v>
      </c>
      <c r="R32" s="2088"/>
      <c r="S32" s="2089">
        <f t="shared" si="10"/>
        <v>0.49650033581585523</v>
      </c>
      <c r="T32" s="2089">
        <f t="shared" si="1"/>
        <v>0</v>
      </c>
      <c r="U32" s="2090">
        <f t="shared" si="2"/>
        <v>0</v>
      </c>
      <c r="V32" s="2090">
        <f t="shared" si="3"/>
        <v>0</v>
      </c>
      <c r="W32" s="2090">
        <f t="shared" si="4"/>
        <v>0</v>
      </c>
      <c r="X32" s="1351">
        <f t="shared" si="5"/>
        <v>0</v>
      </c>
      <c r="Y32" s="2087">
        <f t="shared" si="11"/>
        <v>0.70462779949123155</v>
      </c>
      <c r="AA32" s="1924" t="str">
        <f>IF('MASTER PubCo Inputs'!B48=0,"",'MASTER PubCo Inputs'!B48)</f>
        <v>NasdaqGM:CRSP</v>
      </c>
      <c r="AB32" s="1922">
        <f>'Beta Calc'!Z32</f>
        <v>1192.56953</v>
      </c>
      <c r="AC32" s="2091">
        <f t="shared" si="6"/>
        <v>0</v>
      </c>
      <c r="AI32" s="2092"/>
    </row>
    <row r="33" spans="2:35" s="1002" customFormat="1" ht="14.85" customHeight="1">
      <c r="B33" s="1002" t="str">
        <f>'Comp.1'!B33</f>
        <v>Editas Medicine, Inc.</v>
      </c>
      <c r="D33" s="1922">
        <f>'Beta Calc'!K33</f>
        <v>1032.0795800000001</v>
      </c>
      <c r="E33" s="1922">
        <f>'Beta Calc'!L33</f>
        <v>32.694000000000003</v>
      </c>
      <c r="F33" s="1922" t="str">
        <f>'Beta Calc'!M33</f>
        <v>n/a</v>
      </c>
      <c r="G33" s="1922" t="str">
        <f>'Beta Calc'!N33</f>
        <v>n/a</v>
      </c>
      <c r="H33" s="1922">
        <f t="shared" si="7"/>
        <v>32.694000000000003</v>
      </c>
      <c r="I33" s="1922">
        <f t="shared" si="8"/>
        <v>1064.77358</v>
      </c>
      <c r="J33" s="1922">
        <f>'Beta Calc'!Q33</f>
        <v>337.49200000000002</v>
      </c>
      <c r="K33" s="1922">
        <f t="shared" si="9"/>
        <v>727.28158000000008</v>
      </c>
      <c r="M33" s="2070">
        <f>IFERROR('Capital IQ Sheet-GPC'!AT34,"n/a")</f>
        <v>0</v>
      </c>
      <c r="N33" s="1922">
        <f t="shared" si="0"/>
        <v>4.6657534246575345</v>
      </c>
      <c r="O33" s="2085">
        <f t="shared" si="0"/>
        <v>2.4299999999999999E-2</v>
      </c>
      <c r="P33" s="2086"/>
      <c r="Q33" s="2087">
        <f>IFERROR(HLOOKUP($Q$6,'Equity Vol'!$B$8:$K33,ROWS('Equity Vol'!$C$8:$C33),FALSE),"n/a")</f>
        <v>0.76544326890760306</v>
      </c>
      <c r="R33" s="2088"/>
      <c r="S33" s="2089">
        <f t="shared" si="10"/>
        <v>0.58590339791595714</v>
      </c>
      <c r="T33" s="2089">
        <f t="shared" si="1"/>
        <v>2.7714908078722575</v>
      </c>
      <c r="U33" s="2090">
        <f t="shared" si="2"/>
        <v>1.1181061625628659</v>
      </c>
      <c r="V33" s="2090">
        <f t="shared" si="3"/>
        <v>0.99720998761147173</v>
      </c>
      <c r="W33" s="2090">
        <f t="shared" si="4"/>
        <v>0.86823917261832273</v>
      </c>
      <c r="X33" s="1351">
        <f t="shared" si="5"/>
        <v>699.90886865822949</v>
      </c>
      <c r="Y33" s="2087">
        <f t="shared" si="11"/>
        <v>0.73869523417346505</v>
      </c>
      <c r="AA33" s="1924" t="str">
        <f>IF('MASTER PubCo Inputs'!B49=0,"",'MASTER PubCo Inputs'!B49)</f>
        <v>NasdaqGS:EDIT</v>
      </c>
      <c r="AB33" s="1922">
        <f>'Beta Calc'!Z33</f>
        <v>727.28157999999996</v>
      </c>
      <c r="AC33" s="2091">
        <f t="shared" si="6"/>
        <v>0</v>
      </c>
      <c r="AI33" s="2092"/>
    </row>
    <row r="34" spans="2:35" s="1002" customFormat="1" ht="14.85" customHeight="1">
      <c r="B34" s="1002" t="str">
        <f>'Comp.1'!B34</f>
        <v>Intellia Therapeutics, Inc.</v>
      </c>
      <c r="D34" s="1922">
        <f>'Beta Calc'!K34</f>
        <v>613.94893999999999</v>
      </c>
      <c r="E34" s="1922">
        <f>'Beta Calc'!L34</f>
        <v>0</v>
      </c>
      <c r="F34" s="1922" t="str">
        <f>'Beta Calc'!M34</f>
        <v>n/a</v>
      </c>
      <c r="G34" s="1922" t="str">
        <f>'Beta Calc'!N34</f>
        <v>n/a</v>
      </c>
      <c r="H34" s="1922">
        <f t="shared" si="7"/>
        <v>0</v>
      </c>
      <c r="I34" s="1922">
        <f t="shared" si="8"/>
        <v>613.94893999999999</v>
      </c>
      <c r="J34" s="1922">
        <f>'Beta Calc'!Q34</f>
        <v>293.24799999999999</v>
      </c>
      <c r="K34" s="1922">
        <f t="shared" si="9"/>
        <v>320.70094</v>
      </c>
      <c r="M34" s="2070">
        <f>IFERROR('Capital IQ Sheet-GPC'!AT35,"n/a")</f>
        <v>0</v>
      </c>
      <c r="N34" s="1922">
        <f t="shared" si="0"/>
        <v>4.6657534246575345</v>
      </c>
      <c r="O34" s="2085">
        <f t="shared" si="0"/>
        <v>2.4299999999999999E-2</v>
      </c>
      <c r="P34" s="2086"/>
      <c r="Q34" s="2087">
        <f>IFERROR(HLOOKUP($Q$6,'Equity Vol'!$B$8:$K34,ROWS('Equity Vol'!$C$8:$C34),FALSE),"n/a")</f>
        <v>0.72806937672607763</v>
      </c>
      <c r="R34" s="2088"/>
      <c r="S34" s="2089">
        <f t="shared" si="10"/>
        <v>0.5300850173262992</v>
      </c>
      <c r="T34" s="2089">
        <f t="shared" si="1"/>
        <v>0</v>
      </c>
      <c r="U34" s="2090">
        <f t="shared" si="2"/>
        <v>0</v>
      </c>
      <c r="V34" s="2090">
        <f t="shared" si="3"/>
        <v>0</v>
      </c>
      <c r="W34" s="2090">
        <f t="shared" si="4"/>
        <v>0</v>
      </c>
      <c r="X34" s="1351">
        <f t="shared" si="5"/>
        <v>0</v>
      </c>
      <c r="Y34" s="2087">
        <f t="shared" si="11"/>
        <v>0.72806937672607763</v>
      </c>
      <c r="AA34" s="1924" t="str">
        <f>IF('MASTER PubCo Inputs'!B50=0,"",'MASTER PubCo Inputs'!B50)</f>
        <v>NasdaqGM:NTLA</v>
      </c>
      <c r="AB34" s="1922">
        <f>'Beta Calc'!Z34</f>
        <v>320.70094</v>
      </c>
      <c r="AC34" s="2091">
        <f t="shared" si="6"/>
        <v>0</v>
      </c>
      <c r="AI34" s="2092"/>
    </row>
    <row r="35" spans="2:35" s="1002" customFormat="1" ht="14.85" customHeight="1">
      <c r="B35" s="1002" t="str">
        <f>'Comp.1'!B35</f>
        <v>Abeona Therapeutics Inc.</v>
      </c>
      <c r="D35" s="1922">
        <f>'Beta Calc'!K35</f>
        <v>325.54306000000003</v>
      </c>
      <c r="E35" s="1922">
        <f>'Beta Calc'!L35</f>
        <v>0</v>
      </c>
      <c r="F35" s="1922" t="str">
        <f>'Beta Calc'!M35</f>
        <v>n/a</v>
      </c>
      <c r="G35" s="1922" t="str">
        <f>'Beta Calc'!N35</f>
        <v>n/a</v>
      </c>
      <c r="H35" s="1922">
        <f t="shared" si="7"/>
        <v>0</v>
      </c>
      <c r="I35" s="1922">
        <f t="shared" si="8"/>
        <v>325.54306000000003</v>
      </c>
      <c r="J35" s="1922">
        <f>'Beta Calc'!Q35</f>
        <v>112.224</v>
      </c>
      <c r="K35" s="1922">
        <f t="shared" si="9"/>
        <v>213.31906000000004</v>
      </c>
      <c r="M35" s="2070">
        <f>IFERROR('Capital IQ Sheet-GPC'!AT36,"n/a")</f>
        <v>0</v>
      </c>
      <c r="N35" s="1922">
        <f t="shared" si="0"/>
        <v>4.6657534246575345</v>
      </c>
      <c r="O35" s="2085">
        <f t="shared" si="0"/>
        <v>2.4299999999999999E-2</v>
      </c>
      <c r="P35" s="2086"/>
      <c r="Q35" s="2087">
        <f>IFERROR(HLOOKUP($Q$6,'Equity Vol'!$B$8:$K35,ROWS('Equity Vol'!$C$8:$C35),FALSE),"n/a")</f>
        <v>0.90924925730613859</v>
      </c>
      <c r="R35" s="2088"/>
      <c r="S35" s="2089">
        <f t="shared" si="10"/>
        <v>0.82673421191176466</v>
      </c>
      <c r="T35" s="2089">
        <f t="shared" si="1"/>
        <v>0</v>
      </c>
      <c r="U35" s="2090">
        <f t="shared" si="2"/>
        <v>0</v>
      </c>
      <c r="V35" s="2090">
        <f t="shared" si="3"/>
        <v>0</v>
      </c>
      <c r="W35" s="2090">
        <f t="shared" si="4"/>
        <v>0</v>
      </c>
      <c r="X35" s="1351">
        <f t="shared" si="5"/>
        <v>0</v>
      </c>
      <c r="Y35" s="2087">
        <f t="shared" si="11"/>
        <v>0.90924925730613859</v>
      </c>
      <c r="AA35" s="1924" t="str">
        <f>IF('MASTER PubCo Inputs'!B51=0,"",'MASTER PubCo Inputs'!B51)</f>
        <v>NasdaqCM:ABEO</v>
      </c>
      <c r="AB35" s="1922">
        <f>'Beta Calc'!Z35</f>
        <v>213.31906000000001</v>
      </c>
      <c r="AC35" s="2091">
        <f t="shared" si="6"/>
        <v>0</v>
      </c>
      <c r="AI35" s="2092"/>
    </row>
    <row r="36" spans="2:35" s="1002" customFormat="1" ht="14.85" customHeight="1">
      <c r="D36" s="1922"/>
      <c r="E36" s="1922"/>
      <c r="F36" s="1922"/>
      <c r="G36" s="1922"/>
      <c r="H36" s="1922"/>
      <c r="I36" s="1922"/>
      <c r="J36" s="1922"/>
      <c r="K36" s="1922"/>
      <c r="P36" s="1920"/>
      <c r="R36" s="1920"/>
    </row>
    <row r="37" spans="2:35" s="1002" customFormat="1" ht="14.85" customHeight="1">
      <c r="B37" s="2073" t="s">
        <v>111</v>
      </c>
      <c r="C37" s="2093"/>
      <c r="D37" s="2094">
        <f t="shared" ref="D37:K37" si="12">MAX(D11:D35)</f>
        <v>8868.9653999999991</v>
      </c>
      <c r="E37" s="2094">
        <f t="shared" si="12"/>
        <v>409.30599999999998</v>
      </c>
      <c r="F37" s="2094">
        <f t="shared" si="12"/>
        <v>123.489</v>
      </c>
      <c r="G37" s="2094">
        <f t="shared" si="12"/>
        <v>0</v>
      </c>
      <c r="H37" s="2094">
        <f t="shared" si="12"/>
        <v>409.30599999999998</v>
      </c>
      <c r="I37" s="2094">
        <f t="shared" si="12"/>
        <v>8898.9653999999991</v>
      </c>
      <c r="J37" s="2094">
        <f t="shared" si="12"/>
        <v>1695.2950000000001</v>
      </c>
      <c r="K37" s="2094">
        <f t="shared" si="12"/>
        <v>7662.1313999999993</v>
      </c>
      <c r="L37" s="2093"/>
      <c r="M37" s="2075">
        <f>MAX(M11:M35)</f>
        <v>0</v>
      </c>
      <c r="N37" s="2094">
        <f>MAX(N11:N35)</f>
        <v>4.6657534246575345</v>
      </c>
      <c r="O37" s="2095">
        <f>MAX(O11:O35)</f>
        <v>2.4299999999999999E-2</v>
      </c>
      <c r="P37" s="2096"/>
      <c r="Q37" s="2097">
        <f>MAX(Q11:Q35)</f>
        <v>0.91520299544650408</v>
      </c>
      <c r="R37" s="2098"/>
      <c r="S37" s="2099">
        <f>MAX(S11:S36)</f>
        <v>0.83759652287425379</v>
      </c>
      <c r="T37" s="2099">
        <f>MAX(T11:T36)</f>
        <v>4.6901604598306239</v>
      </c>
      <c r="U37" s="2100">
        <f>MAX(U11:U36)</f>
        <v>3.268815280262694</v>
      </c>
      <c r="V37" s="2100">
        <f>MAX(V11:V36)</f>
        <v>0.9999986350455855</v>
      </c>
      <c r="W37" s="2100">
        <f>MAX(W11:W36)</f>
        <v>0.99946000608843411</v>
      </c>
      <c r="X37" s="2094">
        <f>MAX(X11:X35)</f>
        <v>7635.3510064263082</v>
      </c>
      <c r="Y37" s="2101">
        <f>MAX(Y11:Y35)</f>
        <v>0.91520299544650408</v>
      </c>
      <c r="AB37" s="2102">
        <f>+'Asset Vol_M&amp;A Phase II'!Y44</f>
        <v>0.71015882133895591</v>
      </c>
      <c r="AC37" s="2103" t="s">
        <v>1388</v>
      </c>
      <c r="AD37" s="2103"/>
      <c r="AE37" s="2103"/>
      <c r="AF37" s="2104"/>
    </row>
    <row r="38" spans="2:35" s="1002" customFormat="1" ht="14.85" customHeight="1">
      <c r="B38" s="2077" t="s">
        <v>115</v>
      </c>
      <c r="C38" s="1934"/>
      <c r="D38" s="1933">
        <f t="shared" ref="D38:K38" si="13">QUARTILE(D11:D35,3)</f>
        <v>1742.465835</v>
      </c>
      <c r="E38" s="1933">
        <f t="shared" si="13"/>
        <v>25.353999999999999</v>
      </c>
      <c r="F38" s="1933">
        <f t="shared" si="13"/>
        <v>55.668750000000003</v>
      </c>
      <c r="G38" s="1933" t="e">
        <f t="shared" si="13"/>
        <v>#NUM!</v>
      </c>
      <c r="H38" s="1933">
        <f t="shared" si="13"/>
        <v>32.878</v>
      </c>
      <c r="I38" s="1933">
        <f t="shared" si="13"/>
        <v>1784.9113350000002</v>
      </c>
      <c r="J38" s="1933">
        <f t="shared" si="13"/>
        <v>377.9085</v>
      </c>
      <c r="K38" s="1933">
        <f t="shared" si="13"/>
        <v>1251.21766</v>
      </c>
      <c r="L38" s="1934"/>
      <c r="M38" s="2079">
        <f>QUARTILE(M11:M35,3)</f>
        <v>0</v>
      </c>
      <c r="N38" s="1933">
        <f>QUARTILE(N11:N35,3)</f>
        <v>4.6657534246575345</v>
      </c>
      <c r="O38" s="2105">
        <f>QUARTILE(O11:O35,3)</f>
        <v>2.4299999999999999E-2</v>
      </c>
      <c r="P38" s="2106"/>
      <c r="Q38" s="2107">
        <f>QUARTILE(Q11:Q35,3)</f>
        <v>0.79555038982014692</v>
      </c>
      <c r="R38" s="2108"/>
      <c r="S38" s="2109">
        <f>QUARTILE(S11:S36,3)</f>
        <v>0.63290042274298774</v>
      </c>
      <c r="T38" s="2109">
        <f>QUARTILE(T11:T36,3)</f>
        <v>2.3715712253407317</v>
      </c>
      <c r="U38" s="2110">
        <f>QUARTILE(U11:U36,3)</f>
        <v>1.1001969553809907</v>
      </c>
      <c r="V38" s="2110">
        <f>QUARTILE(V11:V36,3)</f>
        <v>0.99114368379541429</v>
      </c>
      <c r="W38" s="2110">
        <f>QUARTILE(W11:W36,3)</f>
        <v>0.86437684156426509</v>
      </c>
      <c r="X38" s="1933">
        <f>QUARTILE(X11:X35,3)</f>
        <v>699.90886865822949</v>
      </c>
      <c r="Y38" s="2111">
        <f>QUARTILE(Y11:Y35,3)</f>
        <v>0.74305494919301052</v>
      </c>
      <c r="AB38" s="2112">
        <f>+'Asset Vol_M&amp;A Phase II'!Y46</f>
        <v>0.71031278164047695</v>
      </c>
      <c r="AC38" s="1002" t="s">
        <v>1389</v>
      </c>
      <c r="AF38" s="2113"/>
    </row>
    <row r="39" spans="2:35" s="1002" customFormat="1" ht="14.85" customHeight="1">
      <c r="B39" s="2077" t="s">
        <v>113</v>
      </c>
      <c r="C39" s="1934"/>
      <c r="D39" s="1933">
        <f t="shared" ref="D39:K39" si="14">AVERAGE(D11:D35)</f>
        <v>1587.2495647826088</v>
      </c>
      <c r="E39" s="1933">
        <f t="shared" si="14"/>
        <v>37.258999999999993</v>
      </c>
      <c r="F39" s="1933">
        <f t="shared" si="14"/>
        <v>42.704249999999995</v>
      </c>
      <c r="G39" s="1933" t="e">
        <f t="shared" si="14"/>
        <v>#DIV/0!</v>
      </c>
      <c r="H39" s="1933">
        <f t="shared" si="14"/>
        <v>44.685826086956517</v>
      </c>
      <c r="I39" s="1933">
        <f t="shared" si="14"/>
        <v>1631.9353908695655</v>
      </c>
      <c r="J39" s="1933">
        <f t="shared" si="14"/>
        <v>354.92808695652167</v>
      </c>
      <c r="K39" s="1933">
        <f t="shared" si="14"/>
        <v>1277.0073039130434</v>
      </c>
      <c r="L39" s="1934"/>
      <c r="M39" s="2079">
        <f>AVERAGE(M11:M35)</f>
        <v>0</v>
      </c>
      <c r="N39" s="1933">
        <f>AVERAGE(N11:N35)</f>
        <v>4.6657534246575372</v>
      </c>
      <c r="O39" s="2105">
        <f>AVERAGE(O11:O35)</f>
        <v>2.4299999999999992E-2</v>
      </c>
      <c r="P39" s="2106"/>
      <c r="Q39" s="2107">
        <f>AVERAGE(Q11:Q35)</f>
        <v>0.74336861144207744</v>
      </c>
      <c r="R39" s="2108"/>
      <c r="S39" s="2109">
        <f>AVERAGE(S11:S36)</f>
        <v>0.56539803918656528</v>
      </c>
      <c r="T39" s="2109">
        <f>AVERAGE(T11:T36)</f>
        <v>1.0505391584193355</v>
      </c>
      <c r="U39" s="2110">
        <f>AVERAGE(U11:U36)</f>
        <v>0.37113803517788507</v>
      </c>
      <c r="V39" s="2110">
        <f>AVERAGE(V11:V36)</f>
        <v>0.40576938592137118</v>
      </c>
      <c r="W39" s="2110">
        <f>AVERAGE(W11:W36)</f>
        <v>0.29567980615413431</v>
      </c>
      <c r="X39" s="1933">
        <f>AVERAGE(X11:X35)</f>
        <v>876.71968902925494</v>
      </c>
      <c r="Y39" s="2111">
        <f>AVERAGE(Y11:Y35)</f>
        <v>0.71139332139406319</v>
      </c>
      <c r="AB39" s="2112">
        <f>+'Asset Vol_M&amp;A Phase II'!Y40</f>
        <v>0.71023799686647937</v>
      </c>
      <c r="AC39" s="1002" t="s">
        <v>1387</v>
      </c>
      <c r="AF39" s="2114" t="s">
        <v>1764</v>
      </c>
    </row>
    <row r="40" spans="2:35" s="1002" customFormat="1" ht="14.85" customHeight="1">
      <c r="B40" s="2077" t="s">
        <v>44</v>
      </c>
      <c r="C40" s="1934"/>
      <c r="D40" s="1933">
        <f t="shared" ref="D40:K40" si="15">MEDIAN(D11:D35)</f>
        <v>1032.0795800000001</v>
      </c>
      <c r="E40" s="1933">
        <f t="shared" si="15"/>
        <v>0</v>
      </c>
      <c r="F40" s="1933">
        <f t="shared" si="15"/>
        <v>20.342499999999998</v>
      </c>
      <c r="G40" s="1933" t="e">
        <f t="shared" si="15"/>
        <v>#NUM!</v>
      </c>
      <c r="H40" s="1933">
        <f t="shared" si="15"/>
        <v>0</v>
      </c>
      <c r="I40" s="1933">
        <f t="shared" si="15"/>
        <v>1058.70937</v>
      </c>
      <c r="J40" s="1933">
        <f t="shared" si="15"/>
        <v>239.54599999999999</v>
      </c>
      <c r="K40" s="1933">
        <f t="shared" si="15"/>
        <v>727.28158000000008</v>
      </c>
      <c r="L40" s="1934"/>
      <c r="M40" s="2079">
        <f>MEDIAN(M11:M35)</f>
        <v>0</v>
      </c>
      <c r="N40" s="1933">
        <f>MEDIAN(N11:N35)</f>
        <v>4.6657534246575345</v>
      </c>
      <c r="O40" s="2105">
        <f>MEDIAN(O11:O35)</f>
        <v>2.4299999999999999E-2</v>
      </c>
      <c r="P40" s="2106"/>
      <c r="Q40" s="2107">
        <f>MEDIAN(Q11:Q35)</f>
        <v>0.74305494919301052</v>
      </c>
      <c r="R40" s="2108"/>
      <c r="S40" s="2109">
        <f>MEDIAN(S11:S36)</f>
        <v>0.55213065752022739</v>
      </c>
      <c r="T40" s="2109">
        <f>MEDIAN(T11:T36)</f>
        <v>0</v>
      </c>
      <c r="U40" s="2110">
        <f>MEDIAN(U11:U36)</f>
        <v>0</v>
      </c>
      <c r="V40" s="2110">
        <f>MEDIAN(V11:V36)</f>
        <v>0</v>
      </c>
      <c r="W40" s="2110">
        <f>MEDIAN(W11:W36)</f>
        <v>0</v>
      </c>
      <c r="X40" s="1933">
        <f>MEDIAN(X11:X35)</f>
        <v>0</v>
      </c>
      <c r="Y40" s="2111">
        <f>MEDIAN(Y11:Y35)</f>
        <v>0.71023799686647937</v>
      </c>
      <c r="AB40" s="2115" t="str">
        <f>IF(ROUND(AB37,3)=ROUND(AB39,3),"","Update Volatility - OPM")</f>
        <v/>
      </c>
      <c r="AF40" s="2113"/>
    </row>
    <row r="41" spans="2:35" s="1002" customFormat="1" ht="14.85" customHeight="1">
      <c r="B41" s="2077" t="s">
        <v>114</v>
      </c>
      <c r="C41" s="1934"/>
      <c r="D41" s="1933">
        <f t="shared" ref="D41:K41" si="16">QUARTILE(D11:D35,1)</f>
        <v>333.53233499999999</v>
      </c>
      <c r="E41" s="1933">
        <f t="shared" si="16"/>
        <v>0</v>
      </c>
      <c r="F41" s="1933">
        <f t="shared" si="16"/>
        <v>7.3780000000000001</v>
      </c>
      <c r="G41" s="1933" t="e">
        <f t="shared" si="16"/>
        <v>#NUM!</v>
      </c>
      <c r="H41" s="1933">
        <f t="shared" si="16"/>
        <v>0</v>
      </c>
      <c r="I41" s="1933">
        <f t="shared" si="16"/>
        <v>334.902805</v>
      </c>
      <c r="J41" s="1933">
        <f t="shared" si="16"/>
        <v>151.708</v>
      </c>
      <c r="K41" s="1933">
        <f t="shared" si="16"/>
        <v>214.77052</v>
      </c>
      <c r="L41" s="1934"/>
      <c r="M41" s="2079">
        <f>QUARTILE(M11:M35,1)</f>
        <v>0</v>
      </c>
      <c r="N41" s="1933">
        <f>QUARTILE(N11:N35,1)</f>
        <v>4.6657534246575345</v>
      </c>
      <c r="O41" s="2105">
        <f>QUARTILE(O11:O35,1)</f>
        <v>2.4299999999999999E-2</v>
      </c>
      <c r="P41" s="2106"/>
      <c r="Q41" s="2107">
        <f>QUARTILE(Q11:Q35,1)</f>
        <v>0.70084150334510786</v>
      </c>
      <c r="R41" s="2108"/>
      <c r="S41" s="2109">
        <f>QUARTILE(S11:S36,1)</f>
        <v>0.49117881281103082</v>
      </c>
      <c r="T41" s="2109">
        <f>QUARTILE(T11:T36,1)</f>
        <v>0</v>
      </c>
      <c r="U41" s="2110">
        <f>QUARTILE(U11:U36,1)</f>
        <v>0</v>
      </c>
      <c r="V41" s="2110">
        <f>QUARTILE(V11:V36,1)</f>
        <v>0</v>
      </c>
      <c r="W41" s="2110">
        <f>QUARTILE(W11:W36,1)</f>
        <v>0</v>
      </c>
      <c r="X41" s="1933">
        <f>QUARTILE(X11:X35,1)</f>
        <v>0</v>
      </c>
      <c r="Y41" s="2111">
        <f>QUARTILE(Y11:Y35,1)</f>
        <v>0.65572036710007742</v>
      </c>
      <c r="AB41" s="2116" t="str">
        <f>IF(ROUND(AB38,3)=ROUND(AB39,3),"","Update Volatility - DLOM")</f>
        <v/>
      </c>
      <c r="AC41" s="2117"/>
      <c r="AD41" s="2117"/>
      <c r="AE41" s="2117"/>
      <c r="AF41" s="2118"/>
    </row>
    <row r="42" spans="2:35" s="1002" customFormat="1" ht="14.85" customHeight="1">
      <c r="B42" s="1938" t="s">
        <v>112</v>
      </c>
      <c r="C42" s="1940"/>
      <c r="D42" s="1939">
        <f t="shared" ref="D42:K42" si="17">MIN(D11:D35)</f>
        <v>19.22391</v>
      </c>
      <c r="E42" s="1939">
        <f t="shared" si="17"/>
        <v>0</v>
      </c>
      <c r="F42" s="1939">
        <f t="shared" si="17"/>
        <v>6.6429999999999998</v>
      </c>
      <c r="G42" s="1939">
        <f t="shared" si="17"/>
        <v>0</v>
      </c>
      <c r="H42" s="1939">
        <f t="shared" si="17"/>
        <v>0</v>
      </c>
      <c r="I42" s="1939">
        <f t="shared" si="17"/>
        <v>26.846910000000001</v>
      </c>
      <c r="J42" s="1939">
        <f t="shared" si="17"/>
        <v>12.877000000000001</v>
      </c>
      <c r="K42" s="1939">
        <f t="shared" si="17"/>
        <v>10.735910000000001</v>
      </c>
      <c r="L42" s="1940"/>
      <c r="M42" s="2082">
        <f>MIN(M11:M35)</f>
        <v>0</v>
      </c>
      <c r="N42" s="1939">
        <f>MIN(N11:N35)</f>
        <v>4.6657534246575345</v>
      </c>
      <c r="O42" s="2119">
        <f>MIN(O11:O35)</f>
        <v>2.4299999999999999E-2</v>
      </c>
      <c r="P42" s="2120"/>
      <c r="Q42" s="2121">
        <f>MIN(Q11:Q35)</f>
        <v>0.45976240890543452</v>
      </c>
      <c r="R42" s="2122"/>
      <c r="S42" s="2123">
        <f>MIN(S11:S36)</f>
        <v>0.21138147264252796</v>
      </c>
      <c r="T42" s="2123">
        <f>MIN(T11:T36)</f>
        <v>0</v>
      </c>
      <c r="U42" s="2124">
        <f>MIN(U11:U36)</f>
        <v>-1.1009776660514934</v>
      </c>
      <c r="V42" s="2124">
        <f>MIN(V11:V36)</f>
        <v>0</v>
      </c>
      <c r="W42" s="2124">
        <f>MIN(W11:W36)</f>
        <v>0</v>
      </c>
      <c r="X42" s="1939">
        <f>MIN(X11:X35)</f>
        <v>0</v>
      </c>
      <c r="Y42" s="2125">
        <f>MIN(Y11:Y35)</f>
        <v>0.39375633894206191</v>
      </c>
      <c r="AB42" s="2126" t="str">
        <f>IF(K44&lt;&gt;K46,"Check","")</f>
        <v/>
      </c>
    </row>
    <row r="43" spans="2:35" s="1002" customFormat="1" ht="9.9499999999999993" customHeight="1">
      <c r="P43" s="1920"/>
      <c r="AB43" s="2127" t="str">
        <f>IF(AND(AB40=$AF$41,AB42=$AF$41,AB41=$AF$41),"","Check")</f>
        <v/>
      </c>
    </row>
    <row r="44" spans="2:35" s="1002" customFormat="1" ht="14.85" hidden="1" customHeight="1" outlineLevel="1">
      <c r="B44" s="2128" t="str">
        <f>B2</f>
        <v>Trucode Gene Repair, Inc.</v>
      </c>
      <c r="C44" s="2129" t="s">
        <v>249</v>
      </c>
      <c r="D44" s="2130">
        <f>'Val Summ'!D9/1000</f>
        <v>42.64</v>
      </c>
      <c r="E44" s="2131"/>
      <c r="F44" s="2131"/>
      <c r="G44" s="2131"/>
      <c r="H44" s="2130">
        <f>'Hist BS'!$E$61/1000</f>
        <v>0.15776502000000001</v>
      </c>
      <c r="I44" s="2132">
        <f t="shared" ref="I44" si="18">SUM(D44:G44)</f>
        <v>42.64</v>
      </c>
      <c r="J44" s="2131"/>
      <c r="K44" s="2130">
        <f>+'Val Summ'!D9/1000+H44</f>
        <v>42.79776502</v>
      </c>
      <c r="L44" s="2131"/>
      <c r="M44" s="2133">
        <f>'PWERM DLOM'!G16</f>
        <v>0</v>
      </c>
      <c r="N44" s="2134">
        <f>N$6</f>
        <v>4.6657534246575345</v>
      </c>
      <c r="O44" s="2135">
        <f>O$6</f>
        <v>2.4299999999999999E-2</v>
      </c>
      <c r="P44" s="2136"/>
      <c r="Q44" s="2137">
        <v>0.71250000000000002</v>
      </c>
      <c r="R44" s="2131"/>
      <c r="S44" s="2138">
        <f>IF(Q44="n/a","n/a",Q44^2)</f>
        <v>0.50765625000000003</v>
      </c>
      <c r="T44" s="2138">
        <f>IF(OR(K44="n/a",S44="n/a"),"n/a",IF(H44=0,0,IF(M44=0,(LN(K44/H44)+((O44+(S44/2))*N44))/((S44*N44)^0.5),(LN(K44/H44)+((O44-M44+(S44/2))*N44))/((S44*N44)^0.5))))</f>
        <v>4.4838844969383365</v>
      </c>
      <c r="U44" s="2139">
        <f>IF(T44="n/a","n/a",IF(H44=0,0,T44-(S44*N44)^0.5))</f>
        <v>2.9448591927323591</v>
      </c>
      <c r="V44" s="2139">
        <f>IF(OR(T44="n/a",S44="n/a"),"n/a",IF(H44=0,0,NORMSDIST(T44)))</f>
        <v>0.99999633518264841</v>
      </c>
      <c r="W44" s="2139">
        <f>IF(OR(U44="n/a",S44="n/a"),"n/a",IF(H44=0,0,NORMSDIST(U44)))</f>
        <v>0.99838449166128185</v>
      </c>
      <c r="X44" s="2139">
        <f>IF(OR(K44="n/a",S44="n/a"),"n/a",IF(M44=0,(K44*V44)-((H44*EXP(1)^(-O44*N44))*W44),(K44*(2.718^(-M44*N44))*V44)-(H44*(2.718^(-O44*N44))*W44)))</f>
        <v>42.656981020322931</v>
      </c>
      <c r="Y44" s="2140">
        <f>IF(LEN(B44)&gt;0,IF(H44=0,Q44,IF(ISERROR(Q44/((K44/X44)*V44)),"n/a",Q44/((K44/X44)*V44))))</f>
        <v>0.71015882133895591</v>
      </c>
    </row>
    <row r="45" spans="2:35" s="1002" customFormat="1" ht="14.85" hidden="1" customHeight="1" outlineLevel="1">
      <c r="P45" s="1920"/>
    </row>
    <row r="46" spans="2:35" s="1002" customFormat="1" ht="14.85" customHeight="1" collapsed="1">
      <c r="B46" s="2128" t="str">
        <f>B44</f>
        <v>Trucode Gene Repair, Inc.</v>
      </c>
      <c r="C46" s="2129" t="s">
        <v>249</v>
      </c>
      <c r="D46" s="2130">
        <f>(PWERM!B177-PWERM!B129)/1000</f>
        <v>25.540442656150042</v>
      </c>
      <c r="E46" s="2130">
        <f>H44+(PWERM!B129/1000)</f>
        <v>17.257322363849958</v>
      </c>
      <c r="F46" s="2131"/>
      <c r="G46" s="2131"/>
      <c r="H46" s="2190">
        <f t="shared" ref="H46" si="19">SUM(E46:G46)</f>
        <v>17.257322363849958</v>
      </c>
      <c r="I46" s="2142">
        <f>K46+J46</f>
        <v>42.79776502</v>
      </c>
      <c r="J46" s="2131"/>
      <c r="K46" s="2141">
        <f>K44</f>
        <v>42.79776502</v>
      </c>
      <c r="L46" s="2131"/>
      <c r="M46" s="2143">
        <f>M44</f>
        <v>0</v>
      </c>
      <c r="N46" s="2134">
        <f>N$6</f>
        <v>4.6657534246575345</v>
      </c>
      <c r="O46" s="2135">
        <f>O$6</f>
        <v>2.4299999999999999E-2</v>
      </c>
      <c r="P46" s="2136"/>
      <c r="Q46" s="2137">
        <v>0.83</v>
      </c>
      <c r="R46" s="2131"/>
      <c r="S46" s="2138">
        <f>IF(Q46="n/a","n/a",Q46^2)</f>
        <v>0.68889999999999996</v>
      </c>
      <c r="T46" s="2138">
        <f>IF(OR(K46="n/a",S46="n/a"),"n/a",IF(H46=0,0,IF(M46=0,(LN(K46/H46)+((O46+(S46/2))*N46))/((S46*N46)^0.5),(LN(K46/H46)+((O46-M46+(S46/2))*N46))/((S46*N46)^0.5))))</f>
        <v>1.4662554094504578</v>
      </c>
      <c r="U46" s="2139">
        <f>IF(T46="n/a","n/a",IF(H46=0,0,T46-(S46*N46)^0.5))</f>
        <v>-0.32657406772983855</v>
      </c>
      <c r="V46" s="2139">
        <f>IF(OR(T46="n/a",S46="n/a"),"n/a",IF(H46=0,0,NORMSDIST(T46)))</f>
        <v>0.92871064080292831</v>
      </c>
      <c r="W46" s="2139">
        <f>IF(OR(U46="n/a",S46="n/a"),"n/a",IF(H46=0,0,NORMSDIST(U46)))</f>
        <v>0.37199502998193656</v>
      </c>
      <c r="X46" s="2139">
        <f>IF(OR(K46="n/a",S46="n/a"),"n/a",IF(M46=0,(K46*V46)-((H46*EXP(1)^(-O46*N46))*W46),(K46*(2.718^(-M46*N46))*V46)-(H46*(2.718^(-O46*N46))*W46)))</f>
        <v>34.015201556503222</v>
      </c>
      <c r="Y46" s="2140">
        <f>IF(LEN(B46)&gt;0,IF(H46=0,Q46,IF(ISERROR(Q46/((K46/X46)*V46)),"n/a",Q46/((K46/X46)*V46))))</f>
        <v>0.71031278164047695</v>
      </c>
    </row>
    <row r="47" spans="2:35" s="1002" customFormat="1" ht="14.85" customHeight="1">
      <c r="P47" s="1920"/>
    </row>
    <row r="48" spans="2:35" s="1002" customFormat="1" ht="14.85" customHeight="1">
      <c r="B48" s="2084" t="s">
        <v>86</v>
      </c>
      <c r="P48" s="1920"/>
    </row>
    <row r="49" spans="1:33" ht="14.85" customHeight="1">
      <c r="A49" s="280" t="s">
        <v>250</v>
      </c>
      <c r="B49" s="388" t="s">
        <v>2925</v>
      </c>
    </row>
    <row r="50" spans="1:33" s="282" customFormat="1" ht="14.85" customHeight="1">
      <c r="A50" s="280" t="s">
        <v>249</v>
      </c>
      <c r="B50" s="388" t="s">
        <v>4246</v>
      </c>
      <c r="C50" s="234"/>
      <c r="D50" s="234"/>
      <c r="E50" s="234"/>
      <c r="F50" s="234"/>
      <c r="G50" s="234"/>
      <c r="H50" s="234"/>
      <c r="I50" s="234"/>
      <c r="J50" s="234"/>
      <c r="K50" s="234"/>
      <c r="L50" s="234"/>
      <c r="M50" s="234"/>
      <c r="N50" s="234"/>
      <c r="O50" s="234"/>
      <c r="P50" s="435"/>
      <c r="Q50" s="234"/>
      <c r="R50" s="234"/>
      <c r="S50" s="234"/>
      <c r="T50" s="234"/>
      <c r="U50" s="234"/>
      <c r="V50" s="234"/>
      <c r="W50" s="234"/>
      <c r="X50" s="234"/>
      <c r="Y50" s="234"/>
      <c r="Z50" s="234"/>
      <c r="AA50" s="234"/>
      <c r="AB50" s="234"/>
      <c r="AC50" s="234"/>
      <c r="AD50" s="234"/>
      <c r="AE50" s="234"/>
      <c r="AF50" s="234"/>
      <c r="AG50" s="234"/>
    </row>
    <row r="51" spans="1:33" ht="14.85" customHeight="1"/>
    <row r="52" spans="1:33" ht="14.85" customHeight="1">
      <c r="B52" s="279" t="s">
        <v>116</v>
      </c>
    </row>
    <row r="53" spans="1:33" ht="14.85" customHeight="1"/>
    <row r="54" spans="1:33" ht="14.85" customHeight="1">
      <c r="B54" s="234" t="s">
        <v>1416</v>
      </c>
    </row>
    <row r="55" spans="1:33" ht="14.85" customHeight="1">
      <c r="B55" s="234" t="s">
        <v>1417</v>
      </c>
    </row>
    <row r="56" spans="1:33" ht="14.85" customHeight="1">
      <c r="B56" s="234" t="s">
        <v>1418</v>
      </c>
    </row>
    <row r="57" spans="1:33" ht="14.85" customHeight="1">
      <c r="B57" s="234" t="s">
        <v>1419</v>
      </c>
    </row>
    <row r="58" spans="1:33" ht="14.85" customHeight="1">
      <c r="B58" s="234" t="s">
        <v>1420</v>
      </c>
    </row>
    <row r="59" spans="1:33" ht="14.85" customHeight="1">
      <c r="B59" s="234" t="s">
        <v>1421</v>
      </c>
    </row>
    <row r="60" spans="1:33" ht="14.85" customHeight="1">
      <c r="B60" s="234" t="s">
        <v>1422</v>
      </c>
    </row>
    <row r="61" spans="1:33" ht="14.85" customHeight="1"/>
    <row r="62" spans="1:33" ht="14.85" customHeight="1">
      <c r="B62" s="234" t="s">
        <v>1423</v>
      </c>
    </row>
    <row r="63" spans="1:33" ht="14.85" customHeight="1">
      <c r="B63" s="234" t="s">
        <v>1424</v>
      </c>
    </row>
    <row r="64" spans="1:33"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247" priority="9" operator="equal">
      <formula>"(Invalid Identifier)"</formula>
    </cfRule>
  </conditionalFormatting>
  <conditionalFormatting sqref="C4:I4">
    <cfRule type="cellIs" dxfId="246" priority="8" stopIfTrue="1" operator="equal">
      <formula>"input"</formula>
    </cfRule>
  </conditionalFormatting>
  <conditionalFormatting sqref="J4">
    <cfRule type="cellIs" dxfId="245" priority="6" stopIfTrue="1" operator="equal">
      <formula>"input"</formula>
    </cfRule>
  </conditionalFormatting>
  <conditionalFormatting sqref="J4">
    <cfRule type="cellIs" dxfId="244" priority="7" stopIfTrue="1" operator="equal">
      <formula>"input"</formula>
    </cfRule>
  </conditionalFormatting>
  <conditionalFormatting sqref="K4:X4">
    <cfRule type="cellIs" dxfId="243" priority="4" stopIfTrue="1" operator="equal">
      <formula>"input"</formula>
    </cfRule>
  </conditionalFormatting>
  <conditionalFormatting sqref="K4:X4">
    <cfRule type="cellIs" dxfId="242" priority="5" stopIfTrue="1" operator="equal">
      <formula>"input"</formula>
    </cfRule>
  </conditionalFormatting>
  <conditionalFormatting sqref="Y4">
    <cfRule type="cellIs" dxfId="241" priority="2" stopIfTrue="1" operator="equal">
      <formula>"input"</formula>
    </cfRule>
  </conditionalFormatting>
  <conditionalFormatting sqref="Y4">
    <cfRule type="cellIs" dxfId="240" priority="3" stopIfTrue="1" operator="equal">
      <formula>"input"</formula>
    </cfRule>
  </conditionalFormatting>
  <conditionalFormatting sqref="B4">
    <cfRule type="cellIs" dxfId="239" priority="1" stopIfTrue="1" operator="equal">
      <formula>"input"</formula>
    </cfRule>
  </conditionalFormatting>
  <pageMargins left="0.5" right="0.5" top="0.5" bottom="0.5" header="0.5" footer="0.5"/>
  <pageSetup scale="74" fitToWidth="0" fitToHeight="0" orientation="landscape" r:id="rId1"/>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2"/>
  <dimension ref="A1:R760"/>
  <sheetViews>
    <sheetView showGridLines="0" view="pageBreakPreview" zoomScale="70" zoomScaleNormal="100" zoomScaleSheetLayoutView="70" workbookViewId="0"/>
  </sheetViews>
  <sheetFormatPr defaultRowHeight="14.25"/>
  <cols>
    <col min="1" max="1" width="4.5" style="234" customWidth="1"/>
    <col min="2" max="2" width="66.1640625" style="234" customWidth="1"/>
    <col min="3" max="3" width="4.83203125" style="234" customWidth="1"/>
    <col min="4" max="11" width="14.83203125" style="234" customWidth="1"/>
    <col min="12" max="12" width="4.5" style="234" customWidth="1"/>
    <col min="13" max="13" width="9.5" style="234" bestFit="1" customWidth="1"/>
    <col min="14" max="14" width="11.33203125" style="234" bestFit="1" customWidth="1"/>
    <col min="15" max="15" width="14.1640625" style="245" customWidth="1"/>
    <col min="16" max="16" width="9.5" style="234" bestFit="1" customWidth="1"/>
    <col min="17" max="17" width="14.1640625" style="234" bestFit="1" customWidth="1"/>
    <col min="18" max="18" width="9.5" style="234" bestFit="1" customWidth="1"/>
    <col min="19" max="16384" width="9.33203125" style="234"/>
  </cols>
  <sheetData>
    <row r="1" spans="2:18" ht="10.7" customHeight="1" thickBot="1"/>
    <row r="2" spans="2:18" ht="16.5" customHeight="1" thickTop="1">
      <c r="B2" s="223" t="str">
        <f>'MASTER PubCo Inputs'!$C$5</f>
        <v>Trucode Gene Repair, Inc.</v>
      </c>
      <c r="C2" s="223"/>
      <c r="D2" s="223"/>
      <c r="E2" s="223"/>
      <c r="F2" s="223"/>
      <c r="G2" s="223"/>
      <c r="H2" s="223"/>
      <c r="I2" s="223"/>
      <c r="J2" s="223"/>
      <c r="K2" s="223"/>
    </row>
    <row r="3" spans="2:18" ht="15.75" customHeight="1">
      <c r="B3" s="232" t="str">
        <f>VLOOKUP(B4,Outline!$E$8:$G$65,COLUMNS(Outline!$E$8:$G$8),FALSE)</f>
        <v>Exhibit H.6</v>
      </c>
      <c r="C3" s="232"/>
      <c r="D3" s="232"/>
      <c r="E3" s="232"/>
      <c r="F3" s="232"/>
      <c r="G3" s="232"/>
      <c r="H3" s="232"/>
      <c r="I3" s="232"/>
      <c r="J3" s="232"/>
      <c r="K3" s="232"/>
      <c r="O3" s="1258" t="s">
        <v>934</v>
      </c>
      <c r="P3" s="1259">
        <v>1.5</v>
      </c>
      <c r="Q3" s="1258" t="s">
        <v>935</v>
      </c>
      <c r="R3" s="1259">
        <v>0</v>
      </c>
    </row>
    <row r="4" spans="2:18" ht="16.5" customHeight="1" thickBot="1">
      <c r="B4" s="225" t="s">
        <v>117</v>
      </c>
      <c r="C4" s="225"/>
      <c r="D4" s="225"/>
      <c r="E4" s="225"/>
      <c r="F4" s="225"/>
      <c r="G4" s="225"/>
      <c r="H4" s="225"/>
      <c r="I4" s="225"/>
      <c r="J4" s="225"/>
      <c r="K4" s="225"/>
    </row>
    <row r="5" spans="2:18" ht="14.85" customHeight="1" thickTop="1"/>
    <row r="6" spans="2:18" ht="14.85" customHeight="1">
      <c r="D6" s="528" t="s">
        <v>4222</v>
      </c>
      <c r="E6" s="528"/>
      <c r="F6" s="528"/>
      <c r="G6" s="528"/>
      <c r="H6" s="528"/>
      <c r="I6" s="528"/>
      <c r="J6" s="528"/>
      <c r="K6" s="528"/>
      <c r="M6" s="1231" t="s">
        <v>87</v>
      </c>
      <c r="N6" s="1260">
        <f>'MASTER PubCo Inputs'!$C$6</f>
        <v>43496</v>
      </c>
    </row>
    <row r="7" spans="2:18" ht="14.85" customHeight="1">
      <c r="D7" s="962" t="s">
        <v>118</v>
      </c>
      <c r="E7" s="948"/>
      <c r="F7" s="948"/>
      <c r="G7" s="948"/>
      <c r="H7" s="949"/>
      <c r="I7" s="948"/>
      <c r="J7" s="948"/>
      <c r="K7" s="949"/>
    </row>
    <row r="8" spans="2:18" ht="14.85" customHeight="1">
      <c r="B8" s="892" t="s">
        <v>711</v>
      </c>
      <c r="D8" s="1261">
        <v>1</v>
      </c>
      <c r="E8" s="1262">
        <v>2</v>
      </c>
      <c r="F8" s="1262">
        <v>3</v>
      </c>
      <c r="G8" s="1262">
        <v>4</v>
      </c>
      <c r="H8" s="1262">
        <v>5</v>
      </c>
      <c r="I8" s="1262">
        <v>6</v>
      </c>
      <c r="J8" s="1262">
        <v>7</v>
      </c>
      <c r="K8" s="1263">
        <v>8</v>
      </c>
      <c r="M8" s="409" t="s">
        <v>108</v>
      </c>
      <c r="O8" s="383" t="s">
        <v>1707</v>
      </c>
    </row>
    <row r="9" spans="2:18" ht="14.85" customHeight="1">
      <c r="B9" s="1910"/>
      <c r="D9" s="1911"/>
      <c r="E9" s="1911"/>
      <c r="F9" s="1911"/>
      <c r="G9" s="1911"/>
      <c r="H9" s="1911"/>
      <c r="I9" s="1911"/>
      <c r="J9" s="1911"/>
      <c r="K9" s="1911"/>
      <c r="M9" s="409"/>
      <c r="O9" s="383"/>
    </row>
    <row r="10" spans="2:18" ht="14.85" customHeight="1">
      <c r="B10" s="1918" t="s">
        <v>4046</v>
      </c>
      <c r="C10" s="1002"/>
      <c r="D10" s="1002"/>
      <c r="E10" s="1002"/>
      <c r="F10" s="1002"/>
      <c r="G10" s="1002"/>
      <c r="H10" s="1002"/>
      <c r="I10" s="1002"/>
      <c r="J10" s="1002"/>
      <c r="K10" s="1002"/>
    </row>
    <row r="11" spans="2:18" ht="14.85" customHeight="1">
      <c r="B11" s="1002" t="str">
        <f>'Comp.1'!B11</f>
        <v>Alnylam Pharmaceuticals, Inc.</v>
      </c>
      <c r="C11" s="1002"/>
      <c r="D11" s="2070">
        <f>IF('Capital IQ Sheet-GPC'!BS13&gt;'Equity Vol'!$P$3,"n/a",IF('Capital IQ Sheet-GPC'!BS13&lt;'Equity Vol'!$R$3,"n/a",'Capital IQ Sheet-GPC'!BS13))</f>
        <v>0.53582349452066536</v>
      </c>
      <c r="E11" s="2070">
        <f>IF('Capital IQ Sheet-GPC'!BT13&gt;'Equity Vol'!$P$3,"n/a",IF('Capital IQ Sheet-GPC'!BT13&lt;'Equity Vol'!$R$3,"n/a",'Capital IQ Sheet-GPC'!BT13))</f>
        <v>0.59416943228496266</v>
      </c>
      <c r="F11" s="2070">
        <f>IF('Capital IQ Sheet-GPC'!BU13&gt;'Equity Vol'!$P$3,"n/a",IF('Capital IQ Sheet-GPC'!BU13&lt;'Equity Vol'!$R$3,"n/a",'Capital IQ Sheet-GPC'!BU13))</f>
        <v>0.7096389326799265</v>
      </c>
      <c r="G11" s="2070">
        <f>IF('Capital IQ Sheet-GPC'!BV13&gt;'Equity Vol'!$P$3,"n/a",IF('Capital IQ Sheet-GPC'!BV13&lt;'Equity Vol'!$R$3,"n/a",'Capital IQ Sheet-GPC'!BV13))</f>
        <v>0.67742114470135883</v>
      </c>
      <c r="H11" s="2070">
        <f>IF('Capital IQ Sheet-GPC'!BW13&gt;'Equity Vol'!$P$3,"n/a",IF('Capital IQ Sheet-GPC'!BW13&lt;'Equity Vol'!$R$3,"n/a",'Capital IQ Sheet-GPC'!BW13))</f>
        <v>0.65801935658532418</v>
      </c>
      <c r="I11" s="2070">
        <f>IF('Capital IQ Sheet-GPC'!BX13&gt;'Equity Vol'!$P$3,"n/a",IF('Capital IQ Sheet-GPC'!BX13&lt;'Equity Vol'!$R$3,"n/a",'Capital IQ Sheet-GPC'!BX13))</f>
        <v>0.64783067874232669</v>
      </c>
      <c r="J11" s="2070">
        <f>IF('Capital IQ Sheet-GPC'!BY13&gt;'Equity Vol'!$P$3,"n/a",IF('Capital IQ Sheet-GPC'!BY13&lt;'Equity Vol'!$R$3,"n/a",'Capital IQ Sheet-GPC'!BY13))</f>
        <v>0.64656127763457327</v>
      </c>
      <c r="K11" s="2070">
        <f>IF('Capital IQ Sheet-GPC'!BZ13&gt;'Equity Vol'!$P$3,"n/a",IF('Capital IQ Sheet-GPC'!BZ13&lt;'Equity Vol'!$R$3,"n/a",'Capital IQ Sheet-GPC'!BZ13))</f>
        <v>0.63116283317401123</v>
      </c>
      <c r="M11" s="815" t="str">
        <f>'Asset Vol_PWERM'!AA10</f>
        <v>NasdaqGS:ALNY</v>
      </c>
      <c r="O11" s="1264">
        <f>'Capital IQ Sheet-GPC'!G13</f>
        <v>38135</v>
      </c>
    </row>
    <row r="12" spans="2:18" ht="14.85" customHeight="1">
      <c r="B12" s="1002" t="str">
        <f>'Comp.1'!B12</f>
        <v>bluebird bio, Inc.</v>
      </c>
      <c r="C12" s="1002"/>
      <c r="D12" s="2070">
        <f>IF('Capital IQ Sheet-GPC'!BS14&gt;'Equity Vol'!$P$3,"n/a",IF('Capital IQ Sheet-GPC'!BS14&lt;'Equity Vol'!$R$3,"n/a",'Capital IQ Sheet-GPC'!BS14))</f>
        <v>0.52450314924919583</v>
      </c>
      <c r="E12" s="2070">
        <f>IF('Capital IQ Sheet-GPC'!BT14&gt;'Equity Vol'!$P$3,"n/a",IF('Capital IQ Sheet-GPC'!BT14&lt;'Equity Vol'!$R$3,"n/a",'Capital IQ Sheet-GPC'!BT14))</f>
        <v>0.53858552321462028</v>
      </c>
      <c r="F12" s="2070">
        <f>IF('Capital IQ Sheet-GPC'!BU14&gt;'Equity Vol'!$P$3,"n/a",IF('Capital IQ Sheet-GPC'!BU14&lt;'Equity Vol'!$R$3,"n/a",'Capital IQ Sheet-GPC'!BU14))</f>
        <v>0.62078542774096979</v>
      </c>
      <c r="G12" s="2070">
        <f>IF('Capital IQ Sheet-GPC'!BV14&gt;'Equity Vol'!$P$3,"n/a",IF('Capital IQ Sheet-GPC'!BV14&lt;'Equity Vol'!$R$3,"n/a",'Capital IQ Sheet-GPC'!BV14))</f>
        <v>0.68241342423020646</v>
      </c>
      <c r="H12" s="2070">
        <f>IF('Capital IQ Sheet-GPC'!BW14&gt;'Equity Vol'!$P$3,"n/a",IF('Capital IQ Sheet-GPC'!BW14&lt;'Equity Vol'!$R$3,"n/a",'Capital IQ Sheet-GPC'!BW14))</f>
        <v>0.72674534281867753</v>
      </c>
      <c r="I12" s="2070">
        <f>IF('Capital IQ Sheet-GPC'!BX14&gt;'Equity Vol'!$P$3,"n/a",IF('Capital IQ Sheet-GPC'!BX14&lt;'Equity Vol'!$R$3,"n/a",'Capital IQ Sheet-GPC'!BX14))</f>
        <v>0.71274954029333282</v>
      </c>
      <c r="J12" s="2071">
        <f t="shared" ref="I12:K14" si="0">I12</f>
        <v>0.71274954029333282</v>
      </c>
      <c r="K12" s="2071">
        <f t="shared" si="0"/>
        <v>0.71274954029333282</v>
      </c>
      <c r="M12" s="815" t="str">
        <f>'Asset Vol_PWERM'!AA11</f>
        <v>NasdaqGS:BLUE</v>
      </c>
      <c r="O12" s="1264">
        <f>'Capital IQ Sheet-GPC'!G14</f>
        <v>41444</v>
      </c>
    </row>
    <row r="13" spans="2:18" ht="14.85" customHeight="1">
      <c r="B13" s="1002" t="str">
        <f>'Comp.1'!B13</f>
        <v>Ironwood Pharmaceuticals, Inc.</v>
      </c>
      <c r="C13" s="1002"/>
      <c r="D13" s="2070">
        <f>IF('Capital IQ Sheet-GPC'!BS15&gt;'Equity Vol'!$P$3,"n/a",IF('Capital IQ Sheet-GPC'!BS15&lt;'Equity Vol'!$R$3,"n/a",'Capital IQ Sheet-GPC'!BS15))</f>
        <v>0.53584986559164549</v>
      </c>
      <c r="E13" s="2070">
        <f>IF('Capital IQ Sheet-GPC'!BT15&gt;'Equity Vol'!$P$3,"n/a",IF('Capital IQ Sheet-GPC'!BT15&lt;'Equity Vol'!$R$3,"n/a",'Capital IQ Sheet-GPC'!BT15))</f>
        <v>0.4634353984441596</v>
      </c>
      <c r="F13" s="2070">
        <f>IF('Capital IQ Sheet-GPC'!BU15&gt;'Equity Vol'!$P$3,"n/a",IF('Capital IQ Sheet-GPC'!BU15&lt;'Equity Vol'!$R$3,"n/a",'Capital IQ Sheet-GPC'!BU15))</f>
        <v>0.45368577964898188</v>
      </c>
      <c r="G13" s="2070">
        <f>IF('Capital IQ Sheet-GPC'!BV15&gt;'Equity Vol'!$P$3,"n/a",IF('Capital IQ Sheet-GPC'!BV15&lt;'Equity Vol'!$R$3,"n/a",'Capital IQ Sheet-GPC'!BV15))</f>
        <v>0.43862245376883774</v>
      </c>
      <c r="H13" s="2070">
        <f>IF('Capital IQ Sheet-GPC'!BW15&gt;'Equity Vol'!$P$3,"n/a",IF('Capital IQ Sheet-GPC'!BW15&lt;'Equity Vol'!$R$3,"n/a",'Capital IQ Sheet-GPC'!BW15))</f>
        <v>0.45976240890543452</v>
      </c>
      <c r="I13" s="2070">
        <f>IF('Capital IQ Sheet-GPC'!BX15&gt;'Equity Vol'!$P$3,"n/a",IF('Capital IQ Sheet-GPC'!BX15&lt;'Equity Vol'!$R$3,"n/a",'Capital IQ Sheet-GPC'!BX15))</f>
        <v>0.45860802875494028</v>
      </c>
      <c r="J13" s="2070">
        <f>IF('Capital IQ Sheet-GPC'!BY15&gt;'Equity Vol'!$P$3,"n/a",IF('Capital IQ Sheet-GPC'!BY15&lt;'Equity Vol'!$R$3,"n/a",'Capital IQ Sheet-GPC'!BY15))</f>
        <v>0.4528697950500134</v>
      </c>
      <c r="K13" s="2070">
        <f>IF('Capital IQ Sheet-GPC'!BZ15&gt;'Equity Vol'!$P$3,"n/a",IF('Capital IQ Sheet-GPC'!BZ15&lt;'Equity Vol'!$R$3,"n/a",'Capital IQ Sheet-GPC'!BZ15))</f>
        <v>0.4608751263835219</v>
      </c>
      <c r="M13" s="815" t="str">
        <f>'Asset Vol_PWERM'!AA12</f>
        <v>NasdaqGS:IRWD</v>
      </c>
      <c r="O13" s="1264">
        <f>'Capital IQ Sheet-GPC'!G15</f>
        <v>40212</v>
      </c>
    </row>
    <row r="14" spans="2:18" ht="14.85" customHeight="1">
      <c r="B14" s="1002" t="str">
        <f>'Comp.1'!B14</f>
        <v>Global Blood Therapeutics, Inc.</v>
      </c>
      <c r="C14" s="1002"/>
      <c r="D14" s="2070">
        <f>IF('Capital IQ Sheet-GPC'!BS16&gt;'Equity Vol'!$P$3,"n/a",IF('Capital IQ Sheet-GPC'!BS16&lt;'Equity Vol'!$R$3,"n/a",'Capital IQ Sheet-GPC'!BS16))</f>
        <v>0.70210147812796531</v>
      </c>
      <c r="E14" s="2070">
        <f>IF('Capital IQ Sheet-GPC'!BT16&gt;'Equity Vol'!$P$3,"n/a",IF('Capital IQ Sheet-GPC'!BT16&lt;'Equity Vol'!$R$3,"n/a",'Capital IQ Sheet-GPC'!BT16))</f>
        <v>0.70150122776605739</v>
      </c>
      <c r="F14" s="2070">
        <f>IF('Capital IQ Sheet-GPC'!BU16&gt;'Equity Vol'!$P$3,"n/a",IF('Capital IQ Sheet-GPC'!BU16&lt;'Equity Vol'!$R$3,"n/a",'Capital IQ Sheet-GPC'!BU16))</f>
        <v>0.73278037479134861</v>
      </c>
      <c r="G14" s="2070">
        <f>IF('Capital IQ Sheet-GPC'!BV16&gt;'Equity Vol'!$P$3,"n/a",IF('Capital IQ Sheet-GPC'!BV16&lt;'Equity Vol'!$R$3,"n/a",'Capital IQ Sheet-GPC'!BV16))</f>
        <v>0.77604783372898034</v>
      </c>
      <c r="H14" s="2071">
        <f>G14</f>
        <v>0.77604783372898034</v>
      </c>
      <c r="I14" s="2071">
        <f t="shared" si="0"/>
        <v>0.77604783372898034</v>
      </c>
      <c r="J14" s="2071">
        <f t="shared" si="0"/>
        <v>0.77604783372898034</v>
      </c>
      <c r="K14" s="2071">
        <f t="shared" si="0"/>
        <v>0.77604783372898034</v>
      </c>
      <c r="M14" s="815" t="str">
        <f>'Asset Vol_PWERM'!AA13</f>
        <v>NasdaqGS:GBT</v>
      </c>
      <c r="O14" s="1264">
        <f>'Capital IQ Sheet-GPC'!G16</f>
        <v>42228</v>
      </c>
    </row>
    <row r="15" spans="2:18" ht="14.85" customHeight="1">
      <c r="B15" s="1002" t="str">
        <f>'Comp.1'!B15</f>
        <v>Acceleron Pharma Inc.</v>
      </c>
      <c r="C15" s="1002"/>
      <c r="D15" s="2070">
        <f>IF('Capital IQ Sheet-GPC'!BS17&gt;'Equity Vol'!$P$3,"n/a",IF('Capital IQ Sheet-GPC'!BS17&lt;'Equity Vol'!$R$3,"n/a",'Capital IQ Sheet-GPC'!BS17))</f>
        <v>0.56886570795008284</v>
      </c>
      <c r="E15" s="2070">
        <f>IF('Capital IQ Sheet-GPC'!BT17&gt;'Equity Vol'!$P$3,"n/a",IF('Capital IQ Sheet-GPC'!BT17&lt;'Equity Vol'!$R$3,"n/a",'Capital IQ Sheet-GPC'!BT17))</f>
        <v>0.52894966684130962</v>
      </c>
      <c r="F15" s="2070">
        <f>IF('Capital IQ Sheet-GPC'!BU17&gt;'Equity Vol'!$P$3,"n/a",IF('Capital IQ Sheet-GPC'!BU17&lt;'Equity Vol'!$R$3,"n/a",'Capital IQ Sheet-GPC'!BU17))</f>
        <v>0.56423016277929228</v>
      </c>
      <c r="G15" s="2070">
        <f>IF('Capital IQ Sheet-GPC'!BV17&gt;'Equity Vol'!$P$3,"n/a",IF('Capital IQ Sheet-GPC'!BV17&lt;'Equity Vol'!$R$3,"n/a",'Capital IQ Sheet-GPC'!BV17))</f>
        <v>0.56506394177110653</v>
      </c>
      <c r="H15" s="2070">
        <f>IF('Capital IQ Sheet-GPC'!BW17&gt;'Equity Vol'!$P$3,"n/a",IF('Capital IQ Sheet-GPC'!BW17&lt;'Equity Vol'!$R$3,"n/a",'Capital IQ Sheet-GPC'!BW17))</f>
        <v>0.56975187093811019</v>
      </c>
      <c r="I15" s="2070">
        <f>IF('Capital IQ Sheet-GPC'!BX17&gt;'Equity Vol'!$P$3,"n/a",IF('Capital IQ Sheet-GPC'!BX17&lt;'Equity Vol'!$R$3,"n/a",'Capital IQ Sheet-GPC'!BX17))</f>
        <v>0.59075584591716213</v>
      </c>
      <c r="J15" s="2071">
        <f t="shared" ref="J15:K15" si="1">I15</f>
        <v>0.59075584591716213</v>
      </c>
      <c r="K15" s="2071">
        <f t="shared" si="1"/>
        <v>0.59075584591716213</v>
      </c>
      <c r="M15" s="815" t="str">
        <f>'Asset Vol_PWERM'!AA14</f>
        <v>NasdaqGM:XLRN</v>
      </c>
      <c r="O15" s="1264">
        <f>'Capital IQ Sheet-GPC'!G17</f>
        <v>41536</v>
      </c>
    </row>
    <row r="16" spans="2:18" ht="14.85" customHeight="1">
      <c r="B16" s="1002" t="str">
        <f>'Comp.1'!B16</f>
        <v>Spark Therapeutics, Inc.</v>
      </c>
      <c r="C16" s="1002"/>
      <c r="D16" s="2070">
        <f>IF('Capital IQ Sheet-GPC'!BS18&gt;'Equity Vol'!$P$3,"n/a",IF('Capital IQ Sheet-GPC'!BS18&lt;'Equity Vol'!$R$3,"n/a",'Capital IQ Sheet-GPC'!BS18))</f>
        <v>0.64210138454157772</v>
      </c>
      <c r="E16" s="2070">
        <f>IF('Capital IQ Sheet-GPC'!BT18&gt;'Equity Vol'!$P$3,"n/a",IF('Capital IQ Sheet-GPC'!BT18&lt;'Equity Vol'!$R$3,"n/a",'Capital IQ Sheet-GPC'!BT18))</f>
        <v>0.64539841996562952</v>
      </c>
      <c r="F16" s="2070">
        <f>IF('Capital IQ Sheet-GPC'!BU18&gt;'Equity Vol'!$P$3,"n/a",IF('Capital IQ Sheet-GPC'!BU18&lt;'Equity Vol'!$R$3,"n/a",'Capital IQ Sheet-GPC'!BU18))</f>
        <v>0.67870462913818252</v>
      </c>
      <c r="G16" s="2070">
        <f>IF('Capital IQ Sheet-GPC'!BV18&gt;'Equity Vol'!$P$3,"n/a",IF('Capital IQ Sheet-GPC'!BV18&lt;'Equity Vol'!$R$3,"n/a",'Capital IQ Sheet-GPC'!BV18))</f>
        <v>0.70620405110079632</v>
      </c>
      <c r="H16" s="2071">
        <f t="shared" ref="H16:I16" si="2">G16</f>
        <v>0.70620405110079632</v>
      </c>
      <c r="I16" s="2071">
        <f t="shared" si="2"/>
        <v>0.70620405110079632</v>
      </c>
      <c r="J16" s="2071">
        <f t="shared" ref="J16:K16" si="3">I16</f>
        <v>0.70620405110079632</v>
      </c>
      <c r="K16" s="2071">
        <f t="shared" si="3"/>
        <v>0.70620405110079632</v>
      </c>
      <c r="M16" s="815" t="str">
        <f>'Asset Vol_PWERM'!AA15</f>
        <v>NasdaqGS:ONCE</v>
      </c>
      <c r="O16" s="1264">
        <f>'Capital IQ Sheet-GPC'!G18</f>
        <v>42034</v>
      </c>
    </row>
    <row r="17" spans="2:15" ht="14.85" customHeight="1">
      <c r="B17" s="1002" t="str">
        <f>'Comp.1'!B17</f>
        <v>REGENXBIO Inc.</v>
      </c>
      <c r="C17" s="1002"/>
      <c r="D17" s="2070">
        <f>IF('Capital IQ Sheet-GPC'!BS19&gt;'Equity Vol'!$P$3,"n/a",IF('Capital IQ Sheet-GPC'!BS19&lt;'Equity Vol'!$R$3,"n/a",'Capital IQ Sheet-GPC'!BS19))</f>
        <v>0.71424690928758428</v>
      </c>
      <c r="E17" s="2070">
        <f>IF('Capital IQ Sheet-GPC'!BT19&gt;'Equity Vol'!$P$3,"n/a",IF('Capital IQ Sheet-GPC'!BT19&lt;'Equity Vol'!$R$3,"n/a",'Capital IQ Sheet-GPC'!BT19))</f>
        <v>0.67554666584600742</v>
      </c>
      <c r="F17" s="2070">
        <f>IF('Capital IQ Sheet-GPC'!BU19&gt;'Equity Vol'!$P$3,"n/a",IF('Capital IQ Sheet-GPC'!BU19&lt;'Equity Vol'!$R$3,"n/a",'Capital IQ Sheet-GPC'!BU19))</f>
        <v>0.66256910320315288</v>
      </c>
      <c r="G17" s="2070">
        <f>IF('Capital IQ Sheet-GPC'!BV19&gt;'Equity Vol'!$P$3,"n/a",IF('Capital IQ Sheet-GPC'!BV19&lt;'Equity Vol'!$R$3,"n/a",'Capital IQ Sheet-GPC'!BV19))</f>
        <v>0.69199779427093266</v>
      </c>
      <c r="H17" s="2071">
        <f t="shared" ref="H17:I17" si="4">G17</f>
        <v>0.69199779427093266</v>
      </c>
      <c r="I17" s="2071">
        <f t="shared" si="4"/>
        <v>0.69199779427093266</v>
      </c>
      <c r="J17" s="2071">
        <f t="shared" ref="J17:K17" si="5">I17</f>
        <v>0.69199779427093266</v>
      </c>
      <c r="K17" s="2071">
        <f t="shared" si="5"/>
        <v>0.69199779427093266</v>
      </c>
      <c r="M17" s="815" t="str">
        <f>'Asset Vol_PWERM'!AA16</f>
        <v>NasdaqGS:RGNX</v>
      </c>
      <c r="O17" s="1264">
        <f>'Capital IQ Sheet-GPC'!G19</f>
        <v>42264</v>
      </c>
    </row>
    <row r="18" spans="2:15" ht="14.85" customHeight="1">
      <c r="B18" s="1002" t="str">
        <f>'Comp.1'!B18</f>
        <v>uniQure N.V.</v>
      </c>
      <c r="C18" s="1002"/>
      <c r="D18" s="2070">
        <f>IF('Capital IQ Sheet-GPC'!BS20&gt;'Equity Vol'!$P$3,"n/a",IF('Capital IQ Sheet-GPC'!BS20&lt;'Equity Vol'!$R$3,"n/a",'Capital IQ Sheet-GPC'!BS20))</f>
        <v>0.7023271176462661</v>
      </c>
      <c r="E18" s="2070">
        <f>IF('Capital IQ Sheet-GPC'!BT20&gt;'Equity Vol'!$P$3,"n/a",IF('Capital IQ Sheet-GPC'!BT20&lt;'Equity Vol'!$R$3,"n/a",'Capital IQ Sheet-GPC'!BT20))</f>
        <v>0.76002768683622213</v>
      </c>
      <c r="F18" s="2070">
        <f>IF('Capital IQ Sheet-GPC'!BU20&gt;'Equity Vol'!$P$3,"n/a",IF('Capital IQ Sheet-GPC'!BU20&lt;'Equity Vol'!$R$3,"n/a",'Capital IQ Sheet-GPC'!BU20))</f>
        <v>0.72202351879102378</v>
      </c>
      <c r="G18" s="2070">
        <f>IF('Capital IQ Sheet-GPC'!BV20&gt;'Equity Vol'!$P$3,"n/a",IF('Capital IQ Sheet-GPC'!BV20&lt;'Equity Vol'!$R$3,"n/a",'Capital IQ Sheet-GPC'!BV20))</f>
        <v>0.74709905352006156</v>
      </c>
      <c r="H18" s="2070">
        <f>IF('Capital IQ Sheet-GPC'!BW20&gt;'Equity Vol'!$P$3,"n/a",IF('Capital IQ Sheet-GPC'!BW20&lt;'Equity Vol'!$R$3,"n/a",'Capital IQ Sheet-GPC'!BW20))</f>
        <v>0.74360496881317673</v>
      </c>
      <c r="I18" s="2071">
        <f t="shared" ref="I18" si="6">H18</f>
        <v>0.74360496881317673</v>
      </c>
      <c r="J18" s="2071">
        <f t="shared" ref="J18:K18" si="7">I18</f>
        <v>0.74360496881317673</v>
      </c>
      <c r="K18" s="2071">
        <f t="shared" si="7"/>
        <v>0.74360496881317673</v>
      </c>
      <c r="M18" s="815" t="str">
        <f>'Asset Vol_PWERM'!AA17</f>
        <v>NasdaqGS:QURE</v>
      </c>
      <c r="O18" s="1264">
        <f>'Capital IQ Sheet-GPC'!G20</f>
        <v>41675</v>
      </c>
    </row>
    <row r="19" spans="2:15" ht="14.85" customHeight="1">
      <c r="B19" s="1002" t="str">
        <f>'Comp.1'!B19</f>
        <v>Audentes Therapeutics, Inc.</v>
      </c>
      <c r="C19" s="1002"/>
      <c r="D19" s="2070">
        <f>IF('Capital IQ Sheet-GPC'!BS21&gt;'Equity Vol'!$P$3,"n/a",IF('Capital IQ Sheet-GPC'!BS21&lt;'Equity Vol'!$R$3,"n/a",'Capital IQ Sheet-GPC'!BS21))</f>
        <v>0.66006063710498863</v>
      </c>
      <c r="E19" s="2070">
        <f>IF('Capital IQ Sheet-GPC'!BT21&gt;'Equity Vol'!$P$3,"n/a",IF('Capital IQ Sheet-GPC'!BT21&lt;'Equity Vol'!$R$3,"n/a",'Capital IQ Sheet-GPC'!BT21))</f>
        <v>0.60947723086456018</v>
      </c>
      <c r="F19" s="2070">
        <f>IF('Capital IQ Sheet-GPC'!BU21&gt;'Equity Vol'!$P$3,"n/a",IF('Capital IQ Sheet-GPC'!BU21&lt;'Equity Vol'!$R$3,"n/a",'Capital IQ Sheet-GPC'!BU21))</f>
        <v>0.59768048017248299</v>
      </c>
      <c r="G19" s="2071">
        <f t="shared" ref="E19:K23" si="8">F19</f>
        <v>0.59768048017248299</v>
      </c>
      <c r="H19" s="2071">
        <f t="shared" si="8"/>
        <v>0.59768048017248299</v>
      </c>
      <c r="I19" s="2071">
        <f t="shared" si="8"/>
        <v>0.59768048017248299</v>
      </c>
      <c r="J19" s="2071">
        <f t="shared" ref="J19:K19" si="9">I19</f>
        <v>0.59768048017248299</v>
      </c>
      <c r="K19" s="2071">
        <f t="shared" si="9"/>
        <v>0.59768048017248299</v>
      </c>
      <c r="M19" s="815" t="str">
        <f>'Asset Vol_PWERM'!AA18</f>
        <v>NasdaqGM:BOLD</v>
      </c>
      <c r="O19" s="1264">
        <f>'Capital IQ Sheet-GPC'!G21</f>
        <v>42571</v>
      </c>
    </row>
    <row r="20" spans="2:15" ht="14.85" customHeight="1">
      <c r="B20" s="1002" t="str">
        <f>'Comp.1'!B20</f>
        <v>Sangamo Therapeutics, Inc.</v>
      </c>
      <c r="C20" s="1002"/>
      <c r="D20" s="2070">
        <f>IF('Capital IQ Sheet-GPC'!BS22&gt;'Equity Vol'!$P$3,"n/a",IF('Capital IQ Sheet-GPC'!BS22&lt;'Equity Vol'!$R$3,"n/a",'Capital IQ Sheet-GPC'!BS22))</f>
        <v>0.79986978461518343</v>
      </c>
      <c r="E20" s="2070">
        <f>IF('Capital IQ Sheet-GPC'!BT22&gt;'Equity Vol'!$P$3,"n/a",IF('Capital IQ Sheet-GPC'!BT22&lt;'Equity Vol'!$R$3,"n/a",'Capital IQ Sheet-GPC'!BT22))</f>
        <v>0.8134368682842571</v>
      </c>
      <c r="F20" s="2070">
        <f>IF('Capital IQ Sheet-GPC'!BU22&gt;'Equity Vol'!$P$3,"n/a",IF('Capital IQ Sheet-GPC'!BU22&lt;'Equity Vol'!$R$3,"n/a",'Capital IQ Sheet-GPC'!BU22))</f>
        <v>0.81085681085935835</v>
      </c>
      <c r="G20" s="2070">
        <f>IF('Capital IQ Sheet-GPC'!BV22&gt;'Equity Vol'!$P$3,"n/a",IF('Capital IQ Sheet-GPC'!BV22&lt;'Equity Vol'!$R$3,"n/a",'Capital IQ Sheet-GPC'!BV22))</f>
        <v>0.79008025868768383</v>
      </c>
      <c r="H20" s="2070">
        <f>IF('Capital IQ Sheet-GPC'!BW22&gt;'Equity Vol'!$P$3,"n/a",IF('Capital IQ Sheet-GPC'!BW22&lt;'Equity Vol'!$R$3,"n/a",'Capital IQ Sheet-GPC'!BW22))</f>
        <v>0.76756249781285035</v>
      </c>
      <c r="I20" s="2070">
        <f>IF('Capital IQ Sheet-GPC'!BX22&gt;'Equity Vol'!$P$3,"n/a",IF('Capital IQ Sheet-GPC'!BX22&lt;'Equity Vol'!$R$3,"n/a",'Capital IQ Sheet-GPC'!BX22))</f>
        <v>0.74782030727678916</v>
      </c>
      <c r="J20" s="2070">
        <f>IF('Capital IQ Sheet-GPC'!BY22&gt;'Equity Vol'!$P$3,"n/a",IF('Capital IQ Sheet-GPC'!BY22&lt;'Equity Vol'!$R$3,"n/a",'Capital IQ Sheet-GPC'!BY22))</f>
        <v>0.72641601692174951</v>
      </c>
      <c r="K20" s="2070">
        <f>IF('Capital IQ Sheet-GPC'!BZ22&gt;'Equity Vol'!$P$3,"n/a",IF('Capital IQ Sheet-GPC'!BZ22&lt;'Equity Vol'!$R$3,"n/a",'Capital IQ Sheet-GPC'!BZ22))</f>
        <v>0.72830590732875689</v>
      </c>
      <c r="M20" s="815" t="str">
        <f>'Asset Vol_PWERM'!AA19</f>
        <v>NasdaqGS:SGMO</v>
      </c>
      <c r="O20" s="1264">
        <f>'Capital IQ Sheet-GPC'!G22</f>
        <v>36622</v>
      </c>
    </row>
    <row r="21" spans="2:15" ht="14.85" customHeight="1">
      <c r="B21" s="1002" t="str">
        <f>'Comp.1'!B21</f>
        <v>Homology Medicines, Inc.</v>
      </c>
      <c r="C21" s="1002"/>
      <c r="D21" s="2072" t="s">
        <v>765</v>
      </c>
      <c r="E21" s="2072" t="str">
        <f t="shared" si="8"/>
        <v>NM</v>
      </c>
      <c r="F21" s="2072" t="str">
        <f t="shared" si="8"/>
        <v>NM</v>
      </c>
      <c r="G21" s="2072" t="str">
        <f t="shared" si="8"/>
        <v>NM</v>
      </c>
      <c r="H21" s="2072" t="str">
        <f t="shared" si="8"/>
        <v>NM</v>
      </c>
      <c r="I21" s="2072" t="str">
        <f t="shared" si="8"/>
        <v>NM</v>
      </c>
      <c r="J21" s="2072" t="str">
        <f t="shared" si="8"/>
        <v>NM</v>
      </c>
      <c r="K21" s="2072" t="str">
        <f t="shared" si="8"/>
        <v>NM</v>
      </c>
      <c r="M21" s="815" t="str">
        <f>'Asset Vol_PWERM'!AA20</f>
        <v>NasdaqGS:FIXX</v>
      </c>
      <c r="O21" s="1264">
        <f>'Capital IQ Sheet-GPC'!G23</f>
        <v>43187</v>
      </c>
    </row>
    <row r="22" spans="2:15" ht="14.85" customHeight="1">
      <c r="B22" s="1002" t="str">
        <f>'Comp.1'!B22</f>
        <v>Corbus Pharmaceuticals Holdings, Inc.</v>
      </c>
      <c r="C22" s="1002"/>
      <c r="D22" s="2070">
        <f>IF('Capital IQ Sheet-GPC'!BS24&gt;'Equity Vol'!$P$3,"n/a",IF('Capital IQ Sheet-GPC'!BS24&lt;'Equity Vol'!$R$3,"n/a",'Capital IQ Sheet-GPC'!BS24))</f>
        <v>0.74991877261248097</v>
      </c>
      <c r="E22" s="2070">
        <f>IF('Capital IQ Sheet-GPC'!BT24&gt;'Equity Vol'!$P$3,"n/a",IF('Capital IQ Sheet-GPC'!BT24&lt;'Equity Vol'!$R$3,"n/a",'Capital IQ Sheet-GPC'!BT24))</f>
        <v>0.6748916162350671</v>
      </c>
      <c r="F22" s="2070">
        <f>IF('Capital IQ Sheet-GPC'!BU24&gt;'Equity Vol'!$P$3,"n/a",IF('Capital IQ Sheet-GPC'!BU24&lt;'Equity Vol'!$R$3,"n/a",'Capital IQ Sheet-GPC'!BU24))</f>
        <v>0.8020029159787504</v>
      </c>
      <c r="G22" s="2070">
        <f>IF('Capital IQ Sheet-GPC'!BV24&gt;'Equity Vol'!$P$3,"n/a",IF('Capital IQ Sheet-GPC'!BV24&lt;'Equity Vol'!$R$3,"n/a",'Capital IQ Sheet-GPC'!BV24))</f>
        <v>0.82195391684459584</v>
      </c>
      <c r="H22" s="2070">
        <f>IF('Capital IQ Sheet-GPC'!BW24&gt;'Equity Vol'!$P$3,"n/a",IF('Capital IQ Sheet-GPC'!BW24&lt;'Equity Vol'!$R$3,"n/a",'Capital IQ Sheet-GPC'!BW24))</f>
        <v>0.90147438590513396</v>
      </c>
      <c r="I22" s="2071">
        <f t="shared" si="8"/>
        <v>0.90147438590513396</v>
      </c>
      <c r="J22" s="2071">
        <f t="shared" si="8"/>
        <v>0.90147438590513396</v>
      </c>
      <c r="K22" s="2071">
        <f t="shared" si="8"/>
        <v>0.90147438590513396</v>
      </c>
      <c r="M22" s="815" t="str">
        <f>'Asset Vol_PWERM'!AA21</f>
        <v>NasdaqGM:CRBP</v>
      </c>
      <c r="O22" s="1264">
        <f>'Capital IQ Sheet-GPC'!G24</f>
        <v>41939</v>
      </c>
    </row>
    <row r="23" spans="2:15" ht="14.85" customHeight="1">
      <c r="B23" s="1002" t="str">
        <f>'Comp.1'!B23</f>
        <v>GlycoMimetics, Inc.</v>
      </c>
      <c r="C23" s="1002"/>
      <c r="D23" s="2070">
        <f>IF('Capital IQ Sheet-GPC'!BS25&gt;'Equity Vol'!$P$3,"n/a",IF('Capital IQ Sheet-GPC'!BS25&lt;'Equity Vol'!$R$3,"n/a",'Capital IQ Sheet-GPC'!BS25))</f>
        <v>0.59298257511127617</v>
      </c>
      <c r="E23" s="2070">
        <f>IF('Capital IQ Sheet-GPC'!BT25&gt;'Equity Vol'!$P$3,"n/a",IF('Capital IQ Sheet-GPC'!BT25&lt;'Equity Vol'!$R$3,"n/a",'Capital IQ Sheet-GPC'!BT25))</f>
        <v>0.81863428009693251</v>
      </c>
      <c r="F23" s="2070">
        <f>IF('Capital IQ Sheet-GPC'!BU25&gt;'Equity Vol'!$P$3,"n/a",IF('Capital IQ Sheet-GPC'!BU25&lt;'Equity Vol'!$R$3,"n/a",'Capital IQ Sheet-GPC'!BU25))</f>
        <v>0.75849447476702381</v>
      </c>
      <c r="G23" s="2070">
        <f>IF('Capital IQ Sheet-GPC'!BV25&gt;'Equity Vol'!$P$3,"n/a",IF('Capital IQ Sheet-GPC'!BV25&lt;'Equity Vol'!$R$3,"n/a",'Capital IQ Sheet-GPC'!BV25))</f>
        <v>0.69953280830101872</v>
      </c>
      <c r="H23" s="2070">
        <f>IF('Capital IQ Sheet-GPC'!BW25&gt;'Equity Vol'!$P$3,"n/a",IF('Capital IQ Sheet-GPC'!BW25&lt;'Equity Vol'!$R$3,"n/a",'Capital IQ Sheet-GPC'!BW25))</f>
        <v>0.70084150334510786</v>
      </c>
      <c r="I23" s="2070">
        <f>IF('Capital IQ Sheet-GPC'!BX25&gt;'Equity Vol'!$P$3,"n/a",IF('Capital IQ Sheet-GPC'!BX25&lt;'Equity Vol'!$R$3,"n/a",'Capital IQ Sheet-GPC'!BX25))</f>
        <v>0.70421940975924457</v>
      </c>
      <c r="J23" s="2071">
        <f t="shared" si="8"/>
        <v>0.70421940975924457</v>
      </c>
      <c r="K23" s="2071">
        <f t="shared" si="8"/>
        <v>0.70421940975924457</v>
      </c>
      <c r="M23" s="815" t="str">
        <f>'Asset Vol_PWERM'!AA22</f>
        <v>NasdaqGM:GLYC</v>
      </c>
      <c r="O23" s="1264">
        <f>'Capital IQ Sheet-GPC'!G25</f>
        <v>41649</v>
      </c>
    </row>
    <row r="24" spans="2:15" ht="14.85" customHeight="1">
      <c r="B24" s="1002" t="str">
        <f>'Comp.1'!B24</f>
        <v>LogicBio Therapeutics, Inc.</v>
      </c>
      <c r="C24" s="1002"/>
      <c r="D24" s="2072" t="s">
        <v>765</v>
      </c>
      <c r="E24" s="2072" t="str">
        <f t="shared" ref="E24:K24" si="10">D24</f>
        <v>NM</v>
      </c>
      <c r="F24" s="2072" t="str">
        <f t="shared" si="10"/>
        <v>NM</v>
      </c>
      <c r="G24" s="2072" t="str">
        <f t="shared" si="10"/>
        <v>NM</v>
      </c>
      <c r="H24" s="2072" t="str">
        <f t="shared" si="10"/>
        <v>NM</v>
      </c>
      <c r="I24" s="2072" t="str">
        <f t="shared" si="10"/>
        <v>NM</v>
      </c>
      <c r="J24" s="2072" t="str">
        <f t="shared" si="10"/>
        <v>NM</v>
      </c>
      <c r="K24" s="2072" t="str">
        <f t="shared" si="10"/>
        <v>NM</v>
      </c>
      <c r="M24" s="815" t="str">
        <f>'Asset Vol_PWERM'!AA23</f>
        <v>NasdaqGM:LOGC</v>
      </c>
      <c r="O24" s="1264">
        <f>'Capital IQ Sheet-GPC'!G26</f>
        <v>43392</v>
      </c>
    </row>
    <row r="25" spans="2:15" ht="14.85" customHeight="1">
      <c r="B25" s="1002" t="str">
        <f>'Comp.1'!B25</f>
        <v>Arbutus Biopharma Corporation</v>
      </c>
      <c r="C25" s="1002"/>
      <c r="D25" s="2070">
        <f>IF('Capital IQ Sheet-GPC'!BS27&gt;'Equity Vol'!$P$3,"n/a",IF('Capital IQ Sheet-GPC'!BS27&lt;'Equity Vol'!$R$3,"n/a",'Capital IQ Sheet-GPC'!BS27))</f>
        <v>0.92326799640435764</v>
      </c>
      <c r="E25" s="2070">
        <f>IF('Capital IQ Sheet-GPC'!BT27&gt;'Equity Vol'!$P$3,"n/a",IF('Capital IQ Sheet-GPC'!BT27&lt;'Equity Vol'!$R$3,"n/a",'Capital IQ Sheet-GPC'!BT27))</f>
        <v>0.78028811938036324</v>
      </c>
      <c r="F25" s="2070">
        <f>IF('Capital IQ Sheet-GPC'!BU27&gt;'Equity Vol'!$P$3,"n/a",IF('Capital IQ Sheet-GPC'!BU27&lt;'Equity Vol'!$R$3,"n/a",'Capital IQ Sheet-GPC'!BU27))</f>
        <v>0.71784148374896406</v>
      </c>
      <c r="G25" s="2070">
        <f>IF('Capital IQ Sheet-GPC'!BV27&gt;'Equity Vol'!$P$3,"n/a",IF('Capital IQ Sheet-GPC'!BV27&lt;'Equity Vol'!$R$3,"n/a",'Capital IQ Sheet-GPC'!BV27))</f>
        <v>0.67684767311578031</v>
      </c>
      <c r="H25" s="2070">
        <f>IF('Capital IQ Sheet-GPC'!BW27&gt;'Equity Vol'!$P$3,"n/a",IF('Capital IQ Sheet-GPC'!BW27&lt;'Equity Vol'!$R$3,"n/a",'Capital IQ Sheet-GPC'!BW27))</f>
        <v>0.79555038982014692</v>
      </c>
      <c r="I25" s="2070">
        <f>IF('Capital IQ Sheet-GPC'!BX27&gt;'Equity Vol'!$P$3,"n/a",IF('Capital IQ Sheet-GPC'!BX27&lt;'Equity Vol'!$R$3,"n/a",'Capital IQ Sheet-GPC'!BX27))</f>
        <v>0.76394436602003879</v>
      </c>
      <c r="J25" s="2070">
        <f>IF('Capital IQ Sheet-GPC'!BY27&gt;'Equity Vol'!$P$3,"n/a",IF('Capital IQ Sheet-GPC'!BY27&lt;'Equity Vol'!$R$3,"n/a",'Capital IQ Sheet-GPC'!BY27))</f>
        <v>0.75763066644485699</v>
      </c>
      <c r="K25" s="2070">
        <f>IF('Capital IQ Sheet-GPC'!BZ27&gt;'Equity Vol'!$P$3,"n/a",IF('Capital IQ Sheet-GPC'!BZ27&lt;'Equity Vol'!$R$3,"n/a",'Capital IQ Sheet-GPC'!BZ27))</f>
        <v>0.74800084461626937</v>
      </c>
      <c r="M25" s="815" t="str">
        <f>'Asset Vol_PWERM'!AA24</f>
        <v>NasdaqGS:ABUS</v>
      </c>
      <c r="O25" s="1264">
        <f>'Capital IQ Sheet-GPC'!G27</f>
        <v>40497</v>
      </c>
    </row>
    <row r="26" spans="2:15" ht="14.85" customHeight="1">
      <c r="B26" s="1002" t="str">
        <f>'Comp.1'!B26</f>
        <v>Voyager Therapeutics, Inc.</v>
      </c>
      <c r="C26" s="1002"/>
      <c r="D26" s="2070">
        <f>IF('Capital IQ Sheet-GPC'!BS28&gt;'Equity Vol'!$P$3,"n/a",IF('Capital IQ Sheet-GPC'!BS28&lt;'Equity Vol'!$R$3,"n/a",'Capital IQ Sheet-GPC'!BS28))</f>
        <v>0.75903735255635152</v>
      </c>
      <c r="E26" s="2070">
        <f>IF('Capital IQ Sheet-GPC'!BT28&gt;'Equity Vol'!$P$3,"n/a",IF('Capital IQ Sheet-GPC'!BT28&lt;'Equity Vol'!$R$3,"n/a",'Capital IQ Sheet-GPC'!BT28))</f>
        <v>0.75170905184037895</v>
      </c>
      <c r="F26" s="2070">
        <f>IF('Capital IQ Sheet-GPC'!BU28&gt;'Equity Vol'!$P$3,"n/a",IF('Capital IQ Sheet-GPC'!BU28&lt;'Equity Vol'!$R$3,"n/a",'Capital IQ Sheet-GPC'!BU28))</f>
        <v>0.72546741238615475</v>
      </c>
      <c r="G26" s="2070">
        <f>IF('Capital IQ Sheet-GPC'!BV28&gt;'Equity Vol'!$P$3,"n/a",IF('Capital IQ Sheet-GPC'!BV28&lt;'Equity Vol'!$R$3,"n/a",'Capital IQ Sheet-GPC'!BV28))</f>
        <v>0.74305494919301052</v>
      </c>
      <c r="H26" s="2071">
        <f t="shared" ref="H26:K26" si="11">G26</f>
        <v>0.74305494919301052</v>
      </c>
      <c r="I26" s="2071">
        <f t="shared" si="11"/>
        <v>0.74305494919301052</v>
      </c>
      <c r="J26" s="2071">
        <f t="shared" si="11"/>
        <v>0.74305494919301052</v>
      </c>
      <c r="K26" s="2071">
        <f t="shared" si="11"/>
        <v>0.74305494919301052</v>
      </c>
      <c r="M26" s="815" t="str">
        <f>'Asset Vol_PWERM'!AA25</f>
        <v>NasdaqGS:VYGR</v>
      </c>
      <c r="O26" s="1264">
        <f>'Capital IQ Sheet-GPC'!G28</f>
        <v>42319</v>
      </c>
    </row>
    <row r="27" spans="2:15" ht="14.85" customHeight="1">
      <c r="B27" s="1002" t="str">
        <f>'Comp.1'!B27</f>
        <v>La Jolla Pharmaceutical Company</v>
      </c>
      <c r="C27" s="1002"/>
      <c r="D27" s="2070">
        <f>IF('Capital IQ Sheet-GPC'!BS29&gt;'Equity Vol'!$P$3,"n/a",IF('Capital IQ Sheet-GPC'!BS29&lt;'Equity Vol'!$R$3,"n/a",'Capital IQ Sheet-GPC'!BS29))</f>
        <v>0.96015844939375949</v>
      </c>
      <c r="E27" s="2070">
        <f>IF('Capital IQ Sheet-GPC'!BT29&gt;'Equity Vol'!$P$3,"n/a",IF('Capital IQ Sheet-GPC'!BT29&lt;'Equity Vol'!$R$3,"n/a",'Capital IQ Sheet-GPC'!BT29))</f>
        <v>0.89691591389580794</v>
      </c>
      <c r="F27" s="2070">
        <f>IF('Capital IQ Sheet-GPC'!BU29&gt;'Equity Vol'!$P$3,"n/a",IF('Capital IQ Sheet-GPC'!BU29&lt;'Equity Vol'!$R$3,"n/a",'Capital IQ Sheet-GPC'!BU29))</f>
        <v>0.83012698647985494</v>
      </c>
      <c r="G27" s="2070">
        <f>IF('Capital IQ Sheet-GPC'!BV29&gt;'Equity Vol'!$P$3,"n/a",IF('Capital IQ Sheet-GPC'!BV29&lt;'Equity Vol'!$R$3,"n/a",'Capital IQ Sheet-GPC'!BV29))</f>
        <v>0.8332343854173021</v>
      </c>
      <c r="H27" s="2070">
        <f>IF('Capital IQ Sheet-GPC'!BW29&gt;'Equity Vol'!$P$3,"n/a",IF('Capital IQ Sheet-GPC'!BW29&lt;'Equity Vol'!$R$3,"n/a",'Capital IQ Sheet-GPC'!BW29))</f>
        <v>0.86113120281070321</v>
      </c>
      <c r="I27" s="2070">
        <f>IF('Capital IQ Sheet-GPC'!BX29&gt;'Equity Vol'!$P$3,"n/a",IF('Capital IQ Sheet-GPC'!BX29&lt;'Equity Vol'!$R$3,"n/a",'Capital IQ Sheet-GPC'!BX29))</f>
        <v>0.92583323557468966</v>
      </c>
      <c r="J27" s="2070">
        <f>IF('Capital IQ Sheet-GPC'!BY29&gt;'Equity Vol'!$P$3,"n/a",IF('Capital IQ Sheet-GPC'!BY29&lt;'Equity Vol'!$R$3,"n/a",'Capital IQ Sheet-GPC'!BY29))</f>
        <v>1.3125893344937063</v>
      </c>
      <c r="K27" s="2070" t="str">
        <f>IF('Capital IQ Sheet-GPC'!BZ29&gt;'Equity Vol'!$P$3,"n/a",IF('Capital IQ Sheet-GPC'!BZ29&lt;'Equity Vol'!$R$3,"n/a",'Capital IQ Sheet-GPC'!BZ29))</f>
        <v>n/a</v>
      </c>
      <c r="M27" s="815" t="str">
        <f>'Asset Vol_PWERM'!AA26</f>
        <v>NasdaqCM:LJPC</v>
      </c>
      <c r="O27" s="1264">
        <f>'Capital IQ Sheet-GPC'!G29</f>
        <v>34488</v>
      </c>
    </row>
    <row r="28" spans="2:15" ht="14.85" customHeight="1">
      <c r="B28" s="1002" t="str">
        <f>'Comp.1'!B28</f>
        <v>Protagonist Therapeutics, Inc.</v>
      </c>
      <c r="C28" s="1002"/>
      <c r="D28" s="2070">
        <f>IF('Capital IQ Sheet-GPC'!BS30&gt;'Equity Vol'!$P$3,"n/a",IF('Capital IQ Sheet-GPC'!BS30&lt;'Equity Vol'!$R$3,"n/a",'Capital IQ Sheet-GPC'!BS30))</f>
        <v>1.1866317083427274</v>
      </c>
      <c r="E28" s="2070">
        <f>IF('Capital IQ Sheet-GPC'!BT30&gt;'Equity Vol'!$P$3,"n/a",IF('Capital IQ Sheet-GPC'!BT30&lt;'Equity Vol'!$R$3,"n/a",'Capital IQ Sheet-GPC'!BT30))</f>
        <v>0.9785041500826186</v>
      </c>
      <c r="F28" s="2070">
        <f>IF('Capital IQ Sheet-GPC'!BU30&gt;'Equity Vol'!$P$3,"n/a",IF('Capital IQ Sheet-GPC'!BU30&lt;'Equity Vol'!$R$3,"n/a",'Capital IQ Sheet-GPC'!BU30))</f>
        <v>0.91520299544650408</v>
      </c>
      <c r="G28" s="2071">
        <f t="shared" ref="G28:K28" si="12">F28</f>
        <v>0.91520299544650408</v>
      </c>
      <c r="H28" s="2071">
        <f t="shared" si="12"/>
        <v>0.91520299544650408</v>
      </c>
      <c r="I28" s="2071">
        <f t="shared" si="12"/>
        <v>0.91520299544650408</v>
      </c>
      <c r="J28" s="2071">
        <f t="shared" si="12"/>
        <v>0.91520299544650408</v>
      </c>
      <c r="K28" s="2071">
        <f t="shared" si="12"/>
        <v>0.91520299544650408</v>
      </c>
      <c r="M28" s="815" t="str">
        <f>'Asset Vol_PWERM'!AA27</f>
        <v>NasdaqGM:PTGX</v>
      </c>
      <c r="O28" s="1264">
        <f>'Capital IQ Sheet-GPC'!G30</f>
        <v>42593</v>
      </c>
    </row>
    <row r="29" spans="2:15" ht="14.85" customHeight="1">
      <c r="B29" s="1002" t="str">
        <f>'Comp.1'!B29</f>
        <v>Fibrocell Science, Inc.</v>
      </c>
      <c r="C29" s="1002"/>
      <c r="D29" s="2070">
        <f>IF('Capital IQ Sheet-GPC'!BS31&gt;'Equity Vol'!$P$3,"n/a",IF('Capital IQ Sheet-GPC'!BS31&lt;'Equity Vol'!$R$3,"n/a",'Capital IQ Sheet-GPC'!BS31))</f>
        <v>0.86469838218025463</v>
      </c>
      <c r="E29" s="2070">
        <f>IF('Capital IQ Sheet-GPC'!BT31&gt;'Equity Vol'!$P$3,"n/a",IF('Capital IQ Sheet-GPC'!BT31&lt;'Equity Vol'!$R$3,"n/a",'Capital IQ Sheet-GPC'!BT31))</f>
        <v>0.88336531692825482</v>
      </c>
      <c r="F29" s="2070">
        <f>IF('Capital IQ Sheet-GPC'!BU31&gt;'Equity Vol'!$P$3,"n/a",IF('Capital IQ Sheet-GPC'!BU31&lt;'Equity Vol'!$R$3,"n/a",'Capital IQ Sheet-GPC'!BU31))</f>
        <v>0.92725005077133138</v>
      </c>
      <c r="G29" s="2070">
        <f>IF('Capital IQ Sheet-GPC'!BV31&gt;'Equity Vol'!$P$3,"n/a",IF('Capital IQ Sheet-GPC'!BV31&lt;'Equity Vol'!$R$3,"n/a",'Capital IQ Sheet-GPC'!BV31))</f>
        <v>0.91248999315047907</v>
      </c>
      <c r="H29" s="2070">
        <f>IF('Capital IQ Sheet-GPC'!BW31&gt;'Equity Vol'!$P$3,"n/a",IF('Capital IQ Sheet-GPC'!BW31&lt;'Equity Vol'!$R$3,"n/a",'Capital IQ Sheet-GPC'!BW31))</f>
        <v>0.88871910618520333</v>
      </c>
      <c r="I29" s="2070">
        <f>IF('Capital IQ Sheet-GPC'!BX31&gt;'Equity Vol'!$P$3,"n/a",IF('Capital IQ Sheet-GPC'!BX31&lt;'Equity Vol'!$R$3,"n/a",'Capital IQ Sheet-GPC'!BX31))</f>
        <v>0.8529122500226376</v>
      </c>
      <c r="J29" s="2070">
        <f>IF('Capital IQ Sheet-GPC'!BY31&gt;'Equity Vol'!$P$3,"n/a",IF('Capital IQ Sheet-GPC'!BY31&lt;'Equity Vol'!$R$3,"n/a",'Capital IQ Sheet-GPC'!BY31))</f>
        <v>0.99384144123167484</v>
      </c>
      <c r="K29" s="2070">
        <f>IF('Capital IQ Sheet-GPC'!BZ31&gt;'Equity Vol'!$P$3,"n/a",IF('Capital IQ Sheet-GPC'!BZ31&lt;'Equity Vol'!$R$3,"n/a",'Capital IQ Sheet-GPC'!BZ31))</f>
        <v>0.97429795321752155</v>
      </c>
      <c r="M29" s="815" t="str">
        <f>'Asset Vol_PWERM'!AA28</f>
        <v>NasdaqCM:FCSC</v>
      </c>
      <c r="O29" s="1264">
        <f>'Capital IQ Sheet-GPC'!G31</f>
        <v>40088</v>
      </c>
    </row>
    <row r="30" spans="2:15" ht="14.85" customHeight="1">
      <c r="B30" s="1002"/>
      <c r="C30" s="1002"/>
      <c r="D30" s="2070"/>
      <c r="E30" s="2070"/>
      <c r="F30" s="2070"/>
      <c r="G30" s="2070"/>
      <c r="H30" s="2070"/>
      <c r="I30" s="2070"/>
      <c r="J30" s="2070"/>
      <c r="K30" s="2070"/>
      <c r="M30" s="815"/>
      <c r="O30" s="1264"/>
    </row>
    <row r="31" spans="2:15" ht="14.85" customHeight="1">
      <c r="B31" s="1918" t="str">
        <f>'Comp.1'!B31</f>
        <v>CRISPR/Cas9</v>
      </c>
      <c r="C31" s="1002"/>
      <c r="D31" s="2070"/>
      <c r="E31" s="2070"/>
      <c r="F31" s="2070"/>
      <c r="G31" s="2070"/>
      <c r="H31" s="2070"/>
      <c r="I31" s="2070"/>
      <c r="J31" s="2070"/>
      <c r="K31" s="2070"/>
      <c r="M31" s="815"/>
      <c r="O31" s="1264"/>
    </row>
    <row r="32" spans="2:15" ht="14.85" customHeight="1">
      <c r="B32" s="1002" t="str">
        <f>'Comp.1'!B32</f>
        <v>CRISPR Therapeutics AG</v>
      </c>
      <c r="C32" s="1002"/>
      <c r="D32" s="2070">
        <f>IF('Capital IQ Sheet-GPC'!BS33&gt;'Equity Vol'!$P$3,"n/a",IF('Capital IQ Sheet-GPC'!BS33&lt;'Equity Vol'!$R$3,"n/a",'Capital IQ Sheet-GPC'!BS33))</f>
        <v>0.7549114113841694</v>
      </c>
      <c r="E32" s="2070">
        <f>IF('Capital IQ Sheet-GPC'!BT33&gt;'Equity Vol'!$P$3,"n/a",IF('Capital IQ Sheet-GPC'!BT33&lt;'Equity Vol'!$R$3,"n/a",'Capital IQ Sheet-GPC'!BT33))</f>
        <v>0.69448805510556844</v>
      </c>
      <c r="F32" s="2070">
        <f>IF('Capital IQ Sheet-GPC'!BU33&gt;'Equity Vol'!$P$3,"n/a",IF('Capital IQ Sheet-GPC'!BU33&lt;'Equity Vol'!$R$3,"n/a",'Capital IQ Sheet-GPC'!BU33))</f>
        <v>0.70462779949123155</v>
      </c>
      <c r="G32" s="2071">
        <f t="shared" ref="G32:K32" si="13">F32</f>
        <v>0.70462779949123155</v>
      </c>
      <c r="H32" s="2071">
        <f t="shared" si="13"/>
        <v>0.70462779949123155</v>
      </c>
      <c r="I32" s="2071">
        <f t="shared" si="13"/>
        <v>0.70462779949123155</v>
      </c>
      <c r="J32" s="2071">
        <f t="shared" si="13"/>
        <v>0.70462779949123155</v>
      </c>
      <c r="K32" s="2071">
        <f t="shared" si="13"/>
        <v>0.70462779949123155</v>
      </c>
      <c r="M32" s="815" t="str">
        <f>'Asset Vol_PWERM'!AA31</f>
        <v>NasdaqGM:CRSP</v>
      </c>
      <c r="O32" s="1264">
        <f>'Capital IQ Sheet-GPC'!G33</f>
        <v>42662</v>
      </c>
    </row>
    <row r="33" spans="1:15" ht="14.85" customHeight="1">
      <c r="B33" s="1002" t="str">
        <f>'Comp.1'!B33</f>
        <v>Editas Medicine, Inc.</v>
      </c>
      <c r="C33" s="1002"/>
      <c r="D33" s="2070">
        <f>IF('Capital IQ Sheet-GPC'!BS34&gt;'Equity Vol'!$P$3,"n/a",IF('Capital IQ Sheet-GPC'!BS34&lt;'Equity Vol'!$R$3,"n/a",'Capital IQ Sheet-GPC'!BS34))</f>
        <v>0.66939621536028371</v>
      </c>
      <c r="E33" s="2070">
        <f>IF('Capital IQ Sheet-GPC'!BT34&gt;'Equity Vol'!$P$3,"n/a",IF('Capital IQ Sheet-GPC'!BT34&lt;'Equity Vol'!$R$3,"n/a",'Capital IQ Sheet-GPC'!BT34))</f>
        <v>0.71472719223896919</v>
      </c>
      <c r="F33" s="2070">
        <f>IF('Capital IQ Sheet-GPC'!BU34&gt;'Equity Vol'!$P$3,"n/a",IF('Capital IQ Sheet-GPC'!BU34&lt;'Equity Vol'!$R$3,"n/a",'Capital IQ Sheet-GPC'!BU34))</f>
        <v>0.76544326890760306</v>
      </c>
      <c r="G33" s="2071">
        <f t="shared" ref="G33:K33" si="14">F33</f>
        <v>0.76544326890760306</v>
      </c>
      <c r="H33" s="2071">
        <f t="shared" si="14"/>
        <v>0.76544326890760306</v>
      </c>
      <c r="I33" s="2071">
        <f t="shared" si="14"/>
        <v>0.76544326890760306</v>
      </c>
      <c r="J33" s="2071">
        <f t="shared" si="14"/>
        <v>0.76544326890760306</v>
      </c>
      <c r="K33" s="2071">
        <f t="shared" si="14"/>
        <v>0.76544326890760306</v>
      </c>
      <c r="M33" s="815" t="str">
        <f>'Asset Vol_PWERM'!AA32</f>
        <v>NasdaqGS:EDIT</v>
      </c>
      <c r="O33" s="1264">
        <f>'Capital IQ Sheet-GPC'!G34</f>
        <v>42403</v>
      </c>
    </row>
    <row r="34" spans="1:15" ht="14.85" customHeight="1">
      <c r="B34" s="1002" t="str">
        <f>'Comp.1'!B34</f>
        <v>Intellia Therapeutics, Inc.</v>
      </c>
      <c r="C34" s="1002"/>
      <c r="D34" s="2070">
        <f>IF('Capital IQ Sheet-GPC'!BS35&gt;'Equity Vol'!$P$3,"n/a",IF('Capital IQ Sheet-GPC'!BS35&lt;'Equity Vol'!$R$3,"n/a",'Capital IQ Sheet-GPC'!BS35))</f>
        <v>0.74149168668740961</v>
      </c>
      <c r="E34" s="2070">
        <f>IF('Capital IQ Sheet-GPC'!BT35&gt;'Equity Vol'!$P$3,"n/a",IF('Capital IQ Sheet-GPC'!BT35&lt;'Equity Vol'!$R$3,"n/a",'Capital IQ Sheet-GPC'!BT35))</f>
        <v>0.74114018699687567</v>
      </c>
      <c r="F34" s="2070">
        <f>IF('Capital IQ Sheet-GPC'!BU35&gt;'Equity Vol'!$P$3,"n/a",IF('Capital IQ Sheet-GPC'!BU35&lt;'Equity Vol'!$R$3,"n/a",'Capital IQ Sheet-GPC'!BU35))</f>
        <v>0.72806937672607763</v>
      </c>
      <c r="G34" s="2071">
        <f t="shared" ref="G34:K34" si="15">F34</f>
        <v>0.72806937672607763</v>
      </c>
      <c r="H34" s="2071">
        <f t="shared" si="15"/>
        <v>0.72806937672607763</v>
      </c>
      <c r="I34" s="2071">
        <f t="shared" si="15"/>
        <v>0.72806937672607763</v>
      </c>
      <c r="J34" s="2071">
        <f t="shared" si="15"/>
        <v>0.72806937672607763</v>
      </c>
      <c r="K34" s="2071">
        <f t="shared" si="15"/>
        <v>0.72806937672607763</v>
      </c>
      <c r="M34" s="815" t="str">
        <f>'Asset Vol_PWERM'!AA33</f>
        <v>NasdaqGM:NTLA</v>
      </c>
      <c r="O34" s="1264">
        <f>'Capital IQ Sheet-GPC'!G35</f>
        <v>42496</v>
      </c>
    </row>
    <row r="35" spans="1:15" ht="14.85" customHeight="1">
      <c r="B35" s="1002" t="str">
        <f>'Comp.1'!B35</f>
        <v>Abeona Therapeutics Inc.</v>
      </c>
      <c r="C35" s="1002"/>
      <c r="D35" s="2070">
        <f>IF('Capital IQ Sheet-GPC'!BS36&gt;'Equity Vol'!$P$3,"n/a",IF('Capital IQ Sheet-GPC'!BS36&lt;'Equity Vol'!$R$3,"n/a",'Capital IQ Sheet-GPC'!BS36))</f>
        <v>0.78494464793871888</v>
      </c>
      <c r="E35" s="2070">
        <f>IF('Capital IQ Sheet-GPC'!BT36&gt;'Equity Vol'!$P$3,"n/a",IF('Capital IQ Sheet-GPC'!BT36&lt;'Equity Vol'!$R$3,"n/a",'Capital IQ Sheet-GPC'!BT36))</f>
        <v>0.77912879298972271</v>
      </c>
      <c r="F35" s="2070">
        <f>IF('Capital IQ Sheet-GPC'!BU36&gt;'Equity Vol'!$P$3,"n/a",IF('Capital IQ Sheet-GPC'!BU36&lt;'Equity Vol'!$R$3,"n/a",'Capital IQ Sheet-GPC'!BU36))</f>
        <v>0.76863186184610754</v>
      </c>
      <c r="G35" s="2070">
        <f>IF('Capital IQ Sheet-GPC'!BV36&gt;'Equity Vol'!$P$3,"n/a",IF('Capital IQ Sheet-GPC'!BV36&lt;'Equity Vol'!$R$3,"n/a",'Capital IQ Sheet-GPC'!BV36))</f>
        <v>0.8803241164043264</v>
      </c>
      <c r="H35" s="2070">
        <f>IF('Capital IQ Sheet-GPC'!BW36&gt;'Equity Vol'!$P$3,"n/a",IF('Capital IQ Sheet-GPC'!BW36&lt;'Equity Vol'!$R$3,"n/a",'Capital IQ Sheet-GPC'!BW36))</f>
        <v>0.90924925730613859</v>
      </c>
      <c r="I35" s="2070">
        <f>IF('Capital IQ Sheet-GPC'!BX36&gt;'Equity Vol'!$P$3,"n/a",IF('Capital IQ Sheet-GPC'!BX36&lt;'Equity Vol'!$R$3,"n/a",'Capital IQ Sheet-GPC'!BX36))</f>
        <v>0.92608171202320422</v>
      </c>
      <c r="J35" s="2070">
        <f>IF('Capital IQ Sheet-GPC'!BY36&gt;'Equity Vol'!$P$3,"n/a",IF('Capital IQ Sheet-GPC'!BY36&lt;'Equity Vol'!$R$3,"n/a",'Capital IQ Sheet-GPC'!BY36))</f>
        <v>1.0060614006443884</v>
      </c>
      <c r="K35" s="2070">
        <f>IF('Capital IQ Sheet-GPC'!BZ36&gt;'Equity Vol'!$P$3,"n/a",IF('Capital IQ Sheet-GPC'!BZ36&lt;'Equity Vol'!$R$3,"n/a",'Capital IQ Sheet-GPC'!BZ36))</f>
        <v>0.96295477099377902</v>
      </c>
      <c r="M35" s="815" t="str">
        <f>'Asset Vol_PWERM'!AA34</f>
        <v>NasdaqCM:ABEO</v>
      </c>
      <c r="O35" s="1264">
        <f>'Capital IQ Sheet-GPC'!G36</f>
        <v>35090</v>
      </c>
    </row>
    <row r="36" spans="1:15" ht="14.85" customHeight="1">
      <c r="D36" s="390"/>
      <c r="E36" s="390"/>
      <c r="F36" s="390"/>
      <c r="G36" s="390"/>
      <c r="H36" s="390"/>
      <c r="I36" s="390"/>
      <c r="J36" s="390"/>
      <c r="K36" s="390"/>
      <c r="M36" s="815"/>
    </row>
    <row r="37" spans="1:15" ht="14.85" customHeight="1">
      <c r="B37" s="2073" t="s">
        <v>111</v>
      </c>
      <c r="C37" s="2074"/>
      <c r="D37" s="2075">
        <f t="shared" ref="D37:K37" si="16">MAX(D11:D35)</f>
        <v>1.1866317083427274</v>
      </c>
      <c r="E37" s="2075">
        <f t="shared" si="16"/>
        <v>0.9785041500826186</v>
      </c>
      <c r="F37" s="2075">
        <f t="shared" si="16"/>
        <v>0.92725005077133138</v>
      </c>
      <c r="G37" s="2075">
        <f t="shared" si="16"/>
        <v>0.91520299544650408</v>
      </c>
      <c r="H37" s="2075">
        <f t="shared" si="16"/>
        <v>0.91520299544650408</v>
      </c>
      <c r="I37" s="2075">
        <f t="shared" si="16"/>
        <v>0.92608171202320422</v>
      </c>
      <c r="J37" s="2075">
        <f t="shared" si="16"/>
        <v>1.3125893344937063</v>
      </c>
      <c r="K37" s="2076">
        <f t="shared" si="16"/>
        <v>0.97429795321752155</v>
      </c>
    </row>
    <row r="38" spans="1:15" ht="14.85" customHeight="1">
      <c r="B38" s="2077" t="s">
        <v>115</v>
      </c>
      <c r="C38" s="2078"/>
      <c r="D38" s="2079">
        <f t="shared" ref="D38:K38" si="17">QUARTILE(D11:D35,3)</f>
        <v>0.78494464793871888</v>
      </c>
      <c r="E38" s="2079">
        <f t="shared" si="17"/>
        <v>0.78028811938036324</v>
      </c>
      <c r="F38" s="2079">
        <f t="shared" si="17"/>
        <v>0.76863186184610754</v>
      </c>
      <c r="G38" s="2079">
        <f t="shared" si="17"/>
        <v>0.79008025868768383</v>
      </c>
      <c r="H38" s="2079">
        <f t="shared" si="17"/>
        <v>0.79555038982014692</v>
      </c>
      <c r="I38" s="2079">
        <f t="shared" si="17"/>
        <v>0.77604783372898034</v>
      </c>
      <c r="J38" s="2079">
        <f t="shared" si="17"/>
        <v>0.77604783372898034</v>
      </c>
      <c r="K38" s="2080">
        <f t="shared" si="17"/>
        <v>0.76809441011294743</v>
      </c>
    </row>
    <row r="39" spans="1:15" ht="14.85" customHeight="1">
      <c r="B39" s="2077" t="s">
        <v>113</v>
      </c>
      <c r="C39" s="2078"/>
      <c r="D39" s="2079">
        <f t="shared" ref="D39:K39" si="18">AVERAGE(D11:D35)</f>
        <v>0.73205660602890199</v>
      </c>
      <c r="E39" s="2079">
        <f t="shared" si="18"/>
        <v>0.71639622838754036</v>
      </c>
      <c r="F39" s="2079">
        <f t="shared" si="18"/>
        <v>0.72362446887401544</v>
      </c>
      <c r="G39" s="2079">
        <f t="shared" si="18"/>
        <v>0.73111484375954172</v>
      </c>
      <c r="H39" s="2079">
        <f t="shared" si="18"/>
        <v>0.74336861144207744</v>
      </c>
      <c r="I39" s="2079">
        <f t="shared" si="18"/>
        <v>0.74305539419715694</v>
      </c>
      <c r="J39" s="2079">
        <f t="shared" si="18"/>
        <v>0.77033822057841117</v>
      </c>
      <c r="K39" s="2080">
        <f t="shared" si="18"/>
        <v>0.73933650677197638</v>
      </c>
    </row>
    <row r="40" spans="1:15" ht="14.85" customHeight="1">
      <c r="B40" s="2077" t="s">
        <v>44</v>
      </c>
      <c r="C40" s="2078"/>
      <c r="D40" s="2079">
        <f t="shared" ref="D40:K40" si="19">MEDIAN(D11:D35)</f>
        <v>0.71424690928758428</v>
      </c>
      <c r="E40" s="2079">
        <f t="shared" si="19"/>
        <v>0.71472719223896919</v>
      </c>
      <c r="F40" s="2079">
        <f t="shared" si="19"/>
        <v>0.72546741238615475</v>
      </c>
      <c r="G40" s="2079">
        <f t="shared" si="19"/>
        <v>0.72806937672607763</v>
      </c>
      <c r="H40" s="2079">
        <f t="shared" si="19"/>
        <v>0.74305494919301052</v>
      </c>
      <c r="I40" s="2079">
        <f t="shared" si="19"/>
        <v>0.74305494919301052</v>
      </c>
      <c r="J40" s="2079">
        <f t="shared" si="19"/>
        <v>0.72806937672607763</v>
      </c>
      <c r="K40" s="2080">
        <f t="shared" si="19"/>
        <v>0.72818764202741726</v>
      </c>
    </row>
    <row r="41" spans="1:15" ht="14.85" customHeight="1">
      <c r="B41" s="2077" t="s">
        <v>114</v>
      </c>
      <c r="C41" s="2078"/>
      <c r="D41" s="2079">
        <f t="shared" ref="D41:K41" si="20">QUARTILE(D11:D35,1)</f>
        <v>0.64210138454157772</v>
      </c>
      <c r="E41" s="2079">
        <f t="shared" si="20"/>
        <v>0.64539841996562952</v>
      </c>
      <c r="F41" s="2079">
        <f t="shared" si="20"/>
        <v>0.67870462913818252</v>
      </c>
      <c r="G41" s="2079">
        <f t="shared" si="20"/>
        <v>0.68241342423020646</v>
      </c>
      <c r="H41" s="2079">
        <f t="shared" si="20"/>
        <v>0.70084150334510786</v>
      </c>
      <c r="I41" s="2079">
        <f t="shared" si="20"/>
        <v>0.70421940975924457</v>
      </c>
      <c r="J41" s="2079">
        <f t="shared" si="20"/>
        <v>0.70421940975924457</v>
      </c>
      <c r="K41" s="2080">
        <f t="shared" si="20"/>
        <v>0.70116400588716665</v>
      </c>
    </row>
    <row r="42" spans="1:15" ht="14.85" customHeight="1">
      <c r="B42" s="1938" t="s">
        <v>112</v>
      </c>
      <c r="C42" s="2081"/>
      <c r="D42" s="2082">
        <f t="shared" ref="D42:K42" si="21">MIN(D11:D35)</f>
        <v>0.52450314924919583</v>
      </c>
      <c r="E42" s="2082">
        <f t="shared" si="21"/>
        <v>0.4634353984441596</v>
      </c>
      <c r="F42" s="2082">
        <f t="shared" si="21"/>
        <v>0.45368577964898188</v>
      </c>
      <c r="G42" s="2082">
        <f t="shared" si="21"/>
        <v>0.43862245376883774</v>
      </c>
      <c r="H42" s="2082">
        <f t="shared" si="21"/>
        <v>0.45976240890543452</v>
      </c>
      <c r="I42" s="2082">
        <f t="shared" si="21"/>
        <v>0.45860802875494028</v>
      </c>
      <c r="J42" s="2082">
        <f t="shared" si="21"/>
        <v>0.4528697950500134</v>
      </c>
      <c r="K42" s="2083">
        <f t="shared" si="21"/>
        <v>0.4608751263835219</v>
      </c>
    </row>
    <row r="43" spans="1:15" ht="14.85" customHeight="1"/>
    <row r="44" spans="1:15" ht="14.85" customHeight="1">
      <c r="B44" s="2084" t="s">
        <v>116</v>
      </c>
    </row>
    <row r="45" spans="1:15" ht="14.85" customHeight="1">
      <c r="B45" s="279"/>
    </row>
    <row r="46" spans="1:15" ht="14.85" customHeight="1">
      <c r="B46" s="2084" t="s">
        <v>86</v>
      </c>
    </row>
    <row r="47" spans="1:15" ht="30" customHeight="1">
      <c r="A47" s="1265" t="s">
        <v>250</v>
      </c>
      <c r="B47" s="2201" t="s">
        <v>2036</v>
      </c>
      <c r="C47" s="2201"/>
      <c r="D47" s="2201"/>
      <c r="E47" s="2201"/>
      <c r="F47" s="2201"/>
      <c r="G47" s="2201"/>
      <c r="H47" s="2201"/>
      <c r="I47" s="2201"/>
      <c r="J47" s="2201"/>
      <c r="K47" s="2201"/>
    </row>
    <row r="48" spans="1:15" ht="30" customHeight="1">
      <c r="A48" s="1265" t="s">
        <v>249</v>
      </c>
      <c r="B48" s="2198" t="s">
        <v>2037</v>
      </c>
      <c r="C48" s="2198"/>
      <c r="D48" s="2198"/>
      <c r="E48" s="2198"/>
      <c r="F48" s="2198"/>
      <c r="G48" s="2198"/>
      <c r="H48" s="2198"/>
      <c r="I48" s="2198"/>
      <c r="J48" s="2198"/>
      <c r="K48" s="2198"/>
    </row>
    <row r="49" spans="1:15" ht="14.85" customHeight="1">
      <c r="A49" s="280"/>
    </row>
    <row r="50" spans="1:15" s="270" customFormat="1" ht="14.85" customHeight="1">
      <c r="B50" s="1266" t="s">
        <v>119</v>
      </c>
      <c r="C50" s="1267"/>
      <c r="D50" s="1268" t="s">
        <v>120</v>
      </c>
      <c r="E50" s="1268" t="s">
        <v>121</v>
      </c>
      <c r="F50" s="1268" t="s">
        <v>122</v>
      </c>
      <c r="G50" s="1268" t="s">
        <v>123</v>
      </c>
      <c r="H50" s="1269" t="s">
        <v>124</v>
      </c>
      <c r="I50" s="1270"/>
      <c r="J50" s="1270"/>
      <c r="K50" s="1270"/>
      <c r="O50" s="1271"/>
    </row>
    <row r="51" spans="1:15" ht="14.85" customHeight="1"/>
    <row r="52" spans="1:15" ht="14.85" customHeight="1">
      <c r="D52" s="261">
        <f>SUM(D11:D13,D25:D31)</f>
        <v>6.2899703982389568</v>
      </c>
      <c r="E52" s="261">
        <f>SUM(E11:E13,E25:E31)</f>
        <v>5.8869729060711657</v>
      </c>
      <c r="F52" s="261">
        <f>SUM(F11:F13,F25:F31)</f>
        <v>5.8999990689026864</v>
      </c>
      <c r="G52" s="261">
        <f>SUM(G11:G13,G25:G31)</f>
        <v>5.8792870190234794</v>
      </c>
      <c r="H52" s="261">
        <f>SUM(H11:H13,H25:H31)</f>
        <v>6.0481857517650042</v>
      </c>
      <c r="I52" s="261"/>
      <c r="J52" s="261"/>
      <c r="K52" s="261"/>
      <c r="L52" s="261"/>
    </row>
    <row r="53" spans="1:15" ht="14.85" customHeight="1">
      <c r="D53" s="261">
        <v>6.8621152681439881</v>
      </c>
      <c r="E53" s="261">
        <v>7.3109729417617446</v>
      </c>
      <c r="F53" s="261">
        <v>7.2585751105709271</v>
      </c>
      <c r="G53" s="261">
        <v>7.1922062699769693</v>
      </c>
      <c r="H53" s="261">
        <v>7.1432071472452066</v>
      </c>
      <c r="I53" s="261"/>
      <c r="J53" s="261"/>
      <c r="K53" s="261"/>
    </row>
    <row r="54" spans="1:15" ht="14.85" customHeight="1"/>
    <row r="55" spans="1:15" ht="14.85" customHeight="1"/>
    <row r="56" spans="1:15" ht="14.85" customHeight="1"/>
    <row r="57" spans="1:15" ht="14.85" customHeight="1"/>
    <row r="58" spans="1:15" ht="14.85" customHeight="1"/>
    <row r="59" spans="1:15" ht="14.85" customHeight="1"/>
    <row r="60" spans="1:15" ht="14.85" customHeight="1"/>
    <row r="61" spans="1:15" ht="14.85" customHeight="1"/>
    <row r="62" spans="1:15" ht="14.85" customHeight="1"/>
    <row r="63" spans="1:15" ht="14.85" customHeight="1"/>
    <row r="64" spans="1:15"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sheetData>
  <mergeCells count="2">
    <mergeCell ref="B47:K47"/>
    <mergeCell ref="B48:K48"/>
  </mergeCells>
  <conditionalFormatting sqref="B11:B36">
    <cfRule type="cellIs" dxfId="238" priority="4" operator="equal">
      <formula>"(Invalid Identifier)"</formula>
    </cfRule>
  </conditionalFormatting>
  <conditionalFormatting sqref="B4:K4">
    <cfRule type="cellIs" dxfId="237" priority="3" stopIfTrue="1" operator="equal">
      <formula>"input"</formula>
    </cfRule>
  </conditionalFormatting>
  <pageMargins left="0.5" right="0.5" top="0.5" bottom="0.5" header="0.5" footer="0.5"/>
  <pageSetup scale="75" orientation="landscape" r:id="rId1"/>
  <drawing r:id="rId2"/>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4"/>
  <dimension ref="B1:P732"/>
  <sheetViews>
    <sheetView showGridLines="0" view="pageBreakPreview" topLeftCell="A30" zoomScale="85" zoomScaleNormal="100" zoomScaleSheetLayoutView="85" workbookViewId="0">
      <selection activeCell="D11" sqref="D11"/>
    </sheetView>
  </sheetViews>
  <sheetFormatPr defaultRowHeight="14.25"/>
  <cols>
    <col min="1" max="1" width="4.5" style="234" customWidth="1"/>
    <col min="2" max="2" width="79.83203125" style="234" customWidth="1"/>
    <col min="3" max="3" width="2.83203125" style="234" customWidth="1"/>
    <col min="4" max="5" width="30.83203125" style="234" customWidth="1"/>
    <col min="6" max="6" width="4.5" style="234" customWidth="1"/>
    <col min="7" max="7" width="19.5" style="234" bestFit="1" customWidth="1"/>
    <col min="8" max="8" width="1.83203125" style="234" customWidth="1"/>
    <col min="9" max="10" width="12.83203125" style="234" customWidth="1"/>
    <col min="11" max="11" width="1.83203125" style="234" customWidth="1"/>
    <col min="12" max="12" width="9.33203125" style="234"/>
    <col min="13" max="17" width="12.83203125" style="234" customWidth="1"/>
    <col min="18" max="16384" width="9.33203125" style="234"/>
  </cols>
  <sheetData>
    <row r="1" spans="2:16" ht="10.7" customHeight="1" thickBot="1"/>
    <row r="2" spans="2:16" ht="16.5" customHeight="1" thickTop="1">
      <c r="B2" s="223" t="str">
        <f>'MASTER PubCo Inputs'!$C$5</f>
        <v>Trucode Gene Repair, Inc.</v>
      </c>
      <c r="C2" s="223"/>
      <c r="D2" s="223"/>
      <c r="E2" s="223"/>
    </row>
    <row r="3" spans="2:16" ht="15.75" customHeight="1">
      <c r="B3" s="232" t="str">
        <f>VLOOKUP(B4,Outline!$E$8:$G$65,COLUMNS(Outline!$E$8:$G$8),FALSE)</f>
        <v>Exhibit H.7</v>
      </c>
      <c r="C3" s="232"/>
      <c r="D3" s="232"/>
      <c r="E3" s="232"/>
    </row>
    <row r="4" spans="2:16" ht="16.5" customHeight="1" thickBot="1">
      <c r="B4" s="225" t="s">
        <v>4251</v>
      </c>
      <c r="C4" s="225"/>
      <c r="D4" s="225"/>
      <c r="E4" s="225"/>
      <c r="G4" s="1231"/>
      <c r="H4" s="1232"/>
      <c r="I4" s="1233"/>
      <c r="J4" s="1234" t="s">
        <v>1708</v>
      </c>
      <c r="K4" s="1235"/>
      <c r="L4" s="1236">
        <f>'OPM 1 Hybrid'!D10</f>
        <v>2</v>
      </c>
      <c r="M4" s="1237" t="s">
        <v>3562</v>
      </c>
      <c r="N4" s="1237" t="s">
        <v>3563</v>
      </c>
      <c r="O4" s="1237" t="s">
        <v>3564</v>
      </c>
      <c r="P4" s="1238" t="s">
        <v>3565</v>
      </c>
    </row>
    <row r="5" spans="2:16" ht="14.85" customHeight="1" thickTop="1">
      <c r="G5" s="1231" t="s">
        <v>87</v>
      </c>
      <c r="H5" s="1232"/>
      <c r="I5" s="1239">
        <f>'MASTER PubCo Inputs'!$C$6</f>
        <v>43496</v>
      </c>
      <c r="P5" s="348"/>
    </row>
    <row r="6" spans="2:16" ht="14.85" customHeight="1">
      <c r="G6" s="1231"/>
      <c r="H6" s="1232"/>
      <c r="I6" s="1233"/>
      <c r="J6" s="1234" t="s">
        <v>1726</v>
      </c>
      <c r="K6" s="1235"/>
      <c r="L6" s="1236">
        <f>'DLOM Hybrid'!D13</f>
        <v>3</v>
      </c>
      <c r="M6" s="1240">
        <f>'PWERM DLOM'!D10</f>
        <v>1.9178082191780821</v>
      </c>
      <c r="N6" s="1240">
        <f>'PWERM DLOM'!E10</f>
        <v>3.6657534246575341</v>
      </c>
      <c r="O6" s="1240">
        <f>'PWERM DLOM'!F10</f>
        <v>2.9178082191780819</v>
      </c>
      <c r="P6" s="1241">
        <f>'PWERM DLOM'!G10</f>
        <v>4.6657534246575345</v>
      </c>
    </row>
    <row r="7" spans="2:16" s="270" customFormat="1" ht="14.85" customHeight="1">
      <c r="B7" s="1242" t="s">
        <v>126</v>
      </c>
      <c r="D7" s="1243" t="s">
        <v>125</v>
      </c>
      <c r="E7" s="1244" t="s">
        <v>72</v>
      </c>
      <c r="G7" s="1245" t="s">
        <v>127</v>
      </c>
      <c r="H7" s="1246"/>
      <c r="I7" s="1246" t="s">
        <v>128</v>
      </c>
      <c r="J7" s="1247" t="s">
        <v>129</v>
      </c>
    </row>
    <row r="8" spans="2:16" ht="14.85" customHeight="1"/>
    <row r="9" spans="2:16" ht="14.85" customHeight="1">
      <c r="B9" s="234" t="str">
        <f>'Capital IQ Sheet-GPC'!E57</f>
        <v>United States Treasury Constant Maturity - 1 Month</v>
      </c>
      <c r="D9" s="324">
        <f>'Capital IQ Sheet-GPC'!C57</f>
        <v>8.3333333333333329E-2</v>
      </c>
      <c r="E9" s="370">
        <f>'Capital IQ Sheet-GPC'!D57</f>
        <v>2.4199999999999999E-2</v>
      </c>
      <c r="G9" s="1248">
        <f>'Capital IQ Sheet-GPC'!B79</f>
        <v>0</v>
      </c>
      <c r="H9" s="324"/>
      <c r="I9" s="1249">
        <v>0</v>
      </c>
      <c r="J9" s="324">
        <f>D10</f>
        <v>0.25</v>
      </c>
    </row>
    <row r="10" spans="2:16" ht="14.85" customHeight="1">
      <c r="B10" s="234" t="str">
        <f>'Capital IQ Sheet-GPC'!E58</f>
        <v>United States Treasury Constant Maturity - 3 Month</v>
      </c>
      <c r="D10" s="324">
        <f>'Capital IQ Sheet-GPC'!C58</f>
        <v>0.25</v>
      </c>
      <c r="E10" s="370">
        <f>'Capital IQ Sheet-GPC'!D58</f>
        <v>2.41E-2</v>
      </c>
      <c r="G10" s="1248">
        <f>'Capital IQ Sheet-GPC'!B80</f>
        <v>0</v>
      </c>
      <c r="H10" s="324"/>
      <c r="I10" s="324">
        <f>D9</f>
        <v>8.3333333333333329E-2</v>
      </c>
      <c r="J10" s="324">
        <f>D11</f>
        <v>0.5</v>
      </c>
    </row>
    <row r="11" spans="2:16" ht="14.85" customHeight="1">
      <c r="B11" s="234" t="str">
        <f>'Capital IQ Sheet-GPC'!E59</f>
        <v>United States Treasury Constant Maturity - 6 Month</v>
      </c>
      <c r="D11" s="324">
        <f>'Capital IQ Sheet-GPC'!C59</f>
        <v>0.5</v>
      </c>
      <c r="E11" s="370">
        <f>'Capital IQ Sheet-GPC'!D59</f>
        <v>2.46E-2</v>
      </c>
      <c r="G11" s="1248">
        <f>'Capital IQ Sheet-GPC'!B81</f>
        <v>0</v>
      </c>
      <c r="H11" s="324"/>
      <c r="I11" s="324">
        <f t="shared" ref="I11:I19" si="0">D10</f>
        <v>0.25</v>
      </c>
      <c r="J11" s="324">
        <f t="shared" ref="J11:J18" si="1">D12</f>
        <v>1</v>
      </c>
    </row>
    <row r="12" spans="2:16" ht="14.85" customHeight="1">
      <c r="B12" s="234" t="str">
        <f>'Capital IQ Sheet-GPC'!E60</f>
        <v>United States Treasury Constant Maturity - 1 Year</v>
      </c>
      <c r="D12" s="324">
        <f>'Capital IQ Sheet-GPC'!C60</f>
        <v>1</v>
      </c>
      <c r="E12" s="370">
        <f>'Capital IQ Sheet-GPC'!D60</f>
        <v>2.5499999999999998E-2</v>
      </c>
      <c r="G12" s="1248">
        <f>'Capital IQ Sheet-GPC'!B82</f>
        <v>0</v>
      </c>
      <c r="H12" s="324"/>
      <c r="I12" s="324">
        <f t="shared" si="0"/>
        <v>0.5</v>
      </c>
      <c r="J12" s="324">
        <f t="shared" si="1"/>
        <v>2</v>
      </c>
    </row>
    <row r="13" spans="2:16" ht="14.85" customHeight="1">
      <c r="B13" s="234" t="str">
        <f>'Capital IQ Sheet-GPC'!E61</f>
        <v>United States Treasury Constant Maturity - 2 Year</v>
      </c>
      <c r="D13" s="324">
        <f>'Capital IQ Sheet-GPC'!C61</f>
        <v>2</v>
      </c>
      <c r="E13" s="370">
        <f>'Capital IQ Sheet-GPC'!D61</f>
        <v>2.4500000000000001E-2</v>
      </c>
      <c r="G13" s="1248">
        <f>'Capital IQ Sheet-GPC'!B83</f>
        <v>0</v>
      </c>
      <c r="H13" s="324"/>
      <c r="I13" s="324">
        <f t="shared" si="0"/>
        <v>1</v>
      </c>
      <c r="J13" s="324">
        <f t="shared" si="1"/>
        <v>3</v>
      </c>
    </row>
    <row r="14" spans="2:16" ht="14.85" customHeight="1">
      <c r="B14" s="234" t="str">
        <f>'Capital IQ Sheet-GPC'!E62</f>
        <v>United States Treasury Constant Maturity - 3 Year</v>
      </c>
      <c r="D14" s="324">
        <f>'Capital IQ Sheet-GPC'!C62</f>
        <v>3</v>
      </c>
      <c r="E14" s="370">
        <f>'Capital IQ Sheet-GPC'!D62</f>
        <v>2.4299999999999999E-2</v>
      </c>
      <c r="G14" s="1248">
        <f>'Capital IQ Sheet-GPC'!B84</f>
        <v>0</v>
      </c>
      <c r="H14" s="324"/>
      <c r="I14" s="324">
        <f t="shared" si="0"/>
        <v>2</v>
      </c>
      <c r="J14" s="324">
        <f t="shared" si="1"/>
        <v>5</v>
      </c>
    </row>
    <row r="15" spans="2:16" ht="14.85" customHeight="1">
      <c r="B15" s="234" t="str">
        <f>'Capital IQ Sheet-GPC'!E63</f>
        <v>United States Treasury Constant Maturity - 5 Year</v>
      </c>
      <c r="D15" s="324">
        <f>'Capital IQ Sheet-GPC'!C63</f>
        <v>5</v>
      </c>
      <c r="E15" s="370">
        <f>'Capital IQ Sheet-GPC'!D63</f>
        <v>2.4299999999999999E-2</v>
      </c>
      <c r="G15" s="1248">
        <f>'Capital IQ Sheet-GPC'!B85</f>
        <v>0</v>
      </c>
      <c r="H15" s="324"/>
      <c r="I15" s="324">
        <f t="shared" si="0"/>
        <v>3</v>
      </c>
      <c r="J15" s="324">
        <f t="shared" si="1"/>
        <v>7</v>
      </c>
    </row>
    <row r="16" spans="2:16" ht="14.85" customHeight="1">
      <c r="B16" s="234" t="str">
        <f>'Capital IQ Sheet-GPC'!E64</f>
        <v>United States Treasury Constant Maturity - 7 Year</v>
      </c>
      <c r="D16" s="324">
        <f>'Capital IQ Sheet-GPC'!C64</f>
        <v>7</v>
      </c>
      <c r="E16" s="370">
        <f>'Capital IQ Sheet-GPC'!D64</f>
        <v>2.5100000000000001E-2</v>
      </c>
      <c r="G16" s="1248">
        <f>'Capital IQ Sheet-GPC'!B86</f>
        <v>0</v>
      </c>
      <c r="H16" s="324"/>
      <c r="I16" s="324">
        <f t="shared" si="0"/>
        <v>5</v>
      </c>
      <c r="J16" s="324">
        <f t="shared" si="1"/>
        <v>10</v>
      </c>
    </row>
    <row r="17" spans="2:10" ht="14.85" customHeight="1">
      <c r="B17" s="234" t="str">
        <f>'Capital IQ Sheet-GPC'!E65</f>
        <v>United States Treasury Constant Maturity - 10 Year</v>
      </c>
      <c r="D17" s="324">
        <f>'Capital IQ Sheet-GPC'!C65</f>
        <v>10</v>
      </c>
      <c r="E17" s="370">
        <f>'Capital IQ Sheet-GPC'!D65</f>
        <v>2.63E-2</v>
      </c>
      <c r="G17" s="1248">
        <f>'Capital IQ Sheet-GPC'!B87</f>
        <v>0</v>
      </c>
      <c r="H17" s="324"/>
      <c r="I17" s="324">
        <f t="shared" si="0"/>
        <v>7</v>
      </c>
      <c r="J17" s="324">
        <f t="shared" si="1"/>
        <v>20</v>
      </c>
    </row>
    <row r="18" spans="2:10" ht="14.85" customHeight="1">
      <c r="B18" s="234" t="str">
        <f>'Capital IQ Sheet-GPC'!E66</f>
        <v>United States Treasury Constant Maturity - 20 Year</v>
      </c>
      <c r="D18" s="324">
        <f>'Capital IQ Sheet-GPC'!C66</f>
        <v>20</v>
      </c>
      <c r="E18" s="370">
        <f>'Capital IQ Sheet-GPC'!D66</f>
        <v>2.8299999999999999E-2</v>
      </c>
      <c r="G18" s="1248">
        <f>'Capital IQ Sheet-GPC'!B88</f>
        <v>0</v>
      </c>
      <c r="H18" s="324"/>
      <c r="I18" s="324">
        <f t="shared" si="0"/>
        <v>10</v>
      </c>
      <c r="J18" s="324">
        <f t="shared" si="1"/>
        <v>30</v>
      </c>
    </row>
    <row r="19" spans="2:10" ht="14.85" customHeight="1">
      <c r="B19" s="234" t="str">
        <f>'Capital IQ Sheet-GPC'!E67</f>
        <v>United States Treasury Constant Maturity - 30 Year</v>
      </c>
      <c r="D19" s="324">
        <f>'Capital IQ Sheet-GPC'!C67</f>
        <v>30</v>
      </c>
      <c r="E19" s="370">
        <f>'Capital IQ Sheet-GPC'!D67</f>
        <v>2.9899999999999999E-2</v>
      </c>
      <c r="G19" s="1248">
        <f>'Capital IQ Sheet-GPC'!B89</f>
        <v>0</v>
      </c>
      <c r="H19" s="324"/>
      <c r="I19" s="324">
        <f t="shared" si="0"/>
        <v>20</v>
      </c>
      <c r="J19" s="1250"/>
    </row>
    <row r="20" spans="2:10" ht="14.85" customHeight="1"/>
    <row r="21" spans="2:10" ht="14.85" customHeight="1">
      <c r="B21" s="751" t="s">
        <v>3566</v>
      </c>
      <c r="C21" s="1251"/>
      <c r="D21" s="1251"/>
      <c r="E21" s="1252"/>
      <c r="H21" s="435"/>
      <c r="I21" s="435"/>
      <c r="J21" s="435"/>
    </row>
    <row r="22" spans="2:10" ht="14.85" customHeight="1">
      <c r="B22" s="529" t="s">
        <v>128</v>
      </c>
      <c r="C22" s="530"/>
      <c r="D22" s="1253">
        <f>SUMIFS($D$9:$D$19,$D$9:$D$19,"&lt;"&amp;D24,J$9:J$19,"&gt;"&amp;D24)</f>
        <v>1</v>
      </c>
      <c r="E22" s="1254">
        <f>IF(ISERROR(VLOOKUP(D22,$D$9:$E$19,COLUMNS($D$7:$E$7),FALSE)), "n/a", VLOOKUP(D22,$D$9:$E$19,COLUMNS($D$7:$E$7),FALSE))</f>
        <v>2.5499999999999998E-2</v>
      </c>
      <c r="G22" s="1255"/>
      <c r="H22" s="435"/>
      <c r="I22" s="435"/>
      <c r="J22" s="435"/>
    </row>
    <row r="23" spans="2:10" ht="14.85" customHeight="1">
      <c r="B23" s="529" t="s">
        <v>129</v>
      </c>
      <c r="C23" s="530"/>
      <c r="D23" s="1253">
        <f>SUMIFS($D$9:$D$19,$D$9:$D$19,"&gt;"&amp;D24,I$9:I$19,"&lt;"&amp;D24)</f>
        <v>2</v>
      </c>
      <c r="E23" s="1254">
        <f>IF(ISERROR(VLOOKUP(D23,$D$9:$E$19,COLUMNS($D$7:$E$7),FALSE)), "n/a", VLOOKUP(D23,$D$9:$E$19,COLUMNS($D$7:$E$7),FALSE))</f>
        <v>2.4500000000000001E-2</v>
      </c>
      <c r="G23" s="370"/>
      <c r="H23" s="435"/>
      <c r="I23" s="435"/>
      <c r="J23" s="435"/>
    </row>
    <row r="24" spans="2:10" ht="14.85" customHeight="1">
      <c r="B24" s="529" t="s">
        <v>102</v>
      </c>
      <c r="C24" s="530"/>
      <c r="D24" s="1253">
        <f>M6</f>
        <v>1.9178082191780821</v>
      </c>
      <c r="E24" s="1254">
        <f>IF(ISERROR(+E22+(E23-E22)/(D23-D22)*(D24-D22)), "n/a", +E22+(E23-E22)/(D23-D22)*(D24-D22))</f>
        <v>2.4582191780821917E-2</v>
      </c>
      <c r="H24" s="435"/>
      <c r="I24" s="435"/>
      <c r="J24" s="435"/>
    </row>
    <row r="25" spans="2:10" ht="14.85" customHeight="1">
      <c r="B25" s="529" t="s">
        <v>141</v>
      </c>
      <c r="C25" s="530"/>
      <c r="D25" s="1253">
        <f>D24</f>
        <v>1.9178082191780821</v>
      </c>
      <c r="E25" s="1254" t="str">
        <f>IF(ISERROR(VLOOKUP(D25,$D$9:$E$19,COLUMNS($D$7:$E$7),FALSE)), "n/a", VLOOKUP(D25,$D$9:$E$19,COLUMNS($D$7:$E$7),FALSE))</f>
        <v>n/a</v>
      </c>
      <c r="H25" s="435"/>
      <c r="I25" s="435"/>
      <c r="J25" s="435"/>
    </row>
    <row r="26" spans="2:10" ht="14.85" customHeight="1">
      <c r="B26" s="567"/>
      <c r="C26" s="530"/>
      <c r="D26" s="530"/>
      <c r="E26" s="1256"/>
      <c r="H26" s="435"/>
      <c r="I26" s="435"/>
      <c r="J26" s="435"/>
    </row>
    <row r="27" spans="2:10" ht="14.85" customHeight="1">
      <c r="B27" s="754" t="s">
        <v>142</v>
      </c>
      <c r="C27" s="755"/>
      <c r="D27" s="755"/>
      <c r="E27" s="1257">
        <f>IF(E24="n/a",E25,E24)</f>
        <v>2.4582191780821917E-2</v>
      </c>
      <c r="H27" s="434"/>
      <c r="I27" s="434"/>
      <c r="J27" s="434"/>
    </row>
    <row r="28" spans="2:10" ht="14.85" customHeight="1">
      <c r="H28" s="435"/>
      <c r="I28" s="435"/>
      <c r="J28" s="435"/>
    </row>
    <row r="29" spans="2:10" ht="14.85" customHeight="1">
      <c r="B29" s="751" t="s">
        <v>3572</v>
      </c>
      <c r="C29" s="1251"/>
      <c r="D29" s="1251"/>
      <c r="E29" s="1252"/>
      <c r="H29" s="435"/>
      <c r="I29" s="435"/>
      <c r="J29" s="435"/>
    </row>
    <row r="30" spans="2:10" ht="14.85" customHeight="1">
      <c r="B30" s="529" t="s">
        <v>128</v>
      </c>
      <c r="C30" s="530"/>
      <c r="D30" s="1253">
        <f>SUMIFS($D$9:$D$19,$D$9:$D$19,"&lt;"&amp;D32,$J$9:$J$19,"&gt;"&amp;D32)</f>
        <v>3</v>
      </c>
      <c r="E30" s="1254">
        <f>IF(ISERROR(VLOOKUP(D30,$D$9:$E$19,COLUMNS($D$7:$E$7),FALSE)), "n/a", VLOOKUP(D30,$D$9:$E$19,COLUMNS($D$7:$E$7),FALSE))</f>
        <v>2.4299999999999999E-2</v>
      </c>
      <c r="H30" s="435"/>
      <c r="I30" s="435"/>
      <c r="J30" s="435"/>
    </row>
    <row r="31" spans="2:10" ht="14.85" customHeight="1">
      <c r="B31" s="529" t="s">
        <v>129</v>
      </c>
      <c r="C31" s="530"/>
      <c r="D31" s="1253">
        <f>SUMIFS($D$9:$D$19,$D$9:$D$19,"&gt;"&amp;D32,$I$9:$I$19,"&lt;"&amp;D32)</f>
        <v>5</v>
      </c>
      <c r="E31" s="1254">
        <f>IF(ISERROR(VLOOKUP(D31,$D$9:$E$19,COLUMNS($D$7:$E$7),FALSE)), "n/a", VLOOKUP(D31,$D$9:$E$19,COLUMNS($D$7:$E$7),FALSE))</f>
        <v>2.4299999999999999E-2</v>
      </c>
      <c r="G31" s="261"/>
      <c r="H31" s="435"/>
      <c r="I31" s="435"/>
      <c r="J31" s="435"/>
    </row>
    <row r="32" spans="2:10" ht="14.85" customHeight="1">
      <c r="B32" s="529" t="s">
        <v>102</v>
      </c>
      <c r="C32" s="530"/>
      <c r="D32" s="1253">
        <f>N6</f>
        <v>3.6657534246575341</v>
      </c>
      <c r="E32" s="1254">
        <f>IF(ISERROR(+E30+(E31-E30)/(D31-D30)*(D32-D30)), "n/a", +E30+(E31-E30)/(D31-D30)*(D32-D30))</f>
        <v>2.4299999999999999E-2</v>
      </c>
      <c r="H32" s="435"/>
      <c r="I32" s="435"/>
      <c r="J32" s="435"/>
    </row>
    <row r="33" spans="2:10" ht="14.85" customHeight="1">
      <c r="B33" s="529" t="s">
        <v>141</v>
      </c>
      <c r="C33" s="530"/>
      <c r="D33" s="1253">
        <f>D32</f>
        <v>3.6657534246575341</v>
      </c>
      <c r="E33" s="1254" t="str">
        <f>IF(ISERROR(VLOOKUP(D33,$D$9:$E$19,COLUMNS($D$7:$E$7),FALSE)), "n/a", VLOOKUP(D33,$D$9:$E$19,COLUMNS($D$7:$E$7),FALSE))</f>
        <v>n/a</v>
      </c>
      <c r="H33" s="435"/>
      <c r="I33" s="435"/>
      <c r="J33" s="435"/>
    </row>
    <row r="34" spans="2:10" ht="14.85" customHeight="1">
      <c r="B34" s="567"/>
      <c r="C34" s="530"/>
      <c r="D34" s="530"/>
      <c r="E34" s="1256"/>
      <c r="H34" s="435"/>
      <c r="I34" s="435"/>
      <c r="J34" s="435"/>
    </row>
    <row r="35" spans="2:10" ht="14.85" customHeight="1">
      <c r="B35" s="754" t="s">
        <v>142</v>
      </c>
      <c r="C35" s="755"/>
      <c r="D35" s="755"/>
      <c r="E35" s="1257">
        <f>IF(E32="n/a",E33,E32)</f>
        <v>2.4299999999999999E-2</v>
      </c>
      <c r="H35" s="434"/>
      <c r="I35" s="434"/>
      <c r="J35" s="434"/>
    </row>
    <row r="36" spans="2:10" ht="14.85" customHeight="1"/>
    <row r="37" spans="2:10" ht="14.85" customHeight="1">
      <c r="B37" s="751" t="s">
        <v>3567</v>
      </c>
      <c r="C37" s="1251"/>
      <c r="D37" s="1251"/>
      <c r="E37" s="1252"/>
      <c r="H37" s="435"/>
      <c r="I37" s="435"/>
      <c r="J37" s="435"/>
    </row>
    <row r="38" spans="2:10" ht="14.85" customHeight="1">
      <c r="B38" s="529" t="s">
        <v>128</v>
      </c>
      <c r="C38" s="530"/>
      <c r="D38" s="1253">
        <f>SUMIFS($D$9:$D$19,$D$9:$D$19,"&lt;"&amp;D40,J$9:J$19,"&gt;"&amp;D40)</f>
        <v>2</v>
      </c>
      <c r="E38" s="1254">
        <f>IF(ISERROR(VLOOKUP(D38,$D$9:$E$19,COLUMNS($D$7:$E$7),FALSE)), "n/a", VLOOKUP(D38,$D$9:$E$19,COLUMNS($D$7:$E$7),FALSE))</f>
        <v>2.4500000000000001E-2</v>
      </c>
      <c r="G38" s="1255"/>
      <c r="H38" s="435"/>
      <c r="I38" s="435"/>
      <c r="J38" s="435"/>
    </row>
    <row r="39" spans="2:10" ht="14.85" customHeight="1">
      <c r="B39" s="529" t="s">
        <v>129</v>
      </c>
      <c r="C39" s="530"/>
      <c r="D39" s="1253">
        <f>SUMIFS($D$9:$D$19,$D$9:$D$19,"&gt;"&amp;D40,I$9:I$19,"&lt;"&amp;D40)</f>
        <v>3</v>
      </c>
      <c r="E39" s="1254">
        <f>IF(ISERROR(VLOOKUP(D39,$D$9:$E$19,COLUMNS($D$7:$E$7),FALSE)), "n/a", VLOOKUP(D39,$D$9:$E$19,COLUMNS($D$7:$E$7),FALSE))</f>
        <v>2.4299999999999999E-2</v>
      </c>
      <c r="G39" s="370"/>
      <c r="H39" s="435"/>
      <c r="I39" s="435"/>
      <c r="J39" s="435"/>
    </row>
    <row r="40" spans="2:10" ht="14.85" customHeight="1">
      <c r="B40" s="529" t="s">
        <v>102</v>
      </c>
      <c r="C40" s="530"/>
      <c r="D40" s="1253">
        <f>O6</f>
        <v>2.9178082191780819</v>
      </c>
      <c r="E40" s="1254">
        <f>IF(ISERROR(+E38+(E39-E38)/(D39-D38)*(D40-D38)), "n/a", +E38+(E39-E38)/(D39-D38)*(D40-D38))</f>
        <v>2.4316438356164382E-2</v>
      </c>
      <c r="H40" s="435"/>
      <c r="I40" s="435"/>
      <c r="J40" s="435"/>
    </row>
    <row r="41" spans="2:10" ht="14.85" customHeight="1">
      <c r="B41" s="529" t="s">
        <v>141</v>
      </c>
      <c r="C41" s="530"/>
      <c r="D41" s="1253">
        <f>D40</f>
        <v>2.9178082191780819</v>
      </c>
      <c r="E41" s="1254" t="str">
        <f>IF(ISERROR(VLOOKUP(D41,$D$9:$E$19,COLUMNS($D$7:$E$7),FALSE)), "n/a", VLOOKUP(D41,$D$9:$E$19,COLUMNS($D$7:$E$7),FALSE))</f>
        <v>n/a</v>
      </c>
      <c r="H41" s="435"/>
      <c r="I41" s="435"/>
      <c r="J41" s="435"/>
    </row>
    <row r="42" spans="2:10" ht="14.85" customHeight="1">
      <c r="B42" s="567"/>
      <c r="C42" s="530"/>
      <c r="D42" s="530"/>
      <c r="E42" s="1256"/>
      <c r="H42" s="435"/>
      <c r="I42" s="435"/>
      <c r="J42" s="435"/>
    </row>
    <row r="43" spans="2:10" ht="14.85" customHeight="1">
      <c r="B43" s="754" t="s">
        <v>142</v>
      </c>
      <c r="C43" s="755"/>
      <c r="D43" s="755"/>
      <c r="E43" s="1257">
        <f>IF(E40="n/a",E41,E40)</f>
        <v>2.4316438356164382E-2</v>
      </c>
      <c r="H43" s="434"/>
      <c r="I43" s="434"/>
      <c r="J43" s="434"/>
    </row>
    <row r="44" spans="2:10" ht="14.85" customHeight="1">
      <c r="H44" s="435"/>
      <c r="I44" s="435"/>
      <c r="J44" s="435"/>
    </row>
    <row r="45" spans="2:10" ht="14.85" customHeight="1">
      <c r="B45" s="751" t="s">
        <v>3568</v>
      </c>
      <c r="C45" s="1251"/>
      <c r="D45" s="1251"/>
      <c r="E45" s="1252"/>
      <c r="H45" s="435"/>
      <c r="I45" s="435"/>
      <c r="J45" s="435"/>
    </row>
    <row r="46" spans="2:10" ht="14.85" customHeight="1">
      <c r="B46" s="529" t="s">
        <v>128</v>
      </c>
      <c r="C46" s="530"/>
      <c r="D46" s="1253">
        <f>SUMIFS($D$9:$D$19,$D$9:$D$19,"&lt;"&amp;D48,$J$9:$J$19,"&gt;"&amp;D48)</f>
        <v>3</v>
      </c>
      <c r="E46" s="1254">
        <f>IF(ISERROR(VLOOKUP(D46,$D$9:$E$19,COLUMNS($D$7:$E$7),FALSE)), "n/a", VLOOKUP(D46,$D$9:$E$19,COLUMNS($D$7:$E$7),FALSE))</f>
        <v>2.4299999999999999E-2</v>
      </c>
      <c r="H46" s="435"/>
      <c r="I46" s="435"/>
      <c r="J46" s="435"/>
    </row>
    <row r="47" spans="2:10" ht="14.85" customHeight="1">
      <c r="B47" s="529" t="s">
        <v>129</v>
      </c>
      <c r="C47" s="530"/>
      <c r="D47" s="1253">
        <f>SUMIFS($D$9:$D$19,$D$9:$D$19,"&gt;"&amp;D48,$I$9:$I$19,"&lt;"&amp;D48)</f>
        <v>5</v>
      </c>
      <c r="E47" s="1254">
        <f>IF(ISERROR(VLOOKUP(D47,$D$9:$E$19,COLUMNS($D$7:$E$7),FALSE)), "n/a", VLOOKUP(D47,$D$9:$E$19,COLUMNS($D$7:$E$7),FALSE))</f>
        <v>2.4299999999999999E-2</v>
      </c>
      <c r="G47" s="261"/>
      <c r="H47" s="435"/>
      <c r="I47" s="435"/>
      <c r="J47" s="435"/>
    </row>
    <row r="48" spans="2:10" ht="14.85" customHeight="1">
      <c r="B48" s="529" t="s">
        <v>102</v>
      </c>
      <c r="C48" s="530"/>
      <c r="D48" s="1253">
        <f>P6</f>
        <v>4.6657534246575345</v>
      </c>
      <c r="E48" s="1254">
        <f>IF(ISERROR(+E46+(E47-E46)/(D47-D46)*(D48-D46)), "n/a", +E46+(E47-E46)/(D47-D46)*(D48-D46))</f>
        <v>2.4299999999999999E-2</v>
      </c>
      <c r="H48" s="435"/>
      <c r="I48" s="435"/>
      <c r="J48" s="435"/>
    </row>
    <row r="49" spans="2:10" ht="14.85" customHeight="1">
      <c r="B49" s="529" t="s">
        <v>141</v>
      </c>
      <c r="C49" s="530"/>
      <c r="D49" s="1253">
        <f>D48</f>
        <v>4.6657534246575345</v>
      </c>
      <c r="E49" s="1254" t="str">
        <f>IF(ISERROR(VLOOKUP(D49,$D$9:$E$19,COLUMNS($D$7:$E$7),FALSE)), "n/a", VLOOKUP(D49,$D$9:$E$19,COLUMNS($D$7:$E$7),FALSE))</f>
        <v>n/a</v>
      </c>
      <c r="H49" s="435"/>
      <c r="I49" s="435"/>
      <c r="J49" s="435"/>
    </row>
    <row r="50" spans="2:10" ht="14.85" customHeight="1">
      <c r="B50" s="567"/>
      <c r="C50" s="530"/>
      <c r="D50" s="530"/>
      <c r="E50" s="1256"/>
      <c r="H50" s="435"/>
      <c r="I50" s="435"/>
      <c r="J50" s="435"/>
    </row>
    <row r="51" spans="2:10" ht="14.85" customHeight="1">
      <c r="B51" s="754" t="s">
        <v>142</v>
      </c>
      <c r="C51" s="755"/>
      <c r="D51" s="755"/>
      <c r="E51" s="1257">
        <f>IF(E48="n/a",E49,E48)</f>
        <v>2.4299999999999999E-2</v>
      </c>
      <c r="H51" s="434"/>
      <c r="I51" s="434"/>
      <c r="J51" s="434"/>
    </row>
    <row r="52" spans="2:10" ht="14.85" customHeight="1"/>
    <row r="53" spans="2:10" ht="14.85" customHeight="1">
      <c r="B53" s="279" t="s">
        <v>116</v>
      </c>
    </row>
    <row r="54" spans="2:10" ht="14.85" customHeight="1"/>
    <row r="55" spans="2:10" ht="14.85" customHeight="1"/>
    <row r="56" spans="2:10" ht="14.85" customHeight="1"/>
    <row r="57" spans="2:10" ht="14.85" customHeight="1"/>
    <row r="58" spans="2:10" ht="14.85" customHeight="1"/>
    <row r="59" spans="2:10" ht="14.85" customHeight="1"/>
    <row r="60" spans="2:10" ht="14.85" customHeight="1"/>
    <row r="61" spans="2:10" ht="14.85" customHeight="1"/>
    <row r="62" spans="2:10" ht="14.85" customHeight="1"/>
    <row r="63" spans="2:10" ht="14.85" customHeight="1"/>
    <row r="64" spans="2:10"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sheetData>
  <conditionalFormatting sqref="B4:E4">
    <cfRule type="cellIs" dxfId="236" priority="3" stopIfTrue="1" operator="equal">
      <formula>"input"</formula>
    </cfRule>
  </conditionalFormatting>
  <pageMargins left="0.5" right="0.5" top="0.5" bottom="0.5" header="0.5" footer="0.5"/>
  <pageSetup orientation="landscape" r:id="rId1"/>
  <rowBreaks count="1" manualBreakCount="1">
    <brk id="35" max="5" man="1"/>
  </rowBreaks>
  <legacyDrawing r:id="rId2"/>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94"/>
  <dimension ref="A1:N24"/>
  <sheetViews>
    <sheetView showGridLines="0" view="pageBreakPreview" zoomScale="87" zoomScaleNormal="100" zoomScaleSheetLayoutView="87" workbookViewId="0">
      <selection activeCell="D18" sqref="D18"/>
    </sheetView>
  </sheetViews>
  <sheetFormatPr defaultColWidth="9.33203125" defaultRowHeight="14.25"/>
  <cols>
    <col min="1" max="1" width="4.5" style="234" customWidth="1"/>
    <col min="2" max="2" width="61.5" style="234" customWidth="1"/>
    <col min="3" max="3" width="5.1640625" style="234" customWidth="1"/>
    <col min="4" max="4" width="25.83203125" style="234" customWidth="1"/>
    <col min="5" max="5" width="5.1640625" style="234" customWidth="1"/>
    <col min="6" max="6" width="25.83203125" style="234" customWidth="1"/>
    <col min="7" max="7" width="5.1640625" style="234" customWidth="1"/>
    <col min="8" max="8" width="15.83203125" style="234" customWidth="1"/>
    <col min="9" max="9" width="4.5" style="234" customWidth="1"/>
    <col min="10" max="16384" width="9.33203125" style="234"/>
  </cols>
  <sheetData>
    <row r="1" spans="2:11" ht="15" thickBot="1"/>
    <row r="2" spans="2:11" ht="15.75" thickTop="1">
      <c r="B2" s="223" t="str">
        <f>'MASTER PubCo Inputs'!$C$5</f>
        <v>Trucode Gene Repair, Inc.</v>
      </c>
      <c r="C2" s="235"/>
      <c r="D2" s="235"/>
      <c r="E2" s="235"/>
      <c r="F2" s="235"/>
      <c r="G2" s="235"/>
      <c r="H2" s="235"/>
    </row>
    <row r="3" spans="2:11" ht="15">
      <c r="B3" s="232" t="str">
        <f>VLOOKUP(B4,Outline!$E$8:$G$65,COLUMNS(Outline!$E$8:$G$8),FALSE)</f>
        <v>Exhibit H.8</v>
      </c>
      <c r="C3" s="239"/>
      <c r="D3" s="239"/>
      <c r="E3" s="239"/>
      <c r="F3" s="239"/>
      <c r="G3" s="239"/>
      <c r="H3" s="239"/>
    </row>
    <row r="4" spans="2:11" ht="15.75" thickBot="1">
      <c r="B4" s="225" t="s">
        <v>4267</v>
      </c>
      <c r="C4" s="2034"/>
      <c r="D4" s="2034"/>
      <c r="E4" s="2034"/>
      <c r="F4" s="2034"/>
      <c r="G4" s="2034"/>
      <c r="H4" s="2034"/>
    </row>
    <row r="5" spans="2:11" ht="15" thickTop="1"/>
    <row r="7" spans="2:11">
      <c r="B7" s="1608" t="s">
        <v>4268</v>
      </c>
      <c r="C7" s="1616"/>
      <c r="D7" s="1616"/>
      <c r="E7" s="1616"/>
      <c r="F7" s="1991"/>
      <c r="H7" s="2017" t="s">
        <v>70</v>
      </c>
    </row>
    <row r="8" spans="2:11" ht="14.25" customHeight="1">
      <c r="B8" s="2018" t="s">
        <v>4205</v>
      </c>
      <c r="C8" s="2019" t="s">
        <v>3356</v>
      </c>
      <c r="D8" s="2020" t="s">
        <v>4206</v>
      </c>
      <c r="E8" s="2019"/>
      <c r="F8" s="2021" t="s">
        <v>150</v>
      </c>
    </row>
    <row r="9" spans="2:11">
      <c r="B9" s="234" t="s">
        <v>4207</v>
      </c>
      <c r="D9" s="2022">
        <v>100</v>
      </c>
      <c r="E9" s="2023"/>
      <c r="F9" s="2023">
        <f>D9</f>
        <v>100</v>
      </c>
    </row>
    <row r="10" spans="2:11">
      <c r="B10" s="234" t="s">
        <v>4208</v>
      </c>
      <c r="D10" s="2024">
        <f>+SUMPRODUCT(PWERM!D13:H13,PWERM!D114:H114)</f>
        <v>1.7035945205479452</v>
      </c>
      <c r="E10" s="2025"/>
      <c r="F10" s="2025">
        <f>D10</f>
        <v>1.7035945205479452</v>
      </c>
      <c r="H10" s="1276" t="str">
        <f>+A22</f>
        <v>(1)</v>
      </c>
    </row>
    <row r="11" spans="2:11">
      <c r="B11" s="234" t="s">
        <v>412</v>
      </c>
      <c r="D11" s="260">
        <v>0.2</v>
      </c>
      <c r="E11" s="1488" t="str">
        <f>+A23</f>
        <v>(2)</v>
      </c>
      <c r="F11" s="260">
        <v>0.5</v>
      </c>
      <c r="G11" s="1488" t="str">
        <f>+A24</f>
        <v>(3)</v>
      </c>
      <c r="H11" s="258"/>
      <c r="J11" s="261"/>
      <c r="K11" s="2026">
        <f>F11/D11</f>
        <v>2.5</v>
      </c>
    </row>
    <row r="12" spans="2:11">
      <c r="B12" s="234" t="s">
        <v>187</v>
      </c>
      <c r="D12" s="2025">
        <f>1/(1+D11)^D10</f>
        <v>0.73300555027028325</v>
      </c>
      <c r="F12" s="2025">
        <f>1/(1+F11)^F10</f>
        <v>0.50120096206122722</v>
      </c>
    </row>
    <row r="13" spans="2:11">
      <c r="B13" s="234" t="s">
        <v>190</v>
      </c>
      <c r="C13" s="493" t="s">
        <v>4209</v>
      </c>
      <c r="D13" s="2027">
        <f>D9*D12</f>
        <v>73.300555027028324</v>
      </c>
      <c r="E13" s="2027"/>
      <c r="F13" s="2027">
        <f>F9*F12</f>
        <v>50.120096206122724</v>
      </c>
    </row>
    <row r="14" spans="2:11">
      <c r="D14" s="2028"/>
      <c r="F14" s="2028"/>
    </row>
    <row r="15" spans="2:11">
      <c r="B15" s="354" t="s">
        <v>626</v>
      </c>
      <c r="C15" s="2029" t="s">
        <v>4210</v>
      </c>
      <c r="D15" s="2030">
        <f>D13-F13</f>
        <v>23.180458820905599</v>
      </c>
    </row>
    <row r="16" spans="2:11">
      <c r="B16" s="366" t="s">
        <v>4211</v>
      </c>
      <c r="C16" s="269"/>
      <c r="D16" s="2031">
        <f>D15/D13</f>
        <v>0.31623851705295003</v>
      </c>
    </row>
    <row r="17" spans="1:14">
      <c r="B17" s="345"/>
      <c r="C17" s="269"/>
      <c r="D17" s="2032"/>
    </row>
    <row r="18" spans="1:14">
      <c r="B18" s="369" t="s">
        <v>4212</v>
      </c>
      <c r="C18" s="345"/>
      <c r="D18" s="2060">
        <f>ROUND(D16,1)</f>
        <v>0.3</v>
      </c>
    </row>
    <row r="21" spans="1:14">
      <c r="B21" s="279" t="s">
        <v>86</v>
      </c>
    </row>
    <row r="22" spans="1:14" ht="14.25" customHeight="1">
      <c r="A22" s="1265" t="s">
        <v>250</v>
      </c>
      <c r="B22" s="2199" t="s">
        <v>4213</v>
      </c>
      <c r="C22" s="2199"/>
      <c r="D22" s="2199"/>
      <c r="E22" s="2199"/>
      <c r="F22" s="2199"/>
      <c r="G22" s="2199"/>
      <c r="H22" s="2199"/>
      <c r="I22" s="1967"/>
      <c r="J22" s="1967"/>
      <c r="K22" s="1967"/>
      <c r="L22" s="1967"/>
      <c r="M22" s="1967"/>
      <c r="N22" s="1967"/>
    </row>
    <row r="23" spans="1:14" ht="28.5" customHeight="1">
      <c r="A23" s="1265" t="s">
        <v>249</v>
      </c>
      <c r="B23" s="2199" t="str">
        <f>"Required rate of return reflects approximately "&amp;TEXT(D11,"0.0%")&amp;" venture capital portfolio returns (across the total preferred investment). Such expected VC Portfolio Returns are generally consistent with observations of historical venture capital returns."</f>
        <v>Required rate of return reflects approximately 20.0% venture capital portfolio returns (across the total preferred investment). Such expected VC Portfolio Returns are generally consistent with observations of historical venture capital returns.</v>
      </c>
      <c r="C23" s="2199"/>
      <c r="D23" s="2199"/>
      <c r="E23" s="2199"/>
      <c r="F23" s="2199"/>
      <c r="G23" s="2199"/>
      <c r="H23" s="2199"/>
      <c r="I23" s="1967"/>
      <c r="J23" s="1967"/>
      <c r="K23" s="1967"/>
      <c r="L23" s="1967"/>
      <c r="M23" s="1967"/>
      <c r="N23" s="1967"/>
    </row>
    <row r="24" spans="1:14" ht="50.25" customHeight="1">
      <c r="A24" s="1265" t="s">
        <v>288</v>
      </c>
      <c r="B24" s="2199" t="s">
        <v>4214</v>
      </c>
      <c r="C24" s="2199"/>
      <c r="D24" s="2199"/>
      <c r="E24" s="2199"/>
      <c r="F24" s="2199"/>
      <c r="G24" s="2199"/>
      <c r="H24" s="2199"/>
    </row>
  </sheetData>
  <mergeCells count="3">
    <mergeCell ref="B22:H22"/>
    <mergeCell ref="B23:H23"/>
    <mergeCell ref="B24:H24"/>
  </mergeCells>
  <conditionalFormatting sqref="B4:H4">
    <cfRule type="cellIs" dxfId="235" priority="1" stopIfTrue="1" operator="equal">
      <formula>"input"</formula>
    </cfRule>
  </conditionalFormatting>
  <pageMargins left="0.5" right="0.5" top="0.5" bottom="0.5" header="0.5" footer="0.5"/>
  <pageSetup fitToWidth="0" fitToHeight="0" orientation="landscape"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52"/>
  <dimension ref="B1:AF714"/>
  <sheetViews>
    <sheetView showGridLines="0" view="pageBreakPreview" topLeftCell="A36" zoomScale="55" zoomScaleNormal="100" zoomScaleSheetLayoutView="55" workbookViewId="0">
      <selection activeCell="D11" sqref="D11"/>
    </sheetView>
  </sheetViews>
  <sheetFormatPr defaultColWidth="9.33203125" defaultRowHeight="14.25"/>
  <cols>
    <col min="1" max="1" width="4.5" style="1202" customWidth="1"/>
    <col min="2" max="2" width="14.83203125" style="1202" customWidth="1"/>
    <col min="3" max="3" width="13.6640625" style="1202" customWidth="1"/>
    <col min="4" max="4" width="32.83203125" style="1202" customWidth="1"/>
    <col min="5" max="5" width="32.33203125" style="1202" customWidth="1"/>
    <col min="6" max="6" width="30.83203125" style="1202" customWidth="1"/>
    <col min="7" max="7" width="20.83203125" style="1202" customWidth="1"/>
    <col min="8" max="8" width="20.5" style="1202" customWidth="1"/>
    <col min="9" max="9" width="17.1640625" style="1202" bestFit="1" customWidth="1"/>
    <col min="10" max="10" width="16.83203125" style="1202" customWidth="1"/>
    <col min="11" max="11" width="12" style="1202" customWidth="1"/>
    <col min="12" max="12" width="4.5" style="1202" customWidth="1"/>
    <col min="13" max="16384" width="9.33203125" style="1202"/>
  </cols>
  <sheetData>
    <row r="1" spans="2:16" ht="15" thickBot="1"/>
    <row r="2" spans="2:16" ht="15.75" thickTop="1">
      <c r="B2" s="223" t="str">
        <f>'MASTER PubCo Inputs'!$C$5</f>
        <v>Trucode Gene Repair, Inc.</v>
      </c>
      <c r="C2" s="235"/>
      <c r="D2" s="235"/>
      <c r="E2" s="235"/>
      <c r="F2" s="235"/>
      <c r="G2" s="235"/>
      <c r="H2" s="235"/>
      <c r="I2" s="235"/>
      <c r="J2" s="235"/>
      <c r="K2" s="235"/>
    </row>
    <row r="3" spans="2:16" ht="15">
      <c r="B3" s="232" t="str">
        <f>VLOOKUP(B4,Outline!$E$8:$G$65,COLUMNS(Outline!$E$8:$G$8),FALSE)</f>
        <v>Exhibit H.9</v>
      </c>
      <c r="C3" s="239"/>
      <c r="D3" s="239"/>
      <c r="E3" s="239"/>
      <c r="F3" s="239"/>
      <c r="G3" s="239"/>
      <c r="H3" s="239"/>
      <c r="I3" s="239"/>
      <c r="J3" s="239"/>
      <c r="K3" s="239"/>
    </row>
    <row r="4" spans="2:16" ht="15.75" thickBot="1">
      <c r="B4" s="225" t="s">
        <v>4223</v>
      </c>
      <c r="C4" s="2035"/>
      <c r="D4" s="2035"/>
      <c r="E4" s="2035"/>
      <c r="F4" s="2035"/>
      <c r="G4" s="2034"/>
      <c r="H4" s="2034"/>
      <c r="I4" s="2034"/>
      <c r="J4" s="2034"/>
      <c r="K4" s="2036" t="str">
        <f>'MASTER PubCo Inputs'!C24</f>
        <v>(in millions of USD)</v>
      </c>
      <c r="L4" s="1203"/>
    </row>
    <row r="5" spans="2:16" ht="14.85" customHeight="1" thickTop="1"/>
    <row r="6" spans="2:16" ht="61.5" customHeight="1">
      <c r="B6" s="1204" t="s">
        <v>951</v>
      </c>
      <c r="C6" s="1205" t="s">
        <v>952</v>
      </c>
      <c r="D6" s="1205" t="s">
        <v>953</v>
      </c>
      <c r="E6" s="1205" t="s">
        <v>954</v>
      </c>
      <c r="F6" s="1206" t="s">
        <v>3574</v>
      </c>
      <c r="G6" s="1205" t="s">
        <v>955</v>
      </c>
      <c r="H6" s="1207" t="s">
        <v>956</v>
      </c>
      <c r="I6" s="1207" t="s">
        <v>957</v>
      </c>
      <c r="J6" s="1208" t="s">
        <v>1429</v>
      </c>
      <c r="K6" s="1209" t="s">
        <v>958</v>
      </c>
    </row>
    <row r="7" spans="2:16" ht="14.85" customHeight="1">
      <c r="B7" s="1210"/>
      <c r="C7" s="1211"/>
      <c r="D7" s="1211"/>
      <c r="E7" s="1211"/>
      <c r="F7" s="1211"/>
      <c r="G7" s="1211"/>
      <c r="H7" s="1212"/>
      <c r="I7" s="1212"/>
      <c r="J7" s="1212"/>
      <c r="K7" s="1212"/>
    </row>
    <row r="8" spans="2:16" ht="14.85" customHeight="1">
      <c r="B8" s="1758" t="s">
        <v>3573</v>
      </c>
      <c r="C8" s="1211"/>
      <c r="D8" s="1211"/>
      <c r="E8" s="1211"/>
      <c r="F8" s="1211"/>
      <c r="G8" s="1211"/>
      <c r="H8" s="1212"/>
      <c r="I8" s="1212"/>
      <c r="J8" s="1212"/>
      <c r="K8" s="1212"/>
    </row>
    <row r="9" spans="2:16" ht="14.85" customHeight="1"/>
    <row r="10" spans="2:16" ht="14.85" customHeight="1">
      <c r="B10" s="1213" t="s">
        <v>959</v>
      </c>
      <c r="C10" s="1211"/>
      <c r="D10" s="1211"/>
      <c r="E10" s="1211"/>
      <c r="F10" s="1211"/>
      <c r="G10" s="1211"/>
      <c r="H10" s="1212"/>
      <c r="I10" s="1212"/>
      <c r="J10" s="1212"/>
      <c r="K10" s="1212"/>
    </row>
    <row r="11" spans="2:16" ht="15" customHeight="1">
      <c r="B11" s="624">
        <v>43335</v>
      </c>
      <c r="C11" s="1214" t="s">
        <v>3575</v>
      </c>
      <c r="D11" s="1215" t="s">
        <v>3576</v>
      </c>
      <c r="E11" s="1215" t="s">
        <v>3577</v>
      </c>
      <c r="F11" s="1215" t="s">
        <v>3597</v>
      </c>
      <c r="G11" s="1216" t="s">
        <v>871</v>
      </c>
      <c r="H11" s="1217">
        <v>127</v>
      </c>
      <c r="I11" s="1217">
        <v>2</v>
      </c>
      <c r="J11" s="1217">
        <v>125</v>
      </c>
      <c r="K11" s="1218">
        <v>1.5748031496062992E-2</v>
      </c>
      <c r="M11" s="1219">
        <v>1</v>
      </c>
      <c r="N11" s="1002"/>
      <c r="O11" s="1202" t="s">
        <v>3579</v>
      </c>
    </row>
    <row r="12" spans="2:16" ht="15" customHeight="1">
      <c r="B12" s="624">
        <v>43167</v>
      </c>
      <c r="C12" s="1214" t="s">
        <v>3575</v>
      </c>
      <c r="D12" s="1215" t="s">
        <v>3580</v>
      </c>
      <c r="E12" s="1215" t="s">
        <v>3581</v>
      </c>
      <c r="F12" s="1215" t="s">
        <v>3582</v>
      </c>
      <c r="G12" s="1216" t="s">
        <v>871</v>
      </c>
      <c r="H12" s="1217">
        <v>11600</v>
      </c>
      <c r="I12" s="1217" t="s">
        <v>13</v>
      </c>
      <c r="J12" s="1217" t="s">
        <v>13</v>
      </c>
      <c r="K12" s="1218" t="s">
        <v>13</v>
      </c>
      <c r="M12" s="1219">
        <v>1</v>
      </c>
      <c r="N12" s="1002"/>
      <c r="O12" s="1202" t="s">
        <v>3583</v>
      </c>
    </row>
    <row r="13" spans="2:16" ht="15" customHeight="1">
      <c r="B13" s="624">
        <v>43146</v>
      </c>
      <c r="C13" s="1214" t="s">
        <v>3575</v>
      </c>
      <c r="D13" s="1215" t="s">
        <v>3580</v>
      </c>
      <c r="E13" s="1215" t="s">
        <v>3584</v>
      </c>
      <c r="F13" s="1215" t="s">
        <v>4263</v>
      </c>
      <c r="G13" s="1216" t="s">
        <v>3585</v>
      </c>
      <c r="H13" s="1217">
        <v>105</v>
      </c>
      <c r="I13" s="1217">
        <v>5</v>
      </c>
      <c r="J13" s="1217">
        <v>100</v>
      </c>
      <c r="K13" s="1218">
        <v>4.7619047619047616E-2</v>
      </c>
      <c r="M13" s="1219">
        <v>1</v>
      </c>
      <c r="O13" s="1202" t="s">
        <v>3586</v>
      </c>
    </row>
    <row r="14" spans="2:16" ht="15" customHeight="1">
      <c r="B14" s="624">
        <v>43125</v>
      </c>
      <c r="C14" s="1214" t="s">
        <v>3575</v>
      </c>
      <c r="D14" s="1215" t="s">
        <v>3587</v>
      </c>
      <c r="E14" s="1215" t="s">
        <v>3588</v>
      </c>
      <c r="F14" s="1215" t="s">
        <v>3589</v>
      </c>
      <c r="G14" s="1216" t="s">
        <v>3590</v>
      </c>
      <c r="H14" s="1217" t="s">
        <v>13</v>
      </c>
      <c r="I14" s="1217">
        <v>110</v>
      </c>
      <c r="J14" s="1217" t="s">
        <v>13</v>
      </c>
      <c r="K14" s="1218" t="s">
        <v>13</v>
      </c>
      <c r="M14" s="1219">
        <v>1</v>
      </c>
      <c r="O14" s="1202" t="s">
        <v>3591</v>
      </c>
    </row>
    <row r="15" spans="2:16">
      <c r="B15" s="624">
        <v>43081</v>
      </c>
      <c r="C15" s="1214" t="s">
        <v>3575</v>
      </c>
      <c r="D15" s="1215" t="s">
        <v>3592</v>
      </c>
      <c r="E15" s="1215" t="s">
        <v>3593</v>
      </c>
      <c r="F15" s="1215" t="s">
        <v>4264</v>
      </c>
      <c r="G15" s="1216" t="s">
        <v>871</v>
      </c>
      <c r="H15" s="1217">
        <v>525</v>
      </c>
      <c r="I15" s="1217">
        <v>105</v>
      </c>
      <c r="J15" s="1217">
        <v>420</v>
      </c>
      <c r="K15" s="1218">
        <v>0.2</v>
      </c>
      <c r="M15" s="1219">
        <v>1</v>
      </c>
      <c r="O15" s="1202" t="s">
        <v>3594</v>
      </c>
    </row>
    <row r="16" spans="2:16" ht="28.5">
      <c r="B16" s="624">
        <v>42984</v>
      </c>
      <c r="C16" s="1214" t="s">
        <v>3575</v>
      </c>
      <c r="D16" s="1215" t="s">
        <v>3595</v>
      </c>
      <c r="E16" s="1215" t="s">
        <v>3596</v>
      </c>
      <c r="F16" s="1215" t="s">
        <v>3597</v>
      </c>
      <c r="G16" s="1216" t="s">
        <v>3585</v>
      </c>
      <c r="H16" s="1217">
        <v>424.2</v>
      </c>
      <c r="I16" s="1217">
        <v>14.2</v>
      </c>
      <c r="J16" s="1217">
        <v>410</v>
      </c>
      <c r="K16" s="1218">
        <v>3.3474776049033476E-2</v>
      </c>
      <c r="M16" s="1219">
        <v>1</v>
      </c>
      <c r="O16" s="1202" t="s">
        <v>3598</v>
      </c>
      <c r="P16" s="1202" t="s">
        <v>3599</v>
      </c>
    </row>
    <row r="17" spans="2:16">
      <c r="B17" s="624">
        <v>42934</v>
      </c>
      <c r="C17" s="1214" t="s">
        <v>3575</v>
      </c>
      <c r="D17" s="1215" t="s">
        <v>3600</v>
      </c>
      <c r="E17" s="1215" t="s">
        <v>3601</v>
      </c>
      <c r="F17" s="1215" t="s">
        <v>3602</v>
      </c>
      <c r="G17" s="1216" t="s">
        <v>871</v>
      </c>
      <c r="H17" s="1217" t="s">
        <v>13</v>
      </c>
      <c r="I17" s="1217" t="s">
        <v>13</v>
      </c>
      <c r="J17" s="1217" t="s">
        <v>13</v>
      </c>
      <c r="K17" s="1218" t="s">
        <v>13</v>
      </c>
      <c r="M17" s="1202">
        <v>1</v>
      </c>
      <c r="O17" s="1202" t="s">
        <v>3603</v>
      </c>
      <c r="P17" s="1202" t="s">
        <v>3604</v>
      </c>
    </row>
    <row r="18" spans="2:16" ht="28.5">
      <c r="B18" s="624">
        <v>42793</v>
      </c>
      <c r="C18" s="1214" t="s">
        <v>3575</v>
      </c>
      <c r="D18" s="1215" t="s">
        <v>3607</v>
      </c>
      <c r="E18" s="1215" t="s">
        <v>3608</v>
      </c>
      <c r="F18" s="1215" t="s">
        <v>3609</v>
      </c>
      <c r="G18" s="1216" t="s">
        <v>3585</v>
      </c>
      <c r="H18" s="1217" t="s">
        <v>13</v>
      </c>
      <c r="I18" s="1217" t="s">
        <v>13</v>
      </c>
      <c r="J18" s="1217" t="s">
        <v>13</v>
      </c>
      <c r="K18" s="1218" t="s">
        <v>13</v>
      </c>
      <c r="M18" s="1219">
        <v>1</v>
      </c>
      <c r="O18" s="1202" t="s">
        <v>3610</v>
      </c>
      <c r="P18" s="1202" t="s">
        <v>3611</v>
      </c>
    </row>
    <row r="19" spans="2:16" ht="28.5">
      <c r="B19" s="624">
        <v>42745</v>
      </c>
      <c r="C19" s="1214" t="s">
        <v>3575</v>
      </c>
      <c r="D19" s="1215" t="s">
        <v>3612</v>
      </c>
      <c r="E19" s="1215" t="s">
        <v>3613</v>
      </c>
      <c r="F19" s="1215" t="s">
        <v>3614</v>
      </c>
      <c r="G19" s="1216" t="s">
        <v>3585</v>
      </c>
      <c r="H19" s="1217" t="s">
        <v>13</v>
      </c>
      <c r="I19" s="1217" t="s">
        <v>13</v>
      </c>
      <c r="J19" s="1217" t="s">
        <v>13</v>
      </c>
      <c r="K19" s="1218" t="s">
        <v>13</v>
      </c>
      <c r="M19" s="1219">
        <v>1</v>
      </c>
      <c r="N19" s="1202" t="s">
        <v>3615</v>
      </c>
      <c r="O19" s="1202" t="s">
        <v>3616</v>
      </c>
      <c r="P19" s="1202" t="s">
        <v>3617</v>
      </c>
    </row>
    <row r="20" spans="2:16" ht="28.5">
      <c r="B20" s="624">
        <v>42591</v>
      </c>
      <c r="C20" s="1214" t="s">
        <v>3575</v>
      </c>
      <c r="D20" s="1215" t="s">
        <v>3618</v>
      </c>
      <c r="E20" s="1215" t="s">
        <v>3619</v>
      </c>
      <c r="F20" s="1215" t="s">
        <v>3620</v>
      </c>
      <c r="G20" s="1216" t="s">
        <v>3590</v>
      </c>
      <c r="H20" s="1217">
        <v>2</v>
      </c>
      <c r="I20" s="1217">
        <v>1</v>
      </c>
      <c r="J20" s="1217" t="s">
        <v>13</v>
      </c>
      <c r="K20" s="1218">
        <v>0.5</v>
      </c>
      <c r="M20" s="1202">
        <v>1</v>
      </c>
      <c r="N20" s="1202" t="s">
        <v>3621</v>
      </c>
      <c r="O20" s="1202" t="s">
        <v>3622</v>
      </c>
      <c r="P20" s="1202" t="s">
        <v>3623</v>
      </c>
    </row>
    <row r="21" spans="2:16" ht="28.5">
      <c r="B21" s="624">
        <v>42506</v>
      </c>
      <c r="C21" s="1214" t="s">
        <v>3575</v>
      </c>
      <c r="D21" s="1215" t="s">
        <v>3625</v>
      </c>
      <c r="E21" s="1215" t="s">
        <v>3626</v>
      </c>
      <c r="F21" s="1215" t="s">
        <v>3620</v>
      </c>
      <c r="G21" s="1216" t="s">
        <v>3590</v>
      </c>
      <c r="H21" s="1217">
        <v>2000</v>
      </c>
      <c r="I21" s="1217">
        <v>82.5</v>
      </c>
      <c r="J21" s="1217" t="s">
        <v>13</v>
      </c>
      <c r="K21" s="1218">
        <v>4.1250000000000002E-2</v>
      </c>
      <c r="L21" s="1202" t="s">
        <v>250</v>
      </c>
      <c r="M21" s="1202">
        <v>1</v>
      </c>
      <c r="N21" s="1202" t="s">
        <v>3624</v>
      </c>
      <c r="O21" s="1202" t="s">
        <v>3627</v>
      </c>
      <c r="P21" s="1202" t="s">
        <v>3628</v>
      </c>
    </row>
    <row r="22" spans="2:16" ht="28.5">
      <c r="B22" s="624">
        <v>42396</v>
      </c>
      <c r="C22" s="1214" t="s">
        <v>3575</v>
      </c>
      <c r="D22" s="1215" t="s">
        <v>3629</v>
      </c>
      <c r="E22" s="1215" t="s">
        <v>3630</v>
      </c>
      <c r="F22" s="1215" t="s">
        <v>3631</v>
      </c>
      <c r="G22" s="1216" t="s">
        <v>3590</v>
      </c>
      <c r="H22" s="1217">
        <v>515</v>
      </c>
      <c r="I22" s="1217">
        <v>15</v>
      </c>
      <c r="J22" s="1217">
        <v>500</v>
      </c>
      <c r="K22" s="1218">
        <v>2.9126213592233011E-2</v>
      </c>
      <c r="M22" s="1219">
        <v>1</v>
      </c>
      <c r="N22" s="1202" t="s">
        <v>3632</v>
      </c>
      <c r="O22" s="1202" t="s">
        <v>3633</v>
      </c>
      <c r="P22" s="1202" t="s">
        <v>3634</v>
      </c>
    </row>
    <row r="23" spans="2:16" ht="28.5">
      <c r="B23" s="624">
        <v>42381</v>
      </c>
      <c r="C23" s="1214" t="s">
        <v>3575</v>
      </c>
      <c r="D23" s="1215" t="s">
        <v>3635</v>
      </c>
      <c r="E23" s="1215" t="s">
        <v>3636</v>
      </c>
      <c r="F23" s="1215" t="s">
        <v>3614</v>
      </c>
      <c r="G23" s="1216" t="s">
        <v>3590</v>
      </c>
      <c r="H23" s="1217" t="s">
        <v>13</v>
      </c>
      <c r="I23" s="1217" t="s">
        <v>13</v>
      </c>
      <c r="J23" s="1217" t="s">
        <v>13</v>
      </c>
      <c r="K23" s="1218" t="s">
        <v>13</v>
      </c>
      <c r="M23" s="1202">
        <v>1</v>
      </c>
      <c r="N23" s="1202" t="s">
        <v>3615</v>
      </c>
      <c r="P23" s="1202" t="s">
        <v>3637</v>
      </c>
    </row>
    <row r="24" spans="2:16" ht="28.5">
      <c r="B24" s="624">
        <v>42306</v>
      </c>
      <c r="C24" s="1214" t="s">
        <v>3575</v>
      </c>
      <c r="D24" s="1215" t="s">
        <v>3638</v>
      </c>
      <c r="E24" s="1215" t="s">
        <v>3639</v>
      </c>
      <c r="F24" s="1215" t="s">
        <v>3614</v>
      </c>
      <c r="G24" s="1216" t="s">
        <v>3590</v>
      </c>
      <c r="H24" s="1217">
        <v>166</v>
      </c>
      <c r="I24" s="1217">
        <v>10</v>
      </c>
      <c r="J24" s="1217">
        <v>156</v>
      </c>
      <c r="K24" s="1218">
        <v>6.0240963855421686E-2</v>
      </c>
      <c r="M24" s="1202">
        <v>1</v>
      </c>
      <c r="N24" s="1202" t="s">
        <v>3624</v>
      </c>
      <c r="O24" s="1202" t="s">
        <v>3640</v>
      </c>
      <c r="P24" s="1202" t="s">
        <v>3641</v>
      </c>
    </row>
    <row r="25" spans="2:16" ht="28.5">
      <c r="B25" s="624">
        <v>42194</v>
      </c>
      <c r="C25" s="1214" t="s">
        <v>3642</v>
      </c>
      <c r="D25" s="1215" t="s">
        <v>3643</v>
      </c>
      <c r="E25" s="1215" t="s">
        <v>3644</v>
      </c>
      <c r="F25" s="1215" t="s">
        <v>3645</v>
      </c>
      <c r="G25" s="1216" t="s">
        <v>871</v>
      </c>
      <c r="H25" s="1217">
        <v>4.7279999999999998</v>
      </c>
      <c r="I25" s="1217">
        <v>1.97</v>
      </c>
      <c r="J25" s="1217">
        <v>2.758</v>
      </c>
      <c r="K25" s="1218">
        <v>0.41666666666666669</v>
      </c>
      <c r="M25" s="1202">
        <v>1</v>
      </c>
      <c r="N25" s="1202" t="s">
        <v>3615</v>
      </c>
      <c r="P25" s="1202" t="s">
        <v>3646</v>
      </c>
    </row>
    <row r="26" spans="2:16">
      <c r="B26" s="624">
        <v>42137</v>
      </c>
      <c r="C26" s="1214" t="s">
        <v>3575</v>
      </c>
      <c r="D26" s="1215" t="s">
        <v>3647</v>
      </c>
      <c r="E26" s="1215" t="s">
        <v>3648</v>
      </c>
      <c r="F26" s="1215" t="s">
        <v>3614</v>
      </c>
      <c r="G26" s="1216" t="s">
        <v>3585</v>
      </c>
      <c r="H26" s="1217" t="s">
        <v>13</v>
      </c>
      <c r="I26" s="1217" t="s">
        <v>13</v>
      </c>
      <c r="J26" s="1217" t="s">
        <v>13</v>
      </c>
      <c r="K26" s="1218" t="s">
        <v>13</v>
      </c>
      <c r="M26" s="1202">
        <v>1</v>
      </c>
      <c r="N26" s="1202" t="s">
        <v>3615</v>
      </c>
      <c r="P26" s="1202" t="s">
        <v>3649</v>
      </c>
    </row>
    <row r="27" spans="2:16" ht="28.5">
      <c r="B27" s="624">
        <v>42046</v>
      </c>
      <c r="C27" s="1214" t="s">
        <v>3575</v>
      </c>
      <c r="D27" s="1215" t="s">
        <v>963</v>
      </c>
      <c r="E27" s="1215" t="s">
        <v>798</v>
      </c>
      <c r="F27" s="1215" t="s">
        <v>3614</v>
      </c>
      <c r="G27" s="1216" t="s">
        <v>3585</v>
      </c>
      <c r="H27" s="1217" t="s">
        <v>13</v>
      </c>
      <c r="I27" s="1217" t="s">
        <v>13</v>
      </c>
      <c r="J27" s="1217" t="s">
        <v>13</v>
      </c>
      <c r="K27" s="1218" t="s">
        <v>13</v>
      </c>
      <c r="M27" s="1202">
        <v>1</v>
      </c>
      <c r="N27" s="1202" t="s">
        <v>3615</v>
      </c>
      <c r="P27" s="1202" t="s">
        <v>3650</v>
      </c>
    </row>
    <row r="28" spans="2:16" ht="42.75">
      <c r="B28" s="624">
        <v>42033</v>
      </c>
      <c r="C28" s="1214" t="s">
        <v>3575</v>
      </c>
      <c r="D28" s="1215" t="s">
        <v>3625</v>
      </c>
      <c r="E28" s="1215" t="s">
        <v>3651</v>
      </c>
      <c r="F28" s="1215" t="s">
        <v>3614</v>
      </c>
      <c r="G28" s="1216" t="s">
        <v>3590</v>
      </c>
      <c r="H28" s="1217" t="s">
        <v>13</v>
      </c>
      <c r="I28" s="1217">
        <v>5</v>
      </c>
      <c r="J28" s="1217" t="s">
        <v>13</v>
      </c>
      <c r="K28" s="1218" t="s">
        <v>13</v>
      </c>
      <c r="M28" s="1219">
        <v>1</v>
      </c>
      <c r="N28" s="1202" t="s">
        <v>3652</v>
      </c>
      <c r="O28" s="1202" t="s">
        <v>3653</v>
      </c>
      <c r="P28" s="1202" t="s">
        <v>3654</v>
      </c>
    </row>
    <row r="29" spans="2:16" ht="28.5">
      <c r="B29" s="624">
        <v>42011</v>
      </c>
      <c r="C29" s="1214" t="s">
        <v>3575</v>
      </c>
      <c r="D29" s="1215" t="s">
        <v>966</v>
      </c>
      <c r="E29" s="1215" t="s">
        <v>3655</v>
      </c>
      <c r="F29" s="1215" t="s">
        <v>3656</v>
      </c>
      <c r="G29" s="1216" t="s">
        <v>871</v>
      </c>
      <c r="H29" s="1217">
        <v>280.3</v>
      </c>
      <c r="I29" s="1217">
        <v>10</v>
      </c>
      <c r="J29" s="1217">
        <v>230.3</v>
      </c>
      <c r="K29" s="1218">
        <v>3.5676061362825542E-2</v>
      </c>
      <c r="M29" s="1202">
        <v>1</v>
      </c>
      <c r="N29" s="1202" t="s">
        <v>3657</v>
      </c>
      <c r="O29" s="1202" t="s">
        <v>3658</v>
      </c>
      <c r="P29" s="1202" t="s">
        <v>3659</v>
      </c>
    </row>
    <row r="30" spans="2:16">
      <c r="B30" s="624">
        <v>41981</v>
      </c>
      <c r="C30" s="1214" t="s">
        <v>3575</v>
      </c>
      <c r="D30" s="1215" t="s">
        <v>3660</v>
      </c>
      <c r="E30" s="1215" t="s">
        <v>876</v>
      </c>
      <c r="F30" s="1215" t="s">
        <v>3614</v>
      </c>
      <c r="G30" s="1216" t="s">
        <v>871</v>
      </c>
      <c r="H30" s="1217">
        <v>280</v>
      </c>
      <c r="I30" s="1217">
        <v>20</v>
      </c>
      <c r="J30" s="1217">
        <v>260</v>
      </c>
      <c r="K30" s="1218">
        <v>7.1428571428571425E-2</v>
      </c>
      <c r="M30" s="1202">
        <v>1</v>
      </c>
      <c r="O30" s="1202" t="s">
        <v>3661</v>
      </c>
      <c r="P30" s="1202" t="s">
        <v>3662</v>
      </c>
    </row>
    <row r="31" spans="2:16">
      <c r="B31" s="624">
        <v>41813</v>
      </c>
      <c r="C31" s="1214" t="s">
        <v>3575</v>
      </c>
      <c r="D31" s="1215" t="s">
        <v>3663</v>
      </c>
      <c r="E31" s="1215" t="s">
        <v>3664</v>
      </c>
      <c r="F31" s="1215" t="s">
        <v>3614</v>
      </c>
      <c r="G31" s="1216" t="s">
        <v>871</v>
      </c>
      <c r="H31" s="1217">
        <v>252</v>
      </c>
      <c r="I31" s="1217">
        <v>20</v>
      </c>
      <c r="J31" s="1217">
        <v>232</v>
      </c>
      <c r="K31" s="1218">
        <v>7.9365079365079361E-2</v>
      </c>
      <c r="M31" s="1202">
        <v>1</v>
      </c>
      <c r="O31" s="1202" t="s">
        <v>3665</v>
      </c>
      <c r="P31" s="1202" t="s">
        <v>4260</v>
      </c>
    </row>
    <row r="32" spans="2:16" ht="28.5">
      <c r="B32" s="624">
        <v>41792</v>
      </c>
      <c r="C32" s="1214" t="s">
        <v>3575</v>
      </c>
      <c r="D32" s="1215" t="s">
        <v>798</v>
      </c>
      <c r="E32" s="1215" t="s">
        <v>3666</v>
      </c>
      <c r="F32" s="1215" t="s">
        <v>3614</v>
      </c>
      <c r="G32" s="1216" t="s">
        <v>871</v>
      </c>
      <c r="H32" s="1217" t="s">
        <v>13</v>
      </c>
      <c r="I32" s="1217" t="s">
        <v>13</v>
      </c>
      <c r="J32" s="1217" t="s">
        <v>13</v>
      </c>
      <c r="K32" s="1218" t="s">
        <v>13</v>
      </c>
      <c r="M32" s="1220">
        <v>1</v>
      </c>
      <c r="O32" s="1202" t="s">
        <v>3667</v>
      </c>
    </row>
    <row r="33" spans="2:16">
      <c r="B33" s="624">
        <v>41729</v>
      </c>
      <c r="C33" s="1214" t="s">
        <v>3575</v>
      </c>
      <c r="D33" s="1215" t="s">
        <v>1071</v>
      </c>
      <c r="E33" s="1215" t="s">
        <v>3626</v>
      </c>
      <c r="F33" s="1215" t="s">
        <v>3614</v>
      </c>
      <c r="G33" s="1216" t="s">
        <v>871</v>
      </c>
      <c r="H33" s="1217" t="s">
        <v>13</v>
      </c>
      <c r="I33" s="1217" t="s">
        <v>13</v>
      </c>
      <c r="J33" s="1217" t="s">
        <v>13</v>
      </c>
      <c r="K33" s="1218" t="s">
        <v>13</v>
      </c>
      <c r="M33" s="1219">
        <v>1</v>
      </c>
      <c r="N33" s="1202" t="s">
        <v>3615</v>
      </c>
      <c r="P33" s="1202" t="s">
        <v>3668</v>
      </c>
    </row>
    <row r="34" spans="2:16" ht="28.5">
      <c r="B34" s="624">
        <v>41648</v>
      </c>
      <c r="C34" s="1214" t="s">
        <v>3575</v>
      </c>
      <c r="D34" s="1216" t="s">
        <v>3595</v>
      </c>
      <c r="E34" s="1215" t="s">
        <v>3669</v>
      </c>
      <c r="F34" s="1215" t="s">
        <v>4265</v>
      </c>
      <c r="G34" s="1216" t="s">
        <v>3590</v>
      </c>
      <c r="H34" s="1217">
        <v>320</v>
      </c>
      <c r="I34" s="1217">
        <v>20</v>
      </c>
      <c r="J34" s="1217">
        <v>300</v>
      </c>
      <c r="K34" s="1218">
        <v>6.25E-2</v>
      </c>
      <c r="M34" s="1202">
        <v>1</v>
      </c>
      <c r="N34" s="1202" t="s">
        <v>3670</v>
      </c>
      <c r="O34" s="1202" t="s">
        <v>3671</v>
      </c>
      <c r="P34" s="1202" t="s">
        <v>3672</v>
      </c>
    </row>
    <row r="35" spans="2:16" ht="28.5">
      <c r="B35" s="624">
        <v>41485</v>
      </c>
      <c r="C35" s="1214" t="s">
        <v>3575</v>
      </c>
      <c r="D35" s="1215" t="s">
        <v>904</v>
      </c>
      <c r="E35" s="1215" t="s">
        <v>3626</v>
      </c>
      <c r="F35" s="1215" t="s">
        <v>3673</v>
      </c>
      <c r="G35" s="1216" t="s">
        <v>871</v>
      </c>
      <c r="H35" s="1217" t="s">
        <v>13</v>
      </c>
      <c r="I35" s="1217" t="s">
        <v>13</v>
      </c>
      <c r="J35" s="1217" t="s">
        <v>13</v>
      </c>
      <c r="K35" s="1218" t="s">
        <v>13</v>
      </c>
      <c r="M35" s="1202">
        <v>1</v>
      </c>
      <c r="N35" s="1202" t="s">
        <v>3615</v>
      </c>
      <c r="P35" s="1202" t="s">
        <v>3674</v>
      </c>
    </row>
    <row r="36" spans="2:16">
      <c r="B36" s="624">
        <v>40758</v>
      </c>
      <c r="C36" s="1214" t="s">
        <v>3575</v>
      </c>
      <c r="D36" s="1215" t="s">
        <v>962</v>
      </c>
      <c r="E36" s="1215" t="s">
        <v>3675</v>
      </c>
      <c r="F36" s="1215" t="s">
        <v>3676</v>
      </c>
      <c r="G36" s="1216" t="s">
        <v>871</v>
      </c>
      <c r="H36" s="1217">
        <v>242</v>
      </c>
      <c r="I36" s="1217">
        <v>25</v>
      </c>
      <c r="J36" s="1217">
        <v>217</v>
      </c>
      <c r="K36" s="1218">
        <v>0.10330578512396695</v>
      </c>
      <c r="M36" s="1202">
        <v>1</v>
      </c>
      <c r="O36" s="1202" t="s">
        <v>3677</v>
      </c>
      <c r="P36" s="1202" t="s">
        <v>3678</v>
      </c>
    </row>
    <row r="37" spans="2:16" ht="28.5">
      <c r="B37" s="624">
        <v>40182</v>
      </c>
      <c r="C37" s="1214" t="s">
        <v>3575</v>
      </c>
      <c r="D37" s="1215" t="s">
        <v>3679</v>
      </c>
      <c r="E37" s="1215" t="s">
        <v>3680</v>
      </c>
      <c r="F37" s="1215" t="s">
        <v>3614</v>
      </c>
      <c r="G37" s="1216" t="s">
        <v>3590</v>
      </c>
      <c r="H37" s="1217">
        <v>1400</v>
      </c>
      <c r="I37" s="1217" t="s">
        <v>13</v>
      </c>
      <c r="J37" s="1217">
        <v>5</v>
      </c>
      <c r="K37" s="1218" t="s">
        <v>13</v>
      </c>
      <c r="M37" s="1202">
        <v>1</v>
      </c>
      <c r="N37" s="1202" t="s">
        <v>3624</v>
      </c>
      <c r="O37" s="1202" t="s">
        <v>3681</v>
      </c>
      <c r="P37" s="1202" t="s">
        <v>3682</v>
      </c>
    </row>
    <row r="38" spans="2:16" ht="28.5">
      <c r="B38" s="624">
        <v>39944</v>
      </c>
      <c r="C38" s="1214" t="s">
        <v>3575</v>
      </c>
      <c r="D38" s="1215" t="s">
        <v>3683</v>
      </c>
      <c r="E38" s="1215" t="s">
        <v>923</v>
      </c>
      <c r="F38" s="1215" t="s">
        <v>3614</v>
      </c>
      <c r="G38" s="1216" t="s">
        <v>3590</v>
      </c>
      <c r="H38" s="1217" t="s">
        <v>13</v>
      </c>
      <c r="I38" s="1217">
        <v>18.399999999999999</v>
      </c>
      <c r="J38" s="1217">
        <v>32</v>
      </c>
      <c r="K38" s="1218" t="s">
        <v>13</v>
      </c>
      <c r="M38" s="1202">
        <v>1</v>
      </c>
      <c r="N38" s="1202" t="s">
        <v>3624</v>
      </c>
      <c r="O38" s="1202" t="s">
        <v>3684</v>
      </c>
      <c r="P38" s="1202" t="s">
        <v>4261</v>
      </c>
    </row>
    <row r="39" spans="2:16" ht="14.85" customHeight="1">
      <c r="B39" s="624"/>
      <c r="C39" s="1214"/>
      <c r="D39" s="1215"/>
      <c r="E39" s="1216"/>
      <c r="F39" s="1216"/>
      <c r="G39" s="1216"/>
      <c r="H39" s="1217"/>
      <c r="I39" s="1217"/>
      <c r="J39" s="1217"/>
      <c r="K39" s="1218"/>
    </row>
    <row r="40" spans="2:16" ht="14.85" customHeight="1">
      <c r="B40" s="1768" t="s">
        <v>111</v>
      </c>
      <c r="C40" s="1769"/>
      <c r="D40" s="1769"/>
      <c r="E40" s="1769"/>
      <c r="F40" s="1770"/>
      <c r="G40" s="1770"/>
      <c r="H40" s="1771">
        <f>MAX(H11:H38)</f>
        <v>11600</v>
      </c>
      <c r="I40" s="1771">
        <f>MAX(I11:I38)</f>
        <v>110</v>
      </c>
      <c r="J40" s="1771">
        <f>MAX(J11:J38)</f>
        <v>500</v>
      </c>
      <c r="K40" s="1772">
        <f>MAX(K11:K38)</f>
        <v>0.5</v>
      </c>
    </row>
    <row r="41" spans="2:16" ht="14.85" customHeight="1">
      <c r="B41" s="821" t="s">
        <v>115</v>
      </c>
      <c r="C41" s="530"/>
      <c r="D41" s="530"/>
      <c r="E41" s="530"/>
      <c r="F41" s="1773"/>
      <c r="G41" s="1773"/>
      <c r="H41" s="1105">
        <f>QUARTILE(H11:H38,3)</f>
        <v>517.5</v>
      </c>
      <c r="I41" s="1105">
        <f>QUARTILE(I11:I38,3)</f>
        <v>20</v>
      </c>
      <c r="J41" s="1105">
        <f>QUARTILE(J11:J38,3)</f>
        <v>290</v>
      </c>
      <c r="K41" s="861">
        <f>QUARTILE(K11:K38,3)</f>
        <v>9.7320608684245052E-2</v>
      </c>
    </row>
    <row r="42" spans="2:16" ht="14.85" customHeight="1">
      <c r="B42" s="821" t="s">
        <v>43</v>
      </c>
      <c r="C42" s="530"/>
      <c r="D42" s="530"/>
      <c r="E42" s="1229"/>
      <c r="F42" s="1774"/>
      <c r="G42" s="1773"/>
      <c r="H42" s="1105">
        <f>AVERAGE(H11:H38)</f>
        <v>1140.2017499999999</v>
      </c>
      <c r="I42" s="1105">
        <f>AVERAGE(I11:I38)</f>
        <v>27.35705882352941</v>
      </c>
      <c r="J42" s="1105">
        <f>AVERAGE(J11:J38)</f>
        <v>213.57557142857144</v>
      </c>
      <c r="K42" s="861">
        <f>AVERAGE(K11:K38)</f>
        <v>0.12117151403992203</v>
      </c>
    </row>
    <row r="43" spans="2:16" ht="14.85" customHeight="1">
      <c r="B43" s="821" t="s">
        <v>44</v>
      </c>
      <c r="C43" s="530"/>
      <c r="D43" s="530"/>
      <c r="E43" s="1229"/>
      <c r="F43" s="1774"/>
      <c r="G43" s="1773"/>
      <c r="H43" s="1105">
        <f>MEDIAN(H11:H38)</f>
        <v>280.14999999999998</v>
      </c>
      <c r="I43" s="1105">
        <f>MEDIAN(I11:I38)</f>
        <v>15</v>
      </c>
      <c r="J43" s="1105">
        <f>MEDIAN(J11:J38)</f>
        <v>223.65</v>
      </c>
      <c r="K43" s="861">
        <f>MEDIAN(K11:K38)</f>
        <v>6.1370481927710843E-2</v>
      </c>
    </row>
    <row r="44" spans="2:16" ht="14.85" customHeight="1">
      <c r="B44" s="821" t="s">
        <v>114</v>
      </c>
      <c r="C44" s="530"/>
      <c r="D44" s="530"/>
      <c r="E44" s="1229"/>
      <c r="F44" s="1774"/>
      <c r="G44" s="1773"/>
      <c r="H44" s="1105">
        <f>QUARTILE(H11:H38,1)</f>
        <v>156.25</v>
      </c>
      <c r="I44" s="1105">
        <f>QUARTILE(I11:I38,1)</f>
        <v>5</v>
      </c>
      <c r="J44" s="1105">
        <f>QUARTILE(J11:J38,1)</f>
        <v>106.25</v>
      </c>
      <c r="K44" s="861">
        <f>QUARTILE(K11:K38,1)</f>
        <v>3.7069546022119156E-2</v>
      </c>
    </row>
    <row r="45" spans="2:16" ht="14.85" customHeight="1">
      <c r="B45" s="1775" t="s">
        <v>112</v>
      </c>
      <c r="C45" s="864"/>
      <c r="D45" s="864"/>
      <c r="E45" s="1230"/>
      <c r="F45" s="1776"/>
      <c r="G45" s="1777"/>
      <c r="H45" s="1110">
        <f>MIN(H11:H38)</f>
        <v>2</v>
      </c>
      <c r="I45" s="1110">
        <f>MIN(I11:I38)</f>
        <v>1</v>
      </c>
      <c r="J45" s="1110">
        <f>MIN(J11:J38)</f>
        <v>2.758</v>
      </c>
      <c r="K45" s="866">
        <f>MIN(K11:K38)</f>
        <v>1.5748031496062992E-2</v>
      </c>
    </row>
    <row r="46" spans="2:16" ht="14.85" customHeight="1">
      <c r="B46" s="624"/>
      <c r="C46" s="1214"/>
      <c r="D46" s="1215"/>
      <c r="E46" s="1215"/>
      <c r="F46" s="1215"/>
      <c r="G46" s="1216"/>
      <c r="H46" s="1217"/>
      <c r="I46" s="1217"/>
      <c r="J46" s="1217"/>
      <c r="K46" s="1218"/>
    </row>
    <row r="47" spans="2:16" ht="14.85" customHeight="1">
      <c r="B47" s="1221" t="s">
        <v>3685</v>
      </c>
      <c r="C47" s="1214"/>
      <c r="D47" s="1215"/>
      <c r="E47" s="1215"/>
      <c r="F47" s="1215"/>
      <c r="G47" s="1216"/>
      <c r="H47" s="1217"/>
      <c r="I47" s="1217"/>
      <c r="J47" s="1217"/>
      <c r="K47" s="1218"/>
    </row>
    <row r="48" spans="2:16">
      <c r="B48" s="624">
        <v>43195</v>
      </c>
      <c r="C48" s="1214" t="s">
        <v>3575</v>
      </c>
      <c r="D48" s="1215" t="s">
        <v>3686</v>
      </c>
      <c r="E48" s="1215" t="s">
        <v>3687</v>
      </c>
      <c r="F48" s="1215" t="s">
        <v>3597</v>
      </c>
      <c r="G48" s="1216" t="s">
        <v>3688</v>
      </c>
      <c r="H48" s="1217">
        <v>400</v>
      </c>
      <c r="I48" s="1217" t="s">
        <v>13</v>
      </c>
      <c r="J48" s="1217" t="s">
        <v>13</v>
      </c>
      <c r="K48" s="1218" t="s">
        <v>13</v>
      </c>
      <c r="M48" s="1202">
        <v>1</v>
      </c>
      <c r="O48" s="1202" t="s">
        <v>3689</v>
      </c>
    </row>
    <row r="49" spans="2:16">
      <c r="B49" s="624">
        <v>42947</v>
      </c>
      <c r="C49" s="1214" t="s">
        <v>3575</v>
      </c>
      <c r="D49" s="1215" t="s">
        <v>3600</v>
      </c>
      <c r="E49" s="1215" t="s">
        <v>3626</v>
      </c>
      <c r="F49" s="1215" t="s">
        <v>3690</v>
      </c>
      <c r="G49" s="1216" t="s">
        <v>583</v>
      </c>
      <c r="H49" s="1217" t="s">
        <v>13</v>
      </c>
      <c r="I49" s="1217" t="s">
        <v>13</v>
      </c>
      <c r="J49" s="1217" t="s">
        <v>13</v>
      </c>
      <c r="K49" s="1218" t="s">
        <v>13</v>
      </c>
      <c r="M49" s="1219">
        <v>1</v>
      </c>
      <c r="P49" s="1202" t="s">
        <v>3691</v>
      </c>
    </row>
    <row r="50" spans="2:16" ht="28.5">
      <c r="B50" s="624">
        <v>42865</v>
      </c>
      <c r="C50" s="1214" t="s">
        <v>3575</v>
      </c>
      <c r="D50" s="1215" t="s">
        <v>3660</v>
      </c>
      <c r="E50" s="1215" t="s">
        <v>3669</v>
      </c>
      <c r="F50" s="1215" t="s">
        <v>3614</v>
      </c>
      <c r="G50" s="1216" t="s">
        <v>569</v>
      </c>
      <c r="H50" s="1217">
        <v>545</v>
      </c>
      <c r="I50" s="1217">
        <v>70</v>
      </c>
      <c r="J50" s="1217">
        <v>475</v>
      </c>
      <c r="K50" s="1218">
        <v>0.12844036697247707</v>
      </c>
      <c r="M50" s="1202">
        <v>1</v>
      </c>
      <c r="O50" s="1202" t="s">
        <v>3692</v>
      </c>
      <c r="P50" s="1202" t="s">
        <v>3693</v>
      </c>
    </row>
    <row r="51" spans="2:16" ht="28.5">
      <c r="B51" s="624">
        <v>42865</v>
      </c>
      <c r="C51" s="1214" t="s">
        <v>3575</v>
      </c>
      <c r="D51" s="1215" t="s">
        <v>3694</v>
      </c>
      <c r="E51" s="1215" t="s">
        <v>3695</v>
      </c>
      <c r="F51" s="1215" t="s">
        <v>3696</v>
      </c>
      <c r="G51" s="1216" t="s">
        <v>584</v>
      </c>
      <c r="H51" s="1778"/>
      <c r="I51" s="1778"/>
      <c r="J51" s="1778"/>
      <c r="K51" s="1218" t="s">
        <v>13</v>
      </c>
      <c r="M51" s="1202">
        <v>1</v>
      </c>
      <c r="O51" s="1202" t="s">
        <v>3697</v>
      </c>
      <c r="P51" s="1202" t="s">
        <v>3698</v>
      </c>
    </row>
    <row r="52" spans="2:16" ht="28.5">
      <c r="B52" s="624">
        <v>42793</v>
      </c>
      <c r="C52" s="1214" t="s">
        <v>3575</v>
      </c>
      <c r="D52" s="1215" t="s">
        <v>3699</v>
      </c>
      <c r="E52" s="1215" t="s">
        <v>3700</v>
      </c>
      <c r="F52" s="1215" t="s">
        <v>3676</v>
      </c>
      <c r="G52" s="1216" t="s">
        <v>569</v>
      </c>
      <c r="H52" s="1217">
        <v>82.75</v>
      </c>
      <c r="I52" s="1217">
        <v>2.75</v>
      </c>
      <c r="J52" s="1217">
        <v>80</v>
      </c>
      <c r="K52" s="1218">
        <v>3.3232628398791542E-2</v>
      </c>
      <c r="M52" s="1202">
        <v>1</v>
      </c>
      <c r="O52" s="1202" t="s">
        <v>3701</v>
      </c>
      <c r="P52" s="1202" t="s">
        <v>3702</v>
      </c>
    </row>
    <row r="53" spans="2:16">
      <c r="B53" s="624">
        <v>42375</v>
      </c>
      <c r="C53" s="1214" t="s">
        <v>3575</v>
      </c>
      <c r="D53" s="1215" t="s">
        <v>1117</v>
      </c>
      <c r="E53" s="1215" t="s">
        <v>3703</v>
      </c>
      <c r="F53" s="1215" t="s">
        <v>3704</v>
      </c>
      <c r="G53" s="1216" t="s">
        <v>583</v>
      </c>
      <c r="H53" s="1217" t="s">
        <v>13</v>
      </c>
      <c r="I53" s="1217">
        <v>1.6</v>
      </c>
      <c r="J53" s="1217" t="s">
        <v>13</v>
      </c>
      <c r="K53" s="1218" t="s">
        <v>13</v>
      </c>
      <c r="M53" s="1219">
        <v>1</v>
      </c>
      <c r="N53" s="1202" t="s">
        <v>3624</v>
      </c>
      <c r="O53" s="1202" t="s">
        <v>3705</v>
      </c>
      <c r="P53" s="1202" t="s">
        <v>3706</v>
      </c>
    </row>
    <row r="54" spans="2:16" ht="28.5">
      <c r="B54" s="624">
        <v>42187</v>
      </c>
      <c r="C54" s="1214" t="s">
        <v>3575</v>
      </c>
      <c r="D54" s="1215" t="s">
        <v>3625</v>
      </c>
      <c r="E54" s="1215" t="s">
        <v>3707</v>
      </c>
      <c r="F54" s="1215" t="s">
        <v>3614</v>
      </c>
      <c r="G54" s="1216" t="s">
        <v>569</v>
      </c>
      <c r="H54" s="1217">
        <v>1189</v>
      </c>
      <c r="I54" s="1217">
        <v>124</v>
      </c>
      <c r="J54" s="1217">
        <v>1065</v>
      </c>
      <c r="K54" s="1218">
        <v>0.10428931875525652</v>
      </c>
      <c r="M54" s="1202">
        <v>1</v>
      </c>
      <c r="O54" s="1202" t="s">
        <v>3708</v>
      </c>
      <c r="P54" s="1202" t="s">
        <v>4262</v>
      </c>
    </row>
    <row r="55" spans="2:16" ht="28.5">
      <c r="B55" s="624">
        <v>42172</v>
      </c>
      <c r="C55" s="1214" t="s">
        <v>3575</v>
      </c>
      <c r="D55" s="1215" t="s">
        <v>1071</v>
      </c>
      <c r="E55" s="1215" t="s">
        <v>3636</v>
      </c>
      <c r="F55" s="1215" t="s">
        <v>3614</v>
      </c>
      <c r="G55" s="1216" t="s">
        <v>583</v>
      </c>
      <c r="H55" s="1217" t="s">
        <v>13</v>
      </c>
      <c r="I55" s="1217" t="s">
        <v>13</v>
      </c>
      <c r="J55" s="1217" t="s">
        <v>13</v>
      </c>
      <c r="K55" s="1218" t="s">
        <v>13</v>
      </c>
      <c r="M55" s="1202">
        <v>1</v>
      </c>
      <c r="N55" s="1202" t="s">
        <v>3615</v>
      </c>
      <c r="P55" s="1202" t="s">
        <v>3709</v>
      </c>
    </row>
    <row r="56" spans="2:16" ht="28.5">
      <c r="B56" s="624">
        <v>42110</v>
      </c>
      <c r="C56" s="1214" t="s">
        <v>3575</v>
      </c>
      <c r="D56" s="1215" t="s">
        <v>3643</v>
      </c>
      <c r="E56" s="1215" t="s">
        <v>3636</v>
      </c>
      <c r="F56" s="1215" t="s">
        <v>3614</v>
      </c>
      <c r="G56" s="1216" t="s">
        <v>569</v>
      </c>
      <c r="H56" s="1217" t="s">
        <v>13</v>
      </c>
      <c r="I56" s="1217" t="s">
        <v>13</v>
      </c>
      <c r="J56" s="1217" t="s">
        <v>13</v>
      </c>
      <c r="K56" s="1218" t="s">
        <v>13</v>
      </c>
      <c r="M56" s="1202">
        <v>1</v>
      </c>
      <c r="N56" s="1202" t="s">
        <v>3615</v>
      </c>
      <c r="P56" s="1202" t="s">
        <v>3710</v>
      </c>
    </row>
    <row r="57" spans="2:16" ht="28.5">
      <c r="B57" s="624">
        <v>42046</v>
      </c>
      <c r="C57" s="1214" t="s">
        <v>3575</v>
      </c>
      <c r="D57" s="1215" t="s">
        <v>3711</v>
      </c>
      <c r="E57" s="1215" t="s">
        <v>798</v>
      </c>
      <c r="F57" s="1215" t="s">
        <v>3614</v>
      </c>
      <c r="G57" s="1216" t="s">
        <v>583</v>
      </c>
      <c r="H57" s="1217">
        <v>845</v>
      </c>
      <c r="I57" s="1217">
        <v>100</v>
      </c>
      <c r="J57" s="1217">
        <v>745</v>
      </c>
      <c r="K57" s="1218">
        <v>0.11834319526627218</v>
      </c>
      <c r="M57" s="1202">
        <v>1</v>
      </c>
      <c r="O57" s="1202" t="s">
        <v>3712</v>
      </c>
      <c r="P57" s="1202" t="s">
        <v>3713</v>
      </c>
    </row>
    <row r="58" spans="2:16" ht="28.5">
      <c r="B58" s="624">
        <v>41464</v>
      </c>
      <c r="C58" s="1214" t="s">
        <v>3575</v>
      </c>
      <c r="D58" s="1215" t="s">
        <v>3714</v>
      </c>
      <c r="E58" s="1215" t="s">
        <v>3715</v>
      </c>
      <c r="F58" s="1215" t="s">
        <v>3614</v>
      </c>
      <c r="G58" s="1216" t="s">
        <v>569</v>
      </c>
      <c r="H58" s="1217">
        <v>58</v>
      </c>
      <c r="I58" s="1217" t="s">
        <v>13</v>
      </c>
      <c r="J58" s="1217" t="s">
        <v>13</v>
      </c>
      <c r="K58" s="1218" t="s">
        <v>13</v>
      </c>
      <c r="M58" s="1202">
        <v>1</v>
      </c>
      <c r="O58" s="1202" t="s">
        <v>3716</v>
      </c>
      <c r="P58" s="1202" t="s">
        <v>3717</v>
      </c>
    </row>
    <row r="59" spans="2:16">
      <c r="B59" s="624">
        <v>40827</v>
      </c>
      <c r="C59" s="1214" t="s">
        <v>3575</v>
      </c>
      <c r="D59" s="1215" t="s">
        <v>3660</v>
      </c>
      <c r="E59" s="1215" t="s">
        <v>3718</v>
      </c>
      <c r="F59" s="1215" t="s">
        <v>3597</v>
      </c>
      <c r="G59" s="1216" t="s">
        <v>569</v>
      </c>
      <c r="H59" s="1217">
        <v>342.5</v>
      </c>
      <c r="I59" s="1217">
        <v>22.5</v>
      </c>
      <c r="J59" s="1217">
        <v>320</v>
      </c>
      <c r="K59" s="1218">
        <v>6.569343065693431E-2</v>
      </c>
      <c r="M59" s="1202">
        <v>1</v>
      </c>
      <c r="O59" s="1202" t="s">
        <v>3719</v>
      </c>
      <c r="P59" s="1202" t="s">
        <v>3720</v>
      </c>
    </row>
    <row r="60" spans="2:16">
      <c r="B60" s="624">
        <v>38167</v>
      </c>
      <c r="C60" s="1214" t="s">
        <v>3575</v>
      </c>
      <c r="D60" s="1215" t="s">
        <v>961</v>
      </c>
      <c r="E60" s="1215" t="s">
        <v>3721</v>
      </c>
      <c r="F60" s="1215" t="s">
        <v>3722</v>
      </c>
      <c r="G60" s="1216" t="s">
        <v>569</v>
      </c>
      <c r="H60" s="1217">
        <v>58</v>
      </c>
      <c r="I60" s="1217">
        <v>10</v>
      </c>
      <c r="J60" s="1217">
        <v>48</v>
      </c>
      <c r="K60" s="1218">
        <v>0.17241379310344829</v>
      </c>
      <c r="M60" s="1202">
        <v>1</v>
      </c>
      <c r="N60" s="1202" t="s">
        <v>3652</v>
      </c>
      <c r="O60" s="1202" t="s">
        <v>3723</v>
      </c>
      <c r="P60" s="1202" t="s">
        <v>3724</v>
      </c>
    </row>
    <row r="61" spans="2:16" ht="14.85" customHeight="1">
      <c r="B61" s="624"/>
      <c r="C61" s="1214"/>
      <c r="D61" s="1215"/>
      <c r="E61" s="1215"/>
      <c r="F61" s="1215"/>
      <c r="G61" s="1216"/>
      <c r="H61" s="1217"/>
      <c r="I61" s="1217"/>
      <c r="J61" s="1217"/>
      <c r="K61" s="1218"/>
    </row>
    <row r="62" spans="2:16" ht="14.85" customHeight="1">
      <c r="B62" s="1768" t="s">
        <v>111</v>
      </c>
      <c r="C62" s="1769"/>
      <c r="D62" s="1769"/>
      <c r="E62" s="1769"/>
      <c r="F62" s="1770"/>
      <c r="G62" s="1770"/>
      <c r="H62" s="1771">
        <f>MAX(H48:H60)</f>
        <v>1189</v>
      </c>
      <c r="I62" s="1771">
        <f>MAX(I48:I60)</f>
        <v>124</v>
      </c>
      <c r="J62" s="1771">
        <f>MAX(J48:J60)</f>
        <v>1065</v>
      </c>
      <c r="K62" s="1772">
        <f>MAX(K48:K60)</f>
        <v>0.17241379310344829</v>
      </c>
    </row>
    <row r="63" spans="2:16" ht="14.85" customHeight="1">
      <c r="B63" s="821" t="s">
        <v>115</v>
      </c>
      <c r="C63" s="530"/>
      <c r="D63" s="530"/>
      <c r="E63" s="530"/>
      <c r="F63" s="1773"/>
      <c r="G63" s="1773"/>
      <c r="H63" s="1105">
        <f>QUARTILE(H48:H60,3)</f>
        <v>620</v>
      </c>
      <c r="I63" s="1105">
        <f>QUARTILE(I48:I60,3)</f>
        <v>85</v>
      </c>
      <c r="J63" s="1105">
        <f>QUARTILE(J48:J60,3)</f>
        <v>677.5</v>
      </c>
      <c r="K63" s="861">
        <f>QUARTILE(K48:K60,3)</f>
        <v>0.12591607404592586</v>
      </c>
    </row>
    <row r="64" spans="2:16" ht="14.85" customHeight="1">
      <c r="B64" s="821" t="s">
        <v>43</v>
      </c>
      <c r="C64" s="530"/>
      <c r="D64" s="530"/>
      <c r="E64" s="1229"/>
      <c r="F64" s="1774"/>
      <c r="G64" s="1773"/>
      <c r="H64" s="1105">
        <f>AVERAGE(H48:H60)</f>
        <v>440.03125</v>
      </c>
      <c r="I64" s="1105">
        <f>AVERAGE(I48:I60)</f>
        <v>47.26428571428572</v>
      </c>
      <c r="J64" s="1105">
        <f>AVERAGE(J48:J60)</f>
        <v>455.5</v>
      </c>
      <c r="K64" s="861">
        <f>AVERAGE(K48:K60)</f>
        <v>0.10373545552552998</v>
      </c>
    </row>
    <row r="65" spans="2:16" ht="14.85" customHeight="1">
      <c r="B65" s="821" t="s">
        <v>44</v>
      </c>
      <c r="C65" s="530"/>
      <c r="D65" s="530"/>
      <c r="E65" s="1229"/>
      <c r="F65" s="1774"/>
      <c r="G65" s="1773"/>
      <c r="H65" s="1105">
        <f>MEDIAN(H48:H60)</f>
        <v>371.25</v>
      </c>
      <c r="I65" s="1105">
        <f>MEDIAN(I48:I60)</f>
        <v>22.5</v>
      </c>
      <c r="J65" s="1105">
        <f>MEDIAN(J48:J60)</f>
        <v>397.5</v>
      </c>
      <c r="K65" s="861">
        <f>MEDIAN(K48:K60)</f>
        <v>0.11131625701076435</v>
      </c>
    </row>
    <row r="66" spans="2:16" ht="14.85" customHeight="1">
      <c r="B66" s="821" t="s">
        <v>114</v>
      </c>
      <c r="C66" s="530"/>
      <c r="D66" s="530"/>
      <c r="E66" s="1229"/>
      <c r="F66" s="1774"/>
      <c r="G66" s="1773"/>
      <c r="H66" s="1105">
        <f>QUARTILE(H48:H60,1)</f>
        <v>76.5625</v>
      </c>
      <c r="I66" s="1105">
        <f>QUARTILE(I48:I60,1)</f>
        <v>6.375</v>
      </c>
      <c r="J66" s="1105">
        <f>QUARTILE(J48:J60,1)</f>
        <v>140</v>
      </c>
      <c r="K66" s="861">
        <f>QUARTILE(K48:K60,1)</f>
        <v>7.5342402681514861E-2</v>
      </c>
    </row>
    <row r="67" spans="2:16" ht="14.85" customHeight="1">
      <c r="B67" s="1775" t="s">
        <v>112</v>
      </c>
      <c r="C67" s="864"/>
      <c r="D67" s="864"/>
      <c r="E67" s="1230"/>
      <c r="F67" s="1776"/>
      <c r="G67" s="1777"/>
      <c r="H67" s="1110">
        <f>MIN(H48:H60)</f>
        <v>58</v>
      </c>
      <c r="I67" s="1110">
        <f>MIN(I48:I60)</f>
        <v>1.6</v>
      </c>
      <c r="J67" s="1110">
        <f>MIN(J48:J60)</f>
        <v>48</v>
      </c>
      <c r="K67" s="866">
        <f>MIN(K48:K60)</f>
        <v>3.3232628398791542E-2</v>
      </c>
    </row>
    <row r="68" spans="2:16" ht="14.85" customHeight="1">
      <c r="C68" s="1222"/>
    </row>
    <row r="69" spans="2:16" ht="14.85" customHeight="1">
      <c r="B69" s="1758" t="s">
        <v>3725</v>
      </c>
      <c r="C69" s="1211"/>
      <c r="D69" s="1211"/>
      <c r="E69" s="1211"/>
      <c r="F69" s="1211"/>
      <c r="G69" s="1211"/>
      <c r="H69" s="1212"/>
      <c r="I69" s="1212"/>
      <c r="J69" s="1212"/>
      <c r="K69" s="1212"/>
    </row>
    <row r="70" spans="2:16" ht="14.85" customHeight="1"/>
    <row r="71" spans="2:16" ht="14.85" customHeight="1">
      <c r="B71" s="1213" t="s">
        <v>3726</v>
      </c>
      <c r="C71" s="1211"/>
      <c r="D71" s="1211"/>
      <c r="E71" s="1211"/>
      <c r="F71" s="1211"/>
      <c r="G71" s="1211"/>
      <c r="H71" s="1212"/>
      <c r="I71" s="1212"/>
      <c r="J71" s="1212"/>
      <c r="K71" s="1212"/>
    </row>
    <row r="72" spans="2:16" ht="28.5">
      <c r="B72" s="624">
        <v>42808</v>
      </c>
      <c r="C72" s="1214" t="s">
        <v>3575</v>
      </c>
      <c r="D72" s="1215" t="s">
        <v>3727</v>
      </c>
      <c r="E72" s="1215" t="s">
        <v>3618</v>
      </c>
      <c r="F72" s="1215" t="s">
        <v>3728</v>
      </c>
      <c r="G72" s="1216" t="s">
        <v>871</v>
      </c>
      <c r="H72" s="1217" t="s">
        <v>13</v>
      </c>
      <c r="I72" s="1217">
        <v>90</v>
      </c>
      <c r="J72" s="1217" t="s">
        <v>13</v>
      </c>
      <c r="K72" s="1218" t="s">
        <v>13</v>
      </c>
      <c r="M72" s="1219">
        <v>1</v>
      </c>
      <c r="N72" s="1002"/>
      <c r="O72" s="1202" t="s">
        <v>3579</v>
      </c>
    </row>
    <row r="73" spans="2:16" ht="28.5">
      <c r="B73" s="624">
        <v>42471</v>
      </c>
      <c r="C73" s="1214" t="s">
        <v>3575</v>
      </c>
      <c r="D73" s="1215" t="s">
        <v>964</v>
      </c>
      <c r="E73" s="1215" t="s">
        <v>3655</v>
      </c>
      <c r="F73" s="1215" t="s">
        <v>3729</v>
      </c>
      <c r="G73" s="1216" t="s">
        <v>3590</v>
      </c>
      <c r="H73" s="1217">
        <v>3200</v>
      </c>
      <c r="I73" s="1217">
        <v>125</v>
      </c>
      <c r="J73" s="1217">
        <v>2800</v>
      </c>
      <c r="K73" s="1218">
        <v>3.90625E-2</v>
      </c>
      <c r="M73" s="1219">
        <v>1</v>
      </c>
      <c r="O73" s="1202" t="s">
        <v>3586</v>
      </c>
    </row>
    <row r="74" spans="2:16" ht="28.5">
      <c r="B74" s="624">
        <v>42359</v>
      </c>
      <c r="C74" s="1214" t="s">
        <v>3730</v>
      </c>
      <c r="D74" s="1215" t="s">
        <v>3663</v>
      </c>
      <c r="E74" s="1215" t="s">
        <v>880</v>
      </c>
      <c r="F74" s="1215" t="s">
        <v>3729</v>
      </c>
      <c r="G74" s="1216" t="s">
        <v>3590</v>
      </c>
      <c r="H74" s="1217">
        <v>335</v>
      </c>
      <c r="I74" s="1217" t="s">
        <v>13</v>
      </c>
      <c r="J74" s="1217" t="s">
        <v>13</v>
      </c>
      <c r="K74" s="1218" t="s">
        <v>13</v>
      </c>
      <c r="M74" s="1219">
        <v>1</v>
      </c>
      <c r="O74" s="1202" t="s">
        <v>3591</v>
      </c>
    </row>
    <row r="75" spans="2:16" ht="28.5">
      <c r="B75" s="624">
        <v>42303</v>
      </c>
      <c r="C75" s="1214" t="s">
        <v>3575</v>
      </c>
      <c r="D75" s="1215" t="s">
        <v>3593</v>
      </c>
      <c r="E75" s="1215" t="s">
        <v>880</v>
      </c>
      <c r="F75" s="1215" t="s">
        <v>3731</v>
      </c>
      <c r="G75" s="1216" t="s">
        <v>3590</v>
      </c>
      <c r="H75" s="1217">
        <v>2625</v>
      </c>
      <c r="I75" s="1217">
        <v>105</v>
      </c>
      <c r="J75" s="1217">
        <v>2520</v>
      </c>
      <c r="K75" s="1218">
        <v>0.04</v>
      </c>
      <c r="M75" s="1219">
        <v>1</v>
      </c>
      <c r="O75" s="1202" t="s">
        <v>3594</v>
      </c>
    </row>
    <row r="76" spans="2:16">
      <c r="B76" s="624">
        <v>42274</v>
      </c>
      <c r="C76" s="1214" t="s">
        <v>3575</v>
      </c>
      <c r="D76" s="1215" t="s">
        <v>3618</v>
      </c>
      <c r="E76" s="1215" t="s">
        <v>3732</v>
      </c>
      <c r="F76" s="1215" t="s">
        <v>3733</v>
      </c>
      <c r="G76" s="1216" t="s">
        <v>3590</v>
      </c>
      <c r="H76" s="1217">
        <v>277</v>
      </c>
      <c r="I76" s="1217">
        <v>47</v>
      </c>
      <c r="J76" s="1217">
        <v>230</v>
      </c>
      <c r="K76" s="1218">
        <v>0.16967509025270758</v>
      </c>
      <c r="M76" s="1219">
        <v>1</v>
      </c>
      <c r="O76" s="1202" t="s">
        <v>3598</v>
      </c>
      <c r="P76" s="1202" t="s">
        <v>3599</v>
      </c>
    </row>
    <row r="77" spans="2:16" ht="28.5">
      <c r="B77" s="624">
        <v>42170</v>
      </c>
      <c r="C77" s="1214" t="s">
        <v>3575</v>
      </c>
      <c r="D77" s="1215" t="s">
        <v>3734</v>
      </c>
      <c r="E77" s="1215" t="s">
        <v>3735</v>
      </c>
      <c r="F77" s="1215" t="s">
        <v>3729</v>
      </c>
      <c r="G77" s="1216" t="s">
        <v>871</v>
      </c>
      <c r="H77" s="1217">
        <v>33</v>
      </c>
      <c r="I77" s="1217" t="s">
        <v>13</v>
      </c>
      <c r="J77" s="1217" t="s">
        <v>13</v>
      </c>
      <c r="K77" s="1218" t="s">
        <v>13</v>
      </c>
      <c r="M77" s="1202">
        <v>1</v>
      </c>
      <c r="O77" s="1202" t="s">
        <v>3603</v>
      </c>
      <c r="P77" s="1202" t="s">
        <v>3604</v>
      </c>
    </row>
    <row r="78" spans="2:16" ht="28.5">
      <c r="B78" s="624">
        <v>41974</v>
      </c>
      <c r="C78" s="1214" t="s">
        <v>3575</v>
      </c>
      <c r="D78" s="1215" t="s">
        <v>3618</v>
      </c>
      <c r="E78" s="1215" t="s">
        <v>3736</v>
      </c>
      <c r="F78" s="1215" t="s">
        <v>3729</v>
      </c>
      <c r="G78" s="1216" t="s">
        <v>3590</v>
      </c>
      <c r="H78" s="1217" t="s">
        <v>13</v>
      </c>
      <c r="I78" s="1217" t="s">
        <v>13</v>
      </c>
      <c r="J78" s="1217">
        <v>5.5</v>
      </c>
      <c r="K78" s="1218" t="s">
        <v>13</v>
      </c>
      <c r="M78" s="1219">
        <v>1</v>
      </c>
      <c r="O78" s="1202" t="s">
        <v>3605</v>
      </c>
      <c r="P78" s="1202" t="s">
        <v>3606</v>
      </c>
    </row>
    <row r="79" spans="2:16" ht="28.5">
      <c r="B79" s="624">
        <v>40182</v>
      </c>
      <c r="C79" s="1214" t="s">
        <v>3575</v>
      </c>
      <c r="D79" s="1215" t="s">
        <v>969</v>
      </c>
      <c r="E79" s="1215" t="s">
        <v>3680</v>
      </c>
      <c r="F79" s="1215" t="s">
        <v>3737</v>
      </c>
      <c r="G79" s="1216" t="s">
        <v>3590</v>
      </c>
      <c r="H79" s="1217">
        <v>1400</v>
      </c>
      <c r="I79" s="1217" t="s">
        <v>13</v>
      </c>
      <c r="J79" s="1217">
        <v>5</v>
      </c>
      <c r="K79" s="1218" t="s">
        <v>13</v>
      </c>
      <c r="M79" s="1219">
        <v>1</v>
      </c>
      <c r="O79" s="1202" t="s">
        <v>3610</v>
      </c>
      <c r="P79" s="1202" t="s">
        <v>3611</v>
      </c>
    </row>
    <row r="80" spans="2:16" ht="14.85" customHeight="1">
      <c r="B80" s="624"/>
      <c r="C80" s="1214"/>
      <c r="D80" s="1215"/>
      <c r="E80" s="1216"/>
      <c r="F80" s="1216"/>
      <c r="G80" s="1216"/>
      <c r="H80" s="1217"/>
      <c r="I80" s="1217"/>
      <c r="J80" s="1217"/>
      <c r="K80" s="1218"/>
    </row>
    <row r="81" spans="2:32" ht="14.85" customHeight="1">
      <c r="B81" s="1768" t="s">
        <v>111</v>
      </c>
      <c r="C81" s="1769"/>
      <c r="D81" s="1769"/>
      <c r="E81" s="1769"/>
      <c r="F81" s="1770"/>
      <c r="G81" s="1770"/>
      <c r="H81" s="1771">
        <f>MAX(H72:H79)</f>
        <v>3200</v>
      </c>
      <c r="I81" s="1771">
        <f>MAX(I72:I79)</f>
        <v>125</v>
      </c>
      <c r="J81" s="1771">
        <f>MAX(J72:J79)</f>
        <v>2800</v>
      </c>
      <c r="K81" s="1772">
        <f>MAX(K72:K79)</f>
        <v>0.16967509025270758</v>
      </c>
    </row>
    <row r="82" spans="2:32" ht="14.85" customHeight="1">
      <c r="B82" s="821" t="s">
        <v>115</v>
      </c>
      <c r="C82" s="530"/>
      <c r="D82" s="530"/>
      <c r="E82" s="530"/>
      <c r="F82" s="1773"/>
      <c r="G82" s="1773"/>
      <c r="H82" s="1105">
        <f>QUARTILE(H72:H79,3)</f>
        <v>2318.75</v>
      </c>
      <c r="I82" s="1105">
        <f>QUARTILE(I72:I79,3)</f>
        <v>110</v>
      </c>
      <c r="J82" s="1105">
        <f>QUARTILE(J72:J79,3)</f>
        <v>2520</v>
      </c>
      <c r="K82" s="861">
        <f>QUARTILE(K72:K79,3)</f>
        <v>0.10483754512635379</v>
      </c>
    </row>
    <row r="83" spans="2:32" ht="14.85" customHeight="1">
      <c r="B83" s="821" t="s">
        <v>43</v>
      </c>
      <c r="C83" s="530"/>
      <c r="D83" s="530"/>
      <c r="E83" s="1229"/>
      <c r="F83" s="1774"/>
      <c r="G83" s="1773"/>
      <c r="H83" s="1105">
        <f>AVERAGE(H72:H79)</f>
        <v>1311.6666666666667</v>
      </c>
      <c r="I83" s="1105">
        <f>AVERAGE(I72:I79)</f>
        <v>91.75</v>
      </c>
      <c r="J83" s="1105">
        <f>AVERAGE(J72:J79)</f>
        <v>1112.0999999999999</v>
      </c>
      <c r="K83" s="861">
        <f>AVERAGE(K72:K79)</f>
        <v>8.2912530084235866E-2</v>
      </c>
    </row>
    <row r="84" spans="2:32" ht="14.85" customHeight="1">
      <c r="B84" s="821" t="s">
        <v>44</v>
      </c>
      <c r="C84" s="530"/>
      <c r="D84" s="530"/>
      <c r="E84" s="1229"/>
      <c r="F84" s="1774"/>
      <c r="G84" s="1773"/>
      <c r="H84" s="1105">
        <f>MEDIAN(H72:H79)</f>
        <v>867.5</v>
      </c>
      <c r="I84" s="1105">
        <f>MEDIAN(I72:I79)</f>
        <v>97.5</v>
      </c>
      <c r="J84" s="1105">
        <f>MEDIAN(J72:J79)</f>
        <v>230</v>
      </c>
      <c r="K84" s="861">
        <f>MEDIAN(K72:K79)</f>
        <v>0.04</v>
      </c>
    </row>
    <row r="85" spans="2:32" ht="14.85" customHeight="1">
      <c r="B85" s="821" t="s">
        <v>114</v>
      </c>
      <c r="C85" s="530"/>
      <c r="D85" s="530"/>
      <c r="E85" s="1229"/>
      <c r="F85" s="1774"/>
      <c r="G85" s="1773"/>
      <c r="H85" s="1105">
        <f>QUARTILE(H72:H79,1)</f>
        <v>291.5</v>
      </c>
      <c r="I85" s="1105">
        <f>QUARTILE(I72:I79,1)</f>
        <v>79.25</v>
      </c>
      <c r="J85" s="1105">
        <f>QUARTILE(J72:J79,1)</f>
        <v>5.5</v>
      </c>
      <c r="K85" s="861">
        <f>QUARTILE(K72:K79,1)</f>
        <v>3.9531250000000004E-2</v>
      </c>
    </row>
    <row r="86" spans="2:32" ht="14.85" customHeight="1">
      <c r="B86" s="1775" t="s">
        <v>112</v>
      </c>
      <c r="C86" s="864"/>
      <c r="D86" s="864"/>
      <c r="E86" s="1230"/>
      <c r="F86" s="1776"/>
      <c r="G86" s="1777"/>
      <c r="H86" s="1110">
        <f>MIN(H72:H79)</f>
        <v>33</v>
      </c>
      <c r="I86" s="1110">
        <f>MIN(I72:I79)</f>
        <v>47</v>
      </c>
      <c r="J86" s="1110">
        <f>MIN(J72:J79)</f>
        <v>5</v>
      </c>
      <c r="K86" s="866">
        <f>MIN(K72:K79)</f>
        <v>3.90625E-2</v>
      </c>
    </row>
    <row r="87" spans="2:32" ht="14.85" customHeight="1">
      <c r="C87" s="1222"/>
    </row>
    <row r="88" spans="2:32" ht="14.85" customHeight="1">
      <c r="B88" s="2033" t="s">
        <v>1562</v>
      </c>
      <c r="C88" s="1222"/>
    </row>
    <row r="89" spans="2:32" ht="14.85" customHeight="1">
      <c r="B89" s="817" t="s">
        <v>111</v>
      </c>
      <c r="C89" s="1223"/>
      <c r="D89" s="1223"/>
      <c r="E89" s="1223"/>
      <c r="F89" s="1224"/>
      <c r="G89" s="1223"/>
      <c r="H89" s="1225">
        <f>MAX(H11:H38,H48:H60,H72:H79)</f>
        <v>11600</v>
      </c>
      <c r="I89" s="1225">
        <f>MAX(I11:I38,I48:I60,I72:I79)</f>
        <v>125</v>
      </c>
      <c r="J89" s="1226">
        <f>MAX(J11:J38,J48:J60,J72:J79)</f>
        <v>2800</v>
      </c>
      <c r="K89" s="1227">
        <f>MAX(K11:K38,K48:K60,K72:K79)</f>
        <v>0.5</v>
      </c>
      <c r="L89" s="234"/>
      <c r="M89" s="309"/>
      <c r="N89" s="309"/>
      <c r="O89" s="309"/>
      <c r="P89" s="234"/>
      <c r="Q89" s="1228"/>
      <c r="R89" s="1228"/>
      <c r="S89" s="1228"/>
      <c r="T89" s="1228"/>
      <c r="U89" s="1228"/>
      <c r="V89" s="234"/>
      <c r="W89" s="309"/>
      <c r="X89" s="309"/>
      <c r="Y89" s="309"/>
      <c r="Z89" s="234"/>
      <c r="AA89" s="1228"/>
      <c r="AB89" s="1228"/>
      <c r="AC89" s="1228"/>
      <c r="AD89" s="234"/>
      <c r="AE89" s="395"/>
      <c r="AF89" s="395"/>
    </row>
    <row r="90" spans="2:32" ht="14.85" customHeight="1">
      <c r="B90" s="821" t="s">
        <v>115</v>
      </c>
      <c r="C90" s="530"/>
      <c r="D90" s="530"/>
      <c r="E90" s="530"/>
      <c r="F90" s="530"/>
      <c r="G90" s="530"/>
      <c r="H90" s="1105">
        <f t="array" ref="H90">QUARTILE(IF($M$11:$M$79=1,H11:H79,""),3)</f>
        <v>695</v>
      </c>
      <c r="I90" s="1105">
        <f t="array" ref="I90">QUARTILE(IF($M$11:$M$79=1,I11:I79,""),3)</f>
        <v>82.5</v>
      </c>
      <c r="J90" s="1105">
        <f t="array" ref="J90">QUARTILE(IF($M$11:$M$79=1,J11:J79,""),3)</f>
        <v>417.5</v>
      </c>
      <c r="K90" s="861">
        <f t="array" ref="K90">QUARTILE(IF($M$11:$M$79=1,K11:K79,""),3)</f>
        <v>0.12339178111937463</v>
      </c>
      <c r="L90" s="234"/>
      <c r="M90" s="309"/>
      <c r="N90" s="309"/>
      <c r="O90" s="309"/>
      <c r="P90" s="234"/>
      <c r="Q90" s="1228"/>
      <c r="R90" s="1228"/>
      <c r="S90" s="1228"/>
      <c r="T90" s="1228"/>
      <c r="U90" s="1228"/>
      <c r="V90" s="234"/>
      <c r="W90" s="309"/>
      <c r="X90" s="309"/>
      <c r="Y90" s="309"/>
      <c r="Z90" s="234"/>
      <c r="AA90" s="1228"/>
      <c r="AB90" s="1228"/>
      <c r="AC90" s="1228"/>
      <c r="AD90" s="234"/>
      <c r="AE90" s="395"/>
      <c r="AF90" s="395"/>
    </row>
    <row r="91" spans="2:32" ht="14.85" customHeight="1">
      <c r="B91" s="821" t="s">
        <v>43</v>
      </c>
      <c r="C91" s="530"/>
      <c r="D91" s="530"/>
      <c r="E91" s="1229"/>
      <c r="F91" s="1229"/>
      <c r="G91" s="530"/>
      <c r="H91" s="1105">
        <f>AVERAGE(H11:H38,H48:H60,H72:H79)</f>
        <v>987.7826</v>
      </c>
      <c r="I91" s="1105">
        <f>AVERAGE(I11:I38,I48:I60,I72:I79)</f>
        <v>41.532857142857146</v>
      </c>
      <c r="J91" s="1105">
        <f>AVERAGE(J11:J38,J48:J60,J72:J79)</f>
        <v>451.34232000000003</v>
      </c>
      <c r="K91" s="861">
        <f>AVERAGE(K11:K38,K48:K60,K72:K79)</f>
        <v>0.11163267478107811</v>
      </c>
      <c r="L91" s="234"/>
      <c r="M91" s="309"/>
      <c r="N91" s="309"/>
      <c r="O91" s="309"/>
      <c r="P91" s="234"/>
      <c r="Q91" s="1228"/>
      <c r="R91" s="1228"/>
      <c r="S91" s="1228"/>
      <c r="T91" s="1228"/>
      <c r="U91" s="1228"/>
      <c r="V91" s="234"/>
      <c r="W91" s="309"/>
      <c r="X91" s="309"/>
      <c r="Y91" s="309"/>
      <c r="Z91" s="234"/>
      <c r="AA91" s="1228"/>
      <c r="AB91" s="1228"/>
      <c r="AC91" s="1228"/>
      <c r="AD91" s="234"/>
      <c r="AE91" s="395"/>
      <c r="AF91" s="395"/>
    </row>
    <row r="92" spans="2:32" ht="14.85" customHeight="1">
      <c r="B92" s="821" t="s">
        <v>44</v>
      </c>
      <c r="C92" s="530"/>
      <c r="D92" s="530"/>
      <c r="E92" s="1229"/>
      <c r="F92" s="1229"/>
      <c r="G92" s="530"/>
      <c r="H92" s="1105">
        <f>MEDIAN(H11:H38,H48:H60,H72:H79)</f>
        <v>327.5</v>
      </c>
      <c r="I92" s="1105">
        <f>MEDIAN(I11:I38,I48:I60,I72:I79)</f>
        <v>20</v>
      </c>
      <c r="J92" s="1105">
        <f>MEDIAN(J11:J38,J48:J60,J72:J79)</f>
        <v>230.3</v>
      </c>
      <c r="K92" s="861">
        <f>MEDIAN(K11:K38,K48:K60,K72:K79)</f>
        <v>6.569343065693431E-2</v>
      </c>
      <c r="L92" s="234"/>
      <c r="M92" s="309"/>
      <c r="N92" s="309"/>
      <c r="O92" s="309"/>
      <c r="P92" s="234"/>
      <c r="Q92" s="1228"/>
      <c r="R92" s="1228"/>
      <c r="S92" s="1228"/>
      <c r="T92" s="1228"/>
      <c r="U92" s="1228"/>
      <c r="V92" s="234"/>
      <c r="W92" s="309"/>
      <c r="X92" s="309"/>
      <c r="Y92" s="309"/>
      <c r="Z92" s="234"/>
      <c r="AA92" s="1228"/>
      <c r="AB92" s="1228"/>
      <c r="AC92" s="1228"/>
      <c r="AD92" s="234"/>
      <c r="AE92" s="395"/>
      <c r="AF92" s="395"/>
    </row>
    <row r="93" spans="2:32" ht="14.85" customHeight="1">
      <c r="B93" s="821" t="s">
        <v>114</v>
      </c>
      <c r="C93" s="530"/>
      <c r="D93" s="530"/>
      <c r="E93" s="1229"/>
      <c r="F93" s="1229"/>
      <c r="G93" s="530"/>
      <c r="H93" s="1105">
        <f t="array" ref="H93">QUARTILE(IF($M$11:$M$79=1,H11:H79,""),1)</f>
        <v>116</v>
      </c>
      <c r="I93" s="1105">
        <f t="array" ref="I93">QUARTILE(IF($M$11:$M$79=1,I11:I79,""),1)</f>
        <v>5</v>
      </c>
      <c r="J93" s="1105">
        <f t="array" ref="J93">QUARTILE(IF($M$11:$M$79=1,J11:J79,""),1)</f>
        <v>56</v>
      </c>
      <c r="K93" s="861">
        <f t="array" ref="K93">QUARTILE(IF($M$11:$M$79=1,K11:K79,""),1)</f>
        <v>3.9531250000000004E-2</v>
      </c>
      <c r="L93" s="234"/>
      <c r="M93" s="309"/>
      <c r="N93" s="309"/>
      <c r="O93" s="309"/>
      <c r="P93" s="234"/>
      <c r="Q93" s="1228"/>
      <c r="R93" s="1228"/>
      <c r="S93" s="1228"/>
      <c r="T93" s="1228"/>
      <c r="U93" s="1228"/>
      <c r="V93" s="234"/>
      <c r="W93" s="309"/>
      <c r="X93" s="309"/>
      <c r="Y93" s="309"/>
      <c r="Z93" s="234"/>
      <c r="AA93" s="1228"/>
      <c r="AB93" s="1228"/>
      <c r="AC93" s="1228"/>
      <c r="AD93" s="234"/>
      <c r="AE93" s="395"/>
      <c r="AF93" s="395"/>
    </row>
    <row r="94" spans="2:32" ht="14.85" customHeight="1">
      <c r="B94" s="754" t="s">
        <v>112</v>
      </c>
      <c r="C94" s="864"/>
      <c r="D94" s="864"/>
      <c r="E94" s="1230"/>
      <c r="F94" s="1230"/>
      <c r="G94" s="864"/>
      <c r="H94" s="1110">
        <f>MIN(H11:H38,H48:H60,H72:H79)</f>
        <v>2</v>
      </c>
      <c r="I94" s="1110">
        <f>MIN(I11:I38,I48:I60,I72:I79)</f>
        <v>1</v>
      </c>
      <c r="J94" s="1110">
        <f>MIN(J11:J38,J48:J60,J72:J79)</f>
        <v>2.758</v>
      </c>
      <c r="K94" s="866">
        <f>MIN(K11:K38,K48:K60,K72:K79)</f>
        <v>1.5748031496062992E-2</v>
      </c>
      <c r="L94" s="234"/>
      <c r="M94" s="309"/>
      <c r="N94" s="309"/>
      <c r="O94" s="309"/>
      <c r="P94" s="234"/>
      <c r="Q94" s="1228"/>
      <c r="R94" s="1228"/>
      <c r="S94" s="1228"/>
      <c r="T94" s="1228"/>
      <c r="U94" s="1228"/>
      <c r="V94" s="234"/>
      <c r="W94" s="309"/>
      <c r="X94" s="309"/>
      <c r="Y94" s="309"/>
      <c r="Z94" s="234"/>
      <c r="AA94" s="1228"/>
      <c r="AB94" s="1228"/>
      <c r="AC94" s="1228"/>
      <c r="AD94" s="234"/>
      <c r="AE94" s="395"/>
      <c r="AF94" s="395"/>
    </row>
    <row r="95" spans="2:32" ht="14.85" customHeight="1"/>
    <row r="96" spans="2:3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sheetData>
  <conditionalFormatting sqref="C4:J4">
    <cfRule type="cellIs" dxfId="234" priority="5" stopIfTrue="1" operator="equal">
      <formula>"input"</formula>
    </cfRule>
  </conditionalFormatting>
  <conditionalFormatting sqref="K4">
    <cfRule type="cellIs" dxfId="233" priority="3" stopIfTrue="1" operator="equal">
      <formula>"input"</formula>
    </cfRule>
  </conditionalFormatting>
  <conditionalFormatting sqref="K4">
    <cfRule type="cellIs" dxfId="232" priority="2" stopIfTrue="1" operator="equal">
      <formula>"input"</formula>
    </cfRule>
  </conditionalFormatting>
  <conditionalFormatting sqref="B4">
    <cfRule type="cellIs" dxfId="231" priority="1" stopIfTrue="1" operator="equal">
      <formula>"input"</formula>
    </cfRule>
  </conditionalFormatting>
  <pageMargins left="0.5" right="0.5" top="0.5" bottom="0.5" header="0.5" footer="0.5"/>
  <pageSetup scale="70" orientation="landscape" r:id="rId1"/>
  <rowBreaks count="2" manualBreakCount="2">
    <brk id="36" max="11" man="1"/>
    <brk id="68" max="11" man="1"/>
  </rowBreaks>
  <legacyDrawingHF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75"/>
  <dimension ref="A1:IV4"/>
  <sheetViews>
    <sheetView workbookViewId="0"/>
  </sheetViews>
  <sheetFormatPr defaultRowHeight="12.75"/>
  <sheetData>
    <row r="1" spans="1:256">
      <c r="A1">
        <v>846</v>
      </c>
      <c r="B1" t="s">
        <v>2052</v>
      </c>
      <c r="C1" t="s">
        <v>2053</v>
      </c>
      <c r="D1" t="s">
        <v>2054</v>
      </c>
      <c r="E1" t="s">
        <v>2055</v>
      </c>
      <c r="F1" t="s">
        <v>2056</v>
      </c>
      <c r="G1" t="s">
        <v>2057</v>
      </c>
      <c r="H1" t="s">
        <v>2058</v>
      </c>
      <c r="I1" t="s">
        <v>2059</v>
      </c>
      <c r="J1" t="s">
        <v>2060</v>
      </c>
      <c r="K1" t="s">
        <v>2061</v>
      </c>
      <c r="L1" t="s">
        <v>2062</v>
      </c>
      <c r="M1" t="s">
        <v>2063</v>
      </c>
      <c r="N1" t="s">
        <v>2064</v>
      </c>
      <c r="O1" t="s">
        <v>2065</v>
      </c>
      <c r="P1" t="s">
        <v>2066</v>
      </c>
      <c r="Q1" t="s">
        <v>2067</v>
      </c>
      <c r="R1" t="s">
        <v>2068</v>
      </c>
      <c r="S1" t="s">
        <v>2069</v>
      </c>
      <c r="T1" t="s">
        <v>2070</v>
      </c>
      <c r="U1" t="s">
        <v>2071</v>
      </c>
      <c r="V1" t="s">
        <v>2072</v>
      </c>
      <c r="W1" t="s">
        <v>2073</v>
      </c>
      <c r="X1" t="s">
        <v>2074</v>
      </c>
      <c r="Y1" t="s">
        <v>2075</v>
      </c>
      <c r="Z1" t="s">
        <v>2076</v>
      </c>
      <c r="AA1" t="s">
        <v>2077</v>
      </c>
      <c r="AB1" t="s">
        <v>2078</v>
      </c>
      <c r="AC1" t="s">
        <v>2079</v>
      </c>
      <c r="AD1" t="s">
        <v>2080</v>
      </c>
      <c r="AE1" t="s">
        <v>2081</v>
      </c>
      <c r="AF1" t="s">
        <v>2082</v>
      </c>
      <c r="AG1" t="s">
        <v>2083</v>
      </c>
      <c r="AH1" t="s">
        <v>2084</v>
      </c>
      <c r="AI1" t="s">
        <v>2085</v>
      </c>
      <c r="AJ1" t="s">
        <v>2086</v>
      </c>
      <c r="AK1" t="s">
        <v>2087</v>
      </c>
      <c r="AL1" t="s">
        <v>2088</v>
      </c>
      <c r="AM1" t="s">
        <v>2089</v>
      </c>
      <c r="AN1" t="s">
        <v>2090</v>
      </c>
      <c r="AO1" t="s">
        <v>2091</v>
      </c>
      <c r="AP1" t="s">
        <v>2092</v>
      </c>
      <c r="AQ1" t="s">
        <v>2093</v>
      </c>
      <c r="AR1" t="s">
        <v>2094</v>
      </c>
      <c r="AS1" t="s">
        <v>2095</v>
      </c>
      <c r="AT1" t="s">
        <v>2096</v>
      </c>
      <c r="AU1" t="s">
        <v>2097</v>
      </c>
      <c r="AV1" t="s">
        <v>2098</v>
      </c>
      <c r="AW1" t="s">
        <v>2099</v>
      </c>
      <c r="AX1" t="s">
        <v>2100</v>
      </c>
      <c r="AY1" t="s">
        <v>2101</v>
      </c>
      <c r="AZ1" t="s">
        <v>2102</v>
      </c>
      <c r="BA1" t="s">
        <v>2103</v>
      </c>
      <c r="BB1" t="s">
        <v>2104</v>
      </c>
      <c r="BC1" t="s">
        <v>2105</v>
      </c>
      <c r="BD1" t="s">
        <v>2106</v>
      </c>
      <c r="BE1" t="s">
        <v>2107</v>
      </c>
      <c r="BF1" t="s">
        <v>2108</v>
      </c>
      <c r="BG1" t="s">
        <v>2109</v>
      </c>
      <c r="BH1" t="s">
        <v>2110</v>
      </c>
      <c r="BI1" t="s">
        <v>2111</v>
      </c>
      <c r="BJ1" t="s">
        <v>2112</v>
      </c>
      <c r="BK1" t="s">
        <v>2113</v>
      </c>
      <c r="BL1" t="s">
        <v>2114</v>
      </c>
      <c r="BM1" t="s">
        <v>2115</v>
      </c>
      <c r="BN1" t="s">
        <v>2116</v>
      </c>
      <c r="BO1" t="s">
        <v>2117</v>
      </c>
      <c r="BP1" t="s">
        <v>2118</v>
      </c>
      <c r="BQ1" t="s">
        <v>2119</v>
      </c>
      <c r="BR1" t="s">
        <v>2120</v>
      </c>
      <c r="BS1" t="s">
        <v>2121</v>
      </c>
      <c r="BT1" t="s">
        <v>2122</v>
      </c>
      <c r="BU1" t="s">
        <v>2123</v>
      </c>
      <c r="BV1" t="s">
        <v>2124</v>
      </c>
      <c r="BW1" t="s">
        <v>2125</v>
      </c>
      <c r="BX1" t="s">
        <v>2126</v>
      </c>
      <c r="BY1" t="s">
        <v>2127</v>
      </c>
      <c r="BZ1" t="s">
        <v>2128</v>
      </c>
      <c r="CA1" t="s">
        <v>2129</v>
      </c>
      <c r="CB1" t="s">
        <v>2130</v>
      </c>
      <c r="CC1" t="s">
        <v>2131</v>
      </c>
      <c r="CD1" t="s">
        <v>2132</v>
      </c>
      <c r="CE1" t="s">
        <v>2133</v>
      </c>
      <c r="CF1" t="s">
        <v>2134</v>
      </c>
      <c r="CG1" t="s">
        <v>2135</v>
      </c>
      <c r="CH1" t="s">
        <v>2136</v>
      </c>
      <c r="CI1" t="s">
        <v>2137</v>
      </c>
      <c r="CJ1" t="s">
        <v>2138</v>
      </c>
      <c r="CK1" t="s">
        <v>2139</v>
      </c>
      <c r="CL1" t="s">
        <v>2140</v>
      </c>
      <c r="CM1" t="s">
        <v>2141</v>
      </c>
      <c r="CN1" t="s">
        <v>2142</v>
      </c>
      <c r="CO1" t="s">
        <v>2143</v>
      </c>
      <c r="CP1" t="s">
        <v>2144</v>
      </c>
      <c r="CQ1" t="s">
        <v>2145</v>
      </c>
      <c r="CR1" t="s">
        <v>2146</v>
      </c>
      <c r="CS1" t="s">
        <v>2147</v>
      </c>
      <c r="CT1" t="s">
        <v>2148</v>
      </c>
      <c r="CU1" t="s">
        <v>2149</v>
      </c>
      <c r="CV1" t="s">
        <v>2150</v>
      </c>
      <c r="CW1" t="s">
        <v>2151</v>
      </c>
      <c r="CX1" t="s">
        <v>2152</v>
      </c>
      <c r="CY1" t="s">
        <v>2153</v>
      </c>
      <c r="CZ1" t="s">
        <v>2154</v>
      </c>
      <c r="DA1" t="s">
        <v>2155</v>
      </c>
      <c r="DB1" t="s">
        <v>2156</v>
      </c>
      <c r="DC1" t="s">
        <v>2157</v>
      </c>
      <c r="DD1" t="s">
        <v>2158</v>
      </c>
      <c r="DE1" t="s">
        <v>2159</v>
      </c>
      <c r="DF1" t="s">
        <v>2160</v>
      </c>
      <c r="DG1" t="s">
        <v>2161</v>
      </c>
      <c r="DH1" t="s">
        <v>2162</v>
      </c>
      <c r="DI1" t="s">
        <v>2163</v>
      </c>
      <c r="DJ1" t="s">
        <v>2164</v>
      </c>
      <c r="DK1" t="s">
        <v>2165</v>
      </c>
      <c r="DL1" t="s">
        <v>2166</v>
      </c>
      <c r="DM1" t="s">
        <v>2167</v>
      </c>
      <c r="DN1" t="s">
        <v>2168</v>
      </c>
      <c r="DO1" t="s">
        <v>2169</v>
      </c>
      <c r="DP1" t="s">
        <v>2170</v>
      </c>
      <c r="DQ1" t="s">
        <v>2171</v>
      </c>
      <c r="DR1" t="s">
        <v>2172</v>
      </c>
      <c r="DS1" t="s">
        <v>2173</v>
      </c>
      <c r="DT1" t="s">
        <v>2174</v>
      </c>
      <c r="DU1" t="s">
        <v>2175</v>
      </c>
      <c r="DV1" t="s">
        <v>2176</v>
      </c>
      <c r="DW1" t="s">
        <v>2177</v>
      </c>
      <c r="DX1" t="s">
        <v>2178</v>
      </c>
      <c r="DY1" t="s">
        <v>2179</v>
      </c>
      <c r="DZ1" t="s">
        <v>2180</v>
      </c>
      <c r="EA1" t="s">
        <v>2181</v>
      </c>
      <c r="EB1" t="s">
        <v>2182</v>
      </c>
      <c r="EC1" t="s">
        <v>2183</v>
      </c>
      <c r="ED1" t="s">
        <v>2184</v>
      </c>
      <c r="EE1" t="s">
        <v>2185</v>
      </c>
      <c r="EF1" t="s">
        <v>2186</v>
      </c>
      <c r="EG1" t="s">
        <v>2187</v>
      </c>
      <c r="EH1" t="s">
        <v>2188</v>
      </c>
      <c r="EI1" t="s">
        <v>2189</v>
      </c>
      <c r="EJ1" t="s">
        <v>2190</v>
      </c>
      <c r="EK1" t="s">
        <v>2191</v>
      </c>
      <c r="EL1" t="s">
        <v>2192</v>
      </c>
      <c r="EM1" t="s">
        <v>2193</v>
      </c>
      <c r="EN1" t="s">
        <v>2194</v>
      </c>
      <c r="EO1" t="s">
        <v>2195</v>
      </c>
      <c r="EP1" t="s">
        <v>2196</v>
      </c>
      <c r="EQ1" t="s">
        <v>2197</v>
      </c>
      <c r="ER1" t="s">
        <v>2198</v>
      </c>
      <c r="ES1" t="s">
        <v>2199</v>
      </c>
      <c r="ET1" t="s">
        <v>2200</v>
      </c>
      <c r="EU1" t="s">
        <v>2201</v>
      </c>
      <c r="EV1" t="s">
        <v>2202</v>
      </c>
      <c r="EW1" t="s">
        <v>2203</v>
      </c>
      <c r="EX1" t="s">
        <v>2204</v>
      </c>
      <c r="EY1" t="s">
        <v>2205</v>
      </c>
      <c r="EZ1" t="s">
        <v>2206</v>
      </c>
      <c r="FA1" t="s">
        <v>2207</v>
      </c>
      <c r="FB1" t="s">
        <v>2208</v>
      </c>
      <c r="FC1" t="s">
        <v>2209</v>
      </c>
      <c r="FD1" t="s">
        <v>2210</v>
      </c>
      <c r="FE1" t="s">
        <v>2211</v>
      </c>
      <c r="FF1" t="s">
        <v>2212</v>
      </c>
      <c r="FG1" t="s">
        <v>2213</v>
      </c>
      <c r="FH1" t="s">
        <v>2214</v>
      </c>
      <c r="FI1" t="s">
        <v>2215</v>
      </c>
      <c r="FJ1" t="s">
        <v>2216</v>
      </c>
      <c r="FK1" t="s">
        <v>2217</v>
      </c>
      <c r="FL1" t="s">
        <v>2218</v>
      </c>
      <c r="FM1" t="s">
        <v>2219</v>
      </c>
      <c r="FN1" t="s">
        <v>2220</v>
      </c>
      <c r="FO1" t="s">
        <v>2221</v>
      </c>
      <c r="FP1" t="s">
        <v>2222</v>
      </c>
      <c r="FQ1" t="s">
        <v>2223</v>
      </c>
      <c r="FR1" t="s">
        <v>2224</v>
      </c>
      <c r="FS1" t="s">
        <v>2225</v>
      </c>
      <c r="FT1" t="s">
        <v>2226</v>
      </c>
      <c r="FU1" t="s">
        <v>2227</v>
      </c>
      <c r="FV1" t="s">
        <v>2228</v>
      </c>
      <c r="FW1" t="s">
        <v>2229</v>
      </c>
      <c r="FX1" t="s">
        <v>2230</v>
      </c>
      <c r="FY1" t="s">
        <v>2231</v>
      </c>
      <c r="FZ1" t="s">
        <v>2232</v>
      </c>
      <c r="GA1" t="s">
        <v>2233</v>
      </c>
      <c r="GB1" t="s">
        <v>2234</v>
      </c>
      <c r="GC1" t="s">
        <v>2235</v>
      </c>
      <c r="GD1" t="s">
        <v>2236</v>
      </c>
      <c r="GE1" t="s">
        <v>2237</v>
      </c>
      <c r="GF1" t="s">
        <v>2238</v>
      </c>
      <c r="GG1" t="s">
        <v>2239</v>
      </c>
      <c r="GH1" t="s">
        <v>2240</v>
      </c>
      <c r="GI1" t="s">
        <v>2241</v>
      </c>
      <c r="GJ1" t="s">
        <v>2242</v>
      </c>
      <c r="GK1" t="s">
        <v>2243</v>
      </c>
      <c r="GL1" t="s">
        <v>2244</v>
      </c>
      <c r="GM1" t="s">
        <v>2245</v>
      </c>
      <c r="GN1" t="s">
        <v>2246</v>
      </c>
      <c r="GO1" t="s">
        <v>2247</v>
      </c>
      <c r="GP1" t="s">
        <v>2248</v>
      </c>
      <c r="GQ1" t="s">
        <v>2249</v>
      </c>
      <c r="GR1" t="s">
        <v>2250</v>
      </c>
      <c r="GS1" t="s">
        <v>2251</v>
      </c>
      <c r="GT1" t="s">
        <v>2252</v>
      </c>
      <c r="GU1" t="s">
        <v>2253</v>
      </c>
      <c r="GV1" t="s">
        <v>2254</v>
      </c>
      <c r="GW1" t="s">
        <v>2255</v>
      </c>
      <c r="GX1" t="s">
        <v>2256</v>
      </c>
      <c r="GY1" t="s">
        <v>2257</v>
      </c>
      <c r="GZ1" t="s">
        <v>2258</v>
      </c>
      <c r="HA1" t="s">
        <v>2259</v>
      </c>
      <c r="HB1" t="s">
        <v>2260</v>
      </c>
      <c r="HC1" t="s">
        <v>2261</v>
      </c>
      <c r="HD1" t="s">
        <v>2262</v>
      </c>
      <c r="HE1" t="s">
        <v>2263</v>
      </c>
      <c r="HF1" t="s">
        <v>2264</v>
      </c>
      <c r="HG1" t="s">
        <v>2265</v>
      </c>
      <c r="HH1" t="s">
        <v>2266</v>
      </c>
      <c r="HI1" t="s">
        <v>2267</v>
      </c>
      <c r="HJ1" t="s">
        <v>2268</v>
      </c>
      <c r="HK1" t="s">
        <v>2269</v>
      </c>
      <c r="HL1" t="s">
        <v>2270</v>
      </c>
      <c r="HM1" t="s">
        <v>2271</v>
      </c>
      <c r="HN1" t="s">
        <v>2272</v>
      </c>
      <c r="HO1" t="s">
        <v>2273</v>
      </c>
      <c r="HP1" t="s">
        <v>2274</v>
      </c>
      <c r="HQ1" t="s">
        <v>2275</v>
      </c>
      <c r="HR1" t="s">
        <v>2276</v>
      </c>
      <c r="HS1" t="s">
        <v>2277</v>
      </c>
      <c r="HT1" t="s">
        <v>2278</v>
      </c>
      <c r="HU1" t="s">
        <v>2279</v>
      </c>
      <c r="HV1" t="s">
        <v>2280</v>
      </c>
      <c r="HW1" t="s">
        <v>2281</v>
      </c>
      <c r="HX1" t="s">
        <v>2282</v>
      </c>
      <c r="HY1" t="s">
        <v>2283</v>
      </c>
      <c r="HZ1" t="s">
        <v>2284</v>
      </c>
      <c r="IA1" t="s">
        <v>2285</v>
      </c>
      <c r="IB1" t="s">
        <v>2286</v>
      </c>
      <c r="IC1" t="s">
        <v>2287</v>
      </c>
      <c r="ID1" t="s">
        <v>2288</v>
      </c>
      <c r="IE1" t="s">
        <v>2289</v>
      </c>
      <c r="IF1" t="s">
        <v>2290</v>
      </c>
      <c r="IG1" t="s">
        <v>2291</v>
      </c>
      <c r="IH1" t="s">
        <v>2292</v>
      </c>
      <c r="II1" t="s">
        <v>2293</v>
      </c>
      <c r="IJ1" t="s">
        <v>2294</v>
      </c>
      <c r="IK1" t="s">
        <v>2295</v>
      </c>
      <c r="IL1" t="s">
        <v>2296</v>
      </c>
      <c r="IM1" t="s">
        <v>2297</v>
      </c>
      <c r="IN1" t="s">
        <v>2298</v>
      </c>
      <c r="IO1" t="s">
        <v>2299</v>
      </c>
      <c r="IP1" t="s">
        <v>2300</v>
      </c>
      <c r="IQ1" t="s">
        <v>2301</v>
      </c>
      <c r="IR1" t="s">
        <v>2302</v>
      </c>
      <c r="IS1" t="s">
        <v>2303</v>
      </c>
      <c r="IT1" t="s">
        <v>2304</v>
      </c>
      <c r="IU1" t="s">
        <v>2305</v>
      </c>
      <c r="IV1" t="s">
        <v>2306</v>
      </c>
    </row>
    <row r="2" spans="1:256">
      <c r="A2" t="s">
        <v>2307</v>
      </c>
      <c r="B2" t="s">
        <v>2308</v>
      </c>
      <c r="C2" t="s">
        <v>2309</v>
      </c>
      <c r="D2" t="s">
        <v>2310</v>
      </c>
      <c r="E2" t="s">
        <v>2311</v>
      </c>
      <c r="F2" t="s">
        <v>2312</v>
      </c>
      <c r="G2" t="s">
        <v>2313</v>
      </c>
      <c r="H2" t="s">
        <v>2314</v>
      </c>
      <c r="I2" t="s">
        <v>2315</v>
      </c>
      <c r="J2" t="s">
        <v>2316</v>
      </c>
      <c r="K2" t="s">
        <v>2317</v>
      </c>
      <c r="L2" t="s">
        <v>2318</v>
      </c>
      <c r="M2" t="s">
        <v>2319</v>
      </c>
      <c r="N2" t="s">
        <v>2320</v>
      </c>
      <c r="O2" t="s">
        <v>2321</v>
      </c>
      <c r="P2" t="s">
        <v>2322</v>
      </c>
      <c r="Q2" t="s">
        <v>2323</v>
      </c>
      <c r="R2" t="s">
        <v>2324</v>
      </c>
      <c r="S2" t="s">
        <v>2325</v>
      </c>
      <c r="T2" t="s">
        <v>2326</v>
      </c>
      <c r="U2" t="s">
        <v>2327</v>
      </c>
      <c r="V2" t="s">
        <v>2328</v>
      </c>
      <c r="W2" t="s">
        <v>2329</v>
      </c>
      <c r="X2" t="s">
        <v>2330</v>
      </c>
      <c r="Y2" t="s">
        <v>2331</v>
      </c>
      <c r="Z2" t="s">
        <v>2332</v>
      </c>
      <c r="AA2" t="s">
        <v>2333</v>
      </c>
      <c r="AB2" t="s">
        <v>2334</v>
      </c>
      <c r="AC2" t="s">
        <v>2335</v>
      </c>
      <c r="AD2" t="s">
        <v>2336</v>
      </c>
      <c r="AE2" t="s">
        <v>2337</v>
      </c>
      <c r="AF2" t="s">
        <v>2338</v>
      </c>
      <c r="AG2" t="s">
        <v>2339</v>
      </c>
      <c r="AH2" t="s">
        <v>2340</v>
      </c>
      <c r="AI2" t="s">
        <v>2341</v>
      </c>
      <c r="AJ2" t="s">
        <v>2342</v>
      </c>
      <c r="AK2" t="s">
        <v>2343</v>
      </c>
      <c r="AL2" t="s">
        <v>2344</v>
      </c>
      <c r="AM2" t="s">
        <v>2345</v>
      </c>
      <c r="AN2" t="s">
        <v>2346</v>
      </c>
      <c r="AO2" t="s">
        <v>2347</v>
      </c>
      <c r="AP2" t="s">
        <v>2348</v>
      </c>
      <c r="AQ2" t="s">
        <v>2349</v>
      </c>
      <c r="AR2" t="s">
        <v>2350</v>
      </c>
      <c r="AS2" t="s">
        <v>2351</v>
      </c>
      <c r="AT2" t="s">
        <v>2352</v>
      </c>
      <c r="AU2" t="s">
        <v>2353</v>
      </c>
      <c r="AV2" t="s">
        <v>2354</v>
      </c>
      <c r="AW2" t="s">
        <v>2355</v>
      </c>
      <c r="AX2" t="s">
        <v>2356</v>
      </c>
      <c r="AY2" t="s">
        <v>2357</v>
      </c>
      <c r="AZ2" t="s">
        <v>2358</v>
      </c>
      <c r="BA2" t="s">
        <v>2359</v>
      </c>
      <c r="BB2" t="s">
        <v>2360</v>
      </c>
      <c r="BC2" t="s">
        <v>2361</v>
      </c>
      <c r="BD2" t="s">
        <v>2362</v>
      </c>
      <c r="BE2" t="s">
        <v>2363</v>
      </c>
      <c r="BF2" t="s">
        <v>2364</v>
      </c>
      <c r="BG2" t="s">
        <v>2365</v>
      </c>
      <c r="BH2" t="s">
        <v>2366</v>
      </c>
      <c r="BI2" t="s">
        <v>2367</v>
      </c>
      <c r="BJ2" t="s">
        <v>2368</v>
      </c>
      <c r="BK2" t="s">
        <v>2369</v>
      </c>
      <c r="BL2" t="s">
        <v>2370</v>
      </c>
      <c r="BM2" t="s">
        <v>2371</v>
      </c>
      <c r="BN2" t="s">
        <v>2372</v>
      </c>
      <c r="BO2" t="s">
        <v>2373</v>
      </c>
      <c r="BP2" t="s">
        <v>2374</v>
      </c>
      <c r="BQ2" t="s">
        <v>2375</v>
      </c>
      <c r="BR2" t="s">
        <v>2376</v>
      </c>
      <c r="BS2" t="s">
        <v>2377</v>
      </c>
      <c r="BT2" t="s">
        <v>2378</v>
      </c>
      <c r="BU2" t="s">
        <v>2379</v>
      </c>
      <c r="BV2" t="s">
        <v>2380</v>
      </c>
      <c r="BW2" t="s">
        <v>2381</v>
      </c>
      <c r="BX2" t="s">
        <v>2382</v>
      </c>
      <c r="BY2" t="s">
        <v>2383</v>
      </c>
      <c r="BZ2" t="s">
        <v>2384</v>
      </c>
      <c r="CA2" t="s">
        <v>2385</v>
      </c>
      <c r="CB2" t="s">
        <v>2386</v>
      </c>
      <c r="CC2" t="s">
        <v>2387</v>
      </c>
      <c r="CD2" t="s">
        <v>2388</v>
      </c>
      <c r="CE2" t="s">
        <v>2389</v>
      </c>
      <c r="CF2" t="s">
        <v>2390</v>
      </c>
      <c r="CG2" t="s">
        <v>2391</v>
      </c>
      <c r="CH2" t="s">
        <v>2392</v>
      </c>
      <c r="CI2" t="s">
        <v>2393</v>
      </c>
      <c r="CJ2" t="s">
        <v>2394</v>
      </c>
      <c r="CK2" t="s">
        <v>2395</v>
      </c>
      <c r="CL2" t="s">
        <v>2396</v>
      </c>
      <c r="CM2" t="s">
        <v>2397</v>
      </c>
      <c r="CN2" t="s">
        <v>2398</v>
      </c>
      <c r="CO2" t="s">
        <v>2399</v>
      </c>
      <c r="CP2" t="s">
        <v>2400</v>
      </c>
      <c r="CQ2" t="s">
        <v>2401</v>
      </c>
      <c r="CR2" t="s">
        <v>2402</v>
      </c>
      <c r="CS2" t="s">
        <v>2403</v>
      </c>
      <c r="CT2" t="s">
        <v>2404</v>
      </c>
      <c r="CU2" t="s">
        <v>2405</v>
      </c>
      <c r="CV2" t="s">
        <v>2406</v>
      </c>
      <c r="CW2" t="s">
        <v>2407</v>
      </c>
      <c r="CX2" t="s">
        <v>2408</v>
      </c>
      <c r="CY2" t="s">
        <v>2409</v>
      </c>
      <c r="CZ2" t="s">
        <v>2410</v>
      </c>
      <c r="DA2" t="s">
        <v>2411</v>
      </c>
      <c r="DB2" t="s">
        <v>2412</v>
      </c>
      <c r="DC2" t="s">
        <v>2413</v>
      </c>
      <c r="DD2" t="s">
        <v>2414</v>
      </c>
      <c r="DE2" t="s">
        <v>2415</v>
      </c>
      <c r="DF2" t="s">
        <v>2416</v>
      </c>
      <c r="DG2" t="s">
        <v>2417</v>
      </c>
      <c r="DH2" t="s">
        <v>2418</v>
      </c>
      <c r="DI2" t="s">
        <v>2419</v>
      </c>
      <c r="DJ2" t="s">
        <v>2420</v>
      </c>
      <c r="DK2" t="s">
        <v>2421</v>
      </c>
      <c r="DL2" t="s">
        <v>2422</v>
      </c>
      <c r="DM2" t="s">
        <v>2423</v>
      </c>
      <c r="DN2" t="s">
        <v>2424</v>
      </c>
      <c r="DO2" t="s">
        <v>2425</v>
      </c>
      <c r="DP2" t="s">
        <v>2426</v>
      </c>
      <c r="DQ2" t="s">
        <v>2427</v>
      </c>
      <c r="DR2" t="s">
        <v>2428</v>
      </c>
      <c r="DS2" t="s">
        <v>2429</v>
      </c>
      <c r="DT2" t="s">
        <v>2430</v>
      </c>
      <c r="DU2" t="s">
        <v>2431</v>
      </c>
      <c r="DV2" t="s">
        <v>2432</v>
      </c>
      <c r="DW2" t="s">
        <v>2433</v>
      </c>
      <c r="DX2" t="s">
        <v>2434</v>
      </c>
      <c r="DY2" t="s">
        <v>2435</v>
      </c>
      <c r="DZ2" t="s">
        <v>2436</v>
      </c>
      <c r="EA2" t="s">
        <v>2437</v>
      </c>
      <c r="EB2" t="s">
        <v>2438</v>
      </c>
      <c r="EC2" t="s">
        <v>2439</v>
      </c>
      <c r="ED2" t="s">
        <v>2440</v>
      </c>
      <c r="EE2" t="s">
        <v>2441</v>
      </c>
      <c r="EF2" t="s">
        <v>2442</v>
      </c>
      <c r="EG2" t="s">
        <v>2443</v>
      </c>
      <c r="EH2" t="s">
        <v>2444</v>
      </c>
      <c r="EI2" t="s">
        <v>2445</v>
      </c>
      <c r="EJ2" t="s">
        <v>2446</v>
      </c>
      <c r="EK2" t="s">
        <v>2447</v>
      </c>
      <c r="EL2" t="s">
        <v>2448</v>
      </c>
      <c r="EM2" t="s">
        <v>2449</v>
      </c>
      <c r="EN2" t="s">
        <v>2450</v>
      </c>
      <c r="EO2" t="s">
        <v>2451</v>
      </c>
      <c r="EP2" t="s">
        <v>2452</v>
      </c>
      <c r="EQ2" t="s">
        <v>2453</v>
      </c>
      <c r="ER2" t="s">
        <v>2454</v>
      </c>
      <c r="ES2" t="s">
        <v>2455</v>
      </c>
      <c r="ET2" t="s">
        <v>2456</v>
      </c>
      <c r="EU2" t="s">
        <v>2457</v>
      </c>
      <c r="EV2" t="s">
        <v>2458</v>
      </c>
      <c r="EW2" t="s">
        <v>2459</v>
      </c>
      <c r="EX2" t="s">
        <v>2460</v>
      </c>
      <c r="EY2" t="s">
        <v>2461</v>
      </c>
      <c r="EZ2" t="s">
        <v>2462</v>
      </c>
      <c r="FA2" t="s">
        <v>2463</v>
      </c>
      <c r="FB2" t="s">
        <v>2464</v>
      </c>
      <c r="FC2" t="s">
        <v>2465</v>
      </c>
      <c r="FD2" t="s">
        <v>2466</v>
      </c>
      <c r="FE2" t="s">
        <v>2467</v>
      </c>
      <c r="FF2" t="s">
        <v>2468</v>
      </c>
      <c r="FG2" t="s">
        <v>2469</v>
      </c>
      <c r="FH2" t="s">
        <v>2470</v>
      </c>
      <c r="FI2" t="s">
        <v>2471</v>
      </c>
      <c r="FJ2" t="s">
        <v>2472</v>
      </c>
      <c r="FK2" t="s">
        <v>2473</v>
      </c>
      <c r="FL2" t="s">
        <v>2474</v>
      </c>
      <c r="FM2" t="s">
        <v>2475</v>
      </c>
      <c r="FN2" t="s">
        <v>2476</v>
      </c>
      <c r="FO2" t="s">
        <v>2477</v>
      </c>
      <c r="FP2" t="s">
        <v>2478</v>
      </c>
      <c r="FQ2" t="s">
        <v>2479</v>
      </c>
      <c r="FR2" t="s">
        <v>2480</v>
      </c>
      <c r="FS2" t="s">
        <v>2481</v>
      </c>
      <c r="FT2" t="s">
        <v>2482</v>
      </c>
      <c r="FU2" t="s">
        <v>2483</v>
      </c>
      <c r="FV2" t="s">
        <v>2484</v>
      </c>
      <c r="FW2" t="s">
        <v>2485</v>
      </c>
      <c r="FX2" t="s">
        <v>2486</v>
      </c>
      <c r="FY2" t="s">
        <v>2487</v>
      </c>
      <c r="FZ2" t="s">
        <v>2488</v>
      </c>
      <c r="GA2" t="s">
        <v>2489</v>
      </c>
      <c r="GB2" t="s">
        <v>2490</v>
      </c>
      <c r="GC2" t="s">
        <v>2491</v>
      </c>
      <c r="GD2" t="s">
        <v>2492</v>
      </c>
      <c r="GE2" t="s">
        <v>2493</v>
      </c>
      <c r="GF2" t="s">
        <v>2494</v>
      </c>
      <c r="GG2" t="s">
        <v>2495</v>
      </c>
      <c r="GH2" t="s">
        <v>2496</v>
      </c>
      <c r="GI2" t="s">
        <v>2497</v>
      </c>
      <c r="GJ2" t="s">
        <v>2498</v>
      </c>
      <c r="GK2" t="s">
        <v>2499</v>
      </c>
      <c r="GL2" t="s">
        <v>2500</v>
      </c>
      <c r="GM2" t="s">
        <v>2501</v>
      </c>
      <c r="GN2" t="s">
        <v>2502</v>
      </c>
      <c r="GO2" t="s">
        <v>2503</v>
      </c>
      <c r="GP2" t="s">
        <v>2504</v>
      </c>
      <c r="GQ2" t="s">
        <v>2505</v>
      </c>
      <c r="GR2" t="s">
        <v>2506</v>
      </c>
      <c r="GS2" t="s">
        <v>2507</v>
      </c>
      <c r="GT2" t="s">
        <v>2508</v>
      </c>
      <c r="GU2" t="s">
        <v>2509</v>
      </c>
      <c r="GV2" t="s">
        <v>2510</v>
      </c>
      <c r="GW2" t="s">
        <v>2511</v>
      </c>
      <c r="GX2" t="s">
        <v>2512</v>
      </c>
      <c r="GY2" t="s">
        <v>2513</v>
      </c>
      <c r="GZ2" t="s">
        <v>2514</v>
      </c>
      <c r="HA2" t="s">
        <v>2515</v>
      </c>
      <c r="HB2" t="s">
        <v>2516</v>
      </c>
      <c r="HC2" t="s">
        <v>2517</v>
      </c>
      <c r="HD2" t="s">
        <v>2518</v>
      </c>
      <c r="HE2" t="s">
        <v>2519</v>
      </c>
      <c r="HF2" t="s">
        <v>2520</v>
      </c>
      <c r="HG2" t="s">
        <v>2521</v>
      </c>
      <c r="HH2" t="s">
        <v>2522</v>
      </c>
      <c r="HI2" t="s">
        <v>2523</v>
      </c>
      <c r="HJ2" t="s">
        <v>2524</v>
      </c>
      <c r="HK2" t="s">
        <v>2525</v>
      </c>
      <c r="HL2" t="s">
        <v>2526</v>
      </c>
      <c r="HM2" t="s">
        <v>2527</v>
      </c>
      <c r="HN2" t="s">
        <v>2528</v>
      </c>
      <c r="HO2" t="s">
        <v>2529</v>
      </c>
      <c r="HP2" t="s">
        <v>2530</v>
      </c>
      <c r="HQ2" t="s">
        <v>2531</v>
      </c>
      <c r="HR2" t="s">
        <v>2532</v>
      </c>
      <c r="HS2" t="s">
        <v>2533</v>
      </c>
      <c r="HT2" t="s">
        <v>2534</v>
      </c>
      <c r="HU2" t="s">
        <v>2535</v>
      </c>
      <c r="HV2" t="s">
        <v>2536</v>
      </c>
      <c r="HW2" t="s">
        <v>2537</v>
      </c>
      <c r="HX2" t="s">
        <v>2538</v>
      </c>
      <c r="HY2" t="s">
        <v>2539</v>
      </c>
      <c r="HZ2" t="s">
        <v>2540</v>
      </c>
      <c r="IA2" t="s">
        <v>2541</v>
      </c>
      <c r="IB2" t="s">
        <v>2542</v>
      </c>
      <c r="IC2" t="s">
        <v>2543</v>
      </c>
      <c r="ID2" t="s">
        <v>2544</v>
      </c>
      <c r="IE2" t="s">
        <v>2545</v>
      </c>
      <c r="IF2" t="s">
        <v>2546</v>
      </c>
      <c r="IG2" t="s">
        <v>2547</v>
      </c>
      <c r="IH2" t="s">
        <v>2548</v>
      </c>
      <c r="II2" t="s">
        <v>2549</v>
      </c>
      <c r="IJ2" t="s">
        <v>2550</v>
      </c>
      <c r="IK2" t="s">
        <v>2551</v>
      </c>
      <c r="IL2" t="s">
        <v>2552</v>
      </c>
      <c r="IM2" t="s">
        <v>2553</v>
      </c>
      <c r="IN2" t="s">
        <v>2554</v>
      </c>
      <c r="IO2" t="s">
        <v>2555</v>
      </c>
      <c r="IP2" t="s">
        <v>2556</v>
      </c>
      <c r="IQ2" t="s">
        <v>2557</v>
      </c>
      <c r="IR2" t="s">
        <v>2558</v>
      </c>
      <c r="IS2" t="s">
        <v>2559</v>
      </c>
      <c r="IT2" t="s">
        <v>2560</v>
      </c>
      <c r="IU2" t="s">
        <v>2561</v>
      </c>
      <c r="IV2" t="s">
        <v>2562</v>
      </c>
    </row>
    <row r="3" spans="1:256">
      <c r="A3" t="s">
        <v>2563</v>
      </c>
      <c r="B3" t="s">
        <v>2564</v>
      </c>
      <c r="C3" t="s">
        <v>2565</v>
      </c>
      <c r="D3" t="s">
        <v>2566</v>
      </c>
      <c r="E3" t="s">
        <v>2567</v>
      </c>
      <c r="F3" t="s">
        <v>2568</v>
      </c>
      <c r="G3" t="s">
        <v>2569</v>
      </c>
      <c r="H3" t="s">
        <v>2570</v>
      </c>
      <c r="I3" t="s">
        <v>2571</v>
      </c>
      <c r="J3" t="s">
        <v>2572</v>
      </c>
      <c r="K3" t="s">
        <v>2573</v>
      </c>
      <c r="L3" t="s">
        <v>2574</v>
      </c>
      <c r="M3" t="s">
        <v>2575</v>
      </c>
      <c r="N3" t="s">
        <v>2576</v>
      </c>
      <c r="O3" t="s">
        <v>2577</v>
      </c>
      <c r="P3" t="s">
        <v>2578</v>
      </c>
      <c r="Q3" t="s">
        <v>2579</v>
      </c>
      <c r="R3" t="s">
        <v>2580</v>
      </c>
      <c r="S3" t="s">
        <v>2581</v>
      </c>
      <c r="T3" t="s">
        <v>2582</v>
      </c>
      <c r="U3" t="s">
        <v>2583</v>
      </c>
      <c r="V3" t="s">
        <v>2584</v>
      </c>
      <c r="W3" t="s">
        <v>2585</v>
      </c>
      <c r="X3" t="s">
        <v>2586</v>
      </c>
      <c r="Y3" t="s">
        <v>2587</v>
      </c>
      <c r="Z3" t="s">
        <v>2588</v>
      </c>
      <c r="AA3" t="s">
        <v>2589</v>
      </c>
      <c r="AB3" t="s">
        <v>2590</v>
      </c>
      <c r="AC3" t="s">
        <v>2591</v>
      </c>
      <c r="AD3" t="s">
        <v>2592</v>
      </c>
      <c r="AE3" t="s">
        <v>2593</v>
      </c>
      <c r="AF3" t="s">
        <v>2594</v>
      </c>
      <c r="AG3" t="s">
        <v>2595</v>
      </c>
      <c r="AH3" t="s">
        <v>2596</v>
      </c>
      <c r="AI3" t="s">
        <v>2597</v>
      </c>
      <c r="AJ3" t="s">
        <v>2598</v>
      </c>
      <c r="AK3" t="s">
        <v>2599</v>
      </c>
      <c r="AL3" t="s">
        <v>2600</v>
      </c>
      <c r="AM3" t="s">
        <v>2601</v>
      </c>
      <c r="AN3" t="s">
        <v>2602</v>
      </c>
      <c r="AO3" t="s">
        <v>2603</v>
      </c>
      <c r="AP3" t="s">
        <v>2604</v>
      </c>
      <c r="AQ3" t="s">
        <v>2605</v>
      </c>
      <c r="AR3" t="s">
        <v>2606</v>
      </c>
      <c r="AS3" t="s">
        <v>2607</v>
      </c>
      <c r="AT3" t="s">
        <v>2608</v>
      </c>
      <c r="AU3" t="s">
        <v>2609</v>
      </c>
      <c r="AV3" t="s">
        <v>2610</v>
      </c>
      <c r="AW3" t="s">
        <v>2611</v>
      </c>
      <c r="AX3" t="s">
        <v>2612</v>
      </c>
      <c r="AY3" t="s">
        <v>2613</v>
      </c>
      <c r="AZ3" t="s">
        <v>2614</v>
      </c>
      <c r="BA3" t="s">
        <v>2615</v>
      </c>
      <c r="BB3" t="s">
        <v>2616</v>
      </c>
      <c r="BC3" t="s">
        <v>2617</v>
      </c>
      <c r="BD3" t="s">
        <v>2618</v>
      </c>
      <c r="BE3" t="s">
        <v>2619</v>
      </c>
      <c r="BF3" t="s">
        <v>2620</v>
      </c>
      <c r="BG3" t="s">
        <v>2621</v>
      </c>
      <c r="BH3" t="s">
        <v>2622</v>
      </c>
      <c r="BI3" t="s">
        <v>2623</v>
      </c>
      <c r="BJ3" t="s">
        <v>2624</v>
      </c>
      <c r="BK3" t="s">
        <v>2625</v>
      </c>
      <c r="BL3" t="s">
        <v>2626</v>
      </c>
      <c r="BM3" t="s">
        <v>2627</v>
      </c>
      <c r="BN3" t="s">
        <v>2628</v>
      </c>
      <c r="BO3" t="s">
        <v>2629</v>
      </c>
      <c r="BP3" t="s">
        <v>2630</v>
      </c>
      <c r="BQ3" t="s">
        <v>2631</v>
      </c>
      <c r="BR3" t="s">
        <v>2632</v>
      </c>
      <c r="BS3" t="s">
        <v>2633</v>
      </c>
      <c r="BT3" t="s">
        <v>2634</v>
      </c>
      <c r="BU3" t="s">
        <v>2635</v>
      </c>
      <c r="BV3" t="s">
        <v>2636</v>
      </c>
      <c r="BW3" t="s">
        <v>2637</v>
      </c>
      <c r="BX3" t="s">
        <v>2638</v>
      </c>
      <c r="BY3" t="s">
        <v>2639</v>
      </c>
      <c r="BZ3" t="s">
        <v>2640</v>
      </c>
      <c r="CA3" t="s">
        <v>2641</v>
      </c>
      <c r="CB3" t="s">
        <v>2642</v>
      </c>
      <c r="CC3" t="s">
        <v>2643</v>
      </c>
      <c r="CD3" t="s">
        <v>2644</v>
      </c>
      <c r="CE3" t="s">
        <v>2645</v>
      </c>
      <c r="CF3" t="s">
        <v>2646</v>
      </c>
      <c r="CG3" t="s">
        <v>2647</v>
      </c>
      <c r="CH3" t="s">
        <v>2648</v>
      </c>
      <c r="CI3" t="s">
        <v>2649</v>
      </c>
      <c r="CJ3" t="s">
        <v>2650</v>
      </c>
      <c r="CK3" t="s">
        <v>2651</v>
      </c>
      <c r="CL3" t="s">
        <v>2652</v>
      </c>
      <c r="CM3" t="s">
        <v>2653</v>
      </c>
      <c r="CN3" t="s">
        <v>2654</v>
      </c>
      <c r="CO3" t="s">
        <v>2655</v>
      </c>
      <c r="CP3" t="s">
        <v>2656</v>
      </c>
      <c r="CQ3" t="s">
        <v>2657</v>
      </c>
      <c r="CR3" t="s">
        <v>2658</v>
      </c>
      <c r="CS3" t="s">
        <v>2659</v>
      </c>
      <c r="CT3" t="s">
        <v>2660</v>
      </c>
      <c r="CU3" t="s">
        <v>2661</v>
      </c>
      <c r="CV3" t="s">
        <v>2662</v>
      </c>
      <c r="CW3" t="s">
        <v>2663</v>
      </c>
      <c r="CX3" t="s">
        <v>2664</v>
      </c>
      <c r="CY3" t="s">
        <v>2665</v>
      </c>
      <c r="CZ3" t="s">
        <v>2666</v>
      </c>
      <c r="DA3" t="s">
        <v>2667</v>
      </c>
      <c r="DB3" t="s">
        <v>2668</v>
      </c>
      <c r="DC3" t="s">
        <v>2669</v>
      </c>
      <c r="DD3" t="s">
        <v>2670</v>
      </c>
      <c r="DE3" t="s">
        <v>2671</v>
      </c>
      <c r="DF3" t="s">
        <v>2672</v>
      </c>
      <c r="DG3" t="s">
        <v>2673</v>
      </c>
      <c r="DH3" t="s">
        <v>2674</v>
      </c>
      <c r="DI3" t="s">
        <v>2675</v>
      </c>
      <c r="DJ3" t="s">
        <v>2676</v>
      </c>
      <c r="DK3" t="s">
        <v>2677</v>
      </c>
      <c r="DL3" t="s">
        <v>2678</v>
      </c>
      <c r="DM3" t="s">
        <v>2679</v>
      </c>
      <c r="DN3" t="s">
        <v>2680</v>
      </c>
      <c r="DO3" t="s">
        <v>2681</v>
      </c>
      <c r="DP3" t="s">
        <v>2682</v>
      </c>
      <c r="DQ3" t="s">
        <v>2683</v>
      </c>
      <c r="DR3" t="s">
        <v>2684</v>
      </c>
      <c r="DS3" t="s">
        <v>2685</v>
      </c>
      <c r="DT3" t="s">
        <v>2686</v>
      </c>
      <c r="DU3" t="s">
        <v>2687</v>
      </c>
      <c r="DV3" t="s">
        <v>2688</v>
      </c>
      <c r="DW3" t="s">
        <v>2689</v>
      </c>
      <c r="DX3" t="s">
        <v>2690</v>
      </c>
      <c r="DY3" t="s">
        <v>2691</v>
      </c>
      <c r="DZ3" t="s">
        <v>2692</v>
      </c>
      <c r="EA3" t="s">
        <v>2693</v>
      </c>
      <c r="EB3" t="s">
        <v>2694</v>
      </c>
      <c r="EC3" t="s">
        <v>2695</v>
      </c>
      <c r="ED3" t="s">
        <v>2696</v>
      </c>
      <c r="EE3" t="s">
        <v>2697</v>
      </c>
      <c r="EF3" t="s">
        <v>2698</v>
      </c>
      <c r="EG3" t="s">
        <v>2699</v>
      </c>
      <c r="EH3" t="s">
        <v>2700</v>
      </c>
      <c r="EI3" t="s">
        <v>2701</v>
      </c>
      <c r="EJ3" t="s">
        <v>2702</v>
      </c>
      <c r="EK3" t="s">
        <v>2703</v>
      </c>
      <c r="EL3" t="s">
        <v>2704</v>
      </c>
      <c r="EM3" t="s">
        <v>2705</v>
      </c>
      <c r="EN3" t="s">
        <v>2706</v>
      </c>
      <c r="EO3" t="s">
        <v>2707</v>
      </c>
      <c r="EP3" t="s">
        <v>2708</v>
      </c>
      <c r="EQ3" t="s">
        <v>2709</v>
      </c>
      <c r="ER3" t="s">
        <v>2710</v>
      </c>
      <c r="ES3" t="s">
        <v>2711</v>
      </c>
      <c r="ET3" t="s">
        <v>2712</v>
      </c>
      <c r="EU3" t="s">
        <v>2713</v>
      </c>
      <c r="EV3" t="s">
        <v>2714</v>
      </c>
      <c r="EW3" t="s">
        <v>2715</v>
      </c>
      <c r="EX3" t="s">
        <v>2716</v>
      </c>
      <c r="EY3" t="s">
        <v>2717</v>
      </c>
      <c r="EZ3" t="s">
        <v>2718</v>
      </c>
      <c r="FA3" t="s">
        <v>2719</v>
      </c>
      <c r="FB3" t="s">
        <v>2720</v>
      </c>
      <c r="FC3" t="s">
        <v>2721</v>
      </c>
      <c r="FD3" t="s">
        <v>2722</v>
      </c>
      <c r="FE3" t="s">
        <v>2723</v>
      </c>
      <c r="FF3" t="s">
        <v>2724</v>
      </c>
      <c r="FG3" t="s">
        <v>2725</v>
      </c>
      <c r="FH3" t="s">
        <v>2726</v>
      </c>
      <c r="FI3" t="s">
        <v>2727</v>
      </c>
      <c r="FJ3" t="s">
        <v>2728</v>
      </c>
      <c r="FK3" t="s">
        <v>2729</v>
      </c>
      <c r="FL3" t="s">
        <v>2730</v>
      </c>
      <c r="FM3" t="s">
        <v>2731</v>
      </c>
      <c r="FN3" t="s">
        <v>2732</v>
      </c>
      <c r="FO3" t="s">
        <v>2733</v>
      </c>
      <c r="FP3" t="s">
        <v>2734</v>
      </c>
      <c r="FQ3" t="s">
        <v>2735</v>
      </c>
      <c r="FR3" t="s">
        <v>2736</v>
      </c>
      <c r="FS3" t="s">
        <v>2737</v>
      </c>
      <c r="FT3" t="s">
        <v>2738</v>
      </c>
      <c r="FU3" t="s">
        <v>2739</v>
      </c>
      <c r="FV3" t="s">
        <v>2740</v>
      </c>
      <c r="FW3" t="s">
        <v>2741</v>
      </c>
      <c r="FX3" t="s">
        <v>2742</v>
      </c>
      <c r="FY3" t="s">
        <v>2743</v>
      </c>
      <c r="FZ3" t="s">
        <v>2744</v>
      </c>
      <c r="GA3" t="s">
        <v>2745</v>
      </c>
      <c r="GB3" t="s">
        <v>2746</v>
      </c>
      <c r="GC3" t="s">
        <v>2747</v>
      </c>
      <c r="GD3" t="s">
        <v>2748</v>
      </c>
      <c r="GE3" t="s">
        <v>2749</v>
      </c>
      <c r="GF3" t="s">
        <v>2750</v>
      </c>
      <c r="GG3" t="s">
        <v>2751</v>
      </c>
      <c r="GH3" t="s">
        <v>2752</v>
      </c>
      <c r="GI3" t="s">
        <v>2753</v>
      </c>
      <c r="GJ3" t="s">
        <v>2754</v>
      </c>
      <c r="GK3" t="s">
        <v>2755</v>
      </c>
      <c r="GL3" t="s">
        <v>2756</v>
      </c>
      <c r="GM3" t="s">
        <v>2757</v>
      </c>
      <c r="GN3" t="s">
        <v>2758</v>
      </c>
      <c r="GO3" t="s">
        <v>2759</v>
      </c>
      <c r="GP3" t="s">
        <v>2760</v>
      </c>
      <c r="GQ3" t="s">
        <v>2761</v>
      </c>
      <c r="GR3" t="s">
        <v>2762</v>
      </c>
      <c r="GS3" t="s">
        <v>2763</v>
      </c>
      <c r="GT3" t="s">
        <v>2764</v>
      </c>
      <c r="GU3" t="s">
        <v>2765</v>
      </c>
      <c r="GV3" t="s">
        <v>2766</v>
      </c>
      <c r="GW3" t="s">
        <v>2767</v>
      </c>
      <c r="GX3" t="s">
        <v>2768</v>
      </c>
      <c r="GY3" t="s">
        <v>2769</v>
      </c>
      <c r="GZ3" t="s">
        <v>2770</v>
      </c>
      <c r="HA3" t="s">
        <v>2771</v>
      </c>
      <c r="HB3" t="s">
        <v>2772</v>
      </c>
      <c r="HC3" t="s">
        <v>2773</v>
      </c>
      <c r="HD3" t="s">
        <v>2774</v>
      </c>
      <c r="HE3" t="s">
        <v>2775</v>
      </c>
      <c r="HF3" t="s">
        <v>2776</v>
      </c>
      <c r="HG3" t="s">
        <v>2777</v>
      </c>
      <c r="HH3" t="s">
        <v>2778</v>
      </c>
      <c r="HI3" t="s">
        <v>2779</v>
      </c>
      <c r="HJ3" t="s">
        <v>2780</v>
      </c>
      <c r="HK3" t="s">
        <v>2781</v>
      </c>
      <c r="HL3" t="s">
        <v>2782</v>
      </c>
      <c r="HM3" t="s">
        <v>2783</v>
      </c>
      <c r="HN3" t="s">
        <v>2784</v>
      </c>
      <c r="HO3" t="s">
        <v>2785</v>
      </c>
      <c r="HP3" t="s">
        <v>2786</v>
      </c>
      <c r="HQ3" t="s">
        <v>2787</v>
      </c>
      <c r="HR3" t="s">
        <v>2788</v>
      </c>
      <c r="HS3" t="s">
        <v>2789</v>
      </c>
      <c r="HT3" t="s">
        <v>2790</v>
      </c>
      <c r="HU3" t="s">
        <v>2791</v>
      </c>
      <c r="HV3" t="s">
        <v>2792</v>
      </c>
      <c r="HW3" t="s">
        <v>2793</v>
      </c>
      <c r="HX3" t="s">
        <v>2794</v>
      </c>
      <c r="HY3" t="s">
        <v>2795</v>
      </c>
      <c r="HZ3" t="s">
        <v>2796</v>
      </c>
      <c r="IA3" t="s">
        <v>2797</v>
      </c>
      <c r="IB3" t="s">
        <v>2798</v>
      </c>
      <c r="IC3" t="s">
        <v>2799</v>
      </c>
      <c r="ID3" t="s">
        <v>2800</v>
      </c>
      <c r="IE3" t="s">
        <v>2801</v>
      </c>
      <c r="IF3" t="s">
        <v>2802</v>
      </c>
      <c r="IG3" t="s">
        <v>2803</v>
      </c>
      <c r="IH3" t="s">
        <v>2804</v>
      </c>
      <c r="II3" t="s">
        <v>2805</v>
      </c>
      <c r="IJ3" t="s">
        <v>2806</v>
      </c>
      <c r="IK3" t="s">
        <v>2807</v>
      </c>
      <c r="IL3" t="s">
        <v>2808</v>
      </c>
      <c r="IM3" t="s">
        <v>2809</v>
      </c>
      <c r="IN3" t="s">
        <v>2810</v>
      </c>
      <c r="IO3" t="s">
        <v>2811</v>
      </c>
      <c r="IP3" t="s">
        <v>2812</v>
      </c>
      <c r="IQ3" t="s">
        <v>2813</v>
      </c>
      <c r="IR3" t="s">
        <v>2814</v>
      </c>
      <c r="IS3" t="s">
        <v>2815</v>
      </c>
      <c r="IT3" t="s">
        <v>2816</v>
      </c>
      <c r="IU3" t="s">
        <v>2817</v>
      </c>
      <c r="IV3" t="s">
        <v>2818</v>
      </c>
    </row>
    <row r="4" spans="1:256">
      <c r="A4" t="s">
        <v>2819</v>
      </c>
      <c r="B4" t="s">
        <v>2820</v>
      </c>
      <c r="C4" t="s">
        <v>2821</v>
      </c>
      <c r="D4" t="s">
        <v>2822</v>
      </c>
      <c r="E4" t="s">
        <v>2823</v>
      </c>
      <c r="F4" t="s">
        <v>2824</v>
      </c>
      <c r="G4" t="s">
        <v>2825</v>
      </c>
      <c r="H4" t="s">
        <v>2826</v>
      </c>
      <c r="I4" t="s">
        <v>2827</v>
      </c>
      <c r="J4" t="s">
        <v>2828</v>
      </c>
      <c r="K4" t="s">
        <v>2829</v>
      </c>
      <c r="L4" t="s">
        <v>2830</v>
      </c>
      <c r="M4" t="s">
        <v>2831</v>
      </c>
      <c r="N4" t="s">
        <v>2832</v>
      </c>
      <c r="O4" t="s">
        <v>2833</v>
      </c>
      <c r="P4" t="s">
        <v>2834</v>
      </c>
      <c r="Q4" t="s">
        <v>2835</v>
      </c>
      <c r="R4" t="s">
        <v>2836</v>
      </c>
      <c r="S4" t="s">
        <v>2837</v>
      </c>
      <c r="T4" t="s">
        <v>2838</v>
      </c>
      <c r="U4" t="s">
        <v>2839</v>
      </c>
      <c r="V4" t="s">
        <v>2840</v>
      </c>
      <c r="W4" t="s">
        <v>2841</v>
      </c>
      <c r="X4" t="s">
        <v>2842</v>
      </c>
      <c r="Y4" t="s">
        <v>2843</v>
      </c>
      <c r="Z4" t="s">
        <v>2844</v>
      </c>
      <c r="AA4" t="s">
        <v>2845</v>
      </c>
      <c r="AB4" t="s">
        <v>2846</v>
      </c>
      <c r="AC4" t="s">
        <v>2847</v>
      </c>
      <c r="AD4" t="s">
        <v>2848</v>
      </c>
      <c r="AE4" t="s">
        <v>2849</v>
      </c>
      <c r="AF4" t="s">
        <v>2850</v>
      </c>
      <c r="AG4" t="s">
        <v>2851</v>
      </c>
      <c r="AH4" t="s">
        <v>2852</v>
      </c>
      <c r="AI4" t="s">
        <v>2853</v>
      </c>
      <c r="AJ4" t="s">
        <v>2854</v>
      </c>
      <c r="AK4" t="s">
        <v>2855</v>
      </c>
      <c r="AL4" t="s">
        <v>2856</v>
      </c>
      <c r="AM4" t="s">
        <v>2857</v>
      </c>
      <c r="AN4" t="s">
        <v>2858</v>
      </c>
      <c r="AO4" t="s">
        <v>2859</v>
      </c>
      <c r="AP4" t="s">
        <v>2860</v>
      </c>
      <c r="AQ4" t="s">
        <v>2861</v>
      </c>
      <c r="AR4" t="s">
        <v>2862</v>
      </c>
      <c r="AS4" t="s">
        <v>2863</v>
      </c>
      <c r="AT4" t="s">
        <v>2864</v>
      </c>
      <c r="AU4" t="s">
        <v>2865</v>
      </c>
      <c r="AV4" t="s">
        <v>2866</v>
      </c>
      <c r="AW4" t="s">
        <v>2867</v>
      </c>
      <c r="AX4" t="s">
        <v>2868</v>
      </c>
      <c r="AY4" t="s">
        <v>2869</v>
      </c>
      <c r="AZ4" t="s">
        <v>2870</v>
      </c>
      <c r="BA4" t="s">
        <v>2871</v>
      </c>
      <c r="BB4" t="s">
        <v>2872</v>
      </c>
      <c r="BC4" t="s">
        <v>2873</v>
      </c>
      <c r="BD4" t="s">
        <v>2874</v>
      </c>
      <c r="BE4" t="s">
        <v>2875</v>
      </c>
      <c r="BF4" t="s">
        <v>2876</v>
      </c>
      <c r="BG4" t="s">
        <v>2877</v>
      </c>
      <c r="BH4" t="s">
        <v>2878</v>
      </c>
      <c r="BI4" t="s">
        <v>2879</v>
      </c>
      <c r="BJ4" t="s">
        <v>2880</v>
      </c>
      <c r="BK4" t="s">
        <v>2881</v>
      </c>
      <c r="BL4" t="s">
        <v>2882</v>
      </c>
      <c r="BM4" t="s">
        <v>2883</v>
      </c>
      <c r="BN4" t="s">
        <v>2884</v>
      </c>
      <c r="BO4" t="s">
        <v>2885</v>
      </c>
      <c r="BP4" t="s">
        <v>2886</v>
      </c>
      <c r="BQ4" t="s">
        <v>2887</v>
      </c>
      <c r="BR4" t="s">
        <v>2888</v>
      </c>
      <c r="BS4" t="s">
        <v>2889</v>
      </c>
      <c r="BT4" t="s">
        <v>2890</v>
      </c>
      <c r="BU4" t="s">
        <v>2891</v>
      </c>
      <c r="BV4" t="s">
        <v>2892</v>
      </c>
      <c r="BW4" t="s">
        <v>2893</v>
      </c>
      <c r="BX4" t="s">
        <v>2894</v>
      </c>
      <c r="BY4" t="s">
        <v>2895</v>
      </c>
      <c r="BZ4" t="s">
        <v>2896</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62"/>
  <dimension ref="A1:BU761"/>
  <sheetViews>
    <sheetView showGridLines="0" view="pageBreakPreview" zoomScale="85" zoomScaleNormal="100" zoomScaleSheetLayoutView="85" workbookViewId="0">
      <selection activeCell="D11" sqref="D11"/>
    </sheetView>
  </sheetViews>
  <sheetFormatPr defaultColWidth="10.6640625" defaultRowHeight="14.25" outlineLevelRow="1" outlineLevelCol="1"/>
  <cols>
    <col min="1" max="1" width="4.5" style="1033" customWidth="1"/>
    <col min="2" max="2" width="42.5" style="1033" customWidth="1"/>
    <col min="3" max="3" width="19.83203125" style="1033" hidden="1" customWidth="1" outlineLevel="1"/>
    <col min="4" max="4" width="16.5" style="1033" customWidth="1" collapsed="1"/>
    <col min="5" max="5" width="15.1640625" style="1033" hidden="1" customWidth="1" outlineLevel="1"/>
    <col min="6" max="6" width="12.5" style="1035" customWidth="1" collapsed="1"/>
    <col min="7" max="7" width="12" style="1035" customWidth="1"/>
    <col min="8" max="9" width="14" style="1035" hidden="1" customWidth="1" outlineLevel="1"/>
    <col min="10" max="10" width="15" style="1035" customWidth="1" collapsed="1"/>
    <col min="11" max="11" width="12.33203125" style="1035" customWidth="1"/>
    <col min="12" max="12" width="14" style="1035" customWidth="1"/>
    <col min="13" max="13" width="14.5" style="1035" customWidth="1"/>
    <col min="14" max="14" width="18.6640625" style="1035" customWidth="1"/>
    <col min="15" max="15" width="13.33203125" style="1035" customWidth="1"/>
    <col min="16" max="16" width="18.33203125" style="1035" customWidth="1"/>
    <col min="17" max="17" width="4.5" style="1035" customWidth="1"/>
    <col min="18" max="18" width="29.1640625" style="1035" bestFit="1" customWidth="1"/>
    <col min="19" max="19" width="16.33203125" style="1033" customWidth="1"/>
    <col min="20" max="20" width="13.6640625" style="1033" customWidth="1"/>
    <col min="21" max="21" width="14.83203125" style="1033" customWidth="1"/>
    <col min="22" max="22" width="13.5" style="1033" bestFit="1" customWidth="1"/>
    <col min="23" max="23" width="16.1640625" style="1033" bestFit="1" customWidth="1"/>
    <col min="24" max="24" width="16.1640625" style="1033" customWidth="1"/>
    <col min="25" max="25" width="22.6640625" style="1033" bestFit="1" customWidth="1"/>
    <col min="26" max="28" width="16.1640625" style="1033" customWidth="1"/>
    <col min="29" max="29" width="11.83203125" style="1033" customWidth="1"/>
    <col min="30" max="30" width="10.83203125" style="1033" customWidth="1"/>
    <col min="31" max="31" width="11.83203125" style="1033" bestFit="1" customWidth="1"/>
    <col min="32" max="32" width="11" style="1033" bestFit="1" customWidth="1"/>
    <col min="33" max="35" width="10.6640625" style="1033"/>
    <col min="36" max="36" width="12.5" style="1033" bestFit="1" customWidth="1"/>
    <col min="37" max="37" width="15.1640625" style="1033" bestFit="1" customWidth="1"/>
    <col min="38" max="42" width="10.6640625" style="1033"/>
    <col min="43" max="44" width="12.5" style="1033" bestFit="1" customWidth="1"/>
    <col min="45" max="45" width="14" style="1033" bestFit="1" customWidth="1"/>
    <col min="46" max="46" width="10.6640625" style="1033"/>
    <col min="47" max="48" width="11" style="1033" bestFit="1" customWidth="1"/>
    <col min="49" max="49" width="12.5" style="1033" bestFit="1" customWidth="1"/>
    <col min="50" max="50" width="12.33203125" style="1033" bestFit="1" customWidth="1"/>
    <col min="51" max="51" width="14" style="1033" bestFit="1" customWidth="1"/>
    <col min="52" max="52" width="14.33203125" style="1033" bestFit="1" customWidth="1"/>
    <col min="53" max="53" width="11" style="1033" bestFit="1" customWidth="1"/>
    <col min="54" max="54" width="18" style="1033" bestFit="1" customWidth="1"/>
    <col min="55" max="55" width="14" style="1033" bestFit="1" customWidth="1"/>
    <col min="56" max="56" width="18" style="1033" bestFit="1" customWidth="1"/>
    <col min="57" max="59" width="11" style="1033" bestFit="1" customWidth="1"/>
    <col min="60" max="60" width="14" style="1033" bestFit="1" customWidth="1"/>
    <col min="61" max="61" width="11" style="1033" bestFit="1" customWidth="1"/>
    <col min="62" max="62" width="18.1640625" style="1033" bestFit="1" customWidth="1"/>
    <col min="63" max="63" width="10.6640625" style="1033"/>
    <col min="64" max="64" width="14" style="1033" bestFit="1" customWidth="1"/>
    <col min="65" max="65" width="11" style="1033" bestFit="1" customWidth="1"/>
    <col min="66" max="66" width="12" style="1033" bestFit="1" customWidth="1"/>
    <col min="67" max="67" width="15.5" style="1033" bestFit="1" customWidth="1"/>
    <col min="68" max="68" width="12" style="1033" bestFit="1" customWidth="1"/>
    <col min="69" max="72" width="10.6640625" style="1033"/>
    <col min="73" max="73" width="11" style="1033" bestFit="1" customWidth="1"/>
    <col min="74" max="16384" width="10.6640625" style="1033"/>
  </cols>
  <sheetData>
    <row r="1" spans="1:73" ht="11.25" customHeight="1" thickBot="1">
      <c r="A1" s="1032"/>
      <c r="F1" s="1034"/>
      <c r="G1" s="1034"/>
      <c r="H1" s="1034"/>
      <c r="I1" s="1034"/>
      <c r="J1" s="1034"/>
      <c r="K1" s="1034"/>
      <c r="L1" s="1034"/>
      <c r="M1" s="1034"/>
      <c r="N1" s="1034"/>
      <c r="R1" s="1033"/>
      <c r="S1" s="1036"/>
      <c r="T1" s="1037"/>
      <c r="W1" s="1033" t="s">
        <v>455</v>
      </c>
      <c r="X1" s="1033" t="s">
        <v>457</v>
      </c>
      <c r="AQ1" s="1038"/>
    </row>
    <row r="2" spans="1:73" ht="15.75" thickTop="1">
      <c r="A2" s="1039"/>
      <c r="B2" s="223" t="str">
        <f>'MASTER PubCo Inputs'!$C$5</f>
        <v>Trucode Gene Repair, Inc.</v>
      </c>
      <c r="C2" s="223"/>
      <c r="D2" s="223"/>
      <c r="E2" s="223"/>
      <c r="F2" s="223"/>
      <c r="G2" s="223"/>
      <c r="H2" s="223"/>
      <c r="I2" s="223"/>
      <c r="J2" s="223"/>
      <c r="K2" s="223"/>
      <c r="L2" s="223"/>
      <c r="M2" s="223"/>
      <c r="N2" s="223"/>
      <c r="O2" s="223"/>
      <c r="P2" s="223"/>
      <c r="Q2" s="1040"/>
      <c r="R2" s="1041"/>
      <c r="S2" s="1042" t="s">
        <v>1345</v>
      </c>
      <c r="T2" s="1043">
        <v>43082</v>
      </c>
      <c r="W2" s="1033" t="s">
        <v>828</v>
      </c>
      <c r="X2" s="1033" t="s">
        <v>829</v>
      </c>
    </row>
    <row r="3" spans="1:73" ht="15">
      <c r="A3" s="1039"/>
      <c r="B3" s="232" t="str">
        <f>VLOOKUP(B4,Outline!$E$8:$G$65,COLUMNS(Outline!$E$8:$G$8),FALSE)</f>
        <v>Exhibit H.10</v>
      </c>
      <c r="C3" s="232"/>
      <c r="D3" s="232"/>
      <c r="E3" s="232"/>
      <c r="F3" s="232"/>
      <c r="G3" s="232"/>
      <c r="H3" s="232"/>
      <c r="I3" s="232"/>
      <c r="J3" s="232"/>
      <c r="K3" s="232"/>
      <c r="L3" s="232"/>
      <c r="M3" s="232"/>
      <c r="N3" s="232"/>
      <c r="O3" s="232"/>
      <c r="P3" s="232"/>
      <c r="Q3" s="1040"/>
      <c r="R3" s="1041"/>
      <c r="S3" s="1194" t="s">
        <v>1903</v>
      </c>
      <c r="T3" s="1045"/>
      <c r="W3" s="1033" t="s">
        <v>456</v>
      </c>
      <c r="X3" s="1033" t="s">
        <v>458</v>
      </c>
    </row>
    <row r="4" spans="1:73" ht="15.75" thickBot="1">
      <c r="B4" s="225" t="s">
        <v>975</v>
      </c>
      <c r="C4" s="225"/>
      <c r="D4" s="225"/>
      <c r="E4" s="225"/>
      <c r="F4" s="225"/>
      <c r="G4" s="225"/>
      <c r="H4" s="225"/>
      <c r="I4" s="225"/>
      <c r="J4" s="225"/>
      <c r="K4" s="225"/>
      <c r="L4" s="225"/>
      <c r="M4" s="225"/>
      <c r="N4" s="225"/>
      <c r="O4" s="225"/>
      <c r="P4" s="233" t="str">
        <f>'MASTER PubCo Inputs'!C20</f>
        <v>(in thousands of USD and shares, except price per share)</v>
      </c>
      <c r="Q4" s="1040"/>
      <c r="R4" s="1033"/>
      <c r="W4" s="1033" t="s">
        <v>89</v>
      </c>
      <c r="X4" s="1033" t="s">
        <v>90</v>
      </c>
    </row>
    <row r="5" spans="1:73" ht="14.85" customHeight="1" thickTop="1">
      <c r="B5" s="1039"/>
      <c r="C5" s="1039"/>
      <c r="D5" s="1039"/>
      <c r="E5" s="1039"/>
      <c r="F5" s="1034"/>
      <c r="G5" s="1034"/>
      <c r="H5" s="1034"/>
      <c r="I5" s="1034"/>
      <c r="J5" s="1034"/>
      <c r="K5" s="1034"/>
      <c r="L5" s="1034"/>
      <c r="M5" s="1034"/>
      <c r="N5" s="1034"/>
      <c r="Q5" s="1040"/>
      <c r="R5" s="1033"/>
    </row>
    <row r="6" spans="1:73" ht="14.85" customHeight="1">
      <c r="B6" s="1039"/>
      <c r="C6" s="1039"/>
      <c r="D6" s="1039"/>
      <c r="E6" s="1039"/>
      <c r="F6" s="1034"/>
      <c r="G6" s="1034"/>
      <c r="H6" s="1034"/>
      <c r="I6" s="1034"/>
      <c r="J6" s="1034"/>
      <c r="K6" s="1034"/>
      <c r="L6" s="1048"/>
      <c r="M6" s="1034"/>
      <c r="N6" s="1049"/>
      <c r="P6" s="1050"/>
    </row>
    <row r="7" spans="1:73" s="1051" customFormat="1" ht="14.85" customHeight="1">
      <c r="B7" s="1195" t="s">
        <v>976</v>
      </c>
      <c r="C7" s="1196"/>
      <c r="D7" s="1196"/>
      <c r="E7" s="1196"/>
      <c r="F7" s="1196"/>
      <c r="G7" s="1196"/>
      <c r="H7" s="1196"/>
      <c r="I7" s="1196"/>
      <c r="J7" s="1196"/>
      <c r="K7" s="1196"/>
      <c r="L7" s="1196"/>
      <c r="M7" s="1196"/>
      <c r="N7" s="1196"/>
      <c r="O7" s="1196"/>
      <c r="P7" s="1197"/>
      <c r="Q7" s="1055"/>
      <c r="R7" s="1055"/>
      <c r="S7" s="1055"/>
      <c r="T7" s="1056"/>
      <c r="U7" s="1056"/>
    </row>
    <row r="8" spans="1:73" s="1057" customFormat="1" ht="14.85" customHeight="1">
      <c r="B8" s="1198"/>
      <c r="C8" s="1199"/>
      <c r="D8" s="2204" t="s">
        <v>1804</v>
      </c>
      <c r="E8" s="1199" t="s">
        <v>978</v>
      </c>
      <c r="F8" s="2204" t="s">
        <v>1564</v>
      </c>
      <c r="G8" s="2206" t="s">
        <v>979</v>
      </c>
      <c r="H8" s="2206" t="s">
        <v>980</v>
      </c>
      <c r="I8" s="2206"/>
      <c r="J8" s="2206" t="s">
        <v>981</v>
      </c>
      <c r="K8" s="2206" t="s">
        <v>1802</v>
      </c>
      <c r="L8" s="2206" t="s">
        <v>982</v>
      </c>
      <c r="M8" s="2206" t="s">
        <v>983</v>
      </c>
      <c r="N8" s="2206" t="s">
        <v>984</v>
      </c>
      <c r="O8" s="2206" t="s">
        <v>1803</v>
      </c>
      <c r="P8" s="2208" t="s">
        <v>1501</v>
      </c>
      <c r="Q8" s="1055"/>
      <c r="R8" s="1055"/>
      <c r="S8" s="2203" t="s">
        <v>981</v>
      </c>
      <c r="T8" s="2203" t="s">
        <v>1502</v>
      </c>
      <c r="U8" s="2203" t="s">
        <v>1503</v>
      </c>
      <c r="V8" s="2202" t="s">
        <v>988</v>
      </c>
      <c r="X8" s="2203" t="s">
        <v>989</v>
      </c>
      <c r="Y8" s="1143"/>
      <c r="Z8" s="1143"/>
      <c r="AA8" s="2203" t="s">
        <v>146</v>
      </c>
      <c r="AB8" s="2203" t="s">
        <v>1808</v>
      </c>
      <c r="AC8" s="2203" t="s">
        <v>1809</v>
      </c>
      <c r="AD8" s="2203" t="s">
        <v>1810</v>
      </c>
      <c r="AE8" s="2203" t="s">
        <v>1811</v>
      </c>
    </row>
    <row r="9" spans="1:73" s="1057" customFormat="1" ht="14.85" customHeight="1">
      <c r="B9" s="623" t="s">
        <v>990</v>
      </c>
      <c r="C9" s="1060" t="s">
        <v>991</v>
      </c>
      <c r="D9" s="2205"/>
      <c r="E9" s="1060" t="s">
        <v>992</v>
      </c>
      <c r="F9" s="2205"/>
      <c r="G9" s="2207"/>
      <c r="H9" s="1061" t="s">
        <v>112</v>
      </c>
      <c r="I9" s="1061" t="s">
        <v>111</v>
      </c>
      <c r="J9" s="2207"/>
      <c r="K9" s="2207"/>
      <c r="L9" s="2207"/>
      <c r="M9" s="2207"/>
      <c r="N9" s="2207"/>
      <c r="O9" s="2207"/>
      <c r="P9" s="2209"/>
      <c r="Q9" s="1055"/>
      <c r="R9" s="1200" t="s">
        <v>1906</v>
      </c>
      <c r="S9" s="2203"/>
      <c r="T9" s="2203" t="s">
        <v>1502</v>
      </c>
      <c r="U9" s="2203"/>
      <c r="V9" s="2202"/>
      <c r="W9" s="622" t="s">
        <v>1504</v>
      </c>
      <c r="X9" s="2203"/>
      <c r="Y9" s="1143" t="s">
        <v>95</v>
      </c>
      <c r="Z9" s="1143" t="s">
        <v>809</v>
      </c>
      <c r="AA9" s="2203"/>
      <c r="AB9" s="2203"/>
      <c r="AC9" s="2203"/>
      <c r="AD9" s="2203"/>
      <c r="AE9" s="2203"/>
    </row>
    <row r="10" spans="1:73" s="1057" customFormat="1" ht="14.85" customHeight="1">
      <c r="B10" s="622"/>
      <c r="C10" s="622"/>
      <c r="D10" s="622"/>
      <c r="E10" s="622"/>
      <c r="F10" s="622"/>
      <c r="G10" s="622"/>
      <c r="H10" s="622"/>
      <c r="I10" s="622"/>
      <c r="J10" s="622"/>
      <c r="K10" s="622"/>
      <c r="L10" s="622"/>
      <c r="M10" s="622"/>
      <c r="N10" s="622"/>
      <c r="O10" s="622"/>
      <c r="P10" s="622"/>
      <c r="Q10" s="1055"/>
      <c r="R10" s="1055"/>
      <c r="S10" s="1055"/>
      <c r="T10" s="1063"/>
      <c r="U10" s="1063"/>
      <c r="AF10" s="622" t="s">
        <v>110</v>
      </c>
    </row>
    <row r="11" spans="1:73" s="1057" customFormat="1" ht="14.85" hidden="1" customHeight="1" outlineLevel="1">
      <c r="B11" s="1080" t="s">
        <v>1505</v>
      </c>
      <c r="C11" s="622"/>
      <c r="D11" s="622"/>
      <c r="E11" s="622"/>
      <c r="F11" s="1201"/>
      <c r="G11" s="622"/>
      <c r="H11" s="622"/>
      <c r="I11" s="622"/>
      <c r="J11" s="622"/>
      <c r="K11" s="622"/>
      <c r="L11" s="1081"/>
      <c r="M11" s="622"/>
      <c r="N11" s="622"/>
      <c r="O11" s="622"/>
      <c r="P11" s="622"/>
      <c r="Q11" s="1055"/>
      <c r="R11" s="1055"/>
      <c r="S11" s="1055"/>
      <c r="T11" s="1063"/>
      <c r="U11" s="1063"/>
    </row>
    <row r="12" spans="1:73" s="1798" customFormat="1" ht="14.85" hidden="1" customHeight="1" outlineLevel="1">
      <c r="A12" s="1779"/>
      <c r="B12" s="1780" t="s">
        <v>3738</v>
      </c>
      <c r="C12" s="1781" t="s">
        <v>3739</v>
      </c>
      <c r="D12" s="1782" t="s">
        <v>871</v>
      </c>
      <c r="E12" s="1781" t="s">
        <v>3740</v>
      </c>
      <c r="F12" s="1783">
        <v>43451</v>
      </c>
      <c r="G12" s="1784">
        <v>15.8</v>
      </c>
      <c r="H12" s="1784">
        <v>14.5</v>
      </c>
      <c r="I12" s="1784">
        <v>16.5</v>
      </c>
      <c r="J12" s="1784">
        <v>15.65</v>
      </c>
      <c r="K12" s="1785">
        <f t="shared" ref="K12:K36" si="0">+M12-L12</f>
        <v>5775.85</v>
      </c>
      <c r="L12" s="1786">
        <v>761.41899999999998</v>
      </c>
      <c r="M12" s="1786">
        <v>6537.2690000000002</v>
      </c>
      <c r="N12" s="1787">
        <f t="shared" ref="N12:N36" si="1">+G12*K12</f>
        <v>91258.430000000008</v>
      </c>
      <c r="O12" s="1786">
        <f t="shared" ref="O12:O36" si="2">+G12*L12</f>
        <v>12030.4202</v>
      </c>
      <c r="P12" s="1787">
        <f t="shared" ref="P12:P36" si="3">+N12+O12</f>
        <v>103288.85020000002</v>
      </c>
      <c r="Q12" s="1788"/>
      <c r="R12" s="1788"/>
      <c r="S12" s="1789">
        <v>15.65</v>
      </c>
      <c r="T12" s="1790">
        <v>102308.25985</v>
      </c>
      <c r="U12" s="1791">
        <v>-9.493670886076111E-3</v>
      </c>
      <c r="V12" s="1792" t="s">
        <v>3740</v>
      </c>
      <c r="W12" s="1793" t="s">
        <v>3741</v>
      </c>
      <c r="X12" s="1794">
        <v>103288.85020000002</v>
      </c>
      <c r="Y12" s="1795">
        <v>6727200</v>
      </c>
      <c r="Z12" s="1796">
        <v>15896580</v>
      </c>
      <c r="AA12" s="1797">
        <v>-9066091.1497999988</v>
      </c>
      <c r="AC12" s="1795"/>
      <c r="AD12" s="1799"/>
      <c r="AE12" s="1799"/>
      <c r="AF12" s="1800"/>
      <c r="AG12" s="1779"/>
      <c r="AH12" s="1780"/>
      <c r="AI12" s="1780"/>
      <c r="AJ12" s="1780"/>
      <c r="AK12" s="1801"/>
      <c r="AL12" s="1802"/>
      <c r="AM12" s="1803"/>
      <c r="AN12" s="1780"/>
      <c r="AO12" s="1780"/>
      <c r="AP12" s="1780"/>
      <c r="AQ12" s="1804"/>
      <c r="AR12" s="1804"/>
      <c r="AS12" s="1804"/>
      <c r="AT12" s="1804"/>
      <c r="AU12" s="1804"/>
      <c r="AV12" s="1804"/>
      <c r="AW12" s="1804"/>
      <c r="AX12" s="1804"/>
      <c r="AY12" s="1804"/>
      <c r="AZ12" s="1804"/>
      <c r="BA12" s="1804"/>
      <c r="BB12" s="1804"/>
      <c r="BC12" s="1804"/>
      <c r="BD12" s="1804"/>
      <c r="BE12" s="1804"/>
      <c r="BF12" s="1804"/>
      <c r="BG12" s="1804"/>
      <c r="BH12" s="1804"/>
      <c r="BI12" s="1804"/>
      <c r="BJ12" s="1804"/>
      <c r="BK12" s="1804"/>
      <c r="BL12" s="1804"/>
      <c r="BM12" s="1804"/>
      <c r="BN12" s="1804"/>
      <c r="BO12" s="1804"/>
      <c r="BP12" s="1804"/>
      <c r="BQ12" s="1804"/>
      <c r="BR12" s="1804"/>
      <c r="BS12" s="1804"/>
      <c r="BT12" s="1804"/>
      <c r="BU12" s="1804"/>
    </row>
    <row r="13" spans="1:73" s="1798" customFormat="1" ht="14.85" hidden="1" customHeight="1" outlineLevel="1">
      <c r="A13" s="1779"/>
      <c r="B13" s="1827" t="s">
        <v>3742</v>
      </c>
      <c r="C13" s="1828" t="s">
        <v>3743</v>
      </c>
      <c r="D13" s="1829" t="s">
        <v>3744</v>
      </c>
      <c r="E13" s="1828" t="s">
        <v>3745</v>
      </c>
      <c r="F13" s="1830">
        <v>43440</v>
      </c>
      <c r="G13" s="1789">
        <v>11</v>
      </c>
      <c r="H13" s="1789">
        <v>10</v>
      </c>
      <c r="I13" s="1789">
        <v>12</v>
      </c>
      <c r="J13" s="1789">
        <v>15.78</v>
      </c>
      <c r="K13" s="1785">
        <f t="shared" si="0"/>
        <v>18317.591999999997</v>
      </c>
      <c r="L13" s="1808">
        <v>11912.727000000001</v>
      </c>
      <c r="M13" s="1808">
        <v>30230.319</v>
      </c>
      <c r="N13" s="1785">
        <f t="shared" si="1"/>
        <v>201493.51199999996</v>
      </c>
      <c r="O13" s="1813">
        <f t="shared" si="2"/>
        <v>131039.997</v>
      </c>
      <c r="P13" s="1785">
        <f t="shared" si="3"/>
        <v>332533.50899999996</v>
      </c>
      <c r="Q13" s="1788"/>
      <c r="R13" s="1788"/>
      <c r="S13" s="1789">
        <v>15.78</v>
      </c>
      <c r="T13" s="1790">
        <v>477034.43381999998</v>
      </c>
      <c r="U13" s="1791">
        <v>0.43454545454545457</v>
      </c>
      <c r="V13" s="1792" t="s">
        <v>3745</v>
      </c>
      <c r="W13" s="1793" t="s">
        <v>3746</v>
      </c>
      <c r="X13" s="1794">
        <v>332533.50899999996</v>
      </c>
      <c r="Y13" s="1795">
        <v>20614000</v>
      </c>
      <c r="Z13" s="1796">
        <v>0</v>
      </c>
      <c r="AA13" s="1797">
        <v>20946533.509</v>
      </c>
      <c r="AC13" s="1795"/>
      <c r="AD13" s="1799"/>
      <c r="AE13" s="1799"/>
      <c r="AF13" s="1800"/>
      <c r="AG13" s="1779"/>
      <c r="AH13" s="1780"/>
      <c r="AI13" s="1780"/>
      <c r="AJ13" s="1780"/>
      <c r="AK13" s="1801"/>
      <c r="AL13" s="1802"/>
      <c r="AM13" s="1803"/>
      <c r="AN13" s="1780"/>
      <c r="AO13" s="1780"/>
      <c r="AP13" s="1780"/>
      <c r="AQ13" s="1804"/>
      <c r="AR13" s="1804"/>
      <c r="AS13" s="1804"/>
      <c r="AT13" s="1804"/>
      <c r="AU13" s="1804"/>
      <c r="AV13" s="1804"/>
      <c r="AW13" s="1804"/>
      <c r="AX13" s="1804"/>
      <c r="AY13" s="1804"/>
      <c r="AZ13" s="1804"/>
      <c r="BA13" s="1804"/>
      <c r="BB13" s="1804"/>
      <c r="BC13" s="1804"/>
      <c r="BD13" s="1804"/>
      <c r="BE13" s="1804"/>
      <c r="BF13" s="1804"/>
      <c r="BG13" s="1804"/>
      <c r="BH13" s="1804"/>
      <c r="BI13" s="1804"/>
      <c r="BJ13" s="1804"/>
      <c r="BK13" s="1804"/>
      <c r="BL13" s="1804"/>
      <c r="BM13" s="1804"/>
      <c r="BN13" s="1804"/>
      <c r="BO13" s="1804"/>
      <c r="BP13" s="1804"/>
      <c r="BQ13" s="1804"/>
      <c r="BR13" s="1804"/>
      <c r="BS13" s="1804"/>
      <c r="BT13" s="1804"/>
      <c r="BU13" s="1804"/>
    </row>
    <row r="14" spans="1:73" s="1779" customFormat="1" ht="14.85" hidden="1" customHeight="1" outlineLevel="1">
      <c r="B14" s="1780" t="s">
        <v>3747</v>
      </c>
      <c r="C14" s="1781" t="s">
        <v>3748</v>
      </c>
      <c r="D14" s="1782" t="s">
        <v>871</v>
      </c>
      <c r="E14" s="1781" t="s">
        <v>3749</v>
      </c>
      <c r="F14" s="1783">
        <v>43391</v>
      </c>
      <c r="G14" s="1789">
        <v>10</v>
      </c>
      <c r="H14" s="1789">
        <v>12</v>
      </c>
      <c r="I14" s="1789">
        <v>14</v>
      </c>
      <c r="J14" s="1789">
        <v>8.58</v>
      </c>
      <c r="K14" s="1785">
        <f t="shared" si="0"/>
        <v>14937.798999999999</v>
      </c>
      <c r="L14" s="1808">
        <v>7000</v>
      </c>
      <c r="M14" s="1808">
        <v>21937.798999999999</v>
      </c>
      <c r="N14" s="1809">
        <f t="shared" si="1"/>
        <v>149377.99</v>
      </c>
      <c r="O14" s="1786">
        <f t="shared" si="2"/>
        <v>70000</v>
      </c>
      <c r="P14" s="1787">
        <f t="shared" si="3"/>
        <v>219377.99</v>
      </c>
      <c r="Q14" s="1788"/>
      <c r="R14" s="1788"/>
      <c r="S14" s="1789">
        <v>9.99</v>
      </c>
      <c r="T14" s="1790">
        <v>96336.037530000001</v>
      </c>
      <c r="U14" s="1791">
        <v>-5.1267149335342266E-3</v>
      </c>
      <c r="V14" s="1792" t="s">
        <v>3750</v>
      </c>
      <c r="W14" s="1793" t="s">
        <v>3751</v>
      </c>
      <c r="X14" s="1810">
        <v>219377.99</v>
      </c>
      <c r="Y14" s="1811">
        <v>0</v>
      </c>
      <c r="Z14" s="1811">
        <v>18261</v>
      </c>
      <c r="AA14" s="1797">
        <v>201116.99</v>
      </c>
      <c r="AB14" s="1795"/>
      <c r="AC14" s="1795"/>
      <c r="AD14" s="1812" t="s">
        <v>13</v>
      </c>
      <c r="AE14" s="1812" t="s">
        <v>13</v>
      </c>
      <c r="AF14" s="1813">
        <v>0</v>
      </c>
    </row>
    <row r="15" spans="1:73" s="1826" customFormat="1" ht="13.5" hidden="1" customHeight="1" outlineLevel="1">
      <c r="A15" s="1814"/>
      <c r="B15" s="1827" t="s">
        <v>3752</v>
      </c>
      <c r="C15" s="1828" t="s">
        <v>3753</v>
      </c>
      <c r="D15" s="1829" t="s">
        <v>3744</v>
      </c>
      <c r="E15" s="1828" t="s">
        <v>3754</v>
      </c>
      <c r="F15" s="1830">
        <v>43370</v>
      </c>
      <c r="G15" s="1789">
        <v>15</v>
      </c>
      <c r="H15" s="1789">
        <v>13</v>
      </c>
      <c r="I15" s="1789">
        <v>15</v>
      </c>
      <c r="J15" s="1789">
        <v>16.829999999999998</v>
      </c>
      <c r="K15" s="1785">
        <f t="shared" si="0"/>
        <v>22161.885999999999</v>
      </c>
      <c r="L15" s="1808">
        <v>6666.6670000000004</v>
      </c>
      <c r="M15" s="1808">
        <v>28828.553</v>
      </c>
      <c r="N15" s="1785">
        <f t="shared" si="1"/>
        <v>332428.28999999998</v>
      </c>
      <c r="O15" s="1813">
        <f t="shared" si="2"/>
        <v>100000.005</v>
      </c>
      <c r="P15" s="1785">
        <f t="shared" si="3"/>
        <v>432428.29499999998</v>
      </c>
      <c r="Q15" s="1788"/>
      <c r="R15" s="1815"/>
      <c r="S15" s="1816">
        <f t="shared" ref="S15:S20" si="4">J15</f>
        <v>16.829999999999998</v>
      </c>
      <c r="T15" s="1817">
        <f t="shared" ref="T15:T36" si="5">S15*M15</f>
        <v>485184.54698999994</v>
      </c>
      <c r="U15" s="1818">
        <f t="shared" ref="U15:U20" si="6">T15/P15-1</f>
        <v>0.12199999999999989</v>
      </c>
      <c r="V15" s="1819" t="s">
        <v>3755</v>
      </c>
      <c r="W15" s="1820" t="s">
        <v>3756</v>
      </c>
      <c r="X15" s="1821">
        <f t="shared" ref="X15:X36" si="7">+N15+O15</f>
        <v>432428.29499999998</v>
      </c>
      <c r="Y15" s="1819">
        <v>10508</v>
      </c>
      <c r="Z15" s="1819">
        <v>37541</v>
      </c>
      <c r="AA15" s="1822">
        <f t="shared" ref="AA15:AA19" si="8">X15+Y15-Z15</f>
        <v>405395.29499999998</v>
      </c>
      <c r="AB15" s="1823"/>
      <c r="AC15" s="1823"/>
      <c r="AD15" s="1824" t="str">
        <f t="shared" ref="AD15:AD19" si="9">IFERROR(AA15/AB15,"n/a")</f>
        <v>n/a</v>
      </c>
      <c r="AE15" s="1824" t="str">
        <f t="shared" ref="AE15:AE19" si="10">IFERROR(AA15/AC15,"n/a")</f>
        <v>n/a</v>
      </c>
      <c r="AF15" s="1825">
        <f t="shared" ref="AF15:AF19" si="11">+P15-X15</f>
        <v>0</v>
      </c>
    </row>
    <row r="16" spans="1:73" s="1826" customFormat="1" ht="13.5" hidden="1" customHeight="1" outlineLevel="1">
      <c r="A16" s="1814"/>
      <c r="B16" s="1827" t="s">
        <v>3757</v>
      </c>
      <c r="C16" s="1828" t="s">
        <v>3758</v>
      </c>
      <c r="D16" s="1829" t="s">
        <v>3744</v>
      </c>
      <c r="E16" s="1828" t="s">
        <v>3759</v>
      </c>
      <c r="F16" s="1830">
        <v>43369</v>
      </c>
      <c r="G16" s="1789">
        <v>16</v>
      </c>
      <c r="H16" s="1789">
        <v>14</v>
      </c>
      <c r="I16" s="1789">
        <v>16</v>
      </c>
      <c r="J16" s="1789">
        <v>16.05</v>
      </c>
      <c r="K16" s="1785">
        <f t="shared" si="0"/>
        <v>24658.748</v>
      </c>
      <c r="L16" s="1808">
        <v>7500</v>
      </c>
      <c r="M16" s="1808">
        <v>32158.748</v>
      </c>
      <c r="N16" s="1785">
        <f t="shared" si="1"/>
        <v>394539.96799999999</v>
      </c>
      <c r="O16" s="1813">
        <f t="shared" si="2"/>
        <v>120000</v>
      </c>
      <c r="P16" s="1785">
        <f t="shared" si="3"/>
        <v>514539.96799999999</v>
      </c>
      <c r="Q16" s="1788"/>
      <c r="R16" s="1815"/>
      <c r="S16" s="1816">
        <f t="shared" si="4"/>
        <v>16.05</v>
      </c>
      <c r="T16" s="1817">
        <f t="shared" si="5"/>
        <v>516147.90539999999</v>
      </c>
      <c r="U16" s="1818">
        <f t="shared" si="6"/>
        <v>3.1250000000000444E-3</v>
      </c>
      <c r="V16" s="1819" t="s">
        <v>3760</v>
      </c>
      <c r="W16" s="1820" t="s">
        <v>3761</v>
      </c>
      <c r="X16" s="1821">
        <f t="shared" si="7"/>
        <v>514539.96799999999</v>
      </c>
      <c r="Y16" s="1819">
        <v>234.05</v>
      </c>
      <c r="Z16" s="1819">
        <v>3352.56</v>
      </c>
      <c r="AA16" s="1822">
        <f t="shared" si="8"/>
        <v>511421.45799999998</v>
      </c>
      <c r="AB16" s="1823"/>
      <c r="AC16" s="1823"/>
      <c r="AD16" s="1824" t="str">
        <f t="shared" si="9"/>
        <v>n/a</v>
      </c>
      <c r="AE16" s="1824" t="str">
        <f t="shared" si="10"/>
        <v>n/a</v>
      </c>
      <c r="AF16" s="1825">
        <f t="shared" si="11"/>
        <v>0</v>
      </c>
    </row>
    <row r="17" spans="1:42" s="1826" customFormat="1" ht="13.5" hidden="1" customHeight="1" outlineLevel="1">
      <c r="A17" s="1814"/>
      <c r="B17" s="1827" t="s">
        <v>3762</v>
      </c>
      <c r="C17" s="1828" t="s">
        <v>3763</v>
      </c>
      <c r="D17" s="1829" t="s">
        <v>3744</v>
      </c>
      <c r="E17" s="1828" t="s">
        <v>3764</v>
      </c>
      <c r="F17" s="1830">
        <v>43298</v>
      </c>
      <c r="G17" s="1789">
        <v>23</v>
      </c>
      <c r="H17" s="1789">
        <v>20</v>
      </c>
      <c r="I17" s="1789">
        <v>22</v>
      </c>
      <c r="J17" s="1789">
        <v>21.3</v>
      </c>
      <c r="K17" s="1785">
        <f t="shared" si="0"/>
        <v>66851.816999999995</v>
      </c>
      <c r="L17" s="1808">
        <v>10483</v>
      </c>
      <c r="M17" s="1808">
        <v>77334.816999999995</v>
      </c>
      <c r="N17" s="1785">
        <f t="shared" si="1"/>
        <v>1537591.791</v>
      </c>
      <c r="O17" s="1813">
        <f t="shared" si="2"/>
        <v>241109</v>
      </c>
      <c r="P17" s="1785">
        <f t="shared" si="3"/>
        <v>1778700.791</v>
      </c>
      <c r="Q17" s="1788"/>
      <c r="R17" s="1815"/>
      <c r="S17" s="1816">
        <f t="shared" si="4"/>
        <v>21.3</v>
      </c>
      <c r="T17" s="1817">
        <f t="shared" si="5"/>
        <v>1647231.6021</v>
      </c>
      <c r="U17" s="1818">
        <f t="shared" si="6"/>
        <v>-7.3913043478260887E-2</v>
      </c>
      <c r="V17" s="1819" t="s">
        <v>3765</v>
      </c>
      <c r="W17" s="1820" t="s">
        <v>3766</v>
      </c>
      <c r="X17" s="1821">
        <f t="shared" si="7"/>
        <v>1778700.791</v>
      </c>
      <c r="Y17" s="1819">
        <v>22380</v>
      </c>
      <c r="Z17" s="1819">
        <v>116922</v>
      </c>
      <c r="AA17" s="1822">
        <f t="shared" si="8"/>
        <v>1684158.791</v>
      </c>
      <c r="AB17" s="1823"/>
      <c r="AC17" s="1823"/>
      <c r="AD17" s="1824" t="str">
        <f t="shared" si="9"/>
        <v>n/a</v>
      </c>
      <c r="AE17" s="1824" t="str">
        <f t="shared" si="10"/>
        <v>n/a</v>
      </c>
      <c r="AF17" s="1825">
        <f t="shared" si="11"/>
        <v>0</v>
      </c>
    </row>
    <row r="18" spans="1:42" s="1814" customFormat="1" ht="13.5" hidden="1" customHeight="1" outlineLevel="1">
      <c r="B18" s="1827" t="s">
        <v>3767</v>
      </c>
      <c r="C18" s="1828" t="s">
        <v>3768</v>
      </c>
      <c r="D18" s="1829" t="s">
        <v>871</v>
      </c>
      <c r="E18" s="1828" t="s">
        <v>3769</v>
      </c>
      <c r="F18" s="1830">
        <v>43186</v>
      </c>
      <c r="G18" s="1789">
        <v>16</v>
      </c>
      <c r="H18" s="1789">
        <v>14</v>
      </c>
      <c r="I18" s="1789">
        <v>16</v>
      </c>
      <c r="J18" s="1789">
        <v>20.85</v>
      </c>
      <c r="K18" s="1785">
        <f t="shared" si="0"/>
        <v>27080.819000000003</v>
      </c>
      <c r="L18" s="1808">
        <v>9000</v>
      </c>
      <c r="M18" s="1808">
        <v>36080.819000000003</v>
      </c>
      <c r="N18" s="1785">
        <f t="shared" si="1"/>
        <v>433293.10400000005</v>
      </c>
      <c r="O18" s="1813">
        <f t="shared" si="2"/>
        <v>144000</v>
      </c>
      <c r="P18" s="1785">
        <f t="shared" si="3"/>
        <v>577293.10400000005</v>
      </c>
      <c r="Q18" s="1788"/>
      <c r="R18" s="1815"/>
      <c r="S18" s="1789">
        <f t="shared" si="4"/>
        <v>20.85</v>
      </c>
      <c r="T18" s="1817">
        <f t="shared" si="5"/>
        <v>752285.0761500001</v>
      </c>
      <c r="U18" s="1818">
        <f t="shared" si="6"/>
        <v>0.30312500000000009</v>
      </c>
      <c r="V18" s="1831" t="s">
        <v>3770</v>
      </c>
      <c r="W18" s="1832" t="s">
        <v>3771</v>
      </c>
      <c r="X18" s="1810">
        <f t="shared" si="7"/>
        <v>577293.10400000005</v>
      </c>
      <c r="Y18" s="1831">
        <v>0</v>
      </c>
      <c r="Z18" s="1831">
        <v>51574.93</v>
      </c>
      <c r="AA18" s="1797">
        <f t="shared" si="8"/>
        <v>525718.174</v>
      </c>
      <c r="AB18" s="1795"/>
      <c r="AC18" s="1795"/>
      <c r="AD18" s="1812" t="str">
        <f t="shared" si="9"/>
        <v>n/a</v>
      </c>
      <c r="AE18" s="1812" t="str">
        <f t="shared" si="10"/>
        <v>n/a</v>
      </c>
      <c r="AF18" s="1825">
        <f t="shared" si="11"/>
        <v>0</v>
      </c>
    </row>
    <row r="19" spans="1:42" s="1814" customFormat="1" ht="13.5" hidden="1" customHeight="1" outlineLevel="1">
      <c r="B19" s="1827" t="s">
        <v>3772</v>
      </c>
      <c r="C19" s="1828" t="s">
        <v>3773</v>
      </c>
      <c r="D19" s="1829" t="s">
        <v>871</v>
      </c>
      <c r="E19" s="1828" t="s">
        <v>3774</v>
      </c>
      <c r="F19" s="1830">
        <v>43096</v>
      </c>
      <c r="G19" s="1789">
        <v>7.5</v>
      </c>
      <c r="H19" s="1789">
        <v>6</v>
      </c>
      <c r="I19" s="1789">
        <v>8</v>
      </c>
      <c r="J19" s="1789">
        <v>14.95</v>
      </c>
      <c r="K19" s="1785">
        <f t="shared" si="0"/>
        <v>11307.255999999999</v>
      </c>
      <c r="L19" s="1808">
        <v>9333.3330000000005</v>
      </c>
      <c r="M19" s="1808">
        <v>20640.589</v>
      </c>
      <c r="N19" s="1785">
        <f t="shared" si="1"/>
        <v>84804.42</v>
      </c>
      <c r="O19" s="1813">
        <f t="shared" si="2"/>
        <v>69999.997499999998</v>
      </c>
      <c r="P19" s="1785">
        <f t="shared" si="3"/>
        <v>154804.41749999998</v>
      </c>
      <c r="Q19" s="1788"/>
      <c r="R19" s="1815"/>
      <c r="S19" s="1789">
        <f t="shared" si="4"/>
        <v>14.95</v>
      </c>
      <c r="T19" s="1817">
        <f t="shared" si="5"/>
        <v>308576.80554999999</v>
      </c>
      <c r="U19" s="1818">
        <f t="shared" si="6"/>
        <v>0.9933333333333334</v>
      </c>
      <c r="V19" s="1831" t="s">
        <v>3775</v>
      </c>
      <c r="W19" s="1832" t="s">
        <v>3776</v>
      </c>
      <c r="X19" s="1810">
        <f t="shared" si="7"/>
        <v>154804.41749999998</v>
      </c>
      <c r="Y19" s="1831">
        <v>0</v>
      </c>
      <c r="Z19" s="1831">
        <v>3400.48</v>
      </c>
      <c r="AA19" s="1797">
        <f t="shared" si="8"/>
        <v>151403.93749999997</v>
      </c>
      <c r="AB19" s="1795"/>
      <c r="AC19" s="1795"/>
      <c r="AD19" s="1812" t="str">
        <f t="shared" si="9"/>
        <v>n/a</v>
      </c>
      <c r="AE19" s="1812" t="str">
        <f t="shared" si="10"/>
        <v>n/a</v>
      </c>
      <c r="AF19" s="1825">
        <f t="shared" si="11"/>
        <v>0</v>
      </c>
    </row>
    <row r="20" spans="1:42" s="1814" customFormat="1" ht="13.5" hidden="1" customHeight="1" outlineLevel="1">
      <c r="B20" s="1827" t="s">
        <v>1840</v>
      </c>
      <c r="C20" s="1828" t="s">
        <v>1841</v>
      </c>
      <c r="D20" s="1829" t="s">
        <v>871</v>
      </c>
      <c r="E20" s="1828" t="s">
        <v>1842</v>
      </c>
      <c r="F20" s="1830">
        <v>42997</v>
      </c>
      <c r="G20" s="1789">
        <v>10</v>
      </c>
      <c r="H20" s="1789">
        <v>9</v>
      </c>
      <c r="I20" s="1789">
        <v>11</v>
      </c>
      <c r="J20" s="1789">
        <v>9.99</v>
      </c>
      <c r="K20" s="1785">
        <f t="shared" si="0"/>
        <v>5643.2469999999994</v>
      </c>
      <c r="L20" s="1808">
        <v>4000</v>
      </c>
      <c r="M20" s="1808">
        <v>9643.2469999999994</v>
      </c>
      <c r="N20" s="1785">
        <f t="shared" si="1"/>
        <v>56432.469999999994</v>
      </c>
      <c r="O20" s="1813">
        <f t="shared" si="2"/>
        <v>40000</v>
      </c>
      <c r="P20" s="1785">
        <f t="shared" si="3"/>
        <v>96432.47</v>
      </c>
      <c r="Q20" s="1788"/>
      <c r="R20" s="1785"/>
      <c r="S20" s="1789">
        <f t="shared" si="4"/>
        <v>9.99</v>
      </c>
      <c r="T20" s="1833">
        <f t="shared" si="5"/>
        <v>96336.037530000001</v>
      </c>
      <c r="U20" s="1834">
        <f t="shared" si="6"/>
        <v>-1.0000000000000009E-3</v>
      </c>
      <c r="V20" s="1831" t="s">
        <v>1843</v>
      </c>
      <c r="W20" s="1832" t="s">
        <v>1844</v>
      </c>
      <c r="X20" s="1810">
        <f t="shared" si="7"/>
        <v>96432.47</v>
      </c>
      <c r="Y20" s="1835">
        <v>0</v>
      </c>
      <c r="Z20" s="1835">
        <v>3518</v>
      </c>
      <c r="AA20" s="1797">
        <v>93314.47</v>
      </c>
      <c r="AB20" s="1795">
        <v>1518</v>
      </c>
      <c r="AC20" s="1795">
        <v>-46202</v>
      </c>
      <c r="AD20" s="1812">
        <v>61.471982872200265</v>
      </c>
      <c r="AE20" s="1812">
        <v>-2.0197062897710056</v>
      </c>
      <c r="AF20" s="1813">
        <v>0</v>
      </c>
    </row>
    <row r="21" spans="1:42" s="1814" customFormat="1" ht="13.5" hidden="1" customHeight="1" outlineLevel="1">
      <c r="B21" s="1827" t="s">
        <v>880</v>
      </c>
      <c r="C21" s="1828" t="s">
        <v>878</v>
      </c>
      <c r="D21" s="1829" t="s">
        <v>965</v>
      </c>
      <c r="E21" s="1828" t="s">
        <v>998</v>
      </c>
      <c r="F21" s="1830">
        <v>42661</v>
      </c>
      <c r="G21" s="1789">
        <v>14</v>
      </c>
      <c r="H21" s="1789">
        <v>15</v>
      </c>
      <c r="I21" s="1789">
        <v>17</v>
      </c>
      <c r="J21" s="1789">
        <v>20.5</v>
      </c>
      <c r="K21" s="1785">
        <f t="shared" si="0"/>
        <v>35360.633999999998</v>
      </c>
      <c r="L21" s="1808">
        <v>4000</v>
      </c>
      <c r="M21" s="1808">
        <v>39360.633999999998</v>
      </c>
      <c r="N21" s="1785">
        <f t="shared" si="1"/>
        <v>495048.87599999999</v>
      </c>
      <c r="O21" s="1813">
        <f t="shared" si="2"/>
        <v>56000</v>
      </c>
      <c r="P21" s="1785">
        <f t="shared" si="3"/>
        <v>551048.87599999993</v>
      </c>
      <c r="Q21" s="1788"/>
      <c r="R21" s="1785"/>
      <c r="S21" s="1789">
        <f>J21</f>
        <v>20.5</v>
      </c>
      <c r="T21" s="1817">
        <f t="shared" si="5"/>
        <v>806892.99699999997</v>
      </c>
      <c r="U21" s="1818">
        <f>T21/P21-1</f>
        <v>0.46428571428571441</v>
      </c>
      <c r="V21" s="1831" t="s">
        <v>879</v>
      </c>
      <c r="W21" s="1832" t="s">
        <v>881</v>
      </c>
      <c r="X21" s="1810">
        <f t="shared" si="7"/>
        <v>551048.87599999993</v>
      </c>
      <c r="Y21" s="1835">
        <v>0</v>
      </c>
      <c r="Z21" s="1835">
        <v>246849</v>
      </c>
      <c r="AA21" s="1797">
        <f>X21+Y21-Z21</f>
        <v>304199.87599999993</v>
      </c>
      <c r="AB21" s="1795">
        <v>1518</v>
      </c>
      <c r="AC21" s="1795">
        <v>-46202</v>
      </c>
      <c r="AD21" s="1812">
        <f>IFERROR(AA21/AB21,"n/a")</f>
        <v>200.39517523056648</v>
      </c>
      <c r="AE21" s="1812">
        <f>IFERROR(AA21/AC21,"n/a")</f>
        <v>-6.584127873252239</v>
      </c>
      <c r="AF21" s="1825">
        <f>+P21-X21</f>
        <v>0</v>
      </c>
    </row>
    <row r="22" spans="1:42" s="1814" customFormat="1" ht="13.5" hidden="1" customHeight="1" outlineLevel="1">
      <c r="B22" s="1827" t="s">
        <v>904</v>
      </c>
      <c r="C22" s="1828" t="s">
        <v>902</v>
      </c>
      <c r="D22" s="1829" t="s">
        <v>871</v>
      </c>
      <c r="E22" s="1828" t="s">
        <v>1024</v>
      </c>
      <c r="F22" s="1830">
        <v>42571</v>
      </c>
      <c r="G22" s="1789">
        <v>15</v>
      </c>
      <c r="H22" s="1836">
        <v>14</v>
      </c>
      <c r="I22" s="1836">
        <v>16</v>
      </c>
      <c r="J22" s="1789">
        <v>14.4</v>
      </c>
      <c r="K22" s="1785">
        <f t="shared" si="0"/>
        <v>16020.378000000001</v>
      </c>
      <c r="L22" s="1808">
        <v>5000</v>
      </c>
      <c r="M22" s="1808">
        <v>21020.378000000001</v>
      </c>
      <c r="N22" s="1785">
        <f t="shared" si="1"/>
        <v>240305.67</v>
      </c>
      <c r="O22" s="1813">
        <f t="shared" si="2"/>
        <v>75000</v>
      </c>
      <c r="P22" s="1785">
        <f t="shared" si="3"/>
        <v>315305.67000000004</v>
      </c>
      <c r="Q22" s="1788"/>
      <c r="R22" s="1785"/>
      <c r="S22" s="1789">
        <f t="shared" ref="S22:S36" si="12">J22</f>
        <v>14.4</v>
      </c>
      <c r="T22" s="1817">
        <f t="shared" si="5"/>
        <v>302693.44320000004</v>
      </c>
      <c r="U22" s="1818">
        <f t="shared" ref="U22:U36" si="13">T22/P22-1</f>
        <v>-4.0000000000000036E-2</v>
      </c>
      <c r="V22" s="1819" t="s">
        <v>903</v>
      </c>
      <c r="W22" s="1832" t="s">
        <v>905</v>
      </c>
      <c r="X22" s="1810">
        <f t="shared" si="7"/>
        <v>315305.67000000004</v>
      </c>
      <c r="Y22" s="1810">
        <v>0</v>
      </c>
      <c r="Z22" s="1810">
        <v>59713</v>
      </c>
      <c r="AA22" s="1797">
        <f t="shared" ref="AA22:AA36" si="14">X22+Y22-Z22</f>
        <v>255592.67000000004</v>
      </c>
      <c r="AB22" s="1795">
        <v>0</v>
      </c>
      <c r="AC22" s="1837">
        <v>-40429</v>
      </c>
      <c r="AD22" s="1812" t="str">
        <f t="shared" ref="AD22:AD36" si="15">IFERROR(AA22/AB22,"n/a")</f>
        <v>n/a</v>
      </c>
      <c r="AE22" s="1812">
        <f t="shared" ref="AE22:AE36" si="16">IFERROR(AA22/AC22,"n/a")</f>
        <v>-6.3220131588711084</v>
      </c>
      <c r="AF22" s="1825">
        <f t="shared" ref="AF22:AF36" si="17">+P22-X22</f>
        <v>0</v>
      </c>
    </row>
    <row r="23" spans="1:42" s="1814" customFormat="1" ht="13.5" hidden="1" customHeight="1" outlineLevel="1">
      <c r="B23" s="1827" t="s">
        <v>1031</v>
      </c>
      <c r="C23" s="1829" t="s">
        <v>1032</v>
      </c>
      <c r="D23" s="1830" t="s">
        <v>871</v>
      </c>
      <c r="E23" s="1789" t="s">
        <v>1033</v>
      </c>
      <c r="F23" s="1830">
        <v>42522</v>
      </c>
      <c r="G23" s="1789">
        <v>6</v>
      </c>
      <c r="H23" s="1808">
        <v>5</v>
      </c>
      <c r="I23" s="1808">
        <v>6</v>
      </c>
      <c r="J23" s="1789">
        <v>7.0350000000000001</v>
      </c>
      <c r="K23" s="1785">
        <f t="shared" si="0"/>
        <v>6895.2960000000003</v>
      </c>
      <c r="L23" s="1808">
        <v>1540.0260000000001</v>
      </c>
      <c r="M23" s="1808">
        <v>8435.3220000000001</v>
      </c>
      <c r="N23" s="1785">
        <f t="shared" si="1"/>
        <v>41371.775999999998</v>
      </c>
      <c r="O23" s="1813">
        <f t="shared" si="2"/>
        <v>9240.1560000000009</v>
      </c>
      <c r="P23" s="1785">
        <f t="shared" si="3"/>
        <v>50611.932000000001</v>
      </c>
      <c r="Q23" s="1788"/>
      <c r="R23" s="1805"/>
      <c r="S23" s="1806">
        <f t="shared" si="12"/>
        <v>7.0350000000000001</v>
      </c>
      <c r="T23" s="1806">
        <f t="shared" si="5"/>
        <v>59342.490270000002</v>
      </c>
      <c r="U23" s="1805">
        <f t="shared" si="13"/>
        <v>0.1725000000000001</v>
      </c>
      <c r="V23" s="1807" t="s">
        <v>1034</v>
      </c>
      <c r="W23" s="1805" t="s">
        <v>1035</v>
      </c>
      <c r="X23" s="1810">
        <f t="shared" si="7"/>
        <v>50611.932000000001</v>
      </c>
      <c r="Y23" s="1810">
        <v>450000</v>
      </c>
      <c r="Z23" s="1810">
        <v>28.09</v>
      </c>
      <c r="AA23" s="1797">
        <f t="shared" si="14"/>
        <v>500583.842</v>
      </c>
      <c r="AB23" s="1795">
        <v>0</v>
      </c>
      <c r="AC23" s="1837">
        <v>0</v>
      </c>
      <c r="AD23" s="1812" t="str">
        <f t="shared" si="15"/>
        <v>n/a</v>
      </c>
      <c r="AE23" s="1812" t="str">
        <f t="shared" si="16"/>
        <v>n/a</v>
      </c>
      <c r="AF23" s="1825">
        <f t="shared" si="17"/>
        <v>0</v>
      </c>
    </row>
    <row r="24" spans="1:42" s="1826" customFormat="1" ht="13.5" hidden="1" customHeight="1" outlineLevel="1">
      <c r="A24" s="1814"/>
      <c r="B24" s="1827" t="s">
        <v>918</v>
      </c>
      <c r="C24" s="1829" t="s">
        <v>916</v>
      </c>
      <c r="D24" s="1830" t="s">
        <v>871</v>
      </c>
      <c r="E24" s="1789" t="s">
        <v>1046</v>
      </c>
      <c r="F24" s="1830">
        <v>42507</v>
      </c>
      <c r="G24" s="1789">
        <v>5</v>
      </c>
      <c r="H24" s="1808">
        <v>0</v>
      </c>
      <c r="I24" s="1808">
        <v>0</v>
      </c>
      <c r="J24" s="1789">
        <v>5.18</v>
      </c>
      <c r="K24" s="1785">
        <f t="shared" si="0"/>
        <v>7883.2340000000004</v>
      </c>
      <c r="L24" s="1808">
        <v>3700</v>
      </c>
      <c r="M24" s="1808">
        <v>11583.234</v>
      </c>
      <c r="N24" s="1785">
        <f t="shared" si="1"/>
        <v>39416.17</v>
      </c>
      <c r="O24" s="1813">
        <f t="shared" si="2"/>
        <v>18500</v>
      </c>
      <c r="P24" s="1785">
        <f t="shared" si="3"/>
        <v>57916.17</v>
      </c>
      <c r="Q24" s="1788"/>
      <c r="R24" s="1805"/>
      <c r="S24" s="1806">
        <f t="shared" si="12"/>
        <v>5.18</v>
      </c>
      <c r="T24" s="1806">
        <f t="shared" si="5"/>
        <v>60001.152119999999</v>
      </c>
      <c r="U24" s="1805">
        <f t="shared" si="13"/>
        <v>3.6000000000000032E-2</v>
      </c>
      <c r="V24" s="1807" t="s">
        <v>917</v>
      </c>
      <c r="W24" s="1805" t="s">
        <v>919</v>
      </c>
      <c r="X24" s="1810">
        <f t="shared" si="7"/>
        <v>57916.17</v>
      </c>
      <c r="Y24" s="1810">
        <v>19992000</v>
      </c>
      <c r="Z24" s="1810">
        <v>905</v>
      </c>
      <c r="AA24" s="1797">
        <f t="shared" si="14"/>
        <v>20049011.170000002</v>
      </c>
      <c r="AB24" s="1795">
        <v>0</v>
      </c>
      <c r="AC24" s="1837">
        <v>-14899</v>
      </c>
      <c r="AD24" s="1812" t="str">
        <f t="shared" si="15"/>
        <v>n/a</v>
      </c>
      <c r="AE24" s="1812">
        <f t="shared" si="16"/>
        <v>-1345.6615323176054</v>
      </c>
      <c r="AF24" s="1825">
        <f t="shared" si="17"/>
        <v>0</v>
      </c>
      <c r="AG24" s="1814"/>
      <c r="AK24" s="1825"/>
      <c r="AL24" s="1838"/>
    </row>
    <row r="25" spans="1:42" s="1814" customFormat="1" ht="13.5" hidden="1" customHeight="1" outlineLevel="1">
      <c r="B25" s="1827" t="s">
        <v>900</v>
      </c>
      <c r="C25" s="1829" t="s">
        <v>898</v>
      </c>
      <c r="D25" s="1830" t="s">
        <v>965</v>
      </c>
      <c r="E25" s="1789" t="s">
        <v>1052</v>
      </c>
      <c r="F25" s="1830">
        <v>42495</v>
      </c>
      <c r="G25" s="1789">
        <v>18</v>
      </c>
      <c r="H25" s="1808">
        <v>16</v>
      </c>
      <c r="I25" s="1808">
        <v>18</v>
      </c>
      <c r="J25" s="1789">
        <v>28.8</v>
      </c>
      <c r="K25" s="1785">
        <f t="shared" si="0"/>
        <v>29096.264999999999</v>
      </c>
      <c r="L25" s="1808">
        <v>6000</v>
      </c>
      <c r="M25" s="1808">
        <v>35096.264999999999</v>
      </c>
      <c r="N25" s="1785">
        <f t="shared" si="1"/>
        <v>523732.77</v>
      </c>
      <c r="O25" s="1813">
        <f t="shared" si="2"/>
        <v>108000</v>
      </c>
      <c r="P25" s="1785">
        <f t="shared" si="3"/>
        <v>631732.77</v>
      </c>
      <c r="Q25" s="1788"/>
      <c r="R25" s="1805"/>
      <c r="S25" s="1806">
        <f t="shared" si="12"/>
        <v>28.8</v>
      </c>
      <c r="T25" s="1806">
        <f t="shared" si="5"/>
        <v>1010772.432</v>
      </c>
      <c r="U25" s="1805">
        <f t="shared" si="13"/>
        <v>0.60000000000000009</v>
      </c>
      <c r="V25" s="1807" t="s">
        <v>899</v>
      </c>
      <c r="W25" s="1805" t="s">
        <v>901</v>
      </c>
      <c r="X25" s="1810">
        <f t="shared" si="7"/>
        <v>631732.77</v>
      </c>
      <c r="Y25" s="1810">
        <v>0</v>
      </c>
      <c r="Z25" s="1810">
        <v>75816</v>
      </c>
      <c r="AA25" s="1797">
        <f t="shared" si="14"/>
        <v>555916.77</v>
      </c>
      <c r="AB25" s="1795">
        <v>9364</v>
      </c>
      <c r="AC25" s="1837">
        <v>-21770</v>
      </c>
      <c r="AD25" s="1812">
        <f t="shared" si="15"/>
        <v>59.367446604015377</v>
      </c>
      <c r="AE25" s="1812">
        <f t="shared" si="16"/>
        <v>-25.535910427193386</v>
      </c>
      <c r="AF25" s="1825">
        <f t="shared" si="17"/>
        <v>0</v>
      </c>
      <c r="AK25" s="1825"/>
      <c r="AL25" s="1838"/>
      <c r="AM25" s="1826"/>
    </row>
    <row r="26" spans="1:42" s="1814" customFormat="1" ht="13.5" hidden="1" customHeight="1" outlineLevel="1">
      <c r="B26" s="1827" t="s">
        <v>1057</v>
      </c>
      <c r="C26" s="1829" t="s">
        <v>1058</v>
      </c>
      <c r="D26" s="1830" t="s">
        <v>1506</v>
      </c>
      <c r="E26" s="1789" t="s">
        <v>1059</v>
      </c>
      <c r="F26" s="1830">
        <v>42466</v>
      </c>
      <c r="G26" s="1789">
        <v>10</v>
      </c>
      <c r="H26" s="1808">
        <v>16</v>
      </c>
      <c r="I26" s="1808">
        <v>18</v>
      </c>
      <c r="J26" s="1789">
        <v>8.7100000000000009</v>
      </c>
      <c r="K26" s="1785">
        <f t="shared" si="0"/>
        <v>7929.8320000000003</v>
      </c>
      <c r="L26" s="1808">
        <v>5000</v>
      </c>
      <c r="M26" s="1808">
        <v>12929.832</v>
      </c>
      <c r="N26" s="1785">
        <f t="shared" si="1"/>
        <v>79298.320000000007</v>
      </c>
      <c r="O26" s="1813">
        <f t="shared" si="2"/>
        <v>50000</v>
      </c>
      <c r="P26" s="1785">
        <f t="shared" si="3"/>
        <v>129298.32</v>
      </c>
      <c r="Q26" s="1788"/>
      <c r="R26" s="1805"/>
      <c r="S26" s="1806">
        <f t="shared" si="12"/>
        <v>8.7100000000000009</v>
      </c>
      <c r="T26" s="1806">
        <f t="shared" si="5"/>
        <v>112618.83672000002</v>
      </c>
      <c r="U26" s="1805">
        <f t="shared" si="13"/>
        <v>-0.12899999999999989</v>
      </c>
      <c r="V26" s="1807" t="s">
        <v>1060</v>
      </c>
      <c r="W26" s="1805" t="s">
        <v>1061</v>
      </c>
      <c r="X26" s="1810">
        <f t="shared" si="7"/>
        <v>129298.32</v>
      </c>
      <c r="Y26" s="1810">
        <v>0</v>
      </c>
      <c r="Z26" s="1810">
        <v>29294</v>
      </c>
      <c r="AA26" s="1797">
        <f t="shared" si="14"/>
        <v>100004.32</v>
      </c>
      <c r="AB26" s="1795">
        <v>4890</v>
      </c>
      <c r="AC26" s="1837">
        <v>-17383</v>
      </c>
      <c r="AD26" s="1812">
        <f t="shared" si="15"/>
        <v>20.450781186094073</v>
      </c>
      <c r="AE26" s="1812">
        <f t="shared" si="16"/>
        <v>-5.7529954553299207</v>
      </c>
      <c r="AF26" s="1825">
        <f t="shared" si="17"/>
        <v>0</v>
      </c>
      <c r="AK26" s="1813"/>
      <c r="AL26" s="1838"/>
      <c r="AM26" s="1826"/>
    </row>
    <row r="27" spans="1:42" s="1827" customFormat="1" ht="13.5" hidden="1" customHeight="1" outlineLevel="1">
      <c r="A27" s="1814"/>
      <c r="B27" s="1827" t="s">
        <v>1076</v>
      </c>
      <c r="C27" s="1829" t="s">
        <v>1077</v>
      </c>
      <c r="D27" s="1830" t="s">
        <v>1506</v>
      </c>
      <c r="E27" s="1789" t="s">
        <v>1078</v>
      </c>
      <c r="F27" s="1830">
        <v>42410</v>
      </c>
      <c r="G27" s="1789">
        <v>8</v>
      </c>
      <c r="H27" s="1808">
        <v>12</v>
      </c>
      <c r="I27" s="1808">
        <v>14</v>
      </c>
      <c r="J27" s="1789">
        <v>8.9600000000000009</v>
      </c>
      <c r="K27" s="1785">
        <f t="shared" si="0"/>
        <v>12861.478999999999</v>
      </c>
      <c r="L27" s="1808">
        <v>6250</v>
      </c>
      <c r="M27" s="1808">
        <v>19111.478999999999</v>
      </c>
      <c r="N27" s="1785">
        <f t="shared" si="1"/>
        <v>102891.83199999999</v>
      </c>
      <c r="O27" s="1813">
        <f t="shared" si="2"/>
        <v>50000</v>
      </c>
      <c r="P27" s="1785">
        <f t="shared" si="3"/>
        <v>152891.83199999999</v>
      </c>
      <c r="Q27" s="1788"/>
      <c r="R27" s="1805"/>
      <c r="S27" s="1806">
        <f t="shared" si="12"/>
        <v>8.9600000000000009</v>
      </c>
      <c r="T27" s="1806">
        <f t="shared" si="5"/>
        <v>171238.85184000002</v>
      </c>
      <c r="U27" s="1805">
        <f t="shared" si="13"/>
        <v>0.12000000000000011</v>
      </c>
      <c r="V27" s="1807" t="s">
        <v>1079</v>
      </c>
      <c r="W27" s="1805" t="s">
        <v>1080</v>
      </c>
      <c r="X27" s="1810">
        <f t="shared" si="7"/>
        <v>152891.83199999999</v>
      </c>
      <c r="Y27" s="1810">
        <v>0</v>
      </c>
      <c r="Z27" s="1810">
        <v>20919</v>
      </c>
      <c r="AA27" s="1797">
        <f t="shared" si="14"/>
        <v>131972.83199999999</v>
      </c>
      <c r="AB27" s="1795">
        <v>5044</v>
      </c>
      <c r="AC27" s="1837">
        <v>-29704</v>
      </c>
      <c r="AD27" s="1812">
        <f t="shared" si="15"/>
        <v>26.164320380650278</v>
      </c>
      <c r="AE27" s="1812">
        <f t="shared" si="16"/>
        <v>-4.442931322380824</v>
      </c>
      <c r="AF27" s="1825">
        <f t="shared" si="17"/>
        <v>0</v>
      </c>
      <c r="AG27" s="1814"/>
      <c r="AK27" s="1813"/>
      <c r="AL27" s="1838"/>
      <c r="AM27" s="1826"/>
    </row>
    <row r="28" spans="1:42" s="1827" customFormat="1" ht="13.5" hidden="1" customHeight="1" outlineLevel="1">
      <c r="A28" s="1814"/>
      <c r="B28" s="1827" t="s">
        <v>892</v>
      </c>
      <c r="C28" s="1829" t="s">
        <v>890</v>
      </c>
      <c r="D28" s="1830" t="s">
        <v>871</v>
      </c>
      <c r="E28" s="1789" t="s">
        <v>1081</v>
      </c>
      <c r="F28" s="1830">
        <v>42402</v>
      </c>
      <c r="G28" s="1789">
        <v>16</v>
      </c>
      <c r="H28" s="1808">
        <v>16</v>
      </c>
      <c r="I28" s="1808">
        <v>18</v>
      </c>
      <c r="J28" s="1789">
        <v>35.56</v>
      </c>
      <c r="K28" s="1785">
        <f t="shared" si="0"/>
        <v>29799.538</v>
      </c>
      <c r="L28" s="1808">
        <v>5900</v>
      </c>
      <c r="M28" s="1808">
        <v>35699.538</v>
      </c>
      <c r="N28" s="1785">
        <f t="shared" si="1"/>
        <v>476792.60800000001</v>
      </c>
      <c r="O28" s="1813">
        <f t="shared" si="2"/>
        <v>94400</v>
      </c>
      <c r="P28" s="1785">
        <f t="shared" si="3"/>
        <v>571192.60800000001</v>
      </c>
      <c r="Q28" s="1788"/>
      <c r="R28" s="1805"/>
      <c r="S28" s="1806">
        <f t="shared" si="12"/>
        <v>35.56</v>
      </c>
      <c r="T28" s="1806">
        <f t="shared" si="5"/>
        <v>1269475.57128</v>
      </c>
      <c r="U28" s="1805">
        <f t="shared" si="13"/>
        <v>1.2225000000000001</v>
      </c>
      <c r="V28" s="1807" t="s">
        <v>891</v>
      </c>
      <c r="W28" s="1805" t="s">
        <v>893</v>
      </c>
      <c r="X28" s="1810">
        <f t="shared" si="7"/>
        <v>571192.60800000001</v>
      </c>
      <c r="Y28" s="1810">
        <v>1826000</v>
      </c>
      <c r="Z28" s="1810">
        <v>155301</v>
      </c>
      <c r="AA28" s="1797">
        <f t="shared" si="14"/>
        <v>2241891.608</v>
      </c>
      <c r="AB28" s="1795">
        <v>5655</v>
      </c>
      <c r="AC28" s="1837">
        <v>-56081</v>
      </c>
      <c r="AD28" s="1812">
        <f t="shared" si="15"/>
        <v>396.44413934571173</v>
      </c>
      <c r="AE28" s="1812">
        <f t="shared" si="16"/>
        <v>-39.975956348852556</v>
      </c>
      <c r="AF28" s="1825">
        <f t="shared" si="17"/>
        <v>0</v>
      </c>
      <c r="AG28" s="1814"/>
      <c r="AK28" s="1813"/>
      <c r="AL28" s="1838"/>
      <c r="AM28" s="1826"/>
    </row>
    <row r="29" spans="1:42" s="1827" customFormat="1" ht="13.5" hidden="1" customHeight="1" outlineLevel="1">
      <c r="A29" s="1814"/>
      <c r="B29" s="1827" t="s">
        <v>884</v>
      </c>
      <c r="C29" s="1829" t="s">
        <v>882</v>
      </c>
      <c r="D29" s="1830" t="s">
        <v>871</v>
      </c>
      <c r="E29" s="1789" t="s">
        <v>1090</v>
      </c>
      <c r="F29" s="1830">
        <v>42318</v>
      </c>
      <c r="G29" s="1789">
        <v>16</v>
      </c>
      <c r="H29" s="1808">
        <v>15</v>
      </c>
      <c r="I29" s="1808">
        <v>17</v>
      </c>
      <c r="J29" s="1789">
        <v>13.785</v>
      </c>
      <c r="K29" s="1785">
        <f t="shared" si="0"/>
        <v>14558.296999999999</v>
      </c>
      <c r="L29" s="1808">
        <v>6375</v>
      </c>
      <c r="M29" s="1808">
        <v>20933.296999999999</v>
      </c>
      <c r="N29" s="1785">
        <f t="shared" si="1"/>
        <v>232932.75199999998</v>
      </c>
      <c r="O29" s="1813">
        <f t="shared" si="2"/>
        <v>102000</v>
      </c>
      <c r="P29" s="1785">
        <f t="shared" si="3"/>
        <v>334932.75199999998</v>
      </c>
      <c r="Q29" s="1788"/>
      <c r="R29" s="1805"/>
      <c r="S29" s="1806">
        <f t="shared" si="12"/>
        <v>13.785</v>
      </c>
      <c r="T29" s="1806">
        <f t="shared" si="5"/>
        <v>288565.49914500001</v>
      </c>
      <c r="U29" s="1805">
        <f t="shared" si="13"/>
        <v>-0.13843749999999988</v>
      </c>
      <c r="V29" s="1807" t="s">
        <v>883</v>
      </c>
      <c r="W29" s="1805" t="s">
        <v>885</v>
      </c>
      <c r="X29" s="1810">
        <f t="shared" si="7"/>
        <v>334932.75199999998</v>
      </c>
      <c r="Y29" s="1810">
        <v>171000</v>
      </c>
      <c r="Z29" s="1810">
        <v>7779</v>
      </c>
      <c r="AA29" s="1797">
        <f t="shared" si="14"/>
        <v>498153.75199999998</v>
      </c>
      <c r="AB29" s="1795">
        <v>417</v>
      </c>
      <c r="AC29" s="1837">
        <v>-31242</v>
      </c>
      <c r="AD29" s="1812">
        <f t="shared" si="15"/>
        <v>1194.613314148681</v>
      </c>
      <c r="AE29" s="1812">
        <f t="shared" si="16"/>
        <v>-15.945001984508034</v>
      </c>
      <c r="AF29" s="1825">
        <f t="shared" si="17"/>
        <v>0</v>
      </c>
      <c r="AG29" s="1814"/>
      <c r="AK29" s="1813"/>
      <c r="AL29" s="1838"/>
      <c r="AM29" s="1826"/>
    </row>
    <row r="30" spans="1:42" s="1827" customFormat="1" ht="13.5" hidden="1" customHeight="1" outlineLevel="1">
      <c r="A30" s="1814"/>
      <c r="B30" s="1827" t="s">
        <v>1107</v>
      </c>
      <c r="C30" s="1829" t="s">
        <v>1108</v>
      </c>
      <c r="D30" s="1830" t="s">
        <v>871</v>
      </c>
      <c r="E30" s="1789" t="s">
        <v>1109</v>
      </c>
      <c r="F30" s="1830">
        <v>42284</v>
      </c>
      <c r="G30" s="1789">
        <v>12</v>
      </c>
      <c r="H30" s="1808">
        <v>14</v>
      </c>
      <c r="I30" s="1808">
        <v>16</v>
      </c>
      <c r="J30" s="1789">
        <v>11.42</v>
      </c>
      <c r="K30" s="1785">
        <f t="shared" si="0"/>
        <v>28253.925999999999</v>
      </c>
      <c r="L30" s="1808">
        <v>6666.6670000000004</v>
      </c>
      <c r="M30" s="1808">
        <v>34920.593000000001</v>
      </c>
      <c r="N30" s="1785">
        <f t="shared" si="1"/>
        <v>339047.11199999996</v>
      </c>
      <c r="O30" s="1813">
        <f t="shared" si="2"/>
        <v>80000.004000000001</v>
      </c>
      <c r="P30" s="1785">
        <f t="shared" si="3"/>
        <v>419047.11599999998</v>
      </c>
      <c r="Q30" s="1788"/>
      <c r="R30" s="1785"/>
      <c r="S30" s="1808">
        <f t="shared" si="12"/>
        <v>11.42</v>
      </c>
      <c r="T30" s="1808">
        <f t="shared" si="5"/>
        <v>398793.17206000001</v>
      </c>
      <c r="U30" s="1785">
        <f t="shared" si="13"/>
        <v>-4.8333333333333228E-2</v>
      </c>
      <c r="V30" s="1813" t="s">
        <v>1110</v>
      </c>
      <c r="W30" s="1785" t="s">
        <v>1111</v>
      </c>
      <c r="X30" s="1810">
        <f t="shared" si="7"/>
        <v>419047.11599999998</v>
      </c>
      <c r="Y30" s="1810">
        <v>2292000</v>
      </c>
      <c r="Z30" s="1810">
        <v>45842</v>
      </c>
      <c r="AA30" s="1797">
        <f t="shared" si="14"/>
        <v>2665205.1159999999</v>
      </c>
      <c r="AB30" s="1795">
        <v>9244</v>
      </c>
      <c r="AC30" s="1837">
        <v>-51797</v>
      </c>
      <c r="AD30" s="1812">
        <f t="shared" si="15"/>
        <v>288.31729943747297</v>
      </c>
      <c r="AE30" s="1812">
        <f t="shared" si="16"/>
        <v>-51.454816224877888</v>
      </c>
      <c r="AF30" s="1813">
        <f t="shared" si="17"/>
        <v>0</v>
      </c>
      <c r="AG30" s="1814"/>
      <c r="AK30" s="1813"/>
      <c r="AL30" s="1828"/>
      <c r="AM30" s="1814"/>
    </row>
    <row r="31" spans="1:42" s="1827" customFormat="1" ht="13.5" hidden="1" customHeight="1" outlineLevel="1">
      <c r="A31" s="1814"/>
      <c r="B31" s="1827" t="s">
        <v>888</v>
      </c>
      <c r="C31" s="1829" t="s">
        <v>886</v>
      </c>
      <c r="D31" s="1830" t="s">
        <v>871</v>
      </c>
      <c r="E31" s="1789" t="s">
        <v>1126</v>
      </c>
      <c r="F31" s="1830">
        <v>42263</v>
      </c>
      <c r="G31" s="1789">
        <v>22</v>
      </c>
      <c r="H31" s="1808">
        <v>17</v>
      </c>
      <c r="I31" s="1808">
        <v>19</v>
      </c>
      <c r="J31" s="1789">
        <v>18.55</v>
      </c>
      <c r="K31" s="1785">
        <f t="shared" si="0"/>
        <v>19050.707999999999</v>
      </c>
      <c r="L31" s="1808">
        <v>6300</v>
      </c>
      <c r="M31" s="1808">
        <v>25350.707999999999</v>
      </c>
      <c r="N31" s="1785">
        <f t="shared" si="1"/>
        <v>419115.576</v>
      </c>
      <c r="O31" s="1813">
        <f t="shared" si="2"/>
        <v>138600</v>
      </c>
      <c r="P31" s="1785">
        <f t="shared" si="3"/>
        <v>557715.576</v>
      </c>
      <c r="Q31" s="1788"/>
      <c r="R31" s="1785"/>
      <c r="S31" s="1808">
        <f t="shared" si="12"/>
        <v>18.55</v>
      </c>
      <c r="T31" s="1808">
        <f t="shared" si="5"/>
        <v>470255.63339999999</v>
      </c>
      <c r="U31" s="1785">
        <f t="shared" si="13"/>
        <v>-0.15681818181818186</v>
      </c>
      <c r="V31" s="1813" t="s">
        <v>887</v>
      </c>
      <c r="W31" s="1785" t="s">
        <v>889</v>
      </c>
      <c r="X31" s="1810">
        <f t="shared" si="7"/>
        <v>557715.576</v>
      </c>
      <c r="Y31" s="1810">
        <v>0</v>
      </c>
      <c r="Z31" s="1810">
        <v>85215</v>
      </c>
      <c r="AA31" s="1797">
        <f t="shared" si="14"/>
        <v>472500.576</v>
      </c>
      <c r="AB31" s="1795">
        <v>8349</v>
      </c>
      <c r="AC31" s="1837">
        <v>-38825</v>
      </c>
      <c r="AD31" s="1812">
        <f t="shared" si="15"/>
        <v>56.593673014732303</v>
      </c>
      <c r="AE31" s="1812">
        <f t="shared" si="16"/>
        <v>-12.170008396651642</v>
      </c>
      <c r="AF31" s="1813">
        <f t="shared" si="17"/>
        <v>0</v>
      </c>
      <c r="AG31" s="1814"/>
      <c r="AK31" s="1813"/>
      <c r="AL31" s="1828"/>
      <c r="AM31" s="1814"/>
    </row>
    <row r="32" spans="1:42" s="1827" customFormat="1" ht="13.5" hidden="1" customHeight="1" outlineLevel="1">
      <c r="A32" s="1814"/>
      <c r="B32" s="1827" t="s">
        <v>1137</v>
      </c>
      <c r="C32" s="1829" t="s">
        <v>1138</v>
      </c>
      <c r="D32" s="1830" t="s">
        <v>871</v>
      </c>
      <c r="E32" s="1789" t="s">
        <v>1139</v>
      </c>
      <c r="F32" s="1830">
        <v>42220</v>
      </c>
      <c r="G32" s="1789">
        <v>14</v>
      </c>
      <c r="H32" s="1808">
        <v>13</v>
      </c>
      <c r="I32" s="1808">
        <v>15</v>
      </c>
      <c r="J32" s="1789">
        <v>28.8</v>
      </c>
      <c r="K32" s="1785">
        <f t="shared" si="0"/>
        <v>5733.9629999999997</v>
      </c>
      <c r="L32" s="1808">
        <v>3000</v>
      </c>
      <c r="M32" s="1808">
        <v>8733.9629999999997</v>
      </c>
      <c r="N32" s="1785">
        <f t="shared" si="1"/>
        <v>80275.481999999989</v>
      </c>
      <c r="O32" s="1813">
        <f t="shared" si="2"/>
        <v>42000</v>
      </c>
      <c r="P32" s="1785">
        <f t="shared" si="3"/>
        <v>122275.48199999999</v>
      </c>
      <c r="Q32" s="1788"/>
      <c r="R32" s="1785"/>
      <c r="S32" s="1808">
        <f t="shared" si="12"/>
        <v>28.8</v>
      </c>
      <c r="T32" s="1808">
        <f t="shared" si="5"/>
        <v>251538.13440000001</v>
      </c>
      <c r="U32" s="1785">
        <f t="shared" si="13"/>
        <v>1.0571428571428574</v>
      </c>
      <c r="V32" s="1813" t="s">
        <v>1140</v>
      </c>
      <c r="W32" s="1785" t="s">
        <v>1141</v>
      </c>
      <c r="X32" s="1810">
        <f t="shared" si="7"/>
        <v>122275.48199999999</v>
      </c>
      <c r="Y32" s="1810">
        <v>0</v>
      </c>
      <c r="Z32" s="1810">
        <v>7375.9800000000005</v>
      </c>
      <c r="AA32" s="1797">
        <f t="shared" si="14"/>
        <v>114899.50199999999</v>
      </c>
      <c r="AB32" s="1795">
        <v>255.92999999999998</v>
      </c>
      <c r="AC32" s="1837">
        <v>-19887.91</v>
      </c>
      <c r="AD32" s="1812">
        <f t="shared" si="15"/>
        <v>448.94893916305239</v>
      </c>
      <c r="AE32" s="1812">
        <f t="shared" si="16"/>
        <v>-5.7773542820738824</v>
      </c>
      <c r="AF32" s="1813">
        <f t="shared" si="17"/>
        <v>0</v>
      </c>
      <c r="AG32" s="1814"/>
      <c r="AH32" s="1813"/>
      <c r="AI32" s="1898"/>
      <c r="AJ32" s="1899"/>
      <c r="AK32" s="1813"/>
      <c r="AL32" s="1828"/>
      <c r="AM32" s="1814"/>
      <c r="AN32" s="1831"/>
      <c r="AO32" s="1900"/>
      <c r="AP32" s="1900"/>
    </row>
    <row r="33" spans="1:41" s="1827" customFormat="1" ht="13.5" hidden="1" customHeight="1" outlineLevel="1">
      <c r="A33" s="1814"/>
      <c r="B33" s="1827" t="s">
        <v>1188</v>
      </c>
      <c r="C33" s="1829" t="s">
        <v>1189</v>
      </c>
      <c r="D33" s="1830" t="s">
        <v>871</v>
      </c>
      <c r="E33" s="1789" t="s">
        <v>1190</v>
      </c>
      <c r="F33" s="1830">
        <v>42125</v>
      </c>
      <c r="G33" s="1789">
        <v>3.0585200000000001</v>
      </c>
      <c r="H33" s="1808">
        <v>0</v>
      </c>
      <c r="I33" s="1808">
        <v>0</v>
      </c>
      <c r="J33" s="1789">
        <v>3.2423000000000002</v>
      </c>
      <c r="K33" s="1785">
        <f t="shared" si="0"/>
        <v>117170.86200000002</v>
      </c>
      <c r="L33" s="1808">
        <v>32569.046999999999</v>
      </c>
      <c r="M33" s="1808">
        <v>149739.90900000001</v>
      </c>
      <c r="N33" s="1785">
        <f t="shared" si="1"/>
        <v>358369.42484424007</v>
      </c>
      <c r="O33" s="1813">
        <f t="shared" si="2"/>
        <v>99613.081630440007</v>
      </c>
      <c r="P33" s="1785">
        <f t="shared" si="3"/>
        <v>457982.50647468009</v>
      </c>
      <c r="Q33" s="1788"/>
      <c r="R33" s="1785"/>
      <c r="S33" s="1808">
        <f t="shared" si="12"/>
        <v>3.2423000000000002</v>
      </c>
      <c r="T33" s="1808">
        <f t="shared" si="5"/>
        <v>485501.70695070009</v>
      </c>
      <c r="U33" s="1785">
        <f t="shared" si="13"/>
        <v>6.0087885644036998E-2</v>
      </c>
      <c r="V33" s="1813" t="s">
        <v>1191</v>
      </c>
      <c r="W33" s="1785" t="s">
        <v>1192</v>
      </c>
      <c r="X33" s="1810">
        <f t="shared" si="7"/>
        <v>457982.50647468009</v>
      </c>
      <c r="Y33" s="1810">
        <v>2081999.9999999998</v>
      </c>
      <c r="Z33" s="1810">
        <v>213</v>
      </c>
      <c r="AA33" s="1797">
        <f t="shared" si="14"/>
        <v>2539769.5064746798</v>
      </c>
      <c r="AB33" s="1795">
        <v>0</v>
      </c>
      <c r="AC33" s="1837">
        <v>-13913</v>
      </c>
      <c r="AD33" s="1812" t="str">
        <f t="shared" si="15"/>
        <v>n/a</v>
      </c>
      <c r="AE33" s="1812">
        <f t="shared" si="16"/>
        <v>-182.54650373569177</v>
      </c>
      <c r="AF33" s="1813">
        <f t="shared" si="17"/>
        <v>0</v>
      </c>
      <c r="AG33" s="1814"/>
      <c r="AK33" s="1813"/>
      <c r="AL33" s="1828"/>
      <c r="AM33" s="1814"/>
    </row>
    <row r="34" spans="1:41" s="1827" customFormat="1" ht="13.5" hidden="1" customHeight="1" outlineLevel="1">
      <c r="A34" s="1814"/>
      <c r="B34" s="1827" t="s">
        <v>974</v>
      </c>
      <c r="C34" s="1829" t="s">
        <v>1193</v>
      </c>
      <c r="D34" s="1830" t="s">
        <v>1507</v>
      </c>
      <c r="E34" s="1789" t="s">
        <v>1194</v>
      </c>
      <c r="F34" s="1830">
        <v>42123</v>
      </c>
      <c r="G34" s="1789">
        <v>18</v>
      </c>
      <c r="H34" s="1808">
        <v>15</v>
      </c>
      <c r="I34" s="1808">
        <v>17</v>
      </c>
      <c r="J34" s="1789">
        <v>28.69</v>
      </c>
      <c r="K34" s="1785">
        <f t="shared" si="0"/>
        <v>17686.131000000001</v>
      </c>
      <c r="L34" s="1808">
        <v>8145.8339999999998</v>
      </c>
      <c r="M34" s="1808">
        <v>25831.965</v>
      </c>
      <c r="N34" s="1785">
        <f t="shared" si="1"/>
        <v>318350.35800000001</v>
      </c>
      <c r="O34" s="1813">
        <f t="shared" si="2"/>
        <v>146625.01199999999</v>
      </c>
      <c r="P34" s="1785">
        <f t="shared" si="3"/>
        <v>464975.37</v>
      </c>
      <c r="Q34" s="1788"/>
      <c r="R34" s="1785"/>
      <c r="S34" s="1808">
        <f t="shared" si="12"/>
        <v>28.69</v>
      </c>
      <c r="T34" s="1808">
        <f t="shared" si="5"/>
        <v>741119.07585000002</v>
      </c>
      <c r="U34" s="1785">
        <f t="shared" si="13"/>
        <v>0.59388888888888891</v>
      </c>
      <c r="V34" s="1813" t="s">
        <v>1195</v>
      </c>
      <c r="W34" s="1785" t="s">
        <v>1508</v>
      </c>
      <c r="X34" s="1810">
        <f t="shared" si="7"/>
        <v>464975.37</v>
      </c>
      <c r="Y34" s="1810">
        <v>9042000</v>
      </c>
      <c r="Z34" s="1810">
        <v>47240</v>
      </c>
      <c r="AA34" s="1797">
        <f t="shared" si="14"/>
        <v>9459735.3699999992</v>
      </c>
      <c r="AB34" s="1795">
        <v>21982</v>
      </c>
      <c r="AC34" s="1837">
        <v>-60899</v>
      </c>
      <c r="AD34" s="1812">
        <f t="shared" si="15"/>
        <v>430.3400677827313</v>
      </c>
      <c r="AE34" s="1812">
        <f t="shared" si="16"/>
        <v>-155.33482273928962</v>
      </c>
      <c r="AF34" s="1813">
        <f t="shared" si="17"/>
        <v>0</v>
      </c>
      <c r="AG34" s="1814"/>
      <c r="AK34" s="1813"/>
      <c r="AL34" s="1828"/>
      <c r="AM34" s="1814"/>
    </row>
    <row r="35" spans="1:41" s="1839" customFormat="1" ht="13.5" hidden="1" customHeight="1" outlineLevel="1">
      <c r="A35" s="1814"/>
      <c r="B35" s="1827" t="s">
        <v>1206</v>
      </c>
      <c r="C35" s="1828" t="s">
        <v>1207</v>
      </c>
      <c r="D35" s="1829" t="s">
        <v>871</v>
      </c>
      <c r="E35" s="1828" t="s">
        <v>1208</v>
      </c>
      <c r="F35" s="1830">
        <v>42108</v>
      </c>
      <c r="G35" s="1789">
        <v>16</v>
      </c>
      <c r="H35" s="1836">
        <v>14</v>
      </c>
      <c r="I35" s="1836">
        <v>16</v>
      </c>
      <c r="J35" s="1789">
        <v>16.32</v>
      </c>
      <c r="K35" s="1785">
        <f t="shared" si="0"/>
        <v>8694.1180000000004</v>
      </c>
      <c r="L35" s="1808">
        <v>4800</v>
      </c>
      <c r="M35" s="1808">
        <v>13494.118</v>
      </c>
      <c r="N35" s="1785">
        <f t="shared" si="1"/>
        <v>139105.88800000001</v>
      </c>
      <c r="O35" s="1813">
        <f t="shared" si="2"/>
        <v>76800</v>
      </c>
      <c r="P35" s="1785">
        <f t="shared" si="3"/>
        <v>215905.88800000001</v>
      </c>
      <c r="Q35" s="1788"/>
      <c r="R35" s="1785"/>
      <c r="S35" s="1789">
        <f t="shared" si="12"/>
        <v>16.32</v>
      </c>
      <c r="T35" s="1817">
        <f t="shared" si="5"/>
        <v>220224.00576</v>
      </c>
      <c r="U35" s="1818">
        <f t="shared" si="13"/>
        <v>2.0000000000000018E-2</v>
      </c>
      <c r="V35" s="1832" t="s">
        <v>1209</v>
      </c>
      <c r="W35" s="1832" t="s">
        <v>1210</v>
      </c>
      <c r="X35" s="1810">
        <f t="shared" si="7"/>
        <v>215905.88800000001</v>
      </c>
      <c r="Y35" s="1810">
        <v>0</v>
      </c>
      <c r="Z35" s="1810">
        <v>22796</v>
      </c>
      <c r="AA35" s="1797">
        <f t="shared" si="14"/>
        <v>193109.88800000001</v>
      </c>
      <c r="AB35" s="1795">
        <v>0</v>
      </c>
      <c r="AC35" s="1837">
        <v>-40241</v>
      </c>
      <c r="AD35" s="1812" t="str">
        <f t="shared" si="15"/>
        <v>n/a</v>
      </c>
      <c r="AE35" s="1812">
        <f t="shared" si="16"/>
        <v>-4.7988342238015953</v>
      </c>
      <c r="AF35" s="1825">
        <f t="shared" si="17"/>
        <v>0</v>
      </c>
      <c r="AG35" s="1814"/>
      <c r="AH35" s="1827"/>
      <c r="AI35" s="1827"/>
      <c r="AJ35" s="1813"/>
      <c r="AK35" s="1838"/>
      <c r="AL35" s="1826"/>
      <c r="AM35" s="1827"/>
      <c r="AN35" s="1827"/>
      <c r="AO35" s="1827"/>
    </row>
    <row r="36" spans="1:41" s="1839" customFormat="1" ht="13.5" hidden="1" customHeight="1" outlineLevel="1">
      <c r="A36" s="1814"/>
      <c r="B36" s="1827" t="s">
        <v>1240</v>
      </c>
      <c r="C36" s="1828" t="s">
        <v>1241</v>
      </c>
      <c r="D36" s="1829" t="s">
        <v>871</v>
      </c>
      <c r="E36" s="1828" t="s">
        <v>1242</v>
      </c>
      <c r="F36" s="1830">
        <v>42032</v>
      </c>
      <c r="G36" s="1789">
        <v>16</v>
      </c>
      <c r="H36" s="1836">
        <v>12</v>
      </c>
      <c r="I36" s="1836">
        <v>14</v>
      </c>
      <c r="J36" s="1789">
        <v>17.385000000000002</v>
      </c>
      <c r="K36" s="1785">
        <f t="shared" si="0"/>
        <v>12405.409</v>
      </c>
      <c r="L36" s="1808">
        <v>5400</v>
      </c>
      <c r="M36" s="1808">
        <v>17805.409</v>
      </c>
      <c r="N36" s="1785">
        <f t="shared" si="1"/>
        <v>198486.54399999999</v>
      </c>
      <c r="O36" s="1813">
        <f t="shared" si="2"/>
        <v>86400</v>
      </c>
      <c r="P36" s="1785">
        <f t="shared" si="3"/>
        <v>284886.54399999999</v>
      </c>
      <c r="Q36" s="1788"/>
      <c r="R36" s="1785"/>
      <c r="S36" s="1789">
        <f t="shared" si="12"/>
        <v>17.385000000000002</v>
      </c>
      <c r="T36" s="1817">
        <f t="shared" si="5"/>
        <v>309547.03546500002</v>
      </c>
      <c r="U36" s="1818">
        <f t="shared" si="13"/>
        <v>8.6562500000000098E-2</v>
      </c>
      <c r="V36" s="1832" t="s">
        <v>1243</v>
      </c>
      <c r="W36" s="1832" t="s">
        <v>1509</v>
      </c>
      <c r="X36" s="1810">
        <f t="shared" si="7"/>
        <v>284886.54399999999</v>
      </c>
      <c r="Y36" s="1810">
        <v>0</v>
      </c>
      <c r="Z36" s="1810">
        <v>0</v>
      </c>
      <c r="AA36" s="1797">
        <f t="shared" si="14"/>
        <v>284886.54399999999</v>
      </c>
      <c r="AB36" s="1795">
        <v>112.69</v>
      </c>
      <c r="AC36" s="1837">
        <v>-37145.539999999994</v>
      </c>
      <c r="AD36" s="1812">
        <f t="shared" si="15"/>
        <v>2528.0552311651431</v>
      </c>
      <c r="AE36" s="1812">
        <f t="shared" si="16"/>
        <v>-7.6694683668618104</v>
      </c>
      <c r="AF36" s="1825">
        <f t="shared" si="17"/>
        <v>0</v>
      </c>
      <c r="AG36" s="1814"/>
      <c r="AH36" s="1827"/>
      <c r="AI36" s="1827"/>
      <c r="AJ36" s="1813"/>
      <c r="AK36" s="1838"/>
      <c r="AL36" s="1826"/>
      <c r="AM36" s="1827"/>
      <c r="AN36" s="1827"/>
      <c r="AO36" s="1827"/>
    </row>
    <row r="37" spans="1:41" s="1839" customFormat="1" ht="13.5" hidden="1" customHeight="1" outlineLevel="1">
      <c r="A37" s="1814"/>
      <c r="B37" s="1827"/>
      <c r="C37" s="1828"/>
      <c r="D37" s="1829"/>
      <c r="E37" s="1828"/>
      <c r="F37" s="1830"/>
      <c r="G37" s="1842"/>
      <c r="H37" s="1836"/>
      <c r="I37" s="1836"/>
      <c r="J37" s="1842"/>
      <c r="K37" s="1843"/>
      <c r="L37" s="1813"/>
      <c r="M37" s="1813"/>
      <c r="N37" s="1785"/>
      <c r="O37" s="1813"/>
      <c r="P37" s="1785"/>
      <c r="Q37" s="1785"/>
      <c r="R37" s="1785"/>
      <c r="S37" s="1789"/>
      <c r="T37" s="1817"/>
      <c r="U37" s="1818"/>
      <c r="V37" s="1832"/>
      <c r="W37" s="1832"/>
      <c r="X37" s="1810"/>
      <c r="Y37" s="1810"/>
      <c r="Z37" s="1810"/>
      <c r="AA37" s="1797"/>
      <c r="AB37" s="1795"/>
      <c r="AC37" s="1837"/>
      <c r="AD37" s="1812"/>
      <c r="AE37" s="1812"/>
      <c r="AF37" s="1825"/>
      <c r="AG37" s="1814"/>
      <c r="AH37" s="1827"/>
      <c r="AI37" s="1827"/>
      <c r="AJ37" s="1813"/>
      <c r="AK37" s="1838"/>
      <c r="AL37" s="1826"/>
      <c r="AM37" s="1827"/>
      <c r="AN37" s="1827"/>
      <c r="AO37" s="1827"/>
    </row>
    <row r="38" spans="1:41" s="1839" customFormat="1" ht="13.5" hidden="1" customHeight="1" outlineLevel="1">
      <c r="A38" s="1814"/>
      <c r="B38" s="1844" t="s">
        <v>111</v>
      </c>
      <c r="C38" s="1845"/>
      <c r="D38" s="1845"/>
      <c r="E38" s="1845"/>
      <c r="F38" s="1845"/>
      <c r="G38" s="1845"/>
      <c r="H38" s="1845"/>
      <c r="I38" s="1845"/>
      <c r="J38" s="1845"/>
      <c r="K38" s="1845"/>
      <c r="L38" s="1845"/>
      <c r="M38" s="1845"/>
      <c r="N38" s="1765">
        <f>MAX(N12:N36)</f>
        <v>1537591.791</v>
      </c>
      <c r="O38" s="1765"/>
      <c r="P38" s="1846">
        <f>MAX(P12:P36)</f>
        <v>1778700.791</v>
      </c>
      <c r="Q38" s="1785"/>
      <c r="R38" s="1785"/>
      <c r="S38" s="1847">
        <f>MAX(S12:S36)</f>
        <v>35.56</v>
      </c>
      <c r="T38" s="1817"/>
      <c r="U38" s="1818"/>
      <c r="V38" s="1832"/>
      <c r="W38" s="1832"/>
      <c r="X38" s="1810"/>
      <c r="Y38" s="1810"/>
      <c r="Z38" s="1810"/>
      <c r="AA38" s="1797"/>
      <c r="AB38" s="1795"/>
      <c r="AC38" s="1837"/>
      <c r="AD38" s="1812"/>
      <c r="AE38" s="1812"/>
      <c r="AF38" s="1825"/>
      <c r="AG38" s="1814"/>
      <c r="AH38" s="1827"/>
      <c r="AI38" s="1827"/>
      <c r="AJ38" s="1813"/>
      <c r="AK38" s="1838"/>
      <c r="AL38" s="1826"/>
      <c r="AM38" s="1827"/>
      <c r="AN38" s="1827"/>
      <c r="AO38" s="1827"/>
    </row>
    <row r="39" spans="1:41" s="1839" customFormat="1" ht="13.5" hidden="1" customHeight="1" outlineLevel="1">
      <c r="A39" s="1814"/>
      <c r="B39" s="1848" t="s">
        <v>115</v>
      </c>
      <c r="C39" s="1849"/>
      <c r="D39" s="1849"/>
      <c r="E39" s="1849"/>
      <c r="F39" s="1849"/>
      <c r="G39" s="1849"/>
      <c r="H39" s="1849"/>
      <c r="I39" s="1849"/>
      <c r="J39" s="1849"/>
      <c r="K39" s="1849"/>
      <c r="L39" s="1849"/>
      <c r="M39" s="1849"/>
      <c r="N39" s="1766">
        <f>_xlfn.QUARTILE.INC(N12:N36,3)</f>
        <v>394539.96799999999</v>
      </c>
      <c r="O39" s="1766"/>
      <c r="P39" s="1850">
        <f>_xlfn.QUARTILE.INC(P12:P36,3)</f>
        <v>514539.96799999999</v>
      </c>
      <c r="Q39" s="1785"/>
      <c r="R39" s="1785"/>
      <c r="S39" s="1851">
        <f>_xlfn.QUARTILE.INC(S12:S36,3)</f>
        <v>20.5</v>
      </c>
      <c r="T39" s="1817"/>
      <c r="U39" s="1818"/>
      <c r="V39" s="1832"/>
      <c r="W39" s="1832"/>
      <c r="X39" s="1810"/>
      <c r="Y39" s="1810"/>
      <c r="Z39" s="1810"/>
      <c r="AA39" s="1797"/>
      <c r="AB39" s="1795"/>
      <c r="AC39" s="1837"/>
      <c r="AD39" s="1812"/>
      <c r="AE39" s="1812"/>
      <c r="AF39" s="1825"/>
      <c r="AG39" s="1814"/>
      <c r="AH39" s="1827"/>
      <c r="AI39" s="1827"/>
      <c r="AJ39" s="1813"/>
      <c r="AK39" s="1838"/>
      <c r="AL39" s="1826"/>
      <c r="AM39" s="1827"/>
      <c r="AN39" s="1827"/>
      <c r="AO39" s="1827"/>
    </row>
    <row r="40" spans="1:41" s="1839" customFormat="1" ht="13.5" hidden="1" customHeight="1" outlineLevel="1">
      <c r="A40" s="1814"/>
      <c r="B40" s="1848" t="s">
        <v>43</v>
      </c>
      <c r="C40" s="1849"/>
      <c r="D40" s="1849"/>
      <c r="E40" s="1849"/>
      <c r="F40" s="1849"/>
      <c r="G40" s="1849"/>
      <c r="H40" s="1849"/>
      <c r="I40" s="1849"/>
      <c r="J40" s="1849"/>
      <c r="K40" s="1849"/>
      <c r="L40" s="1849"/>
      <c r="M40" s="1849"/>
      <c r="N40" s="1766">
        <f>AVERAGE(N12:N36)</f>
        <v>294630.44535376964</v>
      </c>
      <c r="O40" s="1766"/>
      <c r="P40" s="1850">
        <f>AVERAGE(P12:P36)</f>
        <v>381084.7522869872</v>
      </c>
      <c r="Q40" s="1785"/>
      <c r="R40" s="1785"/>
      <c r="S40" s="1851">
        <f>AVERAGE(S12:S36)</f>
        <v>16.349092000000002</v>
      </c>
      <c r="T40" s="1817"/>
      <c r="U40" s="1818"/>
      <c r="V40" s="1832"/>
      <c r="W40" s="1832"/>
      <c r="X40" s="1810"/>
      <c r="Y40" s="1810"/>
      <c r="Z40" s="1810"/>
      <c r="AA40" s="1797"/>
      <c r="AB40" s="1795"/>
      <c r="AC40" s="1837"/>
      <c r="AD40" s="1812"/>
      <c r="AE40" s="1812"/>
      <c r="AF40" s="1825"/>
      <c r="AG40" s="1814"/>
      <c r="AH40" s="1827"/>
      <c r="AI40" s="1827"/>
      <c r="AJ40" s="1813"/>
      <c r="AK40" s="1838"/>
      <c r="AL40" s="1826"/>
      <c r="AM40" s="1827"/>
      <c r="AN40" s="1827"/>
      <c r="AO40" s="1827"/>
    </row>
    <row r="41" spans="1:41" s="1839" customFormat="1" ht="13.5" hidden="1" customHeight="1" outlineLevel="1">
      <c r="A41" s="1814"/>
      <c r="B41" s="1848" t="s">
        <v>44</v>
      </c>
      <c r="C41" s="1849"/>
      <c r="D41" s="1849"/>
      <c r="E41" s="1849"/>
      <c r="F41" s="1849"/>
      <c r="G41" s="1849"/>
      <c r="H41" s="1849"/>
      <c r="I41" s="1849"/>
      <c r="J41" s="1849"/>
      <c r="K41" s="1849"/>
      <c r="L41" s="1849"/>
      <c r="M41" s="1849"/>
      <c r="N41" s="1766">
        <f>MEDIAN(N12:N36)</f>
        <v>232932.75199999998</v>
      </c>
      <c r="O41" s="1766"/>
      <c r="P41" s="1850">
        <f>MEDIAN(P12:P36)</f>
        <v>332533.50899999996</v>
      </c>
      <c r="Q41" s="1785"/>
      <c r="R41" s="1785"/>
      <c r="S41" s="1851">
        <f>MEDIAN(S12:S36)</f>
        <v>15.78</v>
      </c>
      <c r="T41" s="1817"/>
      <c r="U41" s="1818"/>
      <c r="V41" s="1832"/>
      <c r="W41" s="1832"/>
      <c r="X41" s="1810"/>
      <c r="Y41" s="1810"/>
      <c r="Z41" s="1810"/>
      <c r="AA41" s="1797"/>
      <c r="AB41" s="1795"/>
      <c r="AC41" s="1837"/>
      <c r="AD41" s="1812"/>
      <c r="AE41" s="1812"/>
      <c r="AF41" s="1825"/>
      <c r="AG41" s="1814"/>
      <c r="AH41" s="1827"/>
      <c r="AI41" s="1827"/>
      <c r="AJ41" s="1813"/>
      <c r="AK41" s="1838"/>
      <c r="AL41" s="1826"/>
      <c r="AM41" s="1827"/>
      <c r="AN41" s="1827"/>
      <c r="AO41" s="1827"/>
    </row>
    <row r="42" spans="1:41" s="1839" customFormat="1" ht="13.5" hidden="1" customHeight="1" outlineLevel="1">
      <c r="A42" s="1814"/>
      <c r="B42" s="1848" t="s">
        <v>114</v>
      </c>
      <c r="C42" s="1849"/>
      <c r="D42" s="1849"/>
      <c r="E42" s="1849"/>
      <c r="F42" s="1849"/>
      <c r="G42" s="1849"/>
      <c r="H42" s="1849"/>
      <c r="I42" s="1849"/>
      <c r="J42" s="1849"/>
      <c r="K42" s="1849"/>
      <c r="L42" s="1849"/>
      <c r="M42" s="1849"/>
      <c r="N42" s="1766">
        <f>_xlfn.QUARTILE.INC(N12:N36,1)</f>
        <v>91258.430000000008</v>
      </c>
      <c r="O42" s="1766"/>
      <c r="P42" s="1850">
        <f>_xlfn.QUARTILE.INC(P12:P36,1)</f>
        <v>152891.83199999999</v>
      </c>
      <c r="Q42" s="1785"/>
      <c r="R42" s="1785"/>
      <c r="S42" s="1851">
        <f>_xlfn.QUARTILE.INC(S12:S36,1)</f>
        <v>9.99</v>
      </c>
      <c r="T42" s="1817"/>
      <c r="U42" s="1818"/>
      <c r="V42" s="1832"/>
      <c r="W42" s="1832"/>
      <c r="X42" s="1810"/>
      <c r="Y42" s="1810"/>
      <c r="Z42" s="1810"/>
      <c r="AA42" s="1797"/>
      <c r="AB42" s="1795"/>
      <c r="AC42" s="1837"/>
      <c r="AD42" s="1812"/>
      <c r="AE42" s="1812"/>
      <c r="AF42" s="1825"/>
      <c r="AG42" s="1814"/>
      <c r="AH42" s="1827"/>
      <c r="AI42" s="1827"/>
      <c r="AJ42" s="1813"/>
      <c r="AK42" s="1838"/>
      <c r="AL42" s="1826"/>
      <c r="AM42" s="1827"/>
      <c r="AN42" s="1827"/>
      <c r="AO42" s="1827"/>
    </row>
    <row r="43" spans="1:41" s="1839" customFormat="1" ht="13.5" hidden="1" customHeight="1" outlineLevel="1">
      <c r="A43" s="1814"/>
      <c r="B43" s="1852" t="s">
        <v>112</v>
      </c>
      <c r="C43" s="1853"/>
      <c r="D43" s="1853"/>
      <c r="E43" s="1853"/>
      <c r="F43" s="1853"/>
      <c r="G43" s="1853"/>
      <c r="H43" s="1853"/>
      <c r="I43" s="1853"/>
      <c r="J43" s="1853"/>
      <c r="K43" s="1853"/>
      <c r="L43" s="1853"/>
      <c r="M43" s="1853"/>
      <c r="N43" s="1767">
        <f>MIN(N12:N36)</f>
        <v>39416.17</v>
      </c>
      <c r="O43" s="1767"/>
      <c r="P43" s="1854">
        <f>MIN(P12:P36)</f>
        <v>50611.932000000001</v>
      </c>
      <c r="Q43" s="1785"/>
      <c r="R43" s="1785"/>
      <c r="S43" s="1855">
        <f>MIN(S12:S36)</f>
        <v>3.2423000000000002</v>
      </c>
      <c r="T43" s="1817"/>
      <c r="U43" s="1818"/>
      <c r="V43" s="1832"/>
      <c r="W43" s="1832"/>
      <c r="X43" s="1810"/>
      <c r="Y43" s="1810"/>
      <c r="Z43" s="1810"/>
      <c r="AA43" s="1797"/>
      <c r="AB43" s="1795"/>
      <c r="AC43" s="1837"/>
      <c r="AD43" s="1812"/>
      <c r="AE43" s="1812"/>
      <c r="AF43" s="1825"/>
      <c r="AG43" s="1814"/>
      <c r="AH43" s="1827"/>
      <c r="AI43" s="1827"/>
      <c r="AJ43" s="1813"/>
      <c r="AK43" s="1838"/>
      <c r="AL43" s="1826"/>
      <c r="AM43" s="1827"/>
      <c r="AN43" s="1827"/>
      <c r="AO43" s="1827"/>
    </row>
    <row r="44" spans="1:41" s="1839" customFormat="1" ht="13.5" hidden="1" customHeight="1" outlineLevel="1">
      <c r="A44" s="1814"/>
      <c r="B44" s="1827"/>
      <c r="C44" s="1828"/>
      <c r="D44" s="1829"/>
      <c r="E44" s="1828"/>
      <c r="F44" s="1830"/>
      <c r="G44" s="1842"/>
      <c r="H44" s="1836"/>
      <c r="I44" s="1836"/>
      <c r="J44" s="1842"/>
      <c r="K44" s="1843"/>
      <c r="L44" s="1813"/>
      <c r="M44" s="1813"/>
      <c r="N44" s="1785"/>
      <c r="O44" s="1813"/>
      <c r="P44" s="1785"/>
      <c r="Q44" s="1785"/>
      <c r="R44" s="1785"/>
      <c r="S44" s="1789"/>
      <c r="T44" s="1817"/>
      <c r="U44" s="1818"/>
      <c r="V44" s="1832"/>
      <c r="W44" s="1832"/>
      <c r="X44" s="1825"/>
      <c r="Y44" s="1810"/>
      <c r="Z44" s="1810"/>
      <c r="AA44" s="1797"/>
      <c r="AB44" s="1795"/>
      <c r="AC44" s="1837"/>
      <c r="AD44" s="1812"/>
      <c r="AE44" s="1812"/>
      <c r="AF44" s="1814"/>
      <c r="AG44" s="1814"/>
      <c r="AH44" s="1827"/>
      <c r="AI44" s="1827"/>
      <c r="AJ44" s="1813"/>
      <c r="AK44" s="1838"/>
      <c r="AL44" s="1826"/>
      <c r="AM44" s="1827"/>
      <c r="AN44" s="1827"/>
      <c r="AO44" s="1827"/>
    </row>
    <row r="45" spans="1:41" s="1827" customFormat="1" ht="13.5" customHeight="1" collapsed="1">
      <c r="A45" s="1814"/>
      <c r="B45" s="1856" t="s">
        <v>1510</v>
      </c>
      <c r="C45" s="1828"/>
      <c r="D45" s="1829"/>
      <c r="E45" s="1828"/>
      <c r="F45" s="1830"/>
      <c r="G45" s="1842"/>
      <c r="H45" s="1836"/>
      <c r="I45" s="1836"/>
      <c r="J45" s="1842"/>
      <c r="K45" s="1842"/>
      <c r="L45" s="1813"/>
      <c r="M45" s="1813"/>
      <c r="N45" s="1785"/>
      <c r="O45" s="1813"/>
      <c r="P45" s="1785"/>
      <c r="Q45" s="1785"/>
      <c r="R45" s="1785"/>
      <c r="S45" s="1789"/>
      <c r="T45" s="1833"/>
      <c r="U45" s="1834"/>
      <c r="V45" s="1832"/>
      <c r="W45" s="1832"/>
      <c r="X45" s="1813"/>
      <c r="Y45" s="1810"/>
      <c r="Z45" s="1810"/>
      <c r="AA45" s="1797"/>
      <c r="AB45" s="1795"/>
      <c r="AC45" s="1837"/>
      <c r="AD45" s="1812"/>
      <c r="AE45" s="1812"/>
      <c r="AF45" s="1814"/>
      <c r="AG45" s="1814"/>
      <c r="AJ45" s="1813"/>
      <c r="AK45" s="1828"/>
      <c r="AL45" s="1814"/>
    </row>
    <row r="46" spans="1:41" s="1867" customFormat="1" ht="13.5" customHeight="1">
      <c r="A46" s="1857"/>
      <c r="B46" s="1867" t="s">
        <v>3777</v>
      </c>
      <c r="C46" s="1868" t="s">
        <v>3778</v>
      </c>
      <c r="D46" s="1869" t="s">
        <v>583</v>
      </c>
      <c r="E46" s="1868" t="s">
        <v>3779</v>
      </c>
      <c r="F46" s="1870">
        <v>43440</v>
      </c>
      <c r="G46" s="1871">
        <v>23</v>
      </c>
      <c r="H46" s="1872">
        <v>22</v>
      </c>
      <c r="I46" s="1872">
        <v>24</v>
      </c>
      <c r="J46" s="1871">
        <v>16.96</v>
      </c>
      <c r="K46" s="1873">
        <f t="shared" ref="K46:K61" si="18">+M46-L46</f>
        <v>302672.09499999997</v>
      </c>
      <c r="L46" s="1874">
        <v>26275.992999999999</v>
      </c>
      <c r="M46" s="1874">
        <v>328948.08799999999</v>
      </c>
      <c r="N46" s="1875">
        <f t="shared" ref="N46:N61" si="19">+G46*K46</f>
        <v>6961458.1849999996</v>
      </c>
      <c r="O46" s="1874">
        <f t="shared" ref="O46:O61" si="20">+G46*L46</f>
        <v>604347.83899999992</v>
      </c>
      <c r="P46" s="1875">
        <f t="shared" ref="P46:P61" si="21">+N46+O46</f>
        <v>7565806.0239999993</v>
      </c>
      <c r="Q46" s="1788"/>
      <c r="R46" s="1875">
        <v>1</v>
      </c>
      <c r="S46" s="1789">
        <f t="shared" ref="S46:S61" si="22">J46</f>
        <v>16.96</v>
      </c>
      <c r="T46" s="1877">
        <f t="shared" ref="T46:T61" si="23">S46*M46</f>
        <v>5578959.5724800006</v>
      </c>
      <c r="U46" s="1878">
        <f t="shared" ref="U46:U61" si="24">T46/P46-1</f>
        <v>-0.26260869565217382</v>
      </c>
      <c r="V46" s="1879" t="s">
        <v>3779</v>
      </c>
      <c r="W46" s="1880" t="s">
        <v>3780</v>
      </c>
      <c r="X46" s="1881">
        <f t="shared" ref="X46:X61" si="25">+N46+O46</f>
        <v>7565806.0239999993</v>
      </c>
      <c r="Y46" s="1867">
        <f t="shared" ref="Y46:Y68" si="26">+P46-X46</f>
        <v>0</v>
      </c>
      <c r="AB46" s="1874"/>
      <c r="AC46" s="1868"/>
      <c r="AD46" s="1857"/>
      <c r="AG46" s="1814"/>
    </row>
    <row r="47" spans="1:41" s="1867" customFormat="1" ht="13.5" customHeight="1">
      <c r="A47" s="1857"/>
      <c r="B47" s="1867" t="s">
        <v>3781</v>
      </c>
      <c r="C47" s="1868" t="s">
        <v>3782</v>
      </c>
      <c r="D47" s="1869" t="s">
        <v>583</v>
      </c>
      <c r="E47" s="1868" t="s">
        <v>3783</v>
      </c>
      <c r="F47" s="1870">
        <v>43390</v>
      </c>
      <c r="G47" s="1871">
        <v>5</v>
      </c>
      <c r="H47" s="1872">
        <v>12</v>
      </c>
      <c r="I47" s="1872">
        <v>14</v>
      </c>
      <c r="J47" s="1871">
        <v>5</v>
      </c>
      <c r="K47" s="1873">
        <f t="shared" si="18"/>
        <v>14603.789000000001</v>
      </c>
      <c r="L47" s="1874">
        <v>9200</v>
      </c>
      <c r="M47" s="1874">
        <v>23803.789000000001</v>
      </c>
      <c r="N47" s="1875">
        <f t="shared" si="19"/>
        <v>73018.945000000007</v>
      </c>
      <c r="O47" s="1874">
        <f t="shared" si="20"/>
        <v>46000</v>
      </c>
      <c r="P47" s="1875">
        <f t="shared" si="21"/>
        <v>119018.94500000001</v>
      </c>
      <c r="Q47" s="1788"/>
      <c r="R47" s="1875">
        <v>1</v>
      </c>
      <c r="S47" s="1789">
        <f t="shared" si="22"/>
        <v>5</v>
      </c>
      <c r="T47" s="1877">
        <f t="shared" si="23"/>
        <v>119018.94500000001</v>
      </c>
      <c r="U47" s="1878">
        <f t="shared" si="24"/>
        <v>0</v>
      </c>
      <c r="V47" s="1879" t="s">
        <v>3784</v>
      </c>
      <c r="W47" s="1880" t="s">
        <v>3785</v>
      </c>
      <c r="X47" s="1881">
        <f t="shared" si="25"/>
        <v>119018.94500000001</v>
      </c>
      <c r="Y47" s="1867">
        <f t="shared" si="26"/>
        <v>0</v>
      </c>
      <c r="AB47" s="1874"/>
      <c r="AC47" s="1868"/>
      <c r="AD47" s="1857"/>
      <c r="AG47" s="1814"/>
    </row>
    <row r="48" spans="1:41" s="1867" customFormat="1" ht="13.5" customHeight="1">
      <c r="A48" s="1857"/>
      <c r="B48" s="1867" t="s">
        <v>3786</v>
      </c>
      <c r="C48" s="1868" t="s">
        <v>3787</v>
      </c>
      <c r="D48" s="1869" t="s">
        <v>583</v>
      </c>
      <c r="E48" s="1868" t="s">
        <v>3788</v>
      </c>
      <c r="F48" s="1870">
        <v>43384</v>
      </c>
      <c r="G48" s="1871">
        <v>14</v>
      </c>
      <c r="H48" s="1872">
        <v>14</v>
      </c>
      <c r="I48" s="1872">
        <v>16</v>
      </c>
      <c r="J48" s="1871">
        <v>14.85</v>
      </c>
      <c r="K48" s="1873">
        <f t="shared" si="18"/>
        <v>12082.657999999999</v>
      </c>
      <c r="L48" s="1874">
        <v>4670</v>
      </c>
      <c r="M48" s="1874">
        <v>16752.657999999999</v>
      </c>
      <c r="N48" s="1875">
        <f t="shared" si="19"/>
        <v>169157.212</v>
      </c>
      <c r="O48" s="1874">
        <f t="shared" si="20"/>
        <v>65380</v>
      </c>
      <c r="P48" s="1875">
        <f t="shared" si="21"/>
        <v>234537.212</v>
      </c>
      <c r="Q48" s="1788"/>
      <c r="R48" s="1875">
        <v>1</v>
      </c>
      <c r="S48" s="1789">
        <f t="shared" si="22"/>
        <v>14.85</v>
      </c>
      <c r="T48" s="1877">
        <f t="shared" si="23"/>
        <v>248776.97129999998</v>
      </c>
      <c r="U48" s="1878">
        <f t="shared" si="24"/>
        <v>6.0714285714285721E-2</v>
      </c>
      <c r="V48" s="1879" t="s">
        <v>3789</v>
      </c>
      <c r="W48" s="1880" t="s">
        <v>3790</v>
      </c>
      <c r="X48" s="1881">
        <f t="shared" si="25"/>
        <v>234537.212</v>
      </c>
      <c r="Y48" s="1867">
        <f t="shared" si="26"/>
        <v>0</v>
      </c>
      <c r="AB48" s="1874"/>
      <c r="AC48" s="1868"/>
      <c r="AD48" s="1857"/>
      <c r="AG48" s="1814"/>
    </row>
    <row r="49" spans="1:33" s="1867" customFormat="1" ht="13.5" customHeight="1">
      <c r="A49" s="1857"/>
      <c r="B49" s="1827" t="s">
        <v>3791</v>
      </c>
      <c r="C49" s="1829" t="s">
        <v>3792</v>
      </c>
      <c r="D49" s="1830" t="s">
        <v>583</v>
      </c>
      <c r="E49" s="1789" t="s">
        <v>3793</v>
      </c>
      <c r="F49" s="1870">
        <v>43383</v>
      </c>
      <c r="G49" s="1871">
        <v>18</v>
      </c>
      <c r="H49" s="1808">
        <v>16</v>
      </c>
      <c r="I49" s="1808">
        <v>18</v>
      </c>
      <c r="J49" s="1871">
        <v>23</v>
      </c>
      <c r="K49" s="1873">
        <f t="shared" si="18"/>
        <v>97226.841</v>
      </c>
      <c r="L49" s="1874">
        <v>18000</v>
      </c>
      <c r="M49" s="1874">
        <v>115226.841</v>
      </c>
      <c r="N49" s="1875">
        <f t="shared" si="19"/>
        <v>1750083.138</v>
      </c>
      <c r="O49" s="1874">
        <f t="shared" si="20"/>
        <v>324000</v>
      </c>
      <c r="P49" s="1875">
        <f t="shared" si="21"/>
        <v>2074083.138</v>
      </c>
      <c r="Q49" s="1788"/>
      <c r="R49" s="1875">
        <v>1</v>
      </c>
      <c r="S49" s="1789">
        <f t="shared" si="22"/>
        <v>23</v>
      </c>
      <c r="T49" s="1877">
        <f t="shared" si="23"/>
        <v>2650217.3429999999</v>
      </c>
      <c r="U49" s="1878">
        <f t="shared" si="24"/>
        <v>0.27777777777777768</v>
      </c>
      <c r="V49" s="1879" t="s">
        <v>3794</v>
      </c>
      <c r="W49" s="1880" t="s">
        <v>3795</v>
      </c>
      <c r="X49" s="1881">
        <f t="shared" si="25"/>
        <v>2074083.138</v>
      </c>
      <c r="Y49" s="1867">
        <f t="shared" si="26"/>
        <v>0</v>
      </c>
      <c r="AB49" s="1874"/>
      <c r="AC49" s="1868"/>
      <c r="AD49" s="1857"/>
      <c r="AG49" s="1814"/>
    </row>
    <row r="50" spans="1:33" s="1867" customFormat="1" ht="13.5" customHeight="1">
      <c r="A50" s="1857"/>
      <c r="B50" s="1867" t="s">
        <v>3796</v>
      </c>
      <c r="C50" s="1868" t="s">
        <v>3797</v>
      </c>
      <c r="D50" s="1869" t="s">
        <v>583</v>
      </c>
      <c r="E50" s="1868" t="s">
        <v>3798</v>
      </c>
      <c r="F50" s="1870">
        <v>43376</v>
      </c>
      <c r="G50" s="1871">
        <v>10</v>
      </c>
      <c r="H50" s="1872">
        <v>13</v>
      </c>
      <c r="I50" s="1872">
        <v>15</v>
      </c>
      <c r="J50" s="1871">
        <v>9.9</v>
      </c>
      <c r="K50" s="1873">
        <f t="shared" si="18"/>
        <v>27573.353000000003</v>
      </c>
      <c r="L50" s="1874">
        <f>9000000/1000</f>
        <v>9000</v>
      </c>
      <c r="M50" s="1874">
        <f>36573353/1000</f>
        <v>36573.353000000003</v>
      </c>
      <c r="N50" s="1875">
        <f t="shared" si="19"/>
        <v>275733.53000000003</v>
      </c>
      <c r="O50" s="1874">
        <f t="shared" si="20"/>
        <v>90000</v>
      </c>
      <c r="P50" s="1875">
        <f t="shared" si="21"/>
        <v>365733.53</v>
      </c>
      <c r="Q50" s="1788"/>
      <c r="R50" s="1875">
        <v>1</v>
      </c>
      <c r="S50" s="1789">
        <f t="shared" si="22"/>
        <v>9.9</v>
      </c>
      <c r="T50" s="1877">
        <f t="shared" si="23"/>
        <v>362076.19470000005</v>
      </c>
      <c r="U50" s="1878">
        <f t="shared" si="24"/>
        <v>-9.9999999999998979E-3</v>
      </c>
      <c r="V50" s="1879" t="s">
        <v>3799</v>
      </c>
      <c r="W50" s="1880" t="s">
        <v>3800</v>
      </c>
      <c r="X50" s="1881">
        <f t="shared" si="25"/>
        <v>365733.53</v>
      </c>
      <c r="Y50" s="1867">
        <f t="shared" si="26"/>
        <v>0</v>
      </c>
      <c r="AB50" s="1874"/>
      <c r="AC50" s="1868"/>
      <c r="AD50" s="1857"/>
      <c r="AG50" s="1814"/>
    </row>
    <row r="51" spans="1:33" s="1867" customFormat="1" ht="13.5" customHeight="1">
      <c r="A51" s="1857"/>
      <c r="B51" s="1867" t="s">
        <v>3801</v>
      </c>
      <c r="C51" s="1868" t="s">
        <v>3802</v>
      </c>
      <c r="D51" s="1869" t="s">
        <v>583</v>
      </c>
      <c r="E51" s="1868" t="s">
        <v>3803</v>
      </c>
      <c r="F51" s="1870">
        <v>43369</v>
      </c>
      <c r="G51" s="1871">
        <v>15</v>
      </c>
      <c r="H51" s="1872">
        <v>14</v>
      </c>
      <c r="I51" s="1872">
        <v>16</v>
      </c>
      <c r="J51" s="1871">
        <v>14.85</v>
      </c>
      <c r="K51" s="1873">
        <f t="shared" si="18"/>
        <v>17156.63</v>
      </c>
      <c r="L51" s="1874">
        <f>5667000/1000</f>
        <v>5667</v>
      </c>
      <c r="M51" s="1874">
        <f>22823630/1000</f>
        <v>22823.63</v>
      </c>
      <c r="N51" s="1875">
        <f t="shared" si="19"/>
        <v>257349.45</v>
      </c>
      <c r="O51" s="1874">
        <f t="shared" si="20"/>
        <v>85005</v>
      </c>
      <c r="P51" s="1875">
        <f t="shared" si="21"/>
        <v>342354.45</v>
      </c>
      <c r="Q51" s="1788"/>
      <c r="R51" s="1875">
        <v>1</v>
      </c>
      <c r="S51" s="1789">
        <f t="shared" si="22"/>
        <v>14.85</v>
      </c>
      <c r="T51" s="1877">
        <f t="shared" si="23"/>
        <v>338930.90549999999</v>
      </c>
      <c r="U51" s="1878">
        <f t="shared" si="24"/>
        <v>-1.0000000000000009E-2</v>
      </c>
      <c r="V51" s="1879" t="s">
        <v>3804</v>
      </c>
      <c r="W51" s="1880" t="s">
        <v>3805</v>
      </c>
      <c r="X51" s="1881">
        <f t="shared" si="25"/>
        <v>342354.45</v>
      </c>
      <c r="Y51" s="1867">
        <f t="shared" si="26"/>
        <v>0</v>
      </c>
      <c r="AB51" s="1874"/>
      <c r="AC51" s="1868"/>
      <c r="AD51" s="1857"/>
      <c r="AG51" s="1814"/>
    </row>
    <row r="52" spans="1:33" s="1867" customFormat="1" ht="13.5" customHeight="1">
      <c r="A52" s="1857"/>
      <c r="B52" s="1827" t="s">
        <v>3806</v>
      </c>
      <c r="C52" s="1829" t="s">
        <v>3807</v>
      </c>
      <c r="D52" s="1830" t="s">
        <v>1098</v>
      </c>
      <c r="E52" s="1789" t="s">
        <v>3808</v>
      </c>
      <c r="F52" s="1870">
        <v>43300</v>
      </c>
      <c r="G52" s="1871">
        <v>15</v>
      </c>
      <c r="H52" s="1808">
        <v>14</v>
      </c>
      <c r="I52" s="1808">
        <v>16</v>
      </c>
      <c r="J52" s="1871">
        <v>15.13</v>
      </c>
      <c r="K52" s="1873">
        <f t="shared" si="18"/>
        <v>24138.587</v>
      </c>
      <c r="L52" s="1874">
        <f>6700000/1000</f>
        <v>6700</v>
      </c>
      <c r="M52" s="1874">
        <f>30838587/1000</f>
        <v>30838.587</v>
      </c>
      <c r="N52" s="1875">
        <f t="shared" si="19"/>
        <v>362078.80499999999</v>
      </c>
      <c r="O52" s="1874">
        <f t="shared" si="20"/>
        <v>100500</v>
      </c>
      <c r="P52" s="1875">
        <f t="shared" si="21"/>
        <v>462578.80499999999</v>
      </c>
      <c r="Q52" s="1788"/>
      <c r="R52" s="1875">
        <v>1</v>
      </c>
      <c r="S52" s="1789">
        <f t="shared" si="22"/>
        <v>15.13</v>
      </c>
      <c r="T52" s="1877">
        <f t="shared" si="23"/>
        <v>466587.82131000003</v>
      </c>
      <c r="U52" s="1878">
        <f t="shared" si="24"/>
        <v>8.6666666666668224E-3</v>
      </c>
      <c r="V52" s="1879" t="s">
        <v>3809</v>
      </c>
      <c r="W52" s="1880" t="s">
        <v>3810</v>
      </c>
      <c r="X52" s="1881">
        <f t="shared" si="25"/>
        <v>462578.80499999999</v>
      </c>
      <c r="Y52" s="1867">
        <f t="shared" si="26"/>
        <v>0</v>
      </c>
      <c r="AB52" s="1874"/>
      <c r="AC52" s="1868"/>
      <c r="AD52" s="1857"/>
      <c r="AG52" s="1814"/>
    </row>
    <row r="53" spans="1:33" s="1867" customFormat="1" ht="13.5" customHeight="1">
      <c r="A53" s="1857"/>
      <c r="B53" s="1867" t="s">
        <v>3811</v>
      </c>
      <c r="C53" s="1868" t="s">
        <v>3812</v>
      </c>
      <c r="D53" s="1869" t="s">
        <v>583</v>
      </c>
      <c r="E53" s="1868" t="s">
        <v>3813</v>
      </c>
      <c r="F53" s="1870">
        <v>43298</v>
      </c>
      <c r="G53" s="1871">
        <v>17</v>
      </c>
      <c r="H53" s="1872">
        <v>15</v>
      </c>
      <c r="I53" s="1872">
        <v>17</v>
      </c>
      <c r="J53" s="1871">
        <v>25.35</v>
      </c>
      <c r="K53" s="1873">
        <f t="shared" si="18"/>
        <v>17007.960999999999</v>
      </c>
      <c r="L53" s="1874">
        <f>6000000/1000</f>
        <v>6000</v>
      </c>
      <c r="M53" s="1874">
        <f>23007961/1000</f>
        <v>23007.960999999999</v>
      </c>
      <c r="N53" s="1875">
        <f t="shared" si="19"/>
        <v>289135.337</v>
      </c>
      <c r="O53" s="1874">
        <f t="shared" si="20"/>
        <v>102000</v>
      </c>
      <c r="P53" s="1875">
        <f t="shared" si="21"/>
        <v>391135.337</v>
      </c>
      <c r="Q53" s="1788"/>
      <c r="R53" s="1875">
        <v>1</v>
      </c>
      <c r="S53" s="1789">
        <f t="shared" si="22"/>
        <v>25.35</v>
      </c>
      <c r="T53" s="1877">
        <f t="shared" si="23"/>
        <v>583251.81134999997</v>
      </c>
      <c r="U53" s="1878">
        <f t="shared" si="24"/>
        <v>0.49117647058823533</v>
      </c>
      <c r="V53" s="1879" t="s">
        <v>3814</v>
      </c>
      <c r="W53" s="1880" t="s">
        <v>3815</v>
      </c>
      <c r="X53" s="1881">
        <f t="shared" si="25"/>
        <v>391135.337</v>
      </c>
      <c r="Y53" s="1867">
        <f t="shared" si="26"/>
        <v>0</v>
      </c>
      <c r="AB53" s="1874"/>
      <c r="AC53" s="1868"/>
      <c r="AD53" s="1857"/>
      <c r="AG53" s="1814"/>
    </row>
    <row r="54" spans="1:33" s="1867" customFormat="1" ht="13.5" customHeight="1">
      <c r="A54" s="1857"/>
      <c r="B54" s="1867" t="s">
        <v>3816</v>
      </c>
      <c r="C54" s="1868" t="s">
        <v>3817</v>
      </c>
      <c r="D54" s="1869" t="s">
        <v>3818</v>
      </c>
      <c r="E54" s="1868" t="s">
        <v>3819</v>
      </c>
      <c r="F54" s="1870">
        <v>43278</v>
      </c>
      <c r="G54" s="1871">
        <v>13</v>
      </c>
      <c r="H54" s="1872">
        <v>12</v>
      </c>
      <c r="I54" s="1872">
        <v>14</v>
      </c>
      <c r="J54" s="1871">
        <v>15.57</v>
      </c>
      <c r="K54" s="1873">
        <f t="shared" si="18"/>
        <v>35427.667000000001</v>
      </c>
      <c r="L54" s="1874">
        <v>9350</v>
      </c>
      <c r="M54" s="1874">
        <v>44777.667000000001</v>
      </c>
      <c r="N54" s="1875">
        <f t="shared" si="19"/>
        <v>460559.67100000003</v>
      </c>
      <c r="O54" s="1874">
        <f t="shared" si="20"/>
        <v>121550</v>
      </c>
      <c r="P54" s="1875">
        <f t="shared" si="21"/>
        <v>582109.67100000009</v>
      </c>
      <c r="Q54" s="1788"/>
      <c r="R54" s="1875">
        <v>1</v>
      </c>
      <c r="S54" s="1789">
        <f t="shared" si="22"/>
        <v>15.57</v>
      </c>
      <c r="T54" s="1877">
        <f t="shared" si="23"/>
        <v>697188.27519000007</v>
      </c>
      <c r="U54" s="1878">
        <f t="shared" si="24"/>
        <v>0.19769230769230761</v>
      </c>
      <c r="V54" s="1879" t="s">
        <v>3820</v>
      </c>
      <c r="W54" s="1880" t="s">
        <v>3821</v>
      </c>
      <c r="X54" s="1881">
        <f t="shared" si="25"/>
        <v>582109.67100000009</v>
      </c>
      <c r="Y54" s="1867">
        <f t="shared" si="26"/>
        <v>0</v>
      </c>
      <c r="AB54" s="1874"/>
      <c r="AC54" s="1868"/>
      <c r="AD54" s="1857"/>
      <c r="AG54" s="1814"/>
    </row>
    <row r="55" spans="1:33" s="1867" customFormat="1" ht="13.5" customHeight="1">
      <c r="A55" s="1857"/>
      <c r="B55" s="1867" t="s">
        <v>3822</v>
      </c>
      <c r="C55" s="1868" t="s">
        <v>3823</v>
      </c>
      <c r="D55" s="1869" t="s">
        <v>583</v>
      </c>
      <c r="E55" s="1868" t="s">
        <v>3824</v>
      </c>
      <c r="F55" s="1870">
        <v>43277</v>
      </c>
      <c r="G55" s="1871">
        <v>16</v>
      </c>
      <c r="H55" s="1872">
        <v>15</v>
      </c>
      <c r="I55" s="1872">
        <v>17</v>
      </c>
      <c r="J55" s="1871">
        <v>12.16</v>
      </c>
      <c r="K55" s="1873">
        <f t="shared" si="18"/>
        <v>21949.263999999999</v>
      </c>
      <c r="L55" s="1874">
        <v>6250</v>
      </c>
      <c r="M55" s="1874">
        <f>28199264/1000</f>
        <v>28199.263999999999</v>
      </c>
      <c r="N55" s="1875">
        <f t="shared" si="19"/>
        <v>351188.22399999999</v>
      </c>
      <c r="O55" s="1874">
        <f t="shared" si="20"/>
        <v>100000</v>
      </c>
      <c r="P55" s="1875">
        <f t="shared" si="21"/>
        <v>451188.22399999999</v>
      </c>
      <c r="Q55" s="1788"/>
      <c r="R55" s="1875">
        <v>1</v>
      </c>
      <c r="S55" s="1789">
        <f t="shared" si="22"/>
        <v>12.16</v>
      </c>
      <c r="T55" s="1877">
        <f t="shared" si="23"/>
        <v>342903.05024000001</v>
      </c>
      <c r="U55" s="1878">
        <f t="shared" si="24"/>
        <v>-0.24</v>
      </c>
      <c r="V55" s="1879" t="s">
        <v>3824</v>
      </c>
      <c r="W55" s="1880" t="s">
        <v>3825</v>
      </c>
      <c r="X55" s="1881">
        <f t="shared" si="25"/>
        <v>451188.22399999999</v>
      </c>
      <c r="Y55" s="1867">
        <f t="shared" si="26"/>
        <v>0</v>
      </c>
      <c r="AB55" s="1874"/>
      <c r="AC55" s="1868"/>
      <c r="AD55" s="1857"/>
      <c r="AG55" s="1814"/>
    </row>
    <row r="56" spans="1:33" s="1867" customFormat="1" ht="13.5" customHeight="1">
      <c r="A56" s="1857"/>
      <c r="B56" s="1827" t="s">
        <v>3826</v>
      </c>
      <c r="C56" s="1829" t="s">
        <v>3827</v>
      </c>
      <c r="D56" s="1830" t="s">
        <v>1098</v>
      </c>
      <c r="E56" s="1789" t="s">
        <v>3828</v>
      </c>
      <c r="F56" s="1870">
        <v>43272</v>
      </c>
      <c r="G56" s="1871">
        <v>17</v>
      </c>
      <c r="H56" s="1808">
        <v>15</v>
      </c>
      <c r="I56" s="1808">
        <v>17</v>
      </c>
      <c r="J56" s="1871">
        <v>25.2</v>
      </c>
      <c r="K56" s="1873">
        <f t="shared" si="18"/>
        <v>29962.684000000001</v>
      </c>
      <c r="L56" s="1874">
        <f>8823530/1000</f>
        <v>8823.5300000000007</v>
      </c>
      <c r="M56" s="1874">
        <f>38786214/1000</f>
        <v>38786.214</v>
      </c>
      <c r="N56" s="1875">
        <f t="shared" si="19"/>
        <v>509365.62800000003</v>
      </c>
      <c r="O56" s="1874">
        <f t="shared" si="20"/>
        <v>150000.01</v>
      </c>
      <c r="P56" s="1875">
        <f t="shared" si="21"/>
        <v>659365.63800000004</v>
      </c>
      <c r="Q56" s="1788"/>
      <c r="R56" s="1875">
        <v>1</v>
      </c>
      <c r="S56" s="1789">
        <f t="shared" si="22"/>
        <v>25.2</v>
      </c>
      <c r="T56" s="1877">
        <f t="shared" si="23"/>
        <v>977412.59279999998</v>
      </c>
      <c r="U56" s="1878">
        <f t="shared" si="24"/>
        <v>0.48235294117647043</v>
      </c>
      <c r="V56" s="1879" t="s">
        <v>3829</v>
      </c>
      <c r="W56" s="1880" t="s">
        <v>3830</v>
      </c>
      <c r="X56" s="1881">
        <f t="shared" si="25"/>
        <v>659365.63800000004</v>
      </c>
      <c r="Y56" s="1867">
        <f t="shared" si="26"/>
        <v>0</v>
      </c>
      <c r="AB56" s="1874"/>
      <c r="AC56" s="1868"/>
      <c r="AD56" s="1857"/>
      <c r="AG56" s="1814"/>
    </row>
    <row r="57" spans="1:33" s="1867" customFormat="1" ht="13.5" customHeight="1">
      <c r="A57" s="1857"/>
      <c r="B57" s="1867" t="s">
        <v>3831</v>
      </c>
      <c r="C57" s="1868" t="s">
        <v>3832</v>
      </c>
      <c r="D57" s="1869" t="s">
        <v>1174</v>
      </c>
      <c r="E57" s="1868" t="s">
        <v>3833</v>
      </c>
      <c r="F57" s="1870">
        <v>43271</v>
      </c>
      <c r="G57" s="1871">
        <v>15</v>
      </c>
      <c r="H57" s="1872">
        <v>14</v>
      </c>
      <c r="I57" s="1872">
        <v>16</v>
      </c>
      <c r="J57" s="1871">
        <v>16.13</v>
      </c>
      <c r="K57" s="1873">
        <f t="shared" si="18"/>
        <v>13321.522000000001</v>
      </c>
      <c r="L57" s="1874">
        <f>5000000/1000</f>
        <v>5000</v>
      </c>
      <c r="M57" s="1874">
        <f>18321522/1000</f>
        <v>18321.522000000001</v>
      </c>
      <c r="N57" s="1875">
        <f t="shared" si="19"/>
        <v>199822.83000000002</v>
      </c>
      <c r="O57" s="1874">
        <f t="shared" si="20"/>
        <v>75000</v>
      </c>
      <c r="P57" s="1875">
        <f t="shared" si="21"/>
        <v>274822.83</v>
      </c>
      <c r="Q57" s="1788"/>
      <c r="R57" s="1875">
        <v>1</v>
      </c>
      <c r="S57" s="1789">
        <f t="shared" si="22"/>
        <v>16.13</v>
      </c>
      <c r="T57" s="1877">
        <f t="shared" si="23"/>
        <v>295526.14986</v>
      </c>
      <c r="U57" s="1878">
        <f t="shared" si="24"/>
        <v>7.5333333333333252E-2</v>
      </c>
      <c r="V57" s="1879" t="s">
        <v>3834</v>
      </c>
      <c r="W57" s="1880" t="s">
        <v>3835</v>
      </c>
      <c r="X57" s="1881">
        <f t="shared" si="25"/>
        <v>274822.83</v>
      </c>
      <c r="Y57" s="1867">
        <f t="shared" si="26"/>
        <v>0</v>
      </c>
      <c r="AB57" s="1874"/>
      <c r="AC57" s="1868"/>
      <c r="AD57" s="1857"/>
      <c r="AG57" s="1814"/>
    </row>
    <row r="58" spans="1:33" s="1867" customFormat="1" ht="13.5" customHeight="1">
      <c r="A58" s="1857"/>
      <c r="B58" s="1867" t="s">
        <v>3836</v>
      </c>
      <c r="C58" s="1868" t="s">
        <v>3837</v>
      </c>
      <c r="D58" s="1869" t="s">
        <v>1098</v>
      </c>
      <c r="E58" s="1868" t="s">
        <v>3838</v>
      </c>
      <c r="F58" s="1870">
        <v>43258</v>
      </c>
      <c r="G58" s="1871">
        <v>15</v>
      </c>
      <c r="H58" s="1872">
        <v>14</v>
      </c>
      <c r="I58" s="1872">
        <v>16</v>
      </c>
      <c r="J58" s="1871">
        <v>12.83</v>
      </c>
      <c r="K58" s="1873">
        <f t="shared" si="18"/>
        <v>22184.132000000001</v>
      </c>
      <c r="L58" s="1874">
        <f>5000000/1000</f>
        <v>5000</v>
      </c>
      <c r="M58" s="1874">
        <f>27184132/1000</f>
        <v>27184.132000000001</v>
      </c>
      <c r="N58" s="1875">
        <f t="shared" si="19"/>
        <v>332761.98000000004</v>
      </c>
      <c r="O58" s="1874">
        <f t="shared" si="20"/>
        <v>75000</v>
      </c>
      <c r="P58" s="1875">
        <f t="shared" si="21"/>
        <v>407761.98000000004</v>
      </c>
      <c r="Q58" s="1788"/>
      <c r="R58" s="1875">
        <v>1</v>
      </c>
      <c r="S58" s="1789">
        <f t="shared" si="22"/>
        <v>12.83</v>
      </c>
      <c r="T58" s="1877">
        <f t="shared" si="23"/>
        <v>348772.41356000002</v>
      </c>
      <c r="U58" s="1878">
        <f t="shared" si="24"/>
        <v>-0.14466666666666672</v>
      </c>
      <c r="V58" s="1879" t="s">
        <v>3839</v>
      </c>
      <c r="W58" s="1880" t="s">
        <v>3840</v>
      </c>
      <c r="X58" s="1881">
        <f t="shared" si="25"/>
        <v>407761.98000000004</v>
      </c>
      <c r="Y58" s="1867">
        <f t="shared" si="26"/>
        <v>0</v>
      </c>
      <c r="AB58" s="1874"/>
      <c r="AC58" s="1868"/>
      <c r="AD58" s="1857"/>
      <c r="AG58" s="1814"/>
    </row>
    <row r="59" spans="1:33" s="1867" customFormat="1" ht="13.5" customHeight="1">
      <c r="A59" s="1857"/>
      <c r="B59" s="1867" t="s">
        <v>3841</v>
      </c>
      <c r="C59" s="1868" t="s">
        <v>3842</v>
      </c>
      <c r="D59" s="1869" t="s">
        <v>583</v>
      </c>
      <c r="E59" s="1868" t="s">
        <v>3843</v>
      </c>
      <c r="F59" s="1870">
        <v>43243</v>
      </c>
      <c r="G59" s="1871">
        <v>14</v>
      </c>
      <c r="H59" s="1872">
        <v>13</v>
      </c>
      <c r="I59" s="1872">
        <v>15</v>
      </c>
      <c r="J59" s="1871">
        <v>21.62</v>
      </c>
      <c r="K59" s="1873">
        <f t="shared" si="18"/>
        <v>19080.536</v>
      </c>
      <c r="L59" s="1874">
        <f>5360000/1000</f>
        <v>5360</v>
      </c>
      <c r="M59" s="1874">
        <f>24440536/1000</f>
        <v>24440.536</v>
      </c>
      <c r="N59" s="1875">
        <f t="shared" si="19"/>
        <v>267127.50400000002</v>
      </c>
      <c r="O59" s="1874">
        <f t="shared" si="20"/>
        <v>75040</v>
      </c>
      <c r="P59" s="1875">
        <f t="shared" si="21"/>
        <v>342167.50400000002</v>
      </c>
      <c r="Q59" s="1788"/>
      <c r="R59" s="1875">
        <v>1</v>
      </c>
      <c r="S59" s="1789">
        <f t="shared" si="22"/>
        <v>21.62</v>
      </c>
      <c r="T59" s="1877">
        <f t="shared" si="23"/>
        <v>528404.38832000003</v>
      </c>
      <c r="U59" s="1878">
        <f t="shared" si="24"/>
        <v>0.54428571428571426</v>
      </c>
      <c r="V59" s="1879" t="s">
        <v>3844</v>
      </c>
      <c r="W59" s="1880" t="s">
        <v>3845</v>
      </c>
      <c r="X59" s="1881">
        <f t="shared" si="25"/>
        <v>342167.50400000002</v>
      </c>
      <c r="Y59" s="1867">
        <f t="shared" si="26"/>
        <v>0</v>
      </c>
      <c r="AB59" s="1874"/>
      <c r="AC59" s="1868"/>
      <c r="AD59" s="1857"/>
      <c r="AG59" s="1814"/>
    </row>
    <row r="60" spans="1:33" s="1867" customFormat="1" ht="13.5" customHeight="1">
      <c r="A60" s="1857"/>
      <c r="B60" s="1867" t="s">
        <v>3846</v>
      </c>
      <c r="C60" s="1868" t="s">
        <v>3847</v>
      </c>
      <c r="D60" s="1869" t="s">
        <v>583</v>
      </c>
      <c r="E60" s="1868" t="s">
        <v>3848</v>
      </c>
      <c r="F60" s="1870">
        <v>43228</v>
      </c>
      <c r="G60" s="1871">
        <v>16</v>
      </c>
      <c r="H60" s="1872">
        <v>15</v>
      </c>
      <c r="I60" s="1872">
        <v>17</v>
      </c>
      <c r="J60" s="1871">
        <v>14.75</v>
      </c>
      <c r="K60" s="1873">
        <f t="shared" si="18"/>
        <v>26558.353999999999</v>
      </c>
      <c r="L60" s="1874">
        <v>5312.5</v>
      </c>
      <c r="M60" s="1874">
        <v>31870.853999999999</v>
      </c>
      <c r="N60" s="1875">
        <f t="shared" si="19"/>
        <v>424933.66399999999</v>
      </c>
      <c r="O60" s="1874">
        <f t="shared" si="20"/>
        <v>85000</v>
      </c>
      <c r="P60" s="1875">
        <f t="shared" si="21"/>
        <v>509933.66399999999</v>
      </c>
      <c r="Q60" s="1788"/>
      <c r="R60" s="1875">
        <v>1</v>
      </c>
      <c r="S60" s="1789">
        <f t="shared" si="22"/>
        <v>14.75</v>
      </c>
      <c r="T60" s="1877">
        <f t="shared" si="23"/>
        <v>470095.09649999999</v>
      </c>
      <c r="U60" s="1878">
        <f t="shared" si="24"/>
        <v>-7.8125E-2</v>
      </c>
      <c r="V60" s="1879" t="s">
        <v>3849</v>
      </c>
      <c r="W60" s="1880" t="s">
        <v>3850</v>
      </c>
      <c r="X60" s="1881">
        <f t="shared" si="25"/>
        <v>509933.66399999999</v>
      </c>
      <c r="Y60" s="1867">
        <f t="shared" si="26"/>
        <v>0</v>
      </c>
      <c r="AB60" s="1874"/>
      <c r="AC60" s="1868"/>
      <c r="AD60" s="1857"/>
      <c r="AG60" s="1814"/>
    </row>
    <row r="61" spans="1:33" s="1867" customFormat="1" ht="13.5" customHeight="1">
      <c r="A61" s="1857"/>
      <c r="B61" s="1867" t="s">
        <v>3851</v>
      </c>
      <c r="C61" s="1868" t="s">
        <v>3852</v>
      </c>
      <c r="D61" s="1869" t="s">
        <v>583</v>
      </c>
      <c r="E61" s="1868" t="s">
        <v>3853</v>
      </c>
      <c r="F61" s="1870">
        <v>43222</v>
      </c>
      <c r="G61" s="1871">
        <v>17</v>
      </c>
      <c r="H61" s="1872">
        <v>16</v>
      </c>
      <c r="I61" s="1872">
        <v>18</v>
      </c>
      <c r="J61" s="1871">
        <v>15.11</v>
      </c>
      <c r="K61" s="1873">
        <f t="shared" si="18"/>
        <v>36903.538</v>
      </c>
      <c r="L61" s="1874">
        <v>5000</v>
      </c>
      <c r="M61" s="1874">
        <v>41903.538</v>
      </c>
      <c r="N61" s="1875">
        <f t="shared" si="19"/>
        <v>627360.14599999995</v>
      </c>
      <c r="O61" s="1874">
        <f t="shared" si="20"/>
        <v>85000</v>
      </c>
      <c r="P61" s="1875">
        <f t="shared" si="21"/>
        <v>712360.14599999995</v>
      </c>
      <c r="Q61" s="1788"/>
      <c r="R61" s="1875">
        <v>1</v>
      </c>
      <c r="S61" s="1789">
        <f t="shared" si="22"/>
        <v>15.11</v>
      </c>
      <c r="T61" s="1877">
        <f t="shared" si="23"/>
        <v>633162.45918000001</v>
      </c>
      <c r="U61" s="1878">
        <f t="shared" si="24"/>
        <v>-0.11117647058823521</v>
      </c>
      <c r="V61" s="1879" t="s">
        <v>3854</v>
      </c>
      <c r="W61" s="1880" t="s">
        <v>3855</v>
      </c>
      <c r="X61" s="1881">
        <f t="shared" si="25"/>
        <v>712360.14599999995</v>
      </c>
      <c r="Y61" s="1867">
        <f t="shared" si="26"/>
        <v>0</v>
      </c>
      <c r="AB61" s="1874"/>
      <c r="AC61" s="1868"/>
      <c r="AD61" s="1857"/>
      <c r="AG61" s="1814"/>
    </row>
    <row r="62" spans="1:33" s="1867" customFormat="1" ht="13.5" customHeight="1">
      <c r="A62" s="1857"/>
      <c r="B62" s="1867" t="s">
        <v>3856</v>
      </c>
      <c r="C62" s="1868" t="s">
        <v>3857</v>
      </c>
      <c r="D62" s="1869" t="s">
        <v>583</v>
      </c>
      <c r="E62" s="1868" t="s">
        <v>3858</v>
      </c>
      <c r="F62" s="1870">
        <v>43208</v>
      </c>
      <c r="G62" s="1871">
        <v>15</v>
      </c>
      <c r="H62" s="1872">
        <v>13</v>
      </c>
      <c r="I62" s="1872">
        <v>15</v>
      </c>
      <c r="J62" s="1871">
        <v>13.33</v>
      </c>
      <c r="K62" s="1873">
        <f>+M62-L62</f>
        <v>20397.314999999999</v>
      </c>
      <c r="L62" s="1874">
        <f>7200000/1000</f>
        <v>7200</v>
      </c>
      <c r="M62" s="1874">
        <f>27597315/1000</f>
        <v>27597.314999999999</v>
      </c>
      <c r="N62" s="1875">
        <f>+G62*K62</f>
        <v>305959.72499999998</v>
      </c>
      <c r="O62" s="1874">
        <f>+G62*L62</f>
        <v>108000</v>
      </c>
      <c r="P62" s="1875">
        <f>+N62+O62</f>
        <v>413959.72499999998</v>
      </c>
      <c r="Q62" s="1788"/>
      <c r="R62" s="1875">
        <v>1</v>
      </c>
      <c r="S62" s="1789">
        <f>J62</f>
        <v>13.33</v>
      </c>
      <c r="T62" s="1877">
        <f>S62*M62</f>
        <v>367872.20895</v>
      </c>
      <c r="U62" s="1878">
        <f>T62/P62-1</f>
        <v>-0.11133333333333328</v>
      </c>
      <c r="V62" s="1879" t="s">
        <v>3858</v>
      </c>
      <c r="W62" s="1880" t="s">
        <v>3859</v>
      </c>
      <c r="X62" s="1881">
        <f>+N62+O62</f>
        <v>413959.72499999998</v>
      </c>
      <c r="Y62" s="1867">
        <f t="shared" si="26"/>
        <v>0</v>
      </c>
      <c r="AB62" s="1874"/>
      <c r="AC62" s="1868"/>
      <c r="AD62" s="1857"/>
      <c r="AG62" s="1814"/>
    </row>
    <row r="63" spans="1:33" s="1867" customFormat="1" ht="13.5" customHeight="1">
      <c r="A63" s="1857"/>
      <c r="B63" s="1867" t="s">
        <v>3860</v>
      </c>
      <c r="C63" s="1868" t="s">
        <v>3861</v>
      </c>
      <c r="D63" s="1869" t="s">
        <v>583</v>
      </c>
      <c r="E63" s="1868" t="s">
        <v>3862</v>
      </c>
      <c r="F63" s="1870">
        <v>43187</v>
      </c>
      <c r="G63" s="1871">
        <v>12</v>
      </c>
      <c r="H63" s="1872">
        <v>12</v>
      </c>
      <c r="I63" s="1872">
        <v>14</v>
      </c>
      <c r="J63" s="1871">
        <v>11.11</v>
      </c>
      <c r="K63" s="1873">
        <f>+M63-L63</f>
        <v>23847.718000000001</v>
      </c>
      <c r="L63" s="1874">
        <v>5770</v>
      </c>
      <c r="M63" s="1874">
        <v>29617.718000000001</v>
      </c>
      <c r="N63" s="1875">
        <f>+G63*K63</f>
        <v>286172.61600000004</v>
      </c>
      <c r="O63" s="1874">
        <f>+G63*L63</f>
        <v>69240</v>
      </c>
      <c r="P63" s="1875">
        <f>+N63+O63</f>
        <v>355412.61600000004</v>
      </c>
      <c r="Q63" s="1788"/>
      <c r="R63" s="1875">
        <v>1</v>
      </c>
      <c r="S63" s="1789">
        <f>J63</f>
        <v>11.11</v>
      </c>
      <c r="T63" s="1877">
        <f>S63*M63</f>
        <v>329052.84697999997</v>
      </c>
      <c r="U63" s="1878">
        <f>T63/P63-1</f>
        <v>-7.4166666666666825E-2</v>
      </c>
      <c r="V63" s="1879" t="s">
        <v>3863</v>
      </c>
      <c r="W63" s="1880" t="s">
        <v>3864</v>
      </c>
      <c r="X63" s="1881">
        <f>+N63+O63</f>
        <v>355412.61600000004</v>
      </c>
      <c r="Y63" s="1867">
        <f t="shared" si="26"/>
        <v>0</v>
      </c>
      <c r="AB63" s="1874"/>
      <c r="AC63" s="1868"/>
      <c r="AD63" s="1857"/>
      <c r="AG63" s="1814"/>
    </row>
    <row r="64" spans="1:33" s="1867" customFormat="1" ht="13.5" customHeight="1">
      <c r="A64" s="1857"/>
      <c r="B64" s="1867" t="s">
        <v>3865</v>
      </c>
      <c r="C64" s="1868" t="s">
        <v>3866</v>
      </c>
      <c r="D64" s="1869" t="s">
        <v>583</v>
      </c>
      <c r="E64" s="1868" t="s">
        <v>3867</v>
      </c>
      <c r="F64" s="1870">
        <v>43173</v>
      </c>
      <c r="G64" s="1871">
        <v>15</v>
      </c>
      <c r="H64" s="1872">
        <v>13</v>
      </c>
      <c r="I64" s="1872">
        <v>15</v>
      </c>
      <c r="J64" s="1871">
        <v>15.44</v>
      </c>
      <c r="K64" s="1873">
        <f>+M64-L64</f>
        <v>34550.472000000002</v>
      </c>
      <c r="L64" s="1874">
        <v>8000</v>
      </c>
      <c r="M64" s="1874">
        <v>42550.472000000002</v>
      </c>
      <c r="N64" s="1875">
        <f>+G64*K64</f>
        <v>518257.08</v>
      </c>
      <c r="O64" s="1874">
        <f>+G64*L64</f>
        <v>120000</v>
      </c>
      <c r="P64" s="1875">
        <f>+N64+O64</f>
        <v>638257.08000000007</v>
      </c>
      <c r="Q64" s="1788"/>
      <c r="R64" s="1875">
        <v>1</v>
      </c>
      <c r="S64" s="1789">
        <f>J64</f>
        <v>15.44</v>
      </c>
      <c r="T64" s="1877">
        <f>S64*M64</f>
        <v>656979.28767999995</v>
      </c>
      <c r="U64" s="1878">
        <f>T64/P64-1</f>
        <v>2.9333333333333211E-2</v>
      </c>
      <c r="V64" s="1879" t="s">
        <v>3868</v>
      </c>
      <c r="W64" s="1880" t="s">
        <v>3869</v>
      </c>
      <c r="X64" s="1881">
        <f>+N64+O64</f>
        <v>638257.08000000007</v>
      </c>
      <c r="Y64" s="1867">
        <f t="shared" si="26"/>
        <v>0</v>
      </c>
      <c r="AB64" s="1874"/>
      <c r="AC64" s="1868"/>
      <c r="AD64" s="1857"/>
      <c r="AG64" s="1814"/>
    </row>
    <row r="65" spans="1:73" s="1867" customFormat="1" ht="13.5" customHeight="1">
      <c r="A65" s="1857"/>
      <c r="B65" s="1867" t="s">
        <v>3870</v>
      </c>
      <c r="C65" s="1868" t="s">
        <v>3871</v>
      </c>
      <c r="D65" s="1869" t="s">
        <v>568</v>
      </c>
      <c r="E65" s="1868" t="s">
        <v>3872</v>
      </c>
      <c r="F65" s="1870">
        <v>43167</v>
      </c>
      <c r="G65" s="1871">
        <v>11</v>
      </c>
      <c r="H65" s="1872">
        <v>11</v>
      </c>
      <c r="I65" s="1872">
        <v>13</v>
      </c>
      <c r="J65" s="1871">
        <v>10.24</v>
      </c>
      <c r="K65" s="1873">
        <f>+M65-L65</f>
        <v>10191</v>
      </c>
      <c r="L65" s="1874">
        <v>5454.5450000000001</v>
      </c>
      <c r="M65" s="1874">
        <v>15645.545</v>
      </c>
      <c r="N65" s="1875">
        <f>+G65*K65</f>
        <v>112101</v>
      </c>
      <c r="O65" s="1874">
        <f>+G65*L65</f>
        <v>59999.995000000003</v>
      </c>
      <c r="P65" s="1875">
        <f>+N65+O65</f>
        <v>172100.995</v>
      </c>
      <c r="Q65" s="1788"/>
      <c r="R65" s="1875">
        <v>1</v>
      </c>
      <c r="S65" s="1789">
        <f>J65</f>
        <v>10.24</v>
      </c>
      <c r="T65" s="1877">
        <f>S65*M65</f>
        <v>160210.38080000001</v>
      </c>
      <c r="U65" s="1878">
        <f>T65/P65-1</f>
        <v>-6.9090909090908981E-2</v>
      </c>
      <c r="V65" s="1879" t="s">
        <v>3873</v>
      </c>
      <c r="W65" s="1880" t="s">
        <v>3874</v>
      </c>
      <c r="X65" s="1881">
        <f>+N65+O65</f>
        <v>172100.995</v>
      </c>
      <c r="Y65" s="1867">
        <f t="shared" si="26"/>
        <v>0</v>
      </c>
      <c r="AB65" s="1874"/>
      <c r="AC65" s="1868"/>
      <c r="AD65" s="1857"/>
      <c r="AG65" s="1814"/>
    </row>
    <row r="66" spans="1:73" s="1867" customFormat="1" ht="13.5" customHeight="1">
      <c r="A66" s="1857"/>
      <c r="B66" s="1867" t="s">
        <v>3875</v>
      </c>
      <c r="C66" s="1868" t="s">
        <v>3876</v>
      </c>
      <c r="D66" s="1869" t="s">
        <v>1098</v>
      </c>
      <c r="E66" s="1868" t="s">
        <v>3877</v>
      </c>
      <c r="F66" s="1870">
        <v>43125</v>
      </c>
      <c r="G66" s="1871">
        <v>16</v>
      </c>
      <c r="H66" s="1872">
        <v>16</v>
      </c>
      <c r="I66" s="1872">
        <v>18</v>
      </c>
      <c r="J66" s="1871">
        <v>26.35</v>
      </c>
      <c r="K66" s="1873">
        <f>+M66-L66</f>
        <v>26338.521999999997</v>
      </c>
      <c r="L66" s="1874">
        <v>7812.5</v>
      </c>
      <c r="M66" s="1874">
        <v>34151.021999999997</v>
      </c>
      <c r="N66" s="1875">
        <f>+G66*K66</f>
        <v>421416.35199999996</v>
      </c>
      <c r="O66" s="1874">
        <f>+G66*L66</f>
        <v>125000</v>
      </c>
      <c r="P66" s="1875">
        <f>+N66+O66</f>
        <v>546416.35199999996</v>
      </c>
      <c r="Q66" s="1788"/>
      <c r="R66" s="1875">
        <v>1</v>
      </c>
      <c r="S66" s="1789">
        <f>J66</f>
        <v>26.35</v>
      </c>
      <c r="T66" s="1877">
        <f>S66*M66</f>
        <v>899879.42969999998</v>
      </c>
      <c r="U66" s="1878">
        <f>T66/P66-1</f>
        <v>0.64687500000000009</v>
      </c>
      <c r="V66" s="1879" t="s">
        <v>3878</v>
      </c>
      <c r="W66" s="1880" t="s">
        <v>3879</v>
      </c>
      <c r="X66" s="1881">
        <f>+N66+O66</f>
        <v>546416.35199999996</v>
      </c>
      <c r="Y66" s="1867">
        <f t="shared" si="26"/>
        <v>0</v>
      </c>
      <c r="AB66" s="1874"/>
      <c r="AC66" s="1868"/>
      <c r="AD66" s="1857"/>
      <c r="AG66" s="1814"/>
    </row>
    <row r="67" spans="1:73" s="1901" customFormat="1" ht="13.5" customHeight="1">
      <c r="A67" s="1814"/>
      <c r="B67" s="1827" t="s">
        <v>1907</v>
      </c>
      <c r="C67" s="1828" t="s">
        <v>1908</v>
      </c>
      <c r="D67" s="1829" t="s">
        <v>583</v>
      </c>
      <c r="E67" s="1828" t="s">
        <v>1909</v>
      </c>
      <c r="F67" s="1870">
        <v>43076</v>
      </c>
      <c r="G67" s="1871">
        <v>18</v>
      </c>
      <c r="H67" s="1836">
        <v>17</v>
      </c>
      <c r="I67" s="1836">
        <v>19</v>
      </c>
      <c r="J67" s="1871">
        <v>18.71</v>
      </c>
      <c r="K67" s="1873">
        <f t="shared" ref="K67:K95" si="27">+M67-L67</f>
        <v>74090.587</v>
      </c>
      <c r="L67" s="1874">
        <v>13888.888000000001</v>
      </c>
      <c r="M67" s="1874">
        <v>87979.475000000006</v>
      </c>
      <c r="N67" s="1875">
        <f t="shared" ref="N67:N95" si="28">+G67*K67</f>
        <v>1333630.5660000001</v>
      </c>
      <c r="O67" s="1874">
        <f t="shared" ref="O67:O95" si="29">+G67*L67</f>
        <v>249999.98400000003</v>
      </c>
      <c r="P67" s="1875">
        <f t="shared" ref="P67:P95" si="30">+N67+O67</f>
        <v>1583630.55</v>
      </c>
      <c r="Q67" s="1788"/>
      <c r="R67" s="1785">
        <v>1</v>
      </c>
      <c r="S67" s="1789">
        <f t="shared" ref="S67:S95" si="31">J67</f>
        <v>18.71</v>
      </c>
      <c r="T67" s="1833">
        <f t="shared" ref="T67:T95" si="32">S67*M67</f>
        <v>1646095.9772500002</v>
      </c>
      <c r="U67" s="1834">
        <f t="shared" ref="U67:U95" si="33">T67/P67-1</f>
        <v>3.9444444444444615E-2</v>
      </c>
      <c r="V67" s="1831" t="s">
        <v>1910</v>
      </c>
      <c r="W67" s="1832" t="s">
        <v>1911</v>
      </c>
      <c r="X67" s="1810">
        <f t="shared" ref="X67:X95" si="34">+N67+O67</f>
        <v>1583630.55</v>
      </c>
      <c r="Y67" s="1867">
        <f t="shared" si="26"/>
        <v>0</v>
      </c>
      <c r="Z67" s="1890"/>
      <c r="AA67" s="1797"/>
      <c r="AC67" s="1795"/>
      <c r="AD67" s="1891"/>
      <c r="AE67" s="1891"/>
      <c r="AF67" s="1813"/>
      <c r="AG67" s="1814"/>
      <c r="AH67" s="1827"/>
      <c r="AI67" s="1827"/>
      <c r="AJ67" s="1827"/>
      <c r="AK67" s="1813"/>
      <c r="AL67" s="1828"/>
      <c r="AM67" s="1814"/>
      <c r="AN67" s="1827"/>
      <c r="AO67" s="1827"/>
      <c r="AP67" s="1827"/>
      <c r="AQ67" s="1827"/>
      <c r="AR67" s="1827"/>
      <c r="AS67" s="1827"/>
      <c r="AT67" s="1827"/>
      <c r="AU67" s="1827"/>
      <c r="AV67" s="1827"/>
      <c r="AW67" s="1827"/>
      <c r="AX67" s="1827"/>
      <c r="AY67" s="1827"/>
      <c r="AZ67" s="1827"/>
      <c r="BA67" s="1827"/>
      <c r="BB67" s="1827"/>
      <c r="BC67" s="1827"/>
      <c r="BD67" s="1827"/>
      <c r="BE67" s="1827"/>
      <c r="BF67" s="1827"/>
      <c r="BG67" s="1827"/>
      <c r="BH67" s="1827"/>
      <c r="BI67" s="1827"/>
      <c r="BJ67" s="1827"/>
      <c r="BK67" s="1827"/>
      <c r="BL67" s="1827"/>
      <c r="BM67" s="1827"/>
      <c r="BN67" s="1827"/>
      <c r="BO67" s="1827"/>
      <c r="BP67" s="1827"/>
      <c r="BQ67" s="1827"/>
      <c r="BR67" s="1827"/>
      <c r="BS67" s="1827"/>
      <c r="BT67" s="1827"/>
      <c r="BU67" s="1827"/>
    </row>
    <row r="68" spans="1:73" s="1901" customFormat="1" ht="13.5" customHeight="1">
      <c r="A68" s="1814"/>
      <c r="B68" s="1827" t="s">
        <v>1917</v>
      </c>
      <c r="C68" s="1828" t="s">
        <v>1918</v>
      </c>
      <c r="D68" s="1829" t="s">
        <v>583</v>
      </c>
      <c r="E68" s="1828" t="s">
        <v>1919</v>
      </c>
      <c r="F68" s="1870">
        <v>43040</v>
      </c>
      <c r="G68" s="1871">
        <v>14</v>
      </c>
      <c r="H68" s="1836">
        <v>14</v>
      </c>
      <c r="I68" s="1836">
        <v>16</v>
      </c>
      <c r="J68" s="1871">
        <v>12.14</v>
      </c>
      <c r="K68" s="1873">
        <f t="shared" si="27"/>
        <v>8397.6839999999993</v>
      </c>
      <c r="L68" s="1874">
        <v>5500</v>
      </c>
      <c r="M68" s="1874">
        <v>13897.683999999999</v>
      </c>
      <c r="N68" s="1875">
        <f t="shared" si="28"/>
        <v>117567.57599999999</v>
      </c>
      <c r="O68" s="1874">
        <f t="shared" si="29"/>
        <v>77000</v>
      </c>
      <c r="P68" s="1875">
        <f t="shared" si="30"/>
        <v>194567.576</v>
      </c>
      <c r="Q68" s="1788"/>
      <c r="R68" s="1785">
        <v>1</v>
      </c>
      <c r="S68" s="1789">
        <f t="shared" si="31"/>
        <v>12.14</v>
      </c>
      <c r="T68" s="1833">
        <f t="shared" si="32"/>
        <v>168717.88376</v>
      </c>
      <c r="U68" s="1834">
        <f t="shared" si="33"/>
        <v>-0.1328571428571429</v>
      </c>
      <c r="V68" s="1831" t="s">
        <v>1920</v>
      </c>
      <c r="W68" s="1832" t="s">
        <v>1921</v>
      </c>
      <c r="X68" s="1810">
        <f t="shared" si="34"/>
        <v>194567.576</v>
      </c>
      <c r="Y68" s="1867">
        <f t="shared" si="26"/>
        <v>0</v>
      </c>
      <c r="Z68" s="1890"/>
      <c r="AA68" s="1797"/>
      <c r="AC68" s="1795"/>
      <c r="AD68" s="1891"/>
      <c r="AE68" s="1891"/>
      <c r="AF68" s="1813"/>
      <c r="AG68" s="1814"/>
      <c r="AH68" s="1827"/>
      <c r="AI68" s="1827"/>
      <c r="AJ68" s="1827"/>
      <c r="AK68" s="1813"/>
      <c r="AL68" s="1828"/>
      <c r="AM68" s="1814"/>
      <c r="AN68" s="1827"/>
      <c r="AO68" s="1827"/>
      <c r="AP68" s="1827"/>
      <c r="AQ68" s="1827"/>
      <c r="AR68" s="1827"/>
      <c r="AS68" s="1827"/>
      <c r="AT68" s="1827"/>
      <c r="AU68" s="1827"/>
      <c r="AV68" s="1827"/>
      <c r="AW68" s="1827"/>
      <c r="AX68" s="1827"/>
      <c r="AY68" s="1827"/>
      <c r="AZ68" s="1827"/>
      <c r="BA68" s="1827"/>
      <c r="BB68" s="1827"/>
      <c r="BC68" s="1827"/>
      <c r="BD68" s="1827"/>
      <c r="BE68" s="1827"/>
      <c r="BF68" s="1827"/>
      <c r="BG68" s="1827"/>
      <c r="BH68" s="1827"/>
      <c r="BI68" s="1827"/>
      <c r="BJ68" s="1827"/>
      <c r="BK68" s="1827"/>
      <c r="BL68" s="1827"/>
      <c r="BM68" s="1827"/>
      <c r="BN68" s="1827"/>
      <c r="BO68" s="1827"/>
      <c r="BP68" s="1827"/>
      <c r="BQ68" s="1827"/>
      <c r="BR68" s="1827"/>
      <c r="BS68" s="1827"/>
      <c r="BT68" s="1827"/>
      <c r="BU68" s="1827"/>
    </row>
    <row r="69" spans="1:73" s="1901" customFormat="1" ht="13.5" customHeight="1">
      <c r="A69" s="1814"/>
      <c r="B69" s="1827" t="s">
        <v>1835</v>
      </c>
      <c r="C69" s="1828" t="s">
        <v>1836</v>
      </c>
      <c r="D69" s="1829" t="s">
        <v>583</v>
      </c>
      <c r="E69" s="1828" t="s">
        <v>1837</v>
      </c>
      <c r="F69" s="1870">
        <v>43005</v>
      </c>
      <c r="G69" s="1871">
        <v>17</v>
      </c>
      <c r="H69" s="1836">
        <v>15</v>
      </c>
      <c r="I69" s="1836">
        <v>17</v>
      </c>
      <c r="J69" s="1871">
        <v>18.64</v>
      </c>
      <c r="K69" s="1873">
        <f t="shared" si="27"/>
        <v>25091.686000000002</v>
      </c>
      <c r="L69" s="1874">
        <v>7500</v>
      </c>
      <c r="M69" s="1874">
        <v>32591.686000000002</v>
      </c>
      <c r="N69" s="1875">
        <f t="shared" si="28"/>
        <v>426558.66200000001</v>
      </c>
      <c r="O69" s="1874">
        <f t="shared" si="29"/>
        <v>127500</v>
      </c>
      <c r="P69" s="1875">
        <f t="shared" si="30"/>
        <v>554058.66200000001</v>
      </c>
      <c r="Q69" s="1788"/>
      <c r="R69" s="1785">
        <v>1</v>
      </c>
      <c r="S69" s="1789">
        <f t="shared" si="31"/>
        <v>18.64</v>
      </c>
      <c r="T69" s="1833">
        <f t="shared" si="32"/>
        <v>607509.02704000007</v>
      </c>
      <c r="U69" s="1834">
        <f t="shared" si="33"/>
        <v>9.6470588235294308E-2</v>
      </c>
      <c r="V69" s="1831" t="s">
        <v>1838</v>
      </c>
      <c r="W69" s="1832" t="s">
        <v>1839</v>
      </c>
      <c r="X69" s="1810">
        <f t="shared" si="34"/>
        <v>554058.66200000001</v>
      </c>
      <c r="Y69" s="1795">
        <v>1575000</v>
      </c>
      <c r="Z69" s="1890">
        <v>93992000</v>
      </c>
      <c r="AA69" s="1797"/>
      <c r="AC69" s="1795"/>
      <c r="AD69" s="1891"/>
      <c r="AE69" s="1891"/>
      <c r="AF69" s="1813"/>
      <c r="AG69" s="1814"/>
      <c r="AH69" s="1827"/>
      <c r="AI69" s="1827"/>
      <c r="AJ69" s="1827"/>
      <c r="AK69" s="1813"/>
      <c r="AL69" s="1828"/>
      <c r="AM69" s="1814"/>
      <c r="AN69" s="1827"/>
      <c r="AO69" s="1827"/>
      <c r="AP69" s="1827"/>
      <c r="AQ69" s="1827"/>
      <c r="AR69" s="1827"/>
      <c r="AS69" s="1827"/>
      <c r="AT69" s="1827"/>
      <c r="AU69" s="1827"/>
      <c r="AV69" s="1827"/>
      <c r="AW69" s="1827"/>
      <c r="AX69" s="1827"/>
      <c r="AY69" s="1827"/>
      <c r="AZ69" s="1827"/>
      <c r="BA69" s="1827"/>
      <c r="BB69" s="1827"/>
      <c r="BC69" s="1827"/>
      <c r="BD69" s="1827"/>
      <c r="BE69" s="1827"/>
      <c r="BF69" s="1827"/>
      <c r="BG69" s="1827"/>
      <c r="BH69" s="1827"/>
      <c r="BI69" s="1827"/>
      <c r="BJ69" s="1827"/>
      <c r="BK69" s="1827"/>
      <c r="BL69" s="1827"/>
      <c r="BM69" s="1827"/>
      <c r="BN69" s="1827"/>
      <c r="BO69" s="1827"/>
      <c r="BP69" s="1827"/>
      <c r="BQ69" s="1827"/>
      <c r="BR69" s="1827"/>
      <c r="BS69" s="1827"/>
      <c r="BT69" s="1827"/>
      <c r="BU69" s="1827"/>
    </row>
    <row r="70" spans="1:73" s="1901" customFormat="1" ht="13.5" customHeight="1">
      <c r="A70" s="1814"/>
      <c r="B70" s="1827" t="s">
        <v>1922</v>
      </c>
      <c r="C70" s="1828" t="s">
        <v>1923</v>
      </c>
      <c r="D70" s="1829" t="s">
        <v>1098</v>
      </c>
      <c r="E70" s="1828" t="s">
        <v>1924</v>
      </c>
      <c r="F70" s="1870">
        <v>43005</v>
      </c>
      <c r="G70" s="1871">
        <v>14</v>
      </c>
      <c r="H70" s="1836">
        <v>13</v>
      </c>
      <c r="I70" s="1836">
        <v>15</v>
      </c>
      <c r="J70" s="1871">
        <v>20.8</v>
      </c>
      <c r="K70" s="1873">
        <f t="shared" si="27"/>
        <v>22740.714</v>
      </c>
      <c r="L70" s="1874">
        <v>5360</v>
      </c>
      <c r="M70" s="1874">
        <v>28100.714</v>
      </c>
      <c r="N70" s="1875">
        <f t="shared" si="28"/>
        <v>318369.99599999998</v>
      </c>
      <c r="O70" s="1874">
        <f t="shared" si="29"/>
        <v>75040</v>
      </c>
      <c r="P70" s="1875">
        <f t="shared" si="30"/>
        <v>393409.99599999998</v>
      </c>
      <c r="Q70" s="1788"/>
      <c r="R70" s="1785">
        <v>1</v>
      </c>
      <c r="S70" s="1789">
        <f t="shared" si="31"/>
        <v>20.8</v>
      </c>
      <c r="T70" s="1833">
        <f t="shared" si="32"/>
        <v>584494.85120000003</v>
      </c>
      <c r="U70" s="1834">
        <f t="shared" si="33"/>
        <v>0.48571428571428577</v>
      </c>
      <c r="V70" s="1831" t="s">
        <v>1925</v>
      </c>
      <c r="W70" s="1832" t="s">
        <v>1926</v>
      </c>
      <c r="X70" s="1810">
        <f t="shared" si="34"/>
        <v>393409.99599999998</v>
      </c>
      <c r="Y70" s="1795"/>
      <c r="Z70" s="1890"/>
      <c r="AA70" s="1797"/>
      <c r="AC70" s="1795"/>
      <c r="AD70" s="1891"/>
      <c r="AE70" s="1891"/>
      <c r="AF70" s="1813"/>
      <c r="AG70" s="1814"/>
      <c r="AH70" s="1827"/>
      <c r="AI70" s="1827"/>
      <c r="AJ70" s="1827"/>
      <c r="AK70" s="1813"/>
      <c r="AL70" s="1828"/>
      <c r="AM70" s="1814"/>
      <c r="AN70" s="1827"/>
      <c r="AO70" s="1827"/>
      <c r="AP70" s="1827"/>
      <c r="AQ70" s="1827"/>
      <c r="AR70" s="1827"/>
      <c r="AS70" s="1827"/>
      <c r="AT70" s="1827"/>
      <c r="AU70" s="1827"/>
      <c r="AV70" s="1827"/>
      <c r="AW70" s="1827"/>
      <c r="AX70" s="1827"/>
      <c r="AY70" s="1827"/>
      <c r="AZ70" s="1827"/>
      <c r="BA70" s="1827"/>
      <c r="BB70" s="1827"/>
      <c r="BC70" s="1827"/>
      <c r="BD70" s="1827"/>
      <c r="BE70" s="1827"/>
      <c r="BF70" s="1827"/>
      <c r="BG70" s="1827"/>
      <c r="BH70" s="1827"/>
      <c r="BI70" s="1827"/>
      <c r="BJ70" s="1827"/>
      <c r="BK70" s="1827"/>
      <c r="BL70" s="1827"/>
      <c r="BM70" s="1827"/>
      <c r="BN70" s="1827"/>
      <c r="BO70" s="1827"/>
      <c r="BP70" s="1827"/>
      <c r="BQ70" s="1827"/>
      <c r="BR70" s="1827"/>
      <c r="BS70" s="1827"/>
      <c r="BT70" s="1827"/>
      <c r="BU70" s="1827"/>
    </row>
    <row r="71" spans="1:73" s="1901" customFormat="1" ht="13.5" customHeight="1">
      <c r="A71" s="1814"/>
      <c r="B71" s="1827" t="s">
        <v>1845</v>
      </c>
      <c r="C71" s="1829" t="s">
        <v>1846</v>
      </c>
      <c r="D71" s="1830" t="s">
        <v>583</v>
      </c>
      <c r="E71" s="1789" t="s">
        <v>1847</v>
      </c>
      <c r="F71" s="1870">
        <v>42913</v>
      </c>
      <c r="G71" s="1871">
        <v>15</v>
      </c>
      <c r="H71" s="1808">
        <v>14</v>
      </c>
      <c r="I71" s="1808">
        <v>16</v>
      </c>
      <c r="J71" s="1871">
        <v>14.61</v>
      </c>
      <c r="K71" s="1873">
        <f t="shared" si="27"/>
        <v>17645.620999999999</v>
      </c>
      <c r="L71" s="1874">
        <v>5000</v>
      </c>
      <c r="M71" s="1874">
        <v>22645.620999999999</v>
      </c>
      <c r="N71" s="1875">
        <f t="shared" si="28"/>
        <v>264684.315</v>
      </c>
      <c r="O71" s="1874">
        <f t="shared" si="29"/>
        <v>75000</v>
      </c>
      <c r="P71" s="1875">
        <f t="shared" si="30"/>
        <v>339684.315</v>
      </c>
      <c r="Q71" s="1788"/>
      <c r="R71" s="1785">
        <v>1</v>
      </c>
      <c r="S71" s="1808">
        <f t="shared" si="31"/>
        <v>14.61</v>
      </c>
      <c r="T71" s="1808">
        <f t="shared" si="32"/>
        <v>330852.52280999999</v>
      </c>
      <c r="U71" s="1785">
        <f t="shared" si="33"/>
        <v>-2.6000000000000023E-2</v>
      </c>
      <c r="V71" s="1813" t="s">
        <v>1848</v>
      </c>
      <c r="W71" s="1785" t="s">
        <v>1849</v>
      </c>
      <c r="X71" s="1810">
        <f t="shared" si="34"/>
        <v>339684.315</v>
      </c>
      <c r="Y71" s="1890">
        <v>0</v>
      </c>
      <c r="Z71" s="1890">
        <v>88515</v>
      </c>
      <c r="AA71" s="1797">
        <v>251169.315</v>
      </c>
      <c r="AB71" s="1795">
        <v>0</v>
      </c>
      <c r="AC71" s="1795">
        <v>0</v>
      </c>
      <c r="AD71" s="1891" t="s">
        <v>13</v>
      </c>
      <c r="AE71" s="1891" t="s">
        <v>13</v>
      </c>
      <c r="AF71" s="1813">
        <f>+P71-X71</f>
        <v>0</v>
      </c>
      <c r="AG71" s="1814"/>
      <c r="AH71" s="1827"/>
      <c r="AI71" s="1827"/>
      <c r="AJ71" s="1827"/>
      <c r="AK71" s="1813"/>
      <c r="AL71" s="1828"/>
      <c r="AM71" s="1814"/>
      <c r="AN71" s="1827"/>
      <c r="AO71" s="1827"/>
      <c r="AP71" s="1827"/>
      <c r="AQ71" s="1827"/>
      <c r="AR71" s="1827"/>
      <c r="AS71" s="1827"/>
      <c r="AT71" s="1827"/>
      <c r="AU71" s="1827"/>
      <c r="AV71" s="1827"/>
      <c r="AW71" s="1827"/>
      <c r="AX71" s="1827"/>
      <c r="AY71" s="1827"/>
      <c r="AZ71" s="1827"/>
      <c r="BA71" s="1827"/>
      <c r="BB71" s="1827"/>
      <c r="BC71" s="1827"/>
      <c r="BD71" s="1827"/>
      <c r="BE71" s="1827"/>
      <c r="BF71" s="1827"/>
      <c r="BG71" s="1827"/>
      <c r="BH71" s="1827"/>
      <c r="BI71" s="1827"/>
      <c r="BJ71" s="1827"/>
      <c r="BK71" s="1827"/>
      <c r="BL71" s="1827"/>
      <c r="BM71" s="1827"/>
      <c r="BN71" s="1827"/>
      <c r="BO71" s="1827"/>
      <c r="BP71" s="1827"/>
      <c r="BQ71" s="1827"/>
      <c r="BR71" s="1827"/>
      <c r="BS71" s="1827"/>
      <c r="BT71" s="1827"/>
      <c r="BU71" s="1827"/>
    </row>
    <row r="72" spans="1:73" s="1901" customFormat="1" ht="13.5" customHeight="1">
      <c r="A72" s="1882"/>
      <c r="B72" s="1827" t="s">
        <v>1850</v>
      </c>
      <c r="C72" s="1829" t="s">
        <v>1851</v>
      </c>
      <c r="D72" s="1830" t="s">
        <v>568</v>
      </c>
      <c r="E72" s="1789" t="s">
        <v>1852</v>
      </c>
      <c r="F72" s="1870">
        <v>42871</v>
      </c>
      <c r="G72" s="1871">
        <v>15</v>
      </c>
      <c r="H72" s="1808">
        <v>15</v>
      </c>
      <c r="I72" s="1808">
        <v>17</v>
      </c>
      <c r="J72" s="1871">
        <v>17.12</v>
      </c>
      <c r="K72" s="1873">
        <f t="shared" si="27"/>
        <v>20413.833999999999</v>
      </c>
      <c r="L72" s="1874">
        <v>6250</v>
      </c>
      <c r="M72" s="1874">
        <v>26663.833999999999</v>
      </c>
      <c r="N72" s="1875">
        <f t="shared" si="28"/>
        <v>306207.51</v>
      </c>
      <c r="O72" s="1874">
        <f t="shared" si="29"/>
        <v>93750</v>
      </c>
      <c r="P72" s="1875">
        <f t="shared" si="30"/>
        <v>399957.51</v>
      </c>
      <c r="Q72" s="1788"/>
      <c r="R72" s="1785">
        <v>1</v>
      </c>
      <c r="S72" s="1808">
        <f t="shared" si="31"/>
        <v>17.12</v>
      </c>
      <c r="T72" s="1808">
        <f t="shared" si="32"/>
        <v>456484.83808000002</v>
      </c>
      <c r="U72" s="1785">
        <f t="shared" si="33"/>
        <v>0.14133333333333331</v>
      </c>
      <c r="V72" s="1813" t="s">
        <v>1853</v>
      </c>
      <c r="W72" s="1785" t="s">
        <v>1854</v>
      </c>
      <c r="X72" s="1902">
        <f t="shared" si="34"/>
        <v>399957.51</v>
      </c>
      <c r="Y72" s="1890">
        <v>0</v>
      </c>
      <c r="Z72" s="1890">
        <v>37726.520000000004</v>
      </c>
      <c r="AA72" s="1797">
        <f>X72+Y72-Z72</f>
        <v>362230.99</v>
      </c>
      <c r="AB72" s="1795">
        <v>522.42999999999995</v>
      </c>
      <c r="AC72" s="1795">
        <v>-15381.439999999999</v>
      </c>
      <c r="AD72" s="1891">
        <f>IFERROR(AA72/AB72,"n/a")</f>
        <v>693.35794269088683</v>
      </c>
      <c r="AE72" s="1891">
        <f>IFERROR(AA72/AC72,"n/a")</f>
        <v>-23.549875044209127</v>
      </c>
      <c r="AF72" s="1903">
        <f>+P72-X72</f>
        <v>0</v>
      </c>
      <c r="AG72" s="1814"/>
    </row>
    <row r="73" spans="1:73" s="1827" customFormat="1" ht="13.5" customHeight="1">
      <c r="A73" s="1814"/>
      <c r="B73" s="1827" t="s">
        <v>1927</v>
      </c>
      <c r="C73" s="1829" t="s">
        <v>1928</v>
      </c>
      <c r="D73" s="1830" t="s">
        <v>583</v>
      </c>
      <c r="E73" s="1789" t="s">
        <v>1929</v>
      </c>
      <c r="F73" s="1870">
        <v>42852</v>
      </c>
      <c r="G73" s="1871">
        <v>13</v>
      </c>
      <c r="H73" s="1808">
        <v>13</v>
      </c>
      <c r="I73" s="1808">
        <v>16</v>
      </c>
      <c r="J73" s="1871">
        <v>12.67601</v>
      </c>
      <c r="K73" s="1873">
        <f t="shared" si="27"/>
        <v>20424.460999999999</v>
      </c>
      <c r="L73" s="1874">
        <v>4500</v>
      </c>
      <c r="M73" s="1874">
        <v>24924.460999999999</v>
      </c>
      <c r="N73" s="1875">
        <f t="shared" si="28"/>
        <v>265517.99300000002</v>
      </c>
      <c r="O73" s="1874">
        <f t="shared" si="29"/>
        <v>58500</v>
      </c>
      <c r="P73" s="1875">
        <f t="shared" si="30"/>
        <v>324017.99300000002</v>
      </c>
      <c r="Q73" s="1788"/>
      <c r="R73" s="1785">
        <v>1</v>
      </c>
      <c r="S73" s="1808">
        <f t="shared" si="31"/>
        <v>12.67601</v>
      </c>
      <c r="T73" s="1808">
        <f t="shared" si="32"/>
        <v>315942.71688060998</v>
      </c>
      <c r="U73" s="1785">
        <f t="shared" si="33"/>
        <v>-2.4922307692307855E-2</v>
      </c>
      <c r="V73" s="1813" t="s">
        <v>1930</v>
      </c>
      <c r="W73" s="1785" t="s">
        <v>1931</v>
      </c>
      <c r="X73" s="1810">
        <f t="shared" si="34"/>
        <v>324017.99300000002</v>
      </c>
      <c r="Y73" s="1795"/>
      <c r="Z73" s="1890"/>
      <c r="AA73" s="1797"/>
      <c r="AB73" s="1901"/>
      <c r="AC73" s="1795"/>
      <c r="AD73" s="1891"/>
      <c r="AE73" s="1891"/>
      <c r="AF73" s="1813"/>
      <c r="AG73" s="1814"/>
      <c r="AK73" s="1813"/>
      <c r="AL73" s="1828"/>
      <c r="AM73" s="1814"/>
    </row>
    <row r="74" spans="1:73" s="1827" customFormat="1" ht="13.5" customHeight="1">
      <c r="A74" s="1814"/>
      <c r="B74" s="1827" t="s">
        <v>1511</v>
      </c>
      <c r="C74" s="1829" t="s">
        <v>1512</v>
      </c>
      <c r="D74" s="1830" t="s">
        <v>1098</v>
      </c>
      <c r="E74" s="1789" t="s">
        <v>1513</v>
      </c>
      <c r="F74" s="1870">
        <v>42761</v>
      </c>
      <c r="G74" s="1871">
        <v>16</v>
      </c>
      <c r="H74" s="1808">
        <v>13</v>
      </c>
      <c r="I74" s="1808">
        <v>15</v>
      </c>
      <c r="J74" s="1871">
        <v>19.84</v>
      </c>
      <c r="K74" s="1873">
        <f t="shared" si="27"/>
        <v>24802.026000000002</v>
      </c>
      <c r="L74" s="1874">
        <f>5360000/1000</f>
        <v>5360</v>
      </c>
      <c r="M74" s="1874">
        <f>30162026/1000</f>
        <v>30162.026000000002</v>
      </c>
      <c r="N74" s="1875">
        <f t="shared" si="28"/>
        <v>396832.41600000003</v>
      </c>
      <c r="O74" s="1874">
        <f t="shared" si="29"/>
        <v>85760</v>
      </c>
      <c r="P74" s="1875">
        <f t="shared" si="30"/>
        <v>482592.41600000003</v>
      </c>
      <c r="Q74" s="1788"/>
      <c r="R74" s="1785">
        <v>1</v>
      </c>
      <c r="S74" s="1808">
        <f t="shared" si="31"/>
        <v>19.84</v>
      </c>
      <c r="T74" s="1808">
        <f t="shared" si="32"/>
        <v>598414.59584000008</v>
      </c>
      <c r="U74" s="1785">
        <f t="shared" si="33"/>
        <v>0.24</v>
      </c>
      <c r="V74" s="1813" t="s">
        <v>1513</v>
      </c>
      <c r="W74" s="1785" t="s">
        <v>1814</v>
      </c>
      <c r="X74" s="1810">
        <f t="shared" si="34"/>
        <v>482592.41600000003</v>
      </c>
      <c r="Y74" s="1810">
        <v>0</v>
      </c>
      <c r="Z74" s="1810">
        <v>89317</v>
      </c>
      <c r="AA74" s="1797">
        <f t="shared" ref="AA74:AA95" si="35">X74+Y74-Z74</f>
        <v>393275.41600000003</v>
      </c>
      <c r="AB74" s="1795">
        <v>0</v>
      </c>
      <c r="AC74" s="1837">
        <v>-40216</v>
      </c>
      <c r="AD74" s="1812" t="str">
        <f t="shared" ref="AD74:AD95" si="36">IFERROR(AA74/AB74,"n/a")</f>
        <v>n/a</v>
      </c>
      <c r="AE74" s="1812">
        <f t="shared" ref="AE74:AE95" si="37">IFERROR(AA74/AC74,"n/a")</f>
        <v>-9.779078376765467</v>
      </c>
      <c r="AF74" s="1813">
        <f t="shared" ref="AF74:AF95" si="38">+P74-X74</f>
        <v>0</v>
      </c>
      <c r="AG74" s="1814"/>
      <c r="AJ74" s="1813"/>
      <c r="AK74" s="1828"/>
      <c r="AL74" s="1814"/>
    </row>
    <row r="75" spans="1:73" s="1814" customFormat="1" ht="13.5" customHeight="1">
      <c r="B75" s="1827" t="s">
        <v>1514</v>
      </c>
      <c r="C75" s="1829" t="s">
        <v>1515</v>
      </c>
      <c r="D75" s="1830" t="s">
        <v>583</v>
      </c>
      <c r="E75" s="1789" t="s">
        <v>1516</v>
      </c>
      <c r="F75" s="1870">
        <v>42760</v>
      </c>
      <c r="G75" s="1871">
        <v>15</v>
      </c>
      <c r="H75" s="1808">
        <v>14</v>
      </c>
      <c r="I75" s="1808">
        <v>16</v>
      </c>
      <c r="J75" s="1871">
        <v>24.6</v>
      </c>
      <c r="K75" s="1873">
        <f t="shared" si="27"/>
        <v>14159.332999999999</v>
      </c>
      <c r="L75" s="1874">
        <f>4000000/1000</f>
        <v>4000</v>
      </c>
      <c r="M75" s="1874">
        <f>18159333/1000</f>
        <v>18159.332999999999</v>
      </c>
      <c r="N75" s="1875">
        <f t="shared" si="28"/>
        <v>212389.995</v>
      </c>
      <c r="O75" s="1874">
        <f t="shared" si="29"/>
        <v>60000</v>
      </c>
      <c r="P75" s="1875">
        <f t="shared" si="30"/>
        <v>272389.995</v>
      </c>
      <c r="Q75" s="1788"/>
      <c r="R75" s="1785">
        <v>1</v>
      </c>
      <c r="S75" s="1808">
        <f t="shared" si="31"/>
        <v>24.6</v>
      </c>
      <c r="T75" s="1808">
        <f t="shared" si="32"/>
        <v>446719.59179999999</v>
      </c>
      <c r="U75" s="1785">
        <f t="shared" si="33"/>
        <v>0.6399999999999999</v>
      </c>
      <c r="V75" s="1813" t="s">
        <v>1517</v>
      </c>
      <c r="W75" s="1785" t="s">
        <v>1815</v>
      </c>
      <c r="X75" s="1810">
        <f t="shared" si="34"/>
        <v>272389.995</v>
      </c>
      <c r="Y75" s="1810">
        <v>4983000</v>
      </c>
      <c r="Z75" s="1810">
        <v>47134</v>
      </c>
      <c r="AA75" s="1797">
        <f t="shared" si="35"/>
        <v>5208255.9950000001</v>
      </c>
      <c r="AB75" s="1795">
        <v>19308</v>
      </c>
      <c r="AC75" s="1837">
        <v>-2817</v>
      </c>
      <c r="AD75" s="1812">
        <f t="shared" si="36"/>
        <v>269.74601175678475</v>
      </c>
      <c r="AE75" s="1812">
        <f t="shared" si="37"/>
        <v>-1848.8661679091233</v>
      </c>
      <c r="AF75" s="1813">
        <f t="shared" si="38"/>
        <v>0</v>
      </c>
    </row>
    <row r="76" spans="1:73" s="1814" customFormat="1" ht="13.5" customHeight="1">
      <c r="B76" s="1827" t="s">
        <v>993</v>
      </c>
      <c r="C76" s="1829" t="s">
        <v>994</v>
      </c>
      <c r="D76" s="1830" t="s">
        <v>583</v>
      </c>
      <c r="E76" s="1789" t="s">
        <v>995</v>
      </c>
      <c r="F76" s="1870">
        <v>42668</v>
      </c>
      <c r="G76" s="1871">
        <v>13</v>
      </c>
      <c r="H76" s="1808">
        <v>12</v>
      </c>
      <c r="I76" s="1808">
        <v>14</v>
      </c>
      <c r="J76" s="1871">
        <v>13.14</v>
      </c>
      <c r="K76" s="1873">
        <f t="shared" si="27"/>
        <v>14439.55</v>
      </c>
      <c r="L76" s="1874">
        <v>7049.23</v>
      </c>
      <c r="M76" s="1874">
        <v>21488.78</v>
      </c>
      <c r="N76" s="1875">
        <f t="shared" si="28"/>
        <v>187714.15</v>
      </c>
      <c r="O76" s="1874">
        <f t="shared" si="29"/>
        <v>91639.989999999991</v>
      </c>
      <c r="P76" s="1875">
        <f t="shared" si="30"/>
        <v>279354.14</v>
      </c>
      <c r="Q76" s="1788"/>
      <c r="R76" s="1785">
        <v>1</v>
      </c>
      <c r="S76" s="1808">
        <f t="shared" si="31"/>
        <v>13.14</v>
      </c>
      <c r="T76" s="1808">
        <f t="shared" si="32"/>
        <v>282362.56919999997</v>
      </c>
      <c r="U76" s="1785">
        <f t="shared" si="33"/>
        <v>1.0769230769230642E-2</v>
      </c>
      <c r="V76" s="1813" t="s">
        <v>996</v>
      </c>
      <c r="W76" s="1785" t="s">
        <v>997</v>
      </c>
      <c r="X76" s="1810">
        <f t="shared" si="34"/>
        <v>279354.14</v>
      </c>
      <c r="Y76" s="1810">
        <v>0</v>
      </c>
      <c r="Z76" s="1810">
        <v>40246</v>
      </c>
      <c r="AA76" s="1797">
        <f t="shared" si="35"/>
        <v>239108.14</v>
      </c>
      <c r="AB76" s="1795">
        <v>6845</v>
      </c>
      <c r="AC76" s="1837">
        <v>-15697</v>
      </c>
      <c r="AD76" s="1812">
        <f t="shared" si="36"/>
        <v>34.931795471146827</v>
      </c>
      <c r="AE76" s="1812">
        <f t="shared" si="37"/>
        <v>-15.232728546856087</v>
      </c>
      <c r="AF76" s="1813">
        <f t="shared" si="38"/>
        <v>0</v>
      </c>
    </row>
    <row r="77" spans="1:73" s="1814" customFormat="1" ht="13.5" customHeight="1">
      <c r="B77" s="1827" t="s">
        <v>999</v>
      </c>
      <c r="C77" s="1829" t="s">
        <v>1000</v>
      </c>
      <c r="D77" s="1830" t="s">
        <v>1518</v>
      </c>
      <c r="E77" s="1789" t="s">
        <v>1001</v>
      </c>
      <c r="F77" s="1870">
        <v>42654</v>
      </c>
      <c r="G77" s="1871">
        <v>5.5</v>
      </c>
      <c r="H77" s="1808">
        <v>6</v>
      </c>
      <c r="I77" s="1808">
        <v>8</v>
      </c>
      <c r="J77" s="1871">
        <v>4.74</v>
      </c>
      <c r="K77" s="1873">
        <f t="shared" si="27"/>
        <v>8671.0879999999997</v>
      </c>
      <c r="L77" s="1874">
        <v>960</v>
      </c>
      <c r="M77" s="1874">
        <v>9631.0879999999997</v>
      </c>
      <c r="N77" s="1875">
        <f t="shared" si="28"/>
        <v>47690.983999999997</v>
      </c>
      <c r="O77" s="1874">
        <f t="shared" si="29"/>
        <v>5280</v>
      </c>
      <c r="P77" s="1875">
        <f t="shared" si="30"/>
        <v>52970.983999999997</v>
      </c>
      <c r="Q77" s="1788"/>
      <c r="R77" s="1785">
        <v>1</v>
      </c>
      <c r="S77" s="1808">
        <f t="shared" si="31"/>
        <v>4.74</v>
      </c>
      <c r="T77" s="1808">
        <f t="shared" si="32"/>
        <v>45651.357120000001</v>
      </c>
      <c r="U77" s="1785">
        <f t="shared" si="33"/>
        <v>-0.13818181818181807</v>
      </c>
      <c r="V77" s="1813" t="s">
        <v>1002</v>
      </c>
      <c r="W77" s="1785" t="s">
        <v>1003</v>
      </c>
      <c r="X77" s="1810">
        <f t="shared" si="34"/>
        <v>52970.983999999997</v>
      </c>
      <c r="Y77" s="1810">
        <v>9242640</v>
      </c>
      <c r="Z77" s="1810">
        <v>1354.64</v>
      </c>
      <c r="AA77" s="1797">
        <f t="shared" si="35"/>
        <v>9294256.3439999986</v>
      </c>
      <c r="AB77" s="1795">
        <v>0</v>
      </c>
      <c r="AC77" s="1837">
        <v>-4114.3599999999997</v>
      </c>
      <c r="AD77" s="1812" t="str">
        <f t="shared" si="36"/>
        <v>n/a</v>
      </c>
      <c r="AE77" s="1812">
        <f t="shared" si="37"/>
        <v>-2258.9798520304494</v>
      </c>
      <c r="AF77" s="1813">
        <f t="shared" si="38"/>
        <v>0</v>
      </c>
    </row>
    <row r="78" spans="1:73" s="1814" customFormat="1" ht="13.5" customHeight="1">
      <c r="B78" s="1827" t="s">
        <v>1009</v>
      </c>
      <c r="C78" s="1829" t="s">
        <v>1010</v>
      </c>
      <c r="D78" s="1830" t="s">
        <v>583</v>
      </c>
      <c r="E78" s="1789" t="s">
        <v>1011</v>
      </c>
      <c r="F78" s="1870">
        <v>42592</v>
      </c>
      <c r="G78" s="1871">
        <v>12</v>
      </c>
      <c r="H78" s="1808">
        <v>11</v>
      </c>
      <c r="I78" s="1808">
        <v>13</v>
      </c>
      <c r="J78" s="1871">
        <v>12.4</v>
      </c>
      <c r="K78" s="1873">
        <f t="shared" si="27"/>
        <v>8823.5509999999995</v>
      </c>
      <c r="L78" s="1874">
        <v>7500</v>
      </c>
      <c r="M78" s="1874">
        <v>16323.550999999999</v>
      </c>
      <c r="N78" s="1875">
        <f t="shared" si="28"/>
        <v>105882.61199999999</v>
      </c>
      <c r="O78" s="1874">
        <f t="shared" si="29"/>
        <v>90000</v>
      </c>
      <c r="P78" s="1875">
        <f t="shared" si="30"/>
        <v>195882.61199999999</v>
      </c>
      <c r="Q78" s="1788"/>
      <c r="R78" s="1785">
        <v>1</v>
      </c>
      <c r="S78" s="1808">
        <f t="shared" si="31"/>
        <v>12.4</v>
      </c>
      <c r="T78" s="1808">
        <f t="shared" si="32"/>
        <v>202412.0324</v>
      </c>
      <c r="U78" s="1785">
        <f t="shared" si="33"/>
        <v>3.3333333333333437E-2</v>
      </c>
      <c r="V78" s="1813" t="s">
        <v>1012</v>
      </c>
      <c r="W78" s="1785" t="s">
        <v>1013</v>
      </c>
      <c r="X78" s="1810">
        <f t="shared" si="34"/>
        <v>195882.61199999999</v>
      </c>
      <c r="Y78" s="1810">
        <v>0</v>
      </c>
      <c r="Z78" s="1810">
        <v>28629</v>
      </c>
      <c r="AA78" s="1797">
        <f t="shared" si="35"/>
        <v>167253.61199999999</v>
      </c>
      <c r="AB78" s="1795">
        <v>0</v>
      </c>
      <c r="AC78" s="1837">
        <v>-22858</v>
      </c>
      <c r="AD78" s="1812" t="str">
        <f t="shared" si="36"/>
        <v>n/a</v>
      </c>
      <c r="AE78" s="1812">
        <f t="shared" si="37"/>
        <v>-7.3170711348324433</v>
      </c>
      <c r="AF78" s="1813">
        <f t="shared" si="38"/>
        <v>0</v>
      </c>
    </row>
    <row r="79" spans="1:73" s="1814" customFormat="1" ht="13.5" customHeight="1">
      <c r="B79" s="1827" t="s">
        <v>908</v>
      </c>
      <c r="C79" s="1829" t="s">
        <v>906</v>
      </c>
      <c r="D79" s="1830" t="s">
        <v>583</v>
      </c>
      <c r="E79" s="1789" t="s">
        <v>1025</v>
      </c>
      <c r="F79" s="1870">
        <v>42550</v>
      </c>
      <c r="G79" s="1871">
        <v>12.5</v>
      </c>
      <c r="H79" s="1808">
        <v>14</v>
      </c>
      <c r="I79" s="1808">
        <v>16</v>
      </c>
      <c r="J79" s="1871">
        <v>11.58</v>
      </c>
      <c r="K79" s="1873">
        <f t="shared" si="27"/>
        <v>18760.161</v>
      </c>
      <c r="L79" s="1874">
        <v>4000</v>
      </c>
      <c r="M79" s="1874">
        <v>22760.161</v>
      </c>
      <c r="N79" s="1875">
        <f t="shared" si="28"/>
        <v>234502.01250000001</v>
      </c>
      <c r="O79" s="1874">
        <f t="shared" si="29"/>
        <v>50000</v>
      </c>
      <c r="P79" s="1875">
        <f t="shared" si="30"/>
        <v>284502.01250000001</v>
      </c>
      <c r="Q79" s="1788"/>
      <c r="R79" s="1785">
        <v>1</v>
      </c>
      <c r="S79" s="1808">
        <f t="shared" si="31"/>
        <v>11.58</v>
      </c>
      <c r="T79" s="1808">
        <f t="shared" si="32"/>
        <v>263562.66438000003</v>
      </c>
      <c r="U79" s="1785">
        <f t="shared" si="33"/>
        <v>-7.3599999999999888E-2</v>
      </c>
      <c r="V79" s="1813" t="s">
        <v>907</v>
      </c>
      <c r="W79" s="1785" t="s">
        <v>909</v>
      </c>
      <c r="X79" s="1810">
        <f t="shared" si="34"/>
        <v>284502.01250000001</v>
      </c>
      <c r="Y79" s="1810">
        <v>322000</v>
      </c>
      <c r="Z79" s="1810">
        <v>62133</v>
      </c>
      <c r="AA79" s="1797">
        <f t="shared" si="35"/>
        <v>544369.01249999995</v>
      </c>
      <c r="AB79" s="1795">
        <v>0</v>
      </c>
      <c r="AC79" s="1837">
        <v>-40816</v>
      </c>
      <c r="AD79" s="1812" t="str">
        <f t="shared" si="36"/>
        <v>n/a</v>
      </c>
      <c r="AE79" s="1812">
        <f t="shared" si="37"/>
        <v>-13.337147503430026</v>
      </c>
      <c r="AF79" s="1813">
        <f t="shared" si="38"/>
        <v>0</v>
      </c>
    </row>
    <row r="80" spans="1:73" s="1814" customFormat="1" ht="13.5" customHeight="1">
      <c r="B80" s="1827" t="s">
        <v>1026</v>
      </c>
      <c r="C80" s="1829" t="s">
        <v>1027</v>
      </c>
      <c r="D80" s="1830" t="s">
        <v>583</v>
      </c>
      <c r="E80" s="1789" t="s">
        <v>1028</v>
      </c>
      <c r="F80" s="1870">
        <v>42542</v>
      </c>
      <c r="G80" s="1871">
        <v>14</v>
      </c>
      <c r="H80" s="1808">
        <v>14</v>
      </c>
      <c r="I80" s="1808">
        <v>16</v>
      </c>
      <c r="J80" s="1871">
        <v>13.77</v>
      </c>
      <c r="K80" s="1873">
        <f t="shared" si="27"/>
        <v>12899.585999999999</v>
      </c>
      <c r="L80" s="1874">
        <v>5000</v>
      </c>
      <c r="M80" s="1874">
        <v>17899.585999999999</v>
      </c>
      <c r="N80" s="1875">
        <f t="shared" si="28"/>
        <v>180594.204</v>
      </c>
      <c r="O80" s="1874">
        <f t="shared" si="29"/>
        <v>70000</v>
      </c>
      <c r="P80" s="1875">
        <f t="shared" si="30"/>
        <v>250594.204</v>
      </c>
      <c r="Q80" s="1788"/>
      <c r="R80" s="1785">
        <v>1</v>
      </c>
      <c r="S80" s="1808">
        <f t="shared" si="31"/>
        <v>13.77</v>
      </c>
      <c r="T80" s="1808">
        <f t="shared" si="32"/>
        <v>246477.29921999999</v>
      </c>
      <c r="U80" s="1785">
        <f t="shared" si="33"/>
        <v>-1.6428571428571459E-2</v>
      </c>
      <c r="V80" s="1813" t="s">
        <v>1029</v>
      </c>
      <c r="W80" s="1785" t="s">
        <v>1030</v>
      </c>
      <c r="X80" s="1810">
        <f t="shared" si="34"/>
        <v>250594.204</v>
      </c>
      <c r="Y80" s="1810">
        <v>11842000</v>
      </c>
      <c r="Z80" s="1810">
        <v>17051</v>
      </c>
      <c r="AA80" s="1797">
        <f t="shared" si="35"/>
        <v>12075543.204</v>
      </c>
      <c r="AB80" s="1795">
        <v>7846</v>
      </c>
      <c r="AC80" s="1837">
        <v>-25757</v>
      </c>
      <c r="AD80" s="1812">
        <f t="shared" si="36"/>
        <v>1539.0699979607443</v>
      </c>
      <c r="AE80" s="1812">
        <f t="shared" si="37"/>
        <v>-468.825686376519</v>
      </c>
      <c r="AF80" s="1813">
        <f t="shared" si="38"/>
        <v>0</v>
      </c>
    </row>
    <row r="81" spans="1:42" s="1814" customFormat="1" ht="13.5" customHeight="1">
      <c r="B81" s="1827" t="s">
        <v>1041</v>
      </c>
      <c r="C81" s="1829" t="s">
        <v>1042</v>
      </c>
      <c r="D81" s="1830" t="s">
        <v>1098</v>
      </c>
      <c r="E81" s="1789" t="s">
        <v>1043</v>
      </c>
      <c r="F81" s="1870">
        <v>42508</v>
      </c>
      <c r="G81" s="1871">
        <v>10</v>
      </c>
      <c r="H81" s="1808">
        <v>14</v>
      </c>
      <c r="I81" s="1808">
        <v>16</v>
      </c>
      <c r="J81" s="1871">
        <v>9.1691500000000001</v>
      </c>
      <c r="K81" s="1873">
        <f t="shared" si="27"/>
        <v>8740.4410000000007</v>
      </c>
      <c r="L81" s="1874">
        <v>5500</v>
      </c>
      <c r="M81" s="1874">
        <v>14240.441000000001</v>
      </c>
      <c r="N81" s="1875">
        <f t="shared" si="28"/>
        <v>87404.41</v>
      </c>
      <c r="O81" s="1874">
        <f t="shared" si="29"/>
        <v>55000</v>
      </c>
      <c r="P81" s="1875">
        <f t="shared" si="30"/>
        <v>142404.41</v>
      </c>
      <c r="Q81" s="1788"/>
      <c r="R81" s="1785">
        <v>1</v>
      </c>
      <c r="S81" s="1808">
        <f t="shared" si="31"/>
        <v>9.1691500000000001</v>
      </c>
      <c r="T81" s="1808">
        <f t="shared" si="32"/>
        <v>130572.73959515001</v>
      </c>
      <c r="U81" s="1785">
        <f t="shared" si="33"/>
        <v>-8.3084999999999964E-2</v>
      </c>
      <c r="V81" s="1813" t="s">
        <v>1044</v>
      </c>
      <c r="W81" s="1785" t="s">
        <v>1045</v>
      </c>
      <c r="X81" s="1810">
        <f t="shared" si="34"/>
        <v>142404.41</v>
      </c>
      <c r="Y81" s="1810">
        <v>709200</v>
      </c>
      <c r="Z81" s="1810">
        <v>35678.519999999997</v>
      </c>
      <c r="AA81" s="1797">
        <f t="shared" si="35"/>
        <v>815925.89</v>
      </c>
      <c r="AB81" s="1795">
        <v>2951.86</v>
      </c>
      <c r="AC81" s="1837">
        <v>-22947.420000000002</v>
      </c>
      <c r="AD81" s="1812">
        <f t="shared" si="36"/>
        <v>276.41076812585965</v>
      </c>
      <c r="AE81" s="1812">
        <f t="shared" si="37"/>
        <v>-35.556323543125977</v>
      </c>
      <c r="AF81" s="1813">
        <f t="shared" si="38"/>
        <v>0</v>
      </c>
    </row>
    <row r="82" spans="1:42" s="1814" customFormat="1" ht="13.5" customHeight="1">
      <c r="B82" s="1827" t="s">
        <v>1047</v>
      </c>
      <c r="C82" s="1829" t="s">
        <v>1048</v>
      </c>
      <c r="D82" s="1830" t="s">
        <v>583</v>
      </c>
      <c r="E82" s="1789" t="s">
        <v>1049</v>
      </c>
      <c r="F82" s="1870">
        <v>42502</v>
      </c>
      <c r="G82" s="1871">
        <v>6</v>
      </c>
      <c r="H82" s="1808">
        <v>11</v>
      </c>
      <c r="I82" s="1808">
        <v>13</v>
      </c>
      <c r="J82" s="1871">
        <v>3.35</v>
      </c>
      <c r="K82" s="1873">
        <f t="shared" si="27"/>
        <v>16969.444</v>
      </c>
      <c r="L82" s="1874">
        <v>5833.3339999999998</v>
      </c>
      <c r="M82" s="1874">
        <v>22802.777999999998</v>
      </c>
      <c r="N82" s="1875">
        <f t="shared" si="28"/>
        <v>101816.66399999999</v>
      </c>
      <c r="O82" s="1874">
        <f t="shared" si="29"/>
        <v>35000.004000000001</v>
      </c>
      <c r="P82" s="1875">
        <f t="shared" si="30"/>
        <v>136816.66800000001</v>
      </c>
      <c r="Q82" s="1788"/>
      <c r="R82" s="1785">
        <v>1</v>
      </c>
      <c r="S82" s="1808">
        <f t="shared" si="31"/>
        <v>3.35</v>
      </c>
      <c r="T82" s="1808">
        <f t="shared" si="32"/>
        <v>76389.306299999997</v>
      </c>
      <c r="U82" s="1785">
        <f t="shared" si="33"/>
        <v>-0.44166666666666676</v>
      </c>
      <c r="V82" s="1813" t="s">
        <v>1050</v>
      </c>
      <c r="W82" s="1785" t="s">
        <v>1051</v>
      </c>
      <c r="X82" s="1810">
        <f t="shared" si="34"/>
        <v>136816.66800000001</v>
      </c>
      <c r="Y82" s="1810">
        <v>15488800</v>
      </c>
      <c r="Z82" s="1810">
        <v>5582.26</v>
      </c>
      <c r="AA82" s="1797">
        <f t="shared" si="35"/>
        <v>15620034.408</v>
      </c>
      <c r="AB82" s="1795">
        <v>2979.58</v>
      </c>
      <c r="AC82" s="1837">
        <v>-56013.52</v>
      </c>
      <c r="AD82" s="1812">
        <f t="shared" si="36"/>
        <v>5242.3611408319293</v>
      </c>
      <c r="AE82" s="1812">
        <f t="shared" si="37"/>
        <v>-278.86186063650348</v>
      </c>
      <c r="AF82" s="1813">
        <f t="shared" si="38"/>
        <v>0</v>
      </c>
      <c r="AK82" s="1813"/>
      <c r="AL82" s="1828"/>
    </row>
    <row r="83" spans="1:42" s="1827" customFormat="1" ht="13.5" customHeight="1">
      <c r="A83" s="1814"/>
      <c r="B83" s="1827" t="s">
        <v>968</v>
      </c>
      <c r="C83" s="1829" t="s">
        <v>1062</v>
      </c>
      <c r="D83" s="1830" t="s">
        <v>1063</v>
      </c>
      <c r="E83" s="1789" t="s">
        <v>1064</v>
      </c>
      <c r="F83" s="1870">
        <v>42451</v>
      </c>
      <c r="G83" s="1871">
        <v>15</v>
      </c>
      <c r="H83" s="1808">
        <v>15</v>
      </c>
      <c r="I83" s="1808">
        <v>17</v>
      </c>
      <c r="J83" s="1871">
        <v>15.13</v>
      </c>
      <c r="K83" s="1873">
        <f t="shared" si="27"/>
        <v>15706.356</v>
      </c>
      <c r="L83" s="1874">
        <v>4700</v>
      </c>
      <c r="M83" s="1874">
        <v>20406.356</v>
      </c>
      <c r="N83" s="1875">
        <f t="shared" si="28"/>
        <v>235595.34</v>
      </c>
      <c r="O83" s="1874">
        <f t="shared" si="29"/>
        <v>70500</v>
      </c>
      <c r="P83" s="1875">
        <f t="shared" si="30"/>
        <v>306095.33999999997</v>
      </c>
      <c r="Q83" s="1788"/>
      <c r="R83" s="1785">
        <v>1</v>
      </c>
      <c r="S83" s="1808">
        <f t="shared" si="31"/>
        <v>15.13</v>
      </c>
      <c r="T83" s="1808">
        <f t="shared" si="32"/>
        <v>308748.16628</v>
      </c>
      <c r="U83" s="1785">
        <f t="shared" si="33"/>
        <v>8.6666666666668224E-3</v>
      </c>
      <c r="V83" s="1813" t="s">
        <v>1065</v>
      </c>
      <c r="W83" s="1785" t="s">
        <v>1066</v>
      </c>
      <c r="X83" s="1810">
        <f t="shared" si="34"/>
        <v>306095.33999999997</v>
      </c>
      <c r="Y83" s="1810">
        <v>0</v>
      </c>
      <c r="Z83" s="1810">
        <v>0</v>
      </c>
      <c r="AA83" s="1797">
        <f t="shared" si="35"/>
        <v>306095.33999999997</v>
      </c>
      <c r="AB83" s="1795">
        <v>0</v>
      </c>
      <c r="AC83" s="1837">
        <v>-24113</v>
      </c>
      <c r="AD83" s="1812" t="str">
        <f t="shared" si="36"/>
        <v>n/a</v>
      </c>
      <c r="AE83" s="1812">
        <f t="shared" si="37"/>
        <v>-12.69420395637208</v>
      </c>
      <c r="AF83" s="1813">
        <f t="shared" si="38"/>
        <v>0</v>
      </c>
      <c r="AG83" s="1814"/>
      <c r="AK83" s="1813"/>
      <c r="AL83" s="1828"/>
      <c r="AM83" s="1814"/>
    </row>
    <row r="84" spans="1:42" s="1827" customFormat="1" ht="13.5" customHeight="1">
      <c r="A84" s="1814"/>
      <c r="B84" s="1827" t="s">
        <v>970</v>
      </c>
      <c r="C84" s="1828" t="s">
        <v>1067</v>
      </c>
      <c r="D84" s="1829" t="s">
        <v>1174</v>
      </c>
      <c r="E84" s="1828" t="s">
        <v>1068</v>
      </c>
      <c r="F84" s="1870">
        <v>42431</v>
      </c>
      <c r="G84" s="1871">
        <v>12</v>
      </c>
      <c r="H84" s="1836">
        <v>14</v>
      </c>
      <c r="I84" s="1836">
        <v>16</v>
      </c>
      <c r="J84" s="1871">
        <v>13.11</v>
      </c>
      <c r="K84" s="1873">
        <f t="shared" si="27"/>
        <v>12972.674999999999</v>
      </c>
      <c r="L84" s="1874">
        <v>4400</v>
      </c>
      <c r="M84" s="1874">
        <v>17372.674999999999</v>
      </c>
      <c r="N84" s="1875">
        <f t="shared" si="28"/>
        <v>155672.09999999998</v>
      </c>
      <c r="O84" s="1874">
        <f t="shared" si="29"/>
        <v>52800</v>
      </c>
      <c r="P84" s="1875">
        <f t="shared" si="30"/>
        <v>208472.09999999998</v>
      </c>
      <c r="Q84" s="1788"/>
      <c r="R84" s="1785">
        <v>1</v>
      </c>
      <c r="S84" s="1789">
        <f t="shared" si="31"/>
        <v>13.11</v>
      </c>
      <c r="T84" s="1833">
        <f t="shared" si="32"/>
        <v>227755.76924999998</v>
      </c>
      <c r="U84" s="1834">
        <f t="shared" si="33"/>
        <v>9.2500000000000027E-2</v>
      </c>
      <c r="V84" s="1831" t="s">
        <v>1069</v>
      </c>
      <c r="W84" s="1832" t="s">
        <v>1070</v>
      </c>
      <c r="X84" s="1810">
        <f t="shared" si="34"/>
        <v>208472.09999999998</v>
      </c>
      <c r="Y84" s="1810">
        <v>0</v>
      </c>
      <c r="Z84" s="1810">
        <v>23179</v>
      </c>
      <c r="AA84" s="1797">
        <f t="shared" si="35"/>
        <v>185293.09999999998</v>
      </c>
      <c r="AB84" s="1795">
        <v>1220</v>
      </c>
      <c r="AC84" s="1837">
        <v>-27113</v>
      </c>
      <c r="AD84" s="1812">
        <f t="shared" si="36"/>
        <v>151.87959016393441</v>
      </c>
      <c r="AE84" s="1812">
        <f t="shared" si="37"/>
        <v>-6.8341054106885988</v>
      </c>
      <c r="AF84" s="1813">
        <f t="shared" si="38"/>
        <v>0</v>
      </c>
      <c r="AG84" s="1814"/>
      <c r="AK84" s="1813"/>
      <c r="AL84" s="1828"/>
      <c r="AM84" s="1814"/>
    </row>
    <row r="85" spans="1:42" s="1827" customFormat="1" ht="13.5" customHeight="1">
      <c r="A85" s="1814"/>
      <c r="B85" s="1827" t="s">
        <v>1071</v>
      </c>
      <c r="C85" s="1828" t="s">
        <v>1072</v>
      </c>
      <c r="D85" s="1829" t="s">
        <v>583</v>
      </c>
      <c r="E85" s="1828" t="s">
        <v>1073</v>
      </c>
      <c r="F85" s="1870">
        <v>42410</v>
      </c>
      <c r="G85" s="1871">
        <v>20</v>
      </c>
      <c r="H85" s="1836">
        <v>19</v>
      </c>
      <c r="I85" s="1836">
        <v>21</v>
      </c>
      <c r="J85" s="1871">
        <v>21.15</v>
      </c>
      <c r="K85" s="1873">
        <f t="shared" si="27"/>
        <v>17650.57</v>
      </c>
      <c r="L85" s="1874">
        <v>4750</v>
      </c>
      <c r="M85" s="1874">
        <v>22400.57</v>
      </c>
      <c r="N85" s="1875">
        <f t="shared" si="28"/>
        <v>353011.4</v>
      </c>
      <c r="O85" s="1874">
        <f t="shared" si="29"/>
        <v>95000</v>
      </c>
      <c r="P85" s="1875">
        <f t="shared" si="30"/>
        <v>448011.4</v>
      </c>
      <c r="Q85" s="1788"/>
      <c r="R85" s="1785">
        <v>1</v>
      </c>
      <c r="S85" s="1789">
        <f t="shared" si="31"/>
        <v>21.15</v>
      </c>
      <c r="T85" s="1833">
        <f t="shared" si="32"/>
        <v>473772.05549999996</v>
      </c>
      <c r="U85" s="1834">
        <f t="shared" si="33"/>
        <v>5.7499999999999885E-2</v>
      </c>
      <c r="V85" s="1831" t="s">
        <v>1074</v>
      </c>
      <c r="W85" s="1832" t="s">
        <v>1075</v>
      </c>
      <c r="X85" s="1810">
        <f t="shared" si="34"/>
        <v>448011.4</v>
      </c>
      <c r="Y85" s="1810">
        <v>0</v>
      </c>
      <c r="Z85" s="1810">
        <v>69706.460000000006</v>
      </c>
      <c r="AA85" s="1797">
        <f t="shared" si="35"/>
        <v>378304.94</v>
      </c>
      <c r="AB85" s="1795">
        <v>0</v>
      </c>
      <c r="AC85" s="1837">
        <v>-59309.03</v>
      </c>
      <c r="AD85" s="1812" t="str">
        <f t="shared" si="36"/>
        <v>n/a</v>
      </c>
      <c r="AE85" s="1812">
        <f t="shared" si="37"/>
        <v>-6.3785386474875754</v>
      </c>
      <c r="AF85" s="1813">
        <f t="shared" si="38"/>
        <v>0</v>
      </c>
      <c r="AG85" s="1814"/>
      <c r="AK85" s="1813"/>
      <c r="AL85" s="1828"/>
      <c r="AM85" s="1814"/>
    </row>
    <row r="86" spans="1:42" s="1827" customFormat="1" ht="13.5" customHeight="1">
      <c r="A86" s="1814"/>
      <c r="B86" s="1827" t="s">
        <v>798</v>
      </c>
      <c r="C86" s="1828" t="s">
        <v>1087</v>
      </c>
      <c r="D86" s="1829" t="s">
        <v>568</v>
      </c>
      <c r="E86" s="1828" t="s">
        <v>1088</v>
      </c>
      <c r="F86" s="1870">
        <v>42318</v>
      </c>
      <c r="G86" s="1871">
        <v>14</v>
      </c>
      <c r="H86" s="1836">
        <v>15</v>
      </c>
      <c r="I86" s="1836">
        <v>17</v>
      </c>
      <c r="J86" s="1871">
        <v>23.72</v>
      </c>
      <c r="K86" s="1873">
        <f t="shared" si="27"/>
        <v>21034.71</v>
      </c>
      <c r="L86" s="1874">
        <v>5000</v>
      </c>
      <c r="M86" s="1874">
        <v>26034.71</v>
      </c>
      <c r="N86" s="1875">
        <f t="shared" si="28"/>
        <v>294485.94</v>
      </c>
      <c r="O86" s="1874">
        <f t="shared" si="29"/>
        <v>70000</v>
      </c>
      <c r="P86" s="1875">
        <f t="shared" si="30"/>
        <v>364485.94</v>
      </c>
      <c r="Q86" s="1788"/>
      <c r="R86" s="1785">
        <v>1</v>
      </c>
      <c r="S86" s="1789">
        <f t="shared" si="31"/>
        <v>23.72</v>
      </c>
      <c r="T86" s="1833">
        <f t="shared" si="32"/>
        <v>617543.32120000001</v>
      </c>
      <c r="U86" s="1834">
        <f t="shared" si="33"/>
        <v>0.69428571428571439</v>
      </c>
      <c r="V86" s="1831" t="s">
        <v>1089</v>
      </c>
      <c r="W86" s="1832" t="s">
        <v>1519</v>
      </c>
      <c r="X86" s="1810">
        <f t="shared" si="34"/>
        <v>364485.94</v>
      </c>
      <c r="Y86" s="1810">
        <v>0</v>
      </c>
      <c r="Z86" s="1810">
        <v>84748</v>
      </c>
      <c r="AA86" s="1797">
        <f t="shared" si="35"/>
        <v>279737.94</v>
      </c>
      <c r="AB86" s="1795">
        <v>18424</v>
      </c>
      <c r="AC86" s="1837">
        <v>-27932</v>
      </c>
      <c r="AD86" s="1812">
        <f t="shared" si="36"/>
        <v>15.183344550586192</v>
      </c>
      <c r="AE86" s="1812">
        <f t="shared" si="37"/>
        <v>-10.014962766719176</v>
      </c>
      <c r="AF86" s="1813">
        <f t="shared" si="38"/>
        <v>0</v>
      </c>
      <c r="AG86" s="1814"/>
      <c r="AH86" s="1813"/>
      <c r="AI86" s="1898"/>
      <c r="AJ86" s="1898"/>
      <c r="AK86" s="1813"/>
      <c r="AL86" s="1828"/>
      <c r="AM86" s="1814"/>
      <c r="AN86" s="1831"/>
      <c r="AO86" s="1900"/>
      <c r="AP86" s="1900"/>
    </row>
    <row r="87" spans="1:42" s="1827" customFormat="1" ht="13.5" customHeight="1">
      <c r="A87" s="1814"/>
      <c r="B87" s="1827" t="s">
        <v>1091</v>
      </c>
      <c r="C87" s="1828" t="s">
        <v>1092</v>
      </c>
      <c r="D87" s="1829" t="s">
        <v>583</v>
      </c>
      <c r="E87" s="1828" t="s">
        <v>1093</v>
      </c>
      <c r="F87" s="1870">
        <v>42305</v>
      </c>
      <c r="G87" s="1871">
        <v>10</v>
      </c>
      <c r="H87" s="1836">
        <v>15</v>
      </c>
      <c r="I87" s="1836">
        <v>17</v>
      </c>
      <c r="J87" s="1871">
        <v>12.4</v>
      </c>
      <c r="K87" s="1873">
        <f t="shared" si="27"/>
        <v>20805.473000000002</v>
      </c>
      <c r="L87" s="1874">
        <v>5437.5</v>
      </c>
      <c r="M87" s="1874">
        <v>26242.973000000002</v>
      </c>
      <c r="N87" s="1875">
        <f t="shared" si="28"/>
        <v>208054.73</v>
      </c>
      <c r="O87" s="1874">
        <f t="shared" si="29"/>
        <v>54375</v>
      </c>
      <c r="P87" s="1875">
        <f t="shared" si="30"/>
        <v>262429.73</v>
      </c>
      <c r="Q87" s="1788"/>
      <c r="R87" s="1785">
        <v>1</v>
      </c>
      <c r="S87" s="1789">
        <f t="shared" si="31"/>
        <v>12.4</v>
      </c>
      <c r="T87" s="1833">
        <f t="shared" si="32"/>
        <v>325412.86520000006</v>
      </c>
      <c r="U87" s="1834">
        <f t="shared" si="33"/>
        <v>0.24000000000000021</v>
      </c>
      <c r="V87" s="1831" t="s">
        <v>1094</v>
      </c>
      <c r="W87" s="1832" t="s">
        <v>1095</v>
      </c>
      <c r="X87" s="1810">
        <f t="shared" si="34"/>
        <v>262429.73</v>
      </c>
      <c r="Y87" s="1810">
        <v>0</v>
      </c>
      <c r="Z87" s="1810">
        <v>73076</v>
      </c>
      <c r="AA87" s="1797">
        <f t="shared" si="35"/>
        <v>189353.72999999998</v>
      </c>
      <c r="AB87" s="1795">
        <v>14199</v>
      </c>
      <c r="AC87" s="1837">
        <v>-30529</v>
      </c>
      <c r="AD87" s="1812">
        <f t="shared" si="36"/>
        <v>13.335708852736106</v>
      </c>
      <c r="AE87" s="1812">
        <f t="shared" si="37"/>
        <v>-6.2024216318909886</v>
      </c>
      <c r="AF87" s="1813">
        <f t="shared" si="38"/>
        <v>0</v>
      </c>
      <c r="AG87" s="1814"/>
      <c r="AH87" s="1813"/>
      <c r="AI87" s="1898"/>
      <c r="AJ87" s="1898"/>
      <c r="AK87" s="1813"/>
      <c r="AL87" s="1828"/>
      <c r="AM87" s="1814"/>
      <c r="AN87" s="1831"/>
      <c r="AO87" s="1900"/>
      <c r="AP87" s="1900"/>
    </row>
    <row r="88" spans="1:42" s="1827" customFormat="1" ht="13.5" customHeight="1">
      <c r="A88" s="1814"/>
      <c r="B88" s="1827" t="s">
        <v>1096</v>
      </c>
      <c r="C88" s="1828" t="s">
        <v>1097</v>
      </c>
      <c r="D88" s="1829" t="s">
        <v>583</v>
      </c>
      <c r="E88" s="1828" t="s">
        <v>1099</v>
      </c>
      <c r="F88" s="1870">
        <v>42298</v>
      </c>
      <c r="G88" s="1871">
        <v>13</v>
      </c>
      <c r="H88" s="1836">
        <v>14</v>
      </c>
      <c r="I88" s="1836">
        <v>16</v>
      </c>
      <c r="J88" s="1871">
        <v>13.45</v>
      </c>
      <c r="K88" s="1873">
        <f t="shared" si="27"/>
        <v>19379.574000000001</v>
      </c>
      <c r="L88" s="1874">
        <v>5500</v>
      </c>
      <c r="M88" s="1874">
        <v>24879.574000000001</v>
      </c>
      <c r="N88" s="1875">
        <f t="shared" si="28"/>
        <v>251934.462</v>
      </c>
      <c r="O88" s="1874">
        <f t="shared" si="29"/>
        <v>71500</v>
      </c>
      <c r="P88" s="1875">
        <f t="shared" si="30"/>
        <v>323434.462</v>
      </c>
      <c r="Q88" s="1788"/>
      <c r="R88" s="1785">
        <v>1</v>
      </c>
      <c r="S88" s="1789">
        <f t="shared" si="31"/>
        <v>13.45</v>
      </c>
      <c r="T88" s="1833">
        <f t="shared" si="32"/>
        <v>334630.27029999997</v>
      </c>
      <c r="U88" s="1834">
        <f t="shared" si="33"/>
        <v>3.4615384615384492E-2</v>
      </c>
      <c r="V88" s="1831" t="s">
        <v>1100</v>
      </c>
      <c r="W88" s="1832" t="s">
        <v>1101</v>
      </c>
      <c r="X88" s="1810">
        <f t="shared" si="34"/>
        <v>323434.462</v>
      </c>
      <c r="Y88" s="1810">
        <v>1615000</v>
      </c>
      <c r="Z88" s="1810">
        <v>80653</v>
      </c>
      <c r="AA88" s="1797">
        <f t="shared" si="35"/>
        <v>1857781.4620000001</v>
      </c>
      <c r="AB88" s="1795">
        <v>8991</v>
      </c>
      <c r="AC88" s="1837">
        <v>-40246</v>
      </c>
      <c r="AD88" s="1812">
        <f t="shared" si="36"/>
        <v>206.62678923367812</v>
      </c>
      <c r="AE88" s="1812">
        <f t="shared" si="37"/>
        <v>-46.160648561347713</v>
      </c>
      <c r="AF88" s="1813">
        <f t="shared" si="38"/>
        <v>0</v>
      </c>
      <c r="AG88" s="1814"/>
      <c r="AK88" s="1813"/>
      <c r="AL88" s="1828"/>
      <c r="AM88" s="1814"/>
    </row>
    <row r="89" spans="1:42" s="1827" customFormat="1" ht="13.5" customHeight="1">
      <c r="A89" s="1814"/>
      <c r="B89" s="1827" t="s">
        <v>1117</v>
      </c>
      <c r="C89" s="1828" t="s">
        <v>1118</v>
      </c>
      <c r="D89" s="1829" t="s">
        <v>583</v>
      </c>
      <c r="E89" s="1828" t="s">
        <v>1119</v>
      </c>
      <c r="F89" s="1870">
        <v>42277</v>
      </c>
      <c r="G89" s="1871">
        <v>7</v>
      </c>
      <c r="H89" s="1836">
        <v>13</v>
      </c>
      <c r="I89" s="1836">
        <v>15</v>
      </c>
      <c r="J89" s="1871">
        <v>5.78</v>
      </c>
      <c r="K89" s="1873">
        <f t="shared" si="27"/>
        <v>13806.725999999999</v>
      </c>
      <c r="L89" s="1874">
        <v>6250</v>
      </c>
      <c r="M89" s="1874">
        <v>20056.725999999999</v>
      </c>
      <c r="N89" s="1875">
        <f t="shared" si="28"/>
        <v>96647.081999999995</v>
      </c>
      <c r="O89" s="1874">
        <f t="shared" si="29"/>
        <v>43750</v>
      </c>
      <c r="P89" s="1875">
        <f t="shared" si="30"/>
        <v>140397.08199999999</v>
      </c>
      <c r="Q89" s="1788"/>
      <c r="R89" s="1785">
        <v>1</v>
      </c>
      <c r="S89" s="1789">
        <f t="shared" si="31"/>
        <v>5.78</v>
      </c>
      <c r="T89" s="1833">
        <f t="shared" si="32"/>
        <v>115927.87628</v>
      </c>
      <c r="U89" s="1834">
        <f t="shared" si="33"/>
        <v>-0.17428571428571427</v>
      </c>
      <c r="V89" s="1831" t="s">
        <v>1120</v>
      </c>
      <c r="W89" s="1832" t="s">
        <v>1520</v>
      </c>
      <c r="X89" s="1810">
        <f t="shared" si="34"/>
        <v>140397.08199999999</v>
      </c>
      <c r="Y89" s="1810">
        <v>0</v>
      </c>
      <c r="Z89" s="1810">
        <v>41579</v>
      </c>
      <c r="AA89" s="1797">
        <f t="shared" si="35"/>
        <v>98818.081999999995</v>
      </c>
      <c r="AB89" s="1795">
        <v>0</v>
      </c>
      <c r="AC89" s="1837">
        <v>-27374</v>
      </c>
      <c r="AD89" s="1812" t="str">
        <f t="shared" si="36"/>
        <v>n/a</v>
      </c>
      <c r="AE89" s="1812">
        <f t="shared" si="37"/>
        <v>-3.6099248191714763</v>
      </c>
      <c r="AF89" s="1813">
        <f t="shared" si="38"/>
        <v>0</v>
      </c>
      <c r="AG89" s="1814"/>
      <c r="AK89" s="1813"/>
      <c r="AL89" s="1828"/>
      <c r="AM89" s="1814"/>
    </row>
    <row r="90" spans="1:42" s="1827" customFormat="1" ht="13.5" customHeight="1">
      <c r="A90" s="1814"/>
      <c r="B90" s="1827" t="s">
        <v>1158</v>
      </c>
      <c r="C90" s="1828" t="s">
        <v>1159</v>
      </c>
      <c r="D90" s="1829" t="s">
        <v>1098</v>
      </c>
      <c r="E90" s="1828" t="s">
        <v>1160</v>
      </c>
      <c r="F90" s="1870">
        <v>42179</v>
      </c>
      <c r="G90" s="1871">
        <v>12</v>
      </c>
      <c r="H90" s="1836">
        <v>13</v>
      </c>
      <c r="I90" s="1836">
        <v>15</v>
      </c>
      <c r="J90" s="1871">
        <v>13.9</v>
      </c>
      <c r="K90" s="1873">
        <f t="shared" si="27"/>
        <v>9547.7960000000003</v>
      </c>
      <c r="L90" s="1874">
        <v>5000</v>
      </c>
      <c r="M90" s="1874">
        <v>14547.796</v>
      </c>
      <c r="N90" s="1875">
        <f t="shared" si="28"/>
        <v>114573.552</v>
      </c>
      <c r="O90" s="1874">
        <f t="shared" si="29"/>
        <v>60000</v>
      </c>
      <c r="P90" s="1875">
        <f t="shared" si="30"/>
        <v>174573.552</v>
      </c>
      <c r="Q90" s="1788"/>
      <c r="R90" s="1785">
        <v>1</v>
      </c>
      <c r="S90" s="1789">
        <f t="shared" si="31"/>
        <v>13.9</v>
      </c>
      <c r="T90" s="1833">
        <f t="shared" si="32"/>
        <v>202214.36440000002</v>
      </c>
      <c r="U90" s="1834">
        <f t="shared" si="33"/>
        <v>0.15833333333333344</v>
      </c>
      <c r="V90" s="1831" t="s">
        <v>1161</v>
      </c>
      <c r="W90" s="1832" t="s">
        <v>1521</v>
      </c>
      <c r="X90" s="1810">
        <f t="shared" si="34"/>
        <v>174573.552</v>
      </c>
      <c r="Y90" s="1810">
        <v>9656000</v>
      </c>
      <c r="Z90" s="1810">
        <v>24303</v>
      </c>
      <c r="AA90" s="1797">
        <f t="shared" si="35"/>
        <v>9806270.5519999992</v>
      </c>
      <c r="AB90" s="1795">
        <v>0</v>
      </c>
      <c r="AC90" s="1837">
        <v>-35832</v>
      </c>
      <c r="AD90" s="1812" t="str">
        <f t="shared" si="36"/>
        <v>n/a</v>
      </c>
      <c r="AE90" s="1812">
        <f t="shared" si="37"/>
        <v>-273.67354744362581</v>
      </c>
      <c r="AF90" s="1813">
        <f t="shared" si="38"/>
        <v>0</v>
      </c>
      <c r="AG90" s="1814"/>
      <c r="AH90" s="1813"/>
      <c r="AI90" s="1898"/>
      <c r="AJ90" s="1899"/>
      <c r="AK90" s="1813"/>
      <c r="AL90" s="1828"/>
      <c r="AM90" s="1814"/>
      <c r="AN90" s="1831"/>
      <c r="AO90" s="1900"/>
      <c r="AP90" s="1900"/>
    </row>
    <row r="91" spans="1:42" s="1827" customFormat="1" ht="13.5" customHeight="1">
      <c r="A91" s="1814"/>
      <c r="B91" s="1827" t="s">
        <v>1168</v>
      </c>
      <c r="C91" s="1828" t="s">
        <v>1169</v>
      </c>
      <c r="D91" s="1829" t="s">
        <v>568</v>
      </c>
      <c r="E91" s="1828" t="s">
        <v>1170</v>
      </c>
      <c r="F91" s="1870">
        <v>42171</v>
      </c>
      <c r="G91" s="1871">
        <v>14</v>
      </c>
      <c r="H91" s="1836">
        <v>13</v>
      </c>
      <c r="I91" s="1836">
        <v>15</v>
      </c>
      <c r="J91" s="1871">
        <v>19.010000000000002</v>
      </c>
      <c r="K91" s="1873">
        <f t="shared" si="27"/>
        <v>9126.6830000000009</v>
      </c>
      <c r="L91" s="1874">
        <v>5500</v>
      </c>
      <c r="M91" s="1874">
        <v>14626.683000000001</v>
      </c>
      <c r="N91" s="1875">
        <f t="shared" si="28"/>
        <v>127773.56200000001</v>
      </c>
      <c r="O91" s="1874">
        <f t="shared" si="29"/>
        <v>77000</v>
      </c>
      <c r="P91" s="1875">
        <f t="shared" si="30"/>
        <v>204773.56200000001</v>
      </c>
      <c r="Q91" s="1788"/>
      <c r="R91" s="1785">
        <v>1</v>
      </c>
      <c r="S91" s="1789">
        <f t="shared" si="31"/>
        <v>19.010000000000002</v>
      </c>
      <c r="T91" s="1833">
        <f t="shared" si="32"/>
        <v>278053.24383000005</v>
      </c>
      <c r="U91" s="1834">
        <f t="shared" si="33"/>
        <v>0.3578571428571431</v>
      </c>
      <c r="V91" s="1831" t="s">
        <v>1171</v>
      </c>
      <c r="W91" s="1832" t="s">
        <v>1172</v>
      </c>
      <c r="X91" s="1810">
        <f t="shared" si="34"/>
        <v>204773.56200000001</v>
      </c>
      <c r="Y91" s="1810">
        <v>0</v>
      </c>
      <c r="Z91" s="1810">
        <v>22864.5</v>
      </c>
      <c r="AA91" s="1797">
        <f t="shared" si="35"/>
        <v>181909.06200000001</v>
      </c>
      <c r="AB91" s="1795">
        <v>0</v>
      </c>
      <c r="AC91" s="1837">
        <v>-29160</v>
      </c>
      <c r="AD91" s="1812" t="str">
        <f t="shared" si="36"/>
        <v>n/a</v>
      </c>
      <c r="AE91" s="1812">
        <f t="shared" si="37"/>
        <v>-6.2383080246913583</v>
      </c>
      <c r="AF91" s="1813">
        <f t="shared" si="38"/>
        <v>0</v>
      </c>
      <c r="AG91" s="1814"/>
      <c r="AK91" s="1813"/>
      <c r="AL91" s="1828"/>
      <c r="AM91" s="1814"/>
    </row>
    <row r="92" spans="1:42" s="1827" customFormat="1" ht="13.5" customHeight="1">
      <c r="A92" s="1814"/>
      <c r="B92" s="1827" t="s">
        <v>1522</v>
      </c>
      <c r="C92" s="1828" t="s">
        <v>1173</v>
      </c>
      <c r="D92" s="1829" t="s">
        <v>1174</v>
      </c>
      <c r="E92" s="1828" t="s">
        <v>1175</v>
      </c>
      <c r="F92" s="1870">
        <v>42130</v>
      </c>
      <c r="G92" s="1871">
        <v>14</v>
      </c>
      <c r="H92" s="1836">
        <v>13</v>
      </c>
      <c r="I92" s="1836">
        <v>15</v>
      </c>
      <c r="J92" s="1871">
        <v>25.87</v>
      </c>
      <c r="K92" s="1873">
        <f t="shared" si="27"/>
        <v>17189.739000000001</v>
      </c>
      <c r="L92" s="1874">
        <v>5360</v>
      </c>
      <c r="M92" s="1874">
        <v>22549.739000000001</v>
      </c>
      <c r="N92" s="1875">
        <f t="shared" si="28"/>
        <v>240656.34600000002</v>
      </c>
      <c r="O92" s="1874">
        <f t="shared" si="29"/>
        <v>75040</v>
      </c>
      <c r="P92" s="1875">
        <f t="shared" si="30"/>
        <v>315696.34600000002</v>
      </c>
      <c r="Q92" s="1788"/>
      <c r="R92" s="1785">
        <v>1</v>
      </c>
      <c r="S92" s="1789">
        <f t="shared" si="31"/>
        <v>25.87</v>
      </c>
      <c r="T92" s="1833">
        <f t="shared" si="32"/>
        <v>583361.74793000007</v>
      </c>
      <c r="U92" s="1834">
        <f t="shared" si="33"/>
        <v>0.84785714285714286</v>
      </c>
      <c r="V92" s="1831" t="s">
        <v>1176</v>
      </c>
      <c r="W92" s="1832" t="s">
        <v>1177</v>
      </c>
      <c r="X92" s="1810">
        <f t="shared" si="34"/>
        <v>315696.34600000002</v>
      </c>
      <c r="Y92" s="1810">
        <v>10276000</v>
      </c>
      <c r="Z92" s="1810">
        <v>13899</v>
      </c>
      <c r="AA92" s="1797">
        <f t="shared" si="35"/>
        <v>10577797.346000001</v>
      </c>
      <c r="AB92" s="1795">
        <v>0</v>
      </c>
      <c r="AC92" s="1837">
        <v>-58426</v>
      </c>
      <c r="AD92" s="1812" t="str">
        <f t="shared" si="36"/>
        <v>n/a</v>
      </c>
      <c r="AE92" s="1812">
        <f t="shared" si="37"/>
        <v>-181.04606418375383</v>
      </c>
      <c r="AF92" s="1813">
        <f t="shared" si="38"/>
        <v>0</v>
      </c>
      <c r="AG92" s="1814"/>
      <c r="AK92" s="1813"/>
      <c r="AL92" s="1828"/>
      <c r="AM92" s="1814"/>
    </row>
    <row r="93" spans="1:42" s="1827" customFormat="1" ht="13.5" customHeight="1">
      <c r="A93" s="1883"/>
      <c r="B93" s="1827" t="s">
        <v>1523</v>
      </c>
      <c r="C93" s="1828" t="s">
        <v>1524</v>
      </c>
      <c r="D93" s="1829" t="s">
        <v>1098</v>
      </c>
      <c r="E93" s="1828" t="s">
        <v>1525</v>
      </c>
      <c r="F93" s="1870">
        <v>42130</v>
      </c>
      <c r="G93" s="1871">
        <v>17</v>
      </c>
      <c r="H93" s="1836">
        <v>15</v>
      </c>
      <c r="I93" s="1836">
        <v>17</v>
      </c>
      <c r="J93" s="1871">
        <v>15.34</v>
      </c>
      <c r="K93" s="1873">
        <f t="shared" si="27"/>
        <v>59535.316666666695</v>
      </c>
      <c r="L93" s="1874">
        <v>9375</v>
      </c>
      <c r="M93" s="1874">
        <v>68910.316666666695</v>
      </c>
      <c r="N93" s="1875">
        <f t="shared" si="28"/>
        <v>1012100.3833333338</v>
      </c>
      <c r="O93" s="1874">
        <f t="shared" si="29"/>
        <v>159375</v>
      </c>
      <c r="P93" s="1875">
        <f t="shared" si="30"/>
        <v>1171475.3833333338</v>
      </c>
      <c r="Q93" s="1788"/>
      <c r="R93" s="1785">
        <v>1</v>
      </c>
      <c r="S93" s="1789">
        <f t="shared" si="31"/>
        <v>15.34</v>
      </c>
      <c r="T93" s="1833">
        <f t="shared" si="32"/>
        <v>1057084.257666667</v>
      </c>
      <c r="U93" s="1834">
        <f t="shared" si="33"/>
        <v>-9.764705882352942E-2</v>
      </c>
      <c r="V93" s="1831" t="s">
        <v>1526</v>
      </c>
      <c r="W93" s="1832" t="s">
        <v>1527</v>
      </c>
      <c r="X93" s="1810">
        <f t="shared" si="34"/>
        <v>1171475.3833333338</v>
      </c>
      <c r="Y93" s="1810">
        <v>0</v>
      </c>
      <c r="Z93" s="1810">
        <v>101564.72</v>
      </c>
      <c r="AA93" s="1797">
        <f t="shared" si="35"/>
        <v>1069910.6633333338</v>
      </c>
      <c r="AB93" s="1795">
        <v>12356.199999999999</v>
      </c>
      <c r="AC93" s="1837">
        <v>-65690.23</v>
      </c>
      <c r="AD93" s="1812">
        <f t="shared" si="36"/>
        <v>86.588972607543894</v>
      </c>
      <c r="AE93" s="1812">
        <f t="shared" si="37"/>
        <v>-16.287211406221807</v>
      </c>
      <c r="AF93" s="1813">
        <f t="shared" si="38"/>
        <v>0</v>
      </c>
      <c r="AG93" s="1814"/>
      <c r="AK93" s="1813"/>
      <c r="AL93" s="1828"/>
      <c r="AM93" s="1814"/>
    </row>
    <row r="94" spans="1:42" s="1827" customFormat="1" ht="13.5" customHeight="1">
      <c r="A94" s="1814"/>
      <c r="B94" s="1827" t="s">
        <v>1196</v>
      </c>
      <c r="C94" s="1828" t="s">
        <v>1197</v>
      </c>
      <c r="D94" s="1829" t="s">
        <v>583</v>
      </c>
      <c r="E94" s="1828" t="s">
        <v>1198</v>
      </c>
      <c r="F94" s="1870">
        <v>42122</v>
      </c>
      <c r="G94" s="1871">
        <v>8</v>
      </c>
      <c r="H94" s="1836">
        <v>10</v>
      </c>
      <c r="I94" s="1836">
        <v>12</v>
      </c>
      <c r="J94" s="1871">
        <v>8.23</v>
      </c>
      <c r="K94" s="1873">
        <f t="shared" si="27"/>
        <v>6154.3289999999997</v>
      </c>
      <c r="L94" s="1874">
        <v>3000</v>
      </c>
      <c r="M94" s="1874">
        <v>9154.3289999999997</v>
      </c>
      <c r="N94" s="1875">
        <f t="shared" si="28"/>
        <v>49234.631999999998</v>
      </c>
      <c r="O94" s="1874">
        <f t="shared" si="29"/>
        <v>24000</v>
      </c>
      <c r="P94" s="1875">
        <f t="shared" si="30"/>
        <v>73234.631999999998</v>
      </c>
      <c r="Q94" s="1788"/>
      <c r="R94" s="1785">
        <v>1</v>
      </c>
      <c r="S94" s="1789">
        <f t="shared" si="31"/>
        <v>8.23</v>
      </c>
      <c r="T94" s="1833">
        <f t="shared" si="32"/>
        <v>75340.127670000002</v>
      </c>
      <c r="U94" s="1834">
        <f t="shared" si="33"/>
        <v>2.8750000000000053E-2</v>
      </c>
      <c r="V94" s="1831" t="s">
        <v>1199</v>
      </c>
      <c r="W94" s="1832" t="s">
        <v>1200</v>
      </c>
      <c r="X94" s="1810">
        <f t="shared" si="34"/>
        <v>73234.631999999998</v>
      </c>
      <c r="Y94" s="1810">
        <v>1568390</v>
      </c>
      <c r="Z94" s="1810">
        <v>755.86</v>
      </c>
      <c r="AA94" s="1797">
        <f t="shared" si="35"/>
        <v>1640868.7719999999</v>
      </c>
      <c r="AB94" s="1795">
        <v>0</v>
      </c>
      <c r="AC94" s="1837">
        <v>0</v>
      </c>
      <c r="AD94" s="1812" t="str">
        <f t="shared" si="36"/>
        <v>n/a</v>
      </c>
      <c r="AE94" s="1812" t="str">
        <f t="shared" si="37"/>
        <v>n/a</v>
      </c>
      <c r="AF94" s="1813">
        <f t="shared" si="38"/>
        <v>0</v>
      </c>
      <c r="AG94" s="1814"/>
      <c r="AK94" s="1813"/>
      <c r="AL94" s="1828"/>
      <c r="AM94" s="1814"/>
    </row>
    <row r="95" spans="1:42" s="1827" customFormat="1" ht="13.5" customHeight="1">
      <c r="A95" s="1883"/>
      <c r="B95" s="1827" t="s">
        <v>1254</v>
      </c>
      <c r="C95" s="1828" t="s">
        <v>1255</v>
      </c>
      <c r="D95" s="1829" t="s">
        <v>1098</v>
      </c>
      <c r="E95" s="1828" t="s">
        <v>1256</v>
      </c>
      <c r="F95" s="1870">
        <v>41991</v>
      </c>
      <c r="G95" s="1871">
        <v>24</v>
      </c>
      <c r="H95" s="1836">
        <v>15</v>
      </c>
      <c r="I95" s="1836">
        <v>18</v>
      </c>
      <c r="J95" s="1871">
        <v>50.14</v>
      </c>
      <c r="K95" s="1873">
        <f t="shared" si="27"/>
        <v>65143.189000000006</v>
      </c>
      <c r="L95" s="1874">
        <v>12676.353999999999</v>
      </c>
      <c r="M95" s="1874">
        <v>77819.543000000005</v>
      </c>
      <c r="N95" s="1875">
        <f t="shared" si="28"/>
        <v>1563436.5360000001</v>
      </c>
      <c r="O95" s="1874">
        <f t="shared" si="29"/>
        <v>304232.49599999998</v>
      </c>
      <c r="P95" s="1875">
        <f t="shared" si="30"/>
        <v>1867669.0320000001</v>
      </c>
      <c r="Q95" s="1788"/>
      <c r="R95" s="1785">
        <v>1</v>
      </c>
      <c r="S95" s="1789">
        <f t="shared" si="31"/>
        <v>50.14</v>
      </c>
      <c r="T95" s="1833">
        <f t="shared" si="32"/>
        <v>3901871.8860200001</v>
      </c>
      <c r="U95" s="1834">
        <f t="shared" si="33"/>
        <v>1.0891666666666664</v>
      </c>
      <c r="V95" s="1832" t="s">
        <v>1257</v>
      </c>
      <c r="W95" s="1832" t="s">
        <v>1258</v>
      </c>
      <c r="X95" s="1810">
        <f t="shared" si="34"/>
        <v>1867669.0320000001</v>
      </c>
      <c r="Y95" s="1810">
        <v>0</v>
      </c>
      <c r="Z95" s="1810">
        <v>35966</v>
      </c>
      <c r="AA95" s="1797">
        <f t="shared" si="35"/>
        <v>1831703.0320000001</v>
      </c>
      <c r="AB95" s="1795">
        <v>43131</v>
      </c>
      <c r="AC95" s="1837">
        <v>-234013</v>
      </c>
      <c r="AD95" s="1812">
        <f t="shared" si="36"/>
        <v>42.468364563770841</v>
      </c>
      <c r="AE95" s="1812">
        <f t="shared" si="37"/>
        <v>-7.8273558819381837</v>
      </c>
      <c r="AF95" s="1813">
        <f t="shared" si="38"/>
        <v>0</v>
      </c>
      <c r="AG95" s="1814"/>
      <c r="AK95" s="1813"/>
      <c r="AL95" s="1828"/>
      <c r="AM95" s="1814"/>
    </row>
    <row r="96" spans="1:42" s="1839" customFormat="1" ht="13.5" customHeight="1">
      <c r="A96" s="1814"/>
      <c r="B96" s="1827"/>
      <c r="C96" s="1828"/>
      <c r="D96" s="1829"/>
      <c r="E96" s="1828"/>
      <c r="F96" s="1830"/>
      <c r="G96" s="1842"/>
      <c r="H96" s="1836"/>
      <c r="I96" s="1836"/>
      <c r="J96" s="1842"/>
      <c r="K96" s="1843"/>
      <c r="L96" s="1813"/>
      <c r="M96" s="1813"/>
      <c r="N96" s="1785"/>
      <c r="O96" s="1813"/>
      <c r="P96" s="1785"/>
      <c r="Q96" s="1785"/>
      <c r="R96" s="1785"/>
      <c r="S96" s="1789"/>
      <c r="T96" s="1817"/>
      <c r="U96" s="1818"/>
      <c r="V96" s="1841"/>
      <c r="W96" s="1832"/>
      <c r="X96" s="1810"/>
      <c r="Y96" s="1810"/>
      <c r="Z96" s="1810"/>
      <c r="AA96" s="1797"/>
      <c r="AB96" s="1795"/>
      <c r="AC96" s="1837"/>
      <c r="AD96" s="1812"/>
      <c r="AE96" s="1812"/>
      <c r="AF96" s="1825"/>
      <c r="AG96" s="1814"/>
      <c r="AK96" s="1840"/>
      <c r="AL96" s="1838"/>
      <c r="AM96" s="1826"/>
    </row>
    <row r="97" spans="1:39" s="1839" customFormat="1" ht="13.5" customHeight="1">
      <c r="A97" s="1814"/>
      <c r="B97" s="1844" t="s">
        <v>111</v>
      </c>
      <c r="C97" s="1845"/>
      <c r="D97" s="1845"/>
      <c r="E97" s="1845"/>
      <c r="F97" s="1845"/>
      <c r="G97" s="1845"/>
      <c r="H97" s="1845"/>
      <c r="I97" s="1845"/>
      <c r="J97" s="1845"/>
      <c r="K97" s="1845"/>
      <c r="L97" s="1845"/>
      <c r="M97" s="1845"/>
      <c r="N97" s="1765">
        <f>MAX(N46:N95)</f>
        <v>6961458.1849999996</v>
      </c>
      <c r="O97" s="1765"/>
      <c r="P97" s="1846">
        <f>MAX(P46:P95)</f>
        <v>7565806.0239999993</v>
      </c>
      <c r="Q97" s="1785"/>
      <c r="R97" s="1785"/>
      <c r="S97" s="1847">
        <f>MAX(S46:S95)</f>
        <v>50.14</v>
      </c>
      <c r="T97" s="1817"/>
      <c r="U97" s="1818"/>
      <c r="V97" s="1841"/>
      <c r="W97" s="1832"/>
      <c r="X97" s="1810"/>
      <c r="Y97" s="1810"/>
      <c r="Z97" s="1810"/>
      <c r="AA97" s="1797"/>
      <c r="AB97" s="1795"/>
      <c r="AC97" s="1837"/>
      <c r="AD97" s="1812"/>
      <c r="AE97" s="1812"/>
      <c r="AF97" s="1825"/>
      <c r="AG97" s="1814"/>
      <c r="AK97" s="1840"/>
      <c r="AL97" s="1838"/>
      <c r="AM97" s="1826"/>
    </row>
    <row r="98" spans="1:39" s="1839" customFormat="1" ht="13.5" customHeight="1">
      <c r="A98" s="1814"/>
      <c r="B98" s="1848" t="s">
        <v>115</v>
      </c>
      <c r="C98" s="1849"/>
      <c r="D98" s="1849"/>
      <c r="E98" s="1849"/>
      <c r="F98" s="1849"/>
      <c r="G98" s="1849"/>
      <c r="H98" s="1849"/>
      <c r="I98" s="1849"/>
      <c r="J98" s="1849"/>
      <c r="K98" s="1849"/>
      <c r="L98" s="1849"/>
      <c r="M98" s="1849"/>
      <c r="N98" s="1766">
        <f>_xlfn.QUARTILE.INC(N46:N95,3)</f>
        <v>388144.01325000002</v>
      </c>
      <c r="O98" s="1766"/>
      <c r="P98" s="1850">
        <f>_xlfn.QUARTILE.INC(P46:P95,3)</f>
        <v>477589.01325000002</v>
      </c>
      <c r="Q98" s="1785"/>
      <c r="R98" s="1785"/>
      <c r="S98" s="1851">
        <f>_xlfn.QUARTILE.INC(S46:S95,3)</f>
        <v>18.935000000000002</v>
      </c>
      <c r="T98" s="1817"/>
      <c r="U98" s="1818"/>
      <c r="V98" s="1841"/>
      <c r="W98" s="1832"/>
      <c r="X98" s="1810"/>
      <c r="Y98" s="1810"/>
      <c r="Z98" s="1810"/>
      <c r="AA98" s="1797"/>
      <c r="AB98" s="1795"/>
      <c r="AC98" s="1837"/>
      <c r="AD98" s="1812"/>
      <c r="AE98" s="1812"/>
      <c r="AF98" s="1825"/>
      <c r="AG98" s="1814"/>
      <c r="AK98" s="1840"/>
      <c r="AL98" s="1838"/>
      <c r="AM98" s="1826"/>
    </row>
    <row r="99" spans="1:39" s="1839" customFormat="1" ht="13.5" customHeight="1">
      <c r="A99" s="1814"/>
      <c r="B99" s="1848" t="s">
        <v>43</v>
      </c>
      <c r="C99" s="1849"/>
      <c r="D99" s="1849"/>
      <c r="E99" s="1849"/>
      <c r="F99" s="1849"/>
      <c r="G99" s="1849"/>
      <c r="H99" s="1849"/>
      <c r="I99" s="1849"/>
      <c r="J99" s="1849"/>
      <c r="K99" s="1849"/>
      <c r="L99" s="1849"/>
      <c r="M99" s="1849"/>
      <c r="N99" s="1766">
        <f>AVERAGE(N46:N95)</f>
        <v>484911.62305666669</v>
      </c>
      <c r="O99" s="1766"/>
      <c r="P99" s="1850">
        <f>AVERAGE(P46:P95)</f>
        <v>587373.72941666702</v>
      </c>
      <c r="Q99" s="1785"/>
      <c r="R99" s="1785"/>
      <c r="S99" s="1851">
        <f>AVERAGE(S46:S95)</f>
        <v>15.9879032</v>
      </c>
      <c r="T99" s="1817"/>
      <c r="U99" s="1818"/>
      <c r="V99" s="1841"/>
      <c r="W99" s="1832"/>
      <c r="X99" s="1810"/>
      <c r="Y99" s="1810"/>
      <c r="Z99" s="1810"/>
      <c r="AA99" s="1797"/>
      <c r="AB99" s="1795"/>
      <c r="AC99" s="1837"/>
      <c r="AD99" s="1812"/>
      <c r="AE99" s="1812"/>
      <c r="AF99" s="1825"/>
      <c r="AG99" s="1814"/>
      <c r="AK99" s="1840"/>
      <c r="AL99" s="1838"/>
      <c r="AM99" s="1826"/>
    </row>
    <row r="100" spans="1:39" s="1839" customFormat="1" ht="13.5" customHeight="1">
      <c r="A100" s="1814"/>
      <c r="B100" s="1848" t="s">
        <v>44</v>
      </c>
      <c r="C100" s="1849"/>
      <c r="D100" s="1849"/>
      <c r="E100" s="1849"/>
      <c r="F100" s="1849"/>
      <c r="G100" s="1849"/>
      <c r="H100" s="1849"/>
      <c r="I100" s="1849"/>
      <c r="J100" s="1849"/>
      <c r="K100" s="1849"/>
      <c r="L100" s="1849"/>
      <c r="M100" s="1849"/>
      <c r="N100" s="1766">
        <f>MEDIAN(N46:N95)</f>
        <v>266322.74849999999</v>
      </c>
      <c r="O100" s="1766"/>
      <c r="P100" s="1850">
        <f>MEDIAN(P46:P95)</f>
        <v>342260.97700000001</v>
      </c>
      <c r="Q100" s="1785"/>
      <c r="R100" s="1785"/>
      <c r="S100" s="1851">
        <f>MEDIAN(S46:S95)</f>
        <v>14.85</v>
      </c>
      <c r="T100" s="1817"/>
      <c r="U100" s="1818"/>
      <c r="V100" s="1841"/>
      <c r="W100" s="1832"/>
      <c r="X100" s="1810"/>
      <c r="Y100" s="1810"/>
      <c r="Z100" s="1810"/>
      <c r="AA100" s="1797"/>
      <c r="AB100" s="1795"/>
      <c r="AC100" s="1837"/>
      <c r="AD100" s="1812"/>
      <c r="AE100" s="1812"/>
      <c r="AF100" s="1825"/>
      <c r="AG100" s="1814"/>
      <c r="AK100" s="1840"/>
      <c r="AL100" s="1838"/>
      <c r="AM100" s="1826"/>
    </row>
    <row r="101" spans="1:39" s="1839" customFormat="1" ht="13.5" customHeight="1">
      <c r="A101" s="1814"/>
      <c r="B101" s="1848" t="s">
        <v>114</v>
      </c>
      <c r="C101" s="1849"/>
      <c r="D101" s="1849"/>
      <c r="E101" s="1849"/>
      <c r="F101" s="1849"/>
      <c r="G101" s="1849"/>
      <c r="H101" s="1849"/>
      <c r="I101" s="1849"/>
      <c r="J101" s="1849"/>
      <c r="K101" s="1849"/>
      <c r="L101" s="1849"/>
      <c r="M101" s="1849"/>
      <c r="N101" s="1766">
        <f>_xlfn.QUARTILE.INC(N46:N95,1)</f>
        <v>172016.46</v>
      </c>
      <c r="O101" s="1766"/>
      <c r="P101" s="1850">
        <f>_xlfn.QUARTILE.INC(P46:P95,1)</f>
        <v>238551.46</v>
      </c>
      <c r="Q101" s="1785"/>
      <c r="R101" s="1785"/>
      <c r="S101" s="1851">
        <f>_xlfn.QUARTILE.INC(S46:S95,1)</f>
        <v>12.4</v>
      </c>
      <c r="T101" s="1817">
        <v>1000</v>
      </c>
      <c r="U101" s="1818"/>
      <c r="V101" s="1841"/>
      <c r="W101" s="1832"/>
      <c r="X101" s="1810"/>
      <c r="Y101" s="1810"/>
      <c r="Z101" s="1810"/>
      <c r="AA101" s="1797"/>
      <c r="AB101" s="1795"/>
      <c r="AC101" s="1837"/>
      <c r="AD101" s="1812"/>
      <c r="AE101" s="1812"/>
      <c r="AF101" s="1825"/>
      <c r="AG101" s="1814"/>
      <c r="AK101" s="1840"/>
      <c r="AL101" s="1838"/>
      <c r="AM101" s="1826"/>
    </row>
    <row r="102" spans="1:39" s="1839" customFormat="1" ht="13.5" customHeight="1">
      <c r="A102" s="1814"/>
      <c r="B102" s="1852" t="s">
        <v>112</v>
      </c>
      <c r="C102" s="1853"/>
      <c r="D102" s="1853"/>
      <c r="E102" s="1853"/>
      <c r="F102" s="1853"/>
      <c r="G102" s="1853"/>
      <c r="H102" s="1853"/>
      <c r="I102" s="1853"/>
      <c r="J102" s="1853"/>
      <c r="K102" s="1853"/>
      <c r="L102" s="1853"/>
      <c r="M102" s="1853"/>
      <c r="N102" s="1767">
        <f>MIN(N46:N95)</f>
        <v>47690.983999999997</v>
      </c>
      <c r="O102" s="1767"/>
      <c r="P102" s="1854">
        <f>MIN(P46:P95)</f>
        <v>52970.983999999997</v>
      </c>
      <c r="Q102" s="1785"/>
      <c r="R102" s="1785"/>
      <c r="S102" s="1855">
        <f>MIN(S46:S95)</f>
        <v>3.35</v>
      </c>
      <c r="T102" s="1817"/>
      <c r="U102" s="1818"/>
      <c r="V102" s="1841"/>
      <c r="W102" s="1832"/>
      <c r="X102" s="1810"/>
      <c r="Y102" s="1810"/>
      <c r="Z102" s="1810"/>
      <c r="AA102" s="1797"/>
      <c r="AB102" s="1795"/>
      <c r="AC102" s="1837"/>
      <c r="AD102" s="1812"/>
      <c r="AE102" s="1812"/>
      <c r="AF102" s="1825"/>
      <c r="AG102" s="1814"/>
      <c r="AK102" s="1840"/>
      <c r="AL102" s="1838"/>
      <c r="AM102" s="1826"/>
    </row>
    <row r="103" spans="1:39" s="1839" customFormat="1" ht="13.5" customHeight="1">
      <c r="A103" s="1814"/>
      <c r="B103" s="1827"/>
      <c r="C103" s="1828"/>
      <c r="D103" s="1829"/>
      <c r="E103" s="1828"/>
      <c r="F103" s="1830"/>
      <c r="G103" s="1842"/>
      <c r="H103" s="1836"/>
      <c r="I103" s="1836"/>
      <c r="J103" s="1842"/>
      <c r="K103" s="1843"/>
      <c r="L103" s="1813"/>
      <c r="M103" s="1813"/>
      <c r="N103" s="1785"/>
      <c r="O103" s="1813"/>
      <c r="P103" s="1785"/>
      <c r="Q103" s="1785"/>
      <c r="R103" s="1785"/>
      <c r="S103" s="1789"/>
      <c r="T103" s="1817"/>
      <c r="U103" s="1818"/>
      <c r="V103" s="1841"/>
      <c r="W103" s="1832"/>
      <c r="X103" s="1810"/>
      <c r="Y103" s="1810"/>
      <c r="Z103" s="1810"/>
      <c r="AA103" s="1797"/>
      <c r="AB103" s="1795"/>
      <c r="AC103" s="1837"/>
      <c r="AD103" s="1812"/>
      <c r="AE103" s="1812"/>
      <c r="AF103" s="1825"/>
      <c r="AG103" s="1814"/>
      <c r="AK103" s="1840"/>
      <c r="AL103" s="1838"/>
      <c r="AM103" s="1826"/>
    </row>
    <row r="104" spans="1:39" s="1839" customFormat="1" ht="13.5" customHeight="1">
      <c r="A104" s="1814"/>
      <c r="B104" s="1856" t="s">
        <v>1528</v>
      </c>
      <c r="C104" s="1828"/>
      <c r="D104" s="1829"/>
      <c r="E104" s="1828"/>
      <c r="F104" s="1830"/>
      <c r="G104" s="1842"/>
      <c r="H104" s="1836"/>
      <c r="I104" s="1836"/>
      <c r="J104" s="1842"/>
      <c r="K104" s="1843"/>
      <c r="L104" s="1843"/>
      <c r="M104" s="1813"/>
      <c r="N104" s="1785"/>
      <c r="O104" s="1813"/>
      <c r="P104" s="1785"/>
      <c r="Q104" s="1785"/>
      <c r="R104" s="1785"/>
      <c r="S104" s="1789"/>
      <c r="T104" s="1817"/>
      <c r="U104" s="1818"/>
      <c r="V104" s="1841"/>
      <c r="W104" s="1832"/>
      <c r="X104" s="1810"/>
      <c r="Y104" s="1810"/>
      <c r="Z104" s="1810"/>
      <c r="AA104" s="1797"/>
      <c r="AB104" s="1795"/>
      <c r="AC104" s="1837"/>
      <c r="AD104" s="1812"/>
      <c r="AE104" s="1812"/>
      <c r="AF104" s="1825"/>
      <c r="AG104" s="1814"/>
      <c r="AK104" s="1840"/>
      <c r="AL104" s="1838"/>
      <c r="AM104" s="1826"/>
    </row>
    <row r="105" spans="1:39" s="1863" customFormat="1" ht="13.5" customHeight="1">
      <c r="A105" s="1857"/>
      <c r="B105" s="1867" t="s">
        <v>3880</v>
      </c>
      <c r="C105" s="1868" t="s">
        <v>3881</v>
      </c>
      <c r="D105" s="1869" t="s">
        <v>569</v>
      </c>
      <c r="E105" s="1868" t="s">
        <v>3882</v>
      </c>
      <c r="F105" s="1870">
        <v>43368</v>
      </c>
      <c r="G105" s="1872">
        <v>15</v>
      </c>
      <c r="H105" s="1872">
        <v>16</v>
      </c>
      <c r="I105" s="1872">
        <v>18</v>
      </c>
      <c r="J105" s="1872">
        <v>8.6300000000000008</v>
      </c>
      <c r="K105" s="1875">
        <f t="shared" ref="K105" si="39">+M105-L105</f>
        <v>8074.2860000000001</v>
      </c>
      <c r="L105" s="1874">
        <f>5000000/1000</f>
        <v>5000</v>
      </c>
      <c r="M105" s="1874">
        <f>13074286/1000</f>
        <v>13074.286</v>
      </c>
      <c r="N105" s="1875">
        <f t="shared" ref="N105" si="40">+G105*K105</f>
        <v>121114.29000000001</v>
      </c>
      <c r="O105" s="1874">
        <f t="shared" ref="O105:O118" si="41">+G105*L105</f>
        <v>75000</v>
      </c>
      <c r="P105" s="1875">
        <f t="shared" ref="P105:P118" si="42">+N105+O105</f>
        <v>196114.29</v>
      </c>
      <c r="Q105" s="1788"/>
      <c r="R105" s="1858">
        <v>1</v>
      </c>
      <c r="S105" s="1816">
        <f t="shared" ref="S105:S118" si="43">J105</f>
        <v>8.6300000000000008</v>
      </c>
      <c r="T105" s="1859">
        <f>S105*M105</f>
        <v>112831.08818000001</v>
      </c>
      <c r="U105" s="1860">
        <f t="shared" ref="U105:U118" si="44">T105/P105-1</f>
        <v>-0.42466666666666664</v>
      </c>
      <c r="V105" s="1876" t="s">
        <v>3883</v>
      </c>
      <c r="W105" s="1861" t="s">
        <v>3884</v>
      </c>
      <c r="X105" s="1862">
        <f t="shared" ref="X105:X118" si="45">+N105+O105</f>
        <v>196114.29</v>
      </c>
      <c r="Y105" s="1884">
        <f t="shared" ref="Y105:Y118" si="46">+P105-X105</f>
        <v>0</v>
      </c>
      <c r="Z105" s="1884"/>
      <c r="AA105" s="1822"/>
      <c r="AB105" s="1823"/>
      <c r="AC105" s="1823"/>
      <c r="AD105" s="1885"/>
      <c r="AE105" s="1885"/>
      <c r="AF105" s="1864"/>
      <c r="AG105" s="1826"/>
      <c r="AK105" s="1864"/>
      <c r="AL105" s="1865"/>
      <c r="AM105" s="1866"/>
    </row>
    <row r="106" spans="1:39" s="1867" customFormat="1" ht="13.5" customHeight="1">
      <c r="A106" s="1857"/>
      <c r="B106" s="1867" t="s">
        <v>3885</v>
      </c>
      <c r="C106" s="1868" t="s">
        <v>3886</v>
      </c>
      <c r="D106" s="1869" t="s">
        <v>569</v>
      </c>
      <c r="E106" s="1868" t="s">
        <v>3887</v>
      </c>
      <c r="F106" s="1870">
        <v>43363</v>
      </c>
      <c r="G106" s="1872">
        <v>16</v>
      </c>
      <c r="H106" s="1872">
        <v>14</v>
      </c>
      <c r="I106" s="1872">
        <v>16</v>
      </c>
      <c r="J106" s="1872">
        <v>22.55</v>
      </c>
      <c r="K106" s="1875">
        <f>+M106-L106</f>
        <v>27293.665999999997</v>
      </c>
      <c r="L106" s="1874">
        <f>6000000/1000</f>
        <v>6000</v>
      </c>
      <c r="M106" s="1874">
        <f>33293666/1000</f>
        <v>33293.665999999997</v>
      </c>
      <c r="N106" s="1875">
        <f>+G106*K106</f>
        <v>436698.65599999996</v>
      </c>
      <c r="O106" s="1874">
        <f t="shared" si="41"/>
        <v>96000</v>
      </c>
      <c r="P106" s="1875">
        <f t="shared" si="42"/>
        <v>532698.65599999996</v>
      </c>
      <c r="Q106" s="1788"/>
      <c r="R106" s="1875">
        <v>1</v>
      </c>
      <c r="S106" s="1789">
        <f t="shared" si="43"/>
        <v>22.55</v>
      </c>
      <c r="T106" s="1877">
        <f t="shared" ref="T106:T118" si="47">S106*M106</f>
        <v>750772.16830000002</v>
      </c>
      <c r="U106" s="1878">
        <f t="shared" si="44"/>
        <v>0.40937500000000004</v>
      </c>
      <c r="V106" s="1879" t="s">
        <v>3888</v>
      </c>
      <c r="W106" s="1880" t="s">
        <v>3889</v>
      </c>
      <c r="X106" s="1881">
        <f t="shared" si="45"/>
        <v>532698.65599999996</v>
      </c>
      <c r="Y106" s="1886">
        <f t="shared" si="46"/>
        <v>0</v>
      </c>
      <c r="Z106" s="1886"/>
      <c r="AA106" s="1797"/>
      <c r="AB106" s="1795"/>
      <c r="AC106" s="1795"/>
      <c r="AD106" s="1887"/>
      <c r="AE106" s="1887"/>
      <c r="AF106" s="1874"/>
      <c r="AG106" s="1814"/>
      <c r="AK106" s="1874"/>
      <c r="AL106" s="1868"/>
      <c r="AM106" s="1857"/>
    </row>
    <row r="107" spans="1:39" s="1867" customFormat="1" ht="13.5" customHeight="1">
      <c r="A107" s="1857"/>
      <c r="B107" s="1867" t="s">
        <v>3890</v>
      </c>
      <c r="C107" s="1868" t="s">
        <v>3891</v>
      </c>
      <c r="D107" s="1869" t="s">
        <v>569</v>
      </c>
      <c r="E107" s="1868" t="s">
        <v>3892</v>
      </c>
      <c r="F107" s="1870">
        <v>43356</v>
      </c>
      <c r="G107" s="1872">
        <v>17</v>
      </c>
      <c r="H107" s="1872">
        <v>15</v>
      </c>
      <c r="I107" s="1872">
        <v>17</v>
      </c>
      <c r="J107" s="1872">
        <v>26.78</v>
      </c>
      <c r="K107" s="1875">
        <f t="shared" ref="K107:K118" si="48">+M107-L107</f>
        <v>16478.11</v>
      </c>
      <c r="L107" s="1874">
        <f>6250000/1000</f>
        <v>6250</v>
      </c>
      <c r="M107" s="1874">
        <f>22728110/1000</f>
        <v>22728.11</v>
      </c>
      <c r="N107" s="1875">
        <f t="shared" ref="N107:N118" si="49">+G107*K107</f>
        <v>280127.87</v>
      </c>
      <c r="O107" s="1874">
        <f t="shared" si="41"/>
        <v>106250</v>
      </c>
      <c r="P107" s="1875">
        <f t="shared" si="42"/>
        <v>386377.87</v>
      </c>
      <c r="Q107" s="1788"/>
      <c r="R107" s="1875">
        <v>1</v>
      </c>
      <c r="S107" s="1789">
        <f t="shared" si="43"/>
        <v>26.78</v>
      </c>
      <c r="T107" s="1877">
        <f t="shared" si="47"/>
        <v>608658.78580000007</v>
      </c>
      <c r="U107" s="1878">
        <f t="shared" si="44"/>
        <v>0.57529411764705896</v>
      </c>
      <c r="V107" s="1879" t="s">
        <v>3893</v>
      </c>
      <c r="W107" s="1880" t="s">
        <v>3894</v>
      </c>
      <c r="X107" s="1881">
        <f t="shared" si="45"/>
        <v>386377.87</v>
      </c>
      <c r="Y107" s="1886">
        <f t="shared" si="46"/>
        <v>0</v>
      </c>
      <c r="Z107" s="1886"/>
      <c r="AA107" s="1797"/>
      <c r="AB107" s="1795"/>
      <c r="AC107" s="1795"/>
      <c r="AD107" s="1887"/>
      <c r="AE107" s="1887"/>
      <c r="AF107" s="1874"/>
      <c r="AG107" s="1814"/>
      <c r="AK107" s="1874"/>
      <c r="AL107" s="1868"/>
      <c r="AM107" s="1857"/>
    </row>
    <row r="108" spans="1:39" s="1867" customFormat="1" ht="13.5" customHeight="1">
      <c r="A108" s="1857"/>
      <c r="B108" s="1867" t="s">
        <v>3895</v>
      </c>
      <c r="C108" s="1868" t="s">
        <v>3896</v>
      </c>
      <c r="D108" s="1869" t="s">
        <v>1259</v>
      </c>
      <c r="E108" s="1868" t="s">
        <v>3897</v>
      </c>
      <c r="F108" s="1870">
        <v>43325</v>
      </c>
      <c r="G108" s="1872">
        <v>13</v>
      </c>
      <c r="H108" s="1872">
        <v>13</v>
      </c>
      <c r="I108" s="1872">
        <v>15</v>
      </c>
      <c r="J108" s="1872">
        <v>13.63</v>
      </c>
      <c r="K108" s="1875">
        <f t="shared" si="48"/>
        <v>5890.2920000000004</v>
      </c>
      <c r="L108" s="1874">
        <f>2000000/1000</f>
        <v>2000</v>
      </c>
      <c r="M108" s="1874">
        <f>7890292/1000</f>
        <v>7890.2920000000004</v>
      </c>
      <c r="N108" s="1875">
        <f t="shared" si="49"/>
        <v>76573.796000000002</v>
      </c>
      <c r="O108" s="1874">
        <f t="shared" si="41"/>
        <v>26000</v>
      </c>
      <c r="P108" s="1875">
        <f t="shared" si="42"/>
        <v>102573.796</v>
      </c>
      <c r="Q108" s="1788"/>
      <c r="R108" s="1875">
        <v>1</v>
      </c>
      <c r="S108" s="1789">
        <f t="shared" si="43"/>
        <v>13.63</v>
      </c>
      <c r="T108" s="1877">
        <f t="shared" si="47"/>
        <v>107544.67996000001</v>
      </c>
      <c r="U108" s="1878">
        <f t="shared" si="44"/>
        <v>4.8461538461538556E-2</v>
      </c>
      <c r="V108" s="1879" t="s">
        <v>3898</v>
      </c>
      <c r="W108" s="1880" t="s">
        <v>3899</v>
      </c>
      <c r="X108" s="1881">
        <f t="shared" si="45"/>
        <v>102573.796</v>
      </c>
      <c r="Y108" s="1886">
        <f t="shared" si="46"/>
        <v>0</v>
      </c>
      <c r="Z108" s="1886"/>
      <c r="AA108" s="1797"/>
      <c r="AB108" s="1795"/>
      <c r="AC108" s="1795"/>
      <c r="AD108" s="1887"/>
      <c r="AE108" s="1887"/>
      <c r="AF108" s="1874"/>
      <c r="AG108" s="1814"/>
      <c r="AK108" s="1874"/>
      <c r="AL108" s="1868"/>
      <c r="AM108" s="1857"/>
    </row>
    <row r="109" spans="1:39" s="1867" customFormat="1" ht="13.5" customHeight="1">
      <c r="A109" s="1857"/>
      <c r="B109" s="1827" t="s">
        <v>3900</v>
      </c>
      <c r="C109" s="1829" t="s">
        <v>3901</v>
      </c>
      <c r="D109" s="1830" t="s">
        <v>569</v>
      </c>
      <c r="E109" s="1789" t="s">
        <v>3902</v>
      </c>
      <c r="F109" s="1870">
        <v>43321</v>
      </c>
      <c r="G109" s="1872">
        <v>12</v>
      </c>
      <c r="H109" s="1808">
        <v>12</v>
      </c>
      <c r="I109" s="1808">
        <v>15</v>
      </c>
      <c r="J109" s="1872">
        <v>10</v>
      </c>
      <c r="K109" s="1875">
        <f t="shared" si="48"/>
        <v>8141.7150000000011</v>
      </c>
      <c r="L109" s="1874">
        <f>3333334/1000</f>
        <v>3333.3339999999998</v>
      </c>
      <c r="M109" s="1874">
        <f>11475049/1000</f>
        <v>11475.049000000001</v>
      </c>
      <c r="N109" s="1875">
        <f t="shared" si="49"/>
        <v>97700.580000000016</v>
      </c>
      <c r="O109" s="1874">
        <f t="shared" si="41"/>
        <v>40000.008000000002</v>
      </c>
      <c r="P109" s="1875">
        <f t="shared" si="42"/>
        <v>137700.58800000002</v>
      </c>
      <c r="Q109" s="1788"/>
      <c r="R109" s="1875">
        <v>1</v>
      </c>
      <c r="S109" s="1789">
        <f t="shared" si="43"/>
        <v>10</v>
      </c>
      <c r="T109" s="1877">
        <f t="shared" si="47"/>
        <v>114750.49</v>
      </c>
      <c r="U109" s="1878">
        <f t="shared" si="44"/>
        <v>-0.16666666666666674</v>
      </c>
      <c r="V109" s="1879" t="s">
        <v>3903</v>
      </c>
      <c r="W109" s="1880" t="s">
        <v>3904</v>
      </c>
      <c r="X109" s="1881">
        <f t="shared" si="45"/>
        <v>137700.58800000002</v>
      </c>
      <c r="Y109" s="1886">
        <f t="shared" si="46"/>
        <v>0</v>
      </c>
      <c r="Z109" s="1886"/>
      <c r="AA109" s="1797"/>
      <c r="AB109" s="1795"/>
      <c r="AC109" s="1795"/>
      <c r="AD109" s="1887"/>
      <c r="AE109" s="1887"/>
      <c r="AF109" s="1874"/>
      <c r="AG109" s="1814"/>
      <c r="AK109" s="1874"/>
      <c r="AL109" s="1868"/>
      <c r="AM109" s="1857"/>
    </row>
    <row r="110" spans="1:39" s="1867" customFormat="1" ht="13.5" customHeight="1">
      <c r="A110" s="1857"/>
      <c r="B110" s="1867" t="s">
        <v>3905</v>
      </c>
      <c r="C110" s="1868" t="s">
        <v>3906</v>
      </c>
      <c r="D110" s="1869" t="s">
        <v>569</v>
      </c>
      <c r="E110" s="1868" t="s">
        <v>3907</v>
      </c>
      <c r="F110" s="1870">
        <v>43299</v>
      </c>
      <c r="G110" s="1872">
        <v>18</v>
      </c>
      <c r="H110" s="1872">
        <v>15</v>
      </c>
      <c r="I110" s="1872">
        <v>17</v>
      </c>
      <c r="J110" s="1872">
        <v>39.299999999999997</v>
      </c>
      <c r="K110" s="1875">
        <f t="shared" si="48"/>
        <v>33335.859000000004</v>
      </c>
      <c r="L110" s="1874">
        <f>7133333/1000</f>
        <v>7133.3329999999996</v>
      </c>
      <c r="M110" s="1874">
        <f>40469192/1000</f>
        <v>40469.192000000003</v>
      </c>
      <c r="N110" s="1875">
        <f t="shared" si="49"/>
        <v>600045.46200000006</v>
      </c>
      <c r="O110" s="1874">
        <f t="shared" si="41"/>
        <v>128399.99399999999</v>
      </c>
      <c r="P110" s="1875">
        <f t="shared" si="42"/>
        <v>728445.45600000001</v>
      </c>
      <c r="Q110" s="1788"/>
      <c r="R110" s="1875">
        <v>1</v>
      </c>
      <c r="S110" s="1789">
        <f t="shared" si="43"/>
        <v>39.299999999999997</v>
      </c>
      <c r="T110" s="1877">
        <f t="shared" si="47"/>
        <v>1590439.2456</v>
      </c>
      <c r="U110" s="1878">
        <f t="shared" si="44"/>
        <v>1.1833333333333336</v>
      </c>
      <c r="V110" s="1879" t="s">
        <v>3908</v>
      </c>
      <c r="W110" s="1880" t="s">
        <v>3909</v>
      </c>
      <c r="X110" s="1881">
        <f t="shared" si="45"/>
        <v>728445.45600000001</v>
      </c>
      <c r="Y110" s="1886">
        <f t="shared" si="46"/>
        <v>0</v>
      </c>
      <c r="Z110" s="1886"/>
      <c r="AA110" s="1797"/>
      <c r="AB110" s="1795"/>
      <c r="AC110" s="1795"/>
      <c r="AD110" s="1887"/>
      <c r="AE110" s="1887"/>
      <c r="AF110" s="1874"/>
      <c r="AG110" s="1814"/>
      <c r="AK110" s="1874"/>
      <c r="AL110" s="1868"/>
      <c r="AM110" s="1857"/>
    </row>
    <row r="111" spans="1:39" s="1867" customFormat="1" ht="13.5" customHeight="1">
      <c r="A111" s="1857"/>
      <c r="B111" s="1827" t="s">
        <v>3910</v>
      </c>
      <c r="C111" s="1829" t="s">
        <v>3911</v>
      </c>
      <c r="D111" s="1830" t="s">
        <v>569</v>
      </c>
      <c r="E111" s="1789" t="s">
        <v>3912</v>
      </c>
      <c r="F111" s="1870">
        <v>43299</v>
      </c>
      <c r="G111" s="1872">
        <v>15</v>
      </c>
      <c r="H111" s="1808">
        <v>14</v>
      </c>
      <c r="I111" s="1808">
        <v>16</v>
      </c>
      <c r="J111" s="1872">
        <v>11.62</v>
      </c>
      <c r="K111" s="1875">
        <f t="shared" si="48"/>
        <v>21699.420999999998</v>
      </c>
      <c r="L111" s="1874">
        <f>4000000/1000</f>
        <v>4000</v>
      </c>
      <c r="M111" s="1874">
        <f>25699421/1000</f>
        <v>25699.420999999998</v>
      </c>
      <c r="N111" s="1875">
        <f t="shared" si="49"/>
        <v>325491.315</v>
      </c>
      <c r="O111" s="1874">
        <f t="shared" si="41"/>
        <v>60000</v>
      </c>
      <c r="P111" s="1875">
        <f t="shared" si="42"/>
        <v>385491.315</v>
      </c>
      <c r="Q111" s="1788"/>
      <c r="R111" s="1875">
        <v>1</v>
      </c>
      <c r="S111" s="1789">
        <f t="shared" si="43"/>
        <v>11.62</v>
      </c>
      <c r="T111" s="1877">
        <f t="shared" si="47"/>
        <v>298627.27201999997</v>
      </c>
      <c r="U111" s="1878">
        <f t="shared" si="44"/>
        <v>-0.22533333333333339</v>
      </c>
      <c r="V111" s="1879" t="s">
        <v>3913</v>
      </c>
      <c r="W111" s="1880" t="s">
        <v>3914</v>
      </c>
      <c r="X111" s="1881">
        <f t="shared" si="45"/>
        <v>385491.315</v>
      </c>
      <c r="Y111" s="1886">
        <f t="shared" si="46"/>
        <v>0</v>
      </c>
      <c r="Z111" s="1886"/>
      <c r="AA111" s="1797"/>
      <c r="AB111" s="1795"/>
      <c r="AC111" s="1795"/>
      <c r="AD111" s="1887"/>
      <c r="AE111" s="1887"/>
      <c r="AF111" s="1874"/>
      <c r="AG111" s="1814"/>
      <c r="AK111" s="1874"/>
      <c r="AL111" s="1868"/>
      <c r="AM111" s="1857"/>
    </row>
    <row r="112" spans="1:39" s="1867" customFormat="1" ht="13.5" customHeight="1">
      <c r="A112" s="1857"/>
      <c r="B112" s="1867" t="s">
        <v>3915</v>
      </c>
      <c r="C112" s="1868" t="s">
        <v>3916</v>
      </c>
      <c r="D112" s="1869" t="s">
        <v>1259</v>
      </c>
      <c r="E112" s="1868" t="s">
        <v>3917</v>
      </c>
      <c r="F112" s="1870">
        <v>43278</v>
      </c>
      <c r="G112" s="1872">
        <v>8</v>
      </c>
      <c r="H112" s="1872">
        <v>10</v>
      </c>
      <c r="I112" s="1872">
        <v>12</v>
      </c>
      <c r="J112" s="1872">
        <v>5.36</v>
      </c>
      <c r="K112" s="1875">
        <f t="shared" si="48"/>
        <v>10028.32</v>
      </c>
      <c r="L112" s="1874">
        <v>1400</v>
      </c>
      <c r="M112" s="1874">
        <v>11428.32</v>
      </c>
      <c r="N112" s="1875">
        <f t="shared" si="49"/>
        <v>80226.559999999998</v>
      </c>
      <c r="O112" s="1874">
        <f t="shared" si="41"/>
        <v>11200</v>
      </c>
      <c r="P112" s="1875">
        <f t="shared" si="42"/>
        <v>91426.559999999998</v>
      </c>
      <c r="Q112" s="1788"/>
      <c r="R112" s="1875">
        <v>1</v>
      </c>
      <c r="S112" s="1789">
        <f t="shared" si="43"/>
        <v>5.36</v>
      </c>
      <c r="T112" s="1877">
        <f t="shared" si="47"/>
        <v>61255.7952</v>
      </c>
      <c r="U112" s="1878">
        <f t="shared" si="44"/>
        <v>-0.32999999999999996</v>
      </c>
      <c r="V112" s="1879" t="s">
        <v>3918</v>
      </c>
      <c r="W112" s="1880" t="s">
        <v>3919</v>
      </c>
      <c r="X112" s="1881">
        <f t="shared" si="45"/>
        <v>91426.559999999998</v>
      </c>
      <c r="Y112" s="1886">
        <f t="shared" si="46"/>
        <v>0</v>
      </c>
      <c r="Z112" s="1886"/>
      <c r="AA112" s="1797"/>
      <c r="AB112" s="1795"/>
      <c r="AC112" s="1795"/>
      <c r="AD112" s="1887"/>
      <c r="AE112" s="1887"/>
      <c r="AF112" s="1874"/>
      <c r="AG112" s="1814"/>
      <c r="AK112" s="1874"/>
      <c r="AL112" s="1868"/>
      <c r="AM112" s="1857"/>
    </row>
    <row r="113" spans="1:39" s="1867" customFormat="1" ht="13.5" customHeight="1">
      <c r="A113" s="1857"/>
      <c r="B113" s="1867" t="s">
        <v>3920</v>
      </c>
      <c r="C113" s="1868" t="s">
        <v>3921</v>
      </c>
      <c r="D113" s="1869" t="s">
        <v>569</v>
      </c>
      <c r="E113" s="1868" t="s">
        <v>3922</v>
      </c>
      <c r="F113" s="1870">
        <v>43278</v>
      </c>
      <c r="G113" s="1872">
        <v>16</v>
      </c>
      <c r="H113" s="1872">
        <v>14</v>
      </c>
      <c r="I113" s="1872">
        <v>16</v>
      </c>
      <c r="J113" s="1872">
        <v>16.57</v>
      </c>
      <c r="K113" s="1875">
        <f t="shared" si="48"/>
        <v>22925.102999999999</v>
      </c>
      <c r="L113" s="1874">
        <v>7035</v>
      </c>
      <c r="M113" s="1874">
        <v>29960.102999999999</v>
      </c>
      <c r="N113" s="1875">
        <f t="shared" si="49"/>
        <v>366801.64799999999</v>
      </c>
      <c r="O113" s="1874">
        <f t="shared" si="41"/>
        <v>112560</v>
      </c>
      <c r="P113" s="1875">
        <f t="shared" si="42"/>
        <v>479361.64799999999</v>
      </c>
      <c r="Q113" s="1788"/>
      <c r="R113" s="1875">
        <v>1</v>
      </c>
      <c r="S113" s="1789">
        <f t="shared" si="43"/>
        <v>16.57</v>
      </c>
      <c r="T113" s="1877">
        <f t="shared" si="47"/>
        <v>496438.90671000001</v>
      </c>
      <c r="U113" s="1878">
        <f t="shared" si="44"/>
        <v>3.5625000000000018E-2</v>
      </c>
      <c r="V113" s="1879" t="s">
        <v>3923</v>
      </c>
      <c r="W113" s="1880" t="s">
        <v>3924</v>
      </c>
      <c r="X113" s="1881">
        <f t="shared" si="45"/>
        <v>479361.64799999999</v>
      </c>
      <c r="Y113" s="1886">
        <f t="shared" si="46"/>
        <v>0</v>
      </c>
      <c r="Z113" s="1886"/>
      <c r="AA113" s="1797"/>
      <c r="AB113" s="1795"/>
      <c r="AC113" s="1795"/>
      <c r="AD113" s="1887"/>
      <c r="AE113" s="1887"/>
      <c r="AF113" s="1874"/>
      <c r="AG113" s="1814"/>
      <c r="AK113" s="1874"/>
      <c r="AL113" s="1868"/>
      <c r="AM113" s="1857"/>
    </row>
    <row r="114" spans="1:39" s="1867" customFormat="1" ht="13.5" customHeight="1">
      <c r="A114" s="1857"/>
      <c r="B114" s="1867" t="s">
        <v>3925</v>
      </c>
      <c r="C114" s="1868" t="s">
        <v>3926</v>
      </c>
      <c r="D114" s="1869" t="s">
        <v>569</v>
      </c>
      <c r="E114" s="1868" t="s">
        <v>3927</v>
      </c>
      <c r="F114" s="1870">
        <v>43271</v>
      </c>
      <c r="G114" s="1872">
        <v>19</v>
      </c>
      <c r="H114" s="1872">
        <v>16</v>
      </c>
      <c r="I114" s="1872">
        <v>18</v>
      </c>
      <c r="J114" s="1872">
        <v>37.549999999999997</v>
      </c>
      <c r="K114" s="1875">
        <f t="shared" si="48"/>
        <v>17901.687000000002</v>
      </c>
      <c r="L114" s="1874">
        <f>5247958/1000</f>
        <v>5247.9579999999996</v>
      </c>
      <c r="M114" s="1874">
        <f>23149645/1000</f>
        <v>23149.645</v>
      </c>
      <c r="N114" s="1875">
        <f t="shared" si="49"/>
        <v>340132.05300000001</v>
      </c>
      <c r="O114" s="1874">
        <f t="shared" si="41"/>
        <v>99711.20199999999</v>
      </c>
      <c r="P114" s="1875">
        <f t="shared" si="42"/>
        <v>439843.255</v>
      </c>
      <c r="Q114" s="1788"/>
      <c r="R114" s="1875">
        <v>1</v>
      </c>
      <c r="S114" s="1789">
        <f t="shared" si="43"/>
        <v>37.549999999999997</v>
      </c>
      <c r="T114" s="1877">
        <f t="shared" si="47"/>
        <v>869269.16975</v>
      </c>
      <c r="U114" s="1878">
        <f t="shared" si="44"/>
        <v>0.97631578947368425</v>
      </c>
      <c r="V114" s="1879" t="s">
        <v>3928</v>
      </c>
      <c r="W114" s="1880" t="s">
        <v>3929</v>
      </c>
      <c r="X114" s="1881">
        <f t="shared" si="45"/>
        <v>439843.255</v>
      </c>
      <c r="Y114" s="1886">
        <f t="shared" si="46"/>
        <v>0</v>
      </c>
      <c r="Z114" s="1886"/>
      <c r="AA114" s="1797"/>
      <c r="AB114" s="1795"/>
      <c r="AC114" s="1795"/>
      <c r="AD114" s="1887"/>
      <c r="AE114" s="1887"/>
      <c r="AF114" s="1874"/>
      <c r="AG114" s="1814"/>
      <c r="AK114" s="1874"/>
      <c r="AL114" s="1868"/>
      <c r="AM114" s="1857"/>
    </row>
    <row r="115" spans="1:39" s="1867" customFormat="1" ht="13.5" customHeight="1">
      <c r="A115" s="1857"/>
      <c r="B115" s="1867" t="s">
        <v>3930</v>
      </c>
      <c r="C115" s="1868" t="s">
        <v>3931</v>
      </c>
      <c r="D115" s="1869" t="s">
        <v>569</v>
      </c>
      <c r="E115" s="1868" t="s">
        <v>3932</v>
      </c>
      <c r="F115" s="1870">
        <v>43271</v>
      </c>
      <c r="G115" s="1872">
        <v>15</v>
      </c>
      <c r="H115" s="1872">
        <v>14</v>
      </c>
      <c r="I115" s="1872">
        <v>16</v>
      </c>
      <c r="J115" s="1872">
        <v>15</v>
      </c>
      <c r="K115" s="1875">
        <f t="shared" si="48"/>
        <v>27703.599999999999</v>
      </c>
      <c r="L115" s="1874">
        <f>6666667/1000</f>
        <v>6666.6670000000004</v>
      </c>
      <c r="M115" s="1874">
        <f>34370267/1000</f>
        <v>34370.267</v>
      </c>
      <c r="N115" s="1875">
        <f t="shared" si="49"/>
        <v>415554</v>
      </c>
      <c r="O115" s="1874">
        <f t="shared" si="41"/>
        <v>100000.005</v>
      </c>
      <c r="P115" s="1875">
        <f t="shared" si="42"/>
        <v>515554.005</v>
      </c>
      <c r="Q115" s="1788"/>
      <c r="R115" s="1875">
        <v>1</v>
      </c>
      <c r="S115" s="1789">
        <f t="shared" si="43"/>
        <v>15</v>
      </c>
      <c r="T115" s="1877">
        <f t="shared" si="47"/>
        <v>515554.005</v>
      </c>
      <c r="U115" s="1878">
        <f t="shared" si="44"/>
        <v>0</v>
      </c>
      <c r="V115" s="1879" t="s">
        <v>3933</v>
      </c>
      <c r="W115" s="1880" t="s">
        <v>3934</v>
      </c>
      <c r="X115" s="1881">
        <f t="shared" si="45"/>
        <v>515554.005</v>
      </c>
      <c r="Y115" s="1886">
        <f t="shared" si="46"/>
        <v>0</v>
      </c>
      <c r="Z115" s="1886"/>
      <c r="AA115" s="1797"/>
      <c r="AB115" s="1795"/>
      <c r="AC115" s="1795"/>
      <c r="AD115" s="1887"/>
      <c r="AE115" s="1887"/>
      <c r="AF115" s="1874"/>
      <c r="AG115" s="1814"/>
      <c r="AK115" s="1874"/>
      <c r="AL115" s="1868"/>
      <c r="AM115" s="1857"/>
    </row>
    <row r="116" spans="1:39" s="1867" customFormat="1" ht="13.5" customHeight="1">
      <c r="A116" s="1857"/>
      <c r="B116" s="1867" t="s">
        <v>3935</v>
      </c>
      <c r="C116" s="1868" t="s">
        <v>3936</v>
      </c>
      <c r="D116" s="1869" t="s">
        <v>569</v>
      </c>
      <c r="E116" s="1868" t="s">
        <v>3937</v>
      </c>
      <c r="F116" s="1870">
        <v>43271</v>
      </c>
      <c r="G116" s="1872">
        <v>16</v>
      </c>
      <c r="H116" s="1872">
        <v>14</v>
      </c>
      <c r="I116" s="1872">
        <v>16</v>
      </c>
      <c r="J116" s="1872">
        <v>20.21</v>
      </c>
      <c r="K116" s="1875">
        <f t="shared" si="48"/>
        <v>26136.225999999999</v>
      </c>
      <c r="L116" s="1874">
        <f>6399999/1000</f>
        <v>6399.9989999999998</v>
      </c>
      <c r="M116" s="1874">
        <f>32536225/1000</f>
        <v>32536.224999999999</v>
      </c>
      <c r="N116" s="1875">
        <f t="shared" si="49"/>
        <v>418179.61599999998</v>
      </c>
      <c r="O116" s="1874">
        <f t="shared" si="41"/>
        <v>102399.984</v>
      </c>
      <c r="P116" s="1875">
        <f t="shared" si="42"/>
        <v>520579.6</v>
      </c>
      <c r="Q116" s="1788"/>
      <c r="R116" s="1875">
        <v>1</v>
      </c>
      <c r="S116" s="1789">
        <f t="shared" si="43"/>
        <v>20.21</v>
      </c>
      <c r="T116" s="1877">
        <f t="shared" si="47"/>
        <v>657557.10725</v>
      </c>
      <c r="U116" s="1878">
        <f t="shared" si="44"/>
        <v>0.26312500000000005</v>
      </c>
      <c r="V116" s="1879" t="s">
        <v>3938</v>
      </c>
      <c r="W116" s="1880" t="s">
        <v>3939</v>
      </c>
      <c r="X116" s="1881">
        <f t="shared" si="45"/>
        <v>520579.6</v>
      </c>
      <c r="Y116" s="1886">
        <f t="shared" si="46"/>
        <v>0</v>
      </c>
      <c r="Z116" s="1886"/>
      <c r="AA116" s="1797"/>
      <c r="AB116" s="1795"/>
      <c r="AC116" s="1795"/>
      <c r="AD116" s="1887"/>
      <c r="AE116" s="1887"/>
      <c r="AF116" s="1874"/>
      <c r="AG116" s="1814"/>
      <c r="AK116" s="1874"/>
      <c r="AL116" s="1868"/>
      <c r="AM116" s="1857"/>
    </row>
    <row r="117" spans="1:39" s="1867" customFormat="1" ht="13.5" customHeight="1">
      <c r="A117" s="1857"/>
      <c r="B117" s="1867" t="s">
        <v>3940</v>
      </c>
      <c r="C117" s="1868" t="s">
        <v>3941</v>
      </c>
      <c r="D117" s="1869" t="s">
        <v>569</v>
      </c>
      <c r="E117" s="1868" t="s">
        <v>3942</v>
      </c>
      <c r="F117" s="1870">
        <v>43270</v>
      </c>
      <c r="G117" s="1872">
        <v>17</v>
      </c>
      <c r="H117" s="1872">
        <v>15</v>
      </c>
      <c r="I117" s="1872">
        <v>17</v>
      </c>
      <c r="J117" s="1872">
        <v>21.28</v>
      </c>
      <c r="K117" s="1875">
        <f t="shared" si="48"/>
        <v>29564.527000000002</v>
      </c>
      <c r="L117" s="1874">
        <f>6250000/1000</f>
        <v>6250</v>
      </c>
      <c r="M117" s="1874">
        <f>35814527/1000</f>
        <v>35814.527000000002</v>
      </c>
      <c r="N117" s="1875">
        <f t="shared" si="49"/>
        <v>502596.95900000003</v>
      </c>
      <c r="O117" s="1874">
        <f t="shared" si="41"/>
        <v>106250</v>
      </c>
      <c r="P117" s="1875">
        <f t="shared" si="42"/>
        <v>608846.95900000003</v>
      </c>
      <c r="Q117" s="1788"/>
      <c r="R117" s="1875">
        <v>1</v>
      </c>
      <c r="S117" s="1789">
        <f t="shared" si="43"/>
        <v>21.28</v>
      </c>
      <c r="T117" s="1877">
        <f t="shared" si="47"/>
        <v>762133.13456000003</v>
      </c>
      <c r="U117" s="1878">
        <f t="shared" si="44"/>
        <v>0.25176470588235289</v>
      </c>
      <c r="V117" s="1879" t="s">
        <v>3943</v>
      </c>
      <c r="W117" s="1880" t="s">
        <v>3944</v>
      </c>
      <c r="X117" s="1881">
        <f t="shared" si="45"/>
        <v>608846.95900000003</v>
      </c>
      <c r="Y117" s="1886">
        <f t="shared" si="46"/>
        <v>0</v>
      </c>
      <c r="Z117" s="1886"/>
      <c r="AA117" s="1797"/>
      <c r="AB117" s="1795"/>
      <c r="AC117" s="1795"/>
      <c r="AD117" s="1887"/>
      <c r="AE117" s="1887"/>
      <c r="AF117" s="1874"/>
      <c r="AG117" s="1814"/>
      <c r="AK117" s="1874"/>
      <c r="AL117" s="1868"/>
      <c r="AM117" s="1857"/>
    </row>
    <row r="118" spans="1:39" s="1867" customFormat="1" ht="13.5" customHeight="1">
      <c r="A118" s="1857"/>
      <c r="B118" s="1867" t="s">
        <v>3945</v>
      </c>
      <c r="C118" s="1868" t="s">
        <v>3946</v>
      </c>
      <c r="D118" s="1869" t="s">
        <v>569</v>
      </c>
      <c r="E118" s="1868" t="s">
        <v>3947</v>
      </c>
      <c r="F118" s="1870">
        <v>43243</v>
      </c>
      <c r="G118" s="1872">
        <v>18</v>
      </c>
      <c r="H118" s="1872">
        <v>17</v>
      </c>
      <c r="I118" s="1872">
        <v>19</v>
      </c>
      <c r="J118" s="1872">
        <v>19.22</v>
      </c>
      <c r="K118" s="1875">
        <f t="shared" si="48"/>
        <v>6270.5689999999995</v>
      </c>
      <c r="L118" s="1874">
        <f>8477777/1000</f>
        <v>8477.777</v>
      </c>
      <c r="M118" s="1874">
        <f>14748346/1000</f>
        <v>14748.346</v>
      </c>
      <c r="N118" s="1875">
        <f t="shared" si="49"/>
        <v>112870.242</v>
      </c>
      <c r="O118" s="1874">
        <f t="shared" si="41"/>
        <v>152599.986</v>
      </c>
      <c r="P118" s="1875">
        <f t="shared" si="42"/>
        <v>265470.228</v>
      </c>
      <c r="Q118" s="1788"/>
      <c r="R118" s="1875">
        <v>1</v>
      </c>
      <c r="S118" s="1789">
        <f t="shared" si="43"/>
        <v>19.22</v>
      </c>
      <c r="T118" s="1877">
        <f t="shared" si="47"/>
        <v>283463.21012</v>
      </c>
      <c r="U118" s="1878">
        <f t="shared" si="44"/>
        <v>6.7777777777777715E-2</v>
      </c>
      <c r="V118" s="1879" t="s">
        <v>3948</v>
      </c>
      <c r="W118" s="1880" t="s">
        <v>3949</v>
      </c>
      <c r="X118" s="1881">
        <f t="shared" si="45"/>
        <v>265470.228</v>
      </c>
      <c r="Y118" s="1886">
        <f t="shared" si="46"/>
        <v>0</v>
      </c>
      <c r="Z118" s="1886"/>
      <c r="AA118" s="1797"/>
      <c r="AB118" s="1795"/>
      <c r="AC118" s="1795"/>
      <c r="AD118" s="1887"/>
      <c r="AE118" s="1887"/>
      <c r="AF118" s="1874"/>
      <c r="AG118" s="1814"/>
      <c r="AK118" s="1874"/>
      <c r="AL118" s="1868"/>
      <c r="AM118" s="1857"/>
    </row>
    <row r="119" spans="1:39" s="1867" customFormat="1" ht="13.5" customHeight="1">
      <c r="A119" s="1857"/>
      <c r="B119" s="1867" t="s">
        <v>3950</v>
      </c>
      <c r="C119" s="1868" t="s">
        <v>3951</v>
      </c>
      <c r="D119" s="1869" t="s">
        <v>569</v>
      </c>
      <c r="E119" s="1868" t="s">
        <v>3952</v>
      </c>
      <c r="F119" s="1870">
        <v>43187</v>
      </c>
      <c r="G119" s="1872">
        <v>5</v>
      </c>
      <c r="H119" s="1872">
        <v>4</v>
      </c>
      <c r="I119" s="1872">
        <v>6</v>
      </c>
      <c r="J119" s="1872">
        <v>4.7</v>
      </c>
      <c r="K119" s="1875">
        <f>+M119-L119</f>
        <v>11755.004000000001</v>
      </c>
      <c r="L119" s="1874">
        <v>1280</v>
      </c>
      <c r="M119" s="1874">
        <v>13035.004000000001</v>
      </c>
      <c r="N119" s="1875">
        <f>+G119*K119</f>
        <v>58775.020000000004</v>
      </c>
      <c r="O119" s="1874">
        <v>6400</v>
      </c>
      <c r="P119" s="1875">
        <f>+N119+O119</f>
        <v>65175.020000000004</v>
      </c>
      <c r="Q119" s="1788"/>
      <c r="R119" s="1875">
        <v>1</v>
      </c>
      <c r="S119" s="1789">
        <f>J119</f>
        <v>4.7</v>
      </c>
      <c r="T119" s="1877">
        <f>S119*M119</f>
        <v>61264.518800000005</v>
      </c>
      <c r="U119" s="1878">
        <f>T119/P119-1</f>
        <v>-5.9999999999999942E-2</v>
      </c>
      <c r="V119" s="1879" t="s">
        <v>3953</v>
      </c>
      <c r="W119" s="1880" t="s">
        <v>3954</v>
      </c>
      <c r="X119" s="1881">
        <f>+N119+O119</f>
        <v>65175.020000000004</v>
      </c>
      <c r="Y119" s="1886"/>
      <c r="Z119" s="1886"/>
      <c r="AA119" s="1797"/>
      <c r="AB119" s="1795"/>
      <c r="AC119" s="1795"/>
      <c r="AD119" s="1887"/>
      <c r="AE119" s="1887"/>
      <c r="AF119" s="1874"/>
      <c r="AG119" s="1814"/>
      <c r="AK119" s="1874"/>
      <c r="AL119" s="1868"/>
      <c r="AM119" s="1857"/>
    </row>
    <row r="120" spans="1:39" s="1867" customFormat="1" ht="13.5" customHeight="1">
      <c r="A120" s="1857"/>
      <c r="B120" s="1867" t="s">
        <v>3955</v>
      </c>
      <c r="C120" s="1868" t="s">
        <v>3956</v>
      </c>
      <c r="D120" s="1869" t="s">
        <v>569</v>
      </c>
      <c r="E120" s="1868" t="s">
        <v>3957</v>
      </c>
      <c r="F120" s="1870">
        <v>43131</v>
      </c>
      <c r="G120" s="1872">
        <v>12</v>
      </c>
      <c r="H120" s="1872">
        <v>11</v>
      </c>
      <c r="I120" s="1872">
        <v>13</v>
      </c>
      <c r="J120" s="1872">
        <v>10.77</v>
      </c>
      <c r="K120" s="1875">
        <f>+M120-L120</f>
        <v>11735.069</v>
      </c>
      <c r="L120" s="1874">
        <v>6250</v>
      </c>
      <c r="M120" s="1874">
        <v>17985.069</v>
      </c>
      <c r="N120" s="1875">
        <f>+G120*K120</f>
        <v>140820.82799999998</v>
      </c>
      <c r="O120" s="1874">
        <v>75000</v>
      </c>
      <c r="P120" s="1875">
        <f>+N120+O120</f>
        <v>215820.82799999998</v>
      </c>
      <c r="Q120" s="1788"/>
      <c r="R120" s="1875">
        <v>1</v>
      </c>
      <c r="S120" s="1789">
        <f>J120</f>
        <v>10.77</v>
      </c>
      <c r="T120" s="1877">
        <f>S120*M120</f>
        <v>193699.19313</v>
      </c>
      <c r="U120" s="1878">
        <f>T120/P120-1</f>
        <v>-0.10249999999999992</v>
      </c>
      <c r="V120" s="1879" t="s">
        <v>3958</v>
      </c>
      <c r="W120" s="1880" t="s">
        <v>3959</v>
      </c>
      <c r="X120" s="1881">
        <f>+N120+O120</f>
        <v>215820.82799999998</v>
      </c>
      <c r="Y120" s="1886"/>
      <c r="Z120" s="1886"/>
      <c r="AA120" s="1797"/>
      <c r="AB120" s="1795"/>
      <c r="AC120" s="1795"/>
      <c r="AD120" s="1887"/>
      <c r="AE120" s="1887"/>
      <c r="AF120" s="1874"/>
      <c r="AG120" s="1814"/>
      <c r="AK120" s="1874"/>
      <c r="AL120" s="1868"/>
      <c r="AM120" s="1857"/>
    </row>
    <row r="121" spans="1:39" s="1867" customFormat="1" ht="13.5" customHeight="1">
      <c r="A121" s="1857"/>
      <c r="B121" s="1867" t="s">
        <v>3960</v>
      </c>
      <c r="C121" s="1868" t="s">
        <v>3961</v>
      </c>
      <c r="D121" s="1869" t="s">
        <v>1164</v>
      </c>
      <c r="E121" s="1868" t="s">
        <v>3962</v>
      </c>
      <c r="F121" s="1870">
        <v>43125</v>
      </c>
      <c r="G121" s="1872">
        <v>15</v>
      </c>
      <c r="H121" s="1872">
        <v>14</v>
      </c>
      <c r="I121" s="1872">
        <v>16</v>
      </c>
      <c r="J121" s="1872">
        <v>16.5</v>
      </c>
      <c r="K121" s="1875">
        <f>+M121-L121</f>
        <v>21529.647999999997</v>
      </c>
      <c r="L121" s="1874">
        <v>5666.6670000000004</v>
      </c>
      <c r="M121" s="1874">
        <v>27196.314999999999</v>
      </c>
      <c r="N121" s="1875">
        <f>+G121*K121</f>
        <v>322944.71999999997</v>
      </c>
      <c r="O121" s="1874">
        <v>85000.01</v>
      </c>
      <c r="P121" s="1875">
        <f>+N121+O121</f>
        <v>407944.73</v>
      </c>
      <c r="Q121" s="1788"/>
      <c r="R121" s="1875">
        <v>1</v>
      </c>
      <c r="S121" s="1789">
        <f>J121</f>
        <v>16.5</v>
      </c>
      <c r="T121" s="1877">
        <f>S121*M121</f>
        <v>448739.19749999995</v>
      </c>
      <c r="U121" s="1878">
        <f>T121/P121-1</f>
        <v>9.9999986517781414E-2</v>
      </c>
      <c r="V121" s="1879" t="s">
        <v>3963</v>
      </c>
      <c r="W121" s="1880" t="s">
        <v>3964</v>
      </c>
      <c r="X121" s="1881">
        <f>+N121+O121</f>
        <v>407944.73</v>
      </c>
      <c r="Y121" s="1886"/>
      <c r="Z121" s="1886"/>
      <c r="AA121" s="1797"/>
      <c r="AB121" s="1795"/>
      <c r="AC121" s="1795"/>
      <c r="AD121" s="1887"/>
      <c r="AE121" s="1887"/>
      <c r="AF121" s="1874"/>
      <c r="AG121" s="1814"/>
      <c r="AK121" s="1874"/>
      <c r="AL121" s="1868"/>
      <c r="AM121" s="1857"/>
    </row>
    <row r="122" spans="1:39" s="1867" customFormat="1" ht="13.5" customHeight="1">
      <c r="A122" s="1857"/>
      <c r="B122" s="1867" t="s">
        <v>3965</v>
      </c>
      <c r="C122" s="1868" t="s">
        <v>3966</v>
      </c>
      <c r="D122" s="1869" t="s">
        <v>569</v>
      </c>
      <c r="E122" s="1868" t="s">
        <v>3967</v>
      </c>
      <c r="F122" s="1870">
        <v>43124</v>
      </c>
      <c r="G122" s="1872">
        <v>17</v>
      </c>
      <c r="H122" s="1872">
        <v>14</v>
      </c>
      <c r="I122" s="1872">
        <v>16</v>
      </c>
      <c r="J122" s="1872">
        <v>36.49</v>
      </c>
      <c r="K122" s="1875">
        <f>+M122-L122</f>
        <v>14927.998</v>
      </c>
      <c r="L122" s="1874">
        <v>7000</v>
      </c>
      <c r="M122" s="1874">
        <v>21927.998</v>
      </c>
      <c r="N122" s="1875">
        <f>+G122*K122</f>
        <v>253775.96599999999</v>
      </c>
      <c r="O122" s="1874">
        <v>119000</v>
      </c>
      <c r="P122" s="1875">
        <f>+N122+O122</f>
        <v>372775.96600000001</v>
      </c>
      <c r="Q122" s="1788"/>
      <c r="R122" s="1875">
        <v>1</v>
      </c>
      <c r="S122" s="1789">
        <f>J122</f>
        <v>36.49</v>
      </c>
      <c r="T122" s="1877">
        <f>S122*M122</f>
        <v>800152.64702000003</v>
      </c>
      <c r="U122" s="1878">
        <f>T122/P122-1</f>
        <v>1.1464705882352941</v>
      </c>
      <c r="V122" s="1879" t="s">
        <v>3968</v>
      </c>
      <c r="W122" s="1880" t="s">
        <v>3969</v>
      </c>
      <c r="X122" s="1881">
        <f>+N122+O122</f>
        <v>372775.96600000001</v>
      </c>
      <c r="Y122" s="1886"/>
      <c r="Z122" s="1886"/>
      <c r="AA122" s="1797"/>
      <c r="AB122" s="1795"/>
      <c r="AC122" s="1795"/>
      <c r="AD122" s="1887"/>
      <c r="AE122" s="1887"/>
      <c r="AF122" s="1874"/>
      <c r="AG122" s="1814"/>
      <c r="AK122" s="1874"/>
      <c r="AL122" s="1868"/>
      <c r="AM122" s="1857"/>
    </row>
    <row r="123" spans="1:39" s="1867" customFormat="1" ht="13.5" customHeight="1">
      <c r="A123" s="1857"/>
      <c r="B123" s="1867" t="s">
        <v>3970</v>
      </c>
      <c r="C123" s="1868" t="s">
        <v>3971</v>
      </c>
      <c r="D123" s="1869" t="s">
        <v>569</v>
      </c>
      <c r="E123" s="1868" t="s">
        <v>3972</v>
      </c>
      <c r="F123" s="1870">
        <v>43124</v>
      </c>
      <c r="G123" s="1872">
        <v>10</v>
      </c>
      <c r="H123" s="1872">
        <v>10</v>
      </c>
      <c r="I123" s="1872">
        <v>12</v>
      </c>
      <c r="J123" s="1872">
        <v>8.8699999999999992</v>
      </c>
      <c r="K123" s="1875">
        <f>+M123-L123</f>
        <v>7206.7710000000006</v>
      </c>
      <c r="L123" s="1874">
        <v>2730</v>
      </c>
      <c r="M123" s="1874">
        <v>9936.7710000000006</v>
      </c>
      <c r="N123" s="1875">
        <f>+G123*K123</f>
        <v>72067.710000000006</v>
      </c>
      <c r="O123" s="1874">
        <v>27300</v>
      </c>
      <c r="P123" s="1875">
        <f>+N123+O123</f>
        <v>99367.71</v>
      </c>
      <c r="Q123" s="1788"/>
      <c r="R123" s="1875">
        <v>1</v>
      </c>
      <c r="S123" s="1789">
        <f>J123</f>
        <v>8.8699999999999992</v>
      </c>
      <c r="T123" s="1877">
        <f>S123*M123</f>
        <v>88139.158769999995</v>
      </c>
      <c r="U123" s="1878">
        <f>T123/P123-1</f>
        <v>-0.1130000000000001</v>
      </c>
      <c r="V123" s="1879" t="s">
        <v>3973</v>
      </c>
      <c r="W123" s="1880" t="s">
        <v>3974</v>
      </c>
      <c r="X123" s="1881">
        <f>+N123+O123</f>
        <v>99367.71</v>
      </c>
      <c r="Y123" s="1886"/>
      <c r="Z123" s="1886"/>
      <c r="AA123" s="1797"/>
      <c r="AB123" s="1795"/>
      <c r="AC123" s="1795"/>
      <c r="AD123" s="1887"/>
      <c r="AE123" s="1887"/>
      <c r="AF123" s="1874"/>
      <c r="AG123" s="1814"/>
      <c r="AK123" s="1874"/>
      <c r="AL123" s="1868"/>
      <c r="AM123" s="1857"/>
    </row>
    <row r="124" spans="1:39" s="1827" customFormat="1" ht="13.5" customHeight="1">
      <c r="A124" s="1814"/>
      <c r="B124" s="1827" t="s">
        <v>1912</v>
      </c>
      <c r="C124" s="1828" t="s">
        <v>1913</v>
      </c>
      <c r="D124" s="1829" t="s">
        <v>569</v>
      </c>
      <c r="E124" s="1828" t="s">
        <v>1914</v>
      </c>
      <c r="F124" s="1870">
        <v>43075</v>
      </c>
      <c r="G124" s="1872">
        <v>24</v>
      </c>
      <c r="H124" s="1836">
        <v>24</v>
      </c>
      <c r="I124" s="1836">
        <v>27</v>
      </c>
      <c r="J124" s="1872">
        <v>22.72</v>
      </c>
      <c r="K124" s="1875">
        <f t="shared" ref="K124:K159" si="50">+M124-L124</f>
        <v>20640.356</v>
      </c>
      <c r="L124" s="1874">
        <v>6250</v>
      </c>
      <c r="M124" s="1874">
        <v>26890.356</v>
      </c>
      <c r="N124" s="1875">
        <f t="shared" ref="N124:N159" si="51">+G124*K124</f>
        <v>495368.54399999999</v>
      </c>
      <c r="O124" s="1874">
        <f t="shared" ref="O124:O159" si="52">+G124*L124</f>
        <v>150000</v>
      </c>
      <c r="P124" s="1875">
        <f t="shared" ref="P124:P159" si="53">+N124+O124</f>
        <v>645368.54399999999</v>
      </c>
      <c r="Q124" s="1788"/>
      <c r="R124" s="1785">
        <v>1</v>
      </c>
      <c r="S124" s="1789">
        <f t="shared" ref="S124:S159" si="54">J124</f>
        <v>22.72</v>
      </c>
      <c r="T124" s="1833">
        <f t="shared" ref="T124:T159" si="55">S124*M124</f>
        <v>610948.88831999991</v>
      </c>
      <c r="U124" s="1834">
        <f t="shared" ref="U124:U159" si="56">T124/P124-1</f>
        <v>-5.3333333333333455E-2</v>
      </c>
      <c r="V124" s="1831" t="s">
        <v>1915</v>
      </c>
      <c r="W124" s="1832" t="s">
        <v>1916</v>
      </c>
      <c r="X124" s="1810">
        <f t="shared" ref="X124:X159" si="57">+N124+O124</f>
        <v>645368.54399999999</v>
      </c>
      <c r="Y124" s="1890"/>
      <c r="Z124" s="1890"/>
      <c r="AA124" s="1797"/>
      <c r="AB124" s="1795"/>
      <c r="AC124" s="1795"/>
      <c r="AD124" s="1891"/>
      <c r="AE124" s="1891"/>
      <c r="AF124" s="1813"/>
      <c r="AG124" s="1814"/>
      <c r="AK124" s="1813"/>
      <c r="AL124" s="1828"/>
      <c r="AM124" s="1814"/>
    </row>
    <row r="125" spans="1:39" s="1827" customFormat="1" ht="13.5" customHeight="1">
      <c r="A125" s="1814"/>
      <c r="B125" s="1827" t="s">
        <v>1855</v>
      </c>
      <c r="C125" s="1828" t="s">
        <v>1856</v>
      </c>
      <c r="D125" s="1829" t="s">
        <v>569</v>
      </c>
      <c r="E125" s="1828" t="s">
        <v>1857</v>
      </c>
      <c r="F125" s="1870">
        <v>43054</v>
      </c>
      <c r="G125" s="1872">
        <v>10</v>
      </c>
      <c r="H125" s="1836">
        <v>15</v>
      </c>
      <c r="I125" s="1836">
        <v>17</v>
      </c>
      <c r="J125" s="1872">
        <v>11.2</v>
      </c>
      <c r="K125" s="1875">
        <f t="shared" si="50"/>
        <v>9694.3829999999998</v>
      </c>
      <c r="L125" s="1874">
        <v>4000</v>
      </c>
      <c r="M125" s="1874">
        <v>13694.383</v>
      </c>
      <c r="N125" s="1875">
        <f t="shared" si="51"/>
        <v>96943.83</v>
      </c>
      <c r="O125" s="1874">
        <f t="shared" si="52"/>
        <v>40000</v>
      </c>
      <c r="P125" s="1875">
        <f t="shared" si="53"/>
        <v>136943.83000000002</v>
      </c>
      <c r="Q125" s="1788"/>
      <c r="R125" s="1785">
        <v>1</v>
      </c>
      <c r="S125" s="1789">
        <f t="shared" si="54"/>
        <v>11.2</v>
      </c>
      <c r="T125" s="1833">
        <f t="shared" si="55"/>
        <v>153377.08959999998</v>
      </c>
      <c r="U125" s="1834">
        <f t="shared" si="56"/>
        <v>0.11999999999999966</v>
      </c>
      <c r="V125" s="1831" t="s">
        <v>1858</v>
      </c>
      <c r="W125" s="1832" t="s">
        <v>1859</v>
      </c>
      <c r="X125" s="1810">
        <f t="shared" si="57"/>
        <v>136943.83000000002</v>
      </c>
      <c r="Y125" s="1890"/>
      <c r="Z125" s="1890"/>
      <c r="AA125" s="1797"/>
      <c r="AB125" s="1795"/>
      <c r="AC125" s="1795"/>
      <c r="AD125" s="1891"/>
      <c r="AE125" s="1891"/>
      <c r="AF125" s="1813"/>
      <c r="AG125" s="1814"/>
      <c r="AK125" s="1813"/>
      <c r="AL125" s="1828"/>
      <c r="AM125" s="1814"/>
    </row>
    <row r="126" spans="1:39" s="1827" customFormat="1" ht="13.5" customHeight="1">
      <c r="A126" s="1814"/>
      <c r="B126" s="1827" t="s">
        <v>1861</v>
      </c>
      <c r="C126" s="1828" t="s">
        <v>1862</v>
      </c>
      <c r="D126" s="1829" t="s">
        <v>569</v>
      </c>
      <c r="E126" s="1828" t="s">
        <v>1863</v>
      </c>
      <c r="F126" s="1870">
        <v>43047</v>
      </c>
      <c r="G126" s="1872">
        <v>15</v>
      </c>
      <c r="H126" s="1836">
        <v>14</v>
      </c>
      <c r="I126" s="1836">
        <v>16</v>
      </c>
      <c r="J126" s="1872">
        <v>19.190000000000001</v>
      </c>
      <c r="K126" s="1875">
        <f t="shared" si="50"/>
        <v>16743.972000000002</v>
      </c>
      <c r="L126" s="1874">
        <v>6667</v>
      </c>
      <c r="M126" s="1874">
        <v>23410.972000000002</v>
      </c>
      <c r="N126" s="1875">
        <f t="shared" si="51"/>
        <v>251159.58000000002</v>
      </c>
      <c r="O126" s="1874">
        <f t="shared" si="52"/>
        <v>100005</v>
      </c>
      <c r="P126" s="1875">
        <f t="shared" si="53"/>
        <v>351164.58</v>
      </c>
      <c r="Q126" s="1788"/>
      <c r="R126" s="1785">
        <v>1</v>
      </c>
      <c r="S126" s="1789">
        <f t="shared" si="54"/>
        <v>19.190000000000001</v>
      </c>
      <c r="T126" s="1833">
        <f t="shared" si="55"/>
        <v>449256.55268000008</v>
      </c>
      <c r="U126" s="1834">
        <f t="shared" si="56"/>
        <v>0.27933333333333343</v>
      </c>
      <c r="V126" s="1831" t="s">
        <v>1864</v>
      </c>
      <c r="W126" s="1832" t="s">
        <v>1865</v>
      </c>
      <c r="X126" s="1810">
        <f t="shared" si="57"/>
        <v>351164.58</v>
      </c>
      <c r="Y126" s="1890"/>
      <c r="Z126" s="1890"/>
      <c r="AA126" s="1797"/>
      <c r="AB126" s="1795"/>
      <c r="AC126" s="1795"/>
      <c r="AD126" s="1891"/>
      <c r="AE126" s="1891"/>
      <c r="AF126" s="1813"/>
      <c r="AG126" s="1814"/>
      <c r="AK126" s="1813"/>
      <c r="AL126" s="1828"/>
      <c r="AM126" s="1814"/>
    </row>
    <row r="127" spans="1:39" s="1827" customFormat="1" ht="13.5" customHeight="1">
      <c r="A127" s="1814"/>
      <c r="B127" s="1827" t="s">
        <v>1866</v>
      </c>
      <c r="C127" s="1828" t="s">
        <v>1867</v>
      </c>
      <c r="D127" s="1829" t="s">
        <v>569</v>
      </c>
      <c r="E127" s="1828" t="s">
        <v>1868</v>
      </c>
      <c r="F127" s="1870">
        <v>43047</v>
      </c>
      <c r="G127" s="1872">
        <v>14</v>
      </c>
      <c r="H127" s="1836">
        <v>13</v>
      </c>
      <c r="I127" s="1836">
        <v>15</v>
      </c>
      <c r="J127" s="1872">
        <v>14.38</v>
      </c>
      <c r="K127" s="1875">
        <f t="shared" si="50"/>
        <v>38542.936999999998</v>
      </c>
      <c r="L127" s="1874">
        <v>10714</v>
      </c>
      <c r="M127" s="1874">
        <v>49256.936999999998</v>
      </c>
      <c r="N127" s="1875">
        <f t="shared" si="51"/>
        <v>539601.11800000002</v>
      </c>
      <c r="O127" s="1874">
        <f t="shared" si="52"/>
        <v>149996</v>
      </c>
      <c r="P127" s="1875">
        <f t="shared" si="53"/>
        <v>689597.11800000002</v>
      </c>
      <c r="Q127" s="1788"/>
      <c r="R127" s="1785">
        <v>1</v>
      </c>
      <c r="S127" s="1789">
        <f t="shared" si="54"/>
        <v>14.38</v>
      </c>
      <c r="T127" s="1833">
        <f t="shared" si="55"/>
        <v>708314.75406000006</v>
      </c>
      <c r="U127" s="1834">
        <f t="shared" si="56"/>
        <v>2.7142857142857135E-2</v>
      </c>
      <c r="V127" s="1831" t="s">
        <v>1869</v>
      </c>
      <c r="W127" s="1832" t="s">
        <v>1870</v>
      </c>
      <c r="X127" s="1810">
        <f t="shared" si="57"/>
        <v>689597.11800000002</v>
      </c>
      <c r="Y127" s="1890"/>
      <c r="Z127" s="1890"/>
      <c r="AA127" s="1797"/>
      <c r="AB127" s="1795"/>
      <c r="AC127" s="1795"/>
      <c r="AD127" s="1891"/>
      <c r="AE127" s="1891"/>
      <c r="AF127" s="1813"/>
      <c r="AG127" s="1814"/>
      <c r="AK127" s="1813"/>
      <c r="AL127" s="1828"/>
      <c r="AM127" s="1814"/>
    </row>
    <row r="128" spans="1:39" s="1827" customFormat="1" ht="13.5" customHeight="1">
      <c r="A128" s="1814"/>
      <c r="B128" s="1827" t="s">
        <v>1932</v>
      </c>
      <c r="C128" s="1828" t="s">
        <v>1933</v>
      </c>
      <c r="D128" s="1829" t="s">
        <v>569</v>
      </c>
      <c r="E128" s="1828" t="s">
        <v>1934</v>
      </c>
      <c r="F128" s="1870">
        <v>43040</v>
      </c>
      <c r="G128" s="1872">
        <v>14</v>
      </c>
      <c r="H128" s="1836">
        <v>14</v>
      </c>
      <c r="I128" s="1836">
        <v>16</v>
      </c>
      <c r="J128" s="1872">
        <v>14</v>
      </c>
      <c r="K128" s="1875">
        <f t="shared" si="50"/>
        <v>15288.515000000003</v>
      </c>
      <c r="L128" s="1874">
        <v>5333.3329999999996</v>
      </c>
      <c r="M128" s="1874">
        <v>20621.848000000002</v>
      </c>
      <c r="N128" s="1875">
        <f t="shared" si="51"/>
        <v>214039.21000000005</v>
      </c>
      <c r="O128" s="1874">
        <f t="shared" si="52"/>
        <v>74666.661999999997</v>
      </c>
      <c r="P128" s="1875">
        <f t="shared" si="53"/>
        <v>288705.87200000003</v>
      </c>
      <c r="Q128" s="1788"/>
      <c r="R128" s="1785">
        <v>1</v>
      </c>
      <c r="S128" s="1789">
        <f t="shared" si="54"/>
        <v>14</v>
      </c>
      <c r="T128" s="1833">
        <f t="shared" si="55"/>
        <v>288705.87200000003</v>
      </c>
      <c r="U128" s="1834">
        <f t="shared" si="56"/>
        <v>0</v>
      </c>
      <c r="V128" s="1831" t="s">
        <v>1935</v>
      </c>
      <c r="W128" s="1832" t="s">
        <v>1936</v>
      </c>
      <c r="X128" s="1810">
        <f t="shared" si="57"/>
        <v>288705.87200000003</v>
      </c>
      <c r="Y128" s="1890"/>
      <c r="Z128" s="1890"/>
      <c r="AA128" s="1797"/>
      <c r="AB128" s="1795"/>
      <c r="AC128" s="1795"/>
      <c r="AD128" s="1891"/>
      <c r="AE128" s="1891"/>
      <c r="AF128" s="1813"/>
      <c r="AG128" s="1814"/>
      <c r="AK128" s="1813"/>
      <c r="AL128" s="1828"/>
      <c r="AM128" s="1814"/>
    </row>
    <row r="129" spans="1:73" s="1827" customFormat="1" ht="13.5" customHeight="1">
      <c r="A129" s="1814"/>
      <c r="B129" s="1827" t="s">
        <v>1884</v>
      </c>
      <c r="C129" s="1828" t="s">
        <v>1885</v>
      </c>
      <c r="D129" s="1829" t="s">
        <v>569</v>
      </c>
      <c r="E129" s="1828" t="s">
        <v>1886</v>
      </c>
      <c r="F129" s="1870">
        <v>43012</v>
      </c>
      <c r="G129" s="1872">
        <v>17</v>
      </c>
      <c r="H129" s="1836">
        <v>14</v>
      </c>
      <c r="I129" s="1836">
        <v>16</v>
      </c>
      <c r="J129" s="1872">
        <v>25.89</v>
      </c>
      <c r="K129" s="1875">
        <f t="shared" si="50"/>
        <v>20081.484</v>
      </c>
      <c r="L129" s="1874">
        <v>7050</v>
      </c>
      <c r="M129" s="1874">
        <v>27131.484</v>
      </c>
      <c r="N129" s="1875">
        <f t="shared" si="51"/>
        <v>341385.228</v>
      </c>
      <c r="O129" s="1874">
        <f t="shared" si="52"/>
        <v>119850</v>
      </c>
      <c r="P129" s="1875">
        <f t="shared" si="53"/>
        <v>461235.228</v>
      </c>
      <c r="Q129" s="1788"/>
      <c r="R129" s="1785">
        <v>1</v>
      </c>
      <c r="S129" s="1789">
        <f t="shared" si="54"/>
        <v>25.89</v>
      </c>
      <c r="T129" s="1833">
        <f t="shared" si="55"/>
        <v>702434.12076000008</v>
      </c>
      <c r="U129" s="1834">
        <f t="shared" si="56"/>
        <v>0.52294117647058846</v>
      </c>
      <c r="V129" s="1831" t="s">
        <v>1887</v>
      </c>
      <c r="W129" s="1832" t="s">
        <v>1888</v>
      </c>
      <c r="X129" s="1810">
        <f t="shared" si="57"/>
        <v>461235.228</v>
      </c>
      <c r="Y129" s="1890"/>
      <c r="Z129" s="1890"/>
      <c r="AA129" s="1797"/>
      <c r="AB129" s="1795"/>
      <c r="AC129" s="1795"/>
      <c r="AD129" s="1891"/>
      <c r="AE129" s="1891"/>
      <c r="AF129" s="1813"/>
      <c r="AG129" s="1814"/>
      <c r="AK129" s="1813"/>
      <c r="AL129" s="1828"/>
      <c r="AM129" s="1814"/>
    </row>
    <row r="130" spans="1:73" s="1827" customFormat="1" ht="13.5" customHeight="1">
      <c r="A130" s="1814"/>
      <c r="B130" s="1827" t="s">
        <v>1937</v>
      </c>
      <c r="C130" s="1828" t="s">
        <v>1938</v>
      </c>
      <c r="D130" s="1829" t="s">
        <v>569</v>
      </c>
      <c r="E130" s="1828" t="s">
        <v>1939</v>
      </c>
      <c r="F130" s="1870">
        <v>42948</v>
      </c>
      <c r="G130" s="1872">
        <v>15</v>
      </c>
      <c r="H130" s="1836">
        <v>13</v>
      </c>
      <c r="I130" s="1836">
        <v>15</v>
      </c>
      <c r="J130" s="1872">
        <v>17</v>
      </c>
      <c r="K130" s="1875">
        <f t="shared" si="50"/>
        <v>22526.583999999999</v>
      </c>
      <c r="L130" s="1874">
        <v>8000</v>
      </c>
      <c r="M130" s="1874">
        <v>30526.583999999999</v>
      </c>
      <c r="N130" s="1875">
        <f t="shared" si="51"/>
        <v>337898.76</v>
      </c>
      <c r="O130" s="1874">
        <f t="shared" si="52"/>
        <v>120000</v>
      </c>
      <c r="P130" s="1875">
        <f t="shared" si="53"/>
        <v>457898.76</v>
      </c>
      <c r="Q130" s="1788"/>
      <c r="R130" s="1785">
        <v>1</v>
      </c>
      <c r="S130" s="1789">
        <f t="shared" si="54"/>
        <v>17</v>
      </c>
      <c r="T130" s="1833">
        <f t="shared" si="55"/>
        <v>518951.92799999996</v>
      </c>
      <c r="U130" s="1834">
        <f t="shared" si="56"/>
        <v>0.1333333333333333</v>
      </c>
      <c r="V130" s="1831" t="s">
        <v>1940</v>
      </c>
      <c r="W130" s="1832" t="s">
        <v>1941</v>
      </c>
      <c r="X130" s="1810">
        <f t="shared" si="57"/>
        <v>457898.76</v>
      </c>
      <c r="Y130" s="1890"/>
      <c r="Z130" s="1890"/>
      <c r="AA130" s="1797"/>
      <c r="AB130" s="1795"/>
      <c r="AC130" s="1795"/>
      <c r="AD130" s="1891"/>
      <c r="AE130" s="1891"/>
      <c r="AF130" s="1813"/>
      <c r="AG130" s="1814"/>
      <c r="AK130" s="1813"/>
      <c r="AL130" s="1828"/>
      <c r="AM130" s="1814"/>
    </row>
    <row r="131" spans="1:73" s="1827" customFormat="1" ht="13.5" customHeight="1">
      <c r="A131" s="1814"/>
      <c r="B131" s="1827" t="s">
        <v>1871</v>
      </c>
      <c r="C131" s="1828" t="s">
        <v>1872</v>
      </c>
      <c r="D131" s="1829" t="s">
        <v>1164</v>
      </c>
      <c r="E131" s="1828" t="s">
        <v>1873</v>
      </c>
      <c r="F131" s="1870">
        <v>42942</v>
      </c>
      <c r="G131" s="1872">
        <v>15</v>
      </c>
      <c r="H131" s="1836">
        <v>14</v>
      </c>
      <c r="I131" s="1836">
        <v>16</v>
      </c>
      <c r="J131" s="1872">
        <v>24.1</v>
      </c>
      <c r="K131" s="1875">
        <f t="shared" si="50"/>
        <v>15555</v>
      </c>
      <c r="L131" s="1874">
        <v>4333</v>
      </c>
      <c r="M131" s="1874">
        <v>19888</v>
      </c>
      <c r="N131" s="1875">
        <f t="shared" si="51"/>
        <v>233325</v>
      </c>
      <c r="O131" s="1874">
        <f t="shared" si="52"/>
        <v>64995</v>
      </c>
      <c r="P131" s="1875">
        <f t="shared" si="53"/>
        <v>298320</v>
      </c>
      <c r="Q131" s="1788"/>
      <c r="R131" s="1785">
        <v>1</v>
      </c>
      <c r="S131" s="1789">
        <f t="shared" si="54"/>
        <v>24.1</v>
      </c>
      <c r="T131" s="1833">
        <f t="shared" si="55"/>
        <v>479300.80000000005</v>
      </c>
      <c r="U131" s="1834">
        <f t="shared" si="56"/>
        <v>0.60666666666666691</v>
      </c>
      <c r="V131" s="1831" t="s">
        <v>1873</v>
      </c>
      <c r="W131" s="1832" t="s">
        <v>1874</v>
      </c>
      <c r="X131" s="1810">
        <f t="shared" si="57"/>
        <v>298320</v>
      </c>
      <c r="Y131" s="1890" t="s">
        <v>1860</v>
      </c>
      <c r="Z131" s="1890">
        <v>31719000</v>
      </c>
      <c r="AA131" s="1797">
        <v>-31420676</v>
      </c>
      <c r="AB131" s="1795"/>
      <c r="AC131" s="1795"/>
      <c r="AD131" s="1891"/>
      <c r="AE131" s="1891"/>
      <c r="AF131" s="1813" t="s">
        <v>1860</v>
      </c>
      <c r="AG131" s="1814"/>
      <c r="AK131" s="1813"/>
      <c r="AL131" s="1828"/>
      <c r="AM131" s="1814"/>
    </row>
    <row r="132" spans="1:73" s="1827" customFormat="1" ht="13.5" customHeight="1">
      <c r="A132" s="1814"/>
      <c r="B132" s="1827" t="s">
        <v>1875</v>
      </c>
      <c r="C132" s="1828" t="s">
        <v>1876</v>
      </c>
      <c r="D132" s="1829" t="s">
        <v>1259</v>
      </c>
      <c r="E132" s="1828" t="s">
        <v>1877</v>
      </c>
      <c r="F132" s="1870">
        <v>42914</v>
      </c>
      <c r="G132" s="1872">
        <v>15</v>
      </c>
      <c r="H132" s="1836">
        <v>15</v>
      </c>
      <c r="I132" s="1836">
        <v>17</v>
      </c>
      <c r="J132" s="1872">
        <v>13.19</v>
      </c>
      <c r="K132" s="1875">
        <f t="shared" si="50"/>
        <v>10960.208000000001</v>
      </c>
      <c r="L132" s="1874">
        <v>3750</v>
      </c>
      <c r="M132" s="1874">
        <v>14710.208000000001</v>
      </c>
      <c r="N132" s="1875">
        <f t="shared" si="51"/>
        <v>164403.12</v>
      </c>
      <c r="O132" s="1874">
        <f t="shared" si="52"/>
        <v>56250</v>
      </c>
      <c r="P132" s="1875">
        <f t="shared" si="53"/>
        <v>220653.12</v>
      </c>
      <c r="Q132" s="1788"/>
      <c r="R132" s="1785">
        <v>1</v>
      </c>
      <c r="S132" s="1789">
        <f t="shared" si="54"/>
        <v>13.19</v>
      </c>
      <c r="T132" s="1833">
        <f t="shared" si="55"/>
        <v>194027.64352000001</v>
      </c>
      <c r="U132" s="1834">
        <f t="shared" si="56"/>
        <v>-0.12066666666666659</v>
      </c>
      <c r="V132" s="1831" t="s">
        <v>1942</v>
      </c>
      <c r="W132" s="1832" t="s">
        <v>1878</v>
      </c>
      <c r="X132" s="1810">
        <f t="shared" si="57"/>
        <v>220653.12</v>
      </c>
      <c r="Y132" s="1890"/>
      <c r="Z132" s="1890"/>
      <c r="AA132" s="1797"/>
      <c r="AB132" s="1795"/>
      <c r="AC132" s="1795"/>
      <c r="AD132" s="1891"/>
      <c r="AE132" s="1891"/>
      <c r="AF132" s="1813"/>
      <c r="AG132" s="1814"/>
      <c r="AK132" s="1813"/>
      <c r="AL132" s="1828"/>
      <c r="AM132" s="1814"/>
    </row>
    <row r="133" spans="1:73" s="1827" customFormat="1" ht="13.5" customHeight="1">
      <c r="A133" s="1814"/>
      <c r="B133" s="1827" t="s">
        <v>1879</v>
      </c>
      <c r="C133" s="1828" t="s">
        <v>1880</v>
      </c>
      <c r="D133" s="1829" t="s">
        <v>569</v>
      </c>
      <c r="E133" s="1828" t="s">
        <v>1881</v>
      </c>
      <c r="F133" s="1870">
        <v>42912</v>
      </c>
      <c r="G133" s="1872">
        <v>6</v>
      </c>
      <c r="H133" s="1836">
        <v>9</v>
      </c>
      <c r="I133" s="1836">
        <v>11</v>
      </c>
      <c r="J133" s="1872">
        <v>6.98</v>
      </c>
      <c r="K133" s="1875">
        <f t="shared" si="50"/>
        <v>3341.4680000000008</v>
      </c>
      <c r="L133" s="1874">
        <v>5500</v>
      </c>
      <c r="M133" s="1874">
        <v>8841.4680000000008</v>
      </c>
      <c r="N133" s="1875">
        <f t="shared" si="51"/>
        <v>20048.808000000005</v>
      </c>
      <c r="O133" s="1874">
        <f t="shared" si="52"/>
        <v>33000</v>
      </c>
      <c r="P133" s="1875">
        <f t="shared" si="53"/>
        <v>53048.808000000005</v>
      </c>
      <c r="Q133" s="1788"/>
      <c r="R133" s="1785">
        <v>1</v>
      </c>
      <c r="S133" s="1789">
        <f t="shared" si="54"/>
        <v>6.98</v>
      </c>
      <c r="T133" s="1833">
        <f t="shared" si="55"/>
        <v>61713.446640000009</v>
      </c>
      <c r="U133" s="1834">
        <f t="shared" si="56"/>
        <v>0.16333333333333333</v>
      </c>
      <c r="V133" s="1831" t="s">
        <v>1882</v>
      </c>
      <c r="W133" s="1832" t="s">
        <v>1883</v>
      </c>
      <c r="X133" s="1810">
        <f t="shared" si="57"/>
        <v>53048.808000000005</v>
      </c>
      <c r="Y133" s="1890">
        <v>5982</v>
      </c>
      <c r="Z133" s="1890">
        <v>0</v>
      </c>
      <c r="AA133" s="1797">
        <v>59030.808000000005</v>
      </c>
      <c r="AB133" s="1795">
        <v>0</v>
      </c>
      <c r="AC133" s="1795">
        <v>0</v>
      </c>
      <c r="AD133" s="1891" t="s">
        <v>13</v>
      </c>
      <c r="AE133" s="1891" t="s">
        <v>13</v>
      </c>
      <c r="AF133" s="1813">
        <f>+P133-X133</f>
        <v>0</v>
      </c>
      <c r="AG133" s="1814"/>
      <c r="AK133" s="1813"/>
      <c r="AL133" s="1828"/>
      <c r="AM133" s="1814"/>
    </row>
    <row r="134" spans="1:73" s="1827" customFormat="1" ht="13.5" customHeight="1">
      <c r="A134" s="1814"/>
      <c r="B134" s="1827" t="s">
        <v>1816</v>
      </c>
      <c r="C134" s="1828" t="s">
        <v>1817</v>
      </c>
      <c r="D134" s="1829" t="s">
        <v>569</v>
      </c>
      <c r="E134" s="1828" t="s">
        <v>1818</v>
      </c>
      <c r="F134" s="1870">
        <v>42859</v>
      </c>
      <c r="G134" s="1872">
        <v>15</v>
      </c>
      <c r="H134" s="1836">
        <v>15</v>
      </c>
      <c r="I134" s="1836">
        <v>17</v>
      </c>
      <c r="J134" s="1872">
        <v>12.15</v>
      </c>
      <c r="K134" s="1875">
        <f t="shared" si="50"/>
        <v>18851.937000000002</v>
      </c>
      <c r="L134" s="1874">
        <v>5750</v>
      </c>
      <c r="M134" s="1874">
        <v>24601.937000000002</v>
      </c>
      <c r="N134" s="1875">
        <f t="shared" si="51"/>
        <v>282779.05500000005</v>
      </c>
      <c r="O134" s="1874">
        <f t="shared" si="52"/>
        <v>86250</v>
      </c>
      <c r="P134" s="1875">
        <f t="shared" si="53"/>
        <v>369029.05500000005</v>
      </c>
      <c r="Q134" s="1788"/>
      <c r="R134" s="1785">
        <v>1</v>
      </c>
      <c r="S134" s="1789">
        <f t="shared" si="54"/>
        <v>12.15</v>
      </c>
      <c r="T134" s="1833">
        <f t="shared" si="55"/>
        <v>298913.53455000004</v>
      </c>
      <c r="U134" s="1834">
        <f t="shared" si="56"/>
        <v>-0.19000000000000006</v>
      </c>
      <c r="V134" s="1831" t="s">
        <v>1819</v>
      </c>
      <c r="W134" s="1832" t="s">
        <v>1820</v>
      </c>
      <c r="X134" s="1810">
        <f t="shared" si="57"/>
        <v>369029.05500000005</v>
      </c>
      <c r="Y134" s="1890" t="e">
        <f ca="1">_xll.ciqfunctions.udf.CIQ(C134, "IQ_TOTAL_DEBT", , F134, , , "USD")*1000</f>
        <v>#NAME?</v>
      </c>
      <c r="Z134" s="1890" t="e">
        <f ca="1">_xll.ciqfunctions.udf.CIQ(C134, "IQ_CASH_EQUIV", , F134, , , "USD")*1000</f>
        <v>#NAME?</v>
      </c>
      <c r="AA134" s="1797" t="e">
        <f ca="1">X134+Y134-Z134</f>
        <v>#NAME?</v>
      </c>
      <c r="AB134" s="1795" t="e">
        <f ca="1">_xll.ciqfunctions.udf.CIQ($C134, "IQ_TOTAL_REV", IQ_LTM, $F$20, $Y$2, $Y$1, $Y$3, $Y$4)*1000</f>
        <v>#NAME?</v>
      </c>
      <c r="AC134" s="1795" t="e">
        <f ca="1">_xll.ciqfunctions.udf.CIQ($C134, "IQ_EBITDA", IQ_LTM, $F$20, $Y$2, $Y$1, $Y$3, $Y$4)*1000</f>
        <v>#NAME?</v>
      </c>
      <c r="AD134" s="1891" t="str">
        <f ca="1">IFERROR(AA134/AB134,"n/a")</f>
        <v>n/a</v>
      </c>
      <c r="AE134" s="1891" t="str">
        <f ca="1">IFERROR(AA134/AC134,"n/a")</f>
        <v>n/a</v>
      </c>
      <c r="AF134" s="1813">
        <f>+P134-X134</f>
        <v>0</v>
      </c>
      <c r="AG134" s="1814"/>
      <c r="AK134" s="1813"/>
      <c r="AL134" s="1828"/>
      <c r="AM134" s="1814"/>
    </row>
    <row r="135" spans="1:73" s="1827" customFormat="1" ht="13.5" customHeight="1">
      <c r="A135" s="1814"/>
      <c r="B135" s="1827" t="s">
        <v>1943</v>
      </c>
      <c r="C135" s="1828" t="s">
        <v>1944</v>
      </c>
      <c r="D135" s="1829" t="s">
        <v>1259</v>
      </c>
      <c r="E135" s="1828" t="s">
        <v>1945</v>
      </c>
      <c r="F135" s="1870">
        <v>42858</v>
      </c>
      <c r="G135" s="1872">
        <v>13</v>
      </c>
      <c r="H135" s="1836">
        <v>12</v>
      </c>
      <c r="I135" s="1836">
        <v>14</v>
      </c>
      <c r="J135" s="1872">
        <v>18.64</v>
      </c>
      <c r="K135" s="1875">
        <f t="shared" si="50"/>
        <v>7499.17</v>
      </c>
      <c r="L135" s="1874">
        <v>4473.3729999999996</v>
      </c>
      <c r="M135" s="1874">
        <v>11972.543</v>
      </c>
      <c r="N135" s="1875">
        <f t="shared" si="51"/>
        <v>97489.21</v>
      </c>
      <c r="O135" s="1874">
        <f t="shared" si="52"/>
        <v>58153.848999999995</v>
      </c>
      <c r="P135" s="1875">
        <f t="shared" si="53"/>
        <v>155643.05900000001</v>
      </c>
      <c r="Q135" s="1788"/>
      <c r="R135" s="1785">
        <v>1</v>
      </c>
      <c r="S135" s="1789">
        <f t="shared" si="54"/>
        <v>18.64</v>
      </c>
      <c r="T135" s="1833">
        <f t="shared" si="55"/>
        <v>223168.20152</v>
      </c>
      <c r="U135" s="1834">
        <f t="shared" si="56"/>
        <v>0.43384615384615377</v>
      </c>
      <c r="V135" s="1831" t="s">
        <v>1946</v>
      </c>
      <c r="W135" s="1832" t="s">
        <v>1947</v>
      </c>
      <c r="X135" s="1810">
        <f t="shared" si="57"/>
        <v>155643.05900000001</v>
      </c>
      <c r="Y135" s="1890"/>
      <c r="Z135" s="1890"/>
      <c r="AA135" s="1797"/>
      <c r="AB135" s="1795"/>
      <c r="AC135" s="1795"/>
      <c r="AD135" s="1891"/>
      <c r="AE135" s="1891"/>
      <c r="AF135" s="1813"/>
      <c r="AG135" s="1814"/>
      <c r="AK135" s="1813"/>
      <c r="AL135" s="1828"/>
      <c r="AM135" s="1814"/>
    </row>
    <row r="136" spans="1:73" s="1827" customFormat="1" ht="13.5" customHeight="1">
      <c r="A136" s="1814"/>
      <c r="B136" s="1827" t="s">
        <v>1821</v>
      </c>
      <c r="C136" s="1828" t="s">
        <v>1822</v>
      </c>
      <c r="D136" s="1829" t="s">
        <v>1531</v>
      </c>
      <c r="E136" s="1828" t="s">
        <v>1823</v>
      </c>
      <c r="F136" s="1870">
        <v>42858</v>
      </c>
      <c r="G136" s="1872">
        <v>17</v>
      </c>
      <c r="H136" s="1836">
        <v>14</v>
      </c>
      <c r="I136" s="1836">
        <v>16</v>
      </c>
      <c r="J136" s="1872">
        <v>21.87</v>
      </c>
      <c r="K136" s="1875">
        <f t="shared" si="50"/>
        <v>24330.582999999999</v>
      </c>
      <c r="L136" s="1874">
        <v>8333.3330000000005</v>
      </c>
      <c r="M136" s="1874">
        <v>32663.916000000001</v>
      </c>
      <c r="N136" s="1875">
        <f t="shared" si="51"/>
        <v>413619.91099999996</v>
      </c>
      <c r="O136" s="1874">
        <f t="shared" si="52"/>
        <v>141666.66100000002</v>
      </c>
      <c r="P136" s="1875">
        <f t="shared" si="53"/>
        <v>555286.57199999993</v>
      </c>
      <c r="Q136" s="1788"/>
      <c r="R136" s="1785">
        <v>1</v>
      </c>
      <c r="S136" s="1789">
        <f t="shared" si="54"/>
        <v>21.87</v>
      </c>
      <c r="T136" s="1833">
        <f t="shared" si="55"/>
        <v>714359.84292000008</v>
      </c>
      <c r="U136" s="1834">
        <f t="shared" si="56"/>
        <v>0.28647058823529448</v>
      </c>
      <c r="V136" s="1831" t="s">
        <v>1825</v>
      </c>
      <c r="W136" s="1832" t="s">
        <v>1824</v>
      </c>
      <c r="X136" s="1810">
        <f t="shared" si="57"/>
        <v>555286.57199999993</v>
      </c>
      <c r="Y136" s="1890" t="e">
        <f ca="1">_xll.ciqfunctions.udf.CIQ(C136, "IQ_TOTAL_DEBT", , F136, , , "USD")*1000</f>
        <v>#NAME?</v>
      </c>
      <c r="Z136" s="1890" t="e">
        <f ca="1">_xll.ciqfunctions.udf.CIQ(C136, "IQ_CASH_EQUIV", , F136, , , "USD")*1000</f>
        <v>#NAME?</v>
      </c>
      <c r="AA136" s="1797" t="e">
        <f t="shared" ref="AA136:AA156" ca="1" si="58">X136+Y136-Z136</f>
        <v>#NAME?</v>
      </c>
      <c r="AB136" s="1795" t="e">
        <f ca="1">_xll.ciqfunctions.udf.CIQ($C136, "IQ_TOTAL_REV", IQ_LTM, $F$20, $Y$2, $Y$1, $Y$3, $Y$4)*1000</f>
        <v>#NAME?</v>
      </c>
      <c r="AC136" s="1795" t="e">
        <f ca="1">_xll.ciqfunctions.udf.CIQ($C136, "IQ_EBITDA", IQ_LTM, $F$20, $Y$2, $Y$1, $Y$3, $Y$4)*1000</f>
        <v>#NAME?</v>
      </c>
      <c r="AD136" s="1891" t="str">
        <f t="shared" ref="AD136:AD156" ca="1" si="59">IFERROR(AA136/AB136,"n/a")</f>
        <v>n/a</v>
      </c>
      <c r="AE136" s="1891" t="str">
        <f t="shared" ref="AE136:AE156" ca="1" si="60">IFERROR(AA136/AC136,"n/a")</f>
        <v>n/a</v>
      </c>
      <c r="AF136" s="1813">
        <f t="shared" ref="AF136:AF156" si="61">+P136-X136</f>
        <v>0</v>
      </c>
      <c r="AG136" s="1814"/>
      <c r="AK136" s="1813"/>
      <c r="AL136" s="1828"/>
      <c r="AM136" s="1814"/>
    </row>
    <row r="137" spans="1:73" s="1827" customFormat="1" ht="13.5" customHeight="1">
      <c r="A137" s="1814"/>
      <c r="B137" s="1827" t="s">
        <v>1529</v>
      </c>
      <c r="C137" s="1828" t="s">
        <v>1530</v>
      </c>
      <c r="D137" s="1829" t="s">
        <v>1531</v>
      </c>
      <c r="E137" s="1828" t="s">
        <v>1532</v>
      </c>
      <c r="F137" s="1870">
        <v>42837</v>
      </c>
      <c r="G137" s="1872">
        <v>10</v>
      </c>
      <c r="H137" s="1836">
        <v>10</v>
      </c>
      <c r="I137" s="1836">
        <v>12</v>
      </c>
      <c r="J137" s="1872">
        <v>16.690000000000001</v>
      </c>
      <c r="K137" s="1875">
        <f t="shared" si="50"/>
        <v>9897.3070000000007</v>
      </c>
      <c r="L137" s="1874">
        <v>7250</v>
      </c>
      <c r="M137" s="1874">
        <v>17147.307000000001</v>
      </c>
      <c r="N137" s="1875">
        <f t="shared" si="51"/>
        <v>98973.07</v>
      </c>
      <c r="O137" s="1874">
        <f t="shared" si="52"/>
        <v>72500</v>
      </c>
      <c r="P137" s="1875">
        <f t="shared" si="53"/>
        <v>171473.07</v>
      </c>
      <c r="Q137" s="1788"/>
      <c r="R137" s="1785">
        <v>1</v>
      </c>
      <c r="S137" s="1789">
        <f t="shared" si="54"/>
        <v>16.690000000000001</v>
      </c>
      <c r="T137" s="1833">
        <f t="shared" si="55"/>
        <v>286188.55383000005</v>
      </c>
      <c r="U137" s="1834">
        <f t="shared" si="56"/>
        <v>0.66900000000000026</v>
      </c>
      <c r="V137" s="1831" t="s">
        <v>1533</v>
      </c>
      <c r="W137" s="1832" t="s">
        <v>1534</v>
      </c>
      <c r="X137" s="1810">
        <f t="shared" si="57"/>
        <v>171473.07</v>
      </c>
      <c r="Y137" s="1810">
        <v>20839000</v>
      </c>
      <c r="Z137" s="1810">
        <v>5510</v>
      </c>
      <c r="AA137" s="1797">
        <f t="shared" si="58"/>
        <v>21004963.07</v>
      </c>
      <c r="AB137" s="1795">
        <v>54</v>
      </c>
      <c r="AC137" s="1837">
        <v>-25990</v>
      </c>
      <c r="AD137" s="1812">
        <f t="shared" si="59"/>
        <v>388980.7975925926</v>
      </c>
      <c r="AE137" s="1812">
        <f t="shared" si="60"/>
        <v>-808.19403886110047</v>
      </c>
      <c r="AF137" s="1813">
        <f t="shared" si="61"/>
        <v>0</v>
      </c>
      <c r="AG137" s="1814"/>
      <c r="AK137" s="1813"/>
      <c r="AL137" s="1828"/>
      <c r="AM137" s="1814"/>
    </row>
    <row r="138" spans="1:73" s="1827" customFormat="1" ht="13.5" customHeight="1">
      <c r="A138" s="1814"/>
      <c r="B138" s="1827" t="s">
        <v>1535</v>
      </c>
      <c r="C138" s="1828" t="s">
        <v>1536</v>
      </c>
      <c r="D138" s="1829" t="s">
        <v>1164</v>
      </c>
      <c r="E138" s="1828" t="s">
        <v>1537</v>
      </c>
      <c r="F138" s="1870">
        <v>42760</v>
      </c>
      <c r="G138" s="1872">
        <v>15</v>
      </c>
      <c r="H138" s="1789">
        <v>14</v>
      </c>
      <c r="I138" s="1789">
        <v>16</v>
      </c>
      <c r="J138" s="1872">
        <v>13.99</v>
      </c>
      <c r="K138" s="1875">
        <f t="shared" si="50"/>
        <v>23181.261999999999</v>
      </c>
      <c r="L138" s="1874">
        <f>6450000/1000</f>
        <v>6450</v>
      </c>
      <c r="M138" s="1874">
        <f>29631262/1000</f>
        <v>29631.261999999999</v>
      </c>
      <c r="N138" s="1875">
        <f t="shared" si="51"/>
        <v>347718.93</v>
      </c>
      <c r="O138" s="1874">
        <f t="shared" si="52"/>
        <v>96750</v>
      </c>
      <c r="P138" s="1875">
        <f t="shared" si="53"/>
        <v>444468.93</v>
      </c>
      <c r="Q138" s="1788"/>
      <c r="R138" s="1785">
        <v>1</v>
      </c>
      <c r="S138" s="1789">
        <f t="shared" si="54"/>
        <v>13.99</v>
      </c>
      <c r="T138" s="1833">
        <f t="shared" si="55"/>
        <v>414541.35537999996</v>
      </c>
      <c r="U138" s="1834">
        <f t="shared" si="56"/>
        <v>-6.7333333333333356E-2</v>
      </c>
      <c r="V138" s="1831" t="s">
        <v>1537</v>
      </c>
      <c r="W138" s="1832" t="s">
        <v>1538</v>
      </c>
      <c r="X138" s="1810">
        <f t="shared" si="57"/>
        <v>444468.93</v>
      </c>
      <c r="Y138" s="1810">
        <v>0</v>
      </c>
      <c r="Z138" s="1810">
        <v>38910</v>
      </c>
      <c r="AA138" s="1797">
        <f t="shared" si="58"/>
        <v>405558.93</v>
      </c>
      <c r="AB138" s="1795">
        <v>0</v>
      </c>
      <c r="AC138" s="1837">
        <v>-20977</v>
      </c>
      <c r="AD138" s="1812" t="str">
        <f t="shared" si="59"/>
        <v>n/a</v>
      </c>
      <c r="AE138" s="1812">
        <f t="shared" si="60"/>
        <v>-19.333504790961531</v>
      </c>
      <c r="AF138" s="1813">
        <f t="shared" si="61"/>
        <v>0</v>
      </c>
      <c r="AG138" s="1814"/>
      <c r="AH138" s="1814"/>
      <c r="AI138" s="1814"/>
      <c r="AJ138" s="1814"/>
      <c r="AK138" s="1814"/>
      <c r="AL138" s="1814"/>
      <c r="AM138" s="1814" t="s">
        <v>1539</v>
      </c>
      <c r="AN138" s="1814" t="s">
        <v>1540</v>
      </c>
      <c r="AO138" s="1814" t="s">
        <v>1541</v>
      </c>
      <c r="AP138" s="1814"/>
      <c r="AQ138" s="1814">
        <v>6450000</v>
      </c>
      <c r="AR138" s="1814">
        <v>6450000</v>
      </c>
      <c r="AS138" s="1814">
        <v>29631262</v>
      </c>
      <c r="AT138" s="1814"/>
      <c r="AU138" s="1814">
        <f>AQ138-AW138</f>
        <v>0</v>
      </c>
      <c r="AV138" s="1814">
        <f>AS138-AY138</f>
        <v>0</v>
      </c>
      <c r="AW138" s="1814">
        <v>6450000</v>
      </c>
      <c r="AX138" s="1814">
        <f>AW138+BA138</f>
        <v>7417500</v>
      </c>
      <c r="AY138" s="1814">
        <v>29631262</v>
      </c>
      <c r="AZ138" s="1814">
        <f>AY138+BA138</f>
        <v>30598762</v>
      </c>
      <c r="BA138" s="1814">
        <v>967500</v>
      </c>
      <c r="BB138" s="1814">
        <f>BC138*J138</f>
        <v>414541327.40000004</v>
      </c>
      <c r="BC138" s="1814">
        <v>29631260</v>
      </c>
      <c r="BD138" s="1814">
        <f>+J138*M138</f>
        <v>414541.35537999996</v>
      </c>
      <c r="BE138" s="1814">
        <v>42761</v>
      </c>
      <c r="BF138" s="1814">
        <f>+BE138+30</f>
        <v>42791</v>
      </c>
      <c r="BG138" s="1814">
        <f>BE138+90</f>
        <v>42851</v>
      </c>
      <c r="BH138" s="1814">
        <v>29631260</v>
      </c>
      <c r="BI138" s="1814">
        <v>13.62</v>
      </c>
      <c r="BJ138" s="1814">
        <f>BI138*BH138</f>
        <v>403577761.19999999</v>
      </c>
      <c r="BK138" s="1814" t="s">
        <v>1542</v>
      </c>
      <c r="BL138" s="1814">
        <v>38910000</v>
      </c>
      <c r="BM138" s="1814">
        <v>0</v>
      </c>
      <c r="BN138" s="1814" t="e">
        <f ca="1">_xll.ciqfunctions.udf.CIQ(C138, "IQ_MARKETCAP", $BN$1)*1000000</f>
        <v>#NAME?</v>
      </c>
      <c r="BO138" s="1814">
        <v>123139750</v>
      </c>
      <c r="BP138" s="1814" t="e">
        <f ca="1">(BN138-BO138)/BN138</f>
        <v>#NAME?</v>
      </c>
      <c r="BQ138" s="1814"/>
      <c r="BR138" s="1814" t="s">
        <v>1543</v>
      </c>
      <c r="BS138" s="1814"/>
      <c r="BT138" s="1814"/>
      <c r="BU138" s="1814" t="b">
        <f>IF(ABS(O138-P138)&lt;100,TRUE,FALSE)</f>
        <v>0</v>
      </c>
    </row>
    <row r="139" spans="1:73" s="1814" customFormat="1" ht="13.5" customHeight="1">
      <c r="B139" s="1827" t="s">
        <v>1014</v>
      </c>
      <c r="C139" s="1828" t="s">
        <v>1015</v>
      </c>
      <c r="D139" s="1829" t="s">
        <v>569</v>
      </c>
      <c r="E139" s="1828" t="s">
        <v>1016</v>
      </c>
      <c r="F139" s="1870">
        <v>42586</v>
      </c>
      <c r="G139" s="1872">
        <v>10</v>
      </c>
      <c r="H139" s="1789">
        <v>11</v>
      </c>
      <c r="I139" s="1789">
        <v>13</v>
      </c>
      <c r="J139" s="1872">
        <v>13.23</v>
      </c>
      <c r="K139" s="1875">
        <f t="shared" si="50"/>
        <v>5431.6149999999998</v>
      </c>
      <c r="L139" s="1874">
        <v>3000</v>
      </c>
      <c r="M139" s="1874">
        <v>8431.6149999999998</v>
      </c>
      <c r="N139" s="1875">
        <f t="shared" si="51"/>
        <v>54316.149999999994</v>
      </c>
      <c r="O139" s="1874">
        <f t="shared" si="52"/>
        <v>30000</v>
      </c>
      <c r="P139" s="1875">
        <f t="shared" si="53"/>
        <v>84316.15</v>
      </c>
      <c r="Q139" s="1788"/>
      <c r="R139" s="1785">
        <v>1</v>
      </c>
      <c r="S139" s="1789">
        <f t="shared" si="54"/>
        <v>13.23</v>
      </c>
      <c r="T139" s="1833">
        <f t="shared" si="55"/>
        <v>111550.26645</v>
      </c>
      <c r="U139" s="1834">
        <f t="shared" si="56"/>
        <v>0.32299999999999995</v>
      </c>
      <c r="V139" s="1831" t="s">
        <v>1017</v>
      </c>
      <c r="W139" s="1832" t="s">
        <v>1018</v>
      </c>
      <c r="X139" s="1810">
        <f t="shared" si="57"/>
        <v>84316.15</v>
      </c>
      <c r="Y139" s="1810">
        <v>6461000</v>
      </c>
      <c r="Z139" s="1810">
        <v>1629</v>
      </c>
      <c r="AA139" s="1797">
        <f t="shared" si="58"/>
        <v>6543687.1500000004</v>
      </c>
      <c r="AB139" s="1795">
        <v>0</v>
      </c>
      <c r="AC139" s="1837">
        <v>0</v>
      </c>
      <c r="AD139" s="1812" t="str">
        <f t="shared" si="59"/>
        <v>n/a</v>
      </c>
      <c r="AE139" s="1812" t="str">
        <f t="shared" si="60"/>
        <v>n/a</v>
      </c>
      <c r="AF139" s="1813">
        <f t="shared" si="61"/>
        <v>0</v>
      </c>
    </row>
    <row r="140" spans="1:73" s="1814" customFormat="1" ht="13.5" customHeight="1">
      <c r="B140" s="1827" t="s">
        <v>1019</v>
      </c>
      <c r="C140" s="1828" t="s">
        <v>1020</v>
      </c>
      <c r="D140" s="1829" t="s">
        <v>569</v>
      </c>
      <c r="E140" s="1828" t="s">
        <v>1021</v>
      </c>
      <c r="F140" s="1870">
        <v>42577</v>
      </c>
      <c r="G140" s="1872">
        <v>12</v>
      </c>
      <c r="H140" s="1836">
        <v>0</v>
      </c>
      <c r="I140" s="1836">
        <v>0</v>
      </c>
      <c r="J140" s="1872">
        <v>10.06</v>
      </c>
      <c r="K140" s="1875">
        <f t="shared" si="50"/>
        <v>38620.332000000002</v>
      </c>
      <c r="L140" s="1874">
        <v>6250</v>
      </c>
      <c r="M140" s="1874">
        <v>44870.332000000002</v>
      </c>
      <c r="N140" s="1875">
        <f t="shared" si="51"/>
        <v>463443.98400000005</v>
      </c>
      <c r="O140" s="1874">
        <f t="shared" si="52"/>
        <v>75000</v>
      </c>
      <c r="P140" s="1875">
        <f t="shared" si="53"/>
        <v>538443.98400000005</v>
      </c>
      <c r="Q140" s="1788"/>
      <c r="R140" s="1785">
        <v>1</v>
      </c>
      <c r="S140" s="1789">
        <f t="shared" si="54"/>
        <v>10.06</v>
      </c>
      <c r="T140" s="1833">
        <f t="shared" si="55"/>
        <v>451395.53992000007</v>
      </c>
      <c r="U140" s="1834">
        <f t="shared" si="56"/>
        <v>-0.16166666666666663</v>
      </c>
      <c r="V140" s="1831" t="s">
        <v>1022</v>
      </c>
      <c r="W140" s="1832" t="s">
        <v>1023</v>
      </c>
      <c r="X140" s="1810">
        <f t="shared" si="57"/>
        <v>538443.98400000005</v>
      </c>
      <c r="Y140" s="1810">
        <v>221589000</v>
      </c>
      <c r="Z140" s="1810">
        <v>8601</v>
      </c>
      <c r="AA140" s="1797">
        <f t="shared" si="58"/>
        <v>222118842.984</v>
      </c>
      <c r="AB140" s="1795">
        <v>35305</v>
      </c>
      <c r="AC140" s="1837">
        <v>-74119</v>
      </c>
      <c r="AD140" s="1812">
        <f t="shared" si="59"/>
        <v>6291.4273611103245</v>
      </c>
      <c r="AE140" s="1812">
        <f t="shared" si="60"/>
        <v>-2996.7868290721676</v>
      </c>
      <c r="AF140" s="1813">
        <f t="shared" si="61"/>
        <v>0</v>
      </c>
    </row>
    <row r="141" spans="1:73" s="1814" customFormat="1" ht="13.5" customHeight="1">
      <c r="B141" s="1888" t="s">
        <v>1053</v>
      </c>
      <c r="C141" s="1828" t="s">
        <v>1054</v>
      </c>
      <c r="D141" s="1829" t="s">
        <v>569</v>
      </c>
      <c r="E141" s="1828" t="s">
        <v>1055</v>
      </c>
      <c r="F141" s="1870">
        <v>42495</v>
      </c>
      <c r="G141" s="1872">
        <v>12</v>
      </c>
      <c r="H141" s="1836">
        <v>13</v>
      </c>
      <c r="I141" s="1836">
        <v>15</v>
      </c>
      <c r="J141" s="1872">
        <v>11.2</v>
      </c>
      <c r="K141" s="1875">
        <f t="shared" si="50"/>
        <v>6171.0910000000003</v>
      </c>
      <c r="L141" s="1874">
        <v>920</v>
      </c>
      <c r="M141" s="1874">
        <v>7091.0910000000003</v>
      </c>
      <c r="N141" s="1875">
        <f t="shared" si="51"/>
        <v>74053.092000000004</v>
      </c>
      <c r="O141" s="1874">
        <f t="shared" si="52"/>
        <v>11040</v>
      </c>
      <c r="P141" s="1875">
        <f t="shared" si="53"/>
        <v>85093.092000000004</v>
      </c>
      <c r="Q141" s="1788"/>
      <c r="R141" s="1785">
        <v>1</v>
      </c>
      <c r="S141" s="1789">
        <f t="shared" si="54"/>
        <v>11.2</v>
      </c>
      <c r="T141" s="1833">
        <f t="shared" si="55"/>
        <v>79420.219199999992</v>
      </c>
      <c r="U141" s="1834">
        <f t="shared" si="56"/>
        <v>-6.6666666666666763E-2</v>
      </c>
      <c r="V141" s="1831" t="s">
        <v>1056</v>
      </c>
      <c r="W141" s="1832" t="s">
        <v>1544</v>
      </c>
      <c r="X141" s="1810">
        <f t="shared" si="57"/>
        <v>85093.092000000004</v>
      </c>
      <c r="Y141" s="1810">
        <v>0</v>
      </c>
      <c r="Z141" s="1810">
        <v>4347</v>
      </c>
      <c r="AA141" s="1797">
        <f t="shared" si="58"/>
        <v>80746.092000000004</v>
      </c>
      <c r="AB141" s="1795">
        <v>717</v>
      </c>
      <c r="AC141" s="1837">
        <v>-18116</v>
      </c>
      <c r="AD141" s="1812">
        <f t="shared" si="59"/>
        <v>112.61658577405858</v>
      </c>
      <c r="AE141" s="1812">
        <f t="shared" si="60"/>
        <v>-4.4571700154559508</v>
      </c>
      <c r="AF141" s="1813">
        <f t="shared" si="61"/>
        <v>0</v>
      </c>
      <c r="AK141" s="1813"/>
      <c r="AL141" s="1828"/>
    </row>
    <row r="142" spans="1:73" s="1814" customFormat="1" ht="13.5" customHeight="1">
      <c r="B142" s="1827" t="s">
        <v>1102</v>
      </c>
      <c r="C142" s="1828" t="s">
        <v>1103</v>
      </c>
      <c r="D142" s="1829" t="s">
        <v>569</v>
      </c>
      <c r="E142" s="1828" t="s">
        <v>1104</v>
      </c>
      <c r="F142" s="1870">
        <v>42291</v>
      </c>
      <c r="G142" s="1872">
        <v>6.5</v>
      </c>
      <c r="H142" s="1836">
        <v>6</v>
      </c>
      <c r="I142" s="1836">
        <v>7</v>
      </c>
      <c r="J142" s="1872">
        <v>3.13</v>
      </c>
      <c r="K142" s="1875">
        <f t="shared" si="50"/>
        <v>4630.143</v>
      </c>
      <c r="L142" s="1874">
        <v>4000</v>
      </c>
      <c r="M142" s="1874">
        <v>8630.143</v>
      </c>
      <c r="N142" s="1875">
        <f t="shared" si="51"/>
        <v>30095.929499999998</v>
      </c>
      <c r="O142" s="1874">
        <f t="shared" si="52"/>
        <v>26000</v>
      </c>
      <c r="P142" s="1875">
        <f t="shared" si="53"/>
        <v>56095.929499999998</v>
      </c>
      <c r="Q142" s="1788"/>
      <c r="R142" s="1785">
        <v>1</v>
      </c>
      <c r="S142" s="1789">
        <f t="shared" si="54"/>
        <v>3.13</v>
      </c>
      <c r="T142" s="1833">
        <f t="shared" si="55"/>
        <v>27012.347589999998</v>
      </c>
      <c r="U142" s="1834">
        <f t="shared" si="56"/>
        <v>-0.51846153846153853</v>
      </c>
      <c r="V142" s="1831" t="s">
        <v>1105</v>
      </c>
      <c r="W142" s="1832" t="s">
        <v>1106</v>
      </c>
      <c r="X142" s="1810">
        <f t="shared" si="57"/>
        <v>56095.929499999998</v>
      </c>
      <c r="Y142" s="1810">
        <v>7052960</v>
      </c>
      <c r="Z142" s="1810">
        <v>6142.86</v>
      </c>
      <c r="AA142" s="1797">
        <f t="shared" si="58"/>
        <v>7102913.0694999993</v>
      </c>
      <c r="AB142" s="1795">
        <v>650.49</v>
      </c>
      <c r="AC142" s="1837">
        <v>-13304.04</v>
      </c>
      <c r="AD142" s="1812">
        <f t="shared" si="59"/>
        <v>10919.3270757429</v>
      </c>
      <c r="AE142" s="1812">
        <f t="shared" si="60"/>
        <v>-533.891439705533</v>
      </c>
      <c r="AF142" s="1813">
        <f t="shared" si="61"/>
        <v>0</v>
      </c>
      <c r="AH142" s="1827"/>
      <c r="AI142" s="1827"/>
      <c r="AJ142" s="1827"/>
      <c r="AK142" s="1813"/>
      <c r="AL142" s="1828"/>
      <c r="AN142" s="1827"/>
      <c r="AO142" s="1827"/>
      <c r="AP142" s="1827"/>
      <c r="AQ142" s="1827"/>
      <c r="AR142" s="1827"/>
      <c r="AS142" s="1827"/>
      <c r="AT142" s="1827"/>
      <c r="AU142" s="1827"/>
      <c r="AV142" s="1827"/>
      <c r="AW142" s="1827"/>
      <c r="AX142" s="1827"/>
      <c r="AY142" s="1827"/>
      <c r="AZ142" s="1827"/>
      <c r="BA142" s="1827"/>
      <c r="BB142" s="1827"/>
      <c r="BC142" s="1827"/>
      <c r="BD142" s="1827"/>
      <c r="BE142" s="1827"/>
      <c r="BF142" s="1827"/>
      <c r="BG142" s="1827"/>
      <c r="BH142" s="1827"/>
      <c r="BI142" s="1827"/>
      <c r="BJ142" s="1827"/>
      <c r="BK142" s="1827"/>
      <c r="BL142" s="1827"/>
      <c r="BM142" s="1827"/>
      <c r="BN142" s="1827"/>
      <c r="BO142" s="1827"/>
      <c r="BP142" s="1827"/>
      <c r="BQ142" s="1827"/>
      <c r="BR142" s="1827"/>
      <c r="BS142" s="1827"/>
      <c r="BT142" s="1827"/>
      <c r="BU142" s="1827"/>
    </row>
    <row r="143" spans="1:73" s="1827" customFormat="1" ht="13.5" customHeight="1">
      <c r="A143" s="1814"/>
      <c r="B143" s="1827" t="s">
        <v>1112</v>
      </c>
      <c r="C143" s="1828" t="s">
        <v>1113</v>
      </c>
      <c r="D143" s="1829" t="s">
        <v>569</v>
      </c>
      <c r="E143" s="1828" t="s">
        <v>1114</v>
      </c>
      <c r="F143" s="1870">
        <v>42283</v>
      </c>
      <c r="G143" s="1872">
        <v>11</v>
      </c>
      <c r="H143" s="1836">
        <v>14</v>
      </c>
      <c r="I143" s="1836">
        <v>16</v>
      </c>
      <c r="J143" s="1872">
        <v>14.67</v>
      </c>
      <c r="K143" s="1875">
        <f t="shared" si="50"/>
        <v>14407.503000000001</v>
      </c>
      <c r="L143" s="1874">
        <v>5000</v>
      </c>
      <c r="M143" s="1874">
        <v>19407.503000000001</v>
      </c>
      <c r="N143" s="1875">
        <f t="shared" si="51"/>
        <v>158482.533</v>
      </c>
      <c r="O143" s="1874">
        <f t="shared" si="52"/>
        <v>55000</v>
      </c>
      <c r="P143" s="1875">
        <f t="shared" si="53"/>
        <v>213482.533</v>
      </c>
      <c r="Q143" s="1788"/>
      <c r="R143" s="1785">
        <v>1</v>
      </c>
      <c r="S143" s="1789">
        <f t="shared" si="54"/>
        <v>14.67</v>
      </c>
      <c r="T143" s="1833">
        <f t="shared" si="55"/>
        <v>284708.06901000004</v>
      </c>
      <c r="U143" s="1834">
        <f t="shared" si="56"/>
        <v>0.33363636363636373</v>
      </c>
      <c r="V143" s="1831" t="s">
        <v>1115</v>
      </c>
      <c r="W143" s="1832" t="s">
        <v>1116</v>
      </c>
      <c r="X143" s="1810">
        <f t="shared" si="57"/>
        <v>213482.533</v>
      </c>
      <c r="Y143" s="1810">
        <v>0</v>
      </c>
      <c r="Z143" s="1810">
        <v>9853</v>
      </c>
      <c r="AA143" s="1797">
        <f t="shared" si="58"/>
        <v>203629.533</v>
      </c>
      <c r="AB143" s="1795">
        <v>0</v>
      </c>
      <c r="AC143" s="1837">
        <v>-37068</v>
      </c>
      <c r="AD143" s="1812" t="str">
        <f t="shared" si="59"/>
        <v>n/a</v>
      </c>
      <c r="AE143" s="1812">
        <f t="shared" si="60"/>
        <v>-5.4934049044998376</v>
      </c>
      <c r="AF143" s="1813">
        <f t="shared" si="61"/>
        <v>0</v>
      </c>
      <c r="AG143" s="1814"/>
      <c r="AK143" s="1813"/>
      <c r="AL143" s="1828"/>
      <c r="AM143" s="1814"/>
    </row>
    <row r="144" spans="1:73" s="1827" customFormat="1" ht="13.5" customHeight="1">
      <c r="A144" s="1814"/>
      <c r="B144" s="1827" t="s">
        <v>1121</v>
      </c>
      <c r="C144" s="1828" t="s">
        <v>1122</v>
      </c>
      <c r="D144" s="1829" t="s">
        <v>569</v>
      </c>
      <c r="E144" s="1828" t="s">
        <v>1123</v>
      </c>
      <c r="F144" s="1870">
        <v>42277</v>
      </c>
      <c r="G144" s="1872">
        <v>11</v>
      </c>
      <c r="H144" s="1836">
        <v>14</v>
      </c>
      <c r="I144" s="1836">
        <v>16</v>
      </c>
      <c r="J144" s="1872">
        <v>17.88</v>
      </c>
      <c r="K144" s="1875">
        <f t="shared" si="50"/>
        <v>20181.25</v>
      </c>
      <c r="L144" s="1874">
        <v>7315.1509999999998</v>
      </c>
      <c r="M144" s="1874">
        <v>27496.401000000002</v>
      </c>
      <c r="N144" s="1875">
        <f t="shared" si="51"/>
        <v>221993.75</v>
      </c>
      <c r="O144" s="1874">
        <f t="shared" si="52"/>
        <v>80466.660999999993</v>
      </c>
      <c r="P144" s="1875">
        <f t="shared" si="53"/>
        <v>302460.41099999996</v>
      </c>
      <c r="Q144" s="1788"/>
      <c r="R144" s="1785">
        <v>1</v>
      </c>
      <c r="S144" s="1789">
        <f t="shared" si="54"/>
        <v>17.88</v>
      </c>
      <c r="T144" s="1833">
        <f t="shared" si="55"/>
        <v>491635.64987999998</v>
      </c>
      <c r="U144" s="1834">
        <f t="shared" si="56"/>
        <v>0.62545454545454549</v>
      </c>
      <c r="V144" s="1831" t="s">
        <v>1124</v>
      </c>
      <c r="W144" s="1832" t="s">
        <v>1125</v>
      </c>
      <c r="X144" s="1810">
        <f t="shared" si="57"/>
        <v>302460.41099999996</v>
      </c>
      <c r="Y144" s="1810">
        <v>5864400</v>
      </c>
      <c r="Z144" s="1810">
        <v>58465.08</v>
      </c>
      <c r="AA144" s="1797">
        <f t="shared" si="58"/>
        <v>6108395.3310000002</v>
      </c>
      <c r="AB144" s="1795">
        <v>0</v>
      </c>
      <c r="AC144" s="1837">
        <v>-35591.700000000004</v>
      </c>
      <c r="AD144" s="1812" t="str">
        <f t="shared" si="59"/>
        <v>n/a</v>
      </c>
      <c r="AE144" s="1812">
        <f t="shared" si="60"/>
        <v>-171.62415200735001</v>
      </c>
      <c r="AF144" s="1813">
        <f t="shared" si="61"/>
        <v>0</v>
      </c>
      <c r="AG144" s="1814"/>
      <c r="AK144" s="1813"/>
      <c r="AL144" s="1828"/>
      <c r="AM144" s="1814"/>
    </row>
    <row r="145" spans="1:42" s="1827" customFormat="1" ht="13.5" customHeight="1">
      <c r="A145" s="1814"/>
      <c r="B145" s="1827" t="s">
        <v>1127</v>
      </c>
      <c r="C145" s="1828" t="s">
        <v>1128</v>
      </c>
      <c r="D145" s="1829" t="s">
        <v>569</v>
      </c>
      <c r="E145" s="1828" t="s">
        <v>1129</v>
      </c>
      <c r="F145" s="1870">
        <v>42227</v>
      </c>
      <c r="G145" s="1872">
        <v>20</v>
      </c>
      <c r="H145" s="1836">
        <v>16</v>
      </c>
      <c r="I145" s="1836">
        <v>18</v>
      </c>
      <c r="J145" s="1872">
        <v>52.72</v>
      </c>
      <c r="K145" s="1875">
        <f t="shared" si="50"/>
        <v>21808.456999999999</v>
      </c>
      <c r="L145" s="1874">
        <v>6000</v>
      </c>
      <c r="M145" s="1874">
        <v>27808.456999999999</v>
      </c>
      <c r="N145" s="1875">
        <f t="shared" si="51"/>
        <v>436169.13999999996</v>
      </c>
      <c r="O145" s="1874">
        <f t="shared" si="52"/>
        <v>120000</v>
      </c>
      <c r="P145" s="1875">
        <f t="shared" si="53"/>
        <v>556169.1399999999</v>
      </c>
      <c r="Q145" s="1788"/>
      <c r="R145" s="1785">
        <v>1</v>
      </c>
      <c r="S145" s="1789">
        <f t="shared" si="54"/>
        <v>52.72</v>
      </c>
      <c r="T145" s="1833">
        <f t="shared" si="55"/>
        <v>1466061.85304</v>
      </c>
      <c r="U145" s="1834">
        <f t="shared" si="56"/>
        <v>1.6360000000000006</v>
      </c>
      <c r="V145" s="1831" t="s">
        <v>1130</v>
      </c>
      <c r="W145" s="1832" t="s">
        <v>1131</v>
      </c>
      <c r="X145" s="1810">
        <f t="shared" si="57"/>
        <v>556169.1399999999</v>
      </c>
      <c r="Y145" s="1810">
        <v>0</v>
      </c>
      <c r="Z145" s="1810">
        <v>45800</v>
      </c>
      <c r="AA145" s="1797">
        <f t="shared" si="58"/>
        <v>510369.1399999999</v>
      </c>
      <c r="AB145" s="1795">
        <v>0</v>
      </c>
      <c r="AC145" s="1837">
        <v>-63892</v>
      </c>
      <c r="AD145" s="1812" t="str">
        <f t="shared" si="59"/>
        <v>n/a</v>
      </c>
      <c r="AE145" s="1812">
        <f t="shared" si="60"/>
        <v>-7.9879975583797647</v>
      </c>
      <c r="AF145" s="1813">
        <f t="shared" si="61"/>
        <v>0</v>
      </c>
      <c r="AG145" s="1814"/>
      <c r="AH145" s="1813"/>
      <c r="AI145" s="1898"/>
      <c r="AJ145" s="1898"/>
      <c r="AK145" s="1813"/>
      <c r="AL145" s="1828"/>
      <c r="AM145" s="1814"/>
      <c r="AN145" s="1831"/>
      <c r="AO145" s="1900"/>
      <c r="AP145" s="1900"/>
    </row>
    <row r="146" spans="1:42" s="1827" customFormat="1" ht="13.5" customHeight="1">
      <c r="A146" s="1814"/>
      <c r="B146" s="1827" t="s">
        <v>1132</v>
      </c>
      <c r="C146" s="1828" t="s">
        <v>1133</v>
      </c>
      <c r="D146" s="1829" t="s">
        <v>569</v>
      </c>
      <c r="E146" s="1828" t="s">
        <v>1134</v>
      </c>
      <c r="F146" s="1870">
        <v>42221</v>
      </c>
      <c r="G146" s="1872">
        <v>16</v>
      </c>
      <c r="H146" s="1836">
        <v>14</v>
      </c>
      <c r="I146" s="1836">
        <v>16</v>
      </c>
      <c r="J146" s="1872">
        <v>22.59</v>
      </c>
      <c r="K146" s="1875">
        <f t="shared" si="50"/>
        <v>30679.538</v>
      </c>
      <c r="L146" s="1874">
        <v>10000</v>
      </c>
      <c r="M146" s="1874">
        <v>40679.538</v>
      </c>
      <c r="N146" s="1875">
        <f t="shared" si="51"/>
        <v>490872.60800000001</v>
      </c>
      <c r="O146" s="1874">
        <f t="shared" si="52"/>
        <v>160000</v>
      </c>
      <c r="P146" s="1875">
        <f t="shared" si="53"/>
        <v>650872.60800000001</v>
      </c>
      <c r="Q146" s="1788"/>
      <c r="R146" s="1785">
        <v>1</v>
      </c>
      <c r="S146" s="1789">
        <f t="shared" si="54"/>
        <v>22.59</v>
      </c>
      <c r="T146" s="1833">
        <f t="shared" si="55"/>
        <v>918950.76341999997</v>
      </c>
      <c r="U146" s="1834">
        <f t="shared" si="56"/>
        <v>0.41187499999999999</v>
      </c>
      <c r="V146" s="1831" t="s">
        <v>1135</v>
      </c>
      <c r="W146" s="1832" t="s">
        <v>1136</v>
      </c>
      <c r="X146" s="1810">
        <f t="shared" si="57"/>
        <v>650872.60800000001</v>
      </c>
      <c r="Y146" s="1810">
        <v>0</v>
      </c>
      <c r="Z146" s="1810">
        <v>65313</v>
      </c>
      <c r="AA146" s="1797">
        <f t="shared" si="58"/>
        <v>585559.60800000001</v>
      </c>
      <c r="AB146" s="1795">
        <v>0</v>
      </c>
      <c r="AC146" s="1837">
        <v>-58822</v>
      </c>
      <c r="AD146" s="1812" t="str">
        <f t="shared" si="59"/>
        <v>n/a</v>
      </c>
      <c r="AE146" s="1812">
        <f t="shared" si="60"/>
        <v>-9.9547721600761623</v>
      </c>
      <c r="AF146" s="1813">
        <f t="shared" si="61"/>
        <v>0</v>
      </c>
      <c r="AG146" s="1814"/>
      <c r="AK146" s="1813"/>
      <c r="AL146" s="1828"/>
      <c r="AM146" s="1814"/>
    </row>
    <row r="147" spans="1:42" s="1827" customFormat="1" ht="13.5" customHeight="1">
      <c r="A147" s="1883"/>
      <c r="B147" s="1827" t="s">
        <v>896</v>
      </c>
      <c r="C147" s="1828" t="s">
        <v>894</v>
      </c>
      <c r="D147" s="1829" t="s">
        <v>569</v>
      </c>
      <c r="E147" s="1828" t="s">
        <v>1142</v>
      </c>
      <c r="F147" s="1870">
        <v>42213</v>
      </c>
      <c r="G147" s="1872">
        <v>25</v>
      </c>
      <c r="H147" s="1836">
        <v>20</v>
      </c>
      <c r="I147" s="1836">
        <v>23</v>
      </c>
      <c r="J147" s="1872">
        <v>19.510000000000002</v>
      </c>
      <c r="K147" s="1875">
        <f t="shared" si="50"/>
        <v>70643.631999999998</v>
      </c>
      <c r="L147" s="1874">
        <v>8288</v>
      </c>
      <c r="M147" s="1874">
        <v>78931.631999999998</v>
      </c>
      <c r="N147" s="1875">
        <f t="shared" si="51"/>
        <v>1766090.8</v>
      </c>
      <c r="O147" s="1874">
        <f t="shared" si="52"/>
        <v>207200</v>
      </c>
      <c r="P147" s="1875">
        <f t="shared" si="53"/>
        <v>1973290.8</v>
      </c>
      <c r="Q147" s="1788"/>
      <c r="R147" s="1785">
        <v>1</v>
      </c>
      <c r="S147" s="1789">
        <f t="shared" si="54"/>
        <v>19.510000000000002</v>
      </c>
      <c r="T147" s="1833">
        <f t="shared" si="55"/>
        <v>1539956.14032</v>
      </c>
      <c r="U147" s="1834">
        <f t="shared" si="56"/>
        <v>-0.21960000000000002</v>
      </c>
      <c r="V147" s="1831" t="s">
        <v>895</v>
      </c>
      <c r="W147" s="1832" t="s">
        <v>897</v>
      </c>
      <c r="X147" s="1810">
        <f t="shared" si="57"/>
        <v>1973290.8</v>
      </c>
      <c r="Y147" s="1810">
        <v>0</v>
      </c>
      <c r="Z147" s="1810">
        <v>49854</v>
      </c>
      <c r="AA147" s="1797">
        <f t="shared" si="58"/>
        <v>1923436.8</v>
      </c>
      <c r="AB147" s="1795">
        <v>43</v>
      </c>
      <c r="AC147" s="1837">
        <v>-141477</v>
      </c>
      <c r="AD147" s="1812">
        <f t="shared" si="59"/>
        <v>44731.088372093021</v>
      </c>
      <c r="AE147" s="1812">
        <f t="shared" si="60"/>
        <v>-13.595402786318624</v>
      </c>
      <c r="AF147" s="1813">
        <f t="shared" si="61"/>
        <v>0</v>
      </c>
      <c r="AG147" s="1814"/>
      <c r="AK147" s="1813"/>
      <c r="AL147" s="1828"/>
      <c r="AM147" s="1814"/>
    </row>
    <row r="148" spans="1:42" s="1827" customFormat="1" ht="13.5" customHeight="1">
      <c r="A148" s="1814"/>
      <c r="B148" s="1827" t="s">
        <v>1153</v>
      </c>
      <c r="C148" s="1828" t="s">
        <v>1154</v>
      </c>
      <c r="D148" s="1829" t="s">
        <v>569</v>
      </c>
      <c r="E148" s="1828" t="s">
        <v>1155</v>
      </c>
      <c r="F148" s="1870">
        <v>42180</v>
      </c>
      <c r="G148" s="1872">
        <v>18</v>
      </c>
      <c r="H148" s="1836">
        <v>15</v>
      </c>
      <c r="I148" s="1836">
        <v>17</v>
      </c>
      <c r="J148" s="1872">
        <v>38.200000000000003</v>
      </c>
      <c r="K148" s="1875">
        <f t="shared" si="50"/>
        <v>30403.502</v>
      </c>
      <c r="L148" s="1874">
        <v>7430.5550000000003</v>
      </c>
      <c r="M148" s="1874">
        <v>37834.057000000001</v>
      </c>
      <c r="N148" s="1875">
        <f t="shared" si="51"/>
        <v>547263.03599999996</v>
      </c>
      <c r="O148" s="1874">
        <f t="shared" si="52"/>
        <v>133749.99</v>
      </c>
      <c r="P148" s="1875">
        <f t="shared" si="53"/>
        <v>681013.02599999995</v>
      </c>
      <c r="Q148" s="1788"/>
      <c r="R148" s="1785">
        <v>1</v>
      </c>
      <c r="S148" s="1789">
        <f t="shared" si="54"/>
        <v>38.200000000000003</v>
      </c>
      <c r="T148" s="1833">
        <f t="shared" si="55"/>
        <v>1445260.9774000002</v>
      </c>
      <c r="U148" s="1834">
        <f t="shared" si="56"/>
        <v>1.1222222222222227</v>
      </c>
      <c r="V148" s="1831" t="s">
        <v>1156</v>
      </c>
      <c r="W148" s="1832" t="s">
        <v>1157</v>
      </c>
      <c r="X148" s="1810">
        <f t="shared" si="57"/>
        <v>681013.02599999995</v>
      </c>
      <c r="Y148" s="1810">
        <v>2216000</v>
      </c>
      <c r="Z148" s="1810">
        <v>45045</v>
      </c>
      <c r="AA148" s="1797">
        <f t="shared" si="58"/>
        <v>2851968.0260000001</v>
      </c>
      <c r="AB148" s="1795">
        <v>5714</v>
      </c>
      <c r="AC148" s="1837">
        <v>-80629</v>
      </c>
      <c r="AD148" s="1812">
        <f t="shared" si="59"/>
        <v>499.11936051802593</v>
      </c>
      <c r="AE148" s="1812">
        <f t="shared" si="60"/>
        <v>-35.371491969390668</v>
      </c>
      <c r="AF148" s="1813">
        <f t="shared" si="61"/>
        <v>0</v>
      </c>
      <c r="AG148" s="1814"/>
      <c r="AH148" s="1813"/>
      <c r="AI148" s="1898"/>
      <c r="AJ148" s="1899"/>
      <c r="AK148" s="1813"/>
      <c r="AL148" s="1828"/>
      <c r="AM148" s="1814"/>
      <c r="AN148" s="1831"/>
      <c r="AO148" s="1900"/>
      <c r="AP148" s="1900"/>
    </row>
    <row r="149" spans="1:42" s="1827" customFormat="1" ht="13.5" customHeight="1">
      <c r="A149" s="1814"/>
      <c r="B149" s="1827" t="s">
        <v>1162</v>
      </c>
      <c r="C149" s="1828" t="s">
        <v>1163</v>
      </c>
      <c r="D149" s="1829" t="s">
        <v>1259</v>
      </c>
      <c r="E149" s="1828" t="s">
        <v>1165</v>
      </c>
      <c r="F149" s="1870">
        <v>42179</v>
      </c>
      <c r="G149" s="1872">
        <v>5</v>
      </c>
      <c r="H149" s="1836">
        <v>0</v>
      </c>
      <c r="I149" s="1836">
        <v>0</v>
      </c>
      <c r="J149" s="1872">
        <v>4.1599000000000004</v>
      </c>
      <c r="K149" s="1875">
        <f t="shared" si="50"/>
        <v>3788.0600000000004</v>
      </c>
      <c r="L149" s="1874">
        <v>4000</v>
      </c>
      <c r="M149" s="1874">
        <v>7788.06</v>
      </c>
      <c r="N149" s="1875">
        <f t="shared" si="51"/>
        <v>18940.300000000003</v>
      </c>
      <c r="O149" s="1874">
        <f t="shared" si="52"/>
        <v>20000</v>
      </c>
      <c r="P149" s="1875">
        <f t="shared" si="53"/>
        <v>38940.300000000003</v>
      </c>
      <c r="Q149" s="1788"/>
      <c r="R149" s="1785">
        <v>1</v>
      </c>
      <c r="S149" s="1789">
        <f t="shared" si="54"/>
        <v>4.1599000000000004</v>
      </c>
      <c r="T149" s="1833">
        <f t="shared" si="55"/>
        <v>32397.550794000006</v>
      </c>
      <c r="U149" s="1834">
        <f t="shared" si="56"/>
        <v>-0.16801999999999995</v>
      </c>
      <c r="V149" s="1831" t="s">
        <v>1166</v>
      </c>
      <c r="W149" s="1832" t="s">
        <v>1167</v>
      </c>
      <c r="X149" s="1810">
        <f t="shared" si="57"/>
        <v>38940.300000000003</v>
      </c>
      <c r="Y149" s="1810">
        <v>0</v>
      </c>
      <c r="Z149" s="1810">
        <v>1975.31</v>
      </c>
      <c r="AA149" s="1797">
        <f t="shared" si="58"/>
        <v>36964.990000000005</v>
      </c>
      <c r="AB149" s="1795">
        <v>0</v>
      </c>
      <c r="AC149" s="1837">
        <v>-12714.72</v>
      </c>
      <c r="AD149" s="1812" t="str">
        <f t="shared" si="59"/>
        <v>n/a</v>
      </c>
      <c r="AE149" s="1812">
        <f t="shared" si="60"/>
        <v>-2.9072594599015948</v>
      </c>
      <c r="AF149" s="1813">
        <f t="shared" si="61"/>
        <v>0</v>
      </c>
      <c r="AG149" s="1814"/>
      <c r="AK149" s="1813"/>
      <c r="AL149" s="1828"/>
      <c r="AM149" s="1814"/>
    </row>
    <row r="150" spans="1:42" s="1827" customFormat="1" ht="13.5" customHeight="1">
      <c r="A150" s="1814"/>
      <c r="B150" s="1827" t="s">
        <v>1201</v>
      </c>
      <c r="C150" s="1828" t="s">
        <v>1202</v>
      </c>
      <c r="D150" s="1829" t="s">
        <v>569</v>
      </c>
      <c r="E150" s="1828" t="s">
        <v>1203</v>
      </c>
      <c r="F150" s="1870">
        <v>42109</v>
      </c>
      <c r="G150" s="1872">
        <v>11</v>
      </c>
      <c r="H150" s="1836">
        <v>12</v>
      </c>
      <c r="I150" s="1836">
        <v>14</v>
      </c>
      <c r="J150" s="1872">
        <v>12.5</v>
      </c>
      <c r="K150" s="1875">
        <f t="shared" si="50"/>
        <v>8371.7650000000012</v>
      </c>
      <c r="L150" s="1874">
        <v>5090.9089999999997</v>
      </c>
      <c r="M150" s="1874">
        <v>13462.674000000001</v>
      </c>
      <c r="N150" s="1875">
        <f t="shared" si="51"/>
        <v>92089.415000000008</v>
      </c>
      <c r="O150" s="1874">
        <f t="shared" si="52"/>
        <v>55999.998999999996</v>
      </c>
      <c r="P150" s="1875">
        <f t="shared" si="53"/>
        <v>148089.41399999999</v>
      </c>
      <c r="Q150" s="1788"/>
      <c r="R150" s="1785">
        <v>1</v>
      </c>
      <c r="S150" s="1789">
        <f t="shared" si="54"/>
        <v>12.5</v>
      </c>
      <c r="T150" s="1833">
        <f t="shared" si="55"/>
        <v>168283.42500000002</v>
      </c>
      <c r="U150" s="1834">
        <f t="shared" si="56"/>
        <v>0.13636363636363646</v>
      </c>
      <c r="V150" s="1831" t="s">
        <v>1204</v>
      </c>
      <c r="W150" s="1832" t="s">
        <v>1205</v>
      </c>
      <c r="X150" s="1810">
        <f t="shared" si="57"/>
        <v>148089.41399999999</v>
      </c>
      <c r="Y150" s="1810">
        <v>18146520</v>
      </c>
      <c r="Z150" s="1810">
        <v>10255.02</v>
      </c>
      <c r="AA150" s="1797">
        <f t="shared" si="58"/>
        <v>18284354.394000001</v>
      </c>
      <c r="AB150" s="1795">
        <v>0</v>
      </c>
      <c r="AC150" s="1837">
        <v>-29908</v>
      </c>
      <c r="AD150" s="1812" t="str">
        <f t="shared" si="59"/>
        <v>n/a</v>
      </c>
      <c r="AE150" s="1812">
        <f t="shared" si="60"/>
        <v>-611.35329657616694</v>
      </c>
      <c r="AF150" s="1813">
        <f t="shared" si="61"/>
        <v>0</v>
      </c>
      <c r="AG150" s="1814"/>
      <c r="AK150" s="1813"/>
      <c r="AL150" s="1828"/>
      <c r="AM150" s="1814"/>
    </row>
    <row r="151" spans="1:42" s="1827" customFormat="1" ht="13.5" customHeight="1">
      <c r="A151" s="1814"/>
      <c r="B151" s="1827" t="s">
        <v>1211</v>
      </c>
      <c r="C151" s="1828" t="s">
        <v>1212</v>
      </c>
      <c r="D151" s="1829" t="s">
        <v>1164</v>
      </c>
      <c r="E151" s="1828" t="s">
        <v>1213</v>
      </c>
      <c r="F151" s="1870">
        <v>42108</v>
      </c>
      <c r="G151" s="1872">
        <v>17</v>
      </c>
      <c r="H151" s="1836">
        <v>14</v>
      </c>
      <c r="I151" s="1836">
        <v>16</v>
      </c>
      <c r="J151" s="1872">
        <v>31.47</v>
      </c>
      <c r="K151" s="1875">
        <f t="shared" si="50"/>
        <v>51950.504000000001</v>
      </c>
      <c r="L151" s="1874">
        <v>7000</v>
      </c>
      <c r="M151" s="1874">
        <v>58950.504000000001</v>
      </c>
      <c r="N151" s="1875">
        <f t="shared" si="51"/>
        <v>883158.56799999997</v>
      </c>
      <c r="O151" s="1874">
        <f t="shared" si="52"/>
        <v>119000</v>
      </c>
      <c r="P151" s="1875">
        <f t="shared" si="53"/>
        <v>1002158.568</v>
      </c>
      <c r="Q151" s="1788"/>
      <c r="R151" s="1785">
        <v>1</v>
      </c>
      <c r="S151" s="1789">
        <f t="shared" si="54"/>
        <v>31.47</v>
      </c>
      <c r="T151" s="1833">
        <f t="shared" si="55"/>
        <v>1855172.3608800001</v>
      </c>
      <c r="U151" s="1834">
        <f t="shared" si="56"/>
        <v>0.85117647058823542</v>
      </c>
      <c r="V151" s="1832" t="s">
        <v>1214</v>
      </c>
      <c r="W151" s="1832" t="s">
        <v>1545</v>
      </c>
      <c r="X151" s="1810">
        <f t="shared" si="57"/>
        <v>1002158.568</v>
      </c>
      <c r="Y151" s="1810">
        <v>0</v>
      </c>
      <c r="Z151" s="1810">
        <v>119456</v>
      </c>
      <c r="AA151" s="1797">
        <f t="shared" si="58"/>
        <v>882702.56799999997</v>
      </c>
      <c r="AB151" s="1795">
        <v>96531</v>
      </c>
      <c r="AC151" s="1837">
        <v>-17434</v>
      </c>
      <c r="AD151" s="1812">
        <f t="shared" si="59"/>
        <v>9.1442393428017947</v>
      </c>
      <c r="AE151" s="1812">
        <f t="shared" si="60"/>
        <v>-50.63109831364001</v>
      </c>
      <c r="AF151" s="1813">
        <f t="shared" si="61"/>
        <v>0</v>
      </c>
      <c r="AG151" s="1814"/>
      <c r="AJ151" s="1813"/>
      <c r="AK151" s="1828"/>
      <c r="AL151" s="1814"/>
    </row>
    <row r="152" spans="1:42" s="1827" customFormat="1" ht="13.5" customHeight="1">
      <c r="A152" s="1814"/>
      <c r="B152" s="1827" t="s">
        <v>1220</v>
      </c>
      <c r="C152" s="1828" t="s">
        <v>1221</v>
      </c>
      <c r="D152" s="1829" t="s">
        <v>569</v>
      </c>
      <c r="E152" s="1828" t="s">
        <v>1222</v>
      </c>
      <c r="F152" s="1870">
        <v>42053</v>
      </c>
      <c r="G152" s="1872">
        <v>6</v>
      </c>
      <c r="H152" s="1836">
        <v>13</v>
      </c>
      <c r="I152" s="1836">
        <v>15</v>
      </c>
      <c r="J152" s="1872">
        <v>5.75</v>
      </c>
      <c r="K152" s="1875">
        <f t="shared" si="50"/>
        <v>9210.49</v>
      </c>
      <c r="L152" s="1874">
        <v>6667</v>
      </c>
      <c r="M152" s="1874">
        <v>15877.49</v>
      </c>
      <c r="N152" s="1875">
        <f t="shared" si="51"/>
        <v>55262.94</v>
      </c>
      <c r="O152" s="1874">
        <f t="shared" si="52"/>
        <v>40002</v>
      </c>
      <c r="P152" s="1875">
        <f t="shared" si="53"/>
        <v>95264.94</v>
      </c>
      <c r="Q152" s="1788"/>
      <c r="R152" s="1785">
        <v>1</v>
      </c>
      <c r="S152" s="1789">
        <f t="shared" si="54"/>
        <v>5.75</v>
      </c>
      <c r="T152" s="1833">
        <f t="shared" si="55"/>
        <v>91295.567500000005</v>
      </c>
      <c r="U152" s="1834">
        <f t="shared" si="56"/>
        <v>-4.166666666666663E-2</v>
      </c>
      <c r="V152" s="1832" t="s">
        <v>1223</v>
      </c>
      <c r="W152" s="1832" t="s">
        <v>1224</v>
      </c>
      <c r="X152" s="1810">
        <f t="shared" si="57"/>
        <v>95264.94</v>
      </c>
      <c r="Y152" s="1810">
        <v>6274000</v>
      </c>
      <c r="Z152" s="1810">
        <v>5357</v>
      </c>
      <c r="AA152" s="1797">
        <f t="shared" si="58"/>
        <v>6363907.9400000004</v>
      </c>
      <c r="AB152" s="1795">
        <v>0</v>
      </c>
      <c r="AC152" s="1837">
        <v>-32466</v>
      </c>
      <c r="AD152" s="1812" t="str">
        <f t="shared" si="59"/>
        <v>n/a</v>
      </c>
      <c r="AE152" s="1812">
        <f t="shared" si="60"/>
        <v>-196.01761658350276</v>
      </c>
      <c r="AF152" s="1813">
        <f t="shared" si="61"/>
        <v>0</v>
      </c>
      <c r="AG152" s="1814"/>
      <c r="AJ152" s="1813"/>
      <c r="AK152" s="1828"/>
      <c r="AL152" s="1814"/>
    </row>
    <row r="153" spans="1:42" s="1827" customFormat="1" ht="13.5" customHeight="1">
      <c r="A153" s="1814"/>
      <c r="B153" s="1827" t="s">
        <v>1225</v>
      </c>
      <c r="C153" s="1828" t="s">
        <v>1226</v>
      </c>
      <c r="D153" s="1829" t="s">
        <v>569</v>
      </c>
      <c r="E153" s="1828" t="s">
        <v>1227</v>
      </c>
      <c r="F153" s="1870">
        <v>42048</v>
      </c>
      <c r="G153" s="1872">
        <v>12</v>
      </c>
      <c r="H153" s="1836">
        <v>14</v>
      </c>
      <c r="I153" s="1836">
        <v>16</v>
      </c>
      <c r="J153" s="1872">
        <v>9.75</v>
      </c>
      <c r="K153" s="1875">
        <f t="shared" si="50"/>
        <v>7905.3259999999991</v>
      </c>
      <c r="L153" s="1874">
        <v>5000</v>
      </c>
      <c r="M153" s="1874">
        <v>12905.325999999999</v>
      </c>
      <c r="N153" s="1875">
        <f t="shared" si="51"/>
        <v>94863.911999999982</v>
      </c>
      <c r="O153" s="1874">
        <f t="shared" si="52"/>
        <v>60000</v>
      </c>
      <c r="P153" s="1875">
        <f t="shared" si="53"/>
        <v>154863.91199999998</v>
      </c>
      <c r="Q153" s="1788"/>
      <c r="R153" s="1785">
        <v>1</v>
      </c>
      <c r="S153" s="1789">
        <f t="shared" si="54"/>
        <v>9.75</v>
      </c>
      <c r="T153" s="1833">
        <f t="shared" si="55"/>
        <v>125826.92849999999</v>
      </c>
      <c r="U153" s="1834">
        <f t="shared" si="56"/>
        <v>-0.18749999999999989</v>
      </c>
      <c r="V153" s="1832" t="s">
        <v>1228</v>
      </c>
      <c r="W153" s="1832" t="s">
        <v>1229</v>
      </c>
      <c r="X153" s="1810">
        <f t="shared" si="57"/>
        <v>154863.91199999998</v>
      </c>
      <c r="Y153" s="1810">
        <v>0</v>
      </c>
      <c r="Z153" s="1810">
        <v>30605</v>
      </c>
      <c r="AA153" s="1797">
        <f t="shared" si="58"/>
        <v>124258.91199999998</v>
      </c>
      <c r="AB153" s="1795">
        <v>0</v>
      </c>
      <c r="AC153" s="1837">
        <v>-32861</v>
      </c>
      <c r="AD153" s="1812" t="str">
        <f t="shared" si="59"/>
        <v>n/a</v>
      </c>
      <c r="AE153" s="1812">
        <f t="shared" si="60"/>
        <v>-3.7813490764127682</v>
      </c>
      <c r="AF153" s="1813">
        <f t="shared" si="61"/>
        <v>0</v>
      </c>
      <c r="AG153" s="1814"/>
      <c r="AJ153" s="1813"/>
      <c r="AK153" s="1828"/>
      <c r="AL153" s="1814"/>
    </row>
    <row r="154" spans="1:42" s="1827" customFormat="1" ht="13.5" customHeight="1">
      <c r="A154" s="1814"/>
      <c r="B154" s="1827" t="s">
        <v>960</v>
      </c>
      <c r="C154" s="1828" t="s">
        <v>1236</v>
      </c>
      <c r="D154" s="1829" t="s">
        <v>569</v>
      </c>
      <c r="E154" s="1828" t="s">
        <v>1237</v>
      </c>
      <c r="F154" s="1870">
        <v>42033</v>
      </c>
      <c r="G154" s="1872">
        <v>10</v>
      </c>
      <c r="H154" s="1836">
        <v>12</v>
      </c>
      <c r="I154" s="1836">
        <v>14</v>
      </c>
      <c r="J154" s="1872">
        <v>13.43</v>
      </c>
      <c r="K154" s="1875">
        <f t="shared" si="50"/>
        <v>8492.8060000000005</v>
      </c>
      <c r="L154" s="1874">
        <v>3600</v>
      </c>
      <c r="M154" s="1874">
        <v>12092.806</v>
      </c>
      <c r="N154" s="1875">
        <f t="shared" si="51"/>
        <v>84928.06</v>
      </c>
      <c r="O154" s="1874">
        <f t="shared" si="52"/>
        <v>36000</v>
      </c>
      <c r="P154" s="1875">
        <f t="shared" si="53"/>
        <v>120928.06</v>
      </c>
      <c r="Q154" s="1788"/>
      <c r="R154" s="1785">
        <v>1</v>
      </c>
      <c r="S154" s="1789">
        <f t="shared" si="54"/>
        <v>13.43</v>
      </c>
      <c r="T154" s="1833">
        <f t="shared" si="55"/>
        <v>162406.38458000001</v>
      </c>
      <c r="U154" s="1834">
        <f t="shared" si="56"/>
        <v>0.34300000000000019</v>
      </c>
      <c r="V154" s="1832" t="s">
        <v>1238</v>
      </c>
      <c r="W154" s="1832" t="s">
        <v>1239</v>
      </c>
      <c r="X154" s="1810">
        <f t="shared" si="57"/>
        <v>120928.06</v>
      </c>
      <c r="Y154" s="1810">
        <v>9464000</v>
      </c>
      <c r="Z154" s="1810">
        <v>39207</v>
      </c>
      <c r="AA154" s="1797">
        <f t="shared" si="58"/>
        <v>9545721.0600000005</v>
      </c>
      <c r="AB154" s="1795">
        <v>4592</v>
      </c>
      <c r="AC154" s="1837">
        <v>-31294</v>
      </c>
      <c r="AD154" s="1812">
        <f t="shared" si="59"/>
        <v>2078.7720078397215</v>
      </c>
      <c r="AE154" s="1812">
        <f t="shared" si="60"/>
        <v>-305.03358663002496</v>
      </c>
      <c r="AF154" s="1813">
        <f t="shared" si="61"/>
        <v>0</v>
      </c>
      <c r="AG154" s="1814"/>
      <c r="AJ154" s="1813"/>
      <c r="AK154" s="1828"/>
      <c r="AL154" s="1814"/>
    </row>
    <row r="155" spans="1:42" s="1827" customFormat="1" ht="13.5" customHeight="1">
      <c r="A155" s="1814"/>
      <c r="B155" s="1827" t="s">
        <v>1244</v>
      </c>
      <c r="C155" s="1828" t="s">
        <v>1245</v>
      </c>
      <c r="D155" s="1829" t="s">
        <v>569</v>
      </c>
      <c r="E155" s="1828" t="s">
        <v>1246</v>
      </c>
      <c r="F155" s="1870">
        <v>42030</v>
      </c>
      <c r="G155" s="1872">
        <v>11</v>
      </c>
      <c r="H155" s="1836">
        <v>10</v>
      </c>
      <c r="I155" s="1836">
        <v>12</v>
      </c>
      <c r="J155" s="1872">
        <v>11.04</v>
      </c>
      <c r="K155" s="1875">
        <f t="shared" si="50"/>
        <v>7316.1119999999992</v>
      </c>
      <c r="L155" s="1874">
        <v>4500</v>
      </c>
      <c r="M155" s="1874">
        <v>11816.111999999999</v>
      </c>
      <c r="N155" s="1875">
        <f t="shared" si="51"/>
        <v>80477.231999999989</v>
      </c>
      <c r="O155" s="1874">
        <f t="shared" si="52"/>
        <v>49500</v>
      </c>
      <c r="P155" s="1875">
        <f t="shared" si="53"/>
        <v>129977.23199999999</v>
      </c>
      <c r="Q155" s="1788"/>
      <c r="R155" s="1785">
        <v>1</v>
      </c>
      <c r="S155" s="1789">
        <f t="shared" si="54"/>
        <v>11.04</v>
      </c>
      <c r="T155" s="1833">
        <f t="shared" si="55"/>
        <v>130449.87647999998</v>
      </c>
      <c r="U155" s="1834">
        <f t="shared" si="56"/>
        <v>3.6363636363634377E-3</v>
      </c>
      <c r="V155" s="1832" t="s">
        <v>1247</v>
      </c>
      <c r="W155" s="1832" t="s">
        <v>1248</v>
      </c>
      <c r="X155" s="1810">
        <f t="shared" si="57"/>
        <v>129977.23199999999</v>
      </c>
      <c r="Y155" s="1810">
        <v>20263000</v>
      </c>
      <c r="Z155" s="1810">
        <v>2303</v>
      </c>
      <c r="AA155" s="1797">
        <f t="shared" si="58"/>
        <v>20390674.232000001</v>
      </c>
      <c r="AB155" s="1795">
        <v>0</v>
      </c>
      <c r="AC155" s="1837">
        <v>-26747</v>
      </c>
      <c r="AD155" s="1812" t="str">
        <f t="shared" si="59"/>
        <v>n/a</v>
      </c>
      <c r="AE155" s="1812">
        <f t="shared" si="60"/>
        <v>-762.35369319923734</v>
      </c>
      <c r="AF155" s="1813">
        <f t="shared" si="61"/>
        <v>0</v>
      </c>
      <c r="AG155" s="1814"/>
      <c r="AJ155" s="1813"/>
      <c r="AK155" s="1828"/>
      <c r="AL155" s="1814"/>
    </row>
    <row r="156" spans="1:42" s="1827" customFormat="1" ht="13.5" customHeight="1">
      <c r="A156" s="1883"/>
      <c r="B156" s="1827" t="s">
        <v>1249</v>
      </c>
      <c r="C156" s="1828" t="s">
        <v>1250</v>
      </c>
      <c r="D156" s="1829" t="s">
        <v>569</v>
      </c>
      <c r="E156" s="1828" t="s">
        <v>1251</v>
      </c>
      <c r="F156" s="1870">
        <v>41991</v>
      </c>
      <c r="G156" s="1872">
        <v>19</v>
      </c>
      <c r="H156" s="1836">
        <v>15</v>
      </c>
      <c r="I156" s="1836">
        <v>17</v>
      </c>
      <c r="J156" s="1872">
        <v>29.13</v>
      </c>
      <c r="K156" s="1875">
        <f t="shared" si="50"/>
        <v>18499.571</v>
      </c>
      <c r="L156" s="1874">
        <v>8452.5</v>
      </c>
      <c r="M156" s="1874">
        <v>26952.071</v>
      </c>
      <c r="N156" s="1875">
        <f t="shared" si="51"/>
        <v>351491.84899999999</v>
      </c>
      <c r="O156" s="1874">
        <f t="shared" si="52"/>
        <v>160597.5</v>
      </c>
      <c r="P156" s="1875">
        <f t="shared" si="53"/>
        <v>512089.34899999999</v>
      </c>
      <c r="Q156" s="1788"/>
      <c r="R156" s="1785">
        <v>1</v>
      </c>
      <c r="S156" s="1789">
        <f t="shared" si="54"/>
        <v>29.13</v>
      </c>
      <c r="T156" s="1833">
        <f t="shared" si="55"/>
        <v>785113.82822999998</v>
      </c>
      <c r="U156" s="1834">
        <f t="shared" si="56"/>
        <v>0.53315789473684205</v>
      </c>
      <c r="V156" s="1832" t="s">
        <v>1252</v>
      </c>
      <c r="W156" s="1832" t="s">
        <v>1253</v>
      </c>
      <c r="X156" s="1810">
        <f t="shared" si="57"/>
        <v>512089.34899999999</v>
      </c>
      <c r="Y156" s="1810">
        <v>35663310</v>
      </c>
      <c r="Z156" s="1810">
        <v>213469</v>
      </c>
      <c r="AA156" s="1797">
        <f t="shared" si="58"/>
        <v>35961930.348999999</v>
      </c>
      <c r="AB156" s="1795">
        <v>284</v>
      </c>
      <c r="AC156" s="1837">
        <v>-60286</v>
      </c>
      <c r="AD156" s="1812">
        <f t="shared" si="59"/>
        <v>126626.51531338028</v>
      </c>
      <c r="AE156" s="1812">
        <f t="shared" si="60"/>
        <v>-596.52208388348868</v>
      </c>
      <c r="AF156" s="1813">
        <f t="shared" si="61"/>
        <v>0</v>
      </c>
      <c r="AG156" s="1814"/>
      <c r="AJ156" s="1813"/>
      <c r="AK156" s="1828"/>
      <c r="AL156" s="1814"/>
    </row>
    <row r="157" spans="1:42" s="1827" customFormat="1" ht="13.5" customHeight="1">
      <c r="A157" s="1883"/>
      <c r="B157" s="1827" t="s">
        <v>1295</v>
      </c>
      <c r="C157" s="1828" t="s">
        <v>1296</v>
      </c>
      <c r="D157" s="1829" t="s">
        <v>569</v>
      </c>
      <c r="E157" s="1828" t="s">
        <v>1297</v>
      </c>
      <c r="F157" s="1870">
        <v>41810</v>
      </c>
      <c r="G157" s="1872">
        <v>17</v>
      </c>
      <c r="H157" s="1836">
        <v>12</v>
      </c>
      <c r="I157" s="1836">
        <v>14</v>
      </c>
      <c r="J157" s="1872">
        <v>22.84</v>
      </c>
      <c r="K157" s="1875">
        <f>+M157-L157</f>
        <v>29366.629000000001</v>
      </c>
      <c r="L157" s="1874">
        <v>8625</v>
      </c>
      <c r="M157" s="1874">
        <v>37991.629000000001</v>
      </c>
      <c r="N157" s="1875">
        <f>+G157*K157</f>
        <v>499232.69300000003</v>
      </c>
      <c r="O157" s="1874">
        <f>+G157*L157</f>
        <v>146625</v>
      </c>
      <c r="P157" s="1875">
        <f>+N157+O157</f>
        <v>645857.69299999997</v>
      </c>
      <c r="Q157" s="1788"/>
      <c r="R157" s="1785">
        <v>1</v>
      </c>
      <c r="S157" s="1789">
        <f>J157</f>
        <v>22.84</v>
      </c>
      <c r="T157" s="1833">
        <f>S157*M157</f>
        <v>867728.80636000005</v>
      </c>
      <c r="U157" s="1834">
        <f>T157/P157-1</f>
        <v>0.34352941176470608</v>
      </c>
      <c r="V157" s="1832" t="s">
        <v>1298</v>
      </c>
      <c r="W157" s="1832" t="s">
        <v>1299</v>
      </c>
      <c r="X157" s="1810">
        <f>+N157+O157</f>
        <v>645857.69299999997</v>
      </c>
      <c r="Y157" s="1810">
        <v>0</v>
      </c>
      <c r="Z157" s="1810">
        <v>18628.759999999998</v>
      </c>
      <c r="AA157" s="1797">
        <f>X157+Y157-Z157</f>
        <v>627228.93299999996</v>
      </c>
      <c r="AB157" s="1795">
        <v>19896</v>
      </c>
      <c r="AC157" s="1837">
        <v>-170008</v>
      </c>
      <c r="AD157" s="1812">
        <f>IFERROR(AA157/AB157,"n/a")</f>
        <v>31.52537861881785</v>
      </c>
      <c r="AE157" s="1812">
        <f>IFERROR(AA157/AC157,"n/a")</f>
        <v>-3.6894083396075477</v>
      </c>
      <c r="AF157" s="1813">
        <f>+P157-X157</f>
        <v>0</v>
      </c>
      <c r="AG157" s="1814"/>
      <c r="AJ157" s="1813"/>
      <c r="AK157" s="1828"/>
      <c r="AL157" s="1814"/>
    </row>
    <row r="158" spans="1:42" s="1827" customFormat="1" ht="13.5" customHeight="1">
      <c r="A158" s="1814"/>
      <c r="B158" s="1827" t="s">
        <v>1948</v>
      </c>
      <c r="C158" s="1828" t="s">
        <v>1949</v>
      </c>
      <c r="D158" s="1829" t="s">
        <v>569</v>
      </c>
      <c r="E158" s="1828" t="s">
        <v>1950</v>
      </c>
      <c r="F158" s="1870">
        <v>41535</v>
      </c>
      <c r="G158" s="1872">
        <v>15</v>
      </c>
      <c r="H158" s="1836">
        <v>13</v>
      </c>
      <c r="I158" s="1836">
        <v>15</v>
      </c>
      <c r="J158" s="1872">
        <v>22.8</v>
      </c>
      <c r="K158" s="1875">
        <f t="shared" si="50"/>
        <v>20964.187999999998</v>
      </c>
      <c r="L158" s="1874">
        <v>5580</v>
      </c>
      <c r="M158" s="1874">
        <v>26544.187999999998</v>
      </c>
      <c r="N158" s="1875">
        <f t="shared" si="51"/>
        <v>314462.81999999995</v>
      </c>
      <c r="O158" s="1874">
        <f t="shared" si="52"/>
        <v>83700</v>
      </c>
      <c r="P158" s="1875">
        <f t="shared" si="53"/>
        <v>398162.81999999995</v>
      </c>
      <c r="Q158" s="1788"/>
      <c r="R158" s="1785">
        <v>1</v>
      </c>
      <c r="S158" s="1789">
        <f t="shared" si="54"/>
        <v>22.8</v>
      </c>
      <c r="T158" s="1833">
        <f t="shared" si="55"/>
        <v>605207.48639999994</v>
      </c>
      <c r="U158" s="1834">
        <f t="shared" si="56"/>
        <v>0.52</v>
      </c>
      <c r="V158" s="1831" t="s">
        <v>1951</v>
      </c>
      <c r="W158" s="1832" t="s">
        <v>1952</v>
      </c>
      <c r="X158" s="1810">
        <f t="shared" si="57"/>
        <v>398162.81999999995</v>
      </c>
      <c r="Y158" s="1890"/>
      <c r="Z158" s="1890"/>
      <c r="AA158" s="1797"/>
      <c r="AB158" s="1795"/>
      <c r="AC158" s="1795"/>
      <c r="AD158" s="1891"/>
      <c r="AE158" s="1891"/>
      <c r="AF158" s="1813"/>
      <c r="AG158" s="1814"/>
      <c r="AK158" s="1813"/>
      <c r="AL158" s="1828"/>
      <c r="AM158" s="1814"/>
    </row>
    <row r="159" spans="1:42" s="1827" customFormat="1" ht="13.5" customHeight="1">
      <c r="A159" s="1883"/>
      <c r="B159" s="1827" t="s">
        <v>797</v>
      </c>
      <c r="C159" s="1828" t="s">
        <v>1546</v>
      </c>
      <c r="D159" s="1829" t="s">
        <v>1531</v>
      </c>
      <c r="E159" s="1828" t="s">
        <v>1547</v>
      </c>
      <c r="F159" s="1870">
        <v>41443</v>
      </c>
      <c r="G159" s="1872">
        <v>17</v>
      </c>
      <c r="H159" s="1836">
        <v>14</v>
      </c>
      <c r="I159" s="1836">
        <v>16</v>
      </c>
      <c r="J159" s="1872">
        <v>33.99</v>
      </c>
      <c r="K159" s="1875">
        <f t="shared" si="50"/>
        <v>16869.488000000001</v>
      </c>
      <c r="L159" s="1874">
        <v>5000</v>
      </c>
      <c r="M159" s="1874">
        <v>21869.488000000001</v>
      </c>
      <c r="N159" s="1875">
        <f t="shared" si="51"/>
        <v>286781.29600000003</v>
      </c>
      <c r="O159" s="1874">
        <f t="shared" si="52"/>
        <v>85000</v>
      </c>
      <c r="P159" s="1875">
        <f t="shared" si="53"/>
        <v>371781.29600000003</v>
      </c>
      <c r="Q159" s="1788"/>
      <c r="R159" s="1785">
        <v>1</v>
      </c>
      <c r="S159" s="1789">
        <f t="shared" si="54"/>
        <v>33.99</v>
      </c>
      <c r="T159" s="1833">
        <f t="shared" si="55"/>
        <v>743343.8971200001</v>
      </c>
      <c r="U159" s="1834">
        <f t="shared" si="56"/>
        <v>0.99941176470588244</v>
      </c>
      <c r="V159" s="1832" t="s">
        <v>1548</v>
      </c>
      <c r="W159" s="1832" t="s">
        <v>1549</v>
      </c>
      <c r="X159" s="1810">
        <f t="shared" si="57"/>
        <v>371781.29600000003</v>
      </c>
      <c r="Y159" s="1810">
        <v>0</v>
      </c>
      <c r="Z159" s="1810">
        <v>131836</v>
      </c>
      <c r="AA159" s="1797">
        <f>X159+Y159-Z159</f>
        <v>239945.29600000003</v>
      </c>
      <c r="AB159" s="1795">
        <v>5846</v>
      </c>
      <c r="AC159" s="1837">
        <v>-185088</v>
      </c>
      <c r="AD159" s="1812">
        <f>IFERROR(AA159/AB159,"n/a")</f>
        <v>41.044354430379755</v>
      </c>
      <c r="AE159" s="1812">
        <f>IFERROR(AA159/AC159,"n/a")</f>
        <v>-1.2963849412171509</v>
      </c>
      <c r="AF159" s="1813">
        <f>+P159-X159</f>
        <v>0</v>
      </c>
      <c r="AG159" s="1814"/>
      <c r="AJ159" s="1813"/>
      <c r="AK159" s="1828"/>
      <c r="AL159" s="1814"/>
    </row>
    <row r="160" spans="1:42" s="1827" customFormat="1" ht="13.5" customHeight="1">
      <c r="A160" s="1814"/>
      <c r="C160" s="1828"/>
      <c r="D160" s="1829"/>
      <c r="E160" s="1828"/>
      <c r="F160" s="1830"/>
      <c r="G160" s="1842"/>
      <c r="H160" s="1836"/>
      <c r="I160" s="1836"/>
      <c r="J160" s="1842"/>
      <c r="K160" s="1843"/>
      <c r="L160" s="1813"/>
      <c r="M160" s="1813"/>
      <c r="N160" s="1785"/>
      <c r="O160" s="1813"/>
      <c r="P160" s="1785"/>
      <c r="Q160" s="1785"/>
      <c r="R160" s="1785"/>
      <c r="S160" s="1789"/>
      <c r="T160" s="1833"/>
      <c r="U160" s="1834"/>
      <c r="V160" s="1832"/>
      <c r="W160" s="1832"/>
      <c r="X160" s="1813"/>
      <c r="Y160" s="1810"/>
      <c r="Z160" s="1810"/>
      <c r="AA160" s="1797"/>
      <c r="AB160" s="1795"/>
      <c r="AC160" s="1837"/>
      <c r="AD160" s="1812"/>
      <c r="AE160" s="1812"/>
      <c r="AF160" s="1814"/>
      <c r="AG160" s="1814"/>
      <c r="AJ160" s="1813"/>
      <c r="AK160" s="1828"/>
      <c r="AL160" s="1814"/>
    </row>
    <row r="161" spans="1:39" s="1839" customFormat="1" ht="13.5" customHeight="1">
      <c r="A161" s="1814"/>
      <c r="B161" s="1844" t="s">
        <v>111</v>
      </c>
      <c r="C161" s="1845"/>
      <c r="D161" s="1845"/>
      <c r="E161" s="1845"/>
      <c r="F161" s="1845"/>
      <c r="G161" s="1845"/>
      <c r="H161" s="1845"/>
      <c r="I161" s="1845"/>
      <c r="J161" s="1845"/>
      <c r="K161" s="1845"/>
      <c r="L161" s="1845"/>
      <c r="M161" s="1845"/>
      <c r="N161" s="1765">
        <f>MAX(N105:N159)</f>
        <v>1766090.8</v>
      </c>
      <c r="O161" s="1765"/>
      <c r="P161" s="1846">
        <f>MAX(P105:P159)</f>
        <v>1973290.8</v>
      </c>
      <c r="Q161" s="1785"/>
      <c r="R161" s="1785"/>
      <c r="S161" s="1847">
        <f>MAX(S105:S159)</f>
        <v>52.72</v>
      </c>
      <c r="T161" s="1817"/>
      <c r="U161" s="1818"/>
      <c r="V161" s="1841"/>
      <c r="W161" s="1832"/>
      <c r="X161" s="1810"/>
      <c r="Y161" s="1810"/>
      <c r="Z161" s="1810"/>
      <c r="AA161" s="1797"/>
      <c r="AB161" s="1795"/>
      <c r="AC161" s="1837"/>
      <c r="AD161" s="1812"/>
      <c r="AE161" s="1812"/>
      <c r="AF161" s="1825"/>
      <c r="AG161" s="1814"/>
      <c r="AK161" s="1840"/>
      <c r="AL161" s="1838"/>
      <c r="AM161" s="1826"/>
    </row>
    <row r="162" spans="1:39" s="1839" customFormat="1" ht="13.5" customHeight="1">
      <c r="A162" s="1814"/>
      <c r="B162" s="1848" t="s">
        <v>115</v>
      </c>
      <c r="C162" s="1849"/>
      <c r="D162" s="1849"/>
      <c r="E162" s="1849"/>
      <c r="F162" s="1849"/>
      <c r="G162" s="1849"/>
      <c r="H162" s="1849"/>
      <c r="I162" s="1849"/>
      <c r="J162" s="1849"/>
      <c r="K162" s="1849"/>
      <c r="L162" s="1849"/>
      <c r="M162" s="1849"/>
      <c r="N162" s="1766">
        <f>_xlfn.QUARTILE.INC(N105:N159,3)</f>
        <v>414586.95549999998</v>
      </c>
      <c r="O162" s="1766"/>
      <c r="P162" s="1850">
        <f>_xlfn.QUARTILE.INC(P105:P159,3)</f>
        <v>518066.80249999999</v>
      </c>
      <c r="Q162" s="1785"/>
      <c r="R162" s="1785"/>
      <c r="S162" s="1851">
        <f>_xlfn.QUARTILE.INC(S105:S159,3)</f>
        <v>22.655000000000001</v>
      </c>
      <c r="T162" s="1817"/>
      <c r="U162" s="1818"/>
      <c r="V162" s="1841"/>
      <c r="W162" s="1832"/>
      <c r="X162" s="1810"/>
      <c r="Y162" s="1810"/>
      <c r="Z162" s="1810"/>
      <c r="AA162" s="1797"/>
      <c r="AB162" s="1795"/>
      <c r="AC162" s="1837"/>
      <c r="AD162" s="1812"/>
      <c r="AE162" s="1812"/>
      <c r="AF162" s="1825"/>
      <c r="AG162" s="1814"/>
      <c r="AK162" s="1840"/>
      <c r="AL162" s="1838"/>
      <c r="AM162" s="1826"/>
    </row>
    <row r="163" spans="1:39" s="1839" customFormat="1" ht="13.5" customHeight="1">
      <c r="A163" s="1814"/>
      <c r="B163" s="1848" t="s">
        <v>43</v>
      </c>
      <c r="C163" s="1849"/>
      <c r="D163" s="1849"/>
      <c r="E163" s="1849"/>
      <c r="F163" s="1849"/>
      <c r="G163" s="1849"/>
      <c r="H163" s="1849"/>
      <c r="I163" s="1849"/>
      <c r="J163" s="1849"/>
      <c r="K163" s="1849"/>
      <c r="L163" s="1849"/>
      <c r="M163" s="1849"/>
      <c r="N163" s="1766">
        <f>AVERAGE(N105:N159)</f>
        <v>290213.1049545455</v>
      </c>
      <c r="O163" s="1766"/>
      <c r="P163" s="1850">
        <f>AVERAGE(P105:P159)</f>
        <v>374722.8415181819</v>
      </c>
      <c r="Q163" s="1785"/>
      <c r="R163" s="1785"/>
      <c r="S163" s="1851">
        <f>AVERAGE(S105:S159)</f>
        <v>18.128543636363634</v>
      </c>
      <c r="T163" s="1817"/>
      <c r="U163" s="1818"/>
      <c r="V163" s="1841"/>
      <c r="W163" s="1832"/>
      <c r="X163" s="1810"/>
      <c r="Y163" s="1810"/>
      <c r="Z163" s="1810"/>
      <c r="AA163" s="1797"/>
      <c r="AB163" s="1795"/>
      <c r="AC163" s="1837"/>
      <c r="AD163" s="1812"/>
      <c r="AE163" s="1812"/>
      <c r="AF163" s="1825"/>
      <c r="AG163" s="1814"/>
      <c r="AK163" s="1840"/>
      <c r="AL163" s="1838"/>
      <c r="AM163" s="1826"/>
    </row>
    <row r="164" spans="1:39" s="1839" customFormat="1" ht="13.5" customHeight="1">
      <c r="A164" s="1814"/>
      <c r="B164" s="1848" t="s">
        <v>44</v>
      </c>
      <c r="C164" s="1849"/>
      <c r="D164" s="1849"/>
      <c r="E164" s="1849"/>
      <c r="F164" s="1849"/>
      <c r="G164" s="1849"/>
      <c r="H164" s="1849"/>
      <c r="I164" s="1849"/>
      <c r="J164" s="1849"/>
      <c r="K164" s="1849"/>
      <c r="L164" s="1849"/>
      <c r="M164" s="1849"/>
      <c r="N164" s="1766">
        <f>MEDIAN(N105:N159)</f>
        <v>253775.96599999999</v>
      </c>
      <c r="O164" s="1766"/>
      <c r="P164" s="1850">
        <f>MEDIAN(P105:P159)</f>
        <v>369029.05500000005</v>
      </c>
      <c r="Q164" s="1785"/>
      <c r="R164" s="1785"/>
      <c r="S164" s="1851">
        <f>MEDIAN(S105:S159)</f>
        <v>16.5</v>
      </c>
      <c r="T164" s="1817"/>
      <c r="U164" s="1818"/>
      <c r="V164" s="1841"/>
      <c r="W164" s="1832"/>
      <c r="X164" s="1810"/>
      <c r="Y164" s="1810"/>
      <c r="Z164" s="1810"/>
      <c r="AA164" s="1797"/>
      <c r="AB164" s="1795"/>
      <c r="AC164" s="1837"/>
      <c r="AD164" s="1812"/>
      <c r="AE164" s="1812"/>
      <c r="AF164" s="1825"/>
      <c r="AG164" s="1814"/>
      <c r="AK164" s="1840"/>
      <c r="AL164" s="1838"/>
      <c r="AM164" s="1826"/>
    </row>
    <row r="165" spans="1:39" s="1839" customFormat="1" ht="13.5" customHeight="1">
      <c r="A165" s="1814"/>
      <c r="B165" s="1848" t="s">
        <v>114</v>
      </c>
      <c r="C165" s="1849"/>
      <c r="D165" s="1849"/>
      <c r="E165" s="1849"/>
      <c r="F165" s="1849"/>
      <c r="G165" s="1849"/>
      <c r="H165" s="1849"/>
      <c r="I165" s="1849"/>
      <c r="J165" s="1849"/>
      <c r="K165" s="1849"/>
      <c r="L165" s="1849"/>
      <c r="M165" s="1849"/>
      <c r="N165" s="1766">
        <f>_xlfn.QUARTILE.INC(N105:N159,1)</f>
        <v>95903.870999999985</v>
      </c>
      <c r="O165" s="1766"/>
      <c r="P165" s="1850">
        <f>_xlfn.QUARTILE.INC(P105:P159,1)</f>
        <v>142895.00099999999</v>
      </c>
      <c r="Q165" s="1785"/>
      <c r="R165" s="1785"/>
      <c r="S165" s="1851">
        <f>_xlfn.QUARTILE.INC(S105:S159,1)</f>
        <v>11.2</v>
      </c>
      <c r="T165" s="1817"/>
      <c r="U165" s="1818"/>
      <c r="V165" s="1841"/>
      <c r="W165" s="1832"/>
      <c r="X165" s="1810"/>
      <c r="Y165" s="1810"/>
      <c r="Z165" s="1810"/>
      <c r="AA165" s="1797"/>
      <c r="AB165" s="1795"/>
      <c r="AC165" s="1837"/>
      <c r="AD165" s="1812"/>
      <c r="AE165" s="1812"/>
      <c r="AF165" s="1825"/>
      <c r="AG165" s="1814"/>
      <c r="AK165" s="1840"/>
      <c r="AL165" s="1838"/>
      <c r="AM165" s="1826"/>
    </row>
    <row r="166" spans="1:39" s="1839" customFormat="1" ht="13.5" customHeight="1">
      <c r="A166" s="1814"/>
      <c r="B166" s="1852" t="s">
        <v>112</v>
      </c>
      <c r="C166" s="1853"/>
      <c r="D166" s="1853"/>
      <c r="E166" s="1853"/>
      <c r="F166" s="1853"/>
      <c r="G166" s="1853"/>
      <c r="H166" s="1853"/>
      <c r="I166" s="1853"/>
      <c r="J166" s="1853"/>
      <c r="K166" s="1853"/>
      <c r="L166" s="1853"/>
      <c r="M166" s="1853"/>
      <c r="N166" s="1767">
        <f>MIN(N105:N159)</f>
        <v>18940.300000000003</v>
      </c>
      <c r="O166" s="1767"/>
      <c r="P166" s="1854">
        <f>MIN(P105:P159)</f>
        <v>38940.300000000003</v>
      </c>
      <c r="Q166" s="1785"/>
      <c r="R166" s="1785"/>
      <c r="S166" s="1855">
        <f>MIN(S105:S159)</f>
        <v>3.13</v>
      </c>
      <c r="T166" s="1817"/>
      <c r="U166" s="1818"/>
      <c r="V166" s="1841"/>
      <c r="W166" s="1832"/>
      <c r="X166" s="1810"/>
      <c r="Y166" s="1810"/>
      <c r="Z166" s="1810"/>
      <c r="AA166" s="1797"/>
      <c r="AB166" s="1795"/>
      <c r="AC166" s="1837"/>
      <c r="AD166" s="1812"/>
      <c r="AE166" s="1812"/>
      <c r="AF166" s="1825"/>
      <c r="AG166" s="1814"/>
      <c r="AK166" s="1840"/>
      <c r="AL166" s="1838"/>
      <c r="AM166" s="1826"/>
    </row>
    <row r="167" spans="1:39" s="1839" customFormat="1" ht="13.5" customHeight="1">
      <c r="A167" s="1814"/>
      <c r="B167" s="1827"/>
      <c r="C167" s="1828"/>
      <c r="D167" s="1829"/>
      <c r="E167" s="1828"/>
      <c r="F167" s="1830"/>
      <c r="G167" s="1842"/>
      <c r="H167" s="1836"/>
      <c r="I167" s="1836"/>
      <c r="J167" s="1842"/>
      <c r="K167" s="1843"/>
      <c r="L167" s="1813"/>
      <c r="M167" s="1813"/>
      <c r="N167" s="1785"/>
      <c r="O167" s="1813"/>
      <c r="P167" s="1785"/>
      <c r="Q167" s="1785"/>
      <c r="R167" s="1785"/>
      <c r="S167" s="1789"/>
      <c r="T167" s="1817"/>
      <c r="U167" s="1818"/>
      <c r="V167" s="1841"/>
      <c r="W167" s="1832"/>
      <c r="X167" s="1810"/>
      <c r="Y167" s="1810"/>
      <c r="Z167" s="1810"/>
      <c r="AA167" s="1797"/>
      <c r="AB167" s="1795"/>
      <c r="AC167" s="1837"/>
      <c r="AD167" s="1812"/>
      <c r="AE167" s="1812"/>
      <c r="AF167" s="1825"/>
      <c r="AG167" s="1814"/>
      <c r="AK167" s="1840"/>
      <c r="AL167" s="1838"/>
      <c r="AM167" s="1826"/>
    </row>
    <row r="168" spans="1:39" s="1827" customFormat="1" ht="13.5" hidden="1" customHeight="1" outlineLevel="1">
      <c r="A168" s="1814"/>
      <c r="B168" s="1856" t="s">
        <v>1953</v>
      </c>
      <c r="C168" s="1828"/>
      <c r="D168" s="1829"/>
      <c r="E168" s="1828"/>
      <c r="F168" s="1830"/>
      <c r="G168" s="1842"/>
      <c r="H168" s="1836"/>
      <c r="I168" s="1836"/>
      <c r="J168" s="1842"/>
      <c r="K168" s="1843"/>
      <c r="L168" s="1813"/>
      <c r="M168" s="1813"/>
      <c r="N168" s="1785"/>
      <c r="O168" s="1813"/>
      <c r="P168" s="1785"/>
      <c r="Q168" s="1785"/>
      <c r="R168" s="1785"/>
      <c r="S168" s="1789"/>
      <c r="T168" s="1833"/>
      <c r="U168" s="1834"/>
      <c r="V168" s="1832"/>
      <c r="W168" s="1832"/>
      <c r="X168" s="1813"/>
      <c r="Y168" s="1810"/>
      <c r="Z168" s="1810"/>
      <c r="AA168" s="1797"/>
      <c r="AB168" s="1795"/>
      <c r="AC168" s="1837"/>
      <c r="AD168" s="1812"/>
      <c r="AE168" s="1812"/>
      <c r="AF168" s="1814"/>
      <c r="AG168" s="1814"/>
      <c r="AJ168" s="1813"/>
      <c r="AK168" s="1828"/>
      <c r="AL168" s="1814"/>
    </row>
    <row r="169" spans="1:39" s="1827" customFormat="1" ht="13.5" hidden="1" customHeight="1" outlineLevel="1">
      <c r="A169" s="1814"/>
      <c r="B169" s="1867" t="s">
        <v>3975</v>
      </c>
      <c r="C169" s="1828"/>
      <c r="D169" s="1829" t="s">
        <v>584</v>
      </c>
      <c r="E169" s="1828"/>
      <c r="F169" s="1830">
        <v>43399</v>
      </c>
      <c r="G169" s="1842">
        <v>8</v>
      </c>
      <c r="H169" s="1836"/>
      <c r="I169" s="1836"/>
      <c r="J169" s="1842">
        <v>11.47</v>
      </c>
      <c r="K169" s="1875">
        <f>+M169-L169</f>
        <v>17972.903999999999</v>
      </c>
      <c r="L169" s="1813">
        <f>6250000/1000</f>
        <v>6250</v>
      </c>
      <c r="M169" s="1813">
        <f>24222904/1000</f>
        <v>24222.903999999999</v>
      </c>
      <c r="N169" s="1875">
        <f>+G169*K169</f>
        <v>143783.23199999999</v>
      </c>
      <c r="O169" s="1874">
        <f t="shared" ref="O169:O180" si="62">+G169*L169</f>
        <v>50000</v>
      </c>
      <c r="P169" s="1875">
        <f t="shared" ref="P169:P180" si="63">+N169+O169</f>
        <v>193783.23199999999</v>
      </c>
      <c r="Q169" s="1788"/>
      <c r="R169" s="1785"/>
      <c r="S169" s="1789"/>
      <c r="T169" s="1833"/>
      <c r="U169" s="1834"/>
      <c r="V169" s="1832"/>
      <c r="W169" s="1832"/>
      <c r="X169" s="1813"/>
      <c r="Y169" s="1810"/>
      <c r="Z169" s="1810"/>
      <c r="AA169" s="1797"/>
      <c r="AB169" s="1795"/>
      <c r="AC169" s="1837"/>
      <c r="AD169" s="1812"/>
      <c r="AE169" s="1812"/>
      <c r="AF169" s="1814"/>
      <c r="AG169" s="1814"/>
      <c r="AJ169" s="1813"/>
      <c r="AK169" s="1828"/>
      <c r="AL169" s="1814"/>
    </row>
    <row r="170" spans="1:39" s="1827" customFormat="1" ht="13.5" hidden="1" customHeight="1" outlineLevel="1">
      <c r="A170" s="1814"/>
      <c r="B170" s="1867" t="s">
        <v>3976</v>
      </c>
      <c r="C170" s="1828"/>
      <c r="D170" s="1829" t="s">
        <v>972</v>
      </c>
      <c r="E170" s="1828"/>
      <c r="F170" s="1830">
        <v>43403</v>
      </c>
      <c r="G170" s="1842">
        <v>14</v>
      </c>
      <c r="H170" s="1836"/>
      <c r="I170" s="1836"/>
      <c r="J170" s="1842">
        <v>16.04</v>
      </c>
      <c r="K170" s="1875">
        <f>+M170-L170</f>
        <v>69761.485000000001</v>
      </c>
      <c r="L170" s="1813">
        <f>14285715/1000</f>
        <v>14285.715</v>
      </c>
      <c r="M170" s="1813">
        <f>84047200/1000</f>
        <v>84047.2</v>
      </c>
      <c r="N170" s="1875">
        <f>+G170*K170</f>
        <v>976660.79</v>
      </c>
      <c r="O170" s="1874">
        <f t="shared" si="62"/>
        <v>200000.01</v>
      </c>
      <c r="P170" s="1875">
        <f t="shared" si="63"/>
        <v>1176660.8</v>
      </c>
      <c r="Q170" s="1788"/>
      <c r="R170" s="1785"/>
      <c r="S170" s="1789"/>
      <c r="T170" s="1833"/>
      <c r="U170" s="1834"/>
      <c r="V170" s="1832"/>
      <c r="W170" s="1832"/>
      <c r="X170" s="1813"/>
      <c r="Y170" s="1810"/>
      <c r="Z170" s="1810"/>
      <c r="AA170" s="1797"/>
      <c r="AB170" s="1795"/>
      <c r="AC170" s="1837"/>
      <c r="AD170" s="1812"/>
      <c r="AE170" s="1812"/>
      <c r="AF170" s="1814"/>
      <c r="AG170" s="1814"/>
      <c r="AJ170" s="1813"/>
      <c r="AK170" s="1828"/>
      <c r="AL170" s="1814"/>
    </row>
    <row r="171" spans="1:39" s="1867" customFormat="1" ht="13.5" hidden="1" customHeight="1" outlineLevel="1">
      <c r="A171" s="1857"/>
      <c r="B171" s="1867" t="s">
        <v>3977</v>
      </c>
      <c r="C171" s="1868" t="s">
        <v>3978</v>
      </c>
      <c r="D171" s="1869" t="s">
        <v>584</v>
      </c>
      <c r="E171" s="1868" t="s">
        <v>3979</v>
      </c>
      <c r="F171" s="1830">
        <v>43390</v>
      </c>
      <c r="G171" s="1842">
        <v>7</v>
      </c>
      <c r="H171" s="1872">
        <v>14</v>
      </c>
      <c r="I171" s="1872">
        <v>16</v>
      </c>
      <c r="J171" s="1842">
        <v>8.5</v>
      </c>
      <c r="K171" s="1875">
        <f>+M171-L171</f>
        <v>44871.423999999999</v>
      </c>
      <c r="L171" s="1813">
        <f>6650000/1000</f>
        <v>6650</v>
      </c>
      <c r="M171" s="1813">
        <f>51521424/1000</f>
        <v>51521.423999999999</v>
      </c>
      <c r="N171" s="1875">
        <f>+G171*K171</f>
        <v>314099.96799999999</v>
      </c>
      <c r="O171" s="1874">
        <f t="shared" si="62"/>
        <v>46550</v>
      </c>
      <c r="P171" s="1875">
        <f t="shared" si="63"/>
        <v>360649.96799999999</v>
      </c>
      <c r="Q171" s="1788"/>
      <c r="R171" s="1875"/>
      <c r="S171" s="1789">
        <f t="shared" ref="S171:S180" si="64">J171</f>
        <v>8.5</v>
      </c>
      <c r="T171" s="1877">
        <f t="shared" ref="T171:T180" si="65">S171*M171</f>
        <v>437932.10399999999</v>
      </c>
      <c r="U171" s="1878">
        <f t="shared" ref="U171:U180" si="66">T171/P171-1</f>
        <v>0.21428571428571419</v>
      </c>
      <c r="V171" s="1879" t="s">
        <v>3980</v>
      </c>
      <c r="W171" s="1880" t="s">
        <v>3981</v>
      </c>
      <c r="X171" s="1881">
        <f t="shared" ref="X171:X180" si="67">+N171+O171</f>
        <v>360649.96799999999</v>
      </c>
      <c r="Y171" s="1886">
        <f>+P171-X171</f>
        <v>0</v>
      </c>
      <c r="Z171" s="1886"/>
      <c r="AA171" s="1797"/>
      <c r="AB171" s="1795"/>
      <c r="AC171" s="1795"/>
      <c r="AD171" s="1887"/>
      <c r="AE171" s="1887"/>
      <c r="AF171" s="1874"/>
      <c r="AG171" s="1814"/>
      <c r="AK171" s="1874"/>
      <c r="AL171" s="1868"/>
      <c r="AM171" s="1857"/>
    </row>
    <row r="172" spans="1:39" s="1867" customFormat="1" ht="13.5" hidden="1" customHeight="1" outlineLevel="1">
      <c r="A172" s="1857"/>
      <c r="B172" s="1867" t="s">
        <v>3982</v>
      </c>
      <c r="C172" s="1868" t="s">
        <v>3983</v>
      </c>
      <c r="D172" s="1869" t="s">
        <v>584</v>
      </c>
      <c r="E172" s="1868" t="s">
        <v>3984</v>
      </c>
      <c r="F172" s="1830">
        <v>43369</v>
      </c>
      <c r="G172" s="1842">
        <v>14</v>
      </c>
      <c r="H172" s="1872">
        <v>14</v>
      </c>
      <c r="I172" s="1872">
        <v>16</v>
      </c>
      <c r="J172" s="1842">
        <v>12.73</v>
      </c>
      <c r="K172" s="1875">
        <f t="shared" ref="K172:K180" si="68">+M172-L172</f>
        <v>20025.098000000002</v>
      </c>
      <c r="L172" s="1813">
        <f>10000000/1000</f>
        <v>10000</v>
      </c>
      <c r="M172" s="1813">
        <f>30025098/1000</f>
        <v>30025.098000000002</v>
      </c>
      <c r="N172" s="1875">
        <f t="shared" ref="N172:N180" si="69">+G172*K172</f>
        <v>280351.37200000003</v>
      </c>
      <c r="O172" s="1874">
        <f t="shared" si="62"/>
        <v>140000</v>
      </c>
      <c r="P172" s="1875">
        <f t="shared" si="63"/>
        <v>420351.37200000003</v>
      </c>
      <c r="Q172" s="1788"/>
      <c r="R172" s="1875"/>
      <c r="S172" s="1789">
        <f t="shared" si="64"/>
        <v>12.73</v>
      </c>
      <c r="T172" s="1877">
        <f t="shared" si="65"/>
        <v>382219.49754000001</v>
      </c>
      <c r="U172" s="1878">
        <f t="shared" si="66"/>
        <v>-9.0714285714285747E-2</v>
      </c>
      <c r="V172" s="1879" t="s">
        <v>3985</v>
      </c>
      <c r="W172" s="1880" t="s">
        <v>3986</v>
      </c>
      <c r="X172" s="1881">
        <f t="shared" si="67"/>
        <v>420351.37200000003</v>
      </c>
      <c r="Y172" s="1881"/>
      <c r="Z172" s="1881"/>
      <c r="AA172" s="1797"/>
      <c r="AB172" s="1837"/>
      <c r="AC172" s="1837"/>
      <c r="AD172" s="1889"/>
      <c r="AE172" s="1889"/>
      <c r="AF172" s="1874"/>
      <c r="AG172" s="1814"/>
      <c r="AK172" s="1874"/>
      <c r="AL172" s="1868"/>
      <c r="AM172" s="1857"/>
    </row>
    <row r="173" spans="1:39" s="1867" customFormat="1" ht="13.5" hidden="1" customHeight="1" outlineLevel="1">
      <c r="A173" s="1857"/>
      <c r="B173" s="1867" t="s">
        <v>3987</v>
      </c>
      <c r="C173" s="1868" t="s">
        <v>3988</v>
      </c>
      <c r="D173" s="1869" t="s">
        <v>584</v>
      </c>
      <c r="E173" s="1868" t="s">
        <v>3989</v>
      </c>
      <c r="F173" s="1830">
        <v>43307</v>
      </c>
      <c r="G173" s="1842">
        <v>5</v>
      </c>
      <c r="H173" s="1872">
        <v>9</v>
      </c>
      <c r="I173" s="1872">
        <v>11</v>
      </c>
      <c r="J173" s="1842">
        <v>3.6</v>
      </c>
      <c r="K173" s="1875">
        <f t="shared" si="68"/>
        <v>5074.2240000000002</v>
      </c>
      <c r="L173" s="1813">
        <f>1464000/1000</f>
        <v>1464</v>
      </c>
      <c r="M173" s="1813">
        <f>6538224/1000</f>
        <v>6538.2240000000002</v>
      </c>
      <c r="N173" s="1875">
        <f t="shared" si="69"/>
        <v>25371.120000000003</v>
      </c>
      <c r="O173" s="1874">
        <f t="shared" si="62"/>
        <v>7320</v>
      </c>
      <c r="P173" s="1875">
        <f t="shared" si="63"/>
        <v>32691.120000000003</v>
      </c>
      <c r="Q173" s="1788"/>
      <c r="R173" s="1875"/>
      <c r="S173" s="1789">
        <f t="shared" si="64"/>
        <v>3.6</v>
      </c>
      <c r="T173" s="1877">
        <f t="shared" si="65"/>
        <v>23537.606400000001</v>
      </c>
      <c r="U173" s="1878">
        <f t="shared" si="66"/>
        <v>-0.28000000000000003</v>
      </c>
      <c r="V173" s="1879" t="s">
        <v>3990</v>
      </c>
      <c r="W173" s="1880" t="s">
        <v>3991</v>
      </c>
      <c r="X173" s="1881">
        <f t="shared" si="67"/>
        <v>32691.120000000003</v>
      </c>
      <c r="Y173" s="1881"/>
      <c r="Z173" s="1881"/>
      <c r="AA173" s="1797"/>
      <c r="AB173" s="1837"/>
      <c r="AC173" s="1837"/>
      <c r="AD173" s="1889"/>
      <c r="AE173" s="1889"/>
      <c r="AF173" s="1874"/>
      <c r="AG173" s="1814"/>
      <c r="AK173" s="1874"/>
      <c r="AL173" s="1868"/>
      <c r="AM173" s="1857"/>
    </row>
    <row r="174" spans="1:39" s="1867" customFormat="1" ht="13.5" hidden="1" customHeight="1" outlineLevel="1">
      <c r="A174" s="1857"/>
      <c r="B174" s="1867" t="s">
        <v>3992</v>
      </c>
      <c r="C174" s="1868" t="s">
        <v>3993</v>
      </c>
      <c r="D174" s="1869" t="s">
        <v>584</v>
      </c>
      <c r="E174" s="1868" t="s">
        <v>3994</v>
      </c>
      <c r="F174" s="1830">
        <v>43306</v>
      </c>
      <c r="G174" s="1842">
        <v>11</v>
      </c>
      <c r="H174" s="1872">
        <v>10</v>
      </c>
      <c r="I174" s="1872">
        <v>12</v>
      </c>
      <c r="J174" s="1842">
        <v>16.79</v>
      </c>
      <c r="K174" s="1875">
        <f t="shared" si="68"/>
        <v>10569.347</v>
      </c>
      <c r="L174" s="1813">
        <f>4545455/1000</f>
        <v>4545.4549999999999</v>
      </c>
      <c r="M174" s="1813">
        <f>15114802/1000</f>
        <v>15114.802</v>
      </c>
      <c r="N174" s="1875">
        <f t="shared" si="69"/>
        <v>116262.817</v>
      </c>
      <c r="O174" s="1874">
        <f t="shared" si="62"/>
        <v>50000.004999999997</v>
      </c>
      <c r="P174" s="1875">
        <f t="shared" si="63"/>
        <v>166262.82199999999</v>
      </c>
      <c r="Q174" s="1788"/>
      <c r="R174" s="1875"/>
      <c r="S174" s="1789">
        <f t="shared" si="64"/>
        <v>16.79</v>
      </c>
      <c r="T174" s="1877">
        <f t="shared" si="65"/>
        <v>253777.52557999999</v>
      </c>
      <c r="U174" s="1878">
        <f t="shared" si="66"/>
        <v>0.52636363636363637</v>
      </c>
      <c r="V174" s="1879" t="s">
        <v>3995</v>
      </c>
      <c r="W174" s="1880" t="s">
        <v>3996</v>
      </c>
      <c r="X174" s="1881">
        <f t="shared" si="67"/>
        <v>166262.82199999999</v>
      </c>
      <c r="Y174" s="1881"/>
      <c r="Z174" s="1881"/>
      <c r="AA174" s="1797"/>
      <c r="AB174" s="1837"/>
      <c r="AC174" s="1837"/>
      <c r="AD174" s="1889"/>
      <c r="AE174" s="1889"/>
      <c r="AF174" s="1874"/>
      <c r="AG174" s="1814"/>
      <c r="AK174" s="1874"/>
      <c r="AL174" s="1868"/>
      <c r="AM174" s="1857"/>
    </row>
    <row r="175" spans="1:39" s="1867" customFormat="1" ht="13.5" hidden="1" customHeight="1" outlineLevel="1">
      <c r="A175" s="1857"/>
      <c r="B175" s="1867" t="s">
        <v>3997</v>
      </c>
      <c r="C175" s="1868" t="s">
        <v>3998</v>
      </c>
      <c r="D175" s="1869" t="s">
        <v>972</v>
      </c>
      <c r="E175" s="1868" t="s">
        <v>3999</v>
      </c>
      <c r="F175" s="1830">
        <v>43305</v>
      </c>
      <c r="G175" s="1842">
        <v>15</v>
      </c>
      <c r="H175" s="1872">
        <v>14</v>
      </c>
      <c r="I175" s="1872">
        <v>16</v>
      </c>
      <c r="J175" s="1842">
        <v>16.05</v>
      </c>
      <c r="K175" s="1875">
        <f t="shared" si="68"/>
        <v>20000</v>
      </c>
      <c r="L175" s="1813">
        <v>4500</v>
      </c>
      <c r="M175" s="1813">
        <v>24500</v>
      </c>
      <c r="N175" s="1875">
        <f t="shared" si="69"/>
        <v>300000</v>
      </c>
      <c r="O175" s="1874">
        <f t="shared" si="62"/>
        <v>67500</v>
      </c>
      <c r="P175" s="1875">
        <f t="shared" si="63"/>
        <v>367500</v>
      </c>
      <c r="Q175" s="1788"/>
      <c r="R175" s="1875"/>
      <c r="S175" s="1789">
        <f t="shared" si="64"/>
        <v>16.05</v>
      </c>
      <c r="T175" s="1877">
        <f t="shared" si="65"/>
        <v>393225</v>
      </c>
      <c r="U175" s="1878">
        <f t="shared" si="66"/>
        <v>7.0000000000000062E-2</v>
      </c>
      <c r="V175" s="1879" t="s">
        <v>4000</v>
      </c>
      <c r="W175" s="1880" t="s">
        <v>4001</v>
      </c>
      <c r="X175" s="1881">
        <f t="shared" si="67"/>
        <v>367500</v>
      </c>
      <c r="Y175" s="1881"/>
      <c r="Z175" s="1881"/>
      <c r="AA175" s="1797"/>
      <c r="AB175" s="1837"/>
      <c r="AC175" s="1837"/>
      <c r="AD175" s="1889"/>
      <c r="AE175" s="1889"/>
      <c r="AF175" s="1874"/>
      <c r="AG175" s="1814"/>
      <c r="AK175" s="1874"/>
      <c r="AL175" s="1868"/>
      <c r="AM175" s="1857"/>
    </row>
    <row r="176" spans="1:39" s="1867" customFormat="1" ht="13.5" hidden="1" customHeight="1" outlineLevel="1">
      <c r="A176" s="1857"/>
      <c r="B176" s="1867" t="s">
        <v>4002</v>
      </c>
      <c r="C176" s="1868" t="s">
        <v>4003</v>
      </c>
      <c r="D176" s="1869" t="s">
        <v>584</v>
      </c>
      <c r="E176" s="1868" t="s">
        <v>4004</v>
      </c>
      <c r="F176" s="1830">
        <v>43300</v>
      </c>
      <c r="G176" s="1842">
        <v>4</v>
      </c>
      <c r="H176" s="1872">
        <v>0</v>
      </c>
      <c r="I176" s="1872">
        <v>0</v>
      </c>
      <c r="J176" s="1842">
        <v>4.41</v>
      </c>
      <c r="K176" s="1875">
        <f t="shared" si="68"/>
        <v>17506.999000000003</v>
      </c>
      <c r="L176" s="1813">
        <f>16375000/1000</f>
        <v>16375</v>
      </c>
      <c r="M176" s="1813">
        <f>33881999/1000</f>
        <v>33881.999000000003</v>
      </c>
      <c r="N176" s="1875">
        <f t="shared" si="69"/>
        <v>70027.996000000014</v>
      </c>
      <c r="O176" s="1874">
        <f t="shared" si="62"/>
        <v>65500</v>
      </c>
      <c r="P176" s="1875">
        <f t="shared" si="63"/>
        <v>135527.99600000001</v>
      </c>
      <c r="Q176" s="1788"/>
      <c r="R176" s="1875"/>
      <c r="S176" s="1789">
        <f t="shared" si="64"/>
        <v>4.41</v>
      </c>
      <c r="T176" s="1877">
        <f t="shared" si="65"/>
        <v>149419.61559000003</v>
      </c>
      <c r="U176" s="1878">
        <f t="shared" si="66"/>
        <v>0.10250000000000004</v>
      </c>
      <c r="V176" s="1879" t="s">
        <v>4005</v>
      </c>
      <c r="W176" s="1880" t="s">
        <v>4006</v>
      </c>
      <c r="X176" s="1881">
        <f t="shared" si="67"/>
        <v>135527.99600000001</v>
      </c>
      <c r="Y176" s="1881"/>
      <c r="Z176" s="1881"/>
      <c r="AA176" s="1797"/>
      <c r="AB176" s="1837"/>
      <c r="AC176" s="1837"/>
      <c r="AD176" s="1889"/>
      <c r="AE176" s="1889"/>
      <c r="AF176" s="1874"/>
      <c r="AG176" s="1814"/>
      <c r="AK176" s="1874"/>
      <c r="AL176" s="1868"/>
      <c r="AM176" s="1857"/>
    </row>
    <row r="177" spans="1:73" s="1867" customFormat="1" ht="13.5" hidden="1" customHeight="1" outlineLevel="1">
      <c r="A177" s="1857"/>
      <c r="B177" s="1867" t="s">
        <v>4007</v>
      </c>
      <c r="C177" s="1868" t="s">
        <v>4008</v>
      </c>
      <c r="D177" s="1869" t="s">
        <v>584</v>
      </c>
      <c r="E177" s="1868" t="s">
        <v>4009</v>
      </c>
      <c r="F177" s="1830">
        <v>43278</v>
      </c>
      <c r="G177" s="1842">
        <v>19</v>
      </c>
      <c r="H177" s="1872">
        <v>16</v>
      </c>
      <c r="I177" s="1872">
        <v>18</v>
      </c>
      <c r="J177" s="1842">
        <v>27.06</v>
      </c>
      <c r="K177" s="1875">
        <f t="shared" si="68"/>
        <v>28489.449000000001</v>
      </c>
      <c r="L177" s="1813">
        <f>11700000/1000</f>
        <v>11700</v>
      </c>
      <c r="M177" s="1813">
        <f>40189449/1000</f>
        <v>40189.449000000001</v>
      </c>
      <c r="N177" s="1875">
        <f t="shared" si="69"/>
        <v>541299.53099999996</v>
      </c>
      <c r="O177" s="1874">
        <f t="shared" si="62"/>
        <v>222300</v>
      </c>
      <c r="P177" s="1875">
        <f t="shared" si="63"/>
        <v>763599.53099999996</v>
      </c>
      <c r="Q177" s="1788"/>
      <c r="R177" s="1875"/>
      <c r="S177" s="1789">
        <f t="shared" si="64"/>
        <v>27.06</v>
      </c>
      <c r="T177" s="1877">
        <f t="shared" si="65"/>
        <v>1087526.48994</v>
      </c>
      <c r="U177" s="1878">
        <f t="shared" si="66"/>
        <v>0.42421052631578959</v>
      </c>
      <c r="V177" s="1879" t="s">
        <v>4010</v>
      </c>
      <c r="W177" s="1880" t="s">
        <v>4011</v>
      </c>
      <c r="X177" s="1881">
        <f t="shared" si="67"/>
        <v>763599.53099999996</v>
      </c>
      <c r="Y177" s="1881"/>
      <c r="Z177" s="1881"/>
      <c r="AA177" s="1797"/>
      <c r="AB177" s="1837"/>
      <c r="AC177" s="1837"/>
      <c r="AD177" s="1889"/>
      <c r="AE177" s="1889"/>
      <c r="AF177" s="1874"/>
      <c r="AG177" s="1814"/>
      <c r="AK177" s="1874"/>
      <c r="AL177" s="1868"/>
      <c r="AM177" s="1857"/>
    </row>
    <row r="178" spans="1:73" s="1867" customFormat="1" ht="13.5" hidden="1" customHeight="1" outlineLevel="1">
      <c r="A178" s="1857"/>
      <c r="B178" s="1867" t="s">
        <v>4012</v>
      </c>
      <c r="C178" s="1868" t="s">
        <v>4013</v>
      </c>
      <c r="D178" s="1869" t="s">
        <v>584</v>
      </c>
      <c r="E178" s="1868" t="s">
        <v>4014</v>
      </c>
      <c r="F178" s="1830">
        <v>43271</v>
      </c>
      <c r="G178" s="1842">
        <v>15</v>
      </c>
      <c r="H178" s="1872">
        <v>14</v>
      </c>
      <c r="I178" s="1872">
        <v>16</v>
      </c>
      <c r="J178" s="1842">
        <v>20.85</v>
      </c>
      <c r="K178" s="1875">
        <f t="shared" si="68"/>
        <v>14035.651000000002</v>
      </c>
      <c r="L178" s="1813">
        <f>5700000/1000</f>
        <v>5700</v>
      </c>
      <c r="M178" s="1813">
        <f>19735651/1000</f>
        <v>19735.651000000002</v>
      </c>
      <c r="N178" s="1875">
        <f t="shared" si="69"/>
        <v>210534.76500000001</v>
      </c>
      <c r="O178" s="1874">
        <f t="shared" si="62"/>
        <v>85500</v>
      </c>
      <c r="P178" s="1875">
        <f t="shared" si="63"/>
        <v>296034.76500000001</v>
      </c>
      <c r="Q178" s="1788"/>
      <c r="R178" s="1875"/>
      <c r="S178" s="1789">
        <f t="shared" si="64"/>
        <v>20.85</v>
      </c>
      <c r="T178" s="1877">
        <f t="shared" si="65"/>
        <v>411488.32335000008</v>
      </c>
      <c r="U178" s="1878">
        <f t="shared" si="66"/>
        <v>0.39000000000000012</v>
      </c>
      <c r="V178" s="1879" t="s">
        <v>4015</v>
      </c>
      <c r="W178" s="1880" t="s">
        <v>4016</v>
      </c>
      <c r="X178" s="1881">
        <f t="shared" si="67"/>
        <v>296034.76500000001</v>
      </c>
      <c r="Y178" s="1881"/>
      <c r="Z178" s="1881"/>
      <c r="AA178" s="1797"/>
      <c r="AB178" s="1837"/>
      <c r="AC178" s="1837"/>
      <c r="AD178" s="1889"/>
      <c r="AE178" s="1889"/>
      <c r="AF178" s="1874"/>
      <c r="AG178" s="1814"/>
      <c r="AK178" s="1874"/>
      <c r="AL178" s="1868"/>
      <c r="AM178" s="1857"/>
    </row>
    <row r="179" spans="1:73" s="1867" customFormat="1" ht="13.5" hidden="1" customHeight="1" outlineLevel="1">
      <c r="A179" s="1857"/>
      <c r="B179" s="1867" t="s">
        <v>4017</v>
      </c>
      <c r="C179" s="1868" t="s">
        <v>4018</v>
      </c>
      <c r="D179" s="1869" t="s">
        <v>584</v>
      </c>
      <c r="E179" s="1868" t="s">
        <v>4019</v>
      </c>
      <c r="F179" s="1830">
        <v>43265</v>
      </c>
      <c r="G179" s="1842">
        <v>15</v>
      </c>
      <c r="H179" s="1872">
        <v>14</v>
      </c>
      <c r="I179" s="1872">
        <v>16</v>
      </c>
      <c r="J179" s="1842">
        <v>18.87</v>
      </c>
      <c r="K179" s="1875">
        <f t="shared" si="68"/>
        <v>19946.370999999999</v>
      </c>
      <c r="L179" s="1813">
        <f>5000000/1000</f>
        <v>5000</v>
      </c>
      <c r="M179" s="1813">
        <f>24946371/1000</f>
        <v>24946.370999999999</v>
      </c>
      <c r="N179" s="1875">
        <f t="shared" si="69"/>
        <v>299195.565</v>
      </c>
      <c r="O179" s="1874">
        <f t="shared" si="62"/>
        <v>75000</v>
      </c>
      <c r="P179" s="1875">
        <f t="shared" si="63"/>
        <v>374195.565</v>
      </c>
      <c r="Q179" s="1788"/>
      <c r="R179" s="1875"/>
      <c r="S179" s="1789">
        <f t="shared" si="64"/>
        <v>18.87</v>
      </c>
      <c r="T179" s="1877">
        <f t="shared" si="65"/>
        <v>470738.02077</v>
      </c>
      <c r="U179" s="1878">
        <f t="shared" si="66"/>
        <v>0.25800000000000001</v>
      </c>
      <c r="V179" s="1879" t="s">
        <v>4020</v>
      </c>
      <c r="W179" s="1880" t="s">
        <v>4021</v>
      </c>
      <c r="X179" s="1881">
        <f t="shared" si="67"/>
        <v>374195.565</v>
      </c>
      <c r="Y179" s="1881" t="s">
        <v>1860</v>
      </c>
      <c r="Z179" s="1881"/>
      <c r="AA179" s="1797"/>
      <c r="AB179" s="1837"/>
      <c r="AC179" s="1837"/>
      <c r="AD179" s="1889"/>
      <c r="AE179" s="1889"/>
      <c r="AF179" s="1874"/>
      <c r="AG179" s="1814"/>
      <c r="AK179" s="1874"/>
      <c r="AL179" s="1868"/>
      <c r="AM179" s="1857"/>
    </row>
    <row r="180" spans="1:73" s="1867" customFormat="1" ht="13.5" hidden="1" customHeight="1" outlineLevel="1">
      <c r="A180" s="1857"/>
      <c r="B180" s="1867" t="s">
        <v>4022</v>
      </c>
      <c r="C180" s="1868" t="s">
        <v>4023</v>
      </c>
      <c r="D180" s="1869" t="s">
        <v>584</v>
      </c>
      <c r="E180" s="1868" t="s">
        <v>4024</v>
      </c>
      <c r="F180" s="1830">
        <v>43244</v>
      </c>
      <c r="G180" s="1842">
        <v>13</v>
      </c>
      <c r="H180" s="1872">
        <v>14</v>
      </c>
      <c r="I180" s="1872">
        <v>16</v>
      </c>
      <c r="J180" s="1842">
        <v>12.17</v>
      </c>
      <c r="K180" s="1875">
        <f t="shared" si="68"/>
        <v>7809.4230000000007</v>
      </c>
      <c r="L180" s="1813">
        <f>6150000/1000</f>
        <v>6150</v>
      </c>
      <c r="M180" s="1813">
        <f>13959423/1000</f>
        <v>13959.423000000001</v>
      </c>
      <c r="N180" s="1875">
        <f t="shared" si="69"/>
        <v>101522.49900000001</v>
      </c>
      <c r="O180" s="1874">
        <f t="shared" si="62"/>
        <v>79950</v>
      </c>
      <c r="P180" s="1875">
        <f t="shared" si="63"/>
        <v>181472.49900000001</v>
      </c>
      <c r="Q180" s="1788"/>
      <c r="R180" s="1875"/>
      <c r="S180" s="1789">
        <f t="shared" si="64"/>
        <v>12.17</v>
      </c>
      <c r="T180" s="1877">
        <f t="shared" si="65"/>
        <v>169886.17791</v>
      </c>
      <c r="U180" s="1878">
        <f t="shared" si="66"/>
        <v>-6.3846153846153886E-2</v>
      </c>
      <c r="V180" s="1879" t="s">
        <v>4025</v>
      </c>
      <c r="W180" s="1880" t="s">
        <v>4026</v>
      </c>
      <c r="X180" s="1881">
        <f t="shared" si="67"/>
        <v>181472.49900000001</v>
      </c>
      <c r="Y180" s="1881" t="s">
        <v>1860</v>
      </c>
      <c r="Z180" s="1881"/>
      <c r="AA180" s="1797"/>
      <c r="AB180" s="1837"/>
      <c r="AC180" s="1837"/>
      <c r="AD180" s="1889"/>
      <c r="AE180" s="1889"/>
      <c r="AF180" s="1874"/>
      <c r="AG180" s="1814"/>
      <c r="AK180" s="1874"/>
      <c r="AL180" s="1868"/>
      <c r="AM180" s="1857"/>
    </row>
    <row r="181" spans="1:73" s="1867" customFormat="1" ht="13.5" hidden="1" customHeight="1" outlineLevel="1">
      <c r="A181" s="1857"/>
      <c r="B181" s="1867" t="s">
        <v>4027</v>
      </c>
      <c r="C181" s="1868" t="s">
        <v>4028</v>
      </c>
      <c r="D181" s="1869" t="s">
        <v>1561</v>
      </c>
      <c r="E181" s="1868" t="s">
        <v>4029</v>
      </c>
      <c r="F181" s="1830">
        <v>43161</v>
      </c>
      <c r="G181" s="1842">
        <v>4.4329499999999999</v>
      </c>
      <c r="H181" s="1872">
        <v>4.4329499999999999</v>
      </c>
      <c r="I181" s="1872">
        <v>5.6643299999999996</v>
      </c>
      <c r="J181" s="1842">
        <v>4.1887400000000001</v>
      </c>
      <c r="K181" s="1875">
        <f>+M181-L181</f>
        <v>41807.949999999997</v>
      </c>
      <c r="L181" s="1813">
        <v>11111.111000000001</v>
      </c>
      <c r="M181" s="1813">
        <v>52919.061000000002</v>
      </c>
      <c r="N181" s="1875">
        <f>+G181*K181</f>
        <v>185332.55195249998</v>
      </c>
      <c r="O181" s="1874">
        <f>+G181*L181</f>
        <v>49254.999507450004</v>
      </c>
      <c r="P181" s="1875">
        <f>+N181+O181</f>
        <v>234587.55145994999</v>
      </c>
      <c r="Q181" s="1788"/>
      <c r="R181" s="1875"/>
      <c r="S181" s="1789">
        <f>J181</f>
        <v>4.1887400000000001</v>
      </c>
      <c r="T181" s="1877">
        <f>S181*M181</f>
        <v>221664.18757314002</v>
      </c>
      <c r="U181" s="1878">
        <f>T181/P181-1</f>
        <v>-5.5089725803358802E-2</v>
      </c>
      <c r="V181" s="1879" t="s">
        <v>4030</v>
      </c>
      <c r="W181" s="1880" t="s">
        <v>4031</v>
      </c>
      <c r="X181" s="1881">
        <f>+N181+O181</f>
        <v>234587.55145994999</v>
      </c>
      <c r="Y181" s="1881"/>
      <c r="Z181" s="1881"/>
      <c r="AA181" s="1797"/>
      <c r="AB181" s="1837"/>
      <c r="AC181" s="1837"/>
      <c r="AD181" s="1889"/>
      <c r="AE181" s="1889"/>
      <c r="AF181" s="1874"/>
      <c r="AG181" s="1814"/>
      <c r="AK181" s="1874"/>
      <c r="AL181" s="1868"/>
      <c r="AM181" s="1857"/>
    </row>
    <row r="182" spans="1:73" s="1867" customFormat="1" ht="13.5" hidden="1" customHeight="1" outlineLevel="1">
      <c r="A182" s="1857"/>
      <c r="B182" s="1867" t="s">
        <v>4032</v>
      </c>
      <c r="C182" s="1868" t="s">
        <v>4033</v>
      </c>
      <c r="D182" s="1869" t="s">
        <v>584</v>
      </c>
      <c r="E182" s="1868" t="s">
        <v>4034</v>
      </c>
      <c r="F182" s="1830">
        <v>43125</v>
      </c>
      <c r="G182" s="1842">
        <v>17</v>
      </c>
      <c r="H182" s="1872">
        <v>14</v>
      </c>
      <c r="I182" s="1872">
        <v>16</v>
      </c>
      <c r="J182" s="1842">
        <v>41.56</v>
      </c>
      <c r="K182" s="1875">
        <f>+M182-L182</f>
        <v>21746.286</v>
      </c>
      <c r="L182" s="1813">
        <v>7529.4120000000003</v>
      </c>
      <c r="M182" s="1813">
        <v>29275.698</v>
      </c>
      <c r="N182" s="1875">
        <f>+G182*K182</f>
        <v>369686.86200000002</v>
      </c>
      <c r="O182" s="1874">
        <v>128000</v>
      </c>
      <c r="P182" s="1875">
        <f>+N182+O182</f>
        <v>497686.86200000002</v>
      </c>
      <c r="Q182" s="1788"/>
      <c r="R182" s="1875"/>
      <c r="S182" s="1789">
        <f>J182</f>
        <v>41.56</v>
      </c>
      <c r="T182" s="1877">
        <f>S182*M182</f>
        <v>1216698.0088800001</v>
      </c>
      <c r="U182" s="1878">
        <f>T182/P182-1</f>
        <v>1.4447059020014881</v>
      </c>
      <c r="V182" s="1879" t="s">
        <v>4035</v>
      </c>
      <c r="W182" s="1880" t="s">
        <v>4036</v>
      </c>
      <c r="X182" s="1881">
        <f>+N182+O182</f>
        <v>497686.86200000002</v>
      </c>
      <c r="Y182" s="1881"/>
      <c r="Z182" s="1881"/>
      <c r="AA182" s="1797"/>
      <c r="AB182" s="1837"/>
      <c r="AC182" s="1837"/>
      <c r="AD182" s="1889"/>
      <c r="AE182" s="1889"/>
      <c r="AF182" s="1874"/>
      <c r="AG182" s="1814"/>
      <c r="AK182" s="1874"/>
      <c r="AL182" s="1868"/>
      <c r="AM182" s="1857"/>
    </row>
    <row r="183" spans="1:73" s="1827" customFormat="1" ht="13.5" hidden="1" customHeight="1" outlineLevel="1">
      <c r="A183" s="1814"/>
      <c r="B183" s="1827" t="s">
        <v>1954</v>
      </c>
      <c r="C183" s="1828" t="s">
        <v>1955</v>
      </c>
      <c r="D183" s="1829" t="s">
        <v>973</v>
      </c>
      <c r="E183" s="1828" t="s">
        <v>1956</v>
      </c>
      <c r="F183" s="1830">
        <v>43055</v>
      </c>
      <c r="G183" s="1842">
        <v>14</v>
      </c>
      <c r="H183" s="1836">
        <v>14</v>
      </c>
      <c r="I183" s="1836">
        <v>16</v>
      </c>
      <c r="J183" s="1842">
        <v>13.5</v>
      </c>
      <c r="K183" s="1875">
        <f t="shared" ref="K183:K201" si="70">+M183-L183</f>
        <v>11210.151000000002</v>
      </c>
      <c r="L183" s="1813">
        <v>6400</v>
      </c>
      <c r="M183" s="1813">
        <v>17610.151000000002</v>
      </c>
      <c r="N183" s="1875">
        <f t="shared" ref="N183:N201" si="71">+G183*K183</f>
        <v>156942.11400000003</v>
      </c>
      <c r="O183" s="1874">
        <f t="shared" ref="O183:O201" si="72">+G183*L183</f>
        <v>89600</v>
      </c>
      <c r="P183" s="1875">
        <f t="shared" ref="P183:P201" si="73">+N183+O183</f>
        <v>246542.11400000003</v>
      </c>
      <c r="Q183" s="1788"/>
      <c r="R183" s="1785"/>
      <c r="S183" s="1789">
        <f t="shared" ref="S183:S201" si="74">J183</f>
        <v>13.5</v>
      </c>
      <c r="T183" s="1833">
        <f t="shared" ref="T183:T201" si="75">S183*M183</f>
        <v>237737.03850000002</v>
      </c>
      <c r="U183" s="1834">
        <f t="shared" ref="U183:U189" si="76">T183/P183-1</f>
        <v>-3.5714285714285698E-2</v>
      </c>
      <c r="V183" s="1831" t="s">
        <v>1957</v>
      </c>
      <c r="W183" s="1880" t="s">
        <v>1958</v>
      </c>
      <c r="X183" s="1810"/>
      <c r="Y183" s="1890"/>
      <c r="Z183" s="1890"/>
      <c r="AA183" s="1797"/>
      <c r="AB183" s="1795"/>
      <c r="AC183" s="1795"/>
      <c r="AD183" s="1891"/>
      <c r="AE183" s="1891"/>
      <c r="AF183" s="1813" t="s">
        <v>1860</v>
      </c>
      <c r="AG183" s="1814"/>
      <c r="AK183" s="1813"/>
      <c r="AL183" s="1828"/>
      <c r="AM183" s="1814"/>
    </row>
    <row r="184" spans="1:73" s="1827" customFormat="1" ht="13.5" hidden="1" customHeight="1" outlineLevel="1">
      <c r="A184" s="1814"/>
      <c r="B184" s="1827" t="s">
        <v>1959</v>
      </c>
      <c r="C184" s="1828" t="s">
        <v>1960</v>
      </c>
      <c r="D184" s="1829" t="s">
        <v>584</v>
      </c>
      <c r="E184" s="1828" t="s">
        <v>1961</v>
      </c>
      <c r="F184" s="1830">
        <v>43005</v>
      </c>
      <c r="G184" s="1842">
        <v>15</v>
      </c>
      <c r="H184" s="1836">
        <v>14</v>
      </c>
      <c r="I184" s="1836">
        <v>16</v>
      </c>
      <c r="J184" s="1842">
        <v>12.5</v>
      </c>
      <c r="K184" s="1875">
        <f t="shared" si="70"/>
        <v>24214.641</v>
      </c>
      <c r="L184" s="1813">
        <v>6667</v>
      </c>
      <c r="M184" s="1813">
        <v>30881.641</v>
      </c>
      <c r="N184" s="1875">
        <f t="shared" si="71"/>
        <v>363219.61499999999</v>
      </c>
      <c r="O184" s="1874">
        <f t="shared" si="72"/>
        <v>100005</v>
      </c>
      <c r="P184" s="1875">
        <f t="shared" si="73"/>
        <v>463224.61499999999</v>
      </c>
      <c r="Q184" s="1788"/>
      <c r="R184" s="1785"/>
      <c r="S184" s="1789">
        <f t="shared" si="74"/>
        <v>12.5</v>
      </c>
      <c r="T184" s="1833">
        <f t="shared" si="75"/>
        <v>386020.51250000001</v>
      </c>
      <c r="U184" s="1834">
        <f t="shared" si="76"/>
        <v>-0.16666666666666663</v>
      </c>
      <c r="V184" s="1831" t="s">
        <v>1962</v>
      </c>
      <c r="W184" s="1880" t="s">
        <v>1963</v>
      </c>
      <c r="X184" s="1810"/>
      <c r="Y184" s="1890"/>
      <c r="Z184" s="1890"/>
      <c r="AA184" s="1797"/>
      <c r="AB184" s="1795"/>
      <c r="AC184" s="1795"/>
      <c r="AD184" s="1891"/>
      <c r="AE184" s="1891"/>
      <c r="AF184" s="1813" t="s">
        <v>1860</v>
      </c>
      <c r="AG184" s="1814"/>
      <c r="AK184" s="1813"/>
      <c r="AL184" s="1828"/>
      <c r="AM184" s="1814"/>
    </row>
    <row r="185" spans="1:73" s="1827" customFormat="1" ht="13.5" hidden="1" customHeight="1" outlineLevel="1">
      <c r="A185" s="1814"/>
      <c r="B185" s="1827" t="s">
        <v>1964</v>
      </c>
      <c r="C185" s="1828" t="s">
        <v>1965</v>
      </c>
      <c r="D185" s="1829" t="s">
        <v>972</v>
      </c>
      <c r="E185" s="1828" t="s">
        <v>1966</v>
      </c>
      <c r="F185" s="1830">
        <v>42998</v>
      </c>
      <c r="G185" s="1842">
        <v>18</v>
      </c>
      <c r="H185" s="1836">
        <v>16</v>
      </c>
      <c r="I185" s="1836">
        <v>18</v>
      </c>
      <c r="J185" s="1842">
        <v>28.64</v>
      </c>
      <c r="K185" s="1875">
        <f t="shared" si="70"/>
        <v>40972.57</v>
      </c>
      <c r="L185" s="1813">
        <v>8333.3330000000005</v>
      </c>
      <c r="M185" s="1813">
        <v>49305.902999999998</v>
      </c>
      <c r="N185" s="1875">
        <f t="shared" si="71"/>
        <v>737506.26</v>
      </c>
      <c r="O185" s="1874">
        <f t="shared" si="72"/>
        <v>149999.99400000001</v>
      </c>
      <c r="P185" s="1875">
        <f t="shared" si="73"/>
        <v>887506.25399999996</v>
      </c>
      <c r="Q185" s="1788"/>
      <c r="R185" s="1785"/>
      <c r="S185" s="1789">
        <f t="shared" si="74"/>
        <v>28.64</v>
      </c>
      <c r="T185" s="1833">
        <f t="shared" si="75"/>
        <v>1412121.06192</v>
      </c>
      <c r="U185" s="1834">
        <f t="shared" si="76"/>
        <v>0.59111111111111114</v>
      </c>
      <c r="V185" s="1831" t="s">
        <v>1967</v>
      </c>
      <c r="W185" s="1880" t="s">
        <v>1968</v>
      </c>
      <c r="X185" s="1810"/>
      <c r="Y185" s="1890"/>
      <c r="Z185" s="1890"/>
      <c r="AA185" s="1797"/>
      <c r="AB185" s="1795"/>
      <c r="AC185" s="1795"/>
      <c r="AD185" s="1891"/>
      <c r="AE185" s="1891"/>
      <c r="AF185" s="1813" t="s">
        <v>1860</v>
      </c>
      <c r="AG185" s="1814"/>
      <c r="AK185" s="1813"/>
      <c r="AL185" s="1828"/>
      <c r="AM185" s="1814"/>
    </row>
    <row r="186" spans="1:73" s="1827" customFormat="1" ht="13.5" hidden="1" customHeight="1" outlineLevel="1">
      <c r="A186" s="1814"/>
      <c r="B186" s="1827" t="s">
        <v>1889</v>
      </c>
      <c r="C186" s="1828" t="s">
        <v>1890</v>
      </c>
      <c r="D186" s="1829" t="s">
        <v>584</v>
      </c>
      <c r="E186" s="1828" t="s">
        <v>1891</v>
      </c>
      <c r="F186" s="1830">
        <v>42935</v>
      </c>
      <c r="G186" s="1842">
        <v>15</v>
      </c>
      <c r="H186" s="1836">
        <v>14</v>
      </c>
      <c r="I186" s="1836">
        <v>16</v>
      </c>
      <c r="J186" s="1842">
        <v>21.36</v>
      </c>
      <c r="K186" s="1875">
        <f t="shared" si="70"/>
        <v>17283</v>
      </c>
      <c r="L186" s="1813">
        <v>6000</v>
      </c>
      <c r="M186" s="1813">
        <v>23283</v>
      </c>
      <c r="N186" s="1875">
        <f t="shared" si="71"/>
        <v>259245</v>
      </c>
      <c r="O186" s="1874">
        <f t="shared" si="72"/>
        <v>90000</v>
      </c>
      <c r="P186" s="1875">
        <f t="shared" si="73"/>
        <v>349245</v>
      </c>
      <c r="Q186" s="1788"/>
      <c r="R186" s="1785"/>
      <c r="S186" s="1789">
        <f t="shared" si="74"/>
        <v>21.36</v>
      </c>
      <c r="T186" s="1833">
        <f t="shared" si="75"/>
        <v>497324.88</v>
      </c>
      <c r="U186" s="1834">
        <f t="shared" si="76"/>
        <v>0.42399999999999993</v>
      </c>
      <c r="V186" s="1831" t="s">
        <v>1891</v>
      </c>
      <c r="W186" s="1880" t="s">
        <v>1892</v>
      </c>
      <c r="X186" s="1810">
        <f>+N186+O186</f>
        <v>349245</v>
      </c>
      <c r="Y186" s="1890">
        <v>9710000</v>
      </c>
      <c r="Z186" s="1890">
        <v>26350000</v>
      </c>
      <c r="AA186" s="1797">
        <v>-16290749</v>
      </c>
      <c r="AB186" s="1795"/>
      <c r="AC186" s="1795"/>
      <c r="AD186" s="1891"/>
      <c r="AE186" s="1891"/>
      <c r="AF186" s="1813" t="s">
        <v>1860</v>
      </c>
      <c r="AG186" s="1814"/>
      <c r="AK186" s="1813"/>
      <c r="AL186" s="1828"/>
      <c r="AM186" s="1814"/>
    </row>
    <row r="187" spans="1:73" s="1827" customFormat="1" ht="13.5" hidden="1" customHeight="1" outlineLevel="1">
      <c r="A187" s="1814"/>
      <c r="B187" s="1827" t="s">
        <v>1969</v>
      </c>
      <c r="C187" s="1828" t="s">
        <v>1970</v>
      </c>
      <c r="D187" s="1829" t="s">
        <v>584</v>
      </c>
      <c r="E187" s="1828" t="s">
        <v>1971</v>
      </c>
      <c r="F187" s="1830">
        <v>42929</v>
      </c>
      <c r="G187" s="1842">
        <v>8</v>
      </c>
      <c r="H187" s="1836">
        <v>12</v>
      </c>
      <c r="I187" s="1836">
        <v>14</v>
      </c>
      <c r="J187" s="1842">
        <v>14.21</v>
      </c>
      <c r="K187" s="1875">
        <f t="shared" si="70"/>
        <v>48572.879000000001</v>
      </c>
      <c r="L187" s="1813">
        <v>15625</v>
      </c>
      <c r="M187" s="1813">
        <v>64197.879000000001</v>
      </c>
      <c r="N187" s="1875">
        <f t="shared" si="71"/>
        <v>388583.03200000001</v>
      </c>
      <c r="O187" s="1874">
        <f t="shared" si="72"/>
        <v>125000</v>
      </c>
      <c r="P187" s="1875">
        <f t="shared" si="73"/>
        <v>513583.03200000001</v>
      </c>
      <c r="Q187" s="1788"/>
      <c r="R187" s="1785"/>
      <c r="S187" s="1789">
        <f t="shared" si="74"/>
        <v>14.21</v>
      </c>
      <c r="T187" s="1833">
        <f t="shared" si="75"/>
        <v>912251.86059000005</v>
      </c>
      <c r="U187" s="1834">
        <f t="shared" si="76"/>
        <v>0.77625000000000011</v>
      </c>
      <c r="V187" s="1831" t="s">
        <v>1972</v>
      </c>
      <c r="W187" s="1880" t="s">
        <v>1973</v>
      </c>
      <c r="X187" s="1810"/>
      <c r="Y187" s="1890"/>
      <c r="Z187" s="1890"/>
      <c r="AA187" s="1797"/>
      <c r="AB187" s="1795"/>
      <c r="AC187" s="1795"/>
      <c r="AD187" s="1891"/>
      <c r="AE187" s="1891"/>
      <c r="AF187" s="1813" t="s">
        <v>1860</v>
      </c>
      <c r="AG187" s="1814"/>
      <c r="AK187" s="1813"/>
      <c r="AL187" s="1828"/>
      <c r="AM187" s="1814"/>
    </row>
    <row r="188" spans="1:73" s="1814" customFormat="1" ht="13.5" hidden="1" customHeight="1" outlineLevel="1">
      <c r="B188" s="1827" t="s">
        <v>1893</v>
      </c>
      <c r="C188" s="1828" t="s">
        <v>1894</v>
      </c>
      <c r="D188" s="1829" t="s">
        <v>584</v>
      </c>
      <c r="E188" s="1828" t="s">
        <v>1895</v>
      </c>
      <c r="F188" s="1830">
        <v>42914</v>
      </c>
      <c r="G188" s="1842">
        <v>17</v>
      </c>
      <c r="H188" s="1836">
        <v>15</v>
      </c>
      <c r="I188" s="1836">
        <v>17</v>
      </c>
      <c r="J188" s="1842">
        <v>19.5</v>
      </c>
      <c r="K188" s="1875">
        <f t="shared" si="70"/>
        <v>20575.206999999999</v>
      </c>
      <c r="L188" s="1813">
        <v>4415</v>
      </c>
      <c r="M188" s="1813">
        <v>24990.206999999999</v>
      </c>
      <c r="N188" s="1875">
        <f t="shared" si="71"/>
        <v>349778.51899999997</v>
      </c>
      <c r="O188" s="1874">
        <f t="shared" si="72"/>
        <v>75055</v>
      </c>
      <c r="P188" s="1875">
        <f t="shared" si="73"/>
        <v>424833.51899999997</v>
      </c>
      <c r="Q188" s="1788"/>
      <c r="R188" s="1785"/>
      <c r="S188" s="1789">
        <f t="shared" si="74"/>
        <v>19.5</v>
      </c>
      <c r="T188" s="1833">
        <f t="shared" si="75"/>
        <v>487309.03649999999</v>
      </c>
      <c r="U188" s="1834">
        <f t="shared" si="76"/>
        <v>0.14705882352941191</v>
      </c>
      <c r="V188" s="1831" t="s">
        <v>1896</v>
      </c>
      <c r="W188" s="1880" t="s">
        <v>1897</v>
      </c>
      <c r="X188" s="1810">
        <f t="shared" ref="X188:X201" si="77">+N188+O188</f>
        <v>424833.51899999997</v>
      </c>
      <c r="Y188" s="1890">
        <v>13640</v>
      </c>
      <c r="Z188" s="1890">
        <v>28709</v>
      </c>
      <c r="AA188" s="1797">
        <v>409764.51899999997</v>
      </c>
      <c r="AB188" s="1795">
        <v>0</v>
      </c>
      <c r="AC188" s="1795">
        <v>0</v>
      </c>
      <c r="AD188" s="1891" t="s">
        <v>13</v>
      </c>
      <c r="AE188" s="1891" t="s">
        <v>13</v>
      </c>
      <c r="AF188" s="1813">
        <f>+P188-X188</f>
        <v>0</v>
      </c>
      <c r="AH188" s="1827"/>
      <c r="AI188" s="1827"/>
      <c r="AJ188" s="1827"/>
      <c r="AK188" s="1813"/>
      <c r="AL188" s="1828"/>
      <c r="AN188" s="1827"/>
      <c r="AO188" s="1827"/>
      <c r="AP188" s="1827"/>
      <c r="AQ188" s="1827"/>
      <c r="AR188" s="1827"/>
      <c r="AS188" s="1827"/>
      <c r="AT188" s="1827"/>
      <c r="AU188" s="1827"/>
      <c r="AV188" s="1827"/>
      <c r="AW188" s="1827"/>
      <c r="AX188" s="1827"/>
      <c r="AY188" s="1827"/>
      <c r="AZ188" s="1827"/>
      <c r="BA188" s="1827"/>
      <c r="BB188" s="1827"/>
      <c r="BC188" s="1827"/>
      <c r="BD188" s="1827"/>
      <c r="BE188" s="1827"/>
      <c r="BF188" s="1827"/>
      <c r="BG188" s="1827"/>
      <c r="BH188" s="1827"/>
      <c r="BI188" s="1827"/>
      <c r="BJ188" s="1827"/>
      <c r="BK188" s="1827"/>
      <c r="BL188" s="1827"/>
      <c r="BM188" s="1827"/>
      <c r="BN188" s="1827"/>
      <c r="BO188" s="1827"/>
      <c r="BP188" s="1827"/>
      <c r="BQ188" s="1827"/>
      <c r="BR188" s="1827"/>
      <c r="BS188" s="1827"/>
      <c r="BT188" s="1827"/>
      <c r="BU188" s="1827"/>
    </row>
    <row r="189" spans="1:73" s="1827" customFormat="1" ht="13.5" hidden="1" customHeight="1" outlineLevel="1">
      <c r="A189" s="1814"/>
      <c r="B189" s="1827" t="s">
        <v>1898</v>
      </c>
      <c r="C189" s="1828" t="s">
        <v>1899</v>
      </c>
      <c r="D189" s="1829" t="s">
        <v>584</v>
      </c>
      <c r="E189" s="1828" t="s">
        <v>1900</v>
      </c>
      <c r="F189" s="1830">
        <v>42900</v>
      </c>
      <c r="G189" s="1842">
        <v>11</v>
      </c>
      <c r="H189" s="1836">
        <v>11</v>
      </c>
      <c r="I189" s="1836">
        <v>13</v>
      </c>
      <c r="J189" s="1842">
        <v>18.82</v>
      </c>
      <c r="K189" s="1875">
        <f t="shared" si="70"/>
        <v>49248.567999999999</v>
      </c>
      <c r="L189" s="1813">
        <v>6000</v>
      </c>
      <c r="M189" s="1813">
        <v>55248.567999999999</v>
      </c>
      <c r="N189" s="1875">
        <f t="shared" si="71"/>
        <v>541734.24800000002</v>
      </c>
      <c r="O189" s="1874">
        <f t="shared" si="72"/>
        <v>66000</v>
      </c>
      <c r="P189" s="1875">
        <f t="shared" si="73"/>
        <v>607734.24800000002</v>
      </c>
      <c r="Q189" s="1788"/>
      <c r="R189" s="1785"/>
      <c r="S189" s="1789">
        <f t="shared" si="74"/>
        <v>18.82</v>
      </c>
      <c r="T189" s="1833">
        <f t="shared" si="75"/>
        <v>1039778.04976</v>
      </c>
      <c r="U189" s="1834">
        <f t="shared" si="76"/>
        <v>0.71090909090909071</v>
      </c>
      <c r="V189" s="1831" t="s">
        <v>1901</v>
      </c>
      <c r="W189" s="1880" t="s">
        <v>1902</v>
      </c>
      <c r="X189" s="1810">
        <f t="shared" si="77"/>
        <v>607734.24800000002</v>
      </c>
      <c r="Y189" s="1890">
        <v>45816</v>
      </c>
      <c r="Z189" s="1890">
        <v>26034</v>
      </c>
      <c r="AA189" s="1797">
        <v>627516.24800000002</v>
      </c>
      <c r="AB189" s="1795">
        <v>0</v>
      </c>
      <c r="AC189" s="1795">
        <v>0</v>
      </c>
      <c r="AD189" s="1891" t="s">
        <v>13</v>
      </c>
      <c r="AE189" s="1891" t="s">
        <v>13</v>
      </c>
      <c r="AF189" s="1813">
        <f>+P189-X189</f>
        <v>0</v>
      </c>
      <c r="AG189" s="1814"/>
      <c r="AK189" s="1813"/>
      <c r="AL189" s="1828"/>
      <c r="AM189" s="1814"/>
    </row>
    <row r="190" spans="1:73" s="1827" customFormat="1" ht="13.5" hidden="1" customHeight="1" outlineLevel="1">
      <c r="A190" s="1814"/>
      <c r="B190" s="1827" t="s">
        <v>1551</v>
      </c>
      <c r="C190" s="1828" t="s">
        <v>1552</v>
      </c>
      <c r="D190" s="1829" t="s">
        <v>584</v>
      </c>
      <c r="E190" s="1828" t="s">
        <v>1553</v>
      </c>
      <c r="F190" s="1830">
        <v>42802</v>
      </c>
      <c r="G190" s="1842">
        <v>20</v>
      </c>
      <c r="H190" s="1789">
        <v>20</v>
      </c>
      <c r="I190" s="1789">
        <v>22</v>
      </c>
      <c r="J190" s="1842">
        <v>20.100000000000001</v>
      </c>
      <c r="K190" s="1875">
        <f t="shared" si="70"/>
        <v>21381.206999999999</v>
      </c>
      <c r="L190" s="1813">
        <v>174.286</v>
      </c>
      <c r="M190" s="1813">
        <v>21555.492999999999</v>
      </c>
      <c r="N190" s="1875">
        <f t="shared" si="71"/>
        <v>427624.13999999996</v>
      </c>
      <c r="O190" s="1874">
        <f t="shared" si="72"/>
        <v>3485.7200000000003</v>
      </c>
      <c r="P190" s="1875">
        <f t="shared" si="73"/>
        <v>431109.85999999993</v>
      </c>
      <c r="Q190" s="1788"/>
      <c r="R190" s="1785"/>
      <c r="S190" s="1789">
        <f t="shared" si="74"/>
        <v>20.100000000000001</v>
      </c>
      <c r="T190" s="1833">
        <f t="shared" si="75"/>
        <v>433265.4093</v>
      </c>
      <c r="U190" s="1834">
        <f>IFERROR(T190/P190-1,"n/a")</f>
        <v>5.0000000000001155E-3</v>
      </c>
      <c r="V190" s="1831" t="s">
        <v>1554</v>
      </c>
      <c r="W190" s="1880" t="s">
        <v>1555</v>
      </c>
      <c r="X190" s="1810">
        <f t="shared" si="77"/>
        <v>431109.85999999993</v>
      </c>
      <c r="Y190" s="1810">
        <v>0</v>
      </c>
      <c r="Z190" s="1810">
        <v>17329</v>
      </c>
      <c r="AA190" s="1797">
        <f t="shared" ref="AA190:AA197" si="78">X190+Y190-Z190</f>
        <v>413780.85999999993</v>
      </c>
      <c r="AB190" s="1795">
        <v>0</v>
      </c>
      <c r="AC190" s="1837">
        <v>-9209</v>
      </c>
      <c r="AD190" s="1812" t="str">
        <f t="shared" ref="AD190:AD201" si="79">IFERROR(AA190/AB190,"n/a")</f>
        <v>n/a</v>
      </c>
      <c r="AE190" s="1812">
        <f t="shared" ref="AE190:AE201" si="80">IFERROR(AA190/AC190,"n/a")</f>
        <v>-44.932224997285253</v>
      </c>
      <c r="AF190" s="1813">
        <f>+P190-X190</f>
        <v>0</v>
      </c>
      <c r="AG190" s="1814"/>
      <c r="AH190" s="1904" t="s">
        <v>1556</v>
      </c>
      <c r="AI190" s="1814"/>
      <c r="AJ190" s="1814"/>
      <c r="AK190" s="1814"/>
      <c r="AL190" s="1814"/>
      <c r="AM190" s="1814"/>
      <c r="AN190" s="1814"/>
      <c r="AO190" s="1814"/>
      <c r="AP190" s="1814"/>
      <c r="AQ190" s="1814"/>
      <c r="AR190" s="1814"/>
      <c r="AS190" s="1814"/>
      <c r="AT190" s="1814"/>
      <c r="AU190" s="1814"/>
      <c r="AV190" s="1814"/>
      <c r="AW190" s="1814"/>
      <c r="AX190" s="1814"/>
      <c r="AY190" s="1814"/>
      <c r="AZ190" s="1814"/>
      <c r="BA190" s="1814"/>
      <c r="BB190" s="1814"/>
      <c r="BC190" s="1814"/>
      <c r="BD190" s="1814"/>
      <c r="BE190" s="1814"/>
      <c r="BF190" s="1814"/>
      <c r="BG190" s="1814"/>
      <c r="BH190" s="1814"/>
      <c r="BI190" s="1814"/>
      <c r="BJ190" s="1814"/>
      <c r="BK190" s="1814"/>
      <c r="BL190" s="1814"/>
      <c r="BM190" s="1814"/>
      <c r="BN190" s="1814"/>
      <c r="BO190" s="1814"/>
      <c r="BP190" s="1814"/>
      <c r="BQ190" s="1814"/>
      <c r="BR190" s="1814"/>
      <c r="BS190" s="1814"/>
      <c r="BT190" s="1814"/>
      <c r="BU190" s="1814"/>
    </row>
    <row r="191" spans="1:73" s="1814" customFormat="1" ht="13.5" hidden="1" customHeight="1" outlineLevel="1">
      <c r="B191" s="1827" t="s">
        <v>1004</v>
      </c>
      <c r="C191" s="1828" t="s">
        <v>1005</v>
      </c>
      <c r="D191" s="1829" t="s">
        <v>584</v>
      </c>
      <c r="E191" s="1828" t="s">
        <v>1006</v>
      </c>
      <c r="F191" s="1830">
        <v>42633</v>
      </c>
      <c r="G191" s="1842">
        <v>11</v>
      </c>
      <c r="H191" s="1789">
        <v>11</v>
      </c>
      <c r="I191" s="1789">
        <v>13</v>
      </c>
      <c r="J191" s="1842">
        <v>20.59</v>
      </c>
      <c r="K191" s="1875">
        <f t="shared" si="70"/>
        <v>11223.659</v>
      </c>
      <c r="L191" s="1813">
        <v>4100</v>
      </c>
      <c r="M191" s="1813">
        <v>15323.659</v>
      </c>
      <c r="N191" s="1875">
        <f t="shared" si="71"/>
        <v>123460.249</v>
      </c>
      <c r="O191" s="1874">
        <f t="shared" si="72"/>
        <v>45100</v>
      </c>
      <c r="P191" s="1875">
        <f t="shared" si="73"/>
        <v>168560.24900000001</v>
      </c>
      <c r="Q191" s="1788"/>
      <c r="R191" s="1785"/>
      <c r="S191" s="1789">
        <f t="shared" si="74"/>
        <v>20.59</v>
      </c>
      <c r="T191" s="1833">
        <f t="shared" si="75"/>
        <v>315514.13880999997</v>
      </c>
      <c r="U191" s="1834">
        <f>T191/P191-1</f>
        <v>0.8718181818181816</v>
      </c>
      <c r="V191" s="1831" t="s">
        <v>1007</v>
      </c>
      <c r="W191" s="1832" t="s">
        <v>1008</v>
      </c>
      <c r="X191" s="1810">
        <f t="shared" si="77"/>
        <v>168560.24900000001</v>
      </c>
      <c r="Y191" s="1810">
        <v>5146000</v>
      </c>
      <c r="Z191" s="1810">
        <v>19602</v>
      </c>
      <c r="AA191" s="1797">
        <f t="shared" si="78"/>
        <v>5294958.2489999998</v>
      </c>
      <c r="AB191" s="1837">
        <v>0</v>
      </c>
      <c r="AC191" s="1837">
        <v>-44204</v>
      </c>
      <c r="AD191" s="1812" t="str">
        <f t="shared" si="79"/>
        <v>n/a</v>
      </c>
      <c r="AE191" s="1812">
        <f t="shared" si="80"/>
        <v>-119.78459526287213</v>
      </c>
      <c r="AF191" s="1813">
        <f>+P191-X191</f>
        <v>0</v>
      </c>
    </row>
    <row r="192" spans="1:73" s="1814" customFormat="1" ht="13.5" hidden="1" customHeight="1" outlineLevel="1">
      <c r="B192" s="1827" t="s">
        <v>1557</v>
      </c>
      <c r="C192" s="1828" t="s">
        <v>1558</v>
      </c>
      <c r="D192" s="1829" t="s">
        <v>584</v>
      </c>
      <c r="E192" s="1828" t="s">
        <v>1559</v>
      </c>
      <c r="F192" s="1830">
        <v>42522</v>
      </c>
      <c r="G192" s="1842">
        <v>7</v>
      </c>
      <c r="H192" s="1789">
        <v>14</v>
      </c>
      <c r="I192" s="1789">
        <v>16</v>
      </c>
      <c r="J192" s="1842">
        <v>6.78</v>
      </c>
      <c r="K192" s="1875">
        <f t="shared" si="70"/>
        <v>12251.079</v>
      </c>
      <c r="L192" s="1813">
        <f>4000000/1000</f>
        <v>4000</v>
      </c>
      <c r="M192" s="1813">
        <f>16251079/1000</f>
        <v>16251.079</v>
      </c>
      <c r="N192" s="1875">
        <f t="shared" si="71"/>
        <v>85757.553</v>
      </c>
      <c r="O192" s="1874">
        <f t="shared" si="72"/>
        <v>28000</v>
      </c>
      <c r="P192" s="1875">
        <f t="shared" si="73"/>
        <v>113757.553</v>
      </c>
      <c r="Q192" s="1788"/>
      <c r="R192" s="1785"/>
      <c r="S192" s="1789">
        <f t="shared" si="74"/>
        <v>6.78</v>
      </c>
      <c r="T192" s="1833">
        <f t="shared" si="75"/>
        <v>110182.31562000001</v>
      </c>
      <c r="U192" s="1834">
        <v>-3.1428571428571361E-2</v>
      </c>
      <c r="V192" s="1831" t="s">
        <v>1559</v>
      </c>
      <c r="W192" s="1832" t="s">
        <v>1560</v>
      </c>
      <c r="X192" s="1810">
        <f t="shared" si="77"/>
        <v>113757.553</v>
      </c>
      <c r="Y192" s="1810">
        <v>6035000</v>
      </c>
      <c r="Z192" s="1810">
        <v>15887</v>
      </c>
      <c r="AA192" s="1797">
        <f t="shared" si="78"/>
        <v>6132870.5530000003</v>
      </c>
      <c r="AB192" s="1837">
        <v>510</v>
      </c>
      <c r="AC192" s="1837">
        <v>-18864</v>
      </c>
      <c r="AD192" s="1812">
        <f t="shared" si="79"/>
        <v>12025.236378431373</v>
      </c>
      <c r="AE192" s="1812">
        <f t="shared" si="80"/>
        <v>-325.10976213952506</v>
      </c>
      <c r="AF192" s="1813"/>
    </row>
    <row r="193" spans="1:42" s="1814" customFormat="1" ht="13.5" hidden="1" customHeight="1" outlineLevel="1">
      <c r="B193" s="1827" t="s">
        <v>1036</v>
      </c>
      <c r="C193" s="1828" t="s">
        <v>1037</v>
      </c>
      <c r="D193" s="1829" t="s">
        <v>584</v>
      </c>
      <c r="E193" s="1828" t="s">
        <v>1038</v>
      </c>
      <c r="F193" s="1830">
        <v>42515</v>
      </c>
      <c r="G193" s="1842">
        <v>11</v>
      </c>
      <c r="H193" s="1836">
        <v>14</v>
      </c>
      <c r="I193" s="1836">
        <v>16</v>
      </c>
      <c r="J193" s="1842">
        <v>20.14</v>
      </c>
      <c r="K193" s="1875">
        <f t="shared" si="70"/>
        <v>15998.106</v>
      </c>
      <c r="L193" s="1813">
        <v>5500</v>
      </c>
      <c r="M193" s="1813">
        <v>21498.106</v>
      </c>
      <c r="N193" s="1875">
        <f t="shared" si="71"/>
        <v>175979.166</v>
      </c>
      <c r="O193" s="1874">
        <f t="shared" si="72"/>
        <v>60500</v>
      </c>
      <c r="P193" s="1875">
        <f t="shared" si="73"/>
        <v>236479.166</v>
      </c>
      <c r="Q193" s="1788"/>
      <c r="R193" s="1785"/>
      <c r="S193" s="1789">
        <f t="shared" si="74"/>
        <v>20.14</v>
      </c>
      <c r="T193" s="1833">
        <f t="shared" si="75"/>
        <v>432971.85483999999</v>
      </c>
      <c r="U193" s="1834">
        <f t="shared" ref="U193:U201" si="81">T193/P193-1</f>
        <v>0.83090909090909082</v>
      </c>
      <c r="V193" s="1831" t="s">
        <v>1039</v>
      </c>
      <c r="W193" s="1832" t="s">
        <v>1040</v>
      </c>
      <c r="X193" s="1810">
        <f t="shared" si="77"/>
        <v>236479.166</v>
      </c>
      <c r="Y193" s="1810">
        <v>0</v>
      </c>
      <c r="Z193" s="1810">
        <v>41853</v>
      </c>
      <c r="AA193" s="1797">
        <f t="shared" si="78"/>
        <v>194626.166</v>
      </c>
      <c r="AB193" s="1837">
        <v>49731</v>
      </c>
      <c r="AC193" s="1837">
        <v>-641</v>
      </c>
      <c r="AD193" s="1812">
        <f t="shared" si="79"/>
        <v>3.9135783716394199</v>
      </c>
      <c r="AE193" s="1812">
        <f t="shared" si="80"/>
        <v>-303.62896411856474</v>
      </c>
      <c r="AF193" s="1813">
        <f t="shared" ref="AF193:AF201" si="82">+P193-X193</f>
        <v>0</v>
      </c>
    </row>
    <row r="194" spans="1:42" s="1827" customFormat="1" ht="13.5" hidden="1" customHeight="1" outlineLevel="1">
      <c r="A194" s="1814"/>
      <c r="B194" s="1827" t="s">
        <v>1082</v>
      </c>
      <c r="C194" s="1828" t="s">
        <v>1807</v>
      </c>
      <c r="D194" s="1829" t="s">
        <v>584</v>
      </c>
      <c r="E194" s="1828" t="s">
        <v>1084</v>
      </c>
      <c r="F194" s="1830">
        <v>42327</v>
      </c>
      <c r="G194" s="1842">
        <v>9</v>
      </c>
      <c r="H194" s="1836">
        <v>11</v>
      </c>
      <c r="I194" s="1836">
        <v>13</v>
      </c>
      <c r="J194" s="1842">
        <v>9.11</v>
      </c>
      <c r="K194" s="1875">
        <f t="shared" si="70"/>
        <v>13470.476999999999</v>
      </c>
      <c r="L194" s="1813">
        <v>5666.6670000000004</v>
      </c>
      <c r="M194" s="1813">
        <v>19137.144</v>
      </c>
      <c r="N194" s="1875">
        <f t="shared" si="71"/>
        <v>121234.29299999999</v>
      </c>
      <c r="O194" s="1874">
        <f t="shared" si="72"/>
        <v>51000.003000000004</v>
      </c>
      <c r="P194" s="1875">
        <f t="shared" si="73"/>
        <v>172234.296</v>
      </c>
      <c r="Q194" s="1788"/>
      <c r="R194" s="1785"/>
      <c r="S194" s="1789">
        <f t="shared" si="74"/>
        <v>9.11</v>
      </c>
      <c r="T194" s="1833">
        <f t="shared" si="75"/>
        <v>174339.38183999999</v>
      </c>
      <c r="U194" s="1834">
        <f t="shared" si="81"/>
        <v>1.2222222222222134E-2</v>
      </c>
      <c r="V194" s="1831" t="s">
        <v>1085</v>
      </c>
      <c r="W194" s="1832" t="s">
        <v>1086</v>
      </c>
      <c r="X194" s="1810">
        <f t="shared" si="77"/>
        <v>172234.296</v>
      </c>
      <c r="Y194" s="1810">
        <v>15137820</v>
      </c>
      <c r="Z194" s="1810">
        <v>4620.87</v>
      </c>
      <c r="AA194" s="1797">
        <f t="shared" si="78"/>
        <v>15305433.426000001</v>
      </c>
      <c r="AB194" s="1837">
        <v>0</v>
      </c>
      <c r="AC194" s="1837">
        <v>-17881.009999999998</v>
      </c>
      <c r="AD194" s="1812" t="str">
        <f t="shared" si="79"/>
        <v>n/a</v>
      </c>
      <c r="AE194" s="1812">
        <f t="shared" si="80"/>
        <v>-855.96022965145721</v>
      </c>
      <c r="AF194" s="1813">
        <f t="shared" si="82"/>
        <v>0</v>
      </c>
      <c r="AG194" s="1814"/>
      <c r="AK194" s="1813"/>
      <c r="AL194" s="1828"/>
      <c r="AM194" s="1814"/>
    </row>
    <row r="195" spans="1:42" s="1827" customFormat="1" ht="13.5" hidden="1" customHeight="1" outlineLevel="1">
      <c r="A195" s="1814"/>
      <c r="B195" s="1827" t="s">
        <v>1143</v>
      </c>
      <c r="C195" s="1828" t="s">
        <v>1144</v>
      </c>
      <c r="D195" s="1829" t="s">
        <v>584</v>
      </c>
      <c r="E195" s="1828" t="s">
        <v>1145</v>
      </c>
      <c r="F195" s="1830">
        <v>42208</v>
      </c>
      <c r="G195" s="1842">
        <v>15</v>
      </c>
      <c r="H195" s="1836">
        <v>14</v>
      </c>
      <c r="I195" s="1836">
        <v>16</v>
      </c>
      <c r="J195" s="1842">
        <v>24.9</v>
      </c>
      <c r="K195" s="1875">
        <f t="shared" si="70"/>
        <v>9688.7160000000003</v>
      </c>
      <c r="L195" s="1813">
        <v>4800</v>
      </c>
      <c r="M195" s="1813">
        <v>14488.716</v>
      </c>
      <c r="N195" s="1875">
        <f t="shared" si="71"/>
        <v>145330.74</v>
      </c>
      <c r="O195" s="1874">
        <f t="shared" si="72"/>
        <v>72000</v>
      </c>
      <c r="P195" s="1875">
        <f t="shared" si="73"/>
        <v>217330.74</v>
      </c>
      <c r="Q195" s="1788"/>
      <c r="R195" s="1785"/>
      <c r="S195" s="1789">
        <f t="shared" si="74"/>
        <v>24.9</v>
      </c>
      <c r="T195" s="1833">
        <f t="shared" si="75"/>
        <v>360769.02840000001</v>
      </c>
      <c r="U195" s="1834">
        <f t="shared" si="81"/>
        <v>0.66000000000000014</v>
      </c>
      <c r="V195" s="1831" t="s">
        <v>1146</v>
      </c>
      <c r="W195" s="1832" t="s">
        <v>1147</v>
      </c>
      <c r="X195" s="1810">
        <f t="shared" si="77"/>
        <v>217330.74</v>
      </c>
      <c r="Y195" s="1810">
        <v>29619000</v>
      </c>
      <c r="Z195" s="1810">
        <v>26169</v>
      </c>
      <c r="AA195" s="1797">
        <f t="shared" si="78"/>
        <v>29810161.739999998</v>
      </c>
      <c r="AB195" s="1837">
        <v>5948</v>
      </c>
      <c r="AC195" s="1837">
        <v>-48634</v>
      </c>
      <c r="AD195" s="1812">
        <f t="shared" si="79"/>
        <v>5011.7958540685941</v>
      </c>
      <c r="AE195" s="1812">
        <f t="shared" si="80"/>
        <v>-612.94900152156924</v>
      </c>
      <c r="AF195" s="1813">
        <f t="shared" si="82"/>
        <v>0</v>
      </c>
      <c r="AG195" s="1814"/>
      <c r="AK195" s="1813"/>
      <c r="AL195" s="1828"/>
      <c r="AM195" s="1814"/>
    </row>
    <row r="196" spans="1:42" s="1827" customFormat="1" ht="13.5" hidden="1" customHeight="1" outlineLevel="1">
      <c r="A196" s="1814"/>
      <c r="B196" s="1827" t="s">
        <v>1148</v>
      </c>
      <c r="C196" s="1828" t="s">
        <v>1149</v>
      </c>
      <c r="D196" s="1829" t="s">
        <v>1561</v>
      </c>
      <c r="E196" s="1828" t="s">
        <v>1150</v>
      </c>
      <c r="F196" s="1830">
        <v>42200</v>
      </c>
      <c r="G196" s="1842">
        <v>16</v>
      </c>
      <c r="H196" s="1836">
        <v>13</v>
      </c>
      <c r="I196" s="1836">
        <v>15</v>
      </c>
      <c r="J196" s="1842">
        <v>28.27</v>
      </c>
      <c r="K196" s="1875">
        <f t="shared" si="70"/>
        <v>16609.642</v>
      </c>
      <c r="L196" s="1813">
        <v>6365</v>
      </c>
      <c r="M196" s="1813">
        <v>22974.642</v>
      </c>
      <c r="N196" s="1875">
        <f t="shared" si="71"/>
        <v>265754.272</v>
      </c>
      <c r="O196" s="1874">
        <f t="shared" si="72"/>
        <v>101840</v>
      </c>
      <c r="P196" s="1875">
        <f t="shared" si="73"/>
        <v>367594.272</v>
      </c>
      <c r="Q196" s="1788"/>
      <c r="R196" s="1785"/>
      <c r="S196" s="1789">
        <f t="shared" si="74"/>
        <v>28.27</v>
      </c>
      <c r="T196" s="1833">
        <f t="shared" si="75"/>
        <v>649493.12933999998</v>
      </c>
      <c r="U196" s="1834">
        <f t="shared" si="81"/>
        <v>0.76687499999999997</v>
      </c>
      <c r="V196" s="1831" t="s">
        <v>1151</v>
      </c>
      <c r="W196" s="1832" t="s">
        <v>1152</v>
      </c>
      <c r="X196" s="1810">
        <f t="shared" si="77"/>
        <v>367594.272</v>
      </c>
      <c r="Y196" s="1810">
        <v>0</v>
      </c>
      <c r="Z196" s="1810">
        <v>70871.77</v>
      </c>
      <c r="AA196" s="1797">
        <f t="shared" si="78"/>
        <v>296722.50199999998</v>
      </c>
      <c r="AB196" s="1837">
        <v>0</v>
      </c>
      <c r="AC196" s="1837">
        <v>-60684</v>
      </c>
      <c r="AD196" s="1812" t="str">
        <f t="shared" si="79"/>
        <v>n/a</v>
      </c>
      <c r="AE196" s="1812">
        <f t="shared" si="80"/>
        <v>-4.8896332146859134</v>
      </c>
      <c r="AF196" s="1813">
        <f t="shared" si="82"/>
        <v>0</v>
      </c>
      <c r="AG196" s="1814"/>
      <c r="AH196" s="1813"/>
      <c r="AI196" s="1898"/>
      <c r="AJ196" s="1899"/>
      <c r="AK196" s="1813"/>
      <c r="AL196" s="1828"/>
      <c r="AM196" s="1814"/>
      <c r="AN196" s="1831"/>
      <c r="AO196" s="1900"/>
      <c r="AP196" s="1900"/>
    </row>
    <row r="197" spans="1:42" s="1827" customFormat="1" ht="13.5" hidden="1" customHeight="1" outlineLevel="1">
      <c r="A197" s="1814"/>
      <c r="B197" s="1827" t="s">
        <v>1178</v>
      </c>
      <c r="C197" s="1828" t="s">
        <v>1179</v>
      </c>
      <c r="D197" s="1829" t="s">
        <v>1561</v>
      </c>
      <c r="E197" s="1828" t="s">
        <v>1180</v>
      </c>
      <c r="F197" s="1830">
        <v>42130</v>
      </c>
      <c r="G197" s="1842">
        <v>12</v>
      </c>
      <c r="H197" s="1836">
        <v>12</v>
      </c>
      <c r="I197" s="1836">
        <v>14</v>
      </c>
      <c r="J197" s="1842">
        <v>19.079999999999998</v>
      </c>
      <c r="K197" s="1875">
        <f t="shared" si="70"/>
        <v>13907.935000000001</v>
      </c>
      <c r="L197" s="1813">
        <v>5800</v>
      </c>
      <c r="M197" s="1813">
        <v>19707.935000000001</v>
      </c>
      <c r="N197" s="1875">
        <f t="shared" si="71"/>
        <v>166895.22000000003</v>
      </c>
      <c r="O197" s="1874">
        <f t="shared" si="72"/>
        <v>69600</v>
      </c>
      <c r="P197" s="1875">
        <f t="shared" si="73"/>
        <v>236495.22000000003</v>
      </c>
      <c r="Q197" s="1788"/>
      <c r="R197" s="1785"/>
      <c r="S197" s="1789">
        <f t="shared" si="74"/>
        <v>19.079999999999998</v>
      </c>
      <c r="T197" s="1833">
        <f t="shared" si="75"/>
        <v>376027.39980000001</v>
      </c>
      <c r="U197" s="1834">
        <f t="shared" si="81"/>
        <v>0.58999999999999986</v>
      </c>
      <c r="V197" s="1831" t="s">
        <v>1181</v>
      </c>
      <c r="W197" s="1832" t="s">
        <v>1182</v>
      </c>
      <c r="X197" s="1810">
        <f t="shared" si="77"/>
        <v>236495.22000000003</v>
      </c>
      <c r="Y197" s="1810">
        <v>13007000</v>
      </c>
      <c r="Z197" s="1810">
        <v>1634</v>
      </c>
      <c r="AA197" s="1797">
        <f t="shared" si="78"/>
        <v>13241861.220000001</v>
      </c>
      <c r="AB197" s="1837">
        <v>0</v>
      </c>
      <c r="AC197" s="1837">
        <v>-58596</v>
      </c>
      <c r="AD197" s="1812" t="str">
        <f t="shared" si="79"/>
        <v>n/a</v>
      </c>
      <c r="AE197" s="1812">
        <f t="shared" si="80"/>
        <v>-225.98575363506043</v>
      </c>
      <c r="AF197" s="1813">
        <f t="shared" si="82"/>
        <v>0</v>
      </c>
      <c r="AG197" s="1814"/>
      <c r="AK197" s="1813"/>
      <c r="AL197" s="1828"/>
      <c r="AM197" s="1814"/>
    </row>
    <row r="198" spans="1:42" s="1827" customFormat="1" ht="13.5" hidden="1" customHeight="1" outlineLevel="1">
      <c r="A198" s="1814"/>
      <c r="B198" s="1827" t="s">
        <v>1183</v>
      </c>
      <c r="C198" s="1828" t="s">
        <v>1184</v>
      </c>
      <c r="D198" s="1829" t="s">
        <v>584</v>
      </c>
      <c r="E198" s="1828" t="s">
        <v>1185</v>
      </c>
      <c r="F198" s="1830">
        <v>42129</v>
      </c>
      <c r="G198" s="1842">
        <v>10</v>
      </c>
      <c r="H198" s="1836">
        <v>13</v>
      </c>
      <c r="I198" s="1836">
        <v>15</v>
      </c>
      <c r="J198" s="1842">
        <v>8.4499999999999993</v>
      </c>
      <c r="K198" s="1875">
        <f t="shared" si="70"/>
        <v>9638.9889999999996</v>
      </c>
      <c r="L198" s="1813">
        <v>5500</v>
      </c>
      <c r="M198" s="1813">
        <v>15138.989</v>
      </c>
      <c r="N198" s="1875">
        <f t="shared" si="71"/>
        <v>96389.89</v>
      </c>
      <c r="O198" s="1874">
        <f t="shared" si="72"/>
        <v>55000</v>
      </c>
      <c r="P198" s="1875">
        <f t="shared" si="73"/>
        <v>151389.89000000001</v>
      </c>
      <c r="Q198" s="1788"/>
      <c r="R198" s="1785"/>
      <c r="S198" s="1789">
        <f t="shared" si="74"/>
        <v>8.4499999999999993</v>
      </c>
      <c r="T198" s="1833">
        <f t="shared" si="75"/>
        <v>127924.45704999998</v>
      </c>
      <c r="U198" s="1834">
        <f t="shared" si="81"/>
        <v>-0.15500000000000014</v>
      </c>
      <c r="V198" s="1831" t="s">
        <v>1186</v>
      </c>
      <c r="W198" s="1832" t="s">
        <v>1187</v>
      </c>
      <c r="X198" s="1810">
        <f t="shared" si="77"/>
        <v>151389.89000000001</v>
      </c>
      <c r="Y198" s="1810" t="s">
        <v>13</v>
      </c>
      <c r="Z198" s="1810" t="s">
        <v>13</v>
      </c>
      <c r="AA198" s="1810" t="s">
        <v>13</v>
      </c>
      <c r="AB198" s="1810" t="s">
        <v>13</v>
      </c>
      <c r="AC198" s="1810" t="s">
        <v>13</v>
      </c>
      <c r="AD198" s="1812" t="str">
        <f t="shared" si="79"/>
        <v>n/a</v>
      </c>
      <c r="AE198" s="1812" t="str">
        <f t="shared" si="80"/>
        <v>n/a</v>
      </c>
      <c r="AF198" s="1813">
        <f t="shared" si="82"/>
        <v>0</v>
      </c>
      <c r="AG198" s="1814"/>
      <c r="AK198" s="1843"/>
      <c r="AL198" s="1828"/>
      <c r="AM198" s="1814"/>
    </row>
    <row r="199" spans="1:42" s="1827" customFormat="1" ht="13.5" hidden="1" customHeight="1" outlineLevel="1">
      <c r="A199" s="1814"/>
      <c r="B199" s="1827" t="s">
        <v>1215</v>
      </c>
      <c r="C199" s="1828" t="s">
        <v>1216</v>
      </c>
      <c r="D199" s="1829" t="s">
        <v>584</v>
      </c>
      <c r="E199" s="1828" t="s">
        <v>1217</v>
      </c>
      <c r="F199" s="1830">
        <v>42108</v>
      </c>
      <c r="G199" s="1842">
        <v>19</v>
      </c>
      <c r="H199" s="1836">
        <v>18</v>
      </c>
      <c r="I199" s="1836">
        <v>20</v>
      </c>
      <c r="J199" s="1842">
        <v>19.93</v>
      </c>
      <c r="K199" s="1875">
        <f t="shared" si="70"/>
        <v>27716.631000000001</v>
      </c>
      <c r="L199" s="1813">
        <v>4000</v>
      </c>
      <c r="M199" s="1813">
        <v>31716.631000000001</v>
      </c>
      <c r="N199" s="1875">
        <f t="shared" si="71"/>
        <v>526615.98900000006</v>
      </c>
      <c r="O199" s="1874">
        <f t="shared" si="72"/>
        <v>76000</v>
      </c>
      <c r="P199" s="1875">
        <f t="shared" si="73"/>
        <v>602615.98900000006</v>
      </c>
      <c r="Q199" s="1788"/>
      <c r="R199" s="1785"/>
      <c r="S199" s="1789">
        <f t="shared" si="74"/>
        <v>19.93</v>
      </c>
      <c r="T199" s="1833">
        <f t="shared" si="75"/>
        <v>632112.45582999999</v>
      </c>
      <c r="U199" s="1834">
        <f t="shared" si="81"/>
        <v>4.8947368421052406E-2</v>
      </c>
      <c r="V199" s="1832" t="s">
        <v>1218</v>
      </c>
      <c r="W199" s="1832" t="s">
        <v>1219</v>
      </c>
      <c r="X199" s="1810">
        <f t="shared" si="77"/>
        <v>602615.98900000006</v>
      </c>
      <c r="Y199" s="1810">
        <v>0</v>
      </c>
      <c r="Z199" s="1810">
        <v>57329</v>
      </c>
      <c r="AA199" s="1797">
        <f>X199+Y199-Z199</f>
        <v>545286.98900000006</v>
      </c>
      <c r="AB199" s="1837">
        <v>0</v>
      </c>
      <c r="AC199" s="1837">
        <v>-46039</v>
      </c>
      <c r="AD199" s="1812" t="str">
        <f t="shared" si="79"/>
        <v>n/a</v>
      </c>
      <c r="AE199" s="1812">
        <f t="shared" si="80"/>
        <v>-11.844023306327246</v>
      </c>
      <c r="AF199" s="1813">
        <f t="shared" si="82"/>
        <v>0</v>
      </c>
      <c r="AG199" s="1814"/>
      <c r="AJ199" s="1813"/>
      <c r="AK199" s="1828"/>
      <c r="AL199" s="1814"/>
    </row>
    <row r="200" spans="1:42" s="1827" customFormat="1" ht="13.5" hidden="1" customHeight="1" outlineLevel="1">
      <c r="A200" s="1814"/>
      <c r="B200" s="1827" t="s">
        <v>1230</v>
      </c>
      <c r="C200" s="1828" t="s">
        <v>1231</v>
      </c>
      <c r="D200" s="1829" t="s">
        <v>584</v>
      </c>
      <c r="E200" s="1828" t="s">
        <v>1232</v>
      </c>
      <c r="F200" s="1830">
        <v>42047</v>
      </c>
      <c r="G200" s="1842">
        <v>6</v>
      </c>
      <c r="H200" s="1836">
        <v>12</v>
      </c>
      <c r="I200" s="1836">
        <v>14</v>
      </c>
      <c r="J200" s="1842">
        <v>3.1</v>
      </c>
      <c r="K200" s="1875">
        <f t="shared" si="70"/>
        <v>5645.3540000000003</v>
      </c>
      <c r="L200" s="1813">
        <v>683.25</v>
      </c>
      <c r="M200" s="1813">
        <v>6328.6040000000003</v>
      </c>
      <c r="N200" s="1875">
        <f t="shared" si="71"/>
        <v>33872.124000000003</v>
      </c>
      <c r="O200" s="1874">
        <f t="shared" si="72"/>
        <v>4099.5</v>
      </c>
      <c r="P200" s="1875">
        <f t="shared" si="73"/>
        <v>37971.624000000003</v>
      </c>
      <c r="Q200" s="1788"/>
      <c r="R200" s="1785"/>
      <c r="S200" s="1789">
        <f t="shared" si="74"/>
        <v>3.1</v>
      </c>
      <c r="T200" s="1833">
        <f t="shared" si="75"/>
        <v>19618.672400000003</v>
      </c>
      <c r="U200" s="1834">
        <f t="shared" si="81"/>
        <v>-0.48333333333333328</v>
      </c>
      <c r="V200" s="1832" t="s">
        <v>1233</v>
      </c>
      <c r="W200" s="1832" t="s">
        <v>1234</v>
      </c>
      <c r="X200" s="1810">
        <f t="shared" si="77"/>
        <v>37971.624000000003</v>
      </c>
      <c r="Y200" s="1810">
        <v>2842130</v>
      </c>
      <c r="Z200" s="1810">
        <v>311.09999999999997</v>
      </c>
      <c r="AA200" s="1797">
        <f>X200+Y200-Z200</f>
        <v>2879790.5239999997</v>
      </c>
      <c r="AB200" s="1837">
        <v>234.6</v>
      </c>
      <c r="AC200" s="1837">
        <v>-10063.75</v>
      </c>
      <c r="AD200" s="1812">
        <f t="shared" si="79"/>
        <v>12275.321926683717</v>
      </c>
      <c r="AE200" s="1812">
        <f t="shared" si="80"/>
        <v>-286.15481545149669</v>
      </c>
      <c r="AF200" s="1813">
        <f t="shared" si="82"/>
        <v>0</v>
      </c>
      <c r="AG200" s="1814"/>
      <c r="AJ200" s="1813"/>
      <c r="AK200" s="1828"/>
      <c r="AL200" s="1814"/>
    </row>
    <row r="201" spans="1:42" s="1827" customFormat="1" ht="13.5" hidden="1" customHeight="1" outlineLevel="1">
      <c r="A201" s="1814"/>
      <c r="B201" s="1827" t="s">
        <v>876</v>
      </c>
      <c r="C201" s="1828" t="s">
        <v>874</v>
      </c>
      <c r="D201" s="1829" t="s">
        <v>584</v>
      </c>
      <c r="E201" s="1828" t="s">
        <v>1235</v>
      </c>
      <c r="F201" s="1830">
        <v>42033</v>
      </c>
      <c r="G201" s="1842">
        <v>23</v>
      </c>
      <c r="H201" s="1836">
        <v>15</v>
      </c>
      <c r="I201" s="1836">
        <v>17</v>
      </c>
      <c r="J201" s="1842">
        <v>57.59</v>
      </c>
      <c r="K201" s="1875">
        <f t="shared" si="70"/>
        <v>16490.366999999998</v>
      </c>
      <c r="L201" s="1813">
        <v>7000</v>
      </c>
      <c r="M201" s="1813">
        <v>23490.366999999998</v>
      </c>
      <c r="N201" s="1875">
        <f t="shared" si="71"/>
        <v>379278.44099999999</v>
      </c>
      <c r="O201" s="1874">
        <f t="shared" si="72"/>
        <v>161000</v>
      </c>
      <c r="P201" s="1875">
        <f t="shared" si="73"/>
        <v>540278.44099999999</v>
      </c>
      <c r="Q201" s="1788"/>
      <c r="R201" s="1785"/>
      <c r="S201" s="1789">
        <f t="shared" si="74"/>
        <v>57.59</v>
      </c>
      <c r="T201" s="1833">
        <f t="shared" si="75"/>
        <v>1352810.2355299999</v>
      </c>
      <c r="U201" s="1834">
        <f t="shared" si="81"/>
        <v>1.5039130434782608</v>
      </c>
      <c r="V201" s="1832" t="s">
        <v>875</v>
      </c>
      <c r="W201" s="1832" t="s">
        <v>877</v>
      </c>
      <c r="X201" s="1810">
        <f t="shared" si="77"/>
        <v>540278.44099999999</v>
      </c>
      <c r="Y201" s="1810">
        <v>0</v>
      </c>
      <c r="Z201" s="1810">
        <v>67272.599999999991</v>
      </c>
      <c r="AA201" s="1797">
        <f>X201+Y201-Z201</f>
        <v>473005.84100000001</v>
      </c>
      <c r="AB201" s="1837">
        <v>21077.84</v>
      </c>
      <c r="AC201" s="1837">
        <v>-75140.02</v>
      </c>
      <c r="AD201" s="1812">
        <f t="shared" si="79"/>
        <v>22.440906705810463</v>
      </c>
      <c r="AE201" s="1812">
        <f t="shared" si="80"/>
        <v>-6.2949922158657925</v>
      </c>
      <c r="AF201" s="1813">
        <f t="shared" si="82"/>
        <v>0</v>
      </c>
      <c r="AG201" s="1814"/>
      <c r="AJ201" s="1813"/>
      <c r="AK201" s="1828"/>
      <c r="AL201" s="1814"/>
    </row>
    <row r="202" spans="1:42" s="1827" customFormat="1" ht="12.75" hidden="1" customHeight="1" outlineLevel="1">
      <c r="F202" s="1892"/>
      <c r="G202" s="1892"/>
      <c r="H202" s="1892"/>
      <c r="I202" s="1892"/>
      <c r="J202" s="1892"/>
      <c r="K202" s="1892"/>
      <c r="L202" s="1892"/>
      <c r="M202" s="1892"/>
      <c r="N202" s="1892"/>
      <c r="O202" s="1892"/>
      <c r="P202" s="1892"/>
      <c r="Q202" s="1785"/>
      <c r="R202" s="1785"/>
      <c r="S202" s="1892"/>
      <c r="AG202" s="1814"/>
    </row>
    <row r="203" spans="1:42" s="1827" customFormat="1" ht="12.75" hidden="1" customHeight="1" outlineLevel="1">
      <c r="B203" s="1844" t="s">
        <v>111</v>
      </c>
      <c r="C203" s="1845"/>
      <c r="D203" s="1845"/>
      <c r="E203" s="1845"/>
      <c r="F203" s="1845"/>
      <c r="G203" s="1845"/>
      <c r="H203" s="1845"/>
      <c r="I203" s="1845"/>
      <c r="J203" s="1845"/>
      <c r="K203" s="1845"/>
      <c r="L203" s="1845"/>
      <c r="M203" s="1845"/>
      <c r="N203" s="1765">
        <f>MAX(N169:N201)</f>
        <v>976660.79</v>
      </c>
      <c r="O203" s="1765"/>
      <c r="P203" s="1846">
        <f>MAX(P169:P201)</f>
        <v>1176660.8</v>
      </c>
      <c r="Q203" s="1785"/>
      <c r="R203" s="1785"/>
      <c r="S203" s="1893">
        <f>MAX(S171:S201)</f>
        <v>57.59</v>
      </c>
    </row>
    <row r="204" spans="1:42" s="1827" customFormat="1" ht="12.75" hidden="1" customHeight="1" outlineLevel="1">
      <c r="B204" s="1848" t="s">
        <v>115</v>
      </c>
      <c r="C204" s="1849"/>
      <c r="D204" s="1849"/>
      <c r="E204" s="1849"/>
      <c r="F204" s="1849"/>
      <c r="G204" s="1849"/>
      <c r="H204" s="1849"/>
      <c r="I204" s="1849"/>
      <c r="J204" s="1849"/>
      <c r="K204" s="1849"/>
      <c r="L204" s="1849"/>
      <c r="M204" s="1849"/>
      <c r="N204" s="1766">
        <f>QUARTILE(N169:N201,3)</f>
        <v>369686.86200000002</v>
      </c>
      <c r="O204" s="1766"/>
      <c r="P204" s="1850">
        <f>QUARTILE(P169:P201,3)</f>
        <v>463224.61499999999</v>
      </c>
      <c r="Q204" s="1785"/>
      <c r="R204" s="1785"/>
      <c r="S204" s="1894">
        <f>QUARTILE(S171:S201,3)</f>
        <v>20.72</v>
      </c>
    </row>
    <row r="205" spans="1:42" s="1827" customFormat="1" ht="12.75" hidden="1" outlineLevel="1">
      <c r="B205" s="1848" t="s">
        <v>43</v>
      </c>
      <c r="C205" s="1849"/>
      <c r="D205" s="1849"/>
      <c r="E205" s="1849"/>
      <c r="F205" s="1849"/>
      <c r="G205" s="1849"/>
      <c r="H205" s="1849"/>
      <c r="I205" s="1849"/>
      <c r="J205" s="1849"/>
      <c r="K205" s="1849"/>
      <c r="L205" s="1849"/>
      <c r="M205" s="1849"/>
      <c r="N205" s="1766">
        <f>AVERAGE(N169:N201)</f>
        <v>281191.81618037872</v>
      </c>
      <c r="O205" s="1766"/>
      <c r="P205" s="1850">
        <f>AVERAGE(P169:P201)</f>
        <v>362711.82319575606</v>
      </c>
      <c r="Q205" s="1785"/>
      <c r="R205" s="1785"/>
      <c r="S205" s="1894">
        <f>AVERAGE(S171:S201)</f>
        <v>17.849959354838706</v>
      </c>
    </row>
    <row r="206" spans="1:42" s="1827" customFormat="1" ht="12.75" hidden="1" outlineLevel="1">
      <c r="B206" s="1848" t="s">
        <v>44</v>
      </c>
      <c r="C206" s="1849"/>
      <c r="D206" s="1849"/>
      <c r="E206" s="1849"/>
      <c r="F206" s="1849"/>
      <c r="G206" s="1849"/>
      <c r="H206" s="1849"/>
      <c r="I206" s="1849"/>
      <c r="J206" s="1849"/>
      <c r="K206" s="1849"/>
      <c r="L206" s="1849"/>
      <c r="M206" s="1849"/>
      <c r="N206" s="1766">
        <f>MEDIAN(N169:N201)</f>
        <v>259245</v>
      </c>
      <c r="O206" s="1766"/>
      <c r="P206" s="1850">
        <f>MEDIAN(P169:P201)</f>
        <v>349245</v>
      </c>
      <c r="Q206" s="1785"/>
      <c r="R206" s="1785"/>
      <c r="S206" s="1894">
        <f>MEDIAN(S171:S201)</f>
        <v>18.82</v>
      </c>
    </row>
    <row r="207" spans="1:42" s="1827" customFormat="1" ht="12.75" hidden="1" outlineLevel="1">
      <c r="B207" s="1848" t="s">
        <v>114</v>
      </c>
      <c r="C207" s="1849"/>
      <c r="D207" s="1849"/>
      <c r="E207" s="1849"/>
      <c r="F207" s="1849"/>
      <c r="G207" s="1849"/>
      <c r="H207" s="1849"/>
      <c r="I207" s="1849"/>
      <c r="J207" s="1849"/>
      <c r="K207" s="1849"/>
      <c r="L207" s="1849"/>
      <c r="M207" s="1849"/>
      <c r="N207" s="1766">
        <f>QUARTILE(N169:N201,1)</f>
        <v>123460.249</v>
      </c>
      <c r="O207" s="1766"/>
      <c r="P207" s="1850">
        <f>QUARTILE(P169:P201,1)</f>
        <v>181472.49900000001</v>
      </c>
      <c r="Q207" s="1785"/>
      <c r="R207" s="1785"/>
      <c r="S207" s="1894">
        <f>QUARTILE(S171:S201,1)</f>
        <v>10.64</v>
      </c>
    </row>
    <row r="208" spans="1:42" s="1827" customFormat="1" ht="12.75" hidden="1" outlineLevel="1">
      <c r="B208" s="1852" t="s">
        <v>112</v>
      </c>
      <c r="C208" s="1853"/>
      <c r="D208" s="1853"/>
      <c r="E208" s="1853"/>
      <c r="F208" s="1853"/>
      <c r="G208" s="1853"/>
      <c r="H208" s="1853"/>
      <c r="I208" s="1853"/>
      <c r="J208" s="1853"/>
      <c r="K208" s="1853"/>
      <c r="L208" s="1853"/>
      <c r="M208" s="1853"/>
      <c r="N208" s="1767">
        <f>MIN(N169:N201)</f>
        <v>25371.120000000003</v>
      </c>
      <c r="O208" s="1767"/>
      <c r="P208" s="1854">
        <f>MIN(P169:P201)</f>
        <v>32691.120000000003</v>
      </c>
      <c r="Q208" s="1785"/>
      <c r="R208" s="1785"/>
      <c r="S208" s="1895">
        <f>MIN(S171:S201)</f>
        <v>3.1</v>
      </c>
    </row>
    <row r="209" spans="2:19" s="1827" customFormat="1" ht="12.75" hidden="1" outlineLevel="1">
      <c r="F209" s="1892"/>
      <c r="G209" s="1892"/>
      <c r="H209" s="1892"/>
      <c r="I209" s="1892"/>
      <c r="J209" s="1892"/>
      <c r="K209" s="1892"/>
      <c r="L209" s="1892"/>
      <c r="M209" s="1892"/>
      <c r="N209" s="1892"/>
      <c r="O209" s="1892"/>
      <c r="P209" s="1892"/>
      <c r="Q209" s="1785"/>
      <c r="R209" s="1785"/>
      <c r="S209" s="1892"/>
    </row>
    <row r="210" spans="2:19" s="1827" customFormat="1" ht="12.75" collapsed="1">
      <c r="B210" s="1856" t="s">
        <v>1562</v>
      </c>
      <c r="F210" s="1892"/>
      <c r="G210" s="1892"/>
      <c r="H210" s="1892"/>
      <c r="I210" s="1892"/>
      <c r="J210" s="1892"/>
      <c r="K210" s="1892"/>
      <c r="L210" s="1892"/>
      <c r="M210" s="1892"/>
      <c r="N210" s="1892"/>
      <c r="O210" s="1892"/>
      <c r="P210" s="1892"/>
      <c r="Q210" s="1785"/>
      <c r="R210" s="1785"/>
      <c r="S210" s="1892"/>
    </row>
    <row r="211" spans="2:19" s="1827" customFormat="1" ht="12.75">
      <c r="B211" s="1844" t="s">
        <v>111</v>
      </c>
      <c r="C211" s="1845"/>
      <c r="D211" s="1845"/>
      <c r="E211" s="1845"/>
      <c r="F211" s="1845"/>
      <c r="G211" s="1845"/>
      <c r="H211" s="1845"/>
      <c r="I211" s="1845"/>
      <c r="J211" s="1845"/>
      <c r="K211" s="1845"/>
      <c r="L211" s="1845"/>
      <c r="M211" s="1845"/>
      <c r="N211" s="1765">
        <f t="array" ref="N211">MAX(IF($R$12:$R$201=1,N$12:N$201,""))</f>
        <v>6961458.1849999996</v>
      </c>
      <c r="O211" s="1765"/>
      <c r="P211" s="1846">
        <f t="array" ref="P211">MAX(IF($R$12:$R$201=1,P$12:P$201,""))</f>
        <v>7565806.0239999993</v>
      </c>
      <c r="Q211" s="1785"/>
      <c r="R211" s="1785"/>
      <c r="S211" s="1892"/>
    </row>
    <row r="212" spans="2:19" s="1827" customFormat="1" ht="12.75">
      <c r="B212" s="1848" t="s">
        <v>115</v>
      </c>
      <c r="C212" s="1849"/>
      <c r="D212" s="1849"/>
      <c r="E212" s="1849"/>
      <c r="F212" s="1849"/>
      <c r="G212" s="1849"/>
      <c r="H212" s="1849"/>
      <c r="I212" s="1849"/>
      <c r="J212" s="1849"/>
      <c r="K212" s="1849"/>
      <c r="L212" s="1849"/>
      <c r="M212" s="1849"/>
      <c r="N212" s="1766">
        <f t="array" ref="N212">QUARTILE(IF($R$12:$R$201=1,N$12:N$201,""),3)</f>
        <v>413619.91099999996</v>
      </c>
      <c r="O212" s="1766"/>
      <c r="P212" s="1850">
        <f t="array" ref="P212">QUARTILE(IF($R$12:$R$201=1,P$12:P$201,""),3)</f>
        <v>512089.34899999999</v>
      </c>
      <c r="Q212" s="1785"/>
      <c r="R212" s="1785"/>
      <c r="S212" s="1892"/>
    </row>
    <row r="213" spans="2:19" s="1827" customFormat="1" ht="12.75">
      <c r="B213" s="1848" t="s">
        <v>43</v>
      </c>
      <c r="C213" s="1849"/>
      <c r="D213" s="1849"/>
      <c r="E213" s="1849"/>
      <c r="F213" s="1849"/>
      <c r="G213" s="1849"/>
      <c r="H213" s="1849"/>
      <c r="I213" s="1849"/>
      <c r="J213" s="1849"/>
      <c r="K213" s="1849"/>
      <c r="L213" s="1849"/>
      <c r="M213" s="1849"/>
      <c r="N213" s="1766">
        <f t="array" ref="N213">AVERAGE(IF($R$12:$R$201=1,N$12:N$201,""))</f>
        <v>382926.68500317447</v>
      </c>
      <c r="O213" s="1766"/>
      <c r="P213" s="1850">
        <f t="array" ref="P213">AVERAGE(IF($R$12:$R$201=1,P$12:P$201,""))</f>
        <v>475985.16908888874</v>
      </c>
      <c r="Q213" s="1785"/>
      <c r="R213" s="1785"/>
      <c r="S213" s="1892"/>
    </row>
    <row r="214" spans="2:19" s="1827" customFormat="1" ht="12.75">
      <c r="B214" s="1848" t="s">
        <v>44</v>
      </c>
      <c r="C214" s="1849"/>
      <c r="D214" s="1849"/>
      <c r="E214" s="1849"/>
      <c r="F214" s="1849"/>
      <c r="G214" s="1849"/>
      <c r="H214" s="1849"/>
      <c r="I214" s="1849"/>
      <c r="J214" s="1849"/>
      <c r="K214" s="1849"/>
      <c r="L214" s="1849"/>
      <c r="M214" s="1849"/>
      <c r="N214" s="1766">
        <f t="array" ref="N214">MEDIAN(IF($R$12:$R$201=1,N$12:N$201,""))</f>
        <v>265517.99300000002</v>
      </c>
      <c r="O214" s="1766"/>
      <c r="P214" s="1850">
        <f t="array" ref="P214">MEDIAN(IF($R$12:$R$201=1,P$12:P$201,""))</f>
        <v>351164.58</v>
      </c>
      <c r="Q214" s="1785"/>
      <c r="R214" s="1785"/>
      <c r="S214" s="1892"/>
    </row>
    <row r="215" spans="2:19" s="1827" customFormat="1" ht="12.75">
      <c r="B215" s="1848" t="s">
        <v>114</v>
      </c>
      <c r="C215" s="1849"/>
      <c r="D215" s="1849"/>
      <c r="E215" s="1849"/>
      <c r="F215" s="1849"/>
      <c r="G215" s="1849"/>
      <c r="H215" s="1849"/>
      <c r="I215" s="1849"/>
      <c r="J215" s="1849"/>
      <c r="K215" s="1849"/>
      <c r="L215" s="1849"/>
      <c r="M215" s="1849"/>
      <c r="N215" s="1766">
        <f t="array" ref="N215">QUARTILE(IF($R$12:$R$201=1,N$12:N$201,""),1)</f>
        <v>112870.242</v>
      </c>
      <c r="O215" s="1766"/>
      <c r="P215" s="1850">
        <f t="array" ref="P215">QUARTILE(IF($R$12:$R$201=1,P$12:P$201,""),1)</f>
        <v>194567.576</v>
      </c>
      <c r="Q215" s="1785"/>
      <c r="R215" s="1785"/>
      <c r="S215" s="1892"/>
    </row>
    <row r="216" spans="2:19" s="1827" customFormat="1" ht="12.75">
      <c r="B216" s="1852" t="s">
        <v>112</v>
      </c>
      <c r="C216" s="1853"/>
      <c r="D216" s="1853"/>
      <c r="E216" s="1853"/>
      <c r="F216" s="1853"/>
      <c r="G216" s="1853"/>
      <c r="H216" s="1853"/>
      <c r="I216" s="1853"/>
      <c r="J216" s="1853"/>
      <c r="K216" s="1853"/>
      <c r="L216" s="1853"/>
      <c r="M216" s="1853"/>
      <c r="N216" s="1767">
        <f t="array" ref="N216">MIN(IF($R$12:$R$201=1,N$12:N$201,""))</f>
        <v>18940.300000000003</v>
      </c>
      <c r="O216" s="1767"/>
      <c r="P216" s="1854">
        <f t="array" ref="P216">MIN(IF($R$12:$R$201=1,P$12:P$201,""))</f>
        <v>38940.300000000003</v>
      </c>
      <c r="Q216" s="1785"/>
      <c r="R216" s="1785"/>
      <c r="S216" s="1892"/>
    </row>
    <row r="217" spans="2:19" s="1827" customFormat="1" ht="12.75">
      <c r="F217" s="1892"/>
      <c r="G217" s="1892"/>
      <c r="H217" s="1892"/>
      <c r="I217" s="1892"/>
      <c r="J217" s="1892"/>
      <c r="K217" s="1892"/>
      <c r="L217" s="1892"/>
      <c r="M217" s="1892"/>
      <c r="N217" s="1892"/>
      <c r="O217" s="1892"/>
      <c r="P217" s="1892"/>
      <c r="Q217" s="1892"/>
      <c r="R217" s="1892"/>
      <c r="S217" s="1892"/>
    </row>
    <row r="218" spans="2:19" s="1827" customFormat="1" ht="12.75">
      <c r="B218" s="1896" t="s">
        <v>116</v>
      </c>
      <c r="C218" s="1897"/>
      <c r="D218" s="1897"/>
      <c r="E218" s="1897"/>
      <c r="F218" s="1897"/>
      <c r="G218" s="1897"/>
      <c r="H218" s="1897"/>
      <c r="I218" s="1897"/>
      <c r="J218" s="1897"/>
      <c r="K218" s="1897"/>
      <c r="L218" s="1897"/>
      <c r="M218" s="1897"/>
      <c r="N218" s="1897"/>
      <c r="O218" s="1897"/>
      <c r="P218" s="1897"/>
      <c r="Q218" s="1892"/>
      <c r="R218" s="1892"/>
      <c r="S218" s="1892"/>
    </row>
    <row r="219" spans="2:19" ht="14.85" customHeight="1"/>
    <row r="220" spans="2:19" ht="14.85" customHeight="1"/>
    <row r="221" spans="2:19" ht="14.85" customHeight="1"/>
    <row r="222" spans="2:19" ht="14.85" customHeight="1"/>
    <row r="223" spans="2:19" ht="14.85" customHeight="1"/>
    <row r="224" spans="2:19"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sheetData>
  <mergeCells count="21">
    <mergeCell ref="U8:U9"/>
    <mergeCell ref="P8:P9"/>
    <mergeCell ref="K8:K9"/>
    <mergeCell ref="O8:O9"/>
    <mergeCell ref="L8:L9"/>
    <mergeCell ref="M8:M9"/>
    <mergeCell ref="N8:N9"/>
    <mergeCell ref="S8:S9"/>
    <mergeCell ref="T8:T9"/>
    <mergeCell ref="F8:F9"/>
    <mergeCell ref="D8:D9"/>
    <mergeCell ref="G8:G9"/>
    <mergeCell ref="H8:I8"/>
    <mergeCell ref="J8:J9"/>
    <mergeCell ref="V8:V9"/>
    <mergeCell ref="X8:X9"/>
    <mergeCell ref="AE8:AE9"/>
    <mergeCell ref="AA8:AA9"/>
    <mergeCell ref="AB8:AB9"/>
    <mergeCell ref="AC8:AC9"/>
    <mergeCell ref="AD8:AD9"/>
  </mergeCells>
  <conditionalFormatting sqref="C4:E4">
    <cfRule type="cellIs" dxfId="230" priority="8" stopIfTrue="1" operator="equal">
      <formula>"input"</formula>
    </cfRule>
  </conditionalFormatting>
  <conditionalFormatting sqref="F4:G4">
    <cfRule type="cellIs" dxfId="229" priority="7" stopIfTrue="1" operator="equal">
      <formula>"input"</formula>
    </cfRule>
  </conditionalFormatting>
  <conditionalFormatting sqref="H4:I4">
    <cfRule type="cellIs" dxfId="228" priority="6" stopIfTrue="1" operator="equal">
      <formula>"input"</formula>
    </cfRule>
  </conditionalFormatting>
  <conditionalFormatting sqref="J4:K4">
    <cfRule type="cellIs" dxfId="227" priority="5" stopIfTrue="1" operator="equal">
      <formula>"input"</formula>
    </cfRule>
  </conditionalFormatting>
  <conditionalFormatting sqref="L4:M4">
    <cfRule type="cellIs" dxfId="226" priority="4" stopIfTrue="1" operator="equal">
      <formula>"input"</formula>
    </cfRule>
  </conditionalFormatting>
  <conditionalFormatting sqref="N4:O4">
    <cfRule type="cellIs" dxfId="225" priority="3" stopIfTrue="1" operator="equal">
      <formula>"input"</formula>
    </cfRule>
  </conditionalFormatting>
  <conditionalFormatting sqref="P4">
    <cfRule type="cellIs" dxfId="224" priority="2" stopIfTrue="1" operator="equal">
      <formula>"input"</formula>
    </cfRule>
  </conditionalFormatting>
  <conditionalFormatting sqref="B4">
    <cfRule type="cellIs" dxfId="223" priority="1" stopIfTrue="1" operator="equal">
      <formula>"input"</formula>
    </cfRule>
  </conditionalFormatting>
  <pageMargins left="0.5" right="0.5" top="0.5" bottom="0.5" header="0.5" footer="0.5"/>
  <pageSetup scale="76" fitToWidth="0" fitToHeight="0" orientation="landscape" r:id="rId1"/>
  <rowBreaks count="2" manualBreakCount="2">
    <brk id="88" max="16" man="1"/>
    <brk id="132" max="16" man="1"/>
  </rowBreaks>
  <legacyDrawing r:id="rId2"/>
  <legacyDrawingHF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5">
    <tabColor theme="1"/>
    <pageSetUpPr fitToPage="1"/>
  </sheetPr>
  <dimension ref="B4:J28"/>
  <sheetViews>
    <sheetView showGridLines="0" view="pageBreakPreview" zoomScale="85" zoomScaleNormal="100" zoomScaleSheetLayoutView="85" workbookViewId="0"/>
  </sheetViews>
  <sheetFormatPr defaultColWidth="9.33203125" defaultRowHeight="14.25"/>
  <cols>
    <col min="1" max="1" width="4.5" style="195" customWidth="1"/>
    <col min="2" max="2" width="3.83203125" style="195" customWidth="1"/>
    <col min="3" max="3" width="15.83203125" style="195" customWidth="1"/>
    <col min="4" max="4" width="115.83203125" style="214" customWidth="1"/>
    <col min="5" max="5" width="8.33203125" style="195" customWidth="1"/>
    <col min="6" max="6" width="3.83203125" style="195" customWidth="1"/>
    <col min="7" max="7" width="4.5" style="195" customWidth="1"/>
    <col min="8" max="8" width="9.33203125" style="195"/>
    <col min="9" max="9" width="21.33203125" style="195" customWidth="1"/>
    <col min="10" max="10" width="19" style="195" bestFit="1" customWidth="1"/>
    <col min="11" max="16384" width="9.33203125" style="195"/>
  </cols>
  <sheetData>
    <row r="4" spans="2:8">
      <c r="H4" s="1291" t="s">
        <v>1753</v>
      </c>
    </row>
    <row r="6" spans="2:8">
      <c r="C6" s="196"/>
      <c r="D6" s="197"/>
      <c r="E6" s="196"/>
      <c r="F6" s="196"/>
    </row>
    <row r="7" spans="2:8" ht="15" thickBot="1">
      <c r="C7" s="196"/>
      <c r="D7" s="197"/>
      <c r="E7" s="196"/>
      <c r="F7" s="196"/>
    </row>
    <row r="8" spans="2:8" ht="15" thickTop="1">
      <c r="B8" s="198"/>
      <c r="C8" s="199"/>
      <c r="D8" s="200"/>
      <c r="E8" s="199"/>
      <c r="F8" s="199"/>
    </row>
    <row r="9" spans="2:8" s="204" customFormat="1" ht="39.75">
      <c r="B9" s="201"/>
      <c r="C9" s="207"/>
      <c r="D9" s="202" t="str">
        <f>+'MASTER PubCo Inputs'!C8</f>
        <v>IRC 409A and ASC 718 Common Stock Independent Appraisal</v>
      </c>
      <c r="E9" s="203"/>
      <c r="F9" s="203"/>
    </row>
    <row r="10" spans="2:8">
      <c r="B10" s="206"/>
      <c r="C10" s="207"/>
      <c r="D10" s="208"/>
      <c r="E10" s="207"/>
      <c r="F10" s="207"/>
    </row>
    <row r="11" spans="2:8" ht="23.25">
      <c r="B11" s="206"/>
      <c r="C11" s="207"/>
      <c r="D11" s="209" t="s">
        <v>634</v>
      </c>
      <c r="E11" s="207"/>
      <c r="F11" s="207"/>
    </row>
    <row r="12" spans="2:8" ht="19.5">
      <c r="B12" s="206"/>
      <c r="C12" s="207"/>
      <c r="D12" s="210" t="s">
        <v>449</v>
      </c>
      <c r="E12" s="207"/>
      <c r="F12" s="207"/>
    </row>
    <row r="13" spans="2:8" ht="23.25">
      <c r="B13" s="206"/>
      <c r="C13" s="207"/>
      <c r="D13" s="209" t="str">
        <f>IF('MASTER PubCo Inputs'!C5="","",'MASTER PubCo Inputs'!C5)</f>
        <v>Trucode Gene Repair, Inc.</v>
      </c>
      <c r="E13" s="207"/>
      <c r="F13" s="207"/>
    </row>
    <row r="14" spans="2:8">
      <c r="B14" s="206"/>
      <c r="C14" s="207"/>
      <c r="D14" s="208"/>
      <c r="E14" s="207"/>
      <c r="F14" s="207"/>
    </row>
    <row r="15" spans="2:8" ht="23.25">
      <c r="B15" s="206"/>
      <c r="C15" s="207"/>
      <c r="D15" s="209" t="str">
        <f>"Valuation Date as of "&amp;TEXT('MASTER PubCo Inputs'!$C$6,"mmmm d, yyyy")&amp;""</f>
        <v>Valuation Date as of January 31, 2019</v>
      </c>
      <c r="E15" s="207"/>
      <c r="F15" s="207"/>
    </row>
    <row r="16" spans="2:8" ht="15" thickBot="1">
      <c r="B16" s="211"/>
      <c r="C16" s="212"/>
      <c r="D16" s="213"/>
      <c r="E16" s="212"/>
      <c r="F16" s="212"/>
    </row>
    <row r="17" spans="4:10" ht="15" thickTop="1"/>
    <row r="19" spans="4:10" ht="18">
      <c r="D19" s="215" t="s">
        <v>450</v>
      </c>
    </row>
    <row r="20" spans="4:10" ht="18">
      <c r="D20" s="216" t="str">
        <f ca="1">TEXT(J20,"mmmm d, yyyy")</f>
        <v>March 13, 2019</v>
      </c>
      <c r="I20" s="195" t="s">
        <v>452</v>
      </c>
      <c r="J20" s="217">
        <f ca="1">Title!J20</f>
        <v>43537</v>
      </c>
    </row>
    <row r="25" spans="4:10" ht="23.25">
      <c r="D25" s="218"/>
    </row>
    <row r="27" spans="4:10" ht="18">
      <c r="D27" s="219"/>
    </row>
    <row r="28" spans="4:10" ht="36">
      <c r="D28" s="220" t="s">
        <v>451</v>
      </c>
    </row>
  </sheetData>
  <pageMargins left="0.5" right="0.5" top="0.5" bottom="0.5" header="0.5" footer="0.5"/>
  <pageSetup scale="98" orientation="landscape"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8">
    <pageSetUpPr fitToPage="1"/>
  </sheetPr>
  <dimension ref="B1:F759"/>
  <sheetViews>
    <sheetView showGridLines="0" view="pageBreakPreview" zoomScaleNormal="145" zoomScaleSheetLayoutView="100" workbookViewId="0"/>
  </sheetViews>
  <sheetFormatPr defaultRowHeight="14.25"/>
  <cols>
    <col min="1" max="1" width="4.5" style="234" customWidth="1"/>
    <col min="2" max="2" width="20.83203125" style="234" customWidth="1"/>
    <col min="3" max="4" width="14.83203125" style="234" customWidth="1"/>
    <col min="5" max="5" width="64.1640625" style="245" customWidth="1"/>
    <col min="6" max="6" width="30.83203125" style="234" customWidth="1"/>
    <col min="7" max="7" width="4.5" style="234" customWidth="1"/>
    <col min="8" max="8" width="2.83203125" style="234" customWidth="1"/>
    <col min="9" max="16384" width="9.33203125" style="234"/>
  </cols>
  <sheetData>
    <row r="1" spans="2:6" ht="10.7" customHeight="1" thickBot="1"/>
    <row r="2" spans="2:6" ht="16.5" customHeight="1" thickTop="1">
      <c r="B2" s="223" t="str">
        <f>'MASTER PubCo Inputs'!$C$5</f>
        <v>Trucode Gene Repair, Inc.</v>
      </c>
      <c r="C2" s="223"/>
      <c r="D2" s="223"/>
      <c r="E2" s="224"/>
      <c r="F2" s="223"/>
    </row>
    <row r="3" spans="2:6" ht="16.5" customHeight="1" thickBot="1">
      <c r="B3" s="225" t="s">
        <v>1494</v>
      </c>
      <c r="C3" s="225"/>
      <c r="D3" s="225"/>
      <c r="E3" s="226"/>
      <c r="F3" s="225"/>
    </row>
    <row r="4" spans="2:6" ht="12.75" customHeight="1" thickTop="1"/>
    <row r="5" spans="2:6" ht="14.85" customHeight="1"/>
    <row r="6" spans="2:6" ht="14.85" customHeight="1">
      <c r="B6" s="383" t="s">
        <v>1495</v>
      </c>
      <c r="C6" s="255"/>
      <c r="D6" s="255"/>
      <c r="E6" s="383" t="s">
        <v>1496</v>
      </c>
      <c r="F6" s="255"/>
    </row>
    <row r="7" spans="2:6" ht="14.85" customHeight="1">
      <c r="B7" s="1006"/>
      <c r="C7" s="255"/>
      <c r="D7" s="255"/>
      <c r="E7" s="383"/>
      <c r="F7" s="255"/>
    </row>
    <row r="8" spans="2:6" ht="14.85" customHeight="1">
      <c r="B8" s="620" t="str">
        <f>Outline!B48</f>
        <v>#1</v>
      </c>
      <c r="E8" s="245" t="str">
        <f>Outline!E48</f>
        <v>Hybrid OPM</v>
      </c>
    </row>
    <row r="9" spans="2:6" ht="14.85" customHeight="1">
      <c r="B9" s="620" t="str">
        <f>Outline!B49</f>
        <v>#2</v>
      </c>
      <c r="E9" s="245" t="str">
        <f>Outline!E49</f>
        <v>Option Pricing Method - Breakpoints &amp; Allocation (Hybrid OPM)</v>
      </c>
    </row>
    <row r="10" spans="2:6" ht="14.85" customHeight="1">
      <c r="B10" s="620" t="str">
        <f>Outline!B50</f>
        <v>#3</v>
      </c>
      <c r="E10" s="245" t="str">
        <f>Outline!E50</f>
        <v>Option Pricing Method - Implied Value Per Share (Hybrid OPM)</v>
      </c>
    </row>
    <row r="11" spans="2:6" ht="14.85" customHeight="1">
      <c r="B11" s="620" t="str">
        <f>Outline!B51</f>
        <v>#4</v>
      </c>
      <c r="E11" s="245" t="str">
        <f>Outline!E51</f>
        <v>Discount for Lack of Marketability - Option Models (Hybrid OPM)</v>
      </c>
    </row>
    <row r="12" spans="2:6" ht="14.85" customHeight="1">
      <c r="B12" s="620" t="str">
        <f>Outline!B52</f>
        <v>#5</v>
      </c>
      <c r="E12" s="245" t="str">
        <f>Outline!E52</f>
        <v>Asset Volatility (Hybrid OPM)</v>
      </c>
    </row>
    <row r="13" spans="2:6" ht="14.85" customHeight="1">
      <c r="B13" s="620" t="str">
        <f>Outline!B53</f>
        <v>#6</v>
      </c>
      <c r="E13" s="245" t="str">
        <f>Outline!E53</f>
        <v>Asset Volatility (Hybrid OPM DLOM)</v>
      </c>
    </row>
    <row r="14" spans="2:6" ht="14.85" customHeight="1">
      <c r="B14" s="620" t="str">
        <f>Outline!B54</f>
        <v>#7</v>
      </c>
      <c r="E14" s="245" t="str">
        <f>Outline!E54</f>
        <v>Risk-Free Rates - Hybrid</v>
      </c>
    </row>
    <row r="15" spans="2:6" ht="14.85" customHeight="1">
      <c r="B15" s="620" t="str">
        <f>Outline!B55</f>
        <v>#8</v>
      </c>
      <c r="E15" s="245" t="str">
        <f>Outline!E55</f>
        <v>Market Trends Since Previous Valuation</v>
      </c>
    </row>
    <row r="16" spans="2:6" ht="14.85" customHeight="1">
      <c r="B16" s="620" t="str">
        <f>Outline!B56</f>
        <v>#9</v>
      </c>
      <c r="E16" s="245" t="str">
        <f>Outline!E56</f>
        <v>Comparative Sheet</v>
      </c>
    </row>
    <row r="17" spans="5:5" ht="14.85" customHeight="1"/>
    <row r="18" spans="5:5" ht="14.85" customHeight="1">
      <c r="E18" s="234"/>
    </row>
    <row r="19" spans="5:5" ht="14.85" customHeight="1">
      <c r="E19" s="234"/>
    </row>
    <row r="20" spans="5:5" ht="14.85" customHeight="1">
      <c r="E20" s="234"/>
    </row>
    <row r="21" spans="5:5" ht="14.85" customHeight="1">
      <c r="E21" s="234"/>
    </row>
    <row r="22" spans="5:5" ht="14.85" customHeight="1"/>
    <row r="23" spans="5:5" ht="14.85" customHeight="1"/>
    <row r="24" spans="5:5" ht="14.85" customHeight="1"/>
    <row r="25" spans="5:5" ht="14.85" customHeight="1"/>
    <row r="26" spans="5:5" ht="14.85" customHeight="1"/>
    <row r="27" spans="5:5" ht="14.85" customHeight="1"/>
    <row r="28" spans="5:5" ht="14.85" customHeight="1"/>
    <row r="29" spans="5:5" ht="14.85" customHeight="1"/>
    <row r="30" spans="5:5" ht="14.85" customHeight="1"/>
    <row r="31" spans="5:5" ht="14.85" customHeight="1"/>
    <row r="32" spans="5:5"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3:F3">
    <cfRule type="cellIs" dxfId="222" priority="15" stopIfTrue="1" operator="equal">
      <formula>"input"</formula>
    </cfRule>
  </conditionalFormatting>
  <conditionalFormatting sqref="B7:B16">
    <cfRule type="expression" dxfId="221" priority="14">
      <formula>OR($B7="Exhibits",$B7="Workpapers")</formula>
    </cfRule>
  </conditionalFormatting>
  <conditionalFormatting sqref="E7">
    <cfRule type="expression" dxfId="220" priority="13">
      <formula>$B7=""</formula>
    </cfRule>
  </conditionalFormatting>
  <conditionalFormatting sqref="B11:B12">
    <cfRule type="expression" dxfId="219" priority="2">
      <formula>$B9=""</formula>
    </cfRule>
  </conditionalFormatting>
  <conditionalFormatting sqref="B13">
    <cfRule type="expression" dxfId="218" priority="1">
      <formula>OR($B13="Exhibits",$B13="Workpapers")</formula>
    </cfRule>
  </conditionalFormatting>
  <pageMargins left="0.5" right="0.5" top="0.5" bottom="0.5" header="0.5" footer="0.5"/>
  <pageSetup scale="98" orientation="landscape"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65"/>
  <dimension ref="A1:K767"/>
  <sheetViews>
    <sheetView showGridLines="0" view="pageBreakPreview" topLeftCell="A7" zoomScale="85" zoomScaleNormal="100" zoomScaleSheetLayoutView="85" workbookViewId="0">
      <selection activeCell="H26" sqref="H26"/>
    </sheetView>
  </sheetViews>
  <sheetFormatPr defaultRowHeight="14.25"/>
  <cols>
    <col min="1" max="1" width="4.5" style="234" customWidth="1"/>
    <col min="2" max="2" width="57.1640625" style="234" customWidth="1"/>
    <col min="3" max="5" width="20.83203125" style="234" customWidth="1"/>
    <col min="6" max="6" width="24.6640625" style="234" customWidth="1"/>
    <col min="7" max="7" width="4.5" style="234" customWidth="1"/>
    <col min="8" max="8" width="18.6640625" style="234" customWidth="1"/>
    <col min="9" max="10" width="15.6640625" style="234" customWidth="1"/>
    <col min="11" max="16384" width="9.33203125" style="234"/>
  </cols>
  <sheetData>
    <row r="1" spans="2:6" ht="10.7" customHeight="1" thickBot="1"/>
    <row r="2" spans="2:6" ht="16.5" customHeight="1" thickTop="1">
      <c r="B2" s="223" t="str">
        <f>'MASTER PubCo Inputs'!$C$5</f>
        <v>Trucode Gene Repair, Inc.</v>
      </c>
      <c r="C2" s="223"/>
      <c r="D2" s="223"/>
      <c r="E2" s="223"/>
      <c r="F2" s="223"/>
    </row>
    <row r="3" spans="2:6" ht="15.75" customHeight="1">
      <c r="B3" s="232" t="str">
        <f>VLOOKUP(B4,Outline!$E$8:$G$65,COLUMNS(Outline!$E$8:$G$8),FALSE)</f>
        <v>Workpaper #1</v>
      </c>
      <c r="C3" s="232"/>
      <c r="D3" s="232"/>
      <c r="E3" s="232"/>
      <c r="F3" s="232"/>
    </row>
    <row r="4" spans="2:6" ht="16.5" customHeight="1" thickBot="1">
      <c r="B4" s="225" t="s">
        <v>1708</v>
      </c>
      <c r="C4" s="225"/>
      <c r="D4" s="225"/>
      <c r="E4" s="225"/>
      <c r="F4" s="233" t="str">
        <f>+'MASTER PubCo Inputs'!$C$21</f>
        <v>(in thousands of USD)</v>
      </c>
    </row>
    <row r="5" spans="2:6" ht="14.85" customHeight="1" thickTop="1">
      <c r="B5" s="982"/>
      <c r="C5" s="413"/>
      <c r="D5" s="413"/>
      <c r="E5" s="413"/>
      <c r="F5" s="413"/>
    </row>
    <row r="6" spans="2:6" ht="14.85" customHeight="1">
      <c r="D6" s="280" t="s">
        <v>250</v>
      </c>
      <c r="E6" s="280" t="s">
        <v>249</v>
      </c>
      <c r="F6" s="280" t="s">
        <v>249</v>
      </c>
    </row>
    <row r="7" spans="2:6" s="270" customFormat="1" ht="14.85" customHeight="1">
      <c r="B7" s="983" t="s">
        <v>1709</v>
      </c>
      <c r="C7" s="984"/>
      <c r="D7" s="985" t="s">
        <v>556</v>
      </c>
      <c r="E7" s="985" t="str">
        <f>PWERM!D7</f>
        <v>IPO - Phase I</v>
      </c>
      <c r="F7" s="1975" t="str">
        <f>PWERM!E7</f>
        <v>IPO - Phase II</v>
      </c>
    </row>
    <row r="8" spans="2:6" ht="14.85" customHeight="1"/>
    <row r="9" spans="2:6" ht="14.85" customHeight="1">
      <c r="B9" s="234" t="s">
        <v>1710</v>
      </c>
      <c r="C9" s="390">
        <f>SUM(D9:F9)</f>
        <v>1</v>
      </c>
      <c r="D9" s="900">
        <f>1-E9-F9</f>
        <v>0.96</v>
      </c>
      <c r="E9" s="832">
        <f>ROUND(PWERM!D114,2)</f>
        <v>0.02</v>
      </c>
      <c r="F9" s="832">
        <f>ROUND(PWERM!E114,2)</f>
        <v>0.02</v>
      </c>
    </row>
    <row r="10" spans="2:6" ht="9.9499999999999993" customHeight="1">
      <c r="C10" s="252"/>
      <c r="D10" s="252"/>
      <c r="E10" s="1958"/>
      <c r="F10" s="390"/>
    </row>
    <row r="11" spans="2:6" ht="14.85" customHeight="1">
      <c r="B11" s="234" t="s">
        <v>1711</v>
      </c>
      <c r="C11" s="252"/>
      <c r="D11" s="987">
        <f>'OPM 2 Hybrid'!H14</f>
        <v>0.90968968925045346</v>
      </c>
      <c r="E11" s="987">
        <f>PWERM!D102*PWERM!D109</f>
        <v>4.0703072273888559</v>
      </c>
      <c r="F11" s="987">
        <f>PWERM!E102*PWERM!E109</f>
        <v>2.5697096269423589</v>
      </c>
    </row>
    <row r="12" spans="2:6" ht="9.9499999999999993" customHeight="1">
      <c r="C12" s="252"/>
      <c r="D12" s="245"/>
      <c r="E12" s="581"/>
      <c r="F12" s="261"/>
    </row>
    <row r="13" spans="2:6" ht="14.85" customHeight="1">
      <c r="B13" s="317" t="s">
        <v>1773</v>
      </c>
      <c r="C13" s="252"/>
      <c r="D13" s="2055">
        <f>'DLOM Hybrid'!D51</f>
        <v>0.3</v>
      </c>
      <c r="E13" s="2056">
        <f>PWERM!D104</f>
        <v>0.3</v>
      </c>
      <c r="F13" s="2056">
        <f>PWERM!E104</f>
        <v>0.4</v>
      </c>
    </row>
    <row r="14" spans="2:6" ht="14.85" customHeight="1">
      <c r="B14" s="317" t="s">
        <v>4224</v>
      </c>
      <c r="C14" s="252"/>
      <c r="D14" s="2055">
        <f>'Additional Risk Factor'!D18</f>
        <v>0.3</v>
      </c>
      <c r="E14" s="2056">
        <f>PWERM!D105</f>
        <v>0.3</v>
      </c>
      <c r="F14" s="2056">
        <f>PWERM!E105</f>
        <v>0.3</v>
      </c>
    </row>
    <row r="15" spans="2:6" ht="14.85" customHeight="1">
      <c r="B15" s="234" t="s">
        <v>4174</v>
      </c>
      <c r="C15" s="252"/>
      <c r="D15" s="1956">
        <f>D11*(1-D13)*(1-D14)</f>
        <v>0.44574794773272214</v>
      </c>
      <c r="E15" s="1956">
        <f>E11*(1-E13)*(1-E14)</f>
        <v>1.9944505414205389</v>
      </c>
      <c r="F15" s="1956">
        <f>F11*(1-F13)*(1-F14)</f>
        <v>1.0792780433157907</v>
      </c>
    </row>
    <row r="16" spans="2:6" ht="9.9499999999999993" customHeight="1">
      <c r="C16" s="252"/>
      <c r="D16" s="245"/>
      <c r="E16" s="581"/>
      <c r="F16" s="261"/>
    </row>
    <row r="17" spans="2:11" ht="14.85" customHeight="1">
      <c r="B17" s="234" t="s">
        <v>1712</v>
      </c>
      <c r="C17" s="252"/>
      <c r="D17" s="245"/>
      <c r="E17" s="581"/>
      <c r="F17" s="261"/>
    </row>
    <row r="18" spans="2:11" ht="14.85" customHeight="1">
      <c r="B18" s="256" t="s">
        <v>426</v>
      </c>
      <c r="C18" s="252"/>
      <c r="D18" s="988"/>
      <c r="E18" s="265">
        <f>PWERM!D149</f>
        <v>17457.520098338446</v>
      </c>
      <c r="F18" s="265">
        <f>PWERM!E149</f>
        <v>14209.236551859243</v>
      </c>
    </row>
    <row r="19" spans="2:11" ht="14.85" customHeight="1">
      <c r="B19" s="256" t="s">
        <v>429</v>
      </c>
      <c r="C19" s="252"/>
      <c r="D19" s="989"/>
      <c r="E19" s="1957">
        <f>PWERM!D160</f>
        <v>8105.9458921163932</v>
      </c>
      <c r="F19" s="1957">
        <f>PWERM!E160</f>
        <v>5467.8649471107001</v>
      </c>
      <c r="I19" s="358"/>
      <c r="J19" s="970"/>
    </row>
    <row r="20" spans="2:11" ht="14.85" customHeight="1">
      <c r="B20" s="256" t="s">
        <v>1713</v>
      </c>
      <c r="C20" s="252"/>
      <c r="D20" s="990"/>
      <c r="E20" s="991">
        <f>SUM(E18:E19)</f>
        <v>25563.465990454839</v>
      </c>
      <c r="F20" s="991">
        <f>SUM(F18:F19)</f>
        <v>19677.101498969943</v>
      </c>
      <c r="I20" s="994"/>
      <c r="J20" s="358"/>
    </row>
    <row r="21" spans="2:11" ht="14.85" customHeight="1">
      <c r="B21" s="256" t="s">
        <v>1714</v>
      </c>
      <c r="C21" s="886" t="str">
        <f>+'Cap Table'!B3</f>
        <v>Exhibit G.1</v>
      </c>
      <c r="D21" s="248"/>
      <c r="E21" s="1957">
        <f>'Cap Table'!G9</f>
        <v>5097.5659999999998</v>
      </c>
      <c r="F21" s="551">
        <f>E21</f>
        <v>5097.5659999999998</v>
      </c>
      <c r="J21" s="323"/>
    </row>
    <row r="22" spans="2:11" ht="9.9499999999999993" customHeight="1"/>
    <row r="23" spans="2:11" ht="14.85" customHeight="1">
      <c r="B23" s="234" t="s">
        <v>1716</v>
      </c>
      <c r="C23" s="245"/>
      <c r="D23" s="987">
        <f>'OPM 2 Hybrid'!H12</f>
        <v>2.6546294311178742</v>
      </c>
      <c r="E23" s="491">
        <f>+E20/E21</f>
        <v>5.0148376677133442</v>
      </c>
      <c r="F23" s="491">
        <f>+F20/F21</f>
        <v>3.860097446304755</v>
      </c>
      <c r="I23" s="994" t="s">
        <v>1719</v>
      </c>
      <c r="J23" s="999" t="s">
        <v>148</v>
      </c>
    </row>
    <row r="24" spans="2:11" ht="9.9499999999999993" customHeight="1">
      <c r="C24" s="245"/>
      <c r="D24" s="245"/>
      <c r="E24" s="581"/>
      <c r="F24" s="261"/>
      <c r="I24" s="272">
        <f>'Econ Rights'!$G$12</f>
        <v>4.2926000000000002</v>
      </c>
    </row>
    <row r="25" spans="2:11" ht="14.85" customHeight="1">
      <c r="B25" s="234" t="s">
        <v>1717</v>
      </c>
      <c r="C25" s="245"/>
      <c r="D25" s="265">
        <f>'OPM 1 Hybrid'!D9</f>
        <v>33639.192293061024</v>
      </c>
      <c r="E25" s="265">
        <f>PWERM!D174</f>
        <v>98008.597884942879</v>
      </c>
      <c r="F25" s="265">
        <f>PWERM!E174</f>
        <v>71166.285152280921</v>
      </c>
      <c r="I25" s="994" t="s">
        <v>4239</v>
      </c>
      <c r="J25" s="970">
        <v>33639.192293061024</v>
      </c>
    </row>
    <row r="26" spans="2:11" ht="14.85" customHeight="1">
      <c r="C26" s="245"/>
      <c r="D26" s="245"/>
      <c r="E26" s="581"/>
      <c r="F26" s="261"/>
      <c r="I26" s="272">
        <f>PWERM!F166</f>
        <v>2.7225605165679432</v>
      </c>
      <c r="J26" s="358">
        <f>I26-C31</f>
        <v>-3.3824395855779343E-3</v>
      </c>
      <c r="K26" s="2191" t="s">
        <v>4257</v>
      </c>
    </row>
    <row r="27" spans="2:11" ht="14.85" customHeight="1">
      <c r="B27" s="995" t="s">
        <v>1718</v>
      </c>
      <c r="C27" s="996"/>
      <c r="D27" s="996"/>
      <c r="E27" s="996"/>
      <c r="F27" s="997"/>
      <c r="I27" s="992" t="s">
        <v>1715</v>
      </c>
      <c r="J27" s="363" t="s">
        <v>4235</v>
      </c>
    </row>
    <row r="28" spans="2:11" ht="14.85" customHeight="1">
      <c r="C28" s="245"/>
      <c r="D28" s="245"/>
      <c r="E28" s="581"/>
      <c r="F28" s="390"/>
      <c r="I28" s="316"/>
    </row>
    <row r="29" spans="2:11" ht="14.85" customHeight="1">
      <c r="B29" s="998" t="s">
        <v>150</v>
      </c>
      <c r="C29" s="320">
        <f>SUMPRODUCT(D9:F9,D15:F15)</f>
        <v>0.48939260151813985</v>
      </c>
      <c r="E29" s="581"/>
      <c r="F29" s="261"/>
      <c r="H29" s="234" t="s">
        <v>236</v>
      </c>
      <c r="I29" s="456">
        <f>'Comparative Sheet'!D61</f>
        <v>1.0620267326265702</v>
      </c>
      <c r="J29" s="261">
        <f>C29/I29-1</f>
        <v>-0.53918994081458771</v>
      </c>
    </row>
    <row r="30" spans="2:11" ht="14.85" customHeight="1">
      <c r="B30" s="255"/>
      <c r="E30" s="581"/>
      <c r="F30" s="261"/>
      <c r="H30" s="2192">
        <v>0.44</v>
      </c>
      <c r="I30" s="456"/>
      <c r="J30" s="261"/>
    </row>
    <row r="31" spans="2:11" ht="14.85" customHeight="1">
      <c r="B31" s="998" t="s">
        <v>490</v>
      </c>
      <c r="C31" s="320">
        <f>SUMPRODUCT(D9:F9,D23:F23)</f>
        <v>2.7259429561535211</v>
      </c>
      <c r="E31" s="581"/>
      <c r="F31" s="261"/>
      <c r="H31" s="234" t="s">
        <v>490</v>
      </c>
      <c r="I31" s="456">
        <f>'Comparative Sheet'!D62</f>
        <v>4.2926000000000002</v>
      </c>
      <c r="J31" s="261">
        <f>C31/I31-1</f>
        <v>-0.3649669300299303</v>
      </c>
    </row>
    <row r="32" spans="2:11" ht="14.85" customHeight="1">
      <c r="B32" s="255"/>
      <c r="E32" s="581"/>
      <c r="F32" s="261"/>
      <c r="I32" s="456"/>
      <c r="J32" s="261"/>
    </row>
    <row r="33" spans="1:11" ht="14.85" customHeight="1">
      <c r="B33" s="998" t="s">
        <v>148</v>
      </c>
      <c r="C33" s="309">
        <f>ROUND(SUMPRODUCT(D9:F9,D25:F25),-3)</f>
        <v>36000</v>
      </c>
      <c r="E33" s="581"/>
      <c r="F33" s="261"/>
      <c r="H33" s="234" t="s">
        <v>148</v>
      </c>
      <c r="I33" s="993">
        <f>'Comparative Sheet'!D63</f>
        <v>80600</v>
      </c>
      <c r="J33" s="261">
        <f>C33/I33-1</f>
        <v>-0.5533498759305211</v>
      </c>
    </row>
    <row r="34" spans="1:11" ht="14.85" customHeight="1">
      <c r="E34" s="581"/>
      <c r="F34" s="261"/>
    </row>
    <row r="35" spans="1:11" ht="14.85" customHeight="1">
      <c r="B35" s="1000" t="s">
        <v>86</v>
      </c>
    </row>
    <row r="36" spans="1:11" ht="14.85" customHeight="1">
      <c r="A36" s="493" t="str">
        <f>+D6</f>
        <v>(1)</v>
      </c>
      <c r="B36" s="1001" t="str">
        <f>"Refer to "&amp;'OPM 1 Hybrid'!B3&amp;"."</f>
        <v>Refer to Workpaper #2.</v>
      </c>
    </row>
    <row r="37" spans="1:11" ht="14.85" customHeight="1">
      <c r="A37" s="234" t="str">
        <f>+E6</f>
        <v>(2)</v>
      </c>
      <c r="B37" s="1001" t="str">
        <f>"Refer to "&amp;PWERM!B3&amp;"."</f>
        <v>Refer to Exhibit B.1.</v>
      </c>
      <c r="C37" s="323"/>
    </row>
    <row r="38" spans="1:11" s="1002" customFormat="1" ht="34.5" customHeight="1">
      <c r="A38" s="1002" t="s">
        <v>288</v>
      </c>
      <c r="B38" s="2210" t="s">
        <v>1720</v>
      </c>
      <c r="C38" s="2210"/>
      <c r="D38" s="2210"/>
      <c r="E38" s="2210"/>
      <c r="F38" s="2210"/>
      <c r="H38" s="234"/>
      <c r="K38" s="234"/>
    </row>
    <row r="39" spans="1:11" ht="14.85" customHeight="1">
      <c r="B39" s="1003"/>
    </row>
    <row r="40" spans="1:11" ht="14.85" customHeight="1"/>
    <row r="41" spans="1:11" ht="14.85" customHeight="1"/>
    <row r="42" spans="1:11" ht="14.85" customHeight="1"/>
    <row r="43" spans="1:11" ht="14.85" customHeight="1"/>
    <row r="44" spans="1:11" ht="14.85" customHeight="1">
      <c r="H44" s="1002"/>
      <c r="I44" s="1002"/>
      <c r="J44" s="1002"/>
    </row>
    <row r="45" spans="1:11" ht="14.85" customHeight="1"/>
    <row r="46" spans="1:11" ht="14.85" customHeight="1">
      <c r="K46" s="1002"/>
    </row>
    <row r="47" spans="1:11" ht="14.85" customHeight="1"/>
    <row r="48" spans="1:11"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sheetData>
  <mergeCells count="1">
    <mergeCell ref="B38:F38"/>
  </mergeCells>
  <conditionalFormatting sqref="B5:F5 B4:E4">
    <cfRule type="cellIs" dxfId="217" priority="3" stopIfTrue="1" operator="equal">
      <formula>"input"</formula>
    </cfRule>
  </conditionalFormatting>
  <conditionalFormatting sqref="F4">
    <cfRule type="cellIs" dxfId="216" priority="1" stopIfTrue="1" operator="equal">
      <formula>"input"</formula>
    </cfRule>
  </conditionalFormatting>
  <conditionalFormatting sqref="F4">
    <cfRule type="cellIs" dxfId="215" priority="2" stopIfTrue="1" operator="equal">
      <formula>"input"</formula>
    </cfRule>
  </conditionalFormatting>
  <pageMargins left="0.5" right="0.5" top="0.5" bottom="0.5" header="0.5" footer="0.5"/>
  <pageSetup fitToWidth="0" fitToHeight="0" orientation="landscape" r:id="rId1"/>
  <legacyDrawingHF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8"/>
  <dimension ref="A1:X653"/>
  <sheetViews>
    <sheetView showGridLines="0" view="pageBreakPreview" zoomScale="85" zoomScaleNormal="85" zoomScaleSheetLayoutView="85" workbookViewId="0"/>
  </sheetViews>
  <sheetFormatPr defaultRowHeight="14.25" outlineLevelRow="1"/>
  <cols>
    <col min="1" max="1" width="4.5" style="234" customWidth="1"/>
    <col min="2" max="2" width="52.1640625" style="234" customWidth="1"/>
    <col min="3" max="3" width="2.83203125" style="234" customWidth="1"/>
    <col min="4" max="4" width="22.6640625" style="234" customWidth="1"/>
    <col min="5" max="15" width="18.1640625" style="234" customWidth="1"/>
    <col min="16" max="16" width="4.5" style="234" customWidth="1"/>
    <col min="17" max="17" width="11.83203125" style="234" customWidth="1"/>
    <col min="18" max="18" width="1.83203125" style="234" customWidth="1"/>
    <col min="19" max="19" width="21.6640625" style="252" bestFit="1" customWidth="1"/>
    <col min="20" max="21" width="9.33203125" style="234"/>
    <col min="22" max="23" width="9.5" style="234" bestFit="1" customWidth="1"/>
    <col min="24" max="24" width="9.6640625" style="234" bestFit="1" customWidth="1"/>
    <col min="25" max="16384" width="9.33203125" style="234"/>
  </cols>
  <sheetData>
    <row r="1" spans="2:24" ht="10.7" customHeight="1" thickBot="1"/>
    <row r="2" spans="2:24" ht="16.5" customHeight="1" thickTop="1">
      <c r="B2" s="223" t="str">
        <f>'MASTER PubCo Inputs'!$C$5</f>
        <v>Trucode Gene Repair, Inc.</v>
      </c>
      <c r="C2" s="223"/>
      <c r="D2" s="223"/>
      <c r="E2" s="223"/>
      <c r="F2" s="223"/>
      <c r="G2" s="223"/>
      <c r="H2" s="223"/>
      <c r="I2" s="223"/>
      <c r="J2" s="223"/>
      <c r="K2" s="223"/>
      <c r="L2" s="223"/>
      <c r="M2" s="223"/>
      <c r="N2" s="223"/>
      <c r="O2" s="223"/>
    </row>
    <row r="3" spans="2:24" ht="15.75" customHeight="1">
      <c r="B3" s="232" t="str">
        <f>VLOOKUP(B4,Outline!$E$8:$G$65,COLUMNS(Outline!$E$8:$G$8),FALSE)</f>
        <v>Workpaper #2</v>
      </c>
      <c r="C3" s="232"/>
      <c r="D3" s="232"/>
      <c r="E3" s="232"/>
      <c r="F3" s="232"/>
      <c r="G3" s="232"/>
      <c r="H3" s="232"/>
      <c r="I3" s="232"/>
      <c r="J3" s="232"/>
      <c r="K3" s="232"/>
      <c r="L3" s="232"/>
      <c r="M3" s="232"/>
      <c r="N3" s="232"/>
      <c r="O3" s="232"/>
    </row>
    <row r="4" spans="2:24" ht="16.5" customHeight="1" thickBot="1">
      <c r="B4" s="225" t="s">
        <v>1721</v>
      </c>
      <c r="C4" s="225"/>
      <c r="D4" s="225"/>
      <c r="E4" s="225"/>
      <c r="F4" s="225"/>
      <c r="G4" s="225"/>
      <c r="H4" s="225"/>
      <c r="I4" s="225"/>
      <c r="J4" s="233"/>
      <c r="K4" s="233"/>
      <c r="L4" s="233"/>
      <c r="M4" s="233"/>
      <c r="N4" s="233"/>
      <c r="O4" s="233" t="str">
        <f>+'MASTER PubCo Inputs'!$C$20</f>
        <v>(in thousands of USD and shares, except price per share)</v>
      </c>
    </row>
    <row r="5" spans="2:24" ht="14.85" customHeight="1" thickTop="1"/>
    <row r="6" spans="2:24" ht="14.85" customHeight="1"/>
    <row r="7" spans="2:24" ht="14.85" customHeight="1">
      <c r="B7" s="430" t="s">
        <v>377</v>
      </c>
      <c r="C7" s="431"/>
      <c r="D7" s="431"/>
      <c r="E7" s="973" t="s">
        <v>70</v>
      </c>
      <c r="F7" s="431"/>
      <c r="G7" s="431"/>
      <c r="H7" s="431"/>
      <c r="I7" s="431"/>
      <c r="J7" s="431"/>
      <c r="K7" s="431"/>
      <c r="L7" s="431"/>
      <c r="M7" s="431"/>
      <c r="N7" s="431"/>
      <c r="O7" s="433"/>
      <c r="S7" s="234"/>
      <c r="U7" s="252"/>
      <c r="V7" s="1754" t="str">
        <f>PWERM!F7</f>
        <v>M&amp;A - Phase I</v>
      </c>
      <c r="W7" s="1754" t="str">
        <f>PWERM!G7</f>
        <v>M&amp;A - Phase II</v>
      </c>
      <c r="X7" s="1754" t="str">
        <f>PWERM!H7</f>
        <v xml:space="preserve">Low Sale - Wtd. Avg. </v>
      </c>
    </row>
    <row r="8" spans="2:24" s="435" customFormat="1" ht="14.85" customHeight="1">
      <c r="B8" s="434"/>
      <c r="C8" s="434"/>
      <c r="D8" s="434"/>
      <c r="E8" s="434"/>
      <c r="F8" s="434"/>
      <c r="G8" s="434"/>
      <c r="H8" s="434"/>
      <c r="I8" s="434"/>
      <c r="J8" s="434"/>
      <c r="K8" s="434"/>
      <c r="L8" s="434"/>
      <c r="M8" s="434"/>
      <c r="N8" s="434"/>
      <c r="O8" s="434"/>
      <c r="S8" s="252" t="s">
        <v>3570</v>
      </c>
      <c r="T8" s="234"/>
      <c r="U8" s="252"/>
      <c r="V8" s="1755">
        <f>PWERM!F13</f>
        <v>1.9178082191780821</v>
      </c>
      <c r="W8" s="1755">
        <f>PWERM!G13</f>
        <v>3.6657534246575341</v>
      </c>
      <c r="X8" s="1755">
        <f>PWERM!H13</f>
        <v>1.4657534246575343</v>
      </c>
    </row>
    <row r="9" spans="2:24" ht="14.85" customHeight="1">
      <c r="B9" s="234" t="s">
        <v>375</v>
      </c>
      <c r="C9" s="437"/>
      <c r="D9" s="257">
        <f>'Hybrid OPM'!J25</f>
        <v>33639.192293061024</v>
      </c>
      <c r="E9" s="283" t="s">
        <v>4240</v>
      </c>
      <c r="S9" s="252" t="s">
        <v>3571</v>
      </c>
      <c r="U9" s="252"/>
      <c r="V9" s="1756">
        <f>PWERM!F114</f>
        <v>0.14899999999999999</v>
      </c>
      <c r="W9" s="1756">
        <f>PWERM!G114</f>
        <v>5.8999999999999997E-2</v>
      </c>
      <c r="X9" s="1756">
        <f>PWERM!H114</f>
        <v>0.76</v>
      </c>
    </row>
    <row r="10" spans="2:24" ht="14.85" customHeight="1">
      <c r="B10" s="234" t="s">
        <v>376</v>
      </c>
      <c r="D10" s="439">
        <f>ROUND(V11,0)</f>
        <v>2</v>
      </c>
      <c r="E10" s="283" t="s">
        <v>4234</v>
      </c>
      <c r="S10" s="252" t="s">
        <v>4232</v>
      </c>
      <c r="V10" s="261">
        <f>V9/SUM($V$9:$X$9)</f>
        <v>0.15392561983471073</v>
      </c>
      <c r="W10" s="261">
        <f>W9/SUM($V$9:$X$9)</f>
        <v>6.0950413223140494E-2</v>
      </c>
      <c r="X10" s="261">
        <f>X9/SUM($V$9:$X$9)</f>
        <v>0.78512396694214881</v>
      </c>
    </row>
    <row r="11" spans="2:24" ht="14.85" customHeight="1">
      <c r="B11" s="435" t="s">
        <v>74</v>
      </c>
      <c r="C11" s="440"/>
      <c r="D11" s="441">
        <f>'Asset Vol Hybrid'!$Q$44</f>
        <v>0.66800000000000004</v>
      </c>
      <c r="E11" s="283" t="str">
        <f>'Asset Vol Hybrid'!$B$3</f>
        <v>Workpaper #5</v>
      </c>
      <c r="G11" s="338"/>
      <c r="S11" s="252" t="s">
        <v>3569</v>
      </c>
      <c r="U11" s="252"/>
      <c r="V11" s="1757">
        <f>SUMPRODUCT(V8:X8,V10:X10)</f>
        <v>1.6694271481942715</v>
      </c>
    </row>
    <row r="12" spans="2:24" ht="14.85" customHeight="1">
      <c r="B12" s="234" t="s">
        <v>72</v>
      </c>
      <c r="C12" s="440"/>
      <c r="D12" s="442">
        <f>'Risk-Free Rates Hybrid'!E27</f>
        <v>2.4500000000000001E-2</v>
      </c>
      <c r="E12" s="283" t="str">
        <f>'Risk-Free Rates Hybrid'!B3</f>
        <v>Workpaper #7</v>
      </c>
      <c r="G12" s="338"/>
    </row>
    <row r="13" spans="2:24" ht="14.85" customHeight="1">
      <c r="B13" s="234" t="s">
        <v>73</v>
      </c>
      <c r="D13" s="443">
        <v>0</v>
      </c>
      <c r="E13" s="283" t="s">
        <v>2020</v>
      </c>
      <c r="G13" s="338"/>
    </row>
    <row r="14" spans="2:24" ht="14.85" customHeight="1">
      <c r="D14" s="323"/>
      <c r="G14" s="338"/>
    </row>
    <row r="15" spans="2:24" ht="14.85" customHeight="1">
      <c r="D15" s="444">
        <v>1</v>
      </c>
      <c r="E15" s="445">
        <f>D15+1</f>
        <v>2</v>
      </c>
      <c r="F15" s="445">
        <f t="shared" ref="F15:O15" si="0">E15+1</f>
        <v>3</v>
      </c>
      <c r="G15" s="445">
        <f t="shared" si="0"/>
        <v>4</v>
      </c>
      <c r="H15" s="445">
        <f t="shared" si="0"/>
        <v>5</v>
      </c>
      <c r="I15" s="445">
        <f t="shared" si="0"/>
        <v>6</v>
      </c>
      <c r="J15" s="445">
        <f t="shared" si="0"/>
        <v>7</v>
      </c>
      <c r="K15" s="445">
        <f t="shared" si="0"/>
        <v>8</v>
      </c>
      <c r="L15" s="445">
        <f t="shared" si="0"/>
        <v>9</v>
      </c>
      <c r="M15" s="445">
        <f t="shared" si="0"/>
        <v>10</v>
      </c>
      <c r="N15" s="445">
        <f t="shared" si="0"/>
        <v>11</v>
      </c>
      <c r="O15" s="446">
        <f t="shared" si="0"/>
        <v>12</v>
      </c>
    </row>
    <row r="16" spans="2:24" s="270" customFormat="1" ht="69.95" customHeight="1">
      <c r="B16" s="447" t="s">
        <v>378</v>
      </c>
      <c r="D16" s="448" t="str">
        <f t="array" ref="D16:O16">TRANSPOSE('Econ Rights'!K9:K20)</f>
        <v>Preferred Stock Receive Liquidation Preference</v>
      </c>
      <c r="E16" s="373" t="str">
        <v>Common Starts Receiving Value</v>
      </c>
      <c r="F16" s="373" t="str">
        <v>Options at $0.0059 Strike Price Exercise</v>
      </c>
      <c r="G16" s="373" t="str">
        <v>Options at $0.3500 Strike Price Exercise</v>
      </c>
      <c r="H16" s="373" t="str">
        <v>Options at $0.3800 Strike Price Exercise</v>
      </c>
      <c r="I16" s="373" t="str">
        <v>Expected Options at $0.6000 Strike Price Exercise</v>
      </c>
      <c r="J16" s="373" t="str">
        <v>Options at $0.8100 Strike Price Exercise</v>
      </c>
      <c r="K16" s="373" t="str">
        <v>Options at $0.9100 Strike Price Exercise</v>
      </c>
      <c r="L16" s="373" t="str">
        <v>Series Seed Converts</v>
      </c>
      <c r="M16" s="373" t="str">
        <v>Series Seed-1 Converts</v>
      </c>
      <c r="N16" s="373" t="str">
        <v>Series A Converts</v>
      </c>
      <c r="O16" s="449" t="str">
        <v>Series B Converts</v>
      </c>
      <c r="Q16" s="450"/>
      <c r="S16" s="271"/>
    </row>
    <row r="17" spans="2:21" ht="9.9499999999999993" customHeight="1"/>
    <row r="18" spans="2:21" ht="14.85" customHeight="1">
      <c r="B18" s="255" t="s">
        <v>381</v>
      </c>
      <c r="S18" s="298" t="str">
        <f>B18</f>
        <v>Liquidation Preference</v>
      </c>
    </row>
    <row r="19" spans="2:21" ht="14.85" customHeight="1">
      <c r="B19" s="256" t="str">
        <f>'Cap Table'!$D$7</f>
        <v>Series Seed</v>
      </c>
      <c r="D19" s="297">
        <f>S19</f>
        <v>1020.0174399</v>
      </c>
      <c r="E19" s="297">
        <f>D19</f>
        <v>1020.0174399</v>
      </c>
      <c r="F19" s="297">
        <f t="shared" ref="F19:K19" si="1">E19</f>
        <v>1020.0174399</v>
      </c>
      <c r="G19" s="297">
        <f t="shared" si="1"/>
        <v>1020.0174399</v>
      </c>
      <c r="H19" s="297">
        <f t="shared" si="1"/>
        <v>1020.0174399</v>
      </c>
      <c r="I19" s="297">
        <f t="shared" si="1"/>
        <v>1020.0174399</v>
      </c>
      <c r="J19" s="297">
        <f t="shared" si="1"/>
        <v>1020.0174399</v>
      </c>
      <c r="K19" s="297">
        <f t="shared" si="1"/>
        <v>1020.0174399</v>
      </c>
      <c r="L19" s="297">
        <v>0</v>
      </c>
      <c r="M19" s="297">
        <f t="shared" ref="M19:O19" si="2">L19</f>
        <v>0</v>
      </c>
      <c r="N19" s="297">
        <f t="shared" si="2"/>
        <v>0</v>
      </c>
      <c r="O19" s="297">
        <f t="shared" si="2"/>
        <v>0</v>
      </c>
      <c r="Q19" s="259"/>
      <c r="S19" s="451">
        <f>'Econ Rights'!$D$16</f>
        <v>1020.0174399</v>
      </c>
    </row>
    <row r="20" spans="2:21" ht="14.85" customHeight="1">
      <c r="B20" s="256" t="str">
        <f>'Cap Table'!$E$7</f>
        <v>Series Seed-1</v>
      </c>
      <c r="D20" s="297">
        <f t="shared" ref="D20:D22" si="3">S20</f>
        <v>3430.0119045000001</v>
      </c>
      <c r="E20" s="297">
        <f t="shared" ref="E20:K20" si="4">D20</f>
        <v>3430.0119045000001</v>
      </c>
      <c r="F20" s="297">
        <f t="shared" si="4"/>
        <v>3430.0119045000001</v>
      </c>
      <c r="G20" s="297">
        <f t="shared" si="4"/>
        <v>3430.0119045000001</v>
      </c>
      <c r="H20" s="297">
        <f t="shared" si="4"/>
        <v>3430.0119045000001</v>
      </c>
      <c r="I20" s="297">
        <f t="shared" si="4"/>
        <v>3430.0119045000001</v>
      </c>
      <c r="J20" s="297">
        <f t="shared" si="4"/>
        <v>3430.0119045000001</v>
      </c>
      <c r="K20" s="297">
        <f t="shared" si="4"/>
        <v>3430.0119045000001</v>
      </c>
      <c r="L20" s="297">
        <f t="shared" ref="L20:O20" si="5">K20</f>
        <v>3430.0119045000001</v>
      </c>
      <c r="M20" s="297">
        <v>0</v>
      </c>
      <c r="N20" s="297">
        <f t="shared" si="5"/>
        <v>0</v>
      </c>
      <c r="O20" s="297">
        <f t="shared" si="5"/>
        <v>0</v>
      </c>
      <c r="S20" s="451">
        <f>'Econ Rights'!$E$16</f>
        <v>3430.0119045000001</v>
      </c>
    </row>
    <row r="21" spans="2:21" ht="14.85" customHeight="1">
      <c r="B21" s="256" t="str">
        <f>'Cap Table'!$F$7</f>
        <v>Series A</v>
      </c>
      <c r="D21" s="297">
        <f t="shared" si="3"/>
        <v>13135.5942393</v>
      </c>
      <c r="E21" s="297">
        <f t="shared" ref="E21:K21" si="6">D21</f>
        <v>13135.5942393</v>
      </c>
      <c r="F21" s="297">
        <f t="shared" si="6"/>
        <v>13135.5942393</v>
      </c>
      <c r="G21" s="297">
        <f t="shared" si="6"/>
        <v>13135.5942393</v>
      </c>
      <c r="H21" s="297">
        <f t="shared" si="6"/>
        <v>13135.5942393</v>
      </c>
      <c r="I21" s="297">
        <f t="shared" si="6"/>
        <v>13135.5942393</v>
      </c>
      <c r="J21" s="297">
        <f t="shared" si="6"/>
        <v>13135.5942393</v>
      </c>
      <c r="K21" s="297">
        <f t="shared" si="6"/>
        <v>13135.5942393</v>
      </c>
      <c r="L21" s="297">
        <f t="shared" ref="L21:O21" si="7">K21</f>
        <v>13135.5942393</v>
      </c>
      <c r="M21" s="297">
        <f t="shared" si="7"/>
        <v>13135.5942393</v>
      </c>
      <c r="N21" s="297">
        <v>0</v>
      </c>
      <c r="O21" s="297">
        <f t="shared" si="7"/>
        <v>0</v>
      </c>
      <c r="S21" s="451">
        <f>'Econ Rights'!$F$16</f>
        <v>13135.5942393</v>
      </c>
    </row>
    <row r="22" spans="2:21" ht="14.85" customHeight="1">
      <c r="B22" s="256" t="str">
        <f>'Cap Table'!$G$7</f>
        <v>Series B</v>
      </c>
      <c r="D22" s="297">
        <f t="shared" si="3"/>
        <v>21881.811811600001</v>
      </c>
      <c r="E22" s="297">
        <f t="shared" ref="E22:K22" si="8">D22</f>
        <v>21881.811811600001</v>
      </c>
      <c r="F22" s="297">
        <f t="shared" si="8"/>
        <v>21881.811811600001</v>
      </c>
      <c r="G22" s="297">
        <f t="shared" si="8"/>
        <v>21881.811811600001</v>
      </c>
      <c r="H22" s="297">
        <f t="shared" si="8"/>
        <v>21881.811811600001</v>
      </c>
      <c r="I22" s="297">
        <f t="shared" si="8"/>
        <v>21881.811811600001</v>
      </c>
      <c r="J22" s="297">
        <f t="shared" si="8"/>
        <v>21881.811811600001</v>
      </c>
      <c r="K22" s="297">
        <f t="shared" si="8"/>
        <v>21881.811811600001</v>
      </c>
      <c r="L22" s="297">
        <f t="shared" ref="L22:N22" si="9">K22</f>
        <v>21881.811811600001</v>
      </c>
      <c r="M22" s="297">
        <f t="shared" si="9"/>
        <v>21881.811811600001</v>
      </c>
      <c r="N22" s="297">
        <f t="shared" si="9"/>
        <v>21881.811811600001</v>
      </c>
      <c r="O22" s="297">
        <v>0</v>
      </c>
      <c r="S22" s="451">
        <f>'Econ Rights'!$G$16</f>
        <v>21881.811811600001</v>
      </c>
    </row>
    <row r="23" spans="2:21" ht="14.85" customHeight="1">
      <c r="B23" s="269"/>
      <c r="C23" s="269"/>
      <c r="D23" s="269"/>
      <c r="E23" s="269"/>
      <c r="F23" s="269"/>
      <c r="G23" s="269"/>
      <c r="H23" s="269"/>
      <c r="I23" s="269"/>
      <c r="J23" s="269"/>
      <c r="K23" s="269"/>
      <c r="L23" s="269"/>
      <c r="M23" s="269"/>
      <c r="N23" s="269"/>
      <c r="O23" s="269"/>
      <c r="S23" s="455"/>
    </row>
    <row r="24" spans="2:21" ht="14.85" customHeight="1">
      <c r="B24" s="298" t="s">
        <v>530</v>
      </c>
      <c r="D24" s="309">
        <f t="shared" ref="D24:O24" si="10">SUM(D19:D22)</f>
        <v>39467.435395299995</v>
      </c>
      <c r="E24" s="309">
        <f t="shared" si="10"/>
        <v>39467.435395299995</v>
      </c>
      <c r="F24" s="309">
        <f t="shared" si="10"/>
        <v>39467.435395299995</v>
      </c>
      <c r="G24" s="309">
        <f t="shared" si="10"/>
        <v>39467.435395299995</v>
      </c>
      <c r="H24" s="309">
        <f t="shared" si="10"/>
        <v>39467.435395299995</v>
      </c>
      <c r="I24" s="309">
        <f t="shared" si="10"/>
        <v>39467.435395299995</v>
      </c>
      <c r="J24" s="309">
        <f t="shared" si="10"/>
        <v>39467.435395299995</v>
      </c>
      <c r="K24" s="309">
        <f t="shared" si="10"/>
        <v>39467.435395299995</v>
      </c>
      <c r="L24" s="309">
        <f t="shared" si="10"/>
        <v>38447.4179554</v>
      </c>
      <c r="M24" s="309">
        <f t="shared" si="10"/>
        <v>35017.406050899997</v>
      </c>
      <c r="N24" s="309">
        <f t="shared" si="10"/>
        <v>21881.811811600001</v>
      </c>
      <c r="O24" s="309">
        <f t="shared" si="10"/>
        <v>0</v>
      </c>
    </row>
    <row r="25" spans="2:21" ht="14.85" customHeight="1"/>
    <row r="26" spans="2:21" ht="14.85" customHeight="1">
      <c r="B26" s="255" t="s">
        <v>533</v>
      </c>
      <c r="S26" s="298" t="str">
        <f>+B26</f>
        <v>Shares Outstanding / Converted to Common Stock</v>
      </c>
    </row>
    <row r="27" spans="2:21" ht="14.85" customHeight="1">
      <c r="B27" s="256" t="str">
        <f>+$B19</f>
        <v>Series Seed</v>
      </c>
      <c r="D27" s="297">
        <f>IF(D19&gt;0,0,$S27)</f>
        <v>0</v>
      </c>
      <c r="E27" s="297">
        <f t="shared" ref="E27:O30" si="11">IF(E19&gt;0,0,$S27)</f>
        <v>0</v>
      </c>
      <c r="F27" s="297">
        <f t="shared" si="11"/>
        <v>0</v>
      </c>
      <c r="G27" s="297">
        <f t="shared" si="11"/>
        <v>0</v>
      </c>
      <c r="H27" s="297">
        <f t="shared" si="11"/>
        <v>0</v>
      </c>
      <c r="I27" s="297">
        <f t="shared" si="11"/>
        <v>0</v>
      </c>
      <c r="J27" s="297">
        <f t="shared" si="11"/>
        <v>0</v>
      </c>
      <c r="K27" s="297">
        <f t="shared" si="11"/>
        <v>0</v>
      </c>
      <c r="L27" s="297">
        <f t="shared" si="11"/>
        <v>1010.456</v>
      </c>
      <c r="M27" s="297">
        <f t="shared" si="11"/>
        <v>1010.456</v>
      </c>
      <c r="N27" s="297">
        <f t="shared" si="11"/>
        <v>1010.456</v>
      </c>
      <c r="O27" s="297">
        <f t="shared" si="11"/>
        <v>1010.456</v>
      </c>
      <c r="S27" s="451">
        <f>+'Cap Table'!$D$11*'Cap Table'!$D$18</f>
        <v>1010.456</v>
      </c>
    </row>
    <row r="28" spans="2:21" ht="14.85" customHeight="1">
      <c r="B28" s="256" t="str">
        <f>+$B20</f>
        <v>Series Seed-1</v>
      </c>
      <c r="D28" s="297">
        <f>IF(D20&gt;0,0,$S28)</f>
        <v>0</v>
      </c>
      <c r="E28" s="297">
        <f t="shared" si="11"/>
        <v>0</v>
      </c>
      <c r="F28" s="297">
        <f t="shared" si="11"/>
        <v>0</v>
      </c>
      <c r="G28" s="297">
        <f t="shared" si="11"/>
        <v>0</v>
      </c>
      <c r="H28" s="297">
        <f t="shared" si="11"/>
        <v>0</v>
      </c>
      <c r="I28" s="297">
        <f t="shared" si="11"/>
        <v>0</v>
      </c>
      <c r="J28" s="297">
        <f t="shared" si="11"/>
        <v>0</v>
      </c>
      <c r="K28" s="297">
        <f t="shared" si="11"/>
        <v>0</v>
      </c>
      <c r="L28" s="297">
        <f t="shared" si="11"/>
        <v>0</v>
      </c>
      <c r="M28" s="297">
        <f t="shared" si="11"/>
        <v>1787.64</v>
      </c>
      <c r="N28" s="297">
        <f t="shared" si="11"/>
        <v>1787.64</v>
      </c>
      <c r="O28" s="297">
        <f t="shared" si="11"/>
        <v>1787.64</v>
      </c>
      <c r="S28" s="451">
        <f>+'Cap Table'!$E$11*'Cap Table'!$E$18</f>
        <v>1787.64</v>
      </c>
    </row>
    <row r="29" spans="2:21" ht="14.85" customHeight="1">
      <c r="B29" s="256" t="str">
        <f>+$B21</f>
        <v>Series A</v>
      </c>
      <c r="D29" s="297">
        <f>IF(D21&gt;0,0,$S29)</f>
        <v>0</v>
      </c>
      <c r="E29" s="297">
        <f t="shared" si="11"/>
        <v>0</v>
      </c>
      <c r="F29" s="297">
        <f t="shared" si="11"/>
        <v>0</v>
      </c>
      <c r="G29" s="297">
        <f t="shared" si="11"/>
        <v>0</v>
      </c>
      <c r="H29" s="297">
        <f t="shared" si="11"/>
        <v>0</v>
      </c>
      <c r="I29" s="297">
        <f t="shared" si="11"/>
        <v>0</v>
      </c>
      <c r="J29" s="297">
        <f t="shared" si="11"/>
        <v>0</v>
      </c>
      <c r="K29" s="297">
        <f t="shared" si="11"/>
        <v>0</v>
      </c>
      <c r="L29" s="297">
        <f t="shared" si="11"/>
        <v>0</v>
      </c>
      <c r="M29" s="297">
        <f t="shared" si="11"/>
        <v>0</v>
      </c>
      <c r="N29" s="297">
        <f t="shared" si="11"/>
        <v>6120.1109999999999</v>
      </c>
      <c r="O29" s="297">
        <f t="shared" si="11"/>
        <v>6120.1109999999999</v>
      </c>
      <c r="S29" s="451">
        <f>+'Cap Table'!$F$11*'Cap Table'!$F$18</f>
        <v>6120.1109999999999</v>
      </c>
    </row>
    <row r="30" spans="2:21" ht="14.85" customHeight="1">
      <c r="B30" s="256" t="str">
        <f>+$B22</f>
        <v>Series B</v>
      </c>
      <c r="D30" s="297">
        <f>IF(D22&gt;0,0,$S30)</f>
        <v>0</v>
      </c>
      <c r="E30" s="297">
        <f t="shared" si="11"/>
        <v>0</v>
      </c>
      <c r="F30" s="297">
        <f t="shared" si="11"/>
        <v>0</v>
      </c>
      <c r="G30" s="297">
        <f t="shared" si="11"/>
        <v>0</v>
      </c>
      <c r="H30" s="297">
        <f t="shared" si="11"/>
        <v>0</v>
      </c>
      <c r="I30" s="297">
        <f t="shared" si="11"/>
        <v>0</v>
      </c>
      <c r="J30" s="297">
        <f t="shared" si="11"/>
        <v>0</v>
      </c>
      <c r="K30" s="297">
        <f t="shared" si="11"/>
        <v>0</v>
      </c>
      <c r="L30" s="297">
        <f t="shared" si="11"/>
        <v>0</v>
      </c>
      <c r="M30" s="297">
        <f t="shared" si="11"/>
        <v>0</v>
      </c>
      <c r="N30" s="297">
        <f t="shared" si="11"/>
        <v>0</v>
      </c>
      <c r="O30" s="297">
        <f t="shared" si="11"/>
        <v>5097.5659999999998</v>
      </c>
      <c r="S30" s="451">
        <f>+'Cap Table'!$G$11*'Cap Table'!$G$18</f>
        <v>5097.5659999999998</v>
      </c>
    </row>
    <row r="31" spans="2:21" ht="14.85" customHeight="1">
      <c r="B31" s="313" t="str">
        <f>'Econ Rights'!K11</f>
        <v>Options at $0.0059 Strike Price Exercise</v>
      </c>
      <c r="D31" s="297">
        <f>IF(D$41&gt;=$U31,$S31,0)</f>
        <v>0</v>
      </c>
      <c r="E31" s="297">
        <f t="shared" ref="E31:O36" si="12">IF(E$41&gt;=$U31,$S31,0)</f>
        <v>0</v>
      </c>
      <c r="F31" s="297">
        <f t="shared" si="12"/>
        <v>79.688000000000002</v>
      </c>
      <c r="G31" s="297">
        <f t="shared" si="12"/>
        <v>79.688000000000002</v>
      </c>
      <c r="H31" s="297">
        <f t="shared" si="12"/>
        <v>79.688000000000002</v>
      </c>
      <c r="I31" s="297">
        <f t="shared" si="12"/>
        <v>79.688000000000002</v>
      </c>
      <c r="J31" s="297">
        <f t="shared" si="12"/>
        <v>79.688000000000002</v>
      </c>
      <c r="K31" s="297">
        <f t="shared" si="12"/>
        <v>79.688000000000002</v>
      </c>
      <c r="L31" s="297">
        <f t="shared" si="12"/>
        <v>79.688000000000002</v>
      </c>
      <c r="M31" s="297">
        <f t="shared" si="12"/>
        <v>79.688000000000002</v>
      </c>
      <c r="N31" s="297">
        <f t="shared" si="12"/>
        <v>79.688000000000002</v>
      </c>
      <c r="O31" s="297">
        <f t="shared" si="12"/>
        <v>79.688000000000002</v>
      </c>
      <c r="S31" s="451">
        <f>+'Cap Table'!$D24</f>
        <v>79.688000000000002</v>
      </c>
      <c r="U31" s="456">
        <f>'Econ Rights'!J11</f>
        <v>5.875E-3</v>
      </c>
    </row>
    <row r="32" spans="2:21" ht="14.85" customHeight="1">
      <c r="B32" s="313" t="str">
        <f>'Econ Rights'!K12</f>
        <v>Options at $0.3500 Strike Price Exercise</v>
      </c>
      <c r="D32" s="297">
        <f t="shared" ref="D32:D36" si="13">IF(D$41&gt;=$U32,$S32,0)</f>
        <v>0</v>
      </c>
      <c r="E32" s="297">
        <f t="shared" si="12"/>
        <v>0</v>
      </c>
      <c r="F32" s="297">
        <f t="shared" si="12"/>
        <v>0</v>
      </c>
      <c r="G32" s="297">
        <f t="shared" si="12"/>
        <v>10</v>
      </c>
      <c r="H32" s="297">
        <f t="shared" si="12"/>
        <v>10</v>
      </c>
      <c r="I32" s="297">
        <f t="shared" si="12"/>
        <v>10</v>
      </c>
      <c r="J32" s="297">
        <f t="shared" si="12"/>
        <v>10</v>
      </c>
      <c r="K32" s="297">
        <f t="shared" si="12"/>
        <v>10</v>
      </c>
      <c r="L32" s="297">
        <f t="shared" si="12"/>
        <v>10</v>
      </c>
      <c r="M32" s="297">
        <f t="shared" si="12"/>
        <v>10</v>
      </c>
      <c r="N32" s="297">
        <f t="shared" si="12"/>
        <v>10</v>
      </c>
      <c r="O32" s="297">
        <f t="shared" si="12"/>
        <v>10</v>
      </c>
      <c r="S32" s="451">
        <f>+'Cap Table'!$D25</f>
        <v>10</v>
      </c>
      <c r="U32" s="456">
        <f>'Econ Rights'!J12</f>
        <v>0.35</v>
      </c>
    </row>
    <row r="33" spans="2:21" ht="14.85" customHeight="1">
      <c r="B33" s="313" t="str">
        <f>'Econ Rights'!K13</f>
        <v>Options at $0.3800 Strike Price Exercise</v>
      </c>
      <c r="D33" s="297">
        <f t="shared" si="13"/>
        <v>0</v>
      </c>
      <c r="E33" s="297">
        <f t="shared" si="12"/>
        <v>0</v>
      </c>
      <c r="F33" s="297">
        <f t="shared" si="12"/>
        <v>0</v>
      </c>
      <c r="G33" s="297">
        <f t="shared" si="12"/>
        <v>0</v>
      </c>
      <c r="H33" s="297">
        <f t="shared" si="12"/>
        <v>328.69</v>
      </c>
      <c r="I33" s="297">
        <f t="shared" si="12"/>
        <v>328.69</v>
      </c>
      <c r="J33" s="297">
        <f t="shared" si="12"/>
        <v>328.69</v>
      </c>
      <c r="K33" s="297">
        <f t="shared" si="12"/>
        <v>328.69</v>
      </c>
      <c r="L33" s="297">
        <f t="shared" si="12"/>
        <v>328.69</v>
      </c>
      <c r="M33" s="297">
        <f t="shared" si="12"/>
        <v>328.69</v>
      </c>
      <c r="N33" s="297">
        <f t="shared" si="12"/>
        <v>328.69</v>
      </c>
      <c r="O33" s="297">
        <f t="shared" si="12"/>
        <v>328.69</v>
      </c>
      <c r="S33" s="451">
        <f>+'Cap Table'!$D26</f>
        <v>328.69</v>
      </c>
      <c r="U33" s="456">
        <f>'Econ Rights'!J13</f>
        <v>0.38</v>
      </c>
    </row>
    <row r="34" spans="2:21" ht="14.85" customHeight="1">
      <c r="B34" s="313" t="str">
        <f>'Econ Rights'!K14</f>
        <v>Expected Options at $0.6000 Strike Price Exercise</v>
      </c>
      <c r="D34" s="297">
        <f t="shared" si="13"/>
        <v>0</v>
      </c>
      <c r="E34" s="297">
        <f t="shared" si="12"/>
        <v>0</v>
      </c>
      <c r="F34" s="297">
        <f t="shared" si="12"/>
        <v>0</v>
      </c>
      <c r="G34" s="297">
        <f t="shared" si="12"/>
        <v>0</v>
      </c>
      <c r="H34" s="297">
        <f t="shared" si="12"/>
        <v>0</v>
      </c>
      <c r="I34" s="297">
        <f t="shared" si="12"/>
        <v>1602.6010000000001</v>
      </c>
      <c r="J34" s="297">
        <f t="shared" si="12"/>
        <v>1602.6010000000001</v>
      </c>
      <c r="K34" s="297">
        <f t="shared" si="12"/>
        <v>1602.6010000000001</v>
      </c>
      <c r="L34" s="297">
        <f t="shared" si="12"/>
        <v>1602.6010000000001</v>
      </c>
      <c r="M34" s="297">
        <f t="shared" si="12"/>
        <v>1602.6010000000001</v>
      </c>
      <c r="N34" s="297">
        <f t="shared" si="12"/>
        <v>1602.6010000000001</v>
      </c>
      <c r="O34" s="297">
        <f t="shared" si="12"/>
        <v>1602.6010000000001</v>
      </c>
      <c r="S34" s="451">
        <f>+'Cap Table'!$D29</f>
        <v>1602.6010000000001</v>
      </c>
      <c r="U34" s="456">
        <f>'Hybrid OPM'!H30</f>
        <v>0.44</v>
      </c>
    </row>
    <row r="35" spans="2:21" ht="14.85" customHeight="1">
      <c r="B35" s="313" t="str">
        <f>'Econ Rights'!K15</f>
        <v>Options at $0.8100 Strike Price Exercise</v>
      </c>
      <c r="D35" s="297">
        <f t="shared" si="13"/>
        <v>0</v>
      </c>
      <c r="E35" s="297">
        <f t="shared" si="12"/>
        <v>0</v>
      </c>
      <c r="F35" s="297">
        <f t="shared" si="12"/>
        <v>0</v>
      </c>
      <c r="G35" s="297">
        <f t="shared" si="12"/>
        <v>0</v>
      </c>
      <c r="H35" s="297">
        <f t="shared" si="12"/>
        <v>0</v>
      </c>
      <c r="I35" s="297">
        <f t="shared" si="12"/>
        <v>0</v>
      </c>
      <c r="J35" s="297">
        <f t="shared" si="12"/>
        <v>1224.4010000000001</v>
      </c>
      <c r="K35" s="297">
        <f t="shared" si="12"/>
        <v>1224.4010000000001</v>
      </c>
      <c r="L35" s="297">
        <f t="shared" si="12"/>
        <v>1224.4010000000001</v>
      </c>
      <c r="M35" s="297">
        <f t="shared" si="12"/>
        <v>1224.4010000000001</v>
      </c>
      <c r="N35" s="297">
        <f t="shared" si="12"/>
        <v>1224.4010000000001</v>
      </c>
      <c r="O35" s="297">
        <f t="shared" si="12"/>
        <v>1224.4010000000001</v>
      </c>
      <c r="S35" s="451">
        <f>+'Cap Table'!$D27</f>
        <v>1224.4010000000001</v>
      </c>
      <c r="U35" s="456">
        <f>'Econ Rights'!J15</f>
        <v>0.81</v>
      </c>
    </row>
    <row r="36" spans="2:21" ht="14.85" customHeight="1">
      <c r="B36" s="313" t="str">
        <f>'Econ Rights'!K16</f>
        <v>Options at $0.9100 Strike Price Exercise</v>
      </c>
      <c r="D36" s="297">
        <f t="shared" si="13"/>
        <v>0</v>
      </c>
      <c r="E36" s="297">
        <f t="shared" si="12"/>
        <v>0</v>
      </c>
      <c r="F36" s="297">
        <f t="shared" si="12"/>
        <v>0</v>
      </c>
      <c r="G36" s="297">
        <f t="shared" si="12"/>
        <v>0</v>
      </c>
      <c r="H36" s="297">
        <f t="shared" si="12"/>
        <v>0</v>
      </c>
      <c r="I36" s="297">
        <f t="shared" si="12"/>
        <v>0</v>
      </c>
      <c r="J36" s="297">
        <f t="shared" si="12"/>
        <v>0</v>
      </c>
      <c r="K36" s="297">
        <f t="shared" si="12"/>
        <v>95.094999999999999</v>
      </c>
      <c r="L36" s="297">
        <f t="shared" si="12"/>
        <v>95.094999999999999</v>
      </c>
      <c r="M36" s="297">
        <f t="shared" si="12"/>
        <v>95.094999999999999</v>
      </c>
      <c r="N36" s="297">
        <f t="shared" si="12"/>
        <v>95.094999999999999</v>
      </c>
      <c r="O36" s="297">
        <f t="shared" si="12"/>
        <v>95.094999999999999</v>
      </c>
      <c r="S36" s="451">
        <f>+'Cap Table'!$D28</f>
        <v>95.094999999999999</v>
      </c>
      <c r="U36" s="456">
        <f>'Econ Rights'!J16</f>
        <v>0.91</v>
      </c>
    </row>
    <row r="37" spans="2:21" ht="14.85" customHeight="1">
      <c r="B37" s="314" t="str">
        <f>'Cap Table'!$H7 &amp;" Stock"</f>
        <v>Common Stock</v>
      </c>
      <c r="D37" s="297">
        <v>0</v>
      </c>
      <c r="E37" s="297">
        <f>S37</f>
        <v>3618.2730000000001</v>
      </c>
      <c r="F37" s="297">
        <f>E37</f>
        <v>3618.2730000000001</v>
      </c>
      <c r="G37" s="297">
        <f t="shared" ref="G37:O37" si="14">F37</f>
        <v>3618.2730000000001</v>
      </c>
      <c r="H37" s="297">
        <f t="shared" si="14"/>
        <v>3618.2730000000001</v>
      </c>
      <c r="I37" s="297">
        <f t="shared" si="14"/>
        <v>3618.2730000000001</v>
      </c>
      <c r="J37" s="297">
        <f t="shared" si="14"/>
        <v>3618.2730000000001</v>
      </c>
      <c r="K37" s="297">
        <f t="shared" si="14"/>
        <v>3618.2730000000001</v>
      </c>
      <c r="L37" s="297">
        <f t="shared" si="14"/>
        <v>3618.2730000000001</v>
      </c>
      <c r="M37" s="297">
        <f t="shared" si="14"/>
        <v>3618.2730000000001</v>
      </c>
      <c r="N37" s="297">
        <f t="shared" si="14"/>
        <v>3618.2730000000001</v>
      </c>
      <c r="O37" s="297">
        <f t="shared" si="14"/>
        <v>3618.2730000000001</v>
      </c>
      <c r="S37" s="451">
        <f>+'Cap Table'!H11</f>
        <v>3618.2730000000001</v>
      </c>
      <c r="U37" s="358"/>
    </row>
    <row r="38" spans="2:21" ht="14.85" customHeight="1" thickBot="1">
      <c r="B38" s="269"/>
      <c r="C38" s="269"/>
      <c r="D38" s="269"/>
      <c r="E38" s="269"/>
      <c r="F38" s="269"/>
      <c r="G38" s="269"/>
      <c r="H38" s="269"/>
      <c r="I38" s="269"/>
      <c r="J38" s="269"/>
      <c r="K38" s="269"/>
      <c r="L38" s="269"/>
      <c r="M38" s="269"/>
      <c r="N38" s="269"/>
      <c r="O38" s="269"/>
      <c r="S38" s="457"/>
    </row>
    <row r="39" spans="2:21" ht="14.85" customHeight="1" thickBot="1">
      <c r="B39" s="298" t="s">
        <v>1340</v>
      </c>
      <c r="D39" s="309">
        <f t="shared" ref="D39:O39" si="15">SUM(D27:D37)</f>
        <v>0</v>
      </c>
      <c r="E39" s="309">
        <f t="shared" si="15"/>
        <v>3618.2730000000001</v>
      </c>
      <c r="F39" s="309">
        <f t="shared" si="15"/>
        <v>3697.9610000000002</v>
      </c>
      <c r="G39" s="309">
        <f t="shared" si="15"/>
        <v>3707.9610000000002</v>
      </c>
      <c r="H39" s="309">
        <f t="shared" si="15"/>
        <v>4036.6510000000003</v>
      </c>
      <c r="I39" s="309">
        <f t="shared" si="15"/>
        <v>5639.2520000000004</v>
      </c>
      <c r="J39" s="309">
        <f t="shared" si="15"/>
        <v>6863.6530000000002</v>
      </c>
      <c r="K39" s="309">
        <f t="shared" si="15"/>
        <v>6958.7479999999996</v>
      </c>
      <c r="L39" s="309">
        <f t="shared" si="15"/>
        <v>7969.2040000000006</v>
      </c>
      <c r="M39" s="309">
        <f t="shared" si="15"/>
        <v>9756.844000000001</v>
      </c>
      <c r="N39" s="309">
        <f t="shared" si="15"/>
        <v>15876.955000000002</v>
      </c>
      <c r="O39" s="309">
        <f t="shared" si="15"/>
        <v>20974.521000000004</v>
      </c>
      <c r="Q39" s="458" t="str">
        <f>IF(('Cap Table'!J20)&lt;&gt;S39,"ERROR","")</f>
        <v/>
      </c>
      <c r="S39" s="309">
        <f>SUM(S27:S37)</f>
        <v>20974.521000000004</v>
      </c>
    </row>
    <row r="40" spans="2:21" ht="14.85" customHeight="1"/>
    <row r="41" spans="2:21" ht="14.85" customHeight="1">
      <c r="B41" s="256" t="s">
        <v>383</v>
      </c>
      <c r="D41" s="1678">
        <f t="array" ref="D41:H41">TRANSPOSE('Econ Rights'!J9:J13)</f>
        <v>0</v>
      </c>
      <c r="E41" s="1678">
        <v>0</v>
      </c>
      <c r="F41" s="1678">
        <v>5.875E-3</v>
      </c>
      <c r="G41" s="1678">
        <v>0.35</v>
      </c>
      <c r="H41" s="1678">
        <v>0.38</v>
      </c>
      <c r="I41" s="1678">
        <f>'Hybrid OPM'!H30</f>
        <v>0.44</v>
      </c>
      <c r="J41" s="1678">
        <f t="array" ref="J41:O41">TRANSPOSE('Econ Rights'!J15:J20)</f>
        <v>0.81</v>
      </c>
      <c r="K41" s="1678">
        <v>0.91</v>
      </c>
      <c r="L41" s="1678">
        <v>1.0094624999999999</v>
      </c>
      <c r="M41" s="1678">
        <v>1.9187375</v>
      </c>
      <c r="N41" s="1678">
        <v>2.1463000000000001</v>
      </c>
      <c r="O41" s="1678">
        <v>4.2926000000000002</v>
      </c>
    </row>
    <row r="42" spans="2:21" ht="14.85" customHeight="1">
      <c r="D42" s="269"/>
      <c r="E42" s="269"/>
      <c r="F42" s="269"/>
      <c r="G42" s="269"/>
      <c r="H42" s="269"/>
      <c r="I42" s="269"/>
      <c r="J42" s="269"/>
      <c r="K42" s="269"/>
      <c r="L42" s="269"/>
      <c r="M42" s="269"/>
      <c r="N42" s="269"/>
      <c r="O42" s="269"/>
    </row>
    <row r="43" spans="2:21" ht="14.85" customHeight="1">
      <c r="B43" s="974" t="s">
        <v>1994</v>
      </c>
      <c r="C43" s="975"/>
      <c r="D43" s="459">
        <f>D39*D41</f>
        <v>0</v>
      </c>
      <c r="E43" s="459">
        <f t="shared" ref="E43:O43" si="16">E39*E41</f>
        <v>0</v>
      </c>
      <c r="F43" s="459">
        <f t="shared" si="16"/>
        <v>21.725520875000001</v>
      </c>
      <c r="G43" s="459">
        <f t="shared" si="16"/>
        <v>1297.7863500000001</v>
      </c>
      <c r="H43" s="459">
        <f t="shared" si="16"/>
        <v>1533.9273800000001</v>
      </c>
      <c r="I43" s="459">
        <f t="shared" si="16"/>
        <v>2481.27088</v>
      </c>
      <c r="J43" s="459">
        <f t="shared" si="16"/>
        <v>5559.5589300000001</v>
      </c>
      <c r="K43" s="459">
        <f t="shared" si="16"/>
        <v>6332.4606800000001</v>
      </c>
      <c r="L43" s="459">
        <f t="shared" si="16"/>
        <v>8044.6125928500005</v>
      </c>
      <c r="M43" s="459">
        <f t="shared" si="16"/>
        <v>18720.822464450001</v>
      </c>
      <c r="N43" s="459">
        <f t="shared" si="16"/>
        <v>34076.708516500003</v>
      </c>
      <c r="O43" s="459">
        <f t="shared" si="16"/>
        <v>90035.228844600017</v>
      </c>
    </row>
    <row r="44" spans="2:21" ht="14.85" customHeight="1"/>
    <row r="45" spans="2:21" ht="14.85" customHeight="1">
      <c r="B45" s="256" t="s">
        <v>384</v>
      </c>
      <c r="D45" s="297">
        <f t="shared" ref="D45:O45" si="17">-SUMPRODUCT(D31:D36,$U$31:$U$36)</f>
        <v>0</v>
      </c>
      <c r="E45" s="297">
        <f t="shared" si="17"/>
        <v>0</v>
      </c>
      <c r="F45" s="297">
        <f t="shared" si="17"/>
        <v>-0.468167</v>
      </c>
      <c r="G45" s="297">
        <f t="shared" si="17"/>
        <v>-3.9681670000000002</v>
      </c>
      <c r="H45" s="297">
        <f t="shared" si="17"/>
        <v>-128.87036700000002</v>
      </c>
      <c r="I45" s="297">
        <f t="shared" si="17"/>
        <v>-834.01480700000002</v>
      </c>
      <c r="J45" s="297">
        <f t="shared" si="17"/>
        <v>-1825.7796170000001</v>
      </c>
      <c r="K45" s="297">
        <f t="shared" si="17"/>
        <v>-1912.3160670000002</v>
      </c>
      <c r="L45" s="297">
        <f t="shared" si="17"/>
        <v>-1912.3160670000002</v>
      </c>
      <c r="M45" s="297">
        <f t="shared" si="17"/>
        <v>-1912.3160670000002</v>
      </c>
      <c r="N45" s="297">
        <f t="shared" si="17"/>
        <v>-1912.3160670000002</v>
      </c>
      <c r="O45" s="297">
        <f t="shared" si="17"/>
        <v>-1912.3160670000002</v>
      </c>
    </row>
    <row r="46" spans="2:21" ht="14.85" customHeight="1">
      <c r="B46" s="269"/>
      <c r="C46" s="269"/>
      <c r="D46" s="269"/>
      <c r="E46" s="269"/>
      <c r="F46" s="269"/>
      <c r="G46" s="269"/>
      <c r="H46" s="269"/>
      <c r="I46" s="269"/>
      <c r="J46" s="269"/>
      <c r="K46" s="269"/>
      <c r="L46" s="269"/>
      <c r="M46" s="269"/>
      <c r="N46" s="269"/>
      <c r="O46" s="269"/>
    </row>
    <row r="47" spans="2:21" ht="14.85" customHeight="1">
      <c r="B47" s="298" t="s">
        <v>385</v>
      </c>
      <c r="D47" s="459">
        <f t="shared" ref="D47:O47" si="18">SUM(D43:D45)+D24</f>
        <v>39467.435395299995</v>
      </c>
      <c r="E47" s="459">
        <f t="shared" si="18"/>
        <v>39467.435395299995</v>
      </c>
      <c r="F47" s="459">
        <f t="shared" si="18"/>
        <v>39488.692749174996</v>
      </c>
      <c r="G47" s="459">
        <f t="shared" si="18"/>
        <v>40761.253578299998</v>
      </c>
      <c r="H47" s="459">
        <f t="shared" si="18"/>
        <v>40872.492408299993</v>
      </c>
      <c r="I47" s="459">
        <f t="shared" si="18"/>
        <v>41114.691468299992</v>
      </c>
      <c r="J47" s="459">
        <f t="shared" si="18"/>
        <v>43201.214708299995</v>
      </c>
      <c r="K47" s="459">
        <f t="shared" si="18"/>
        <v>43887.580008299992</v>
      </c>
      <c r="L47" s="459">
        <f t="shared" si="18"/>
        <v>44579.714481250005</v>
      </c>
      <c r="M47" s="459">
        <f t="shared" si="18"/>
        <v>51825.912448349998</v>
      </c>
      <c r="N47" s="459">
        <f t="shared" si="18"/>
        <v>54046.204261100007</v>
      </c>
      <c r="O47" s="459">
        <f t="shared" si="18"/>
        <v>88122.91277760001</v>
      </c>
    </row>
    <row r="48" spans="2:21" ht="14.85" customHeight="1">
      <c r="B48" s="298"/>
      <c r="D48" s="309"/>
      <c r="E48" s="309"/>
      <c r="F48" s="309"/>
      <c r="G48" s="309"/>
      <c r="H48" s="309"/>
      <c r="I48" s="309"/>
      <c r="J48" s="309"/>
      <c r="K48" s="309"/>
      <c r="L48" s="309"/>
      <c r="M48" s="309"/>
      <c r="N48" s="309"/>
      <c r="O48" s="309"/>
    </row>
    <row r="49" spans="1:19" ht="14.85" customHeight="1"/>
    <row r="50" spans="1:19" s="270" customFormat="1" ht="14.85" customHeight="1">
      <c r="A50" s="460"/>
      <c r="B50" s="461" t="s">
        <v>387</v>
      </c>
      <c r="D50" s="462">
        <f>D$15</f>
        <v>1</v>
      </c>
      <c r="E50" s="463">
        <f t="shared" ref="E50:O50" si="19">E$15</f>
        <v>2</v>
      </c>
      <c r="F50" s="463">
        <f t="shared" si="19"/>
        <v>3</v>
      </c>
      <c r="G50" s="463">
        <f t="shared" si="19"/>
        <v>4</v>
      </c>
      <c r="H50" s="463">
        <f t="shared" si="19"/>
        <v>5</v>
      </c>
      <c r="I50" s="463">
        <f t="shared" si="19"/>
        <v>6</v>
      </c>
      <c r="J50" s="463">
        <f t="shared" si="19"/>
        <v>7</v>
      </c>
      <c r="K50" s="463">
        <f t="shared" si="19"/>
        <v>8</v>
      </c>
      <c r="L50" s="463">
        <f t="shared" si="19"/>
        <v>9</v>
      </c>
      <c r="M50" s="463">
        <f t="shared" si="19"/>
        <v>10</v>
      </c>
      <c r="N50" s="463">
        <f t="shared" si="19"/>
        <v>11</v>
      </c>
      <c r="O50" s="464">
        <f t="shared" si="19"/>
        <v>12</v>
      </c>
      <c r="S50" s="271"/>
    </row>
    <row r="51" spans="1:19" ht="9.9499999999999993" customHeight="1"/>
    <row r="52" spans="1:19" ht="14.85" customHeight="1">
      <c r="B52" s="234" t="s">
        <v>388</v>
      </c>
      <c r="D52" s="465">
        <v>1E-10</v>
      </c>
      <c r="E52" s="465">
        <f>D53</f>
        <v>39467.435395299995</v>
      </c>
      <c r="F52" s="465">
        <f t="shared" ref="F52" si="20">E53</f>
        <v>39488.692749174996</v>
      </c>
      <c r="G52" s="465">
        <f t="shared" ref="G52" si="21">F53</f>
        <v>40761.253578299998</v>
      </c>
      <c r="H52" s="465">
        <f t="shared" ref="H52" si="22">G53</f>
        <v>40872.492408299993</v>
      </c>
      <c r="I52" s="465">
        <f t="shared" ref="I52" si="23">H53</f>
        <v>41114.691468299992</v>
      </c>
      <c r="J52" s="465">
        <f t="shared" ref="J52" si="24">I53</f>
        <v>43201.214708299995</v>
      </c>
      <c r="K52" s="465">
        <f t="shared" ref="K52" si="25">J53</f>
        <v>43887.580008299992</v>
      </c>
      <c r="L52" s="465">
        <f t="shared" ref="L52" si="26">K53</f>
        <v>44579.714481250005</v>
      </c>
      <c r="M52" s="465">
        <f t="shared" ref="M52" si="27">L53</f>
        <v>51825.912448349998</v>
      </c>
      <c r="N52" s="465">
        <f t="shared" ref="N52" si="28">M53</f>
        <v>54046.204261100007</v>
      </c>
      <c r="O52" s="465">
        <f t="shared" ref="O52" si="29">N53</f>
        <v>88122.91277760001</v>
      </c>
    </row>
    <row r="53" spans="1:19" ht="14.85" customHeight="1">
      <c r="B53" s="234" t="s">
        <v>389</v>
      </c>
      <c r="D53" s="465">
        <f>D47</f>
        <v>39467.435395299995</v>
      </c>
      <c r="E53" s="465">
        <f>IF(F47=0,"n/a",IF(D53=E47,F47,E47))</f>
        <v>39488.692749174996</v>
      </c>
      <c r="F53" s="465">
        <f t="shared" ref="F53" si="30">IF(G47=0,"n/a",IF(E53=F47,G47,F47))</f>
        <v>40761.253578299998</v>
      </c>
      <c r="G53" s="465">
        <f t="shared" ref="G53" si="31">IF(H47=0,"n/a",IF(F53=G47,H47,G47))</f>
        <v>40872.492408299993</v>
      </c>
      <c r="H53" s="465">
        <f t="shared" ref="H53" si="32">IF(I47=0,"n/a",IF(G53=H47,I47,H47))</f>
        <v>41114.691468299992</v>
      </c>
      <c r="I53" s="465">
        <f t="shared" ref="I53" si="33">IF(J47=0,"n/a",IF(H53=I47,J47,I47))</f>
        <v>43201.214708299995</v>
      </c>
      <c r="J53" s="465">
        <f t="shared" ref="J53" si="34">IF(K47=0,"n/a",IF(I53=J47,K47,J47))</f>
        <v>43887.580008299992</v>
      </c>
      <c r="K53" s="465">
        <f t="shared" ref="K53" si="35">IF(L47=0,"n/a",IF(J53=K47,L47,K47))</f>
        <v>44579.714481250005</v>
      </c>
      <c r="L53" s="465">
        <f t="shared" ref="L53" si="36">IF(M47=0,"n/a",IF(K53=L47,M47,L47))</f>
        <v>51825.912448349998</v>
      </c>
      <c r="M53" s="465">
        <f t="shared" ref="M53" si="37">IF(N47=0,"n/a",IF(L53=M47,N47,M47))</f>
        <v>54046.204261100007</v>
      </c>
      <c r="N53" s="465">
        <f t="shared" ref="N53" si="38">IF(O47=0,"n/a",IF(M53=N47,O47,N47))</f>
        <v>88122.91277760001</v>
      </c>
      <c r="O53" s="465" t="str">
        <f t="shared" ref="O53" si="39">IF(P47=0,"n/a",IF(N53=O47,P47,O47))</f>
        <v>n/a</v>
      </c>
    </row>
    <row r="54" spans="1:19" ht="14.85" customHeight="1"/>
    <row r="55" spans="1:19" ht="14.85" hidden="1" customHeight="1" outlineLevel="1">
      <c r="B55" s="234" t="s">
        <v>393</v>
      </c>
      <c r="D55" s="259">
        <f>(LN($D$9/D52)+($D$12+$D$11^2/2)*$D$10)/($D$11*SQRT($D$10))</f>
        <v>35.931739092771799</v>
      </c>
      <c r="E55" s="259">
        <f t="shared" ref="E55:O55" si="40">(LN($D$9/E52)+($D$12+$D$11^2/2)*$D$10)/($D$11*SQRT($D$10))</f>
        <v>0.35507760053234799</v>
      </c>
      <c r="F55" s="259">
        <f t="shared" si="40"/>
        <v>0.35450761752950322</v>
      </c>
      <c r="G55" s="259">
        <f t="shared" si="40"/>
        <v>0.32093318027080836</v>
      </c>
      <c r="H55" s="259">
        <f t="shared" si="40"/>
        <v>0.31804831529723337</v>
      </c>
      <c r="I55" s="259">
        <f t="shared" si="40"/>
        <v>0.31179419425126426</v>
      </c>
      <c r="J55" s="259">
        <f t="shared" si="40"/>
        <v>0.25939303127595387</v>
      </c>
      <c r="K55" s="259">
        <f t="shared" si="40"/>
        <v>0.24270747974796028</v>
      </c>
      <c r="L55" s="259">
        <f t="shared" si="40"/>
        <v>0.22614386460005151</v>
      </c>
      <c r="M55" s="259">
        <f t="shared" si="40"/>
        <v>6.6715270755255143E-2</v>
      </c>
      <c r="N55" s="259">
        <f t="shared" si="40"/>
        <v>2.2310393210102419E-2</v>
      </c>
      <c r="O55" s="259">
        <f t="shared" si="40"/>
        <v>-0.49520418769099933</v>
      </c>
    </row>
    <row r="56" spans="1:19" ht="14.85" hidden="1" customHeight="1" outlineLevel="1">
      <c r="B56" s="234" t="s">
        <v>395</v>
      </c>
      <c r="D56" s="259">
        <f>D55-$D$11*SQRT($D$10)</f>
        <v>34.987044433106568</v>
      </c>
      <c r="E56" s="259">
        <f t="shared" ref="E56:O56" si="41">E55-$D$11*SQRT($D$10)</f>
        <v>-0.58961705913287954</v>
      </c>
      <c r="F56" s="259">
        <f t="shared" si="41"/>
        <v>-0.59018704213572437</v>
      </c>
      <c r="G56" s="259">
        <f t="shared" si="41"/>
        <v>-0.62376147939441928</v>
      </c>
      <c r="H56" s="259">
        <f t="shared" si="41"/>
        <v>-0.62664634436799416</v>
      </c>
      <c r="I56" s="259">
        <f t="shared" si="41"/>
        <v>-0.63290046541396339</v>
      </c>
      <c r="J56" s="259">
        <f t="shared" si="41"/>
        <v>-0.68530162838927366</v>
      </c>
      <c r="K56" s="259">
        <f t="shared" si="41"/>
        <v>-0.70198717991726733</v>
      </c>
      <c r="L56" s="259">
        <f t="shared" si="41"/>
        <v>-0.71855079506517605</v>
      </c>
      <c r="M56" s="259">
        <f t="shared" si="41"/>
        <v>-0.8779793889099724</v>
      </c>
      <c r="N56" s="259">
        <f t="shared" si="41"/>
        <v>-0.92238426645512517</v>
      </c>
      <c r="O56" s="259">
        <f t="shared" si="41"/>
        <v>-1.4398988473562269</v>
      </c>
    </row>
    <row r="57" spans="1:19" ht="14.85" hidden="1" customHeight="1" outlineLevel="1">
      <c r="D57" s="259"/>
      <c r="E57" s="259"/>
      <c r="F57" s="259"/>
      <c r="G57" s="259"/>
      <c r="H57" s="259"/>
      <c r="I57" s="259"/>
      <c r="J57" s="259"/>
      <c r="K57" s="259"/>
      <c r="L57" s="259"/>
      <c r="M57" s="259"/>
      <c r="N57" s="259"/>
      <c r="O57" s="259"/>
    </row>
    <row r="58" spans="1:19" ht="14.85" hidden="1" customHeight="1" outlineLevel="1">
      <c r="B58" s="234" t="s">
        <v>394</v>
      </c>
      <c r="D58" s="259">
        <f>(LN($D$9/D53)+($D$12+$D$11^2/2)*$D$10)/($D$11*SQRT($D$10))</f>
        <v>0.35507760053234799</v>
      </c>
      <c r="E58" s="465">
        <f>IF(E53="n/a","n/a",(LN($D$9/E53)+($D$12+$D$11^2/2)*$D$10)/($D$11*SQRT($D$10)))</f>
        <v>0.35450761752950322</v>
      </c>
      <c r="F58" s="465">
        <f t="shared" ref="F58:O58" si="42">IF(F53="n/a","n/a",(LN($D$9/F53)+($D$12+$D$11^2/2)*$D$10)/($D$11*SQRT($D$10)))</f>
        <v>0.32093318027080836</v>
      </c>
      <c r="G58" s="465">
        <f t="shared" si="42"/>
        <v>0.31804831529723337</v>
      </c>
      <c r="H58" s="465">
        <f t="shared" si="42"/>
        <v>0.31179419425126426</v>
      </c>
      <c r="I58" s="465">
        <f t="shared" si="42"/>
        <v>0.25939303127595387</v>
      </c>
      <c r="J58" s="465">
        <f t="shared" si="42"/>
        <v>0.24270747974796028</v>
      </c>
      <c r="K58" s="465">
        <f t="shared" si="42"/>
        <v>0.22614386460005151</v>
      </c>
      <c r="L58" s="465">
        <f t="shared" si="42"/>
        <v>6.6715270755255143E-2</v>
      </c>
      <c r="M58" s="465">
        <f t="shared" si="42"/>
        <v>2.2310393210102419E-2</v>
      </c>
      <c r="N58" s="465">
        <f t="shared" si="42"/>
        <v>-0.49520418769099933</v>
      </c>
      <c r="O58" s="465" t="str">
        <f t="shared" si="42"/>
        <v>n/a</v>
      </c>
    </row>
    <row r="59" spans="1:19" ht="14.85" hidden="1" customHeight="1" outlineLevel="1">
      <c r="B59" s="234" t="s">
        <v>396</v>
      </c>
      <c r="D59" s="259">
        <f>D58-$D$11*SQRT($D$10)</f>
        <v>-0.58961705913287954</v>
      </c>
      <c r="E59" s="465">
        <f>IF(E53="n/a","n/a",E58-$D$11*SQRT($D$10))</f>
        <v>-0.59018704213572437</v>
      </c>
      <c r="F59" s="465">
        <f t="shared" ref="F59:O59" si="43">IF(F53="n/a","n/a",F58-$D$11*SQRT($D$10))</f>
        <v>-0.62376147939441928</v>
      </c>
      <c r="G59" s="465">
        <f t="shared" si="43"/>
        <v>-0.62664634436799416</v>
      </c>
      <c r="H59" s="465">
        <f t="shared" si="43"/>
        <v>-0.63290046541396339</v>
      </c>
      <c r="I59" s="465">
        <f t="shared" si="43"/>
        <v>-0.68530162838927366</v>
      </c>
      <c r="J59" s="465">
        <f t="shared" si="43"/>
        <v>-0.70198717991726733</v>
      </c>
      <c r="K59" s="465">
        <f t="shared" si="43"/>
        <v>-0.71855079506517605</v>
      </c>
      <c r="L59" s="465">
        <f t="shared" si="43"/>
        <v>-0.8779793889099724</v>
      </c>
      <c r="M59" s="465">
        <f t="shared" si="43"/>
        <v>-0.92238426645512517</v>
      </c>
      <c r="N59" s="465">
        <f t="shared" si="43"/>
        <v>-1.4398988473562269</v>
      </c>
      <c r="O59" s="465" t="str">
        <f t="shared" si="43"/>
        <v>n/a</v>
      </c>
    </row>
    <row r="60" spans="1:19" ht="14.85" hidden="1" customHeight="1" outlineLevel="1">
      <c r="D60" s="259"/>
      <c r="E60" s="259"/>
      <c r="F60" s="259"/>
      <c r="G60" s="259"/>
      <c r="H60" s="259"/>
      <c r="I60" s="259"/>
      <c r="J60" s="259"/>
      <c r="K60" s="259"/>
      <c r="L60" s="259"/>
      <c r="M60" s="259"/>
      <c r="N60" s="259"/>
      <c r="O60" s="259"/>
    </row>
    <row r="61" spans="1:19" ht="14.85" customHeight="1" collapsed="1">
      <c r="B61" s="234" t="s">
        <v>390</v>
      </c>
      <c r="D61" s="259">
        <f>$D$9*NORMSDIST(D55)-D52*EXP(-$D$12*$D$10)*NORMSDIST(D56)</f>
        <v>33639.192293060929</v>
      </c>
      <c r="E61" s="259">
        <f t="shared" ref="E61:O61" si="44">$D$9*NORMSDIST(E55)-E52*EXP(-$D$12*$D$10)*NORMSDIST(E56)</f>
        <v>11049.607223607469</v>
      </c>
      <c r="F61" s="259">
        <f t="shared" si="44"/>
        <v>11043.987793451459</v>
      </c>
      <c r="G61" s="259">
        <f t="shared" si="44"/>
        <v>10714.50730000855</v>
      </c>
      <c r="H61" s="259">
        <f t="shared" si="44"/>
        <v>10686.34134430939</v>
      </c>
      <c r="I61" s="259">
        <f t="shared" si="44"/>
        <v>10625.361324591235</v>
      </c>
      <c r="J61" s="259">
        <f t="shared" si="44"/>
        <v>10118.99833957697</v>
      </c>
      <c r="K61" s="259">
        <f t="shared" si="44"/>
        <v>9959.5673907110831</v>
      </c>
      <c r="L61" s="259">
        <f t="shared" si="44"/>
        <v>9802.212662273525</v>
      </c>
      <c r="M61" s="259">
        <f t="shared" si="44"/>
        <v>8339.3158375216208</v>
      </c>
      <c r="N61" s="259">
        <f t="shared" si="44"/>
        <v>7950.338634780117</v>
      </c>
      <c r="O61" s="259">
        <f t="shared" si="44"/>
        <v>4147.0086217609496</v>
      </c>
    </row>
    <row r="62" spans="1:19" ht="14.85" customHeight="1">
      <c r="B62" s="234" t="s">
        <v>391</v>
      </c>
      <c r="D62" s="259">
        <f>$D$9*NORMSDIST(D58)-D53*EXP(-$D$12*$D$10)*NORMSDIST(D59)</f>
        <v>11049.607223607469</v>
      </c>
      <c r="E62" s="465">
        <f>IF(E53="n/a","n/a",$D$9*NORMSDIST(E58)-E53*EXP(-$D$12*$D$10)*NORMSDIST(E59))</f>
        <v>11043.987793451459</v>
      </c>
      <c r="F62" s="465">
        <f t="shared" ref="F62:O62" si="45">IF(F53="n/a","n/a",$D$9*NORMSDIST(F58)-F53*EXP(-$D$12*$D$10)*NORMSDIST(F59))</f>
        <v>10714.50730000855</v>
      </c>
      <c r="G62" s="465">
        <f t="shared" si="45"/>
        <v>10686.34134430939</v>
      </c>
      <c r="H62" s="465">
        <f t="shared" si="45"/>
        <v>10625.361324591235</v>
      </c>
      <c r="I62" s="465">
        <f t="shared" si="45"/>
        <v>10118.99833957697</v>
      </c>
      <c r="J62" s="465">
        <f t="shared" si="45"/>
        <v>9959.5673907110831</v>
      </c>
      <c r="K62" s="465">
        <f t="shared" si="45"/>
        <v>9802.212662273525</v>
      </c>
      <c r="L62" s="465">
        <f t="shared" si="45"/>
        <v>8339.3158375216208</v>
      </c>
      <c r="M62" s="465">
        <f t="shared" si="45"/>
        <v>7950.338634780117</v>
      </c>
      <c r="N62" s="465">
        <f t="shared" si="45"/>
        <v>4147.0086217609496</v>
      </c>
      <c r="O62" s="465" t="str">
        <f t="shared" si="45"/>
        <v>n/a</v>
      </c>
    </row>
    <row r="63" spans="1:19" ht="14.85" customHeight="1"/>
    <row r="64" spans="1:19" ht="14.85" customHeight="1">
      <c r="B64" s="255" t="s">
        <v>392</v>
      </c>
      <c r="C64" s="255"/>
      <c r="D64" s="309">
        <f>D61-D62</f>
        <v>22589.58506945346</v>
      </c>
      <c r="E64" s="309">
        <f>IF(E53="n/a",E61,E61-E62)</f>
        <v>5.619430156009912</v>
      </c>
      <c r="F64" s="309">
        <f t="shared" ref="F64:O64" si="46">IF(F53="n/a",F61,F61-F62)</f>
        <v>329.48049344290848</v>
      </c>
      <c r="G64" s="309">
        <f t="shared" si="46"/>
        <v>28.165955699159895</v>
      </c>
      <c r="H64" s="309">
        <f t="shared" si="46"/>
        <v>60.980019718155745</v>
      </c>
      <c r="I64" s="309">
        <f t="shared" si="46"/>
        <v>506.36298501426427</v>
      </c>
      <c r="J64" s="309">
        <f t="shared" si="46"/>
        <v>159.43094886588733</v>
      </c>
      <c r="K64" s="309">
        <f t="shared" si="46"/>
        <v>157.35472843755815</v>
      </c>
      <c r="L64" s="309">
        <f t="shared" si="46"/>
        <v>1462.8968247519042</v>
      </c>
      <c r="M64" s="309">
        <f t="shared" si="46"/>
        <v>388.97720274150379</v>
      </c>
      <c r="N64" s="309">
        <f t="shared" si="46"/>
        <v>3803.3300130191674</v>
      </c>
      <c r="O64" s="309">
        <f t="shared" si="46"/>
        <v>4147.0086217609496</v>
      </c>
    </row>
    <row r="65" spans="2:19" ht="14.85" customHeight="1"/>
    <row r="66" spans="2:19" s="270" customFormat="1" ht="14.85" customHeight="1">
      <c r="B66" s="461" t="s">
        <v>386</v>
      </c>
      <c r="D66" s="462">
        <f>D$15</f>
        <v>1</v>
      </c>
      <c r="E66" s="463">
        <f t="shared" ref="E66:O66" si="47">E$15</f>
        <v>2</v>
      </c>
      <c r="F66" s="463">
        <f t="shared" si="47"/>
        <v>3</v>
      </c>
      <c r="G66" s="463">
        <f t="shared" si="47"/>
        <v>4</v>
      </c>
      <c r="H66" s="463">
        <f t="shared" si="47"/>
        <v>5</v>
      </c>
      <c r="I66" s="463">
        <f t="shared" si="47"/>
        <v>6</v>
      </c>
      <c r="J66" s="463">
        <f t="shared" si="47"/>
        <v>7</v>
      </c>
      <c r="K66" s="463">
        <f t="shared" si="47"/>
        <v>8</v>
      </c>
      <c r="L66" s="463">
        <f t="shared" si="47"/>
        <v>9</v>
      </c>
      <c r="M66" s="463">
        <f t="shared" si="47"/>
        <v>10</v>
      </c>
      <c r="N66" s="463">
        <f t="shared" si="47"/>
        <v>11</v>
      </c>
      <c r="O66" s="464">
        <f t="shared" si="47"/>
        <v>12</v>
      </c>
      <c r="S66" s="271"/>
    </row>
    <row r="67" spans="2:19" ht="14.85" customHeight="1"/>
    <row r="68" spans="2:19" ht="14.85" customHeight="1">
      <c r="D68" s="976" t="s">
        <v>380</v>
      </c>
      <c r="E68" s="976" t="s">
        <v>304</v>
      </c>
      <c r="F68" s="976" t="s">
        <v>304</v>
      </c>
      <c r="G68" s="976" t="s">
        <v>304</v>
      </c>
      <c r="H68" s="976" t="s">
        <v>304</v>
      </c>
      <c r="I68" s="976" t="s">
        <v>304</v>
      </c>
      <c r="J68" s="976" t="s">
        <v>304</v>
      </c>
      <c r="K68" s="976" t="s">
        <v>304</v>
      </c>
      <c r="L68" s="976" t="s">
        <v>304</v>
      </c>
      <c r="M68" s="976" t="s">
        <v>304</v>
      </c>
      <c r="N68" s="976" t="s">
        <v>304</v>
      </c>
      <c r="O68" s="976" t="s">
        <v>304</v>
      </c>
    </row>
    <row r="69" spans="2:19" ht="9.9499999999999993" customHeight="1"/>
    <row r="70" spans="2:19" ht="14.85" customHeight="1">
      <c r="B70" s="256" t="str">
        <f t="shared" ref="B70:B80" si="48">B27</f>
        <v>Series Seed</v>
      </c>
      <c r="D70" s="297">
        <f t="shared" ref="D70:O70" si="49">IF(D$68="Shares",D27,D19)</f>
        <v>1020.0174399</v>
      </c>
      <c r="E70" s="297">
        <f t="shared" si="49"/>
        <v>0</v>
      </c>
      <c r="F70" s="297">
        <f t="shared" si="49"/>
        <v>0</v>
      </c>
      <c r="G70" s="297">
        <f t="shared" si="49"/>
        <v>0</v>
      </c>
      <c r="H70" s="297">
        <f t="shared" si="49"/>
        <v>0</v>
      </c>
      <c r="I70" s="297">
        <f t="shared" si="49"/>
        <v>0</v>
      </c>
      <c r="J70" s="297">
        <f t="shared" si="49"/>
        <v>0</v>
      </c>
      <c r="K70" s="297">
        <f t="shared" si="49"/>
        <v>0</v>
      </c>
      <c r="L70" s="297">
        <f t="shared" si="49"/>
        <v>1010.456</v>
      </c>
      <c r="M70" s="297">
        <f t="shared" si="49"/>
        <v>1010.456</v>
      </c>
      <c r="N70" s="297">
        <f t="shared" si="49"/>
        <v>1010.456</v>
      </c>
      <c r="O70" s="297">
        <f t="shared" si="49"/>
        <v>1010.456</v>
      </c>
    </row>
    <row r="71" spans="2:19" ht="14.85" customHeight="1">
      <c r="B71" s="256" t="str">
        <f t="shared" si="48"/>
        <v>Series Seed-1</v>
      </c>
      <c r="D71" s="297">
        <f t="shared" ref="D71:O71" si="50">IF(D$68="Shares",D28,D20)</f>
        <v>3430.0119045000001</v>
      </c>
      <c r="E71" s="297">
        <f t="shared" si="50"/>
        <v>0</v>
      </c>
      <c r="F71" s="297">
        <f t="shared" si="50"/>
        <v>0</v>
      </c>
      <c r="G71" s="297">
        <f t="shared" si="50"/>
        <v>0</v>
      </c>
      <c r="H71" s="297">
        <f t="shared" si="50"/>
        <v>0</v>
      </c>
      <c r="I71" s="297">
        <f t="shared" si="50"/>
        <v>0</v>
      </c>
      <c r="J71" s="297">
        <f t="shared" si="50"/>
        <v>0</v>
      </c>
      <c r="K71" s="297">
        <f t="shared" si="50"/>
        <v>0</v>
      </c>
      <c r="L71" s="297">
        <f t="shared" si="50"/>
        <v>0</v>
      </c>
      <c r="M71" s="297">
        <f t="shared" si="50"/>
        <v>1787.64</v>
      </c>
      <c r="N71" s="297">
        <f t="shared" si="50"/>
        <v>1787.64</v>
      </c>
      <c r="O71" s="297">
        <f t="shared" si="50"/>
        <v>1787.64</v>
      </c>
    </row>
    <row r="72" spans="2:19" ht="14.85" customHeight="1">
      <c r="B72" s="256" t="str">
        <f t="shared" si="48"/>
        <v>Series A</v>
      </c>
      <c r="D72" s="297">
        <f t="shared" ref="D72:O72" si="51">IF(D$68="Shares",D29,D21)</f>
        <v>13135.5942393</v>
      </c>
      <c r="E72" s="297">
        <f t="shared" si="51"/>
        <v>0</v>
      </c>
      <c r="F72" s="297">
        <f t="shared" si="51"/>
        <v>0</v>
      </c>
      <c r="G72" s="297">
        <f t="shared" si="51"/>
        <v>0</v>
      </c>
      <c r="H72" s="297">
        <f t="shared" si="51"/>
        <v>0</v>
      </c>
      <c r="I72" s="297">
        <f t="shared" si="51"/>
        <v>0</v>
      </c>
      <c r="J72" s="297">
        <f t="shared" si="51"/>
        <v>0</v>
      </c>
      <c r="K72" s="297">
        <f t="shared" si="51"/>
        <v>0</v>
      </c>
      <c r="L72" s="297">
        <f t="shared" si="51"/>
        <v>0</v>
      </c>
      <c r="M72" s="297">
        <f t="shared" si="51"/>
        <v>0</v>
      </c>
      <c r="N72" s="297">
        <f t="shared" si="51"/>
        <v>6120.1109999999999</v>
      </c>
      <c r="O72" s="297">
        <f t="shared" si="51"/>
        <v>6120.1109999999999</v>
      </c>
    </row>
    <row r="73" spans="2:19" ht="14.85" customHeight="1">
      <c r="B73" s="256" t="str">
        <f t="shared" si="48"/>
        <v>Series B</v>
      </c>
      <c r="D73" s="297">
        <f t="shared" ref="D73:O73" si="52">IF(D$68="Shares",D30,D22)</f>
        <v>21881.811811600001</v>
      </c>
      <c r="E73" s="297">
        <f t="shared" si="52"/>
        <v>0</v>
      </c>
      <c r="F73" s="297">
        <f t="shared" si="52"/>
        <v>0</v>
      </c>
      <c r="G73" s="297">
        <f t="shared" si="52"/>
        <v>0</v>
      </c>
      <c r="H73" s="297">
        <f t="shared" si="52"/>
        <v>0</v>
      </c>
      <c r="I73" s="297">
        <f t="shared" si="52"/>
        <v>0</v>
      </c>
      <c r="J73" s="297">
        <f t="shared" si="52"/>
        <v>0</v>
      </c>
      <c r="K73" s="297">
        <f t="shared" si="52"/>
        <v>0</v>
      </c>
      <c r="L73" s="297">
        <f t="shared" si="52"/>
        <v>0</v>
      </c>
      <c r="M73" s="297">
        <f t="shared" si="52"/>
        <v>0</v>
      </c>
      <c r="N73" s="297">
        <f t="shared" si="52"/>
        <v>0</v>
      </c>
      <c r="O73" s="297">
        <f t="shared" si="52"/>
        <v>5097.5659999999998</v>
      </c>
    </row>
    <row r="74" spans="2:19" ht="14.85" customHeight="1">
      <c r="B74" s="256" t="str">
        <f t="shared" si="48"/>
        <v>Options at $0.0059 Strike Price Exercise</v>
      </c>
      <c r="D74" s="297">
        <f>D31</f>
        <v>0</v>
      </c>
      <c r="E74" s="297">
        <f t="shared" ref="E74:O74" si="53">E31</f>
        <v>0</v>
      </c>
      <c r="F74" s="297">
        <f t="shared" si="53"/>
        <v>79.688000000000002</v>
      </c>
      <c r="G74" s="297">
        <f t="shared" si="53"/>
        <v>79.688000000000002</v>
      </c>
      <c r="H74" s="297">
        <f t="shared" si="53"/>
        <v>79.688000000000002</v>
      </c>
      <c r="I74" s="297">
        <f t="shared" si="53"/>
        <v>79.688000000000002</v>
      </c>
      <c r="J74" s="297">
        <f t="shared" si="53"/>
        <v>79.688000000000002</v>
      </c>
      <c r="K74" s="297">
        <f t="shared" si="53"/>
        <v>79.688000000000002</v>
      </c>
      <c r="L74" s="297">
        <f t="shared" si="53"/>
        <v>79.688000000000002</v>
      </c>
      <c r="M74" s="297">
        <f t="shared" si="53"/>
        <v>79.688000000000002</v>
      </c>
      <c r="N74" s="297">
        <f t="shared" si="53"/>
        <v>79.688000000000002</v>
      </c>
      <c r="O74" s="297">
        <f t="shared" si="53"/>
        <v>79.688000000000002</v>
      </c>
    </row>
    <row r="75" spans="2:19" ht="14.85" customHeight="1">
      <c r="B75" s="256" t="str">
        <f t="shared" si="48"/>
        <v>Options at $0.3500 Strike Price Exercise</v>
      </c>
      <c r="D75" s="297">
        <f t="shared" ref="D75:O75" si="54">D32</f>
        <v>0</v>
      </c>
      <c r="E75" s="297">
        <f t="shared" si="54"/>
        <v>0</v>
      </c>
      <c r="F75" s="297">
        <f t="shared" si="54"/>
        <v>0</v>
      </c>
      <c r="G75" s="297">
        <f t="shared" si="54"/>
        <v>10</v>
      </c>
      <c r="H75" s="297">
        <f t="shared" si="54"/>
        <v>10</v>
      </c>
      <c r="I75" s="297">
        <f t="shared" si="54"/>
        <v>10</v>
      </c>
      <c r="J75" s="297">
        <f t="shared" si="54"/>
        <v>10</v>
      </c>
      <c r="K75" s="297">
        <f t="shared" si="54"/>
        <v>10</v>
      </c>
      <c r="L75" s="297">
        <f t="shared" si="54"/>
        <v>10</v>
      </c>
      <c r="M75" s="297">
        <f t="shared" si="54"/>
        <v>10</v>
      </c>
      <c r="N75" s="297">
        <f t="shared" si="54"/>
        <v>10</v>
      </c>
      <c r="O75" s="297">
        <f t="shared" si="54"/>
        <v>10</v>
      </c>
    </row>
    <row r="76" spans="2:19" ht="14.85" customHeight="1">
      <c r="B76" s="256" t="str">
        <f t="shared" si="48"/>
        <v>Options at $0.3800 Strike Price Exercise</v>
      </c>
      <c r="D76" s="297">
        <f t="shared" ref="D76:O76" si="55">D33</f>
        <v>0</v>
      </c>
      <c r="E76" s="297">
        <f t="shared" si="55"/>
        <v>0</v>
      </c>
      <c r="F76" s="297">
        <f t="shared" si="55"/>
        <v>0</v>
      </c>
      <c r="G76" s="297">
        <f t="shared" si="55"/>
        <v>0</v>
      </c>
      <c r="H76" s="297">
        <f t="shared" si="55"/>
        <v>328.69</v>
      </c>
      <c r="I76" s="297">
        <f t="shared" si="55"/>
        <v>328.69</v>
      </c>
      <c r="J76" s="297">
        <f t="shared" si="55"/>
        <v>328.69</v>
      </c>
      <c r="K76" s="297">
        <f t="shared" si="55"/>
        <v>328.69</v>
      </c>
      <c r="L76" s="297">
        <f t="shared" si="55"/>
        <v>328.69</v>
      </c>
      <c r="M76" s="297">
        <f t="shared" si="55"/>
        <v>328.69</v>
      </c>
      <c r="N76" s="297">
        <f t="shared" si="55"/>
        <v>328.69</v>
      </c>
      <c r="O76" s="297">
        <f t="shared" si="55"/>
        <v>328.69</v>
      </c>
    </row>
    <row r="77" spans="2:19" ht="14.85" customHeight="1">
      <c r="B77" s="256" t="str">
        <f t="shared" si="48"/>
        <v>Expected Options at $0.6000 Strike Price Exercise</v>
      </c>
      <c r="D77" s="297">
        <f t="shared" ref="D77:O77" si="56">D34</f>
        <v>0</v>
      </c>
      <c r="E77" s="297">
        <f t="shared" si="56"/>
        <v>0</v>
      </c>
      <c r="F77" s="297">
        <f t="shared" si="56"/>
        <v>0</v>
      </c>
      <c r="G77" s="297">
        <f t="shared" si="56"/>
        <v>0</v>
      </c>
      <c r="H77" s="297">
        <f t="shared" si="56"/>
        <v>0</v>
      </c>
      <c r="I77" s="297">
        <f t="shared" si="56"/>
        <v>1602.6010000000001</v>
      </c>
      <c r="J77" s="297">
        <f t="shared" si="56"/>
        <v>1602.6010000000001</v>
      </c>
      <c r="K77" s="297">
        <f t="shared" si="56"/>
        <v>1602.6010000000001</v>
      </c>
      <c r="L77" s="297">
        <f t="shared" si="56"/>
        <v>1602.6010000000001</v>
      </c>
      <c r="M77" s="297">
        <f t="shared" si="56"/>
        <v>1602.6010000000001</v>
      </c>
      <c r="N77" s="297">
        <f t="shared" si="56"/>
        <v>1602.6010000000001</v>
      </c>
      <c r="O77" s="297">
        <f t="shared" si="56"/>
        <v>1602.6010000000001</v>
      </c>
    </row>
    <row r="78" spans="2:19" ht="14.85" customHeight="1">
      <c r="B78" s="256" t="str">
        <f t="shared" si="48"/>
        <v>Options at $0.8100 Strike Price Exercise</v>
      </c>
      <c r="D78" s="297">
        <f t="shared" ref="D78:O78" si="57">D35</f>
        <v>0</v>
      </c>
      <c r="E78" s="297">
        <f t="shared" si="57"/>
        <v>0</v>
      </c>
      <c r="F78" s="297">
        <f t="shared" si="57"/>
        <v>0</v>
      </c>
      <c r="G78" s="297">
        <f t="shared" si="57"/>
        <v>0</v>
      </c>
      <c r="H78" s="297">
        <f t="shared" si="57"/>
        <v>0</v>
      </c>
      <c r="I78" s="297">
        <f t="shared" si="57"/>
        <v>0</v>
      </c>
      <c r="J78" s="297">
        <f t="shared" si="57"/>
        <v>1224.4010000000001</v>
      </c>
      <c r="K78" s="297">
        <f t="shared" si="57"/>
        <v>1224.4010000000001</v>
      </c>
      <c r="L78" s="297">
        <f t="shared" si="57"/>
        <v>1224.4010000000001</v>
      </c>
      <c r="M78" s="297">
        <f t="shared" si="57"/>
        <v>1224.4010000000001</v>
      </c>
      <c r="N78" s="297">
        <f t="shared" si="57"/>
        <v>1224.4010000000001</v>
      </c>
      <c r="O78" s="297">
        <f t="shared" si="57"/>
        <v>1224.4010000000001</v>
      </c>
    </row>
    <row r="79" spans="2:19" ht="14.85" customHeight="1">
      <c r="B79" s="313" t="str">
        <f t="shared" si="48"/>
        <v>Options at $0.9100 Strike Price Exercise</v>
      </c>
      <c r="D79" s="297">
        <f t="shared" ref="D79:O79" si="58">D36</f>
        <v>0</v>
      </c>
      <c r="E79" s="297">
        <f t="shared" si="58"/>
        <v>0</v>
      </c>
      <c r="F79" s="297">
        <f t="shared" si="58"/>
        <v>0</v>
      </c>
      <c r="G79" s="297">
        <f t="shared" si="58"/>
        <v>0</v>
      </c>
      <c r="H79" s="297">
        <f t="shared" si="58"/>
        <v>0</v>
      </c>
      <c r="I79" s="297">
        <f t="shared" si="58"/>
        <v>0</v>
      </c>
      <c r="J79" s="297">
        <f t="shared" si="58"/>
        <v>0</v>
      </c>
      <c r="K79" s="297">
        <f t="shared" si="58"/>
        <v>95.094999999999999</v>
      </c>
      <c r="L79" s="297">
        <f t="shared" si="58"/>
        <v>95.094999999999999</v>
      </c>
      <c r="M79" s="297">
        <f t="shared" si="58"/>
        <v>95.094999999999999</v>
      </c>
      <c r="N79" s="297">
        <f t="shared" si="58"/>
        <v>95.094999999999999</v>
      </c>
      <c r="O79" s="297">
        <f t="shared" si="58"/>
        <v>95.094999999999999</v>
      </c>
    </row>
    <row r="80" spans="2:19" ht="14.85" customHeight="1">
      <c r="B80" s="256" t="str">
        <f t="shared" si="48"/>
        <v>Common Stock</v>
      </c>
      <c r="D80" s="297">
        <f t="shared" ref="D80:O80" si="59">D37</f>
        <v>0</v>
      </c>
      <c r="E80" s="297">
        <f t="shared" si="59"/>
        <v>3618.2730000000001</v>
      </c>
      <c r="F80" s="297">
        <f t="shared" si="59"/>
        <v>3618.2730000000001</v>
      </c>
      <c r="G80" s="297">
        <f t="shared" si="59"/>
        <v>3618.2730000000001</v>
      </c>
      <c r="H80" s="297">
        <f t="shared" si="59"/>
        <v>3618.2730000000001</v>
      </c>
      <c r="I80" s="297">
        <f t="shared" si="59"/>
        <v>3618.2730000000001</v>
      </c>
      <c r="J80" s="297">
        <f t="shared" si="59"/>
        <v>3618.2730000000001</v>
      </c>
      <c r="K80" s="297">
        <f t="shared" si="59"/>
        <v>3618.2730000000001</v>
      </c>
      <c r="L80" s="297">
        <f t="shared" si="59"/>
        <v>3618.2730000000001</v>
      </c>
      <c r="M80" s="297">
        <f t="shared" si="59"/>
        <v>3618.2730000000001</v>
      </c>
      <c r="N80" s="297">
        <f t="shared" si="59"/>
        <v>3618.2730000000001</v>
      </c>
      <c r="O80" s="297">
        <f t="shared" si="59"/>
        <v>3618.2730000000001</v>
      </c>
    </row>
    <row r="81" spans="2:15" ht="14.85" customHeight="1">
      <c r="B81" s="269"/>
      <c r="C81" s="269"/>
      <c r="D81" s="269"/>
      <c r="E81" s="269"/>
      <c r="F81" s="269"/>
      <c r="G81" s="269"/>
      <c r="H81" s="269"/>
      <c r="I81" s="269"/>
      <c r="J81" s="269"/>
      <c r="K81" s="269"/>
      <c r="L81" s="269"/>
      <c r="M81" s="269"/>
      <c r="N81" s="269"/>
      <c r="O81" s="269"/>
    </row>
    <row r="82" spans="2:15" ht="14.85" customHeight="1">
      <c r="B82" s="298" t="s">
        <v>1995</v>
      </c>
      <c r="D82" s="309">
        <f t="shared" ref="D82:O82" si="60">SUM(D70:D80)</f>
        <v>39467.435395299995</v>
      </c>
      <c r="E82" s="309">
        <f t="shared" si="60"/>
        <v>3618.2730000000001</v>
      </c>
      <c r="F82" s="309">
        <f t="shared" si="60"/>
        <v>3697.9610000000002</v>
      </c>
      <c r="G82" s="309">
        <f t="shared" si="60"/>
        <v>3707.9610000000002</v>
      </c>
      <c r="H82" s="309">
        <f t="shared" si="60"/>
        <v>4036.6510000000003</v>
      </c>
      <c r="I82" s="309">
        <f t="shared" si="60"/>
        <v>5639.2520000000004</v>
      </c>
      <c r="J82" s="309">
        <f t="shared" si="60"/>
        <v>6863.6530000000002</v>
      </c>
      <c r="K82" s="309">
        <f t="shared" si="60"/>
        <v>6958.7479999999996</v>
      </c>
      <c r="L82" s="309">
        <f t="shared" si="60"/>
        <v>7969.2040000000006</v>
      </c>
      <c r="M82" s="309">
        <f t="shared" si="60"/>
        <v>9756.844000000001</v>
      </c>
      <c r="N82" s="309">
        <f t="shared" si="60"/>
        <v>15876.955000000002</v>
      </c>
      <c r="O82" s="309">
        <f t="shared" si="60"/>
        <v>20974.521000000004</v>
      </c>
    </row>
    <row r="83" spans="2:15" ht="14.85" customHeight="1"/>
    <row r="84" spans="2:15" ht="14.85" customHeight="1">
      <c r="B84" s="461" t="s">
        <v>2024</v>
      </c>
      <c r="C84" s="270"/>
      <c r="D84" s="462">
        <f>D$15</f>
        <v>1</v>
      </c>
      <c r="E84" s="463">
        <f t="shared" ref="E84:O84" si="61">E$15</f>
        <v>2</v>
      </c>
      <c r="F84" s="463">
        <f t="shared" si="61"/>
        <v>3</v>
      </c>
      <c r="G84" s="463">
        <f t="shared" si="61"/>
        <v>4</v>
      </c>
      <c r="H84" s="463">
        <f t="shared" si="61"/>
        <v>5</v>
      </c>
      <c r="I84" s="463">
        <f t="shared" si="61"/>
        <v>6</v>
      </c>
      <c r="J84" s="463">
        <f t="shared" si="61"/>
        <v>7</v>
      </c>
      <c r="K84" s="463">
        <f t="shared" si="61"/>
        <v>8</v>
      </c>
      <c r="L84" s="463">
        <f t="shared" si="61"/>
        <v>9</v>
      </c>
      <c r="M84" s="463">
        <f t="shared" si="61"/>
        <v>10</v>
      </c>
      <c r="N84" s="463">
        <f t="shared" si="61"/>
        <v>11</v>
      </c>
      <c r="O84" s="464">
        <f t="shared" si="61"/>
        <v>12</v>
      </c>
    </row>
    <row r="85" spans="2:15" ht="14.85" customHeight="1"/>
    <row r="86" spans="2:15" ht="14.85" customHeight="1">
      <c r="B86" s="256" t="str">
        <f t="shared" ref="B86:B96" si="62">B70</f>
        <v>Series Seed</v>
      </c>
      <c r="D86" s="261">
        <f>D70/D$82</f>
        <v>2.5844533086167271E-2</v>
      </c>
      <c r="E86" s="261">
        <f t="shared" ref="E86:O86" si="63">E70/E$82</f>
        <v>0</v>
      </c>
      <c r="F86" s="261">
        <f t="shared" si="63"/>
        <v>0</v>
      </c>
      <c r="G86" s="261">
        <f t="shared" si="63"/>
        <v>0</v>
      </c>
      <c r="H86" s="261">
        <f t="shared" si="63"/>
        <v>0</v>
      </c>
      <c r="I86" s="261">
        <f t="shared" si="63"/>
        <v>0</v>
      </c>
      <c r="J86" s="261">
        <f t="shared" si="63"/>
        <v>0</v>
      </c>
      <c r="K86" s="261">
        <f t="shared" si="63"/>
        <v>0</v>
      </c>
      <c r="L86" s="261">
        <f t="shared" si="63"/>
        <v>0.12679509772870665</v>
      </c>
      <c r="M86" s="261">
        <f t="shared" si="63"/>
        <v>0.10356381633241239</v>
      </c>
      <c r="N86" s="261">
        <f t="shared" si="63"/>
        <v>6.3642934051271166E-2</v>
      </c>
      <c r="O86" s="261">
        <f t="shared" si="63"/>
        <v>4.817540290908192E-2</v>
      </c>
    </row>
    <row r="87" spans="2:15" ht="14.85" customHeight="1">
      <c r="B87" s="256" t="str">
        <f t="shared" si="62"/>
        <v>Series Seed-1</v>
      </c>
      <c r="D87" s="261">
        <f t="shared" ref="D87:O87" si="64">D71/D$82</f>
        <v>8.6907392642706791E-2</v>
      </c>
      <c r="E87" s="261">
        <f t="shared" si="64"/>
        <v>0</v>
      </c>
      <c r="F87" s="261">
        <f t="shared" si="64"/>
        <v>0</v>
      </c>
      <c r="G87" s="261">
        <f t="shared" si="64"/>
        <v>0</v>
      </c>
      <c r="H87" s="261">
        <f t="shared" si="64"/>
        <v>0</v>
      </c>
      <c r="I87" s="261">
        <f t="shared" si="64"/>
        <v>0</v>
      </c>
      <c r="J87" s="261">
        <f t="shared" si="64"/>
        <v>0</v>
      </c>
      <c r="K87" s="261">
        <f t="shared" si="64"/>
        <v>0</v>
      </c>
      <c r="L87" s="261">
        <f t="shared" si="64"/>
        <v>0</v>
      </c>
      <c r="M87" s="261">
        <f t="shared" si="64"/>
        <v>0.1832190819080432</v>
      </c>
      <c r="N87" s="261">
        <f t="shared" si="64"/>
        <v>0.11259337826428303</v>
      </c>
      <c r="O87" s="261">
        <f t="shared" si="64"/>
        <v>8.522912156134578E-2</v>
      </c>
    </row>
    <row r="88" spans="2:15" ht="14.85" customHeight="1">
      <c r="B88" s="256" t="str">
        <f t="shared" si="62"/>
        <v>Series A</v>
      </c>
      <c r="D88" s="261">
        <f t="shared" ref="D88:O88" si="65">D72/D$82</f>
        <v>0.33282107407628164</v>
      </c>
      <c r="E88" s="261">
        <f t="shared" si="65"/>
        <v>0</v>
      </c>
      <c r="F88" s="261">
        <f t="shared" si="65"/>
        <v>0</v>
      </c>
      <c r="G88" s="261">
        <f t="shared" si="65"/>
        <v>0</v>
      </c>
      <c r="H88" s="261">
        <f t="shared" si="65"/>
        <v>0</v>
      </c>
      <c r="I88" s="261">
        <f t="shared" si="65"/>
        <v>0</v>
      </c>
      <c r="J88" s="261">
        <f t="shared" si="65"/>
        <v>0</v>
      </c>
      <c r="K88" s="261">
        <f t="shared" si="65"/>
        <v>0</v>
      </c>
      <c r="L88" s="261">
        <f t="shared" si="65"/>
        <v>0</v>
      </c>
      <c r="M88" s="261">
        <f t="shared" si="65"/>
        <v>0</v>
      </c>
      <c r="N88" s="261">
        <f t="shared" si="65"/>
        <v>0.3854713325067684</v>
      </c>
      <c r="O88" s="261">
        <f t="shared" si="65"/>
        <v>0.29178787920830224</v>
      </c>
    </row>
    <row r="89" spans="2:15" ht="14.85" customHeight="1">
      <c r="B89" s="256" t="str">
        <f t="shared" si="62"/>
        <v>Series B</v>
      </c>
      <c r="D89" s="261">
        <f t="shared" ref="D89:O89" si="66">D73/D$82</f>
        <v>0.55442700019484448</v>
      </c>
      <c r="E89" s="261">
        <f t="shared" si="66"/>
        <v>0</v>
      </c>
      <c r="F89" s="261">
        <f t="shared" si="66"/>
        <v>0</v>
      </c>
      <c r="G89" s="261">
        <f t="shared" si="66"/>
        <v>0</v>
      </c>
      <c r="H89" s="261">
        <f t="shared" si="66"/>
        <v>0</v>
      </c>
      <c r="I89" s="261">
        <f t="shared" si="66"/>
        <v>0</v>
      </c>
      <c r="J89" s="261">
        <f t="shared" si="66"/>
        <v>0</v>
      </c>
      <c r="K89" s="261">
        <f t="shared" si="66"/>
        <v>0</v>
      </c>
      <c r="L89" s="261">
        <f t="shared" si="66"/>
        <v>0</v>
      </c>
      <c r="M89" s="261">
        <f t="shared" si="66"/>
        <v>0</v>
      </c>
      <c r="N89" s="261">
        <f t="shared" si="66"/>
        <v>0</v>
      </c>
      <c r="O89" s="261">
        <f t="shared" si="66"/>
        <v>0.24303611033596423</v>
      </c>
    </row>
    <row r="90" spans="2:15" ht="14.85" customHeight="1">
      <c r="B90" s="256" t="str">
        <f t="shared" si="62"/>
        <v>Options at $0.0059 Strike Price Exercise</v>
      </c>
      <c r="D90" s="261">
        <f t="shared" ref="D90:O90" si="67">D74/D$82</f>
        <v>0</v>
      </c>
      <c r="E90" s="261">
        <f t="shared" si="67"/>
        <v>0</v>
      </c>
      <c r="F90" s="261">
        <f t="shared" si="67"/>
        <v>2.1549172638651408E-2</v>
      </c>
      <c r="G90" s="261">
        <f t="shared" si="67"/>
        <v>2.1491056675083692E-2</v>
      </c>
      <c r="H90" s="261">
        <f t="shared" si="67"/>
        <v>1.9741117079479995E-2</v>
      </c>
      <c r="I90" s="261">
        <f t="shared" si="67"/>
        <v>1.4130952119181764E-2</v>
      </c>
      <c r="J90" s="261">
        <f t="shared" si="67"/>
        <v>1.1610144044286621E-2</v>
      </c>
      <c r="K90" s="261">
        <f t="shared" si="67"/>
        <v>1.145148523843657E-2</v>
      </c>
      <c r="L90" s="261">
        <f t="shared" si="67"/>
        <v>9.9994930484901632E-3</v>
      </c>
      <c r="M90" s="261">
        <f t="shared" si="67"/>
        <v>8.1673951125999338E-3</v>
      </c>
      <c r="N90" s="261">
        <f t="shared" si="67"/>
        <v>5.0190984354367696E-3</v>
      </c>
      <c r="O90" s="261">
        <f t="shared" si="67"/>
        <v>3.7992762742948927E-3</v>
      </c>
    </row>
    <row r="91" spans="2:15" ht="14.85" customHeight="1">
      <c r="B91" s="256" t="str">
        <f t="shared" si="62"/>
        <v>Options at $0.3500 Strike Price Exercise</v>
      </c>
      <c r="D91" s="261">
        <f t="shared" ref="D91:O91" si="68">D75/D$82</f>
        <v>0</v>
      </c>
      <c r="E91" s="261">
        <f t="shared" si="68"/>
        <v>0</v>
      </c>
      <c r="F91" s="261">
        <f t="shared" si="68"/>
        <v>0</v>
      </c>
      <c r="G91" s="261">
        <f t="shared" si="68"/>
        <v>2.6968999943634787E-3</v>
      </c>
      <c r="H91" s="261">
        <f t="shared" si="68"/>
        <v>2.4773011092611174E-3</v>
      </c>
      <c r="I91" s="261">
        <f t="shared" si="68"/>
        <v>1.7732848257180206E-3</v>
      </c>
      <c r="J91" s="261">
        <f t="shared" si="68"/>
        <v>1.4569501109686052E-3</v>
      </c>
      <c r="K91" s="261">
        <f t="shared" si="68"/>
        <v>1.437040111238401E-3</v>
      </c>
      <c r="L91" s="261">
        <f t="shared" si="68"/>
        <v>1.2548304698938562E-3</v>
      </c>
      <c r="M91" s="261">
        <f t="shared" si="68"/>
        <v>1.0249215832496654E-3</v>
      </c>
      <c r="N91" s="261">
        <f t="shared" si="68"/>
        <v>6.2984369483947008E-4</v>
      </c>
      <c r="O91" s="261">
        <f t="shared" si="68"/>
        <v>4.7676893312605318E-4</v>
      </c>
    </row>
    <row r="92" spans="2:15" ht="14.85" customHeight="1">
      <c r="B92" s="256" t="str">
        <f t="shared" si="62"/>
        <v>Options at $0.3800 Strike Price Exercise</v>
      </c>
      <c r="D92" s="261">
        <f t="shared" ref="D92:O92" si="69">D76/D$82</f>
        <v>0</v>
      </c>
      <c r="E92" s="261">
        <f t="shared" si="69"/>
        <v>0</v>
      </c>
      <c r="F92" s="261">
        <f t="shared" si="69"/>
        <v>0</v>
      </c>
      <c r="G92" s="261">
        <f t="shared" si="69"/>
        <v>0</v>
      </c>
      <c r="H92" s="261">
        <f t="shared" si="69"/>
        <v>8.1426410160303678E-2</v>
      </c>
      <c r="I92" s="261">
        <f t="shared" si="69"/>
        <v>5.8286098936525622E-2</v>
      </c>
      <c r="J92" s="261">
        <f t="shared" si="69"/>
        <v>4.7888493197427079E-2</v>
      </c>
      <c r="K92" s="261">
        <f t="shared" si="69"/>
        <v>4.7234071416295001E-2</v>
      </c>
      <c r="L92" s="261">
        <f t="shared" si="69"/>
        <v>4.1245022714941161E-2</v>
      </c>
      <c r="M92" s="261">
        <f t="shared" si="69"/>
        <v>3.3688147519833254E-2</v>
      </c>
      <c r="N92" s="261">
        <f t="shared" si="69"/>
        <v>2.0702332405678543E-2</v>
      </c>
      <c r="O92" s="261">
        <f t="shared" si="69"/>
        <v>1.5670918062920241E-2</v>
      </c>
    </row>
    <row r="93" spans="2:15" ht="14.85" customHeight="1">
      <c r="B93" s="256" t="str">
        <f t="shared" si="62"/>
        <v>Expected Options at $0.6000 Strike Price Exercise</v>
      </c>
      <c r="D93" s="261">
        <f t="shared" ref="D93:O93" si="70">D77/D$82</f>
        <v>0</v>
      </c>
      <c r="E93" s="261">
        <f t="shared" si="70"/>
        <v>0</v>
      </c>
      <c r="F93" s="261">
        <f t="shared" si="70"/>
        <v>0</v>
      </c>
      <c r="G93" s="261">
        <f t="shared" si="70"/>
        <v>0</v>
      </c>
      <c r="H93" s="261">
        <f t="shared" si="70"/>
        <v>0</v>
      </c>
      <c r="I93" s="261">
        <f t="shared" si="70"/>
        <v>0.28418680349805259</v>
      </c>
      <c r="J93" s="261">
        <f t="shared" si="70"/>
        <v>0.23349097047883977</v>
      </c>
      <c r="K93" s="261">
        <f t="shared" si="70"/>
        <v>0.23030019193107729</v>
      </c>
      <c r="L93" s="261">
        <f t="shared" si="70"/>
        <v>0.20109925658823641</v>
      </c>
      <c r="M93" s="261">
        <f t="shared" si="70"/>
        <v>0.16425403542374972</v>
      </c>
      <c r="N93" s="261">
        <f t="shared" si="70"/>
        <v>0.10093881351934297</v>
      </c>
      <c r="O93" s="261">
        <f t="shared" si="70"/>
        <v>7.6407036899674596E-2</v>
      </c>
    </row>
    <row r="94" spans="2:15" ht="14.85" customHeight="1">
      <c r="B94" s="256" t="str">
        <f t="shared" si="62"/>
        <v>Options at $0.8100 Strike Price Exercise</v>
      </c>
      <c r="D94" s="261">
        <f t="shared" ref="D94:O94" si="71">D78/D$82</f>
        <v>0</v>
      </c>
      <c r="E94" s="261">
        <f t="shared" si="71"/>
        <v>0</v>
      </c>
      <c r="F94" s="261">
        <f t="shared" si="71"/>
        <v>0</v>
      </c>
      <c r="G94" s="261">
        <f t="shared" si="71"/>
        <v>0</v>
      </c>
      <c r="H94" s="261">
        <f t="shared" si="71"/>
        <v>0</v>
      </c>
      <c r="I94" s="261">
        <f t="shared" si="71"/>
        <v>0</v>
      </c>
      <c r="J94" s="261">
        <f t="shared" si="71"/>
        <v>0.17838911728200713</v>
      </c>
      <c r="K94" s="261">
        <f t="shared" si="71"/>
        <v>0.17595133492404094</v>
      </c>
      <c r="L94" s="261">
        <f t="shared" si="71"/>
        <v>0.15364156821685077</v>
      </c>
      <c r="M94" s="261">
        <f t="shared" si="71"/>
        <v>0.12549150114524737</v>
      </c>
      <c r="N94" s="261">
        <f t="shared" si="71"/>
        <v>7.7118124980514208E-2</v>
      </c>
      <c r="O94" s="261">
        <f t="shared" si="71"/>
        <v>5.8375635848847265E-2</v>
      </c>
    </row>
    <row r="95" spans="2:15" ht="14.85" customHeight="1">
      <c r="B95" s="256" t="str">
        <f t="shared" si="62"/>
        <v>Options at $0.9100 Strike Price Exercise</v>
      </c>
      <c r="D95" s="261">
        <f t="shared" ref="D95:O95" si="72">D79/D$82</f>
        <v>0</v>
      </c>
      <c r="E95" s="261">
        <f t="shared" si="72"/>
        <v>0</v>
      </c>
      <c r="F95" s="261">
        <f t="shared" si="72"/>
        <v>0</v>
      </c>
      <c r="G95" s="261">
        <f t="shared" si="72"/>
        <v>0</v>
      </c>
      <c r="H95" s="261">
        <f t="shared" si="72"/>
        <v>0</v>
      </c>
      <c r="I95" s="261">
        <f t="shared" si="72"/>
        <v>0</v>
      </c>
      <c r="J95" s="261">
        <f t="shared" si="72"/>
        <v>0</v>
      </c>
      <c r="K95" s="261">
        <f t="shared" si="72"/>
        <v>1.3665532937821575E-2</v>
      </c>
      <c r="L95" s="261">
        <f t="shared" si="72"/>
        <v>1.1932810353455626E-2</v>
      </c>
      <c r="M95" s="261">
        <f t="shared" si="72"/>
        <v>9.7464917959126929E-3</v>
      </c>
      <c r="N95" s="261">
        <f t="shared" si="72"/>
        <v>5.9894986160759405E-3</v>
      </c>
      <c r="O95" s="261">
        <f t="shared" si="72"/>
        <v>4.5338341695622024E-3</v>
      </c>
    </row>
    <row r="96" spans="2:15" ht="14.85" customHeight="1">
      <c r="B96" s="256" t="str">
        <f t="shared" si="62"/>
        <v>Common Stock</v>
      </c>
      <c r="D96" s="261">
        <f t="shared" ref="D96:O96" si="73">D80/D$82</f>
        <v>0</v>
      </c>
      <c r="E96" s="261">
        <f t="shared" si="73"/>
        <v>1</v>
      </c>
      <c r="F96" s="261">
        <f t="shared" si="73"/>
        <v>0.97845082736134859</v>
      </c>
      <c r="G96" s="261">
        <f t="shared" si="73"/>
        <v>0.97581204333055283</v>
      </c>
      <c r="H96" s="261">
        <f t="shared" si="73"/>
        <v>0.89635517165095513</v>
      </c>
      <c r="I96" s="261">
        <f t="shared" si="73"/>
        <v>0.64162286062052198</v>
      </c>
      <c r="J96" s="261">
        <f t="shared" si="73"/>
        <v>0.5271643248864708</v>
      </c>
      <c r="K96" s="261">
        <f t="shared" si="73"/>
        <v>0.51996034344109032</v>
      </c>
      <c r="L96" s="261">
        <f t="shared" si="73"/>
        <v>0.45403192087942534</v>
      </c>
      <c r="M96" s="261">
        <f t="shared" si="73"/>
        <v>0.37084460917895168</v>
      </c>
      <c r="N96" s="261">
        <f t="shared" si="73"/>
        <v>0.22789464352578942</v>
      </c>
      <c r="O96" s="261">
        <f t="shared" si="73"/>
        <v>0.17250801579688038</v>
      </c>
    </row>
    <row r="97" spans="2:19" ht="14.85" customHeight="1">
      <c r="B97" s="977"/>
      <c r="C97" s="269"/>
      <c r="D97" s="269"/>
      <c r="E97" s="269"/>
      <c r="F97" s="269"/>
      <c r="G97" s="269"/>
      <c r="H97" s="269"/>
      <c r="I97" s="269"/>
      <c r="J97" s="269"/>
      <c r="K97" s="269"/>
      <c r="L97" s="269"/>
      <c r="M97" s="269"/>
      <c r="N97" s="269"/>
      <c r="O97" s="269"/>
    </row>
    <row r="98" spans="2:19" ht="14.85" customHeight="1">
      <c r="B98" s="352" t="s">
        <v>2025</v>
      </c>
      <c r="D98" s="395">
        <f t="shared" ref="D98:O98" si="74">SUM(D86:D96)</f>
        <v>1.0000000000000002</v>
      </c>
      <c r="E98" s="395">
        <f t="shared" si="74"/>
        <v>1</v>
      </c>
      <c r="F98" s="395">
        <f t="shared" si="74"/>
        <v>1</v>
      </c>
      <c r="G98" s="395">
        <f t="shared" si="74"/>
        <v>1</v>
      </c>
      <c r="H98" s="395">
        <f t="shared" si="74"/>
        <v>0.99999999999999989</v>
      </c>
      <c r="I98" s="395">
        <f t="shared" si="74"/>
        <v>1</v>
      </c>
      <c r="J98" s="395">
        <f t="shared" si="74"/>
        <v>1</v>
      </c>
      <c r="K98" s="395">
        <f t="shared" si="74"/>
        <v>1</v>
      </c>
      <c r="L98" s="395">
        <f t="shared" si="74"/>
        <v>1</v>
      </c>
      <c r="M98" s="395">
        <f t="shared" si="74"/>
        <v>1</v>
      </c>
      <c r="N98" s="395">
        <f t="shared" si="74"/>
        <v>0.99999999999999978</v>
      </c>
      <c r="O98" s="395">
        <f t="shared" si="74"/>
        <v>0.99999999999999989</v>
      </c>
    </row>
    <row r="99" spans="2:19" ht="14.85" customHeight="1"/>
    <row r="100" spans="2:19" s="270" customFormat="1" ht="14.85" customHeight="1">
      <c r="B100" s="461" t="s">
        <v>397</v>
      </c>
      <c r="D100" s="462">
        <f>D$15</f>
        <v>1</v>
      </c>
      <c r="E100" s="463">
        <f t="shared" ref="E100:O100" si="75">E$15</f>
        <v>2</v>
      </c>
      <c r="F100" s="463">
        <f t="shared" si="75"/>
        <v>3</v>
      </c>
      <c r="G100" s="463">
        <f t="shared" si="75"/>
        <v>4</v>
      </c>
      <c r="H100" s="463">
        <f t="shared" si="75"/>
        <v>5</v>
      </c>
      <c r="I100" s="463">
        <f t="shared" si="75"/>
        <v>6</v>
      </c>
      <c r="J100" s="463">
        <f t="shared" si="75"/>
        <v>7</v>
      </c>
      <c r="K100" s="463">
        <f t="shared" si="75"/>
        <v>8</v>
      </c>
      <c r="L100" s="463">
        <f t="shared" si="75"/>
        <v>9</v>
      </c>
      <c r="M100" s="463">
        <f t="shared" si="75"/>
        <v>10</v>
      </c>
      <c r="N100" s="463">
        <f t="shared" si="75"/>
        <v>11</v>
      </c>
      <c r="O100" s="464">
        <f t="shared" si="75"/>
        <v>12</v>
      </c>
      <c r="Q100" s="468" t="s">
        <v>161</v>
      </c>
      <c r="S100" s="271"/>
    </row>
    <row r="101" spans="2:19" ht="14.85" customHeight="1"/>
    <row r="102" spans="2:19" ht="14.85" customHeight="1">
      <c r="B102" s="256" t="str">
        <f t="shared" ref="B102:B112" si="76">B70</f>
        <v>Series Seed</v>
      </c>
      <c r="D102" s="591">
        <f t="shared" ref="D102:O102" si="77">D$64*D70/D$82</f>
        <v>583.81727873028012</v>
      </c>
      <c r="E102" s="591">
        <f t="shared" si="77"/>
        <v>0</v>
      </c>
      <c r="F102" s="591">
        <f t="shared" si="77"/>
        <v>0</v>
      </c>
      <c r="G102" s="591">
        <f t="shared" si="77"/>
        <v>0</v>
      </c>
      <c r="H102" s="591">
        <f t="shared" si="77"/>
        <v>0</v>
      </c>
      <c r="I102" s="591">
        <f t="shared" si="77"/>
        <v>0</v>
      </c>
      <c r="J102" s="591">
        <f t="shared" si="77"/>
        <v>0</v>
      </c>
      <c r="K102" s="591">
        <f t="shared" si="77"/>
        <v>0</v>
      </c>
      <c r="L102" s="591">
        <f t="shared" si="77"/>
        <v>185.48814586143232</v>
      </c>
      <c r="M102" s="591">
        <f t="shared" si="77"/>
        <v>40.283963582216643</v>
      </c>
      <c r="N102" s="591">
        <f t="shared" si="77"/>
        <v>242.05508119379914</v>
      </c>
      <c r="O102" s="591">
        <f t="shared" si="77"/>
        <v>199.78381122077025</v>
      </c>
      <c r="Q102" s="259">
        <f t="shared" ref="Q102:Q112" si="78">SUM(D102:O102)</f>
        <v>1251.4282805884984</v>
      </c>
    </row>
    <row r="103" spans="2:19" ht="14.85" customHeight="1">
      <c r="B103" s="256" t="str">
        <f t="shared" si="76"/>
        <v>Series Seed-1</v>
      </c>
      <c r="D103" s="591">
        <f t="shared" ref="D103:O103" si="79">D$64*D71/D$82</f>
        <v>1963.2019392668185</v>
      </c>
      <c r="E103" s="591">
        <f t="shared" si="79"/>
        <v>0</v>
      </c>
      <c r="F103" s="591">
        <f t="shared" si="79"/>
        <v>0</v>
      </c>
      <c r="G103" s="591">
        <f t="shared" si="79"/>
        <v>0</v>
      </c>
      <c r="H103" s="591">
        <f t="shared" si="79"/>
        <v>0</v>
      </c>
      <c r="I103" s="591">
        <f t="shared" si="79"/>
        <v>0</v>
      </c>
      <c r="J103" s="591">
        <f t="shared" si="79"/>
        <v>0</v>
      </c>
      <c r="K103" s="591">
        <f t="shared" si="79"/>
        <v>0</v>
      </c>
      <c r="L103" s="591">
        <f t="shared" si="79"/>
        <v>0</v>
      </c>
      <c r="M103" s="591">
        <f t="shared" si="79"/>
        <v>71.268045969457106</v>
      </c>
      <c r="N103" s="591">
        <f t="shared" si="79"/>
        <v>428.22977481976767</v>
      </c>
      <c r="O103" s="591">
        <f t="shared" si="79"/>
        <v>353.44590194001296</v>
      </c>
      <c r="Q103" s="259">
        <f t="shared" si="78"/>
        <v>2816.1456619960559</v>
      </c>
    </row>
    <row r="104" spans="2:19" ht="14.85" customHeight="1">
      <c r="B104" s="256" t="str">
        <f t="shared" si="76"/>
        <v>Series A</v>
      </c>
      <c r="D104" s="591">
        <f t="shared" ref="D104:O104" si="80">D$64*D72/D$82</f>
        <v>7518.2899657530361</v>
      </c>
      <c r="E104" s="591">
        <f t="shared" si="80"/>
        <v>0</v>
      </c>
      <c r="F104" s="591">
        <f t="shared" si="80"/>
        <v>0</v>
      </c>
      <c r="G104" s="591">
        <f t="shared" si="80"/>
        <v>0</v>
      </c>
      <c r="H104" s="591">
        <f t="shared" si="80"/>
        <v>0</v>
      </c>
      <c r="I104" s="591">
        <f t="shared" si="80"/>
        <v>0</v>
      </c>
      <c r="J104" s="591">
        <f t="shared" si="80"/>
        <v>0</v>
      </c>
      <c r="K104" s="591">
        <f t="shared" si="80"/>
        <v>0</v>
      </c>
      <c r="L104" s="591">
        <f t="shared" si="80"/>
        <v>0</v>
      </c>
      <c r="M104" s="591">
        <f t="shared" si="80"/>
        <v>0</v>
      </c>
      <c r="N104" s="591">
        <f t="shared" si="80"/>
        <v>1466.0746880814831</v>
      </c>
      <c r="O104" s="591">
        <f t="shared" si="80"/>
        <v>1210.0468508021718</v>
      </c>
      <c r="Q104" s="259">
        <f t="shared" si="78"/>
        <v>10194.411504636691</v>
      </c>
    </row>
    <row r="105" spans="2:19" ht="14.85" customHeight="1">
      <c r="B105" s="256" t="str">
        <f t="shared" si="76"/>
        <v>Series B</v>
      </c>
      <c r="D105" s="591">
        <f t="shared" ref="D105:O105" si="81">D$64*D73/D$82</f>
        <v>12524.275885703328</v>
      </c>
      <c r="E105" s="591">
        <f t="shared" si="81"/>
        <v>0</v>
      </c>
      <c r="F105" s="591">
        <f t="shared" si="81"/>
        <v>0</v>
      </c>
      <c r="G105" s="591">
        <f t="shared" si="81"/>
        <v>0</v>
      </c>
      <c r="H105" s="591">
        <f t="shared" si="81"/>
        <v>0</v>
      </c>
      <c r="I105" s="591">
        <f t="shared" si="81"/>
        <v>0</v>
      </c>
      <c r="J105" s="591">
        <f t="shared" si="81"/>
        <v>0</v>
      </c>
      <c r="K105" s="591">
        <f t="shared" si="81"/>
        <v>0</v>
      </c>
      <c r="L105" s="591">
        <f t="shared" si="81"/>
        <v>0</v>
      </c>
      <c r="M105" s="591">
        <f t="shared" si="81"/>
        <v>0</v>
      </c>
      <c r="N105" s="591">
        <f t="shared" si="81"/>
        <v>0</v>
      </c>
      <c r="O105" s="591">
        <f t="shared" si="81"/>
        <v>1007.8728449624891</v>
      </c>
      <c r="Q105" s="259">
        <f t="shared" si="78"/>
        <v>13532.148730665816</v>
      </c>
    </row>
    <row r="106" spans="2:19" ht="14.85" customHeight="1">
      <c r="B106" s="256" t="str">
        <f t="shared" si="76"/>
        <v>Options at $0.0059 Strike Price Exercise</v>
      </c>
      <c r="D106" s="591">
        <f t="shared" ref="D106:O106" si="82">D$64*D74/D$82</f>
        <v>0</v>
      </c>
      <c r="E106" s="591">
        <f t="shared" si="82"/>
        <v>0</v>
      </c>
      <c r="F106" s="591">
        <f t="shared" si="82"/>
        <v>7.1000320342692884</v>
      </c>
      <c r="G106" s="591">
        <f t="shared" si="82"/>
        <v>0.60531615023854179</v>
      </c>
      <c r="H106" s="591">
        <f t="shared" si="82"/>
        <v>1.2038137087651111</v>
      </c>
      <c r="I106" s="591">
        <f t="shared" si="82"/>
        <v>7.1553910961625213</v>
      </c>
      <c r="J106" s="591">
        <f t="shared" si="82"/>
        <v>1.8510162814502467</v>
      </c>
      <c r="K106" s="591">
        <f t="shared" si="82"/>
        <v>1.8019453499008924</v>
      </c>
      <c r="L106" s="591">
        <f t="shared" si="82"/>
        <v>14.628226629764997</v>
      </c>
      <c r="M106" s="591">
        <f t="shared" si="82"/>
        <v>3.1769305045837517</v>
      </c>
      <c r="N106" s="591">
        <f t="shared" si="82"/>
        <v>19.08928771779421</v>
      </c>
      <c r="O106" s="591">
        <f t="shared" si="82"/>
        <v>15.755631465952739</v>
      </c>
      <c r="Q106" s="259">
        <f t="shared" si="78"/>
        <v>72.367590938882302</v>
      </c>
    </row>
    <row r="107" spans="2:19" ht="14.85" customHeight="1">
      <c r="B107" s="256" t="str">
        <f t="shared" si="76"/>
        <v>Options at $0.3500 Strike Price Exercise</v>
      </c>
      <c r="D107" s="591">
        <f t="shared" ref="D107:O107" si="83">D$64*D75/D$82</f>
        <v>0</v>
      </c>
      <c r="E107" s="591">
        <f t="shared" si="83"/>
        <v>0</v>
      </c>
      <c r="F107" s="591">
        <f t="shared" si="83"/>
        <v>0</v>
      </c>
      <c r="G107" s="591">
        <f t="shared" si="83"/>
        <v>7.596076576630631E-2</v>
      </c>
      <c r="H107" s="591">
        <f t="shared" si="83"/>
        <v>0.15106587049055203</v>
      </c>
      <c r="I107" s="591">
        <f t="shared" si="83"/>
        <v>0.89792579763107627</v>
      </c>
      <c r="J107" s="591">
        <f t="shared" si="83"/>
        <v>0.23228293864198457</v>
      </c>
      <c r="K107" s="591">
        <f t="shared" si="83"/>
        <v>0.22612505645779696</v>
      </c>
      <c r="L107" s="591">
        <f t="shared" si="83"/>
        <v>1.8356875100096623</v>
      </c>
      <c r="M107" s="591">
        <f t="shared" si="83"/>
        <v>0.39867113048184816</v>
      </c>
      <c r="N107" s="591">
        <f t="shared" si="83"/>
        <v>2.3955034280938423</v>
      </c>
      <c r="O107" s="591">
        <f t="shared" si="83"/>
        <v>1.9771648762615122</v>
      </c>
      <c r="Q107" s="259">
        <f t="shared" si="78"/>
        <v>8.1903873738345805</v>
      </c>
    </row>
    <row r="108" spans="2:19" ht="14.85" customHeight="1">
      <c r="B108" s="256" t="str">
        <f t="shared" si="76"/>
        <v>Options at $0.3800 Strike Price Exercise</v>
      </c>
      <c r="D108" s="591">
        <f t="shared" ref="D108:O108" si="84">D$64*D76/D$82</f>
        <v>0</v>
      </c>
      <c r="E108" s="591">
        <f t="shared" si="84"/>
        <v>0</v>
      </c>
      <c r="F108" s="591">
        <f t="shared" si="84"/>
        <v>0</v>
      </c>
      <c r="G108" s="591">
        <f t="shared" si="84"/>
        <v>0</v>
      </c>
      <c r="H108" s="591">
        <f t="shared" si="84"/>
        <v>4.9653840971539553</v>
      </c>
      <c r="I108" s="591">
        <f t="shared" si="84"/>
        <v>29.513923042335843</v>
      </c>
      <c r="J108" s="591">
        <f t="shared" si="84"/>
        <v>7.6349079102233901</v>
      </c>
      <c r="K108" s="591">
        <f t="shared" si="84"/>
        <v>7.4325044807113283</v>
      </c>
      <c r="L108" s="591">
        <f t="shared" si="84"/>
        <v>60.337212766507591</v>
      </c>
      <c r="M108" s="591">
        <f t="shared" si="84"/>
        <v>13.103921387807867</v>
      </c>
      <c r="N108" s="591">
        <f t="shared" si="84"/>
        <v>78.737802178016494</v>
      </c>
      <c r="O108" s="591">
        <f t="shared" si="84"/>
        <v>64.987432317839648</v>
      </c>
      <c r="Q108" s="259">
        <f t="shared" si="78"/>
        <v>266.71308818059612</v>
      </c>
    </row>
    <row r="109" spans="2:19" ht="14.85" customHeight="1">
      <c r="B109" s="256" t="str">
        <f t="shared" si="76"/>
        <v>Expected Options at $0.6000 Strike Price Exercise</v>
      </c>
      <c r="D109" s="591">
        <f t="shared" ref="D109:O109" si="85">D$64*D77/D$82</f>
        <v>0</v>
      </c>
      <c r="E109" s="591">
        <f t="shared" si="85"/>
        <v>0</v>
      </c>
      <c r="F109" s="591">
        <f t="shared" si="85"/>
        <v>0</v>
      </c>
      <c r="G109" s="591">
        <f t="shared" si="85"/>
        <v>0</v>
      </c>
      <c r="H109" s="591">
        <f t="shared" si="85"/>
        <v>0</v>
      </c>
      <c r="I109" s="591">
        <f t="shared" si="85"/>
        <v>143.90167812093605</v>
      </c>
      <c r="J109" s="591">
        <f t="shared" si="85"/>
        <v>37.225686975058309</v>
      </c>
      <c r="K109" s="591">
        <f t="shared" si="85"/>
        <v>36.238824160432188</v>
      </c>
      <c r="L109" s="591">
        <f t="shared" si="85"/>
        <v>294.1874639228995</v>
      </c>
      <c r="M109" s="591">
        <f t="shared" si="85"/>
        <v>63.891075238134043</v>
      </c>
      <c r="N109" s="591">
        <f t="shared" si="85"/>
        <v>383.90361893666199</v>
      </c>
      <c r="O109" s="591">
        <f t="shared" si="85"/>
        <v>316.8606407861576</v>
      </c>
      <c r="Q109" s="259">
        <f t="shared" si="78"/>
        <v>1276.2089881402796</v>
      </c>
    </row>
    <row r="110" spans="2:19" ht="14.85" customHeight="1">
      <c r="B110" s="256" t="str">
        <f t="shared" si="76"/>
        <v>Options at $0.8100 Strike Price Exercise</v>
      </c>
      <c r="D110" s="591">
        <f t="shared" ref="D110:O110" si="86">D$64*D78/D$82</f>
        <v>0</v>
      </c>
      <c r="E110" s="591">
        <f t="shared" si="86"/>
        <v>0</v>
      </c>
      <c r="F110" s="591">
        <f t="shared" si="86"/>
        <v>0</v>
      </c>
      <c r="G110" s="591">
        <f t="shared" si="86"/>
        <v>0</v>
      </c>
      <c r="H110" s="591">
        <f t="shared" si="86"/>
        <v>0</v>
      </c>
      <c r="I110" s="591">
        <f t="shared" si="86"/>
        <v>0</v>
      </c>
      <c r="J110" s="591">
        <f t="shared" si="86"/>
        <v>28.440746235618455</v>
      </c>
      <c r="K110" s="591">
        <f t="shared" si="86"/>
        <v>27.686774525198306</v>
      </c>
      <c r="L110" s="591">
        <f t="shared" si="86"/>
        <v>224.76176229433406</v>
      </c>
      <c r="M110" s="591">
        <f t="shared" si="86"/>
        <v>48.813333083310539</v>
      </c>
      <c r="N110" s="591">
        <f t="shared" si="86"/>
        <v>293.30567928615289</v>
      </c>
      <c r="O110" s="591">
        <f t="shared" si="86"/>
        <v>242.08426516594719</v>
      </c>
      <c r="Q110" s="259">
        <f t="shared" si="78"/>
        <v>865.09256059056145</v>
      </c>
    </row>
    <row r="111" spans="2:19" ht="14.85" customHeight="1">
      <c r="B111" s="256" t="str">
        <f t="shared" si="76"/>
        <v>Options at $0.9100 Strike Price Exercise</v>
      </c>
      <c r="D111" s="591">
        <f t="shared" ref="D111:O111" si="87">D$64*D79/D$82</f>
        <v>0</v>
      </c>
      <c r="E111" s="591">
        <f t="shared" si="87"/>
        <v>0</v>
      </c>
      <c r="F111" s="591">
        <f t="shared" si="87"/>
        <v>0</v>
      </c>
      <c r="G111" s="591">
        <f t="shared" si="87"/>
        <v>0</v>
      </c>
      <c r="H111" s="591">
        <f t="shared" si="87"/>
        <v>0</v>
      </c>
      <c r="I111" s="591">
        <f t="shared" si="87"/>
        <v>0</v>
      </c>
      <c r="J111" s="591">
        <f t="shared" si="87"/>
        <v>0</v>
      </c>
      <c r="K111" s="591">
        <f t="shared" si="87"/>
        <v>2.1503362243854203</v>
      </c>
      <c r="L111" s="591">
        <f t="shared" si="87"/>
        <v>17.456470376436886</v>
      </c>
      <c r="M111" s="591">
        <f t="shared" si="87"/>
        <v>3.791163115317135</v>
      </c>
      <c r="N111" s="591">
        <f t="shared" si="87"/>
        <v>22.78003984945839</v>
      </c>
      <c r="O111" s="591">
        <f t="shared" si="87"/>
        <v>18.801849390808847</v>
      </c>
      <c r="Q111" s="259">
        <f t="shared" si="78"/>
        <v>64.979858956406673</v>
      </c>
    </row>
    <row r="112" spans="2:19" ht="14.85" customHeight="1">
      <c r="B112" s="256" t="str">
        <f t="shared" si="76"/>
        <v>Common Stock</v>
      </c>
      <c r="D112" s="591">
        <f t="shared" ref="D112:O112" si="88">D$64*D80/D$82</f>
        <v>0</v>
      </c>
      <c r="E112" s="591">
        <f t="shared" si="88"/>
        <v>5.619430156009912</v>
      </c>
      <c r="F112" s="591">
        <f t="shared" si="88"/>
        <v>322.38046140863918</v>
      </c>
      <c r="G112" s="591">
        <f t="shared" si="88"/>
        <v>27.484678783155047</v>
      </c>
      <c r="H112" s="591">
        <f t="shared" si="88"/>
        <v>54.659756041746121</v>
      </c>
      <c r="I112" s="591">
        <f t="shared" si="88"/>
        <v>324.89406695719873</v>
      </c>
      <c r="J112" s="591">
        <f t="shared" si="88"/>
        <v>84.04630852489494</v>
      </c>
      <c r="K112" s="591">
        <f t="shared" si="88"/>
        <v>81.818218640472224</v>
      </c>
      <c r="L112" s="591">
        <f t="shared" si="88"/>
        <v>664.20185539051909</v>
      </c>
      <c r="M112" s="591">
        <f t="shared" si="88"/>
        <v>144.25009873019482</v>
      </c>
      <c r="N112" s="591">
        <f t="shared" si="88"/>
        <v>866.7585375279391</v>
      </c>
      <c r="O112" s="591">
        <f t="shared" si="88"/>
        <v>715.39222883253706</v>
      </c>
      <c r="Q112" s="259">
        <f t="shared" si="78"/>
        <v>3291.5056409933063</v>
      </c>
    </row>
    <row r="113" spans="2:19" ht="14.85" customHeight="1">
      <c r="B113" s="467"/>
      <c r="C113" s="467"/>
      <c r="D113" s="269"/>
      <c r="E113" s="269"/>
      <c r="F113" s="269"/>
      <c r="G113" s="269"/>
      <c r="H113" s="269"/>
      <c r="I113" s="269"/>
      <c r="J113" s="269"/>
      <c r="K113" s="269"/>
      <c r="L113" s="269"/>
      <c r="M113" s="269"/>
      <c r="N113" s="269"/>
      <c r="O113" s="269"/>
      <c r="Q113" s="269"/>
    </row>
    <row r="114" spans="2:19" ht="14.85" customHeight="1">
      <c r="B114" s="255" t="s">
        <v>1996</v>
      </c>
      <c r="D114" s="309">
        <f t="shared" ref="D114:O114" si="89">SUM(D102:D112)</f>
        <v>22589.58506945346</v>
      </c>
      <c r="E114" s="309">
        <f t="shared" si="89"/>
        <v>5.619430156009912</v>
      </c>
      <c r="F114" s="309">
        <f t="shared" si="89"/>
        <v>329.48049344290848</v>
      </c>
      <c r="G114" s="309">
        <f t="shared" si="89"/>
        <v>28.165955699159895</v>
      </c>
      <c r="H114" s="309">
        <f t="shared" si="89"/>
        <v>60.980019718155738</v>
      </c>
      <c r="I114" s="309">
        <f t="shared" si="89"/>
        <v>506.36298501426421</v>
      </c>
      <c r="J114" s="309">
        <f t="shared" si="89"/>
        <v>159.43094886588733</v>
      </c>
      <c r="K114" s="309">
        <f t="shared" si="89"/>
        <v>157.35472843755815</v>
      </c>
      <c r="L114" s="309">
        <f t="shared" si="89"/>
        <v>1462.8968247519042</v>
      </c>
      <c r="M114" s="309">
        <f t="shared" si="89"/>
        <v>388.97720274150379</v>
      </c>
      <c r="N114" s="309">
        <f t="shared" si="89"/>
        <v>3803.3300130191669</v>
      </c>
      <c r="O114" s="309">
        <f t="shared" si="89"/>
        <v>4147.0086217609487</v>
      </c>
      <c r="Q114" s="309">
        <f>SUM(Q102:Q112)</f>
        <v>33639.192293060929</v>
      </c>
      <c r="S114" s="471">
        <f>Q114-D9</f>
        <v>-9.4587448984384537E-11</v>
      </c>
    </row>
    <row r="115" spans="2:19" ht="14.85" customHeight="1"/>
    <row r="116" spans="2:19" ht="14.85" customHeight="1"/>
    <row r="117" spans="2:19" ht="14.85" customHeight="1"/>
    <row r="118" spans="2:19" ht="14.85" customHeight="1">
      <c r="B118" s="234" t="s">
        <v>2026</v>
      </c>
      <c r="D118" s="472">
        <f>D47</f>
        <v>39467.435395299995</v>
      </c>
      <c r="E118" s="472">
        <f t="shared" ref="E118:N118" si="90">F47-E47</f>
        <v>21.257353875000263</v>
      </c>
      <c r="F118" s="472">
        <f t="shared" si="90"/>
        <v>1272.5608291250028</v>
      </c>
      <c r="G118" s="472">
        <f t="shared" si="90"/>
        <v>111.23882999999478</v>
      </c>
      <c r="H118" s="472">
        <f t="shared" si="90"/>
        <v>242.19905999999901</v>
      </c>
      <c r="I118" s="472">
        <f t="shared" si="90"/>
        <v>2086.5232400000023</v>
      </c>
      <c r="J118" s="472">
        <f t="shared" si="90"/>
        <v>686.36529999999766</v>
      </c>
      <c r="K118" s="472">
        <f t="shared" si="90"/>
        <v>692.13447295001242</v>
      </c>
      <c r="L118" s="472">
        <f t="shared" si="90"/>
        <v>7246.1979670999935</v>
      </c>
      <c r="M118" s="472">
        <f t="shared" si="90"/>
        <v>2220.2918127500088</v>
      </c>
      <c r="N118" s="472">
        <f t="shared" si="90"/>
        <v>34076.708516500003</v>
      </c>
    </row>
    <row r="119" spans="2:19" ht="14.85" customHeight="1"/>
    <row r="120" spans="2:19" ht="14.85" customHeight="1">
      <c r="B120" s="473" t="s">
        <v>2027</v>
      </c>
      <c r="D120" s="978">
        <f t="shared" ref="D120:N120" si="91">D100</f>
        <v>1</v>
      </c>
      <c r="E120" s="979">
        <f t="shared" si="91"/>
        <v>2</v>
      </c>
      <c r="F120" s="979">
        <f t="shared" si="91"/>
        <v>3</v>
      </c>
      <c r="G120" s="979">
        <f t="shared" si="91"/>
        <v>4</v>
      </c>
      <c r="H120" s="979">
        <f t="shared" si="91"/>
        <v>5</v>
      </c>
      <c r="I120" s="979">
        <f t="shared" si="91"/>
        <v>6</v>
      </c>
      <c r="J120" s="979">
        <f t="shared" si="91"/>
        <v>7</v>
      </c>
      <c r="K120" s="979">
        <f t="shared" si="91"/>
        <v>8</v>
      </c>
      <c r="L120" s="979">
        <f t="shared" si="91"/>
        <v>9</v>
      </c>
      <c r="M120" s="979">
        <f t="shared" si="91"/>
        <v>10</v>
      </c>
      <c r="N120" s="980">
        <f t="shared" si="91"/>
        <v>11</v>
      </c>
      <c r="O120" s="1951"/>
    </row>
    <row r="121" spans="2:19" ht="14.85" customHeight="1"/>
    <row r="122" spans="2:19" ht="14.85" customHeight="1">
      <c r="B122" s="234" t="str">
        <f t="shared" ref="B122:B132" si="92">B102</f>
        <v>Series Seed</v>
      </c>
      <c r="D122" s="573">
        <f t="shared" ref="D122:N122" si="93">D70/D$82*D$118</f>
        <v>1020.0174399</v>
      </c>
      <c r="E122" s="573">
        <f t="shared" si="93"/>
        <v>0</v>
      </c>
      <c r="F122" s="573">
        <f t="shared" si="93"/>
        <v>0</v>
      </c>
      <c r="G122" s="573">
        <f t="shared" si="93"/>
        <v>0</v>
      </c>
      <c r="H122" s="573">
        <f t="shared" si="93"/>
        <v>0</v>
      </c>
      <c r="I122" s="573">
        <f t="shared" si="93"/>
        <v>0</v>
      </c>
      <c r="J122" s="573">
        <f t="shared" si="93"/>
        <v>0</v>
      </c>
      <c r="K122" s="573">
        <f t="shared" si="93"/>
        <v>0</v>
      </c>
      <c r="L122" s="573">
        <f t="shared" si="93"/>
        <v>918.78237939999906</v>
      </c>
      <c r="M122" s="573">
        <f t="shared" si="93"/>
        <v>229.94189350000087</v>
      </c>
      <c r="N122" s="573">
        <f t="shared" si="93"/>
        <v>2168.7417128000002</v>
      </c>
      <c r="O122" s="573"/>
    </row>
    <row r="123" spans="2:19" ht="14.85" customHeight="1">
      <c r="B123" s="234" t="str">
        <f t="shared" si="92"/>
        <v>Series Seed-1</v>
      </c>
      <c r="D123" s="573">
        <f t="shared" ref="D123:N123" si="94">D71/D$82*D$118</f>
        <v>3430.0119045000006</v>
      </c>
      <c r="E123" s="573">
        <f t="shared" si="94"/>
        <v>0</v>
      </c>
      <c r="F123" s="573">
        <f t="shared" si="94"/>
        <v>0</v>
      </c>
      <c r="G123" s="573">
        <f t="shared" si="94"/>
        <v>0</v>
      </c>
      <c r="H123" s="573">
        <f t="shared" si="94"/>
        <v>0</v>
      </c>
      <c r="I123" s="573">
        <f t="shared" si="94"/>
        <v>0</v>
      </c>
      <c r="J123" s="573">
        <f t="shared" si="94"/>
        <v>0</v>
      </c>
      <c r="K123" s="573">
        <f t="shared" si="94"/>
        <v>0</v>
      </c>
      <c r="L123" s="573">
        <f t="shared" si="94"/>
        <v>0</v>
      </c>
      <c r="M123" s="573">
        <f t="shared" si="94"/>
        <v>406.79982750000158</v>
      </c>
      <c r="N123" s="573">
        <f t="shared" si="94"/>
        <v>3836.8117320000001</v>
      </c>
      <c r="O123" s="573"/>
    </row>
    <row r="124" spans="2:19" ht="14.85" customHeight="1">
      <c r="B124" s="234" t="str">
        <f t="shared" si="92"/>
        <v>Series A</v>
      </c>
      <c r="D124" s="573">
        <f t="shared" ref="D124:N124" si="95">D72/D$82*D$118</f>
        <v>13135.5942393</v>
      </c>
      <c r="E124" s="573">
        <f t="shared" si="95"/>
        <v>0</v>
      </c>
      <c r="F124" s="573">
        <f t="shared" si="95"/>
        <v>0</v>
      </c>
      <c r="G124" s="573">
        <f t="shared" si="95"/>
        <v>0</v>
      </c>
      <c r="H124" s="573">
        <f t="shared" si="95"/>
        <v>0</v>
      </c>
      <c r="I124" s="573">
        <f t="shared" si="95"/>
        <v>0</v>
      </c>
      <c r="J124" s="573">
        <f t="shared" si="95"/>
        <v>0</v>
      </c>
      <c r="K124" s="573">
        <f t="shared" si="95"/>
        <v>0</v>
      </c>
      <c r="L124" s="573">
        <f t="shared" si="95"/>
        <v>0</v>
      </c>
      <c r="M124" s="573">
        <f t="shared" si="95"/>
        <v>0</v>
      </c>
      <c r="N124" s="573">
        <f t="shared" si="95"/>
        <v>13135.594239299999</v>
      </c>
      <c r="O124" s="573"/>
    </row>
    <row r="125" spans="2:19" ht="14.85" customHeight="1">
      <c r="B125" s="234" t="str">
        <f t="shared" si="92"/>
        <v>Series B</v>
      </c>
      <c r="D125" s="573">
        <f t="shared" ref="D125:N125" si="96">D73/D$82*D$118</f>
        <v>21881.811811600004</v>
      </c>
      <c r="E125" s="573">
        <f t="shared" si="96"/>
        <v>0</v>
      </c>
      <c r="F125" s="573">
        <f t="shared" si="96"/>
        <v>0</v>
      </c>
      <c r="G125" s="573">
        <f t="shared" si="96"/>
        <v>0</v>
      </c>
      <c r="H125" s="573">
        <f t="shared" si="96"/>
        <v>0</v>
      </c>
      <c r="I125" s="573">
        <f t="shared" si="96"/>
        <v>0</v>
      </c>
      <c r="J125" s="573">
        <f t="shared" si="96"/>
        <v>0</v>
      </c>
      <c r="K125" s="573">
        <f t="shared" si="96"/>
        <v>0</v>
      </c>
      <c r="L125" s="573">
        <f t="shared" si="96"/>
        <v>0</v>
      </c>
      <c r="M125" s="573">
        <f t="shared" si="96"/>
        <v>0</v>
      </c>
      <c r="N125" s="573">
        <f t="shared" si="96"/>
        <v>0</v>
      </c>
      <c r="O125" s="573"/>
    </row>
    <row r="126" spans="2:19" ht="14.85" customHeight="1">
      <c r="B126" s="234" t="str">
        <f t="shared" si="92"/>
        <v>Options at $0.0059 Strike Price Exercise</v>
      </c>
      <c r="D126" s="573">
        <f t="shared" ref="D126:N126" si="97">D74/D$82*D$118</f>
        <v>0</v>
      </c>
      <c r="E126" s="573">
        <f t="shared" si="97"/>
        <v>0</v>
      </c>
      <c r="F126" s="573">
        <f t="shared" si="97"/>
        <v>27.422633000000058</v>
      </c>
      <c r="G126" s="573">
        <f t="shared" si="97"/>
        <v>2.390639999999888</v>
      </c>
      <c r="H126" s="573">
        <f t="shared" si="97"/>
        <v>4.7812799999999802</v>
      </c>
      <c r="I126" s="573">
        <f t="shared" si="97"/>
        <v>29.48456000000003</v>
      </c>
      <c r="J126" s="573">
        <f t="shared" si="97"/>
        <v>7.9687999999999723</v>
      </c>
      <c r="K126" s="573">
        <f t="shared" si="97"/>
        <v>7.9259677000001423</v>
      </c>
      <c r="L126" s="573">
        <f t="shared" si="97"/>
        <v>72.458306199999939</v>
      </c>
      <c r="M126" s="573">
        <f t="shared" si="97"/>
        <v>18.13400050000007</v>
      </c>
      <c r="N126" s="573">
        <f t="shared" si="97"/>
        <v>171.03435440000001</v>
      </c>
      <c r="O126" s="573"/>
    </row>
    <row r="127" spans="2:19" ht="14.85" customHeight="1">
      <c r="B127" s="234" t="str">
        <f t="shared" si="92"/>
        <v>Options at $0.3500 Strike Price Exercise</v>
      </c>
      <c r="D127" s="573">
        <f t="shared" ref="D127:N127" si="98">D75/D$82*D$118</f>
        <v>0</v>
      </c>
      <c r="E127" s="573">
        <f t="shared" si="98"/>
        <v>0</v>
      </c>
      <c r="F127" s="573">
        <f t="shared" si="98"/>
        <v>0</v>
      </c>
      <c r="G127" s="573">
        <f t="shared" si="98"/>
        <v>0.29999999999998589</v>
      </c>
      <c r="H127" s="573">
        <f t="shared" si="98"/>
        <v>0.59999999999999742</v>
      </c>
      <c r="I127" s="573">
        <f t="shared" si="98"/>
        <v>3.7000000000000037</v>
      </c>
      <c r="J127" s="573">
        <f t="shared" si="98"/>
        <v>0.99999999999999656</v>
      </c>
      <c r="K127" s="573">
        <f t="shared" si="98"/>
        <v>0.99462500000001786</v>
      </c>
      <c r="L127" s="573">
        <f t="shared" si="98"/>
        <v>9.0927499999999899</v>
      </c>
      <c r="M127" s="573">
        <f t="shared" si="98"/>
        <v>2.2756250000000087</v>
      </c>
      <c r="N127" s="573">
        <f t="shared" si="98"/>
        <v>21.462999999999997</v>
      </c>
      <c r="O127" s="573"/>
    </row>
    <row r="128" spans="2:19" ht="14.85" customHeight="1">
      <c r="B128" s="234" t="str">
        <f t="shared" si="92"/>
        <v>Options at $0.3800 Strike Price Exercise</v>
      </c>
      <c r="D128" s="573">
        <f t="shared" ref="D128:N128" si="99">D76/D$82*D$118</f>
        <v>0</v>
      </c>
      <c r="E128" s="573">
        <f t="shared" si="99"/>
        <v>0</v>
      </c>
      <c r="F128" s="573">
        <f t="shared" si="99"/>
        <v>0</v>
      </c>
      <c r="G128" s="573">
        <f t="shared" si="99"/>
        <v>0</v>
      </c>
      <c r="H128" s="573">
        <f t="shared" si="99"/>
        <v>19.721399999999921</v>
      </c>
      <c r="I128" s="573">
        <f t="shared" si="99"/>
        <v>121.61530000000013</v>
      </c>
      <c r="J128" s="573">
        <f t="shared" si="99"/>
        <v>32.868999999999886</v>
      </c>
      <c r="K128" s="573">
        <f t="shared" si="99"/>
        <v>32.69232912500059</v>
      </c>
      <c r="L128" s="573">
        <f t="shared" si="99"/>
        <v>298.86959974999968</v>
      </c>
      <c r="M128" s="573">
        <f t="shared" si="99"/>
        <v>74.797518125000295</v>
      </c>
      <c r="N128" s="573">
        <f t="shared" si="99"/>
        <v>705.46734700000002</v>
      </c>
      <c r="O128" s="573"/>
    </row>
    <row r="129" spans="2:15" ht="14.85" customHeight="1">
      <c r="B129" s="234" t="str">
        <f t="shared" si="92"/>
        <v>Expected Options at $0.6000 Strike Price Exercise</v>
      </c>
      <c r="D129" s="573">
        <f t="shared" ref="D129:N129" si="100">D77/D$82*D$118</f>
        <v>0</v>
      </c>
      <c r="E129" s="573">
        <f t="shared" si="100"/>
        <v>0</v>
      </c>
      <c r="F129" s="573">
        <f t="shared" si="100"/>
        <v>0</v>
      </c>
      <c r="G129" s="573">
        <f t="shared" si="100"/>
        <v>0</v>
      </c>
      <c r="H129" s="573">
        <f t="shared" si="100"/>
        <v>0</v>
      </c>
      <c r="I129" s="573">
        <f t="shared" si="100"/>
        <v>592.96237000000065</v>
      </c>
      <c r="J129" s="573">
        <f t="shared" si="100"/>
        <v>160.26009999999945</v>
      </c>
      <c r="K129" s="573">
        <f t="shared" si="100"/>
        <v>159.39870196250288</v>
      </c>
      <c r="L129" s="573">
        <f t="shared" si="100"/>
        <v>1457.2050242749986</v>
      </c>
      <c r="M129" s="573">
        <f t="shared" si="100"/>
        <v>364.69189006250144</v>
      </c>
      <c r="N129" s="573">
        <f t="shared" si="100"/>
        <v>3439.6625263000001</v>
      </c>
      <c r="O129" s="573"/>
    </row>
    <row r="130" spans="2:15" ht="14.85" customHeight="1">
      <c r="B130" s="234" t="str">
        <f t="shared" si="92"/>
        <v>Options at $0.8100 Strike Price Exercise</v>
      </c>
      <c r="D130" s="573">
        <f t="shared" ref="D130:N130" si="101">D78/D$82*D$118</f>
        <v>0</v>
      </c>
      <c r="E130" s="573">
        <f t="shared" si="101"/>
        <v>0</v>
      </c>
      <c r="F130" s="573">
        <f t="shared" si="101"/>
        <v>0</v>
      </c>
      <c r="G130" s="573">
        <f t="shared" si="101"/>
        <v>0</v>
      </c>
      <c r="H130" s="573">
        <f t="shared" si="101"/>
        <v>0</v>
      </c>
      <c r="I130" s="573">
        <f t="shared" si="101"/>
        <v>0</v>
      </c>
      <c r="J130" s="573">
        <f t="shared" si="101"/>
        <v>122.44009999999959</v>
      </c>
      <c r="K130" s="573">
        <f t="shared" si="101"/>
        <v>121.78198446250219</v>
      </c>
      <c r="L130" s="573">
        <f t="shared" si="101"/>
        <v>1113.3172192749989</v>
      </c>
      <c r="M130" s="573">
        <f t="shared" si="101"/>
        <v>278.62775256250109</v>
      </c>
      <c r="N130" s="573">
        <f t="shared" si="101"/>
        <v>2627.9318662999999</v>
      </c>
      <c r="O130" s="573"/>
    </row>
    <row r="131" spans="2:15" ht="14.85" customHeight="1">
      <c r="B131" s="234" t="str">
        <f t="shared" si="92"/>
        <v>Options at $0.9100 Strike Price Exercise</v>
      </c>
      <c r="D131" s="573">
        <f t="shared" ref="D131:N131" si="102">D79/D$82*D$118</f>
        <v>0</v>
      </c>
      <c r="E131" s="573">
        <f t="shared" si="102"/>
        <v>0</v>
      </c>
      <c r="F131" s="573">
        <f t="shared" si="102"/>
        <v>0</v>
      </c>
      <c r="G131" s="573">
        <f t="shared" si="102"/>
        <v>0</v>
      </c>
      <c r="H131" s="573">
        <f t="shared" si="102"/>
        <v>0</v>
      </c>
      <c r="I131" s="573">
        <f t="shared" si="102"/>
        <v>0</v>
      </c>
      <c r="J131" s="573">
        <f t="shared" si="102"/>
        <v>0</v>
      </c>
      <c r="K131" s="573">
        <f t="shared" si="102"/>
        <v>9.4583864375001703</v>
      </c>
      <c r="L131" s="573">
        <f t="shared" si="102"/>
        <v>86.467506124999915</v>
      </c>
      <c r="M131" s="573">
        <f t="shared" si="102"/>
        <v>21.640055937500083</v>
      </c>
      <c r="N131" s="573">
        <f t="shared" si="102"/>
        <v>204.10239849999999</v>
      </c>
      <c r="O131" s="573"/>
    </row>
    <row r="132" spans="2:15" ht="14.85" customHeight="1">
      <c r="B132" s="269" t="str">
        <f t="shared" si="92"/>
        <v>Common Stock</v>
      </c>
      <c r="C132" s="269"/>
      <c r="D132" s="593">
        <f t="shared" ref="D132:N132" si="103">D80/D$82*D$118</f>
        <v>0</v>
      </c>
      <c r="E132" s="593">
        <f t="shared" si="103"/>
        <v>21.257353875000263</v>
      </c>
      <c r="F132" s="593">
        <f t="shared" si="103"/>
        <v>1245.1381961250027</v>
      </c>
      <c r="G132" s="593">
        <f t="shared" si="103"/>
        <v>108.5481899999949</v>
      </c>
      <c r="H132" s="593">
        <f t="shared" si="103"/>
        <v>217.0963799999991</v>
      </c>
      <c r="I132" s="593">
        <f t="shared" si="103"/>
        <v>1338.7610100000013</v>
      </c>
      <c r="J132" s="593">
        <f t="shared" si="103"/>
        <v>361.82729999999879</v>
      </c>
      <c r="K132" s="593">
        <f t="shared" si="103"/>
        <v>359.88247826250648</v>
      </c>
      <c r="L132" s="593">
        <f t="shared" si="103"/>
        <v>3290.0051820749973</v>
      </c>
      <c r="M132" s="593">
        <f t="shared" si="103"/>
        <v>823.38324956250324</v>
      </c>
      <c r="N132" s="593">
        <f t="shared" si="103"/>
        <v>7765.8993399000001</v>
      </c>
      <c r="O132" s="573"/>
    </row>
    <row r="133" spans="2:15" ht="14.85" customHeight="1">
      <c r="B133" s="255" t="s">
        <v>161</v>
      </c>
      <c r="D133" s="514">
        <f t="shared" ref="D133:N133" si="104">SUM(D122:D132)</f>
        <v>39467.43539530001</v>
      </c>
      <c r="E133" s="514">
        <f t="shared" si="104"/>
        <v>21.257353875000263</v>
      </c>
      <c r="F133" s="514">
        <f t="shared" si="104"/>
        <v>1272.5608291250028</v>
      </c>
      <c r="G133" s="514">
        <f t="shared" si="104"/>
        <v>111.23882999999478</v>
      </c>
      <c r="H133" s="514">
        <f t="shared" si="104"/>
        <v>242.19905999999901</v>
      </c>
      <c r="I133" s="514">
        <f t="shared" si="104"/>
        <v>2086.5232400000023</v>
      </c>
      <c r="J133" s="514">
        <f t="shared" si="104"/>
        <v>686.36529999999766</v>
      </c>
      <c r="K133" s="514">
        <f t="shared" si="104"/>
        <v>692.13447295001242</v>
      </c>
      <c r="L133" s="514">
        <f t="shared" si="104"/>
        <v>7246.1979670999935</v>
      </c>
      <c r="M133" s="514">
        <f t="shared" si="104"/>
        <v>2220.2918127500088</v>
      </c>
      <c r="N133" s="514">
        <f t="shared" si="104"/>
        <v>34076.708516499995</v>
      </c>
      <c r="O133" s="514"/>
    </row>
    <row r="134" spans="2:15" ht="14.85" customHeight="1"/>
    <row r="135" spans="2:15" ht="14.85" customHeight="1">
      <c r="B135" s="473" t="s">
        <v>2038</v>
      </c>
      <c r="D135" s="978">
        <f t="shared" ref="D135:N135" si="105">D120</f>
        <v>1</v>
      </c>
      <c r="E135" s="979">
        <f t="shared" si="105"/>
        <v>2</v>
      </c>
      <c r="F135" s="979">
        <f t="shared" si="105"/>
        <v>3</v>
      </c>
      <c r="G135" s="979">
        <f t="shared" si="105"/>
        <v>4</v>
      </c>
      <c r="H135" s="979">
        <f t="shared" si="105"/>
        <v>5</v>
      </c>
      <c r="I135" s="979">
        <f t="shared" si="105"/>
        <v>6</v>
      </c>
      <c r="J135" s="979">
        <f t="shared" si="105"/>
        <v>7</v>
      </c>
      <c r="K135" s="979">
        <f t="shared" si="105"/>
        <v>8</v>
      </c>
      <c r="L135" s="979">
        <f t="shared" si="105"/>
        <v>9</v>
      </c>
      <c r="M135" s="979">
        <f t="shared" si="105"/>
        <v>10</v>
      </c>
      <c r="N135" s="980">
        <f t="shared" si="105"/>
        <v>11</v>
      </c>
      <c r="O135" s="1951"/>
    </row>
    <row r="136" spans="2:15" ht="14.85" customHeight="1"/>
    <row r="137" spans="2:15" ht="14.85" customHeight="1">
      <c r="B137" s="234" t="str">
        <f t="shared" ref="B137:B147" si="106">B122</f>
        <v>Series Seed</v>
      </c>
      <c r="D137" s="1952">
        <f>SUM($D122:D122)/$S27</f>
        <v>1.0094624999999999</v>
      </c>
      <c r="E137" s="1952">
        <f>SUM($D122:E122)/$S27</f>
        <v>1.0094624999999999</v>
      </c>
      <c r="F137" s="1952">
        <f>SUM($D122:F122)/$S27</f>
        <v>1.0094624999999999</v>
      </c>
      <c r="G137" s="1952">
        <f>SUM($D122:G122)/$S27</f>
        <v>1.0094624999999999</v>
      </c>
      <c r="H137" s="1952">
        <f>SUM($D122:H122)/$S27</f>
        <v>1.0094624999999999</v>
      </c>
      <c r="I137" s="1952">
        <f>SUM($D122:I122)/$S27</f>
        <v>1.0094624999999999</v>
      </c>
      <c r="J137" s="1952">
        <f>SUM($D122:J122)/$S27</f>
        <v>1.0094624999999999</v>
      </c>
      <c r="K137" s="1952">
        <f>SUM($D122:K122)/$S27</f>
        <v>1.0094624999999999</v>
      </c>
      <c r="L137" s="1952">
        <f>SUM($D122:L122)/$S27</f>
        <v>1.9187374999999989</v>
      </c>
      <c r="M137" s="1952">
        <f>SUM($D122:M122)/$S27</f>
        <v>2.1462999999999997</v>
      </c>
      <c r="N137" s="1952">
        <f>SUM($D122:N122)/$S27</f>
        <v>4.2925999999999993</v>
      </c>
    </row>
    <row r="138" spans="2:15" ht="14.85" customHeight="1">
      <c r="B138" s="234" t="str">
        <f t="shared" si="106"/>
        <v>Series Seed-1</v>
      </c>
      <c r="D138" s="1952">
        <f>SUM($D123:D123)/$S28</f>
        <v>1.9187375000000002</v>
      </c>
      <c r="E138" s="1952">
        <f>SUM($D123:E123)/$S28</f>
        <v>1.9187375000000002</v>
      </c>
      <c r="F138" s="1952">
        <f>SUM($D123:F123)/$S28</f>
        <v>1.9187375000000002</v>
      </c>
      <c r="G138" s="1952">
        <f>SUM($D123:G123)/$S28</f>
        <v>1.9187375000000002</v>
      </c>
      <c r="H138" s="1952">
        <f>SUM($D123:H123)/$S28</f>
        <v>1.9187375000000002</v>
      </c>
      <c r="I138" s="1952">
        <f>SUM($D123:I123)/$S28</f>
        <v>1.9187375000000002</v>
      </c>
      <c r="J138" s="1952">
        <f>SUM($D123:J123)/$S28</f>
        <v>1.9187375000000002</v>
      </c>
      <c r="K138" s="1952">
        <f>SUM($D123:K123)/$S28</f>
        <v>1.9187375000000002</v>
      </c>
      <c r="L138" s="1952">
        <f>SUM($D123:L123)/$S28</f>
        <v>1.9187375000000002</v>
      </c>
      <c r="M138" s="1952">
        <f>SUM($D123:M123)/$S28</f>
        <v>2.146300000000001</v>
      </c>
      <c r="N138" s="1952">
        <f>SUM($D123:N123)/$S28</f>
        <v>4.2926000000000011</v>
      </c>
    </row>
    <row r="139" spans="2:15" ht="14.85" customHeight="1">
      <c r="B139" s="234" t="str">
        <f t="shared" si="106"/>
        <v>Series A</v>
      </c>
      <c r="D139" s="1952">
        <f>SUM($D124:D124)/$S29</f>
        <v>2.1463000000000001</v>
      </c>
      <c r="E139" s="1952">
        <f>SUM($D124:E124)/$S29</f>
        <v>2.1463000000000001</v>
      </c>
      <c r="F139" s="1952">
        <f>SUM($D124:F124)/$S29</f>
        <v>2.1463000000000001</v>
      </c>
      <c r="G139" s="1952">
        <f>SUM($D124:G124)/$S29</f>
        <v>2.1463000000000001</v>
      </c>
      <c r="H139" s="1952">
        <f>SUM($D124:H124)/$S29</f>
        <v>2.1463000000000001</v>
      </c>
      <c r="I139" s="1952">
        <f>SUM($D124:I124)/$S29</f>
        <v>2.1463000000000001</v>
      </c>
      <c r="J139" s="1952">
        <f>SUM($D124:J124)/$S29</f>
        <v>2.1463000000000001</v>
      </c>
      <c r="K139" s="1952">
        <f>SUM($D124:K124)/$S29</f>
        <v>2.1463000000000001</v>
      </c>
      <c r="L139" s="1952">
        <f>SUM($D124:L124)/$S29</f>
        <v>2.1463000000000001</v>
      </c>
      <c r="M139" s="1952">
        <f>SUM($D124:M124)/$S29</f>
        <v>2.1463000000000001</v>
      </c>
      <c r="N139" s="1952">
        <f>SUM($D124:N124)/$S29</f>
        <v>4.2926000000000002</v>
      </c>
    </row>
    <row r="140" spans="2:15" ht="14.85" customHeight="1">
      <c r="B140" s="234" t="str">
        <f t="shared" si="106"/>
        <v>Series B</v>
      </c>
      <c r="D140" s="1952">
        <f>SUM($D125:D125)/$S30</f>
        <v>4.2926000000000011</v>
      </c>
      <c r="E140" s="1952">
        <f>SUM($D125:E125)/$S30</f>
        <v>4.2926000000000011</v>
      </c>
      <c r="F140" s="1952">
        <f>SUM($D125:F125)/$S30</f>
        <v>4.2926000000000011</v>
      </c>
      <c r="G140" s="1952">
        <f>SUM($D125:G125)/$S30</f>
        <v>4.2926000000000011</v>
      </c>
      <c r="H140" s="1952">
        <f>SUM($D125:H125)/$S30</f>
        <v>4.2926000000000011</v>
      </c>
      <c r="I140" s="1952">
        <f>SUM($D125:I125)/$S30</f>
        <v>4.2926000000000011</v>
      </c>
      <c r="J140" s="1952">
        <f>SUM($D125:J125)/$S30</f>
        <v>4.2926000000000011</v>
      </c>
      <c r="K140" s="1952">
        <f>SUM($D125:K125)/$S30</f>
        <v>4.2926000000000011</v>
      </c>
      <c r="L140" s="1952">
        <f>SUM($D125:L125)/$S30</f>
        <v>4.2926000000000011</v>
      </c>
      <c r="M140" s="1952">
        <f>SUM($D125:M125)/$S30</f>
        <v>4.2926000000000011</v>
      </c>
      <c r="N140" s="1952">
        <f>SUM($D125:N125)/$S30</f>
        <v>4.2926000000000011</v>
      </c>
    </row>
    <row r="141" spans="2:15" ht="14.85" customHeight="1">
      <c r="B141" s="234" t="str">
        <f t="shared" si="106"/>
        <v>Options at $0.0059 Strike Price Exercise</v>
      </c>
      <c r="D141" s="1952">
        <f>SUM($D126:D126)/$S31</f>
        <v>0</v>
      </c>
      <c r="E141" s="1952">
        <f>SUM($D126:E126)/$S31</f>
        <v>0</v>
      </c>
      <c r="F141" s="1952">
        <f>SUM($D126:F126)/$S31</f>
        <v>0.34412500000000074</v>
      </c>
      <c r="G141" s="1952">
        <f>SUM($D126:G126)/$S31</f>
        <v>0.37412499999999932</v>
      </c>
      <c r="H141" s="1952">
        <f>SUM($D126:H126)/$S31</f>
        <v>0.43412499999999904</v>
      </c>
      <c r="I141" s="1952">
        <f>SUM($D126:I126)/$S31</f>
        <v>0.80412499999999931</v>
      </c>
      <c r="J141" s="1952">
        <f>SUM($D126:J126)/$S31</f>
        <v>0.90412499999999896</v>
      </c>
      <c r="K141" s="1952">
        <f>SUM($D126:K126)/$S31</f>
        <v>1.0035875000000007</v>
      </c>
      <c r="L141" s="1952">
        <f>SUM($D126:L126)/$S31</f>
        <v>1.9128624999999999</v>
      </c>
      <c r="M141" s="1952">
        <f>SUM($D126:M126)/$S31</f>
        <v>2.1404250000000009</v>
      </c>
      <c r="N141" s="1952">
        <f>SUM($D126:N126)/$S31</f>
        <v>4.2867250000000006</v>
      </c>
    </row>
    <row r="142" spans="2:15" ht="14.85" customHeight="1">
      <c r="B142" s="234" t="str">
        <f t="shared" si="106"/>
        <v>Options at $0.3500 Strike Price Exercise</v>
      </c>
      <c r="D142" s="1952">
        <f>SUM($D127:D127)/$S32</f>
        <v>0</v>
      </c>
      <c r="E142" s="1952">
        <f>SUM($D127:E127)/$S32</f>
        <v>0</v>
      </c>
      <c r="F142" s="1952">
        <f>SUM($D127:F127)/$S32</f>
        <v>0</v>
      </c>
      <c r="G142" s="1952">
        <f>SUM($D127:G127)/$S32</f>
        <v>2.999999999999859E-2</v>
      </c>
      <c r="H142" s="1952">
        <f>SUM($D127:H127)/$S32</f>
        <v>8.9999999999998331E-2</v>
      </c>
      <c r="I142" s="1952">
        <f>SUM($D127:I127)/$S32</f>
        <v>0.45999999999999874</v>
      </c>
      <c r="J142" s="1952">
        <f>SUM($D127:J127)/$S32</f>
        <v>0.55999999999999839</v>
      </c>
      <c r="K142" s="1952">
        <f>SUM($D127:K127)/$S32</f>
        <v>0.65946250000000017</v>
      </c>
      <c r="L142" s="1952">
        <f>SUM($D127:L127)/$S32</f>
        <v>1.5687374999999992</v>
      </c>
      <c r="M142" s="1952">
        <f>SUM($D127:M127)/$S32</f>
        <v>1.7963</v>
      </c>
      <c r="N142" s="1952">
        <f>SUM($D127:N127)/$S32</f>
        <v>3.9426000000000001</v>
      </c>
    </row>
    <row r="143" spans="2:15" ht="14.85" customHeight="1">
      <c r="B143" s="234" t="str">
        <f t="shared" si="106"/>
        <v>Options at $0.3800 Strike Price Exercise</v>
      </c>
      <c r="D143" s="1952">
        <f>SUM($D128:D128)/$S33</f>
        <v>0</v>
      </c>
      <c r="E143" s="1952">
        <f>SUM($D128:E128)/$S33</f>
        <v>0</v>
      </c>
      <c r="F143" s="1952">
        <f>SUM($D128:F128)/$S33</f>
        <v>0</v>
      </c>
      <c r="G143" s="1952">
        <f>SUM($D128:G128)/$S33</f>
        <v>0</v>
      </c>
      <c r="H143" s="1952">
        <f>SUM($D128:H128)/$S33</f>
        <v>5.9999999999999762E-2</v>
      </c>
      <c r="I143" s="1952">
        <f>SUM($D128:I128)/$S33</f>
        <v>0.43000000000000022</v>
      </c>
      <c r="J143" s="1952">
        <f>SUM($D128:J128)/$S33</f>
        <v>0.5299999999999998</v>
      </c>
      <c r="K143" s="1952">
        <f>SUM($D128:K128)/$S33</f>
        <v>0.62946250000000159</v>
      </c>
      <c r="L143" s="1952">
        <f>SUM($D128:L128)/$S33</f>
        <v>1.5387375000000008</v>
      </c>
      <c r="M143" s="1952">
        <f>SUM($D128:M128)/$S33</f>
        <v>1.7663000000000015</v>
      </c>
      <c r="N143" s="1952">
        <f>SUM($D128:N128)/$S33</f>
        <v>3.9126000000000016</v>
      </c>
    </row>
    <row r="144" spans="2:15" ht="14.85" customHeight="1">
      <c r="B144" s="234" t="str">
        <f t="shared" si="106"/>
        <v>Expected Options at $0.6000 Strike Price Exercise</v>
      </c>
      <c r="D144" s="1952">
        <f>SUM($D129:D129)/$S34</f>
        <v>0</v>
      </c>
      <c r="E144" s="1952">
        <f>SUM($D129:E129)/$S34</f>
        <v>0</v>
      </c>
      <c r="F144" s="1952">
        <f>SUM($D129:F129)/$S34</f>
        <v>0</v>
      </c>
      <c r="G144" s="1952">
        <f>SUM($D129:G129)/$S34</f>
        <v>0</v>
      </c>
      <c r="H144" s="1952">
        <f>SUM($D129:H129)/$S34</f>
        <v>0</v>
      </c>
      <c r="I144" s="1952">
        <f>SUM($D129:I129)/$S34</f>
        <v>0.37000000000000038</v>
      </c>
      <c r="J144" s="1952">
        <f>SUM($D129:J129)/$S34</f>
        <v>0.47000000000000008</v>
      </c>
      <c r="K144" s="1952">
        <f>SUM($D129:K129)/$S34</f>
        <v>0.56946250000000187</v>
      </c>
      <c r="L144" s="1952">
        <f>SUM($D129:L129)/$S34</f>
        <v>1.4787375000000009</v>
      </c>
      <c r="M144" s="1952">
        <f>SUM($D129:M129)/$S34</f>
        <v>1.7063000000000019</v>
      </c>
      <c r="N144" s="1952">
        <f>SUM($D129:N129)/$S34</f>
        <v>3.8526000000000016</v>
      </c>
    </row>
    <row r="145" spans="2:15" ht="14.85" customHeight="1">
      <c r="B145" s="234" t="str">
        <f t="shared" si="106"/>
        <v>Options at $0.8100 Strike Price Exercise</v>
      </c>
      <c r="D145" s="1952">
        <f>SUM($D130:D130)/$S35</f>
        <v>0</v>
      </c>
      <c r="E145" s="1952">
        <f>SUM($D130:E130)/$S35</f>
        <v>0</v>
      </c>
      <c r="F145" s="1952">
        <f>SUM($D130:F130)/$S35</f>
        <v>0</v>
      </c>
      <c r="G145" s="1952">
        <f>SUM($D130:G130)/$S35</f>
        <v>0</v>
      </c>
      <c r="H145" s="1952">
        <f>SUM($D130:H130)/$S35</f>
        <v>0</v>
      </c>
      <c r="I145" s="1952">
        <f>SUM($D130:I130)/$S35</f>
        <v>0</v>
      </c>
      <c r="J145" s="1952">
        <f>SUM($D130:J130)/$S35</f>
        <v>9.9999999999999659E-2</v>
      </c>
      <c r="K145" s="1952">
        <f>SUM($D130:K130)/$S35</f>
        <v>0.19946250000000146</v>
      </c>
      <c r="L145" s="1952">
        <f>SUM($D130:L130)/$S35</f>
        <v>1.1087375000000004</v>
      </c>
      <c r="M145" s="1952">
        <f>SUM($D130:M130)/$S35</f>
        <v>1.3363000000000012</v>
      </c>
      <c r="N145" s="1952">
        <f>SUM($D130:N130)/$S35</f>
        <v>3.4826000000000015</v>
      </c>
    </row>
    <row r="146" spans="2:15" ht="14.85" customHeight="1" thickBot="1">
      <c r="B146" s="234" t="str">
        <f t="shared" si="106"/>
        <v>Options at $0.9100 Strike Price Exercise</v>
      </c>
      <c r="D146" s="1952">
        <f>SUM($D131:D131)/$S36</f>
        <v>0</v>
      </c>
      <c r="E146" s="1952">
        <f>SUM($D131:E131)/$S36</f>
        <v>0</v>
      </c>
      <c r="F146" s="1952">
        <f>SUM($D131:F131)/$S36</f>
        <v>0</v>
      </c>
      <c r="G146" s="1952">
        <f>SUM($D131:G131)/$S36</f>
        <v>0</v>
      </c>
      <c r="H146" s="1952">
        <f>SUM($D131:H131)/$S36</f>
        <v>0</v>
      </c>
      <c r="I146" s="1952">
        <f>SUM($D131:I131)/$S36</f>
        <v>0</v>
      </c>
      <c r="J146" s="1952">
        <f>SUM($D131:J131)/$S36</f>
        <v>0</v>
      </c>
      <c r="K146" s="1952">
        <f>SUM($D131:K131)/$S36</f>
        <v>9.9462500000001786E-2</v>
      </c>
      <c r="L146" s="1952">
        <f>SUM($D131:L131)/$S36</f>
        <v>1.008737500000001</v>
      </c>
      <c r="M146" s="1952">
        <f>SUM($D131:M131)/$S36</f>
        <v>1.2363000000000017</v>
      </c>
      <c r="N146" s="1952">
        <f>SUM($D131:N131)/$S36</f>
        <v>3.3826000000000018</v>
      </c>
    </row>
    <row r="147" spans="2:15" ht="14.85" customHeight="1" thickBot="1">
      <c r="B147" s="2037" t="str">
        <f t="shared" si="106"/>
        <v>Common Stock</v>
      </c>
      <c r="C147" s="2038"/>
      <c r="D147" s="2039">
        <f>SUM($D132:D132)/$S37</f>
        <v>0</v>
      </c>
      <c r="E147" s="2039">
        <f>SUM($D132:E132)/$S37</f>
        <v>5.875000000000072E-3</v>
      </c>
      <c r="F147" s="2039">
        <f>SUM($D132:F132)/$S37</f>
        <v>0.35000000000000081</v>
      </c>
      <c r="G147" s="2039">
        <f>SUM($D132:G132)/$S37</f>
        <v>0.37999999999999939</v>
      </c>
      <c r="H147" s="2039">
        <f>SUM($D132:H132)/$S37</f>
        <v>0.43999999999999911</v>
      </c>
      <c r="I147" s="2039">
        <f>SUM($D132:I132)/$S37</f>
        <v>0.80999999999999939</v>
      </c>
      <c r="J147" s="2039">
        <f>SUM($D132:J132)/$S37</f>
        <v>0.90999999999999914</v>
      </c>
      <c r="K147" s="2039">
        <f>SUM($D132:K132)/$S37</f>
        <v>1.009462500000001</v>
      </c>
      <c r="L147" s="2039">
        <f>SUM($D132:L132)/$S37</f>
        <v>1.9187375000000002</v>
      </c>
      <c r="M147" s="2039">
        <f>SUM($D132:M132)/$S37</f>
        <v>2.146300000000001</v>
      </c>
      <c r="N147" s="2040">
        <f>SUM($D132:N132)/$S37</f>
        <v>4.2926000000000011</v>
      </c>
    </row>
    <row r="148" spans="2:15" ht="14.85" customHeight="1">
      <c r="B148" s="255" t="s">
        <v>161</v>
      </c>
      <c r="D148" s="1952">
        <f t="shared" ref="D148:N148" si="107">SUM(D137:D147)</f>
        <v>9.3671000000000006</v>
      </c>
      <c r="E148" s="1952">
        <f t="shared" si="107"/>
        <v>9.3729750000000003</v>
      </c>
      <c r="F148" s="1952">
        <f t="shared" si="107"/>
        <v>10.061225000000002</v>
      </c>
      <c r="G148" s="1952">
        <f t="shared" si="107"/>
        <v>10.151224999999998</v>
      </c>
      <c r="H148" s="1952">
        <f t="shared" si="107"/>
        <v>10.391224999999999</v>
      </c>
      <c r="I148" s="1952">
        <f t="shared" si="107"/>
        <v>12.241224999999998</v>
      </c>
      <c r="J148" s="1952">
        <f t="shared" si="107"/>
        <v>12.841224999999996</v>
      </c>
      <c r="K148" s="1952">
        <f t="shared" si="107"/>
        <v>13.537462500000007</v>
      </c>
      <c r="L148" s="1952">
        <f t="shared" si="107"/>
        <v>20.811662500000004</v>
      </c>
      <c r="M148" s="1952">
        <f t="shared" si="107"/>
        <v>22.859725000000008</v>
      </c>
      <c r="N148" s="1952">
        <f t="shared" si="107"/>
        <v>44.322725000000005</v>
      </c>
      <c r="O148" s="255"/>
    </row>
    <row r="149" spans="2:15" ht="14.85" customHeight="1"/>
    <row r="150" spans="2:15" ht="14.85" customHeight="1">
      <c r="B150" s="234" t="s">
        <v>1745</v>
      </c>
      <c r="D150" s="981">
        <f t="shared" ref="D150:N150" si="108">NORMSDIST(D55)</f>
        <v>1</v>
      </c>
      <c r="E150" s="981">
        <f t="shared" si="108"/>
        <v>0.63873427155718798</v>
      </c>
      <c r="F150" s="981">
        <f t="shared" si="108"/>
        <v>0.63852075185761725</v>
      </c>
      <c r="G150" s="981">
        <f t="shared" si="108"/>
        <v>0.62586948567518541</v>
      </c>
      <c r="H150" s="981">
        <f t="shared" si="108"/>
        <v>0.62477585606449271</v>
      </c>
      <c r="I150" s="981">
        <f t="shared" si="108"/>
        <v>0.62240153171132229</v>
      </c>
      <c r="J150" s="981">
        <f t="shared" si="108"/>
        <v>0.60233399700097934</v>
      </c>
      <c r="K150" s="981">
        <f t="shared" si="108"/>
        <v>0.59588399365716649</v>
      </c>
      <c r="L150" s="981">
        <f t="shared" si="108"/>
        <v>0.58945523543582046</v>
      </c>
      <c r="M150" s="981">
        <f t="shared" si="108"/>
        <v>0.52659581145340151</v>
      </c>
      <c r="N150" s="981">
        <f t="shared" si="108"/>
        <v>0.50889982081805774</v>
      </c>
      <c r="O150" s="981"/>
    </row>
    <row r="151" spans="2:15" ht="14.85" customHeight="1"/>
    <row r="152" spans="2:15" ht="14.85" customHeight="1">
      <c r="D152" s="310">
        <f t="shared" ref="D152:N152" si="109">NORMSDIST(D56)</f>
        <v>1</v>
      </c>
      <c r="E152" s="310">
        <f t="shared" si="109"/>
        <v>0.27772370608598829</v>
      </c>
      <c r="F152" s="310">
        <f t="shared" si="109"/>
        <v>0.27753262922051736</v>
      </c>
      <c r="G152" s="310">
        <f t="shared" si="109"/>
        <v>0.26639212041214977</v>
      </c>
      <c r="H152" s="310">
        <f t="shared" si="109"/>
        <v>0.26544554119233782</v>
      </c>
      <c r="I152" s="310">
        <f t="shared" si="109"/>
        <v>0.26339932193335786</v>
      </c>
      <c r="J152" s="310">
        <f t="shared" si="109"/>
        <v>0.24657680222577005</v>
      </c>
      <c r="K152" s="310">
        <f t="shared" si="109"/>
        <v>0.24134357925461702</v>
      </c>
      <c r="L152" s="310">
        <f t="shared" si="109"/>
        <v>0.23620887002696431</v>
      </c>
      <c r="M152" s="310">
        <f t="shared" si="109"/>
        <v>0.18997745203457847</v>
      </c>
      <c r="N152" s="310">
        <f t="shared" si="109"/>
        <v>0.17816408679802037</v>
      </c>
      <c r="O152" s="310"/>
    </row>
    <row r="153" spans="2:15" ht="14.85" customHeight="1">
      <c r="B153" s="234" t="s">
        <v>1430</v>
      </c>
      <c r="D153" s="477">
        <f>D152-E152</f>
        <v>0.72227629391401171</v>
      </c>
      <c r="E153" s="310"/>
      <c r="F153" s="310"/>
      <c r="G153" s="310"/>
      <c r="H153" s="310"/>
      <c r="I153" s="310"/>
      <c r="J153" s="310"/>
      <c r="K153" s="310"/>
      <c r="L153" s="310"/>
      <c r="M153" s="310"/>
      <c r="N153" s="310"/>
      <c r="O153" s="310"/>
    </row>
    <row r="154" spans="2:15" ht="14.85" customHeight="1"/>
    <row r="155" spans="2:15" ht="14.85" customHeight="1">
      <c r="D155" s="358">
        <f>E41</f>
        <v>0</v>
      </c>
      <c r="E155" s="358">
        <f t="shared" ref="E155:N155" si="110">F41</f>
        <v>5.875E-3</v>
      </c>
      <c r="F155" s="358">
        <f t="shared" si="110"/>
        <v>0.35</v>
      </c>
      <c r="G155" s="358">
        <f t="shared" si="110"/>
        <v>0.38</v>
      </c>
      <c r="H155" s="358">
        <f t="shared" si="110"/>
        <v>0.44</v>
      </c>
      <c r="I155" s="358">
        <f t="shared" si="110"/>
        <v>0.81</v>
      </c>
      <c r="J155" s="358">
        <f t="shared" si="110"/>
        <v>0.91</v>
      </c>
      <c r="K155" s="358">
        <f t="shared" si="110"/>
        <v>1.0094624999999999</v>
      </c>
      <c r="L155" s="358">
        <f t="shared" si="110"/>
        <v>1.9187375</v>
      </c>
      <c r="M155" s="358">
        <f t="shared" si="110"/>
        <v>2.1463000000000001</v>
      </c>
      <c r="N155" s="358">
        <f t="shared" si="110"/>
        <v>4.2926000000000002</v>
      </c>
    </row>
    <row r="156" spans="2:15" ht="14.85" customHeight="1">
      <c r="D156" s="261">
        <f>D155-D147</f>
        <v>0</v>
      </c>
      <c r="E156" s="261">
        <f t="shared" ref="E156:N156" si="111">E155-E147</f>
        <v>-7.1991024253037494E-17</v>
      </c>
      <c r="F156" s="261">
        <f t="shared" si="111"/>
        <v>-8.3266726846886741E-16</v>
      </c>
      <c r="G156" s="261">
        <f t="shared" si="111"/>
        <v>6.106226635438361E-16</v>
      </c>
      <c r="H156" s="261">
        <f t="shared" si="111"/>
        <v>8.8817841970012523E-16</v>
      </c>
      <c r="I156" s="261">
        <f t="shared" si="111"/>
        <v>0</v>
      </c>
      <c r="J156" s="261">
        <f t="shared" si="111"/>
        <v>8.8817841970012523E-16</v>
      </c>
      <c r="K156" s="261">
        <f t="shared" si="111"/>
        <v>0</v>
      </c>
      <c r="L156" s="261">
        <f t="shared" si="111"/>
        <v>0</v>
      </c>
      <c r="M156" s="261">
        <f t="shared" si="111"/>
        <v>0</v>
      </c>
      <c r="N156" s="261">
        <f t="shared" si="111"/>
        <v>0</v>
      </c>
    </row>
    <row r="157" spans="2:15" ht="14.85" customHeight="1">
      <c r="C157" s="363" t="s">
        <v>110</v>
      </c>
      <c r="D157" s="2041" t="str">
        <f>IF(ABS(D156)&gt;0.0001%,"Check","")</f>
        <v/>
      </c>
      <c r="E157" s="2042" t="str">
        <f t="shared" ref="E157:N157" si="112">IF(ABS(E156)&gt;0.0001%,"Check","")</f>
        <v/>
      </c>
      <c r="F157" s="2042" t="str">
        <f t="shared" si="112"/>
        <v/>
      </c>
      <c r="G157" s="2042" t="str">
        <f t="shared" si="112"/>
        <v/>
      </c>
      <c r="H157" s="2042" t="str">
        <f t="shared" si="112"/>
        <v/>
      </c>
      <c r="I157" s="2042" t="str">
        <f t="shared" si="112"/>
        <v/>
      </c>
      <c r="J157" s="2042" t="str">
        <f t="shared" si="112"/>
        <v/>
      </c>
      <c r="K157" s="2042" t="str">
        <f t="shared" si="112"/>
        <v/>
      </c>
      <c r="L157" s="2042" t="str">
        <f t="shared" si="112"/>
        <v/>
      </c>
      <c r="M157" s="2042" t="str">
        <f t="shared" si="112"/>
        <v/>
      </c>
      <c r="N157" s="2043" t="str">
        <f t="shared" si="112"/>
        <v/>
      </c>
    </row>
    <row r="158" spans="2:15" ht="14.85" customHeight="1"/>
    <row r="159" spans="2:15" ht="14.85" customHeight="1"/>
    <row r="160" spans="2:15"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sheetData>
  <conditionalFormatting sqref="B4:I4">
    <cfRule type="cellIs" dxfId="214" priority="7" stopIfTrue="1" operator="equal">
      <formula>"input"</formula>
    </cfRule>
  </conditionalFormatting>
  <conditionalFormatting sqref="J4">
    <cfRule type="cellIs" dxfId="213" priority="5" stopIfTrue="1" operator="equal">
      <formula>"input"</formula>
    </cfRule>
  </conditionalFormatting>
  <conditionalFormatting sqref="J4">
    <cfRule type="cellIs" dxfId="212" priority="6" stopIfTrue="1" operator="equal">
      <formula>"input"</formula>
    </cfRule>
  </conditionalFormatting>
  <conditionalFormatting sqref="K4:N4">
    <cfRule type="cellIs" dxfId="211" priority="3" stopIfTrue="1" operator="equal">
      <formula>"input"</formula>
    </cfRule>
  </conditionalFormatting>
  <conditionalFormatting sqref="K4:N4">
    <cfRule type="cellIs" dxfId="210" priority="4" stopIfTrue="1" operator="equal">
      <formula>"input"</formula>
    </cfRule>
  </conditionalFormatting>
  <conditionalFormatting sqref="O4">
    <cfRule type="cellIs" dxfId="209" priority="1" stopIfTrue="1" operator="equal">
      <formula>"input"</formula>
    </cfRule>
  </conditionalFormatting>
  <conditionalFormatting sqref="O4">
    <cfRule type="cellIs" dxfId="208" priority="2" stopIfTrue="1" operator="equal">
      <formula>"input"</formula>
    </cfRule>
  </conditionalFormatting>
  <pageMargins left="0.5" right="0.5" top="0.5" bottom="0.5" header="0.5" footer="0.5"/>
  <pageSetup scale="60" fitToWidth="0" fitToHeight="0" pageOrder="overThenDown" orientation="landscape" r:id="rId1"/>
  <rowBreaks count="3" manualBreakCount="3">
    <brk id="24" max="19" man="1"/>
    <brk id="48" max="19" man="1"/>
    <brk id="82" max="19" man="1"/>
  </rowBreaks>
  <legacyDrawing r:id="rId2"/>
  <legacyDrawingHF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66"/>
  <dimension ref="A1:N754"/>
  <sheetViews>
    <sheetView showGridLines="0" view="pageBreakPreview" zoomScale="85" zoomScaleNormal="100" zoomScaleSheetLayoutView="85" workbookViewId="0"/>
  </sheetViews>
  <sheetFormatPr defaultRowHeight="14.25"/>
  <cols>
    <col min="1" max="1" width="4.5" style="234" customWidth="1"/>
    <col min="2" max="2" width="47.6640625" style="234" customWidth="1"/>
    <col min="3" max="3" width="6.83203125" style="234" customWidth="1"/>
    <col min="4" max="4" width="37.1640625" style="234" customWidth="1"/>
    <col min="5" max="5" width="6.83203125" style="234" customWidth="1"/>
    <col min="6" max="6" width="37.1640625" style="234" customWidth="1"/>
    <col min="7" max="7" width="6.83203125" style="234" customWidth="1"/>
    <col min="8" max="8" width="37.1640625" style="234" customWidth="1"/>
    <col min="9" max="9" width="4.5" style="234" customWidth="1"/>
    <col min="10" max="10" width="9.33203125" style="234"/>
    <col min="11" max="11" width="15.33203125" style="234" bestFit="1" customWidth="1"/>
    <col min="12" max="12" width="11.5" style="234" bestFit="1" customWidth="1"/>
    <col min="13" max="13" width="9.33203125" style="234"/>
    <col min="14" max="14" width="10.6640625" style="234" customWidth="1"/>
    <col min="15" max="16384" width="9.33203125" style="234"/>
  </cols>
  <sheetData>
    <row r="1" spans="2:12" ht="10.7" customHeight="1" thickBot="1"/>
    <row r="2" spans="2:12" ht="16.5" customHeight="1" thickTop="1">
      <c r="B2" s="223" t="str">
        <f>'MASTER PubCo Inputs'!$C$5</f>
        <v>Trucode Gene Repair, Inc.</v>
      </c>
      <c r="C2" s="223"/>
      <c r="D2" s="223"/>
      <c r="E2" s="223"/>
      <c r="F2" s="223"/>
      <c r="G2" s="223"/>
      <c r="H2" s="223"/>
      <c r="K2" s="323"/>
      <c r="L2" s="323"/>
    </row>
    <row r="3" spans="2:12" ht="15.75" customHeight="1">
      <c r="B3" s="232" t="str">
        <f>VLOOKUP(B4,Outline!$E$8:$G$65,COLUMNS(Outline!$E$8:$G$8),FALSE)</f>
        <v>Workpaper #3</v>
      </c>
      <c r="C3" s="232"/>
      <c r="D3" s="232"/>
      <c r="E3" s="232"/>
      <c r="F3" s="232"/>
      <c r="G3" s="232"/>
      <c r="H3" s="232"/>
    </row>
    <row r="4" spans="2:12" ht="16.5" customHeight="1" thickBot="1">
      <c r="B4" s="225" t="s">
        <v>1722</v>
      </c>
      <c r="C4" s="225"/>
      <c r="D4" s="225"/>
      <c r="E4" s="225"/>
      <c r="F4" s="225"/>
      <c r="G4" s="225"/>
      <c r="H4" s="233" t="str">
        <f>+'MASTER PubCo Inputs'!$C$20</f>
        <v>(in thousands of USD and shares, except price per share)</v>
      </c>
      <c r="L4" s="272"/>
    </row>
    <row r="5" spans="2:12" ht="14.85" customHeight="1" thickTop="1">
      <c r="L5" s="358"/>
    </row>
    <row r="6" spans="2:12" ht="14.85" customHeight="1">
      <c r="L6" s="358"/>
    </row>
    <row r="7" spans="2:12" ht="14.85" customHeight="1">
      <c r="B7" s="485" t="s">
        <v>398</v>
      </c>
      <c r="C7" s="486"/>
      <c r="D7" s="487" t="s">
        <v>306</v>
      </c>
      <c r="E7" s="487"/>
      <c r="F7" s="487" t="s">
        <v>304</v>
      </c>
      <c r="G7" s="487"/>
      <c r="H7" s="487" t="s">
        <v>399</v>
      </c>
      <c r="L7" s="970"/>
    </row>
    <row r="8" spans="2:12" ht="14.85" customHeight="1"/>
    <row r="9" spans="2:12" ht="14.85" customHeight="1">
      <c r="B9" s="234" t="str">
        <f>'OPM 1 Hybrid'!B102</f>
        <v>Series Seed</v>
      </c>
      <c r="D9" s="257">
        <f>'OPM 1 Hybrid'!$Q102</f>
        <v>1251.4282805884984</v>
      </c>
      <c r="E9" s="490"/>
      <c r="F9" s="257">
        <f>'Cap Table'!$D$11</f>
        <v>1010.456</v>
      </c>
      <c r="G9" s="268"/>
      <c r="H9" s="491">
        <f t="shared" ref="H9:H14" si="0">D9/F9</f>
        <v>1.2384787468118339</v>
      </c>
    </row>
    <row r="10" spans="2:12" ht="14.85" customHeight="1">
      <c r="B10" s="234" t="str">
        <f>'OPM 1 Hybrid'!B103</f>
        <v>Series Seed-1</v>
      </c>
      <c r="D10" s="257">
        <f>'OPM 1 Hybrid'!$Q103</f>
        <v>2816.1456619960559</v>
      </c>
      <c r="E10" s="490"/>
      <c r="F10" s="257">
        <f>'Cap Table'!$E$11</f>
        <v>1787.64</v>
      </c>
      <c r="G10" s="268"/>
      <c r="H10" s="491">
        <f t="shared" si="0"/>
        <v>1.5753427211273274</v>
      </c>
    </row>
    <row r="11" spans="2:12" ht="14.85" customHeight="1">
      <c r="B11" s="234" t="str">
        <f>'OPM 1 Hybrid'!B104</f>
        <v>Series A</v>
      </c>
      <c r="D11" s="257">
        <f>'OPM 1 Hybrid'!$Q104</f>
        <v>10194.411504636691</v>
      </c>
      <c r="E11" s="490"/>
      <c r="F11" s="257">
        <f>'Cap Table'!$F$11</f>
        <v>6120.1109999999999</v>
      </c>
      <c r="G11" s="268"/>
      <c r="H11" s="491">
        <f t="shared" si="0"/>
        <v>1.6657233021813971</v>
      </c>
    </row>
    <row r="12" spans="2:12" ht="14.85" customHeight="1">
      <c r="B12" s="234" t="str">
        <f>'OPM 1 Hybrid'!B105</f>
        <v>Series B</v>
      </c>
      <c r="D12" s="257">
        <f>'OPM 1 Hybrid'!$Q105</f>
        <v>13532.148730665816</v>
      </c>
      <c r="E12" s="490"/>
      <c r="F12" s="257">
        <f>'Cap Table'!$G$11</f>
        <v>5097.5659999999998</v>
      </c>
      <c r="G12" s="268"/>
      <c r="H12" s="491">
        <f t="shared" si="0"/>
        <v>2.6546294311178742</v>
      </c>
    </row>
    <row r="13" spans="2:12" ht="14.85" customHeight="1">
      <c r="B13" s="234" t="s">
        <v>4226</v>
      </c>
      <c r="D13" s="257">
        <f>SUM('OPM 1 Hybrid'!Q106:Q111)</f>
        <v>2553.5524741805607</v>
      </c>
      <c r="E13" s="490"/>
      <c r="F13" s="257">
        <f>SUM('Cap Table'!D24:D29)</f>
        <v>3340.4750000000004</v>
      </c>
      <c r="G13" s="268"/>
      <c r="H13" s="491">
        <f t="shared" si="0"/>
        <v>0.76442795535980979</v>
      </c>
    </row>
    <row r="14" spans="2:12" ht="14.85" customHeight="1">
      <c r="B14" s="234" t="str">
        <f>'OPM 1 Hybrid'!B112</f>
        <v>Common Stock</v>
      </c>
      <c r="C14" s="493"/>
      <c r="D14" s="257">
        <f>'OPM 1 Hybrid'!Q112</f>
        <v>3291.5056409933063</v>
      </c>
      <c r="E14" s="490"/>
      <c r="F14" s="257">
        <f>'Cap Table'!H11</f>
        <v>3618.2730000000001</v>
      </c>
      <c r="G14" s="268"/>
      <c r="H14" s="491">
        <f t="shared" si="0"/>
        <v>0.90968968925045346</v>
      </c>
    </row>
    <row r="15" spans="2:12" ht="14.85" customHeight="1">
      <c r="B15" s="269"/>
      <c r="C15" s="269"/>
      <c r="D15" s="495"/>
      <c r="E15" s="495"/>
      <c r="F15" s="495"/>
      <c r="G15" s="269"/>
      <c r="H15" s="457"/>
    </row>
    <row r="16" spans="2:12" ht="14.85" customHeight="1">
      <c r="B16" s="255" t="s">
        <v>1713</v>
      </c>
      <c r="D16" s="496">
        <f>SUM(D9:D14)</f>
        <v>33639.192293060929</v>
      </c>
      <c r="E16" s="465"/>
      <c r="F16" s="496">
        <f>SUM(F9:F14)</f>
        <v>20974.521000000001</v>
      </c>
      <c r="H16" s="252"/>
    </row>
    <row r="17" spans="1:14" ht="14.85" customHeight="1"/>
    <row r="18" spans="1:14" ht="14.85" customHeight="1">
      <c r="B18" s="279" t="s">
        <v>86</v>
      </c>
    </row>
    <row r="19" spans="1:14" ht="14.85" customHeight="1">
      <c r="A19" s="280" t="s">
        <v>250</v>
      </c>
      <c r="B19" s="339" t="str">
        <f>"Refer to "&amp;'DLOM Hybrid'!B3&amp;" for DLOM calculations."</f>
        <v>Refer to Workpaper #4 for DLOM calculations.</v>
      </c>
    </row>
    <row r="20" spans="1:14" ht="14.85" customHeight="1">
      <c r="K20" s="323"/>
    </row>
    <row r="21" spans="1:14" ht="14.85" customHeight="1">
      <c r="D21" s="971" t="s">
        <v>110</v>
      </c>
    </row>
    <row r="22" spans="1:14" ht="14.85" customHeight="1">
      <c r="D22" s="972" t="str">
        <f>IF((D16&lt;&gt;'OPM 1 Hybrid'!Q114),"Check","")</f>
        <v/>
      </c>
      <c r="N22" s="285"/>
    </row>
    <row r="23" spans="1:14" ht="14.85" customHeight="1">
      <c r="K23" s="261"/>
    </row>
    <row r="24" spans="1:14" ht="14.85" customHeight="1">
      <c r="K24" s="261"/>
    </row>
    <row r="25" spans="1:14" ht="14.85" customHeight="1">
      <c r="K25" s="381"/>
      <c r="N25" s="358"/>
    </row>
    <row r="26" spans="1:14" ht="14.85" customHeight="1">
      <c r="K26" s="261"/>
    </row>
    <row r="27" spans="1:14" ht="14.85" customHeight="1">
      <c r="K27" s="261"/>
    </row>
    <row r="28" spans="1:14" ht="14.85" customHeight="1"/>
    <row r="29" spans="1:14" ht="14.85" customHeight="1"/>
    <row r="30" spans="1:14" ht="14.85" customHeight="1">
      <c r="N30" s="285"/>
    </row>
    <row r="31" spans="1:14" ht="14.85" customHeight="1">
      <c r="K31" s="370"/>
    </row>
    <row r="32" spans="1:14" ht="14.85" customHeight="1">
      <c r="K32" s="370"/>
    </row>
    <row r="33" spans="11:14" ht="14.85" customHeight="1">
      <c r="K33" s="498"/>
      <c r="N33" s="358"/>
    </row>
    <row r="34" spans="11:14" ht="14.85" customHeight="1">
      <c r="K34" s="370"/>
    </row>
    <row r="35" spans="11:14" ht="14.85" customHeight="1">
      <c r="K35" s="370"/>
    </row>
    <row r="36" spans="11:14" ht="14.85" customHeight="1"/>
    <row r="37" spans="11:14" ht="14.85" customHeight="1"/>
    <row r="38" spans="11:14" ht="14.85" customHeight="1"/>
    <row r="39" spans="11:14" ht="14.85" customHeight="1"/>
    <row r="40" spans="11:14" ht="14.85" customHeight="1"/>
    <row r="41" spans="11:14" ht="14.85" customHeight="1"/>
    <row r="42" spans="11:14" ht="14.85" customHeight="1"/>
    <row r="43" spans="11:14" ht="14.85" customHeight="1"/>
    <row r="44" spans="11:14" ht="14.85" customHeight="1"/>
    <row r="45" spans="11:14" ht="14.85" customHeight="1"/>
    <row r="46" spans="11:14" ht="14.85" customHeight="1"/>
    <row r="47" spans="11:14" ht="14.85" customHeight="1"/>
    <row r="48" spans="11:14"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sheetData>
  <dataConsolidate/>
  <conditionalFormatting sqref="B4:G4">
    <cfRule type="cellIs" dxfId="207" priority="9" stopIfTrue="1" operator="equal">
      <formula>"input"</formula>
    </cfRule>
  </conditionalFormatting>
  <conditionalFormatting sqref="H4">
    <cfRule type="cellIs" dxfId="206" priority="1" stopIfTrue="1" operator="equal">
      <formula>"input"</formula>
    </cfRule>
  </conditionalFormatting>
  <conditionalFormatting sqref="H4">
    <cfRule type="cellIs" dxfId="205" priority="2" stopIfTrue="1" operator="equal">
      <formula>"input"</formula>
    </cfRule>
  </conditionalFormatting>
  <pageMargins left="0.5" right="0.5" top="0.5" bottom="0.5" header="0.5" footer="0.5"/>
  <pageSetup scale="80" fitToWidth="0" fitToHeight="0" orientation="landscape" r:id="rId1"/>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67"/>
  <dimension ref="B1:F768"/>
  <sheetViews>
    <sheetView showGridLines="0" view="pageBreakPreview" zoomScale="85" zoomScaleNormal="100" zoomScaleSheetLayoutView="85" workbookViewId="0"/>
  </sheetViews>
  <sheetFormatPr defaultRowHeight="14.25" outlineLevelRow="1"/>
  <cols>
    <col min="1" max="1" width="4.5" style="234" customWidth="1"/>
    <col min="2" max="2" width="92.33203125" style="234" customWidth="1"/>
    <col min="3" max="3" width="2.83203125" style="234" customWidth="1"/>
    <col min="4" max="4" width="21" style="234" bestFit="1" customWidth="1"/>
    <col min="5" max="5" width="2.83203125" style="234" customWidth="1"/>
    <col min="6" max="6" width="25.83203125" style="234" customWidth="1"/>
    <col min="7" max="7" width="4.5" style="234" customWidth="1"/>
    <col min="8" max="16384" width="9.33203125" style="234"/>
  </cols>
  <sheetData>
    <row r="1" spans="2:6" ht="10.7" customHeight="1" thickBot="1"/>
    <row r="2" spans="2:6" ht="16.5" customHeight="1" thickTop="1">
      <c r="B2" s="223" t="str">
        <f>'MASTER PubCo Inputs'!$C$5</f>
        <v>Trucode Gene Repair, Inc.</v>
      </c>
      <c r="C2" s="223"/>
      <c r="D2" s="223"/>
      <c r="E2" s="223"/>
      <c r="F2" s="223"/>
    </row>
    <row r="3" spans="2:6" ht="15.75" customHeight="1">
      <c r="B3" s="232" t="str">
        <f>VLOOKUP(B4,Outline!$E$8:$G$65,COLUMNS(Outline!$E$8:$G$8),FALSE)</f>
        <v>Workpaper #4</v>
      </c>
      <c r="C3" s="232"/>
      <c r="D3" s="232"/>
      <c r="E3" s="232"/>
      <c r="F3" s="232"/>
    </row>
    <row r="4" spans="2:6" ht="16.5" customHeight="1" thickBot="1">
      <c r="B4" s="225" t="s">
        <v>1723</v>
      </c>
      <c r="C4" s="225"/>
      <c r="D4" s="225"/>
      <c r="E4" s="225"/>
      <c r="F4" s="233"/>
    </row>
    <row r="5" spans="2:6" ht="14.85" customHeight="1" thickTop="1"/>
    <row r="6" spans="2:6" ht="14.85" customHeight="1">
      <c r="B6" s="745"/>
      <c r="C6" s="746"/>
      <c r="D6" s="2053" t="s">
        <v>556</v>
      </c>
      <c r="F6" s="950" t="s">
        <v>70</v>
      </c>
    </row>
    <row r="7" spans="2:6" ht="14.85" customHeight="1">
      <c r="B7" s="354" t="s">
        <v>1770</v>
      </c>
      <c r="C7" s="1676"/>
      <c r="D7" s="1954">
        <f>'OPM 1 Hybrid'!$D$10</f>
        <v>2</v>
      </c>
      <c r="F7" s="266" t="str">
        <f>'OPM 1 Hybrid'!B3</f>
        <v>Workpaper #2</v>
      </c>
    </row>
    <row r="8" spans="2:6" ht="14.85" customHeight="1">
      <c r="B8" s="347" t="s">
        <v>4172</v>
      </c>
      <c r="D8" s="1955">
        <v>1</v>
      </c>
      <c r="F8" s="266" t="str">
        <f>'PWERM DLOM'!B3</f>
        <v>Exhibit H.1</v>
      </c>
    </row>
    <row r="9" spans="2:6" ht="14.85" customHeight="1">
      <c r="B9" s="369" t="s">
        <v>1772</v>
      </c>
      <c r="C9" s="345"/>
      <c r="D9" s="2054">
        <f>SUM(D7:D8)</f>
        <v>3</v>
      </c>
    </row>
    <row r="10" spans="2:6" ht="14.85" customHeight="1"/>
    <row r="11" spans="2:6" ht="14.85" customHeight="1">
      <c r="B11" s="745" t="s">
        <v>466</v>
      </c>
      <c r="C11" s="746"/>
      <c r="D11" s="949" t="s">
        <v>556</v>
      </c>
      <c r="F11" s="950" t="s">
        <v>70</v>
      </c>
    </row>
    <row r="12" spans="2:6" ht="14.85" customHeight="1"/>
    <row r="13" spans="2:6" ht="14.85" customHeight="1">
      <c r="B13" s="951" t="s">
        <v>71</v>
      </c>
      <c r="C13" s="584"/>
      <c r="D13" s="965">
        <f>D9</f>
        <v>3</v>
      </c>
      <c r="F13" s="1277"/>
    </row>
    <row r="14" spans="2:6" ht="14.85" customHeight="1">
      <c r="B14" s="347" t="s">
        <v>72</v>
      </c>
      <c r="D14" s="952">
        <f>'Risk-Free Rates Hybrid'!E35</f>
        <v>2.4299999999999999E-2</v>
      </c>
      <c r="F14" s="955" t="str">
        <f>'Risk-Free Rates Hybrid'!B3</f>
        <v>Workpaper #7</v>
      </c>
    </row>
    <row r="15" spans="2:6" ht="14.85" customHeight="1">
      <c r="B15" s="347" t="s">
        <v>73</v>
      </c>
      <c r="D15" s="953">
        <v>0</v>
      </c>
      <c r="F15" s="435"/>
    </row>
    <row r="16" spans="2:6" ht="14.85" customHeight="1">
      <c r="B16" s="347" t="s">
        <v>74</v>
      </c>
      <c r="D16" s="954">
        <f>'Asset Vol Hybrid OPM DLOM'!Q46</f>
        <v>0.86667538436797842</v>
      </c>
      <c r="F16" s="955" t="str">
        <f>'Asset Vol Hybrid OPM DLOM'!B3</f>
        <v>Workpaper #6</v>
      </c>
    </row>
    <row r="17" spans="2:6" ht="14.85" customHeight="1">
      <c r="B17" s="347"/>
      <c r="D17" s="348"/>
    </row>
    <row r="18" spans="2:6" ht="14.85" customHeight="1">
      <c r="B18" s="347" t="s">
        <v>75</v>
      </c>
      <c r="D18" s="956">
        <f>D16^2*D13</f>
        <v>2.2533786656081496</v>
      </c>
    </row>
    <row r="19" spans="2:6" ht="14.85" customHeight="1">
      <c r="B19" s="347" t="s">
        <v>76</v>
      </c>
      <c r="D19" s="956">
        <f>(D16^2*D13+LN(2*(EXP(D18)-D16^2*D13-1))-2*LN(EXP(D18)-1))^0.5</f>
        <v>0.70494119760838636</v>
      </c>
    </row>
    <row r="20" spans="2:6" ht="14.85" customHeight="1">
      <c r="B20" s="347" t="s">
        <v>77</v>
      </c>
      <c r="D20" s="956">
        <f>((D14-D15)*D13)/D19+0.5*D19</f>
        <v>0.4558834795484647</v>
      </c>
    </row>
    <row r="21" spans="2:6" ht="14.85" customHeight="1">
      <c r="B21" s="347" t="s">
        <v>78</v>
      </c>
      <c r="D21" s="956">
        <f>((D14-D15)*D13)/D19-0.5*D19</f>
        <v>-0.24905771805992166</v>
      </c>
    </row>
    <row r="22" spans="2:6" ht="14.85" customHeight="1">
      <c r="B22" s="347"/>
      <c r="D22" s="957"/>
    </row>
    <row r="23" spans="2:6" ht="14.85" customHeight="1">
      <c r="B23" s="958" t="s">
        <v>79</v>
      </c>
      <c r="C23" s="959"/>
      <c r="D23" s="961">
        <f>EXP((D14-D15)*D13)*NORMSDIST(D20)-NORMSDIST(D21)</f>
        <v>0.32520826073662246</v>
      </c>
    </row>
    <row r="24" spans="2:6" ht="14.85" customHeight="1"/>
    <row r="25" spans="2:6" ht="14.85" hidden="1" customHeight="1" outlineLevel="1">
      <c r="B25" s="962" t="s">
        <v>80</v>
      </c>
      <c r="C25" s="948"/>
      <c r="D25" s="949" t="str">
        <f t="shared" ref="D25" si="0">D11</f>
        <v>OPM</v>
      </c>
    </row>
    <row r="26" spans="2:6" ht="14.85" hidden="1" customHeight="1" outlineLevel="1"/>
    <row r="27" spans="2:6" ht="14.85" hidden="1" customHeight="1" outlineLevel="1">
      <c r="B27" s="951" t="s">
        <v>81</v>
      </c>
      <c r="C27" s="584"/>
      <c r="D27" s="963">
        <v>1</v>
      </c>
    </row>
    <row r="28" spans="2:6" ht="14.85" hidden="1" customHeight="1" outlineLevel="1">
      <c r="B28" s="347" t="s">
        <v>82</v>
      </c>
      <c r="D28" s="482">
        <v>1</v>
      </c>
    </row>
    <row r="29" spans="2:6" ht="14.85" hidden="1" customHeight="1" outlineLevel="1">
      <c r="B29" s="347" t="s">
        <v>83</v>
      </c>
      <c r="D29" s="546">
        <f>D13</f>
        <v>3</v>
      </c>
      <c r="F29" s="497"/>
    </row>
    <row r="30" spans="2:6" ht="14.85" hidden="1" customHeight="1" outlineLevel="1">
      <c r="B30" s="347" t="s">
        <v>72</v>
      </c>
      <c r="D30" s="964">
        <f>D14</f>
        <v>2.4299999999999999E-2</v>
      </c>
      <c r="F30" s="497" t="str">
        <f>+F14</f>
        <v>Workpaper #7</v>
      </c>
    </row>
    <row r="31" spans="2:6" ht="14.85" hidden="1" customHeight="1" outlineLevel="1">
      <c r="B31" s="347" t="s">
        <v>74</v>
      </c>
      <c r="D31" s="411">
        <f>D16</f>
        <v>0.86667538436797842</v>
      </c>
      <c r="F31" s="497" t="str">
        <f>+F16</f>
        <v>Workpaper #6</v>
      </c>
    </row>
    <row r="32" spans="2:6" ht="14.85" hidden="1" customHeight="1" outlineLevel="1">
      <c r="B32" s="347"/>
      <c r="D32" s="348"/>
    </row>
    <row r="33" spans="2:6" ht="14.85" hidden="1" customHeight="1" outlineLevel="1">
      <c r="B33" s="347" t="s">
        <v>84</v>
      </c>
      <c r="D33" s="956">
        <f>(LN(D27/D28)+(D30+D31^2/2)*D29)/(D31*SQRT(D29))</f>
        <v>0.79912645115275927</v>
      </c>
    </row>
    <row r="34" spans="2:6" ht="14.85" hidden="1" customHeight="1" outlineLevel="1">
      <c r="B34" s="347" t="s">
        <v>85</v>
      </c>
      <c r="D34" s="956">
        <f>D33-D31*SQRT(D29)</f>
        <v>-0.70199934824186483</v>
      </c>
    </row>
    <row r="35" spans="2:6" ht="14.85" hidden="1" customHeight="1" outlineLevel="1">
      <c r="B35" s="347"/>
      <c r="D35" s="348"/>
    </row>
    <row r="36" spans="2:6" ht="14.85" hidden="1" customHeight="1" outlineLevel="1">
      <c r="B36" s="958" t="s">
        <v>79</v>
      </c>
      <c r="C36" s="269"/>
      <c r="D36" s="961">
        <f>D28*EXP(-D30*D29)*NORMSDIST(-D34)-D27*NORMSDIST(-D33)</f>
        <v>0.49321314754060397</v>
      </c>
    </row>
    <row r="37" spans="2:6" ht="14.85" hidden="1" customHeight="1" outlineLevel="1"/>
    <row r="38" spans="2:6" ht="14.85" customHeight="1" collapsed="1">
      <c r="B38" s="962" t="s">
        <v>462</v>
      </c>
      <c r="C38" s="948"/>
      <c r="D38" s="949" t="str">
        <f t="shared" ref="D38" si="1">D11</f>
        <v>OPM</v>
      </c>
    </row>
    <row r="39" spans="2:6" ht="14.85" customHeight="1"/>
    <row r="40" spans="2:6" ht="14.85" customHeight="1">
      <c r="B40" s="951" t="s">
        <v>83</v>
      </c>
      <c r="C40" s="584"/>
      <c r="D40" s="965">
        <f>+D29</f>
        <v>3</v>
      </c>
      <c r="F40" s="497"/>
    </row>
    <row r="41" spans="2:6" ht="14.85" customHeight="1">
      <c r="B41" s="347" t="s">
        <v>81</v>
      </c>
      <c r="D41" s="482">
        <f>+D27</f>
        <v>1</v>
      </c>
    </row>
    <row r="42" spans="2:6" ht="14.85" customHeight="1">
      <c r="B42" s="347" t="s">
        <v>82</v>
      </c>
      <c r="D42" s="482">
        <f>+D28</f>
        <v>1</v>
      </c>
    </row>
    <row r="43" spans="2:6" ht="14.85" customHeight="1">
      <c r="B43" s="347" t="s">
        <v>73</v>
      </c>
      <c r="D43" s="964">
        <f>+D15</f>
        <v>0</v>
      </c>
    </row>
    <row r="44" spans="2:6" ht="14.85" customHeight="1">
      <c r="B44" s="347" t="s">
        <v>74</v>
      </c>
      <c r="D44" s="411">
        <f>+D16</f>
        <v>0.86667538436797842</v>
      </c>
      <c r="F44" s="497" t="str">
        <f>+F31</f>
        <v>Workpaper #6</v>
      </c>
    </row>
    <row r="45" spans="2:6" ht="14.85" customHeight="1">
      <c r="B45" s="347"/>
      <c r="D45" s="348"/>
    </row>
    <row r="46" spans="2:6" ht="14.85" customHeight="1">
      <c r="B46" s="347" t="s">
        <v>464</v>
      </c>
      <c r="D46" s="956">
        <f>LN(2*(EXP((D44^2)*D40)-((D44^2)*D40)-1))-2*(LN((D44^2)*D40))</f>
        <v>0.90349850474747417</v>
      </c>
    </row>
    <row r="47" spans="2:6" ht="14.85" customHeight="1">
      <c r="B47" s="347" t="s">
        <v>465</v>
      </c>
      <c r="D47" s="956">
        <f>SQRT(D46)</f>
        <v>0.95052538353663873</v>
      </c>
    </row>
    <row r="48" spans="2:6" ht="14.85" customHeight="1">
      <c r="B48" s="347"/>
      <c r="D48" s="348"/>
    </row>
    <row r="49" spans="2:4" ht="14.85" customHeight="1">
      <c r="B49" s="958" t="s">
        <v>79</v>
      </c>
      <c r="C49" s="269"/>
      <c r="D49" s="961">
        <f>EXP(-D43*D40)*D42*(2*NORMSDIST(D47/2)-1)</f>
        <v>0.36540025246757502</v>
      </c>
    </row>
    <row r="50" spans="2:4" ht="14.85" customHeight="1"/>
    <row r="51" spans="2:4" ht="14.85" customHeight="1">
      <c r="B51" s="966" t="s">
        <v>467</v>
      </c>
      <c r="C51" s="967"/>
      <c r="D51" s="968">
        <f>ROUND(AVERAGE(D49,D23),1)</f>
        <v>0.3</v>
      </c>
    </row>
    <row r="52" spans="2:4" ht="14.85" customHeight="1"/>
    <row r="53" spans="2:4" ht="14.85" customHeight="1">
      <c r="B53" s="279" t="s">
        <v>86</v>
      </c>
    </row>
    <row r="54" spans="2:4" ht="14.85" customHeight="1">
      <c r="B54" s="969" t="s">
        <v>250</v>
      </c>
    </row>
    <row r="55" spans="2:4" ht="14.85" customHeight="1"/>
    <row r="56" spans="2:4" ht="14.85" customHeight="1"/>
    <row r="57" spans="2:4" ht="14.85" customHeight="1"/>
    <row r="58" spans="2:4" ht="14.85" customHeight="1"/>
    <row r="59" spans="2:4" ht="14.85" customHeight="1"/>
    <row r="60" spans="2:4" ht="14.85" customHeight="1"/>
    <row r="61" spans="2:4" ht="14.85" customHeight="1"/>
    <row r="62" spans="2:4" ht="14.85" customHeight="1"/>
    <row r="63" spans="2:4" ht="14.85" customHeight="1"/>
    <row r="64" spans="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row r="766" ht="14.85" customHeight="1"/>
    <row r="767" ht="14.85" customHeight="1"/>
    <row r="768" ht="14.85" customHeight="1"/>
  </sheetData>
  <conditionalFormatting sqref="B4:E4">
    <cfRule type="cellIs" dxfId="204" priority="4" stopIfTrue="1" operator="equal">
      <formula>"input"</formula>
    </cfRule>
  </conditionalFormatting>
  <conditionalFormatting sqref="F4">
    <cfRule type="cellIs" dxfId="203" priority="2" stopIfTrue="1" operator="equal">
      <formula>"input"</formula>
    </cfRule>
  </conditionalFormatting>
  <conditionalFormatting sqref="F4">
    <cfRule type="cellIs" dxfId="202" priority="3" stopIfTrue="1" operator="equal">
      <formula>"input"</formula>
    </cfRule>
  </conditionalFormatting>
  <conditionalFormatting sqref="D8">
    <cfRule type="cellIs" dxfId="201" priority="1" operator="equal">
      <formula>0</formula>
    </cfRule>
  </conditionalFormatting>
  <pageMargins left="0.5" right="0.5" top="0.5" bottom="0.5" header="0.5" footer="0.5"/>
  <pageSetup scale="65" fitToWidth="0" fitToHeight="0" orientation="landscape" r:id="rId1"/>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68"/>
  <dimension ref="A1:AI759"/>
  <sheetViews>
    <sheetView showGridLines="0" view="pageBreakPreview" zoomScale="85" zoomScaleNormal="100" zoomScaleSheetLayoutView="85" workbookViewId="0"/>
  </sheetViews>
  <sheetFormatPr defaultRowHeight="14.25" outlineLevelRow="1" outlineLevelCol="1"/>
  <cols>
    <col min="1" max="1" width="4.5" style="234" customWidth="1"/>
    <col min="2" max="2" width="42.1640625" style="234" customWidth="1"/>
    <col min="3" max="3" width="3.83203125" style="234" customWidth="1"/>
    <col min="4" max="4" width="12.832031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Workpaper #5</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
        <v>1724</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'OPM 1 Hybrid'!D10</f>
        <v>2</v>
      </c>
      <c r="O6" s="440">
        <f>'Risk-Free Rates Hybrid'!E27</f>
        <v>2.4500000000000001E-2</v>
      </c>
      <c r="Q6" s="268">
        <f>HLOOKUP(ROUND(N6,0),'Equity Vol'!$D$8:$H$8,1,TRUE)</f>
        <v>2</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14.8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row r="10" spans="2:35" ht="14.85" customHeight="1">
      <c r="B10" s="1916" t="s">
        <v>4046</v>
      </c>
    </row>
    <row r="11" spans="2:35" ht="14.85" customHeight="1">
      <c r="B11" s="234" t="str">
        <f>'Comp.1'!B11</f>
        <v>Alnylam Pharmaceuticals, Inc.</v>
      </c>
      <c r="D11" s="259">
        <f>'Beta Calc'!K11</f>
        <v>8868.9653999999991</v>
      </c>
      <c r="E11" s="259">
        <f>'Beta Calc'!L11</f>
        <v>30</v>
      </c>
      <c r="F11" s="259" t="str">
        <f>'Beta Calc'!M11</f>
        <v>n/a</v>
      </c>
      <c r="G11" s="259" t="str">
        <f>'Beta Calc'!N11</f>
        <v>n/a</v>
      </c>
      <c r="H11" s="259">
        <f>SUM(E11:G11)</f>
        <v>30</v>
      </c>
      <c r="I11" s="259">
        <f>SUM(D11:G11)</f>
        <v>8898.9653999999991</v>
      </c>
      <c r="J11" s="259">
        <f>'Beta Calc'!Q11</f>
        <v>1236.8340000000001</v>
      </c>
      <c r="K11" s="259">
        <f>I11-J11</f>
        <v>7662.1313999999993</v>
      </c>
      <c r="M11" s="390">
        <f>IFERROR('Capital IQ Sheet-GPC'!AT13,"n/a")</f>
        <v>0</v>
      </c>
      <c r="N11" s="259">
        <f t="shared" ref="N11:O35" si="0">N$6</f>
        <v>2</v>
      </c>
      <c r="O11" s="898">
        <f t="shared" si="0"/>
        <v>2.4500000000000001E-2</v>
      </c>
      <c r="P11" s="899"/>
      <c r="Q11" s="900">
        <f>IFERROR(HLOOKUP($Q$6,'Equity Vol'!$B$8:$H11,ROWS('Equity Vol'!$C$8:$C11),FALSE),"n/a")</f>
        <v>0.59416943228496266</v>
      </c>
      <c r="R11" s="304"/>
      <c r="S11" s="901">
        <f>IFERROR(IF(Q11="n/a","n/a",Q11^2),"n/a")</f>
        <v>0.35303731426183482</v>
      </c>
      <c r="T11" s="901">
        <f t="shared" ref="T11:T29" si="1">IF(OR(K11="n/a",S11="n/a"),"n/a",IF(H11=0,0,IF(M11=0,(LN(K11/H11)+((O11+(S11/2))*N11))/((S11*N11)^0.5),(LN(K11/H11)+((O11-M11+(S11/2))*N11))/((S11*N11)^0.5))))</f>
        <v>7.0748654448624544</v>
      </c>
      <c r="U11" s="902">
        <f t="shared" ref="U11:U29" si="2">IF(T11="n/a","n/a",IF(H11=0,0,T11-(S11*N11)^0.5))</f>
        <v>6.2345829753775384</v>
      </c>
      <c r="V11" s="902">
        <f t="shared" ref="V11:V29" si="3">IF(OR(T11="n/a",S11="n/a"),"n/a",IF(H11=0,0,NORMSDIST(T11)))</f>
        <v>0.99999999999925204</v>
      </c>
      <c r="W11" s="902">
        <f t="shared" ref="W11:W29" si="4">IF(OR(U11="n/a",S11="n/a"),"n/a",IF(H11=0,0,NORMSDIST(U11)))</f>
        <v>0.9999999997735084</v>
      </c>
      <c r="X11" s="259">
        <f t="shared" ref="X11:X29" si="5">IF(OR(K11="n/a",S11="n/a"),"n/a",IF(M11=0,(K11*V11)-((H11*EXP(1)^(-O11*N11))*W11),(K11*(2.718^(-M11*N11))*V11)-(H11*(2.718^(-O11*N11))*W11)))</f>
        <v>7633.5659661097834</v>
      </c>
      <c r="Y11" s="900">
        <f t="shared" ref="Y11:Y29" si="6">IFERROR(IF(LEN(B11)&gt;0,IF(H11=0,Q11,IF(ISERROR(Q11/((K11/X11)*V11)),"n/a",Q11/((K11/X11)*V11)))),"n/a")</f>
        <v>0.59195429047283832</v>
      </c>
      <c r="AA11" s="815" t="str">
        <f>IF('MASTER PubCo Inputs'!B28=0,"",'MASTER PubCo Inputs'!B28)</f>
        <v>NasdaqGS:ALNY</v>
      </c>
      <c r="AB11" s="259">
        <f>'Beta Calc'!Z11</f>
        <v>7662.1313899999996</v>
      </c>
      <c r="AC11" s="903">
        <f t="shared" ref="AC11:AC29" si="7">K11-AB11</f>
        <v>9.9999997473787516E-6</v>
      </c>
      <c r="AI11" s="811"/>
    </row>
    <row r="12" spans="2:35" ht="14.85" customHeight="1">
      <c r="B12" s="234" t="str">
        <f>'Comp.1'!B12</f>
        <v>bluebird bio, Inc.</v>
      </c>
      <c r="D12" s="259">
        <f>'Beta Calc'!K12</f>
        <v>7297.8752599999998</v>
      </c>
      <c r="E12" s="259">
        <f>'Beta Calc'!L12</f>
        <v>155.03399999999999</v>
      </c>
      <c r="F12" s="259" t="str">
        <f>'Beta Calc'!M12</f>
        <v>n/a</v>
      </c>
      <c r="G12" s="259" t="str">
        <f>'Beta Calc'!N12</f>
        <v>n/a</v>
      </c>
      <c r="H12" s="259">
        <f t="shared" ref="H12:H26" si="8">SUM(E12:G12)</f>
        <v>155.03399999999999</v>
      </c>
      <c r="I12" s="259">
        <f t="shared" ref="I12:I26" si="9">SUM(D12:G12)</f>
        <v>7452.9092599999994</v>
      </c>
      <c r="J12" s="259">
        <f>'Beta Calc'!Q12</f>
        <v>1695.2950000000001</v>
      </c>
      <c r="K12" s="259">
        <f t="shared" ref="K12:K26" si="10">I12-J12</f>
        <v>5757.6142599999994</v>
      </c>
      <c r="M12" s="390">
        <f>IFERROR('Capital IQ Sheet-GPC'!AT14,"n/a")</f>
        <v>0</v>
      </c>
      <c r="N12" s="259">
        <f t="shared" si="0"/>
        <v>2</v>
      </c>
      <c r="O12" s="898">
        <f t="shared" si="0"/>
        <v>2.4500000000000001E-2</v>
      </c>
      <c r="P12" s="899"/>
      <c r="Q12" s="900">
        <f>IFERROR(HLOOKUP($Q$6,'Equity Vol'!$B$8:$H12,ROWS('Equity Vol'!$C$8:$C12),FALSE),"n/a")</f>
        <v>0.53858552321462028</v>
      </c>
      <c r="R12" s="304"/>
      <c r="S12" s="901">
        <f t="shared" ref="S12:S26" si="11">IFERROR(IF(Q12="n/a","n/a",Q12^2),"n/a")</f>
        <v>0.29007436581636625</v>
      </c>
      <c r="T12" s="901">
        <f t="shared" si="1"/>
        <v>5.1908079524185737</v>
      </c>
      <c r="U12" s="902">
        <f t="shared" si="2"/>
        <v>4.4291330009906487</v>
      </c>
      <c r="V12" s="902">
        <f t="shared" si="3"/>
        <v>0.99999989530824729</v>
      </c>
      <c r="W12" s="902">
        <f t="shared" si="4"/>
        <v>0.999995269366733</v>
      </c>
      <c r="X12" s="259">
        <f t="shared" si="5"/>
        <v>5609.993906301801</v>
      </c>
      <c r="Y12" s="900">
        <f t="shared" si="6"/>
        <v>0.52477670144899924</v>
      </c>
      <c r="AA12" s="815" t="str">
        <f>IF('MASTER PubCo Inputs'!B29=0,"",'MASTER PubCo Inputs'!B29)</f>
        <v>NasdaqGS:BLUE</v>
      </c>
      <c r="AB12" s="259">
        <f>'Beta Calc'!Z12</f>
        <v>5757.6142600000003</v>
      </c>
      <c r="AC12" s="903">
        <f t="shared" si="7"/>
        <v>0</v>
      </c>
      <c r="AI12" s="811"/>
    </row>
    <row r="13" spans="2:35" ht="14.85" customHeight="1">
      <c r="B13" s="234" t="str">
        <f>'Comp.1'!B13</f>
        <v>Ironwood Pharmaceuticals, Inc.</v>
      </c>
      <c r="D13" s="259">
        <f>'Beta Calc'!K13</f>
        <v>2104.44911</v>
      </c>
      <c r="E13" s="259">
        <f>'Beta Calc'!L13</f>
        <v>409.30599999999998</v>
      </c>
      <c r="F13" s="259" t="str">
        <f>'Beta Calc'!M13</f>
        <v>n/a</v>
      </c>
      <c r="G13" s="259" t="str">
        <f>'Beta Calc'!N13</f>
        <v>n/a</v>
      </c>
      <c r="H13" s="259">
        <f t="shared" si="8"/>
        <v>409.30599999999998</v>
      </c>
      <c r="I13" s="259">
        <f t="shared" si="9"/>
        <v>2513.7551100000001</v>
      </c>
      <c r="J13" s="259">
        <f>'Beta Calc'!Q13</f>
        <v>161.398</v>
      </c>
      <c r="K13" s="259">
        <f t="shared" si="10"/>
        <v>2352.3571099999999</v>
      </c>
      <c r="M13" s="390">
        <f>IFERROR('Capital IQ Sheet-GPC'!AT15,"n/a")</f>
        <v>0</v>
      </c>
      <c r="N13" s="259">
        <f t="shared" si="0"/>
        <v>2</v>
      </c>
      <c r="O13" s="898">
        <f t="shared" si="0"/>
        <v>2.4500000000000001E-2</v>
      </c>
      <c r="P13" s="899"/>
      <c r="Q13" s="900">
        <f>IFERROR(HLOOKUP($Q$6,'Equity Vol'!$B$8:$H13,ROWS('Equity Vol'!$C$8:$C13),FALSE),"n/a")</f>
        <v>0.4634353984441596</v>
      </c>
      <c r="R13" s="304"/>
      <c r="S13" s="901">
        <f t="shared" si="11"/>
        <v>0.21477236853109696</v>
      </c>
      <c r="T13" s="901">
        <f t="shared" si="1"/>
        <v>3.0706329218549948</v>
      </c>
      <c r="U13" s="902">
        <f t="shared" si="2"/>
        <v>2.4152362960914853</v>
      </c>
      <c r="V13" s="902">
        <f t="shared" si="3"/>
        <v>0.9989319720792057</v>
      </c>
      <c r="W13" s="902">
        <f t="shared" si="4"/>
        <v>0.99213749775060311</v>
      </c>
      <c r="X13" s="259">
        <f t="shared" si="5"/>
        <v>1963.1755575776065</v>
      </c>
      <c r="Y13" s="900">
        <f t="shared" si="6"/>
        <v>0.38717666589471578</v>
      </c>
      <c r="AA13" s="815" t="str">
        <f>IF('MASTER PubCo Inputs'!B30=0,"",'MASTER PubCo Inputs'!B30)</f>
        <v>NasdaqGS:IRWD</v>
      </c>
      <c r="AB13" s="259">
        <f>'Beta Calc'!Z13</f>
        <v>2352.3571099999999</v>
      </c>
      <c r="AC13" s="903">
        <f t="shared" si="7"/>
        <v>0</v>
      </c>
      <c r="AI13" s="811"/>
    </row>
    <row r="14" spans="2:35" ht="14.85" customHeight="1">
      <c r="B14" s="234" t="str">
        <f>'Comp.1'!B14</f>
        <v>Global Blood Therapeutics, Inc.</v>
      </c>
      <c r="D14" s="259">
        <f>'Beta Calc'!K14</f>
        <v>2660.4172400000002</v>
      </c>
      <c r="E14" s="259">
        <f>'Beta Calc'!L14</f>
        <v>0</v>
      </c>
      <c r="F14" s="259" t="str">
        <f>'Beta Calc'!M14</f>
        <v>n/a</v>
      </c>
      <c r="G14" s="259" t="str">
        <f>'Beta Calc'!N14</f>
        <v>n/a</v>
      </c>
      <c r="H14" s="259">
        <f t="shared" si="8"/>
        <v>0</v>
      </c>
      <c r="I14" s="259">
        <f t="shared" si="9"/>
        <v>2660.4172400000002</v>
      </c>
      <c r="J14" s="259">
        <f>'Beta Calc'!Q14</f>
        <v>383.22800000000001</v>
      </c>
      <c r="K14" s="259">
        <f t="shared" si="10"/>
        <v>2277.1892400000002</v>
      </c>
      <c r="M14" s="390">
        <f>IFERROR('Capital IQ Sheet-GPC'!AT16,"n/a")</f>
        <v>0</v>
      </c>
      <c r="N14" s="259">
        <f t="shared" si="0"/>
        <v>2</v>
      </c>
      <c r="O14" s="898">
        <f t="shared" si="0"/>
        <v>2.4500000000000001E-2</v>
      </c>
      <c r="P14" s="899"/>
      <c r="Q14" s="900">
        <f>IFERROR(HLOOKUP($Q$6,'Equity Vol'!$B$8:$H14,ROWS('Equity Vol'!$C$8:$C14),FALSE),"n/a")</f>
        <v>0.70150122776605739</v>
      </c>
      <c r="R14" s="304"/>
      <c r="S14" s="901">
        <f t="shared" si="11"/>
        <v>0.49210397255728594</v>
      </c>
      <c r="T14" s="901">
        <f t="shared" si="1"/>
        <v>0</v>
      </c>
      <c r="U14" s="902">
        <f t="shared" si="2"/>
        <v>0</v>
      </c>
      <c r="V14" s="902">
        <f t="shared" si="3"/>
        <v>0</v>
      </c>
      <c r="W14" s="902">
        <f t="shared" si="4"/>
        <v>0</v>
      </c>
      <c r="X14" s="259">
        <f t="shared" si="5"/>
        <v>0</v>
      </c>
      <c r="Y14" s="900">
        <f t="shared" si="6"/>
        <v>0.70150122776605739</v>
      </c>
      <c r="AA14" s="815" t="str">
        <f>IF('MASTER PubCo Inputs'!B31=0,"",'MASTER PubCo Inputs'!B31)</f>
        <v>NasdaqGS:GBT</v>
      </c>
      <c r="AB14" s="259">
        <f>'Beta Calc'!Z14</f>
        <v>2277.1892400000002</v>
      </c>
      <c r="AC14" s="903">
        <f t="shared" si="7"/>
        <v>0</v>
      </c>
      <c r="AI14" s="811"/>
    </row>
    <row r="15" spans="2:35" ht="14.85" customHeight="1">
      <c r="B15" s="234" t="str">
        <f>'Comp.1'!B15</f>
        <v>Acceleron Pharma Inc.</v>
      </c>
      <c r="D15" s="259">
        <f>'Beta Calc'!K15</f>
        <v>2185.0571599999998</v>
      </c>
      <c r="E15" s="259">
        <f>'Beta Calc'!L15</f>
        <v>0</v>
      </c>
      <c r="F15" s="259" t="str">
        <f>'Beta Calc'!M15</f>
        <v>n/a</v>
      </c>
      <c r="G15" s="259" t="str">
        <f>'Beta Calc'!N15</f>
        <v>n/a</v>
      </c>
      <c r="H15" s="259">
        <f t="shared" si="8"/>
        <v>0</v>
      </c>
      <c r="I15" s="259">
        <f t="shared" si="9"/>
        <v>2185.0571599999998</v>
      </c>
      <c r="J15" s="259">
        <f>'Beta Calc'!Q15</f>
        <v>307.97199999999998</v>
      </c>
      <c r="K15" s="259">
        <f t="shared" si="10"/>
        <v>1877.0851599999999</v>
      </c>
      <c r="M15" s="390">
        <f>IFERROR('Capital IQ Sheet-GPC'!AT17,"n/a")</f>
        <v>0</v>
      </c>
      <c r="N15" s="259">
        <f t="shared" si="0"/>
        <v>2</v>
      </c>
      <c r="O15" s="898">
        <f t="shared" si="0"/>
        <v>2.4500000000000001E-2</v>
      </c>
      <c r="P15" s="899"/>
      <c r="Q15" s="900">
        <f>IFERROR(HLOOKUP($Q$6,'Equity Vol'!$B$8:$H15,ROWS('Equity Vol'!$C$8:$C15),FALSE),"n/a")</f>
        <v>0.52894966684130962</v>
      </c>
      <c r="R15" s="304"/>
      <c r="S15" s="901">
        <f t="shared" si="11"/>
        <v>0.27978775005153245</v>
      </c>
      <c r="T15" s="901">
        <f t="shared" si="1"/>
        <v>0</v>
      </c>
      <c r="U15" s="902">
        <f t="shared" si="2"/>
        <v>0</v>
      </c>
      <c r="V15" s="902">
        <f t="shared" si="3"/>
        <v>0</v>
      </c>
      <c r="W15" s="902">
        <f t="shared" si="4"/>
        <v>0</v>
      </c>
      <c r="X15" s="259">
        <f t="shared" si="5"/>
        <v>0</v>
      </c>
      <c r="Y15" s="900">
        <f t="shared" si="6"/>
        <v>0.52894966684130962</v>
      </c>
      <c r="AA15" s="815" t="str">
        <f>IF('MASTER PubCo Inputs'!B32=0,"",'MASTER PubCo Inputs'!B32)</f>
        <v>NasdaqGM:XLRN</v>
      </c>
      <c r="AB15" s="259">
        <f>'Beta Calc'!Z15</f>
        <v>1877.0851600000001</v>
      </c>
      <c r="AC15" s="903">
        <f t="shared" si="7"/>
        <v>0</v>
      </c>
      <c r="AI15" s="811"/>
    </row>
    <row r="16" spans="2:35" ht="14.85" customHeight="1">
      <c r="B16" s="234" t="str">
        <f>'Comp.1'!B16</f>
        <v>Spark Therapeutics, Inc.</v>
      </c>
      <c r="D16" s="259">
        <f>'Beta Calc'!K16</f>
        <v>1805.0671400000001</v>
      </c>
      <c r="E16" s="259">
        <f>'Beta Calc'!L16</f>
        <v>84.891000000000005</v>
      </c>
      <c r="F16" s="259" t="str">
        <f>'Beta Calc'!M16</f>
        <v>n/a</v>
      </c>
      <c r="G16" s="259" t="str">
        <f>'Beta Calc'!N16</f>
        <v>n/a</v>
      </c>
      <c r="H16" s="259">
        <f t="shared" si="8"/>
        <v>84.891000000000005</v>
      </c>
      <c r="I16" s="259">
        <f t="shared" si="9"/>
        <v>1889.9581400000002</v>
      </c>
      <c r="J16" s="259">
        <f>'Beta Calc'!Q16</f>
        <v>590.476</v>
      </c>
      <c r="K16" s="259">
        <f t="shared" si="10"/>
        <v>1299.4821400000001</v>
      </c>
      <c r="M16" s="390">
        <f>IFERROR('Capital IQ Sheet-GPC'!AT18,"n/a")</f>
        <v>0</v>
      </c>
      <c r="N16" s="259">
        <f t="shared" si="0"/>
        <v>2</v>
      </c>
      <c r="O16" s="898">
        <f t="shared" si="0"/>
        <v>2.4500000000000001E-2</v>
      </c>
      <c r="P16" s="899"/>
      <c r="Q16" s="900">
        <f>IFERROR(HLOOKUP($Q$6,'Equity Vol'!$B$8:$H16,ROWS('Equity Vol'!$C$8:$C16),FALSE),"n/a")</f>
        <v>0.64539841996562952</v>
      </c>
      <c r="R16" s="304"/>
      <c r="S16" s="901">
        <f t="shared" si="11"/>
        <v>0.41653912049413111</v>
      </c>
      <c r="T16" s="901">
        <f t="shared" si="1"/>
        <v>3.4992691767611004</v>
      </c>
      <c r="U16" s="902">
        <f t="shared" si="2"/>
        <v>2.5865379781115405</v>
      </c>
      <c r="V16" s="902">
        <f t="shared" si="3"/>
        <v>0.99976673232785307</v>
      </c>
      <c r="W16" s="902">
        <f t="shared" si="4"/>
        <v>0.99515272568867474</v>
      </c>
      <c r="X16" s="259">
        <f t="shared" si="5"/>
        <v>1218.7392175233347</v>
      </c>
      <c r="Y16" s="900">
        <f t="shared" si="6"/>
        <v>0.6054380170663437</v>
      </c>
      <c r="AA16" s="815" t="str">
        <f>IF('MASTER PubCo Inputs'!B33=0,"",'MASTER PubCo Inputs'!B33)</f>
        <v>NasdaqGS:ONCE</v>
      </c>
      <c r="AB16" s="259">
        <f>'Beta Calc'!Z16</f>
        <v>1299.4821300000001</v>
      </c>
      <c r="AC16" s="903">
        <f t="shared" si="7"/>
        <v>9.9999999747524271E-6</v>
      </c>
      <c r="AI16" s="811"/>
    </row>
    <row r="17" spans="2:35" ht="14.85" customHeight="1">
      <c r="B17" s="234" t="str">
        <f>'Comp.1'!B17</f>
        <v>REGENXBIO Inc.</v>
      </c>
      <c r="D17" s="259">
        <f>'Beta Calc'!K17</f>
        <v>1575.5421799999999</v>
      </c>
      <c r="E17" s="259">
        <f>'Beta Calc'!L17</f>
        <v>0</v>
      </c>
      <c r="F17" s="259" t="str">
        <f>'Beta Calc'!M17</f>
        <v>n/a</v>
      </c>
      <c r="G17" s="259" t="str">
        <f>'Beta Calc'!N17</f>
        <v>n/a</v>
      </c>
      <c r="H17" s="259">
        <f t="shared" si="8"/>
        <v>0</v>
      </c>
      <c r="I17" s="259">
        <f t="shared" si="9"/>
        <v>1575.5421799999999</v>
      </c>
      <c r="J17" s="259">
        <f>'Beta Calc'!Q17</f>
        <v>372.589</v>
      </c>
      <c r="K17" s="259">
        <f t="shared" si="10"/>
        <v>1202.95318</v>
      </c>
      <c r="M17" s="390">
        <f>IFERROR('Capital IQ Sheet-GPC'!AT19,"n/a")</f>
        <v>0</v>
      </c>
      <c r="N17" s="259">
        <f t="shared" si="0"/>
        <v>2</v>
      </c>
      <c r="O17" s="898">
        <f t="shared" si="0"/>
        <v>2.4500000000000001E-2</v>
      </c>
      <c r="P17" s="899"/>
      <c r="Q17" s="900">
        <f>IFERROR(HLOOKUP($Q$6,'Equity Vol'!$B$8:$H17,ROWS('Equity Vol'!$C$8:$C17),FALSE),"n/a")</f>
        <v>0.67554666584600742</v>
      </c>
      <c r="R17" s="304"/>
      <c r="S17" s="901">
        <f t="shared" si="11"/>
        <v>0.4563632977356572</v>
      </c>
      <c r="T17" s="901">
        <f t="shared" si="1"/>
        <v>0</v>
      </c>
      <c r="U17" s="902">
        <f t="shared" si="2"/>
        <v>0</v>
      </c>
      <c r="V17" s="902">
        <f t="shared" si="3"/>
        <v>0</v>
      </c>
      <c r="W17" s="902">
        <f t="shared" si="4"/>
        <v>0</v>
      </c>
      <c r="X17" s="259">
        <f t="shared" si="5"/>
        <v>0</v>
      </c>
      <c r="Y17" s="900">
        <f t="shared" si="6"/>
        <v>0.67554666584600742</v>
      </c>
      <c r="AA17" s="815" t="str">
        <f>IF('MASTER PubCo Inputs'!B34=0,"",'MASTER PubCo Inputs'!B34)</f>
        <v>NasdaqGS:RGNX</v>
      </c>
      <c r="AB17" s="259">
        <f>'Beta Calc'!Z17</f>
        <v>1202.95318</v>
      </c>
      <c r="AC17" s="903">
        <f t="shared" si="7"/>
        <v>0</v>
      </c>
      <c r="AI17" s="811"/>
    </row>
    <row r="18" spans="2:35" ht="14.85" customHeight="1">
      <c r="B18" s="234" t="str">
        <f>'Comp.1'!B18</f>
        <v>uniQure N.V.</v>
      </c>
      <c r="D18" s="259">
        <f>'Beta Calc'!K18</f>
        <v>1275.6593700000001</v>
      </c>
      <c r="E18" s="259">
        <f>'Beta Calc'!L18</f>
        <v>20.707999999999998</v>
      </c>
      <c r="F18" s="259" t="str">
        <f>'Beta Calc'!M18</f>
        <v>n/a</v>
      </c>
      <c r="G18" s="259" t="str">
        <f>'Beta Calc'!N18</f>
        <v>n/a</v>
      </c>
      <c r="H18" s="259">
        <f t="shared" si="8"/>
        <v>20.707999999999998</v>
      </c>
      <c r="I18" s="259">
        <f t="shared" si="9"/>
        <v>1296.3673700000002</v>
      </c>
      <c r="J18" s="259">
        <f>'Beta Calc'!Q18</f>
        <v>239.54599999999999</v>
      </c>
      <c r="K18" s="259">
        <f t="shared" si="10"/>
        <v>1056.8213700000001</v>
      </c>
      <c r="M18" s="390">
        <f>IFERROR('Capital IQ Sheet-GPC'!AT20,"n/a")</f>
        <v>0</v>
      </c>
      <c r="N18" s="259">
        <f t="shared" si="0"/>
        <v>2</v>
      </c>
      <c r="O18" s="898">
        <f t="shared" si="0"/>
        <v>2.4500000000000001E-2</v>
      </c>
      <c r="P18" s="899"/>
      <c r="Q18" s="900">
        <f>IFERROR(HLOOKUP($Q$6,'Equity Vol'!$B$8:$H18,ROWS('Equity Vol'!$C$8:$C18),FALSE),"n/a")</f>
        <v>0.76002768683622213</v>
      </c>
      <c r="R18" s="304"/>
      <c r="S18" s="901">
        <f t="shared" si="11"/>
        <v>0.57764208475761858</v>
      </c>
      <c r="T18" s="901">
        <f t="shared" si="1"/>
        <v>4.2416887691776779</v>
      </c>
      <c r="U18" s="902">
        <f t="shared" si="2"/>
        <v>3.1668473066748408</v>
      </c>
      <c r="V18" s="902">
        <f t="shared" si="3"/>
        <v>0.99998890779059635</v>
      </c>
      <c r="W18" s="902">
        <f t="shared" si="4"/>
        <v>0.99922949395090777</v>
      </c>
      <c r="X18" s="259">
        <f t="shared" si="5"/>
        <v>1037.1070733408853</v>
      </c>
      <c r="Y18" s="900">
        <f t="shared" si="6"/>
        <v>0.74585815128147515</v>
      </c>
      <c r="AA18" s="815" t="str">
        <f>IF('MASTER PubCo Inputs'!B35=0,"",'MASTER PubCo Inputs'!B35)</f>
        <v>NasdaqGS:QURE</v>
      </c>
      <c r="AB18" s="259">
        <f>'Beta Calc'!Z18</f>
        <v>1056.8213699999999</v>
      </c>
      <c r="AC18" s="903">
        <f t="shared" si="7"/>
        <v>0</v>
      </c>
      <c r="AI18" s="811"/>
    </row>
    <row r="19" spans="2:35" ht="14.85" customHeight="1">
      <c r="B19" s="234" t="str">
        <f>'Comp.1'!B19</f>
        <v>Audentes Therapeutics, Inc.</v>
      </c>
      <c r="D19" s="259">
        <f>'Beta Calc'!K19</f>
        <v>1058.70937</v>
      </c>
      <c r="E19" s="259">
        <f>'Beta Calc'!L19</f>
        <v>0</v>
      </c>
      <c r="F19" s="259" t="str">
        <f>'Beta Calc'!M19</f>
        <v>n/a</v>
      </c>
      <c r="G19" s="259" t="str">
        <f>'Beta Calc'!N19</f>
        <v>n/a</v>
      </c>
      <c r="H19" s="259">
        <f t="shared" si="8"/>
        <v>0</v>
      </c>
      <c r="I19" s="259">
        <f t="shared" si="9"/>
        <v>1058.70937</v>
      </c>
      <c r="J19" s="259">
        <f>'Beta Calc'!Q19</f>
        <v>280.68599999999998</v>
      </c>
      <c r="K19" s="259">
        <f t="shared" si="10"/>
        <v>778.02337000000011</v>
      </c>
      <c r="M19" s="390">
        <f>IFERROR('Capital IQ Sheet-GPC'!AT21,"n/a")</f>
        <v>0</v>
      </c>
      <c r="N19" s="259">
        <f t="shared" si="0"/>
        <v>2</v>
      </c>
      <c r="O19" s="898">
        <f t="shared" si="0"/>
        <v>2.4500000000000001E-2</v>
      </c>
      <c r="P19" s="899"/>
      <c r="Q19" s="900">
        <f>IFERROR(HLOOKUP($Q$6,'Equity Vol'!$B$8:$H19,ROWS('Equity Vol'!$C$8:$C19),FALSE),"n/a")</f>
        <v>0.60947723086456018</v>
      </c>
      <c r="R19" s="304"/>
      <c r="S19" s="901">
        <f t="shared" si="11"/>
        <v>0.37146249494233241</v>
      </c>
      <c r="T19" s="901">
        <f t="shared" si="1"/>
        <v>0</v>
      </c>
      <c r="U19" s="902">
        <f t="shared" si="2"/>
        <v>0</v>
      </c>
      <c r="V19" s="902">
        <f t="shared" si="3"/>
        <v>0</v>
      </c>
      <c r="W19" s="902">
        <f t="shared" si="4"/>
        <v>0</v>
      </c>
      <c r="X19" s="259">
        <f t="shared" si="5"/>
        <v>0</v>
      </c>
      <c r="Y19" s="900">
        <f t="shared" si="6"/>
        <v>0.60947723086456018</v>
      </c>
      <c r="AA19" s="815" t="str">
        <f>IF('MASTER PubCo Inputs'!B36=0,"",'MASTER PubCo Inputs'!B36)</f>
        <v>NasdaqGM:BOLD</v>
      </c>
      <c r="AB19" s="259">
        <f>'Beta Calc'!Z19</f>
        <v>778.02337</v>
      </c>
      <c r="AC19" s="903">
        <f t="shared" si="7"/>
        <v>0</v>
      </c>
      <c r="AI19" s="811"/>
    </row>
    <row r="20" spans="2:35" ht="14.85" customHeight="1">
      <c r="B20" s="234" t="str">
        <f>'Comp.1'!B20</f>
        <v>Sangamo Therapeutics, Inc.</v>
      </c>
      <c r="D20" s="259">
        <f>'Beta Calc'!K20</f>
        <v>1193.4655700000001</v>
      </c>
      <c r="E20" s="259">
        <f>'Beta Calc'!L20</f>
        <v>0</v>
      </c>
      <c r="F20" s="259" t="str">
        <f>'Beta Calc'!M20</f>
        <v>n/a</v>
      </c>
      <c r="G20" s="259" t="str">
        <f>'Beta Calc'!N20</f>
        <v>n/a</v>
      </c>
      <c r="H20" s="259">
        <f t="shared" si="8"/>
        <v>0</v>
      </c>
      <c r="I20" s="259">
        <f t="shared" si="9"/>
        <v>1193.4655700000001</v>
      </c>
      <c r="J20" s="259">
        <f>'Beta Calc'!Q20</f>
        <v>458.57</v>
      </c>
      <c r="K20" s="259">
        <f t="shared" si="10"/>
        <v>734.89557000000013</v>
      </c>
      <c r="M20" s="390">
        <f>IFERROR('Capital IQ Sheet-GPC'!AT22,"n/a")</f>
        <v>0</v>
      </c>
      <c r="N20" s="259">
        <f t="shared" si="0"/>
        <v>2</v>
      </c>
      <c r="O20" s="898">
        <f t="shared" si="0"/>
        <v>2.4500000000000001E-2</v>
      </c>
      <c r="P20" s="899"/>
      <c r="Q20" s="900">
        <f>IFERROR(HLOOKUP($Q$6,'Equity Vol'!$B$8:$H20,ROWS('Equity Vol'!$C$8:$C20),FALSE),"n/a")</f>
        <v>0.8134368682842571</v>
      </c>
      <c r="R20" s="304"/>
      <c r="S20" s="901">
        <f t="shared" si="11"/>
        <v>0.66167953868409979</v>
      </c>
      <c r="T20" s="901">
        <f t="shared" si="1"/>
        <v>0</v>
      </c>
      <c r="U20" s="902">
        <f t="shared" si="2"/>
        <v>0</v>
      </c>
      <c r="V20" s="902">
        <f t="shared" si="3"/>
        <v>0</v>
      </c>
      <c r="W20" s="902">
        <f t="shared" si="4"/>
        <v>0</v>
      </c>
      <c r="X20" s="259">
        <f t="shared" si="5"/>
        <v>0</v>
      </c>
      <c r="Y20" s="900">
        <f t="shared" si="6"/>
        <v>0.8134368682842571</v>
      </c>
      <c r="AA20" s="815" t="str">
        <f>IF('MASTER PubCo Inputs'!B37=0,"",'MASTER PubCo Inputs'!B37)</f>
        <v>NasdaqGS:SGMO</v>
      </c>
      <c r="AB20" s="259">
        <f>'Beta Calc'!Z20</f>
        <v>734.89557000000002</v>
      </c>
      <c r="AC20" s="903">
        <f t="shared" si="7"/>
        <v>0</v>
      </c>
      <c r="AI20" s="811"/>
    </row>
    <row r="21" spans="2:35" ht="14.85" customHeight="1">
      <c r="B21" s="234" t="str">
        <f>'Comp.1'!B21</f>
        <v>Homology Medicines, Inc.</v>
      </c>
      <c r="D21" s="259">
        <f>'Beta Calc'!K21</f>
        <v>756.27498000000003</v>
      </c>
      <c r="E21" s="259">
        <f>'Beta Calc'!L21</f>
        <v>0</v>
      </c>
      <c r="F21" s="259" t="str">
        <f>'Beta Calc'!M21</f>
        <v>n/a</v>
      </c>
      <c r="G21" s="259" t="str">
        <f>'Beta Calc'!N21</f>
        <v>n/a</v>
      </c>
      <c r="H21" s="259">
        <f t="shared" si="8"/>
        <v>0</v>
      </c>
      <c r="I21" s="259">
        <f t="shared" si="9"/>
        <v>756.27498000000003</v>
      </c>
      <c r="J21" s="259">
        <f>'Beta Calc'!Q21</f>
        <v>237.54401999999999</v>
      </c>
      <c r="K21" s="259">
        <f t="shared" si="10"/>
        <v>518.7309600000001</v>
      </c>
      <c r="M21" s="390">
        <f>IFERROR('Capital IQ Sheet-GPC'!AT23,"n/a")</f>
        <v>0</v>
      </c>
      <c r="N21" s="259">
        <f t="shared" si="0"/>
        <v>2</v>
      </c>
      <c r="O21" s="898">
        <f t="shared" si="0"/>
        <v>2.4500000000000001E-2</v>
      </c>
      <c r="P21" s="899"/>
      <c r="Q21" s="900" t="str">
        <f>IFERROR(HLOOKUP($Q$6,'Equity Vol'!$B$8:$H21,ROWS('Equity Vol'!$C$8:$C21),FALSE),"n/a")</f>
        <v>NM</v>
      </c>
      <c r="R21" s="304"/>
      <c r="S21" s="901" t="str">
        <f t="shared" si="11"/>
        <v>n/a</v>
      </c>
      <c r="T21" s="901" t="str">
        <f t="shared" si="1"/>
        <v>n/a</v>
      </c>
      <c r="U21" s="902" t="str">
        <f t="shared" si="2"/>
        <v>n/a</v>
      </c>
      <c r="V21" s="902" t="str">
        <f t="shared" si="3"/>
        <v>n/a</v>
      </c>
      <c r="W21" s="902" t="str">
        <f t="shared" si="4"/>
        <v>n/a</v>
      </c>
      <c r="X21" s="259" t="str">
        <f t="shared" si="5"/>
        <v>n/a</v>
      </c>
      <c r="Y21" s="900" t="str">
        <f t="shared" si="6"/>
        <v>NM</v>
      </c>
      <c r="AA21" s="815" t="str">
        <f>IF('MASTER PubCo Inputs'!B38=0,"",'MASTER PubCo Inputs'!B38)</f>
        <v>NasdaqGS:FIXX</v>
      </c>
      <c r="AB21" s="259">
        <f>'Beta Calc'!Z21</f>
        <v>518.73095999999998</v>
      </c>
      <c r="AC21" s="903">
        <f t="shared" si="7"/>
        <v>0</v>
      </c>
      <c r="AI21" s="811"/>
    </row>
    <row r="22" spans="2:35" ht="14.85" customHeight="1">
      <c r="B22" s="234" t="str">
        <f>'Comp.1'!B22</f>
        <v>Corbus Pharmaceuticals Holdings, Inc.</v>
      </c>
      <c r="D22" s="259">
        <f>'Beta Calc'!K22</f>
        <v>473.53946999999999</v>
      </c>
      <c r="E22" s="259">
        <f>'Beta Calc'!L22</f>
        <v>0</v>
      </c>
      <c r="F22" s="259" t="str">
        <f>'Beta Calc'!M22</f>
        <v>n/a</v>
      </c>
      <c r="G22" s="259" t="str">
        <f>'Beta Calc'!N22</f>
        <v>n/a</v>
      </c>
      <c r="H22" s="259">
        <f t="shared" si="8"/>
        <v>0</v>
      </c>
      <c r="I22" s="259">
        <f t="shared" si="9"/>
        <v>473.53946999999999</v>
      </c>
      <c r="J22" s="259">
        <f>'Beta Calc'!Q22</f>
        <v>55.659350000000003</v>
      </c>
      <c r="K22" s="259">
        <f t="shared" si="10"/>
        <v>417.88011999999998</v>
      </c>
      <c r="M22" s="390">
        <f>IFERROR('Capital IQ Sheet-GPC'!AT24,"n/a")</f>
        <v>0</v>
      </c>
      <c r="N22" s="259">
        <f t="shared" si="0"/>
        <v>2</v>
      </c>
      <c r="O22" s="898">
        <f t="shared" si="0"/>
        <v>2.4500000000000001E-2</v>
      </c>
      <c r="P22" s="899"/>
      <c r="Q22" s="900">
        <f>IFERROR(HLOOKUP($Q$6,'Equity Vol'!$B$8:$H22,ROWS('Equity Vol'!$C$8:$C22),FALSE),"n/a")</f>
        <v>0.6748916162350671</v>
      </c>
      <c r="R22" s="304"/>
      <c r="S22" s="901">
        <f t="shared" si="11"/>
        <v>0.4554786936643811</v>
      </c>
      <c r="T22" s="901">
        <f t="shared" si="1"/>
        <v>0</v>
      </c>
      <c r="U22" s="902">
        <f t="shared" si="2"/>
        <v>0</v>
      </c>
      <c r="V22" s="902">
        <f t="shared" si="3"/>
        <v>0</v>
      </c>
      <c r="W22" s="902">
        <f t="shared" si="4"/>
        <v>0</v>
      </c>
      <c r="X22" s="259">
        <f t="shared" si="5"/>
        <v>0</v>
      </c>
      <c r="Y22" s="900">
        <f t="shared" si="6"/>
        <v>0.6748916162350671</v>
      </c>
      <c r="AA22" s="815" t="str">
        <f>IF('MASTER PubCo Inputs'!B39=0,"",'MASTER PubCo Inputs'!B39)</f>
        <v>NasdaqGM:CRBP</v>
      </c>
      <c r="AB22" s="259">
        <f>'Beta Calc'!Z22</f>
        <v>417.88011999999998</v>
      </c>
      <c r="AC22" s="903">
        <f t="shared" si="7"/>
        <v>0</v>
      </c>
      <c r="AI22" s="811"/>
    </row>
    <row r="23" spans="2:35" ht="14.85" customHeight="1">
      <c r="B23" s="234" t="str">
        <f>'Comp.1'!B23</f>
        <v>GlycoMimetics, Inc.</v>
      </c>
      <c r="D23" s="259">
        <f>'Beta Calc'!K23</f>
        <v>483.13693999999998</v>
      </c>
      <c r="E23" s="259">
        <f>'Beta Calc'!L23</f>
        <v>0</v>
      </c>
      <c r="F23" s="259" t="str">
        <f>'Beta Calc'!M23</f>
        <v>n/a</v>
      </c>
      <c r="G23" s="259" t="str">
        <f>'Beta Calc'!N23</f>
        <v>n/a</v>
      </c>
      <c r="H23" s="259">
        <f t="shared" si="8"/>
        <v>0</v>
      </c>
      <c r="I23" s="259">
        <f t="shared" si="9"/>
        <v>483.13693999999998</v>
      </c>
      <c r="J23" s="259">
        <f>'Beta Calc'!Q23</f>
        <v>219.82863</v>
      </c>
      <c r="K23" s="259">
        <f t="shared" si="10"/>
        <v>263.30831000000001</v>
      </c>
      <c r="M23" s="390">
        <f>IFERROR('Capital IQ Sheet-GPC'!AT25,"n/a")</f>
        <v>0</v>
      </c>
      <c r="N23" s="259">
        <f t="shared" si="0"/>
        <v>2</v>
      </c>
      <c r="O23" s="898">
        <f t="shared" si="0"/>
        <v>2.4500000000000001E-2</v>
      </c>
      <c r="P23" s="899"/>
      <c r="Q23" s="900">
        <f>IFERROR(HLOOKUP($Q$6,'Equity Vol'!$B$8:$H23,ROWS('Equity Vol'!$C$8:$C23),FALSE),"n/a")</f>
        <v>0.81863428009693251</v>
      </c>
      <c r="R23" s="304"/>
      <c r="S23" s="901">
        <f t="shared" si="11"/>
        <v>0.67016208454982296</v>
      </c>
      <c r="T23" s="901">
        <f t="shared" si="1"/>
        <v>0</v>
      </c>
      <c r="U23" s="902">
        <f t="shared" si="2"/>
        <v>0</v>
      </c>
      <c r="V23" s="902">
        <f t="shared" si="3"/>
        <v>0</v>
      </c>
      <c r="W23" s="902">
        <f t="shared" si="4"/>
        <v>0</v>
      </c>
      <c r="X23" s="259">
        <f t="shared" si="5"/>
        <v>0</v>
      </c>
      <c r="Y23" s="900">
        <f t="shared" si="6"/>
        <v>0.81863428009693251</v>
      </c>
      <c r="AA23" s="815" t="str">
        <f>IF('MASTER PubCo Inputs'!B40=0,"",'MASTER PubCo Inputs'!B40)</f>
        <v>NasdaqGM:GLYC</v>
      </c>
      <c r="AB23" s="259">
        <f>'Beta Calc'!Z23</f>
        <v>263.30831000000001</v>
      </c>
      <c r="AC23" s="903">
        <f t="shared" si="7"/>
        <v>0</v>
      </c>
      <c r="AI23" s="811"/>
    </row>
    <row r="24" spans="2:35" ht="14.85" customHeight="1">
      <c r="B24" s="234" t="str">
        <f>'Comp.1'!B24</f>
        <v>LogicBio Therapeutics, Inc.</v>
      </c>
      <c r="D24" s="259">
        <f>'Beta Calc'!K24</f>
        <v>196.03698</v>
      </c>
      <c r="E24" s="259">
        <f>'Beta Calc'!L24</f>
        <v>0</v>
      </c>
      <c r="F24" s="259">
        <f>'Beta Calc'!M24</f>
        <v>33.061999999999998</v>
      </c>
      <c r="G24" s="259" t="str">
        <f>'Beta Calc'!N24</f>
        <v>n/a</v>
      </c>
      <c r="H24" s="259">
        <f t="shared" si="8"/>
        <v>33.061999999999998</v>
      </c>
      <c r="I24" s="259">
        <f t="shared" si="9"/>
        <v>229.09897999999998</v>
      </c>
      <c r="J24" s="259">
        <f>'Beta Calc'!Q24</f>
        <v>12.877000000000001</v>
      </c>
      <c r="K24" s="259">
        <f t="shared" si="10"/>
        <v>216.22197999999997</v>
      </c>
      <c r="M24" s="390">
        <f>IFERROR('Capital IQ Sheet-GPC'!AT26,"n/a")</f>
        <v>0</v>
      </c>
      <c r="N24" s="259">
        <f t="shared" si="0"/>
        <v>2</v>
      </c>
      <c r="O24" s="898">
        <f t="shared" si="0"/>
        <v>2.4500000000000001E-2</v>
      </c>
      <c r="P24" s="899"/>
      <c r="Q24" s="900" t="str">
        <f>IFERROR(HLOOKUP($Q$6,'Equity Vol'!$B$8:$H24,ROWS('Equity Vol'!$C$8:$C24),FALSE),"n/a")</f>
        <v>NM</v>
      </c>
      <c r="R24" s="304"/>
      <c r="S24" s="901" t="str">
        <f t="shared" si="11"/>
        <v>n/a</v>
      </c>
      <c r="T24" s="901" t="str">
        <f t="shared" si="1"/>
        <v>n/a</v>
      </c>
      <c r="U24" s="902" t="str">
        <f t="shared" si="2"/>
        <v>n/a</v>
      </c>
      <c r="V24" s="902" t="str">
        <f t="shared" si="3"/>
        <v>n/a</v>
      </c>
      <c r="W24" s="902" t="str">
        <f t="shared" si="4"/>
        <v>n/a</v>
      </c>
      <c r="X24" s="259" t="str">
        <f t="shared" si="5"/>
        <v>n/a</v>
      </c>
      <c r="Y24" s="900" t="str">
        <f t="shared" si="6"/>
        <v>n/a</v>
      </c>
      <c r="AA24" s="815" t="str">
        <f>IF('MASTER PubCo Inputs'!B41=0,"",'MASTER PubCo Inputs'!B41)</f>
        <v>NasdaqGM:LOGC</v>
      </c>
      <c r="AB24" s="259">
        <f>'Beta Calc'!Z24</f>
        <v>216.22198</v>
      </c>
      <c r="AC24" s="903">
        <f t="shared" si="7"/>
        <v>0</v>
      </c>
      <c r="AI24" s="811"/>
    </row>
    <row r="25" spans="2:35" ht="14.85" customHeight="1">
      <c r="B25" s="234" t="str">
        <f>'Comp.1'!B25</f>
        <v>Arbutus Biopharma Corporation</v>
      </c>
      <c r="D25" s="259">
        <f>'Beta Calc'!K25</f>
        <v>204.79499999999999</v>
      </c>
      <c r="E25" s="259">
        <f>'Beta Calc'!L25</f>
        <v>0</v>
      </c>
      <c r="F25" s="259">
        <f>'Beta Calc'!M25</f>
        <v>123.489</v>
      </c>
      <c r="G25" s="259" t="str">
        <f>'Beta Calc'!N25</f>
        <v>n/a</v>
      </c>
      <c r="H25" s="259">
        <f t="shared" si="8"/>
        <v>123.489</v>
      </c>
      <c r="I25" s="259">
        <f t="shared" si="9"/>
        <v>328.28399999999999</v>
      </c>
      <c r="J25" s="259">
        <f>'Beta Calc'!Q25</f>
        <v>142.018</v>
      </c>
      <c r="K25" s="259">
        <f t="shared" si="10"/>
        <v>186.26599999999999</v>
      </c>
      <c r="M25" s="390">
        <f>IFERROR('Capital IQ Sheet-GPC'!AT27,"n/a")</f>
        <v>0</v>
      </c>
      <c r="N25" s="259">
        <f t="shared" si="0"/>
        <v>2</v>
      </c>
      <c r="O25" s="898">
        <f t="shared" si="0"/>
        <v>2.4500000000000001E-2</v>
      </c>
      <c r="P25" s="899"/>
      <c r="Q25" s="900">
        <f>IFERROR(HLOOKUP($Q$6,'Equity Vol'!$B$8:$H25,ROWS('Equity Vol'!$C$8:$C25),FALSE),"n/a")</f>
        <v>0.78028811938036324</v>
      </c>
      <c r="R25" s="304"/>
      <c r="S25" s="901">
        <f t="shared" si="11"/>
        <v>0.60884954924614398</v>
      </c>
      <c r="T25" s="901">
        <f t="shared" si="1"/>
        <v>0.9686261872567512</v>
      </c>
      <c r="U25" s="902">
        <f t="shared" si="2"/>
        <v>-0.13486785372955512</v>
      </c>
      <c r="V25" s="902">
        <f t="shared" si="3"/>
        <v>0.83363413368236605</v>
      </c>
      <c r="W25" s="902">
        <f t="shared" si="4"/>
        <v>0.44635817814864437</v>
      </c>
      <c r="X25" s="259">
        <f t="shared" si="5"/>
        <v>102.79316215816888</v>
      </c>
      <c r="Y25" s="900">
        <f t="shared" si="6"/>
        <v>0.51654735668447949</v>
      </c>
      <c r="AA25" s="815" t="str">
        <f>IF('MASTER PubCo Inputs'!B42=0,"",'MASTER PubCo Inputs'!B42)</f>
        <v>NasdaqGS:ABUS</v>
      </c>
      <c r="AB25" s="259">
        <f>'Beta Calc'!Z25</f>
        <v>186.26599999999999</v>
      </c>
      <c r="AC25" s="903">
        <f t="shared" si="7"/>
        <v>0</v>
      </c>
      <c r="AI25" s="811"/>
    </row>
    <row r="26" spans="2:35" ht="14.85" customHeight="1">
      <c r="B26" s="234" t="str">
        <f>'Comp.1'!B26</f>
        <v>Voyager Therapeutics, Inc.</v>
      </c>
      <c r="D26" s="259">
        <f>'Beta Calc'!K26</f>
        <v>341.52161000000001</v>
      </c>
      <c r="E26" s="259">
        <f>'Beta Calc'!L26</f>
        <v>0</v>
      </c>
      <c r="F26" s="259" t="str">
        <f>'Beta Calc'!M26</f>
        <v>n/a</v>
      </c>
      <c r="G26" s="259" t="str">
        <f>'Beta Calc'!N26</f>
        <v>n/a</v>
      </c>
      <c r="H26" s="259">
        <f t="shared" si="8"/>
        <v>0</v>
      </c>
      <c r="I26" s="259">
        <f t="shared" si="9"/>
        <v>341.52161000000001</v>
      </c>
      <c r="J26" s="259">
        <f>'Beta Calc'!Q26</f>
        <v>179.601</v>
      </c>
      <c r="K26" s="259">
        <f t="shared" si="10"/>
        <v>161.92061000000001</v>
      </c>
      <c r="M26" s="390">
        <f>IFERROR('Capital IQ Sheet-GPC'!AT28,"n/a")</f>
        <v>0</v>
      </c>
      <c r="N26" s="259">
        <f t="shared" si="0"/>
        <v>2</v>
      </c>
      <c r="O26" s="898">
        <f t="shared" si="0"/>
        <v>2.4500000000000001E-2</v>
      </c>
      <c r="P26" s="899"/>
      <c r="Q26" s="900">
        <f>IFERROR(HLOOKUP($Q$6,'Equity Vol'!$B$8:$H26,ROWS('Equity Vol'!$C$8:$C26),FALSE),"n/a")</f>
        <v>0.75170905184037895</v>
      </c>
      <c r="R26" s="304"/>
      <c r="S26" s="901">
        <f t="shared" si="11"/>
        <v>0.56506649861876157</v>
      </c>
      <c r="T26" s="901">
        <f t="shared" si="1"/>
        <v>0</v>
      </c>
      <c r="U26" s="902">
        <f t="shared" si="2"/>
        <v>0</v>
      </c>
      <c r="V26" s="902">
        <f t="shared" si="3"/>
        <v>0</v>
      </c>
      <c r="W26" s="902">
        <f t="shared" si="4"/>
        <v>0</v>
      </c>
      <c r="X26" s="259">
        <f t="shared" si="5"/>
        <v>0</v>
      </c>
      <c r="Y26" s="900">
        <f t="shared" si="6"/>
        <v>0.75170905184037895</v>
      </c>
      <c r="AA26" s="815" t="str">
        <f>IF('MASTER PubCo Inputs'!B43=0,"",'MASTER PubCo Inputs'!B43)</f>
        <v>NasdaqGS:VYGR</v>
      </c>
      <c r="AB26" s="259">
        <f>'Beta Calc'!Z26</f>
        <v>161.92061000000001</v>
      </c>
      <c r="AC26" s="903">
        <f t="shared" si="7"/>
        <v>0</v>
      </c>
      <c r="AI26" s="811"/>
    </row>
    <row r="27" spans="2:35" ht="14.85" customHeight="1">
      <c r="B27" s="234" t="str">
        <f>'Comp.1'!B27</f>
        <v>La Jolla Pharmaceutical Company</v>
      </c>
      <c r="D27" s="259">
        <f>'Beta Calc'!K27</f>
        <v>158.45113000000001</v>
      </c>
      <c r="E27" s="259">
        <f>'Beta Calc'!L27</f>
        <v>124.324</v>
      </c>
      <c r="F27" s="259">
        <f>'Beta Calc'!M27</f>
        <v>6.6429999999999998</v>
      </c>
      <c r="G27" s="259" t="str">
        <f>'Beta Calc'!N27</f>
        <v>n/a</v>
      </c>
      <c r="H27" s="259">
        <f t="shared" ref="H27:H35" si="12">SUM(E27:G27)</f>
        <v>130.96699999999998</v>
      </c>
      <c r="I27" s="259">
        <f t="shared" ref="I27:I35" si="13">SUM(D27:G27)</f>
        <v>289.41812999999996</v>
      </c>
      <c r="J27" s="259">
        <f>'Beta Calc'!Q27</f>
        <v>204.33699999999999</v>
      </c>
      <c r="K27" s="259">
        <f t="shared" ref="K27:K35" si="14">I27-J27</f>
        <v>85.081129999999973</v>
      </c>
      <c r="M27" s="390">
        <f>IFERROR('Capital IQ Sheet-GPC'!AT29,"n/a")</f>
        <v>0</v>
      </c>
      <c r="N27" s="259">
        <f t="shared" si="0"/>
        <v>2</v>
      </c>
      <c r="O27" s="898">
        <f t="shared" si="0"/>
        <v>2.4500000000000001E-2</v>
      </c>
      <c r="P27" s="899"/>
      <c r="Q27" s="900">
        <f>IFERROR(HLOOKUP($Q$6,'Equity Vol'!$B$8:$H27,ROWS('Equity Vol'!$C$8:$C27),FALSE),"n/a")</f>
        <v>0.89691591389580794</v>
      </c>
      <c r="R27" s="304"/>
      <c r="S27" s="901">
        <f t="shared" ref="S27:S35" si="15">IFERROR(IF(Q27="n/a","n/a",Q27^2),"n/a")</f>
        <v>0.80445815659955233</v>
      </c>
      <c r="T27" s="901">
        <f t="shared" si="1"/>
        <v>0.33278764233374203</v>
      </c>
      <c r="U27" s="902">
        <f t="shared" si="2"/>
        <v>-0.93564300740596862</v>
      </c>
      <c r="V27" s="902">
        <f t="shared" si="3"/>
        <v>0.63035270646712804</v>
      </c>
      <c r="W27" s="902">
        <f t="shared" si="4"/>
        <v>0.17472851173562026</v>
      </c>
      <c r="X27" s="259">
        <f t="shared" si="5"/>
        <v>31.841722768067545</v>
      </c>
      <c r="Y27" s="900">
        <f t="shared" si="6"/>
        <v>0.53251447248880712</v>
      </c>
      <c r="AA27" s="815" t="str">
        <f>IF('MASTER PubCo Inputs'!B44=0,"",'MASTER PubCo Inputs'!B44)</f>
        <v>NasdaqCM:LJPC</v>
      </c>
      <c r="AB27" s="259">
        <f>'Beta Calc'!Z27</f>
        <v>85.081130000000002</v>
      </c>
      <c r="AC27" s="903">
        <f t="shared" si="7"/>
        <v>0</v>
      </c>
      <c r="AI27" s="811"/>
    </row>
    <row r="28" spans="2:35" ht="14.85" customHeight="1">
      <c r="B28" s="234" t="str">
        <f>'Comp.1'!B28</f>
        <v>Protagonist Therapeutics, Inc.</v>
      </c>
      <c r="D28" s="259">
        <f>'Beta Calc'!K28</f>
        <v>197.11606</v>
      </c>
      <c r="E28" s="259">
        <f>'Beta Calc'!L28</f>
        <v>0</v>
      </c>
      <c r="F28" s="259" t="str">
        <f>'Beta Calc'!M28</f>
        <v>n/a</v>
      </c>
      <c r="G28" s="259" t="str">
        <f>'Beta Calc'!N28</f>
        <v>n/a</v>
      </c>
      <c r="H28" s="259">
        <f t="shared" si="12"/>
        <v>0</v>
      </c>
      <c r="I28" s="259">
        <f t="shared" si="13"/>
        <v>197.11606</v>
      </c>
      <c r="J28" s="259">
        <f>'Beta Calc'!Q28</f>
        <v>138.517</v>
      </c>
      <c r="K28" s="259">
        <f t="shared" si="14"/>
        <v>58.599060000000009</v>
      </c>
      <c r="M28" s="390">
        <f>IFERROR('Capital IQ Sheet-GPC'!AT30,"n/a")</f>
        <v>0</v>
      </c>
      <c r="N28" s="259">
        <f t="shared" si="0"/>
        <v>2</v>
      </c>
      <c r="O28" s="898">
        <f t="shared" si="0"/>
        <v>2.4500000000000001E-2</v>
      </c>
      <c r="P28" s="899"/>
      <c r="Q28" s="900">
        <f>IFERROR(HLOOKUP($Q$6,'Equity Vol'!$B$8:$H28,ROWS('Equity Vol'!$C$8:$C28),FALSE),"n/a")</f>
        <v>0.9785041500826186</v>
      </c>
      <c r="R28" s="304"/>
      <c r="S28" s="901">
        <f t="shared" si="15"/>
        <v>0.95747037172890781</v>
      </c>
      <c r="T28" s="901">
        <f t="shared" si="1"/>
        <v>0</v>
      </c>
      <c r="U28" s="902">
        <f t="shared" si="2"/>
        <v>0</v>
      </c>
      <c r="V28" s="902">
        <f t="shared" si="3"/>
        <v>0</v>
      </c>
      <c r="W28" s="902">
        <f t="shared" si="4"/>
        <v>0</v>
      </c>
      <c r="X28" s="259">
        <f t="shared" si="5"/>
        <v>0</v>
      </c>
      <c r="Y28" s="900">
        <f t="shared" si="6"/>
        <v>0.9785041500826186</v>
      </c>
      <c r="AA28" s="815" t="str">
        <f>IF('MASTER PubCo Inputs'!B45=0,"",'MASTER PubCo Inputs'!B45)</f>
        <v>NasdaqGM:PTGX</v>
      </c>
      <c r="AB28" s="259">
        <f>'Beta Calc'!Z28</f>
        <v>58.599049999999998</v>
      </c>
      <c r="AC28" s="903">
        <f t="shared" si="7"/>
        <v>1.0000000010279564E-5</v>
      </c>
      <c r="AI28" s="811"/>
    </row>
    <row r="29" spans="2:35" ht="14.85" customHeight="1">
      <c r="B29" s="234" t="str">
        <f>'Comp.1'!B29</f>
        <v>Fibrocell Science, Inc.</v>
      </c>
      <c r="D29" s="259">
        <f>'Beta Calc'!K29</f>
        <v>19.22391</v>
      </c>
      <c r="E29" s="259">
        <f>'Beta Calc'!L29</f>
        <v>0</v>
      </c>
      <c r="F29" s="259">
        <f>'Beta Calc'!M29</f>
        <v>7.6230000000000002</v>
      </c>
      <c r="G29" s="259" t="str">
        <f>'Beta Calc'!N29</f>
        <v>n/a</v>
      </c>
      <c r="H29" s="259">
        <f t="shared" si="12"/>
        <v>7.6230000000000002</v>
      </c>
      <c r="I29" s="259">
        <f t="shared" si="13"/>
        <v>26.846910000000001</v>
      </c>
      <c r="J29" s="259">
        <f>'Beta Calc'!Q29</f>
        <v>16.111000000000001</v>
      </c>
      <c r="K29" s="259">
        <f t="shared" si="14"/>
        <v>10.735910000000001</v>
      </c>
      <c r="M29" s="390">
        <f>IFERROR('Capital IQ Sheet-GPC'!AT31,"n/a")</f>
        <v>0</v>
      </c>
      <c r="N29" s="259">
        <f t="shared" si="0"/>
        <v>2</v>
      </c>
      <c r="O29" s="898">
        <f t="shared" si="0"/>
        <v>2.4500000000000001E-2</v>
      </c>
      <c r="P29" s="899"/>
      <c r="Q29" s="900">
        <f>IFERROR(HLOOKUP($Q$6,'Equity Vol'!$B$8:$H29,ROWS('Equity Vol'!$C$8:$C29),FALSE),"n/a")</f>
        <v>0.88336531692825482</v>
      </c>
      <c r="R29" s="304"/>
      <c r="S29" s="901">
        <f t="shared" si="15"/>
        <v>0.78033428315175613</v>
      </c>
      <c r="T29" s="901">
        <f t="shared" si="1"/>
        <v>0.93795664876752971</v>
      </c>
      <c r="U29" s="902">
        <f t="shared" si="2"/>
        <v>-0.31131056296241577</v>
      </c>
      <c r="V29" s="902">
        <f t="shared" si="3"/>
        <v>0.82586665547357496</v>
      </c>
      <c r="W29" s="902">
        <f t="shared" si="4"/>
        <v>0.37778226895445138</v>
      </c>
      <c r="X29" s="259">
        <f t="shared" si="5"/>
        <v>6.1243062687580814</v>
      </c>
      <c r="Y29" s="900">
        <f t="shared" si="6"/>
        <v>0.6101666280681346</v>
      </c>
      <c r="AA29" s="815" t="str">
        <f>IF('MASTER PubCo Inputs'!B46=0,"",'MASTER PubCo Inputs'!B46)</f>
        <v>NasdaqCM:FCSC</v>
      </c>
      <c r="AB29" s="259">
        <f>'Beta Calc'!Z29</f>
        <v>10.735910000000001</v>
      </c>
      <c r="AC29" s="903">
        <f t="shared" si="7"/>
        <v>0</v>
      </c>
      <c r="AI29" s="811"/>
    </row>
    <row r="30" spans="2:35" ht="9.9499999999999993" customHeight="1">
      <c r="D30" s="259"/>
      <c r="E30" s="259"/>
      <c r="F30" s="259"/>
      <c r="G30" s="259"/>
      <c r="H30" s="259"/>
      <c r="I30" s="259"/>
      <c r="J30" s="259"/>
      <c r="K30" s="259"/>
      <c r="M30" s="390"/>
      <c r="N30" s="259"/>
      <c r="O30" s="898"/>
      <c r="P30" s="899"/>
      <c r="Q30" s="900"/>
      <c r="R30" s="304"/>
      <c r="S30" s="901"/>
      <c r="T30" s="901"/>
      <c r="U30" s="902"/>
      <c r="V30" s="902"/>
      <c r="W30" s="902"/>
      <c r="X30" s="259"/>
      <c r="Y30" s="900"/>
      <c r="AA30" s="815"/>
      <c r="AB30" s="259"/>
      <c r="AC30" s="903"/>
      <c r="AI30" s="811"/>
    </row>
    <row r="31" spans="2:35" ht="14.85" customHeight="1">
      <c r="B31" s="1369" t="str">
        <f>'Comp.1'!B31</f>
        <v>CRISPR/Cas9</v>
      </c>
      <c r="D31" s="259"/>
      <c r="E31" s="259"/>
      <c r="F31" s="259"/>
      <c r="G31" s="259"/>
      <c r="H31" s="259"/>
      <c r="I31" s="259"/>
      <c r="J31" s="259"/>
      <c r="K31" s="259"/>
      <c r="M31" s="390"/>
      <c r="N31" s="259"/>
      <c r="O31" s="898"/>
      <c r="P31" s="899"/>
      <c r="Q31" s="900"/>
      <c r="R31" s="304"/>
      <c r="S31" s="901"/>
      <c r="T31" s="901"/>
      <c r="U31" s="902"/>
      <c r="V31" s="902"/>
      <c r="W31" s="902"/>
      <c r="X31" s="259"/>
      <c r="Y31" s="900"/>
      <c r="AA31" s="815"/>
      <c r="AB31" s="259"/>
      <c r="AC31" s="903"/>
      <c r="AI31" s="811"/>
    </row>
    <row r="32" spans="2:35" ht="14.85" customHeight="1">
      <c r="B32" s="234" t="str">
        <f>'Comp.1'!B32</f>
        <v>CRISPR Therapeutics AG</v>
      </c>
      <c r="D32" s="259">
        <f>'Beta Calc'!K32</f>
        <v>1679.8645300000001</v>
      </c>
      <c r="E32" s="259">
        <f>'Beta Calc'!L32</f>
        <v>0</v>
      </c>
      <c r="F32" s="259" t="str">
        <f>'Beta Calc'!M32</f>
        <v>n/a</v>
      </c>
      <c r="G32" s="259" t="str">
        <f>'Beta Calc'!N32</f>
        <v>n/a</v>
      </c>
      <c r="H32" s="259">
        <f t="shared" si="12"/>
        <v>0</v>
      </c>
      <c r="I32" s="259">
        <f t="shared" si="13"/>
        <v>1679.8645300000001</v>
      </c>
      <c r="J32" s="259">
        <f>'Beta Calc'!Q32</f>
        <v>487.29500000000002</v>
      </c>
      <c r="K32" s="259">
        <f t="shared" si="14"/>
        <v>1192.56953</v>
      </c>
      <c r="M32" s="390">
        <f>IFERROR('Capital IQ Sheet-GPC'!AT33,"n/a")</f>
        <v>0</v>
      </c>
      <c r="N32" s="259">
        <f t="shared" si="0"/>
        <v>2</v>
      </c>
      <c r="O32" s="898">
        <f t="shared" si="0"/>
        <v>2.4500000000000001E-2</v>
      </c>
      <c r="P32" s="899"/>
      <c r="Q32" s="900">
        <f>IFERROR(HLOOKUP($Q$6,'Equity Vol'!$B$8:$H31,ROWS('Equity Vol'!$C$8:$C31),FALSE),"n/a")</f>
        <v>0</v>
      </c>
      <c r="R32" s="304"/>
      <c r="S32" s="901">
        <f t="shared" si="15"/>
        <v>0</v>
      </c>
      <c r="T32" s="901">
        <f>IF(OR(K32="n/a",S32="n/a"),"n/a",IF(H32=0,0,IF(M32=0,(LN(K32/H32)+((O32+(S32/2))*N32))/((S32*N32)^0.5),(LN(K32/H32)+((O32-M32+(S32/2))*N32))/((S32*N32)^0.5))))</f>
        <v>0</v>
      </c>
      <c r="U32" s="902">
        <f>IF(T32="n/a","n/a",IF(H32=0,0,T32-(S32*N32)^0.5))</f>
        <v>0</v>
      </c>
      <c r="V32" s="902">
        <f>IF(OR(T32="n/a",S32="n/a"),"n/a",IF(H32=0,0,NORMSDIST(T32)))</f>
        <v>0</v>
      </c>
      <c r="W32" s="902">
        <f>IF(OR(U32="n/a",S32="n/a"),"n/a",IF(H32=0,0,NORMSDIST(U32)))</f>
        <v>0</v>
      </c>
      <c r="X32" s="259">
        <f>IF(OR(K32="n/a",S32="n/a"),"n/a",IF(M32=0,(K32*V32)-((H32*EXP(1)^(-O32*N32))*W32),(K32*(2.718^(-M32*N32))*V32)-(H32*(2.718^(-O32*N32))*W32)))</f>
        <v>0</v>
      </c>
      <c r="Y32" s="900">
        <f>IFERROR(IF(LEN(B31)&gt;0,IF(H32=0,Q32,IF(ISERROR(Q32/((K32/X32)*V32)),"n/a",Q32/((K32/X32)*V32)))),"n/a")</f>
        <v>0</v>
      </c>
      <c r="AA32" s="815" t="str">
        <f>IF('MASTER PubCo Inputs'!B49=0,"",'MASTER PubCo Inputs'!B49)</f>
        <v>NasdaqGS:EDIT</v>
      </c>
      <c r="AB32" s="259">
        <f>'Beta Calc'!Z32</f>
        <v>1192.56953</v>
      </c>
      <c r="AC32" s="903">
        <f>K32-AB32</f>
        <v>0</v>
      </c>
      <c r="AI32" s="811"/>
    </row>
    <row r="33" spans="2:35" ht="14.85" customHeight="1">
      <c r="B33" s="234" t="str">
        <f>'Comp.1'!B33</f>
        <v>Editas Medicine, Inc.</v>
      </c>
      <c r="D33" s="259">
        <f>'Beta Calc'!K33</f>
        <v>1032.0795800000001</v>
      </c>
      <c r="E33" s="259">
        <f>'Beta Calc'!L33</f>
        <v>32.694000000000003</v>
      </c>
      <c r="F33" s="259" t="str">
        <f>'Beta Calc'!M33</f>
        <v>n/a</v>
      </c>
      <c r="G33" s="259" t="str">
        <f>'Beta Calc'!N33</f>
        <v>n/a</v>
      </c>
      <c r="H33" s="259">
        <f t="shared" si="12"/>
        <v>32.694000000000003</v>
      </c>
      <c r="I33" s="259">
        <f t="shared" si="13"/>
        <v>1064.77358</v>
      </c>
      <c r="J33" s="259">
        <f>'Beta Calc'!Q33</f>
        <v>337.49200000000002</v>
      </c>
      <c r="K33" s="259">
        <f t="shared" si="14"/>
        <v>727.28158000000008</v>
      </c>
      <c r="M33" s="390">
        <f>IFERROR('Capital IQ Sheet-GPC'!AT34,"n/a")</f>
        <v>0</v>
      </c>
      <c r="N33" s="259">
        <f t="shared" si="0"/>
        <v>2</v>
      </c>
      <c r="O33" s="898">
        <f t="shared" si="0"/>
        <v>2.4500000000000001E-2</v>
      </c>
      <c r="P33" s="899"/>
      <c r="Q33" s="900">
        <f>IFERROR(HLOOKUP($Q$6,'Equity Vol'!$B$8:$H32,ROWS('Equity Vol'!$C$8:$C32),FALSE),"n/a")</f>
        <v>0.69448805510556844</v>
      </c>
      <c r="R33" s="304"/>
      <c r="S33" s="901">
        <f t="shared" si="15"/>
        <v>0.48231365868431508</v>
      </c>
      <c r="T33" s="901">
        <f>IF(OR(K33="n/a",S33="n/a"),"n/a",IF(H33=0,0,IF(M33=0,(LN(K33/H33)+((O33+(S33/2))*N33))/((S33*N33)^0.5),(LN(K33/H33)+((O33-M33+(S33/2))*N33))/((S33*N33)^0.5))))</f>
        <v>3.6994546950505156</v>
      </c>
      <c r="U33" s="902">
        <f>IF(T33="n/a","n/a",IF(H33=0,0,T33-(S33*N33)^0.5))</f>
        <v>2.7173002686141072</v>
      </c>
      <c r="V33" s="902">
        <f>IF(OR(T33="n/a",S33="n/a"),"n/a",IF(H33=0,0,NORMSDIST(T33)))</f>
        <v>0.9998919683979165</v>
      </c>
      <c r="W33" s="902">
        <f>IF(OR(U33="n/a",S33="n/a"),"n/a",IF(H33=0,0,NORMSDIST(U33)))</f>
        <v>0.99670915666590398</v>
      </c>
      <c r="X33" s="259">
        <f>IF(OR(K33="n/a",S33="n/a"),"n/a",IF(M33=0,(K33*V33)-((H33*EXP(1)^(-O33*N33))*W33),(K33*(2.718^(-M33*N33))*V33)-(H33*(2.718^(-O33*N33))*W33)))</f>
        <v>696.17484671130944</v>
      </c>
      <c r="Y33" s="900">
        <f>IFERROR(IF(LEN(B32)&gt;0,IF(H33=0,Q33,IF(ISERROR(Q33/((K33/X33)*V33)),"n/a",Q33/((K33/X33)*V33)))),"n/a")</f>
        <v>0.66485576689681236</v>
      </c>
      <c r="AA33" s="815" t="str">
        <f>IF('MASTER PubCo Inputs'!B50=0,"",'MASTER PubCo Inputs'!B50)</f>
        <v>NasdaqGM:NTLA</v>
      </c>
      <c r="AB33" s="259">
        <f>'Beta Calc'!Z33</f>
        <v>727.28157999999996</v>
      </c>
      <c r="AC33" s="903">
        <f>K33-AB33</f>
        <v>0</v>
      </c>
      <c r="AI33" s="811"/>
    </row>
    <row r="34" spans="2:35" ht="14.85" customHeight="1">
      <c r="B34" s="234" t="str">
        <f>'Comp.1'!B34</f>
        <v>Intellia Therapeutics, Inc.</v>
      </c>
      <c r="D34" s="259">
        <f>'Beta Calc'!K34</f>
        <v>613.94893999999999</v>
      </c>
      <c r="E34" s="259">
        <f>'Beta Calc'!L34</f>
        <v>0</v>
      </c>
      <c r="F34" s="259" t="str">
        <f>'Beta Calc'!M34</f>
        <v>n/a</v>
      </c>
      <c r="G34" s="259" t="str">
        <f>'Beta Calc'!N34</f>
        <v>n/a</v>
      </c>
      <c r="H34" s="259">
        <f t="shared" si="12"/>
        <v>0</v>
      </c>
      <c r="I34" s="259">
        <f t="shared" si="13"/>
        <v>613.94893999999999</v>
      </c>
      <c r="J34" s="259">
        <f>'Beta Calc'!Q34</f>
        <v>293.24799999999999</v>
      </c>
      <c r="K34" s="259">
        <f t="shared" si="14"/>
        <v>320.70094</v>
      </c>
      <c r="M34" s="390">
        <f>IFERROR('Capital IQ Sheet-GPC'!AT35,"n/a")</f>
        <v>0</v>
      </c>
      <c r="N34" s="259">
        <f t="shared" si="0"/>
        <v>2</v>
      </c>
      <c r="O34" s="898">
        <f t="shared" si="0"/>
        <v>2.4500000000000001E-2</v>
      </c>
      <c r="P34" s="899"/>
      <c r="Q34" s="900">
        <f>IFERROR(HLOOKUP($Q$6,'Equity Vol'!$B$8:$H33,ROWS('Equity Vol'!$C$8:$C33),FALSE),"n/a")</f>
        <v>0.71472719223896919</v>
      </c>
      <c r="R34" s="304"/>
      <c r="S34" s="901">
        <f t="shared" si="15"/>
        <v>0.51083495932580036</v>
      </c>
      <c r="T34" s="901">
        <f>IF(OR(K34="n/a",S34="n/a"),"n/a",IF(H34=0,0,IF(M34=0,(LN(K34/H34)+((O34+(S34/2))*N34))/((S34*N34)^0.5),(LN(K34/H34)+((O34-M34+(S34/2))*N34))/((S34*N34)^0.5))))</f>
        <v>0</v>
      </c>
      <c r="U34" s="902">
        <f>IF(T34="n/a","n/a",IF(H34=0,0,T34-(S34*N34)^0.5))</f>
        <v>0</v>
      </c>
      <c r="V34" s="902">
        <f>IF(OR(T34="n/a",S34="n/a"),"n/a",IF(H34=0,0,NORMSDIST(T34)))</f>
        <v>0</v>
      </c>
      <c r="W34" s="902">
        <f>IF(OR(U34="n/a",S34="n/a"),"n/a",IF(H34=0,0,NORMSDIST(U34)))</f>
        <v>0</v>
      </c>
      <c r="X34" s="259">
        <f>IF(OR(K34="n/a",S34="n/a"),"n/a",IF(M34=0,(K34*V34)-((H34*EXP(1)^(-O34*N34))*W34),(K34*(2.718^(-M34*N34))*V34)-(H34*(2.718^(-O34*N34))*W34)))</f>
        <v>0</v>
      </c>
      <c r="Y34" s="900">
        <f>IFERROR(IF(LEN(B33)&gt;0,IF(H34=0,Q34,IF(ISERROR(Q34/((K34/X34)*V34)),"n/a",Q34/((K34/X34)*V34)))),"n/a")</f>
        <v>0.71472719223896919</v>
      </c>
      <c r="AA34" s="815" t="str">
        <f>IF('MASTER PubCo Inputs'!B51=0,"",'MASTER PubCo Inputs'!B51)</f>
        <v>NasdaqCM:ABEO</v>
      </c>
      <c r="AB34" s="259">
        <f>'Beta Calc'!Z34</f>
        <v>320.70094</v>
      </c>
      <c r="AC34" s="903">
        <f>K34-AB34</f>
        <v>0</v>
      </c>
      <c r="AI34" s="811"/>
    </row>
    <row r="35" spans="2:35" ht="14.85" customHeight="1">
      <c r="B35" s="234" t="str">
        <f>'Comp.1'!B35</f>
        <v>Abeona Therapeutics Inc.</v>
      </c>
      <c r="D35" s="259">
        <f>'Beta Calc'!K35</f>
        <v>325.54306000000003</v>
      </c>
      <c r="E35" s="259">
        <f>'Beta Calc'!L35</f>
        <v>0</v>
      </c>
      <c r="F35" s="259" t="str">
        <f>'Beta Calc'!M35</f>
        <v>n/a</v>
      </c>
      <c r="G35" s="259" t="str">
        <f>'Beta Calc'!N35</f>
        <v>n/a</v>
      </c>
      <c r="H35" s="259">
        <f t="shared" si="12"/>
        <v>0</v>
      </c>
      <c r="I35" s="259">
        <f t="shared" si="13"/>
        <v>325.54306000000003</v>
      </c>
      <c r="J35" s="259">
        <f>'Beta Calc'!Q35</f>
        <v>112.224</v>
      </c>
      <c r="K35" s="259">
        <f t="shared" si="14"/>
        <v>213.31906000000004</v>
      </c>
      <c r="M35" s="390">
        <f>IFERROR('Capital IQ Sheet-GPC'!AT36,"n/a")</f>
        <v>0</v>
      </c>
      <c r="N35" s="259">
        <f t="shared" si="0"/>
        <v>2</v>
      </c>
      <c r="O35" s="898">
        <f t="shared" si="0"/>
        <v>2.4500000000000001E-2</v>
      </c>
      <c r="P35" s="899"/>
      <c r="Q35" s="900">
        <f>IFERROR(HLOOKUP($Q$6,'Equity Vol'!$B$8:$H34,ROWS('Equity Vol'!$C$8:$C34),FALSE),"n/a")</f>
        <v>0.74114018699687567</v>
      </c>
      <c r="R35" s="304"/>
      <c r="S35" s="901">
        <f t="shared" si="15"/>
        <v>0.5492887767817638</v>
      </c>
      <c r="T35" s="901">
        <f>IF(OR(K35="n/a",S35="n/a"),"n/a",IF(H35=0,0,IF(M35=0,(LN(K35/H35)+((O35+(S35/2))*N35))/((S35*N35)^0.5),(LN(K35/H35)+((O35-M35+(S35/2))*N35))/((S35*N35)^0.5))))</f>
        <v>0</v>
      </c>
      <c r="U35" s="902">
        <f>IF(T35="n/a","n/a",IF(H35=0,0,T35-(S35*N35)^0.5))</f>
        <v>0</v>
      </c>
      <c r="V35" s="902">
        <f>IF(OR(T35="n/a",S35="n/a"),"n/a",IF(H35=0,0,NORMSDIST(T35)))</f>
        <v>0</v>
      </c>
      <c r="W35" s="902">
        <f>IF(OR(U35="n/a",S35="n/a"),"n/a",IF(H35=0,0,NORMSDIST(U35)))</f>
        <v>0</v>
      </c>
      <c r="X35" s="259">
        <f>IF(OR(K35="n/a",S35="n/a"),"n/a",IF(M35=0,(K35*V35)-((H35*EXP(1)^(-O35*N35))*W35),(K35*(2.718^(-M35*N35))*V35)-(H35*(2.718^(-O35*N35))*W35)))</f>
        <v>0</v>
      </c>
      <c r="Y35" s="900">
        <f>IFERROR(IF(LEN(B34)&gt;0,IF(H35=0,Q35,IF(ISERROR(Q35/((K35/X35)*V35)),"n/a",Q35/((K35/X35)*V35)))),"n/a")</f>
        <v>0.74114018699687567</v>
      </c>
      <c r="AA35" s="815" t="str">
        <f>IF('MASTER PubCo Inputs'!B52=0,"",'MASTER PubCo Inputs'!B52)</f>
        <v/>
      </c>
      <c r="AB35" s="259">
        <f>'Beta Calc'!Z35</f>
        <v>213.31906000000001</v>
      </c>
      <c r="AC35" s="903">
        <f>K35-AB35</f>
        <v>0</v>
      </c>
      <c r="AI35" s="811"/>
    </row>
    <row r="36" spans="2:35" ht="9.9499999999999993" customHeight="1">
      <c r="D36" s="259"/>
      <c r="E36" s="259"/>
      <c r="F36" s="259"/>
      <c r="G36" s="259"/>
      <c r="H36" s="259"/>
      <c r="I36" s="259"/>
      <c r="J36" s="259"/>
      <c r="K36" s="259"/>
      <c r="R36" s="435"/>
    </row>
    <row r="37" spans="2:35" ht="14.85" customHeight="1">
      <c r="B37" s="817" t="s">
        <v>111</v>
      </c>
      <c r="C37" s="819"/>
      <c r="D37" s="818">
        <f t="shared" ref="D37:K37" si="16">MAX(D11:D35)</f>
        <v>8868.9653999999991</v>
      </c>
      <c r="E37" s="818">
        <f t="shared" si="16"/>
        <v>409.30599999999998</v>
      </c>
      <c r="F37" s="818">
        <f t="shared" si="16"/>
        <v>123.489</v>
      </c>
      <c r="G37" s="818">
        <f t="shared" si="16"/>
        <v>0</v>
      </c>
      <c r="H37" s="818">
        <f t="shared" si="16"/>
        <v>409.30599999999998</v>
      </c>
      <c r="I37" s="818">
        <f t="shared" si="16"/>
        <v>8898.9653999999991</v>
      </c>
      <c r="J37" s="818">
        <f t="shared" si="16"/>
        <v>1695.2950000000001</v>
      </c>
      <c r="K37" s="818">
        <f t="shared" si="16"/>
        <v>7662.1313999999993</v>
      </c>
      <c r="L37" s="819"/>
      <c r="M37" s="904">
        <f>MAX(M11:M35)</f>
        <v>0</v>
      </c>
      <c r="N37" s="818">
        <f>MAX(N11:N35)</f>
        <v>2</v>
      </c>
      <c r="O37" s="905">
        <f>MAX(O11:O35)</f>
        <v>2.4500000000000001E-2</v>
      </c>
      <c r="P37" s="906"/>
      <c r="Q37" s="907">
        <f>MAX(Q11:Q35)</f>
        <v>0.9785041500826186</v>
      </c>
      <c r="R37" s="908"/>
      <c r="S37" s="909">
        <f>MAX(S11:S36)</f>
        <v>0.95747037172890781</v>
      </c>
      <c r="T37" s="909">
        <f>MAX(T11:T36)</f>
        <v>7.0748654448624544</v>
      </c>
      <c r="U37" s="910">
        <f>MAX(U11:U36)</f>
        <v>6.2345829753775384</v>
      </c>
      <c r="V37" s="910">
        <f>MAX(V11:V36)</f>
        <v>0.99999999999925204</v>
      </c>
      <c r="W37" s="910">
        <f>MAX(W11:W36)</f>
        <v>0.9999999997735084</v>
      </c>
      <c r="X37" s="818">
        <f>MAX(X11:X35)</f>
        <v>7633.5659661097834</v>
      </c>
      <c r="Y37" s="911">
        <f>MAX(Y11:Y35)</f>
        <v>0.9785041500826186</v>
      </c>
      <c r="AB37" s="912">
        <f>Y44</f>
        <v>0.66521256834709541</v>
      </c>
      <c r="AC37" s="913" t="s">
        <v>1388</v>
      </c>
      <c r="AD37" s="913"/>
      <c r="AE37" s="913"/>
      <c r="AF37" s="480"/>
    </row>
    <row r="38" spans="2:35" ht="14.85" customHeight="1">
      <c r="B38" s="821" t="s">
        <v>115</v>
      </c>
      <c r="C38" s="823"/>
      <c r="D38" s="822">
        <f t="shared" ref="D38:K38" si="17">QUARTILE(D11:D35,3)</f>
        <v>1742.465835</v>
      </c>
      <c r="E38" s="822">
        <f t="shared" si="17"/>
        <v>25.353999999999999</v>
      </c>
      <c r="F38" s="822">
        <f t="shared" si="17"/>
        <v>55.668750000000003</v>
      </c>
      <c r="G38" s="822" t="e">
        <f t="shared" si="17"/>
        <v>#NUM!</v>
      </c>
      <c r="H38" s="822">
        <f t="shared" si="17"/>
        <v>32.878</v>
      </c>
      <c r="I38" s="822">
        <f t="shared" si="17"/>
        <v>1784.9113350000002</v>
      </c>
      <c r="J38" s="822">
        <f t="shared" si="17"/>
        <v>377.9085</v>
      </c>
      <c r="K38" s="822">
        <f t="shared" si="17"/>
        <v>1251.21766</v>
      </c>
      <c r="L38" s="823"/>
      <c r="M38" s="860">
        <f>QUARTILE(M11:M35,3)</f>
        <v>0</v>
      </c>
      <c r="N38" s="822">
        <f>QUARTILE(N11:N35,3)</f>
        <v>2</v>
      </c>
      <c r="O38" s="914">
        <f>QUARTILE(O11:O35,3)</f>
        <v>2.4500000000000001E-2</v>
      </c>
      <c r="P38" s="915"/>
      <c r="Q38" s="916">
        <f>QUARTILE(Q11:Q35,3)</f>
        <v>0.78028811938036324</v>
      </c>
      <c r="R38" s="917"/>
      <c r="S38" s="918">
        <f>QUARTILE(S11:S36,3)</f>
        <v>0.60884954924614398</v>
      </c>
      <c r="T38" s="918">
        <f>QUARTILE(T11:T36,3)</f>
        <v>3.0706329218549948</v>
      </c>
      <c r="U38" s="919">
        <f>QUARTILE(U11:U36,3)</f>
        <v>2.4152362960914853</v>
      </c>
      <c r="V38" s="919">
        <f>QUARTILE(V11:V36,3)</f>
        <v>0.9989319720792057</v>
      </c>
      <c r="W38" s="919">
        <f>QUARTILE(W11:W36,3)</f>
        <v>0.99213749775060311</v>
      </c>
      <c r="X38" s="822">
        <f>QUARTILE(X11:X35,3)</f>
        <v>696.17484671130944</v>
      </c>
      <c r="Y38" s="920">
        <f>QUARTILE(Y11:Y35,3)</f>
        <v>0.74114018699687567</v>
      </c>
      <c r="AB38" s="921">
        <f>Y46</f>
        <v>0.66521256834709541</v>
      </c>
      <c r="AC38" s="234" t="s">
        <v>1389</v>
      </c>
      <c r="AF38" s="348"/>
    </row>
    <row r="39" spans="2:35" ht="14.85" customHeight="1">
      <c r="B39" s="821" t="s">
        <v>113</v>
      </c>
      <c r="C39" s="823"/>
      <c r="D39" s="822">
        <f t="shared" ref="D39:K39" si="18">AVERAGE(D11:D35)</f>
        <v>1587.2495647826088</v>
      </c>
      <c r="E39" s="822">
        <f t="shared" si="18"/>
        <v>37.258999999999993</v>
      </c>
      <c r="F39" s="822">
        <f t="shared" si="18"/>
        <v>42.704249999999995</v>
      </c>
      <c r="G39" s="822" t="e">
        <f t="shared" si="18"/>
        <v>#DIV/0!</v>
      </c>
      <c r="H39" s="822">
        <f t="shared" si="18"/>
        <v>44.685826086956517</v>
      </c>
      <c r="I39" s="822">
        <f t="shared" si="18"/>
        <v>1631.9353908695655</v>
      </c>
      <c r="J39" s="822">
        <f t="shared" si="18"/>
        <v>354.92808695652167</v>
      </c>
      <c r="K39" s="822">
        <f t="shared" si="18"/>
        <v>1277.0073039130434</v>
      </c>
      <c r="L39" s="823"/>
      <c r="M39" s="860">
        <f>AVERAGE(M11:M35)</f>
        <v>0</v>
      </c>
      <c r="N39" s="822">
        <f>AVERAGE(N11:N35)</f>
        <v>2</v>
      </c>
      <c r="O39" s="914">
        <f>AVERAGE(O11:O35)</f>
        <v>2.4500000000000004E-2</v>
      </c>
      <c r="P39" s="915"/>
      <c r="Q39" s="916">
        <f>AVERAGE(Q11:Q35)</f>
        <v>0.67929485729279171</v>
      </c>
      <c r="R39" s="917"/>
      <c r="S39" s="918">
        <f>AVERAGE(S11:S36)</f>
        <v>0.49989139715157904</v>
      </c>
      <c r="T39" s="918">
        <f>AVERAGE(T11:T36)</f>
        <v>1.3817185446896827</v>
      </c>
      <c r="U39" s="919">
        <f>AVERAGE(U11:U36)</f>
        <v>0.96037220960772496</v>
      </c>
      <c r="V39" s="919">
        <f>AVERAGE(V11:V36)</f>
        <v>0.39468728435838762</v>
      </c>
      <c r="W39" s="919">
        <f>AVERAGE(W11:W36)</f>
        <v>0.33248062390643079</v>
      </c>
      <c r="X39" s="822">
        <f>AVERAGE(X11:X35)</f>
        <v>871.40551232189125</v>
      </c>
      <c r="Y39" s="920">
        <f>AVERAGE(Y11:Y35)</f>
        <v>0.62799077082836385</v>
      </c>
      <c r="AB39" s="921">
        <f>Y40</f>
        <v>0.66485576689681236</v>
      </c>
      <c r="AC39" s="234" t="s">
        <v>1387</v>
      </c>
      <c r="AF39" s="922" t="s">
        <v>1764</v>
      </c>
    </row>
    <row r="40" spans="2:35" ht="14.85" customHeight="1">
      <c r="B40" s="821" t="s">
        <v>44</v>
      </c>
      <c r="C40" s="823"/>
      <c r="D40" s="822">
        <f t="shared" ref="D40:K40" si="19">MEDIAN(D11:D35)</f>
        <v>1032.0795800000001</v>
      </c>
      <c r="E40" s="822">
        <f t="shared" si="19"/>
        <v>0</v>
      </c>
      <c r="F40" s="822">
        <f t="shared" si="19"/>
        <v>20.342499999999998</v>
      </c>
      <c r="G40" s="822" t="e">
        <f t="shared" si="19"/>
        <v>#NUM!</v>
      </c>
      <c r="H40" s="822">
        <f t="shared" si="19"/>
        <v>0</v>
      </c>
      <c r="I40" s="822">
        <f t="shared" si="19"/>
        <v>1058.70937</v>
      </c>
      <c r="J40" s="822">
        <f t="shared" si="19"/>
        <v>239.54599999999999</v>
      </c>
      <c r="K40" s="822">
        <f t="shared" si="19"/>
        <v>727.28158000000008</v>
      </c>
      <c r="L40" s="823"/>
      <c r="M40" s="860">
        <f>MEDIAN(M11:M35)</f>
        <v>0</v>
      </c>
      <c r="N40" s="822">
        <f>MEDIAN(N11:N35)</f>
        <v>2</v>
      </c>
      <c r="O40" s="914">
        <f>MEDIAN(O11:O35)</f>
        <v>2.4500000000000001E-2</v>
      </c>
      <c r="P40" s="915"/>
      <c r="Q40" s="916">
        <f>MEDIAN(Q11:Q35)</f>
        <v>0.70150122776605739</v>
      </c>
      <c r="R40" s="917"/>
      <c r="S40" s="918">
        <f>MEDIAN(S11:S36)</f>
        <v>0.49210397255728594</v>
      </c>
      <c r="T40" s="918">
        <f>MEDIAN(T11:T36)</f>
        <v>0</v>
      </c>
      <c r="U40" s="919">
        <f>MEDIAN(U11:U36)</f>
        <v>0</v>
      </c>
      <c r="V40" s="919">
        <f>MEDIAN(V11:V36)</f>
        <v>0</v>
      </c>
      <c r="W40" s="919">
        <f>MEDIAN(W11:W36)</f>
        <v>0</v>
      </c>
      <c r="X40" s="822">
        <f>MEDIAN(X11:X35)</f>
        <v>0</v>
      </c>
      <c r="Y40" s="920">
        <f>MEDIAN(Y11:Y35)</f>
        <v>0.66485576689681236</v>
      </c>
      <c r="AB40" s="923" t="str">
        <f>IF(ROUND(AB37,3)=ROUND(AB39,3),"","Update Volatility - OPM")</f>
        <v/>
      </c>
      <c r="AF40" s="348"/>
    </row>
    <row r="41" spans="2:35" ht="14.85" customHeight="1">
      <c r="B41" s="821" t="s">
        <v>114</v>
      </c>
      <c r="C41" s="823"/>
      <c r="D41" s="822">
        <f t="shared" ref="D41:K41" si="20">QUARTILE(D11:D35,1)</f>
        <v>333.53233499999999</v>
      </c>
      <c r="E41" s="822">
        <f t="shared" si="20"/>
        <v>0</v>
      </c>
      <c r="F41" s="822">
        <f t="shared" si="20"/>
        <v>7.3780000000000001</v>
      </c>
      <c r="G41" s="822" t="e">
        <f t="shared" si="20"/>
        <v>#NUM!</v>
      </c>
      <c r="H41" s="822">
        <f t="shared" si="20"/>
        <v>0</v>
      </c>
      <c r="I41" s="822">
        <f t="shared" si="20"/>
        <v>334.902805</v>
      </c>
      <c r="J41" s="822">
        <f t="shared" si="20"/>
        <v>151.708</v>
      </c>
      <c r="K41" s="822">
        <f t="shared" si="20"/>
        <v>214.77052</v>
      </c>
      <c r="L41" s="823"/>
      <c r="M41" s="860">
        <f>QUARTILE(M11:M35,1)</f>
        <v>0</v>
      </c>
      <c r="N41" s="822">
        <f>QUARTILE(N11:N35,1)</f>
        <v>2</v>
      </c>
      <c r="O41" s="914">
        <f>QUARTILE(O11:O35,1)</f>
        <v>2.4500000000000001E-2</v>
      </c>
      <c r="P41" s="915"/>
      <c r="Q41" s="916">
        <f>QUARTILE(Q11:Q35,1)</f>
        <v>0.60947723086456018</v>
      </c>
      <c r="R41" s="917"/>
      <c r="S41" s="918">
        <f>QUARTILE(S11:S36,1)</f>
        <v>0.37146249494233241</v>
      </c>
      <c r="T41" s="918">
        <f>QUARTILE(T11:T36,1)</f>
        <v>0</v>
      </c>
      <c r="U41" s="919">
        <f>QUARTILE(U11:U36,1)</f>
        <v>0</v>
      </c>
      <c r="V41" s="919">
        <f>QUARTILE(V11:V36,1)</f>
        <v>0</v>
      </c>
      <c r="W41" s="919">
        <f>QUARTILE(W11:W36,1)</f>
        <v>0</v>
      </c>
      <c r="X41" s="822">
        <f>QUARTILE(X11:X35,1)</f>
        <v>0</v>
      </c>
      <c r="Y41" s="920">
        <f>QUARTILE(Y11:Y35,1)</f>
        <v>0.53251447248880712</v>
      </c>
      <c r="AB41" s="924" t="str">
        <f>IF(ROUND(AB38,3)=ROUND(AB39,3),"","Update Volatility - DLOM")</f>
        <v/>
      </c>
      <c r="AC41" s="269"/>
      <c r="AD41" s="269"/>
      <c r="AE41" s="269"/>
      <c r="AF41" s="594"/>
    </row>
    <row r="42" spans="2:35" ht="14.85" customHeight="1">
      <c r="B42" s="754" t="s">
        <v>112</v>
      </c>
      <c r="C42" s="556"/>
      <c r="D42" s="565">
        <f t="shared" ref="D42:K42" si="21">MIN(D11:D35)</f>
        <v>19.22391</v>
      </c>
      <c r="E42" s="565">
        <f t="shared" si="21"/>
        <v>0</v>
      </c>
      <c r="F42" s="565">
        <f t="shared" si="21"/>
        <v>6.6429999999999998</v>
      </c>
      <c r="G42" s="565">
        <f t="shared" si="21"/>
        <v>0</v>
      </c>
      <c r="H42" s="565">
        <f t="shared" si="21"/>
        <v>0</v>
      </c>
      <c r="I42" s="565">
        <f t="shared" si="21"/>
        <v>26.846910000000001</v>
      </c>
      <c r="J42" s="565">
        <f t="shared" si="21"/>
        <v>12.877000000000001</v>
      </c>
      <c r="K42" s="565">
        <f t="shared" si="21"/>
        <v>10.735910000000001</v>
      </c>
      <c r="L42" s="556"/>
      <c r="M42" s="865">
        <f>MIN(M11:M35)</f>
        <v>0</v>
      </c>
      <c r="N42" s="565">
        <f>MIN(N11:N35)</f>
        <v>2</v>
      </c>
      <c r="O42" s="925">
        <f>MIN(O11:O35)</f>
        <v>2.4500000000000001E-2</v>
      </c>
      <c r="P42" s="926"/>
      <c r="Q42" s="927">
        <f>MIN(Q11:Q35)</f>
        <v>0</v>
      </c>
      <c r="R42" s="928"/>
      <c r="S42" s="929">
        <f>MIN(S11:S36)</f>
        <v>0</v>
      </c>
      <c r="T42" s="929">
        <f>MIN(T11:T36)</f>
        <v>0</v>
      </c>
      <c r="U42" s="930">
        <f>MIN(U11:U36)</f>
        <v>-0.93564300740596862</v>
      </c>
      <c r="V42" s="930">
        <f>MIN(V11:V36)</f>
        <v>0</v>
      </c>
      <c r="W42" s="930">
        <f>MIN(W11:W36)</f>
        <v>0</v>
      </c>
      <c r="X42" s="565">
        <f>MIN(X11:X35)</f>
        <v>0</v>
      </c>
      <c r="Y42" s="931">
        <f>MIN(Y11:Y35)</f>
        <v>0</v>
      </c>
    </row>
    <row r="43" spans="2:35" ht="14.85" customHeight="1">
      <c r="AB43" s="932" t="str">
        <f>IF(AND(AB40=$AF$41,AB41=$AF$41),"","Check")</f>
        <v/>
      </c>
    </row>
    <row r="44" spans="2:35" ht="14.85" customHeight="1">
      <c r="B44" s="933" t="str">
        <f>B2</f>
        <v>Trucode Gene Repair, Inc.</v>
      </c>
      <c r="C44" s="934" t="s">
        <v>249</v>
      </c>
      <c r="D44" s="936">
        <f>'Hybrid OPM'!$C$33/1000-H44</f>
        <v>35.842234980000001</v>
      </c>
      <c r="E44" s="936">
        <f>'Hist BS'!E61/1000</f>
        <v>0.15776502000000001</v>
      </c>
      <c r="F44" s="935"/>
      <c r="G44" s="935"/>
      <c r="H44" s="936">
        <f>'Hist BS'!E61/1000</f>
        <v>0.15776502000000001</v>
      </c>
      <c r="I44" s="937">
        <f t="shared" ref="I44" si="22">SUM(D44:G44)</f>
        <v>36</v>
      </c>
      <c r="J44" s="935"/>
      <c r="K44" s="946">
        <f>D44+H44</f>
        <v>36</v>
      </c>
      <c r="L44" s="935"/>
      <c r="M44" s="938">
        <f>'DLOM Hybrid'!D15</f>
        <v>0</v>
      </c>
      <c r="N44" s="939">
        <f>N$6</f>
        <v>2</v>
      </c>
      <c r="O44" s="940">
        <f>O$6</f>
        <v>2.4500000000000001E-2</v>
      </c>
      <c r="P44" s="941"/>
      <c r="Q44" s="942">
        <v>0.66800000000000004</v>
      </c>
      <c r="R44" s="935"/>
      <c r="S44" s="943">
        <f>IF(Q44="n/a","n/a",Q44^2)</f>
        <v>0.44622400000000007</v>
      </c>
      <c r="T44" s="943">
        <f>IF(OR(K44="n/a",S44="n/a"),"n/a",IF(H44=0,0,IF(M44=0,(LN(K44/H44)+((O44+(S44/2))*N44))/((S44*N44)^0.5),(LN(K44/H44)+((O44-M44+(S44/2))*N44))/((S44*N44)^0.5))))</f>
        <v>6.2722822088389432</v>
      </c>
      <c r="U44" s="944">
        <f>IF(T44="n/a","n/a",IF(H44=0,0,T44-(S44*N44)^0.5))</f>
        <v>5.3275875491737157</v>
      </c>
      <c r="V44" s="944">
        <f>IF(OR(T44="n/a",S44="n/a"),"n/a",IF(H44=0,0,NORMSDIST(T44)))</f>
        <v>0.99999999982210308</v>
      </c>
      <c r="W44" s="944">
        <f>IF(OR(U44="n/a",S44="n/a"),"n/a",IF(H44=0,0,NORMSDIST(U44)))</f>
        <v>0.99999995023709509</v>
      </c>
      <c r="X44" s="944">
        <f>IF(OR(K44="n/a",S44="n/a"),"n/a",IF(M44=0,(K44*V44)-((H44*EXP(1)^(-O44*N44))*W44),(K44*(2.718^(-M44*N44))*V44)-(H44*(2.718^(-O44*N44))*W44)))</f>
        <v>35.849779126100628</v>
      </c>
      <c r="Y44" s="945">
        <f>IF(LEN(B44)&gt;0,IF(H44=0,Q44,IF(ISERROR(Q44/((K44/X44)*V44)),"n/a",Q44/((K44/X44)*V44))))</f>
        <v>0.66521256834709541</v>
      </c>
    </row>
    <row r="45" spans="2:35" ht="14.85" hidden="1" customHeight="1" outlineLevel="1"/>
    <row r="46" spans="2:35" ht="14.85" hidden="1" customHeight="1" outlineLevel="1">
      <c r="B46" s="933" t="str">
        <f>B44</f>
        <v>Trucode Gene Repair, Inc.</v>
      </c>
      <c r="C46" s="934" t="s">
        <v>288</v>
      </c>
      <c r="D46" s="936">
        <f>D44</f>
        <v>35.842234980000001</v>
      </c>
      <c r="E46" s="939">
        <f>H44</f>
        <v>0.15776502000000001</v>
      </c>
      <c r="F46" s="935"/>
      <c r="G46" s="935"/>
      <c r="H46" s="936">
        <f>SUM(E46:G46)</f>
        <v>0.15776502000000001</v>
      </c>
      <c r="I46" s="937">
        <f>K46+J46</f>
        <v>36</v>
      </c>
      <c r="J46" s="935"/>
      <c r="K46" s="946">
        <f>K44</f>
        <v>36</v>
      </c>
      <c r="L46" s="935"/>
      <c r="M46" s="947">
        <f>M44</f>
        <v>0</v>
      </c>
      <c r="N46" s="939">
        <f>N$6</f>
        <v>2</v>
      </c>
      <c r="O46" s="940">
        <f>O$6</f>
        <v>2.4500000000000001E-2</v>
      </c>
      <c r="P46" s="941"/>
      <c r="Q46" s="942">
        <v>0.66800000000000004</v>
      </c>
      <c r="R46" s="935"/>
      <c r="S46" s="943">
        <f>IF(Q46="n/a","n/a",Q46^2)</f>
        <v>0.44622400000000007</v>
      </c>
      <c r="T46" s="943">
        <f>IF(OR(K46="n/a",S46="n/a"),"n/a",IF(H46=0,0,IF(M46=0,(LN(K46/H46)+((O46+(S46/2))*N46))/((S46*N46)^0.5),(LN(K46/H46)+((O46-M46+(S46/2))*N46))/((S46*N46)^0.5))))</f>
        <v>6.2722822088389432</v>
      </c>
      <c r="U46" s="944">
        <f>IF(T46="n/a","n/a",IF(H46=0,0,T46-(S46*N46)^0.5))</f>
        <v>5.3275875491737157</v>
      </c>
      <c r="V46" s="944">
        <f>IF(OR(T46="n/a",S46="n/a"),"n/a",IF(H46=0,0,NORMSDIST(T46)))</f>
        <v>0.99999999982210308</v>
      </c>
      <c r="W46" s="944">
        <f>IF(OR(U46="n/a",S46="n/a"),"n/a",IF(H46=0,0,NORMSDIST(U46)))</f>
        <v>0.99999995023709509</v>
      </c>
      <c r="X46" s="944">
        <f>IF(OR(K46="n/a",S46="n/a"),"n/a",IF(M46=0,(K46*V46)-((H46*EXP(1)^(-O46*N46))*W46),(K46*(2.718^(-M46*N46))*V46)-(H46*(2.718^(-O46*N46))*W46)))</f>
        <v>35.849779126100628</v>
      </c>
      <c r="Y46" s="945">
        <f>IF(LEN(B46)&gt;0,IF(H46=0,Q46,IF(ISERROR(Q46/((K46/X46)*V46)),"n/a",Q46/((K46/X46)*V46))))</f>
        <v>0.66521256834709541</v>
      </c>
    </row>
    <row r="47" spans="2:35" ht="14.85" customHeight="1" collapsed="1"/>
    <row r="48" spans="2:35" ht="14.85" customHeight="1">
      <c r="B48" s="279" t="s">
        <v>86</v>
      </c>
    </row>
    <row r="49" spans="1:2" ht="14.85" customHeight="1">
      <c r="A49" s="280" t="s">
        <v>250</v>
      </c>
      <c r="B49" s="388" t="s">
        <v>2925</v>
      </c>
    </row>
    <row r="50" spans="1:2" ht="14.85" customHeight="1">
      <c r="A50" s="280" t="s">
        <v>249</v>
      </c>
      <c r="B50" s="388" t="s">
        <v>4244</v>
      </c>
    </row>
    <row r="51" spans="1:2" ht="14.85" customHeight="1"/>
    <row r="52" spans="1:2" ht="14.85" customHeight="1">
      <c r="B52" s="279" t="s">
        <v>116</v>
      </c>
    </row>
    <row r="53" spans="1:2" ht="14.85" customHeight="1"/>
    <row r="54" spans="1:2" ht="14.85" customHeight="1">
      <c r="B54" s="234" t="s">
        <v>1416</v>
      </c>
    </row>
    <row r="55" spans="1:2" ht="14.85" customHeight="1">
      <c r="B55" s="234" t="s">
        <v>1417</v>
      </c>
    </row>
    <row r="56" spans="1:2" ht="14.85" customHeight="1">
      <c r="B56" s="234" t="s">
        <v>1418</v>
      </c>
    </row>
    <row r="57" spans="1:2" ht="14.85" customHeight="1">
      <c r="B57" s="234" t="s">
        <v>1419</v>
      </c>
    </row>
    <row r="58" spans="1:2" ht="14.85" customHeight="1">
      <c r="B58" s="234" t="s">
        <v>1420</v>
      </c>
    </row>
    <row r="59" spans="1:2" ht="14.85" customHeight="1">
      <c r="B59" s="234" t="s">
        <v>1421</v>
      </c>
    </row>
    <row r="60" spans="1:2" ht="14.85" customHeight="1">
      <c r="B60" s="234" t="s">
        <v>1422</v>
      </c>
    </row>
    <row r="61" spans="1:2" ht="14.85" customHeight="1"/>
    <row r="62" spans="1:2" ht="14.85" customHeight="1">
      <c r="B62" s="234" t="s">
        <v>1423</v>
      </c>
    </row>
    <row r="63" spans="1:2" ht="14.85" customHeight="1">
      <c r="B63" s="234" t="s">
        <v>1424</v>
      </c>
    </row>
    <row r="64" spans="1:2"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200" priority="8" operator="equal">
      <formula>"(Invalid Identifier)"</formula>
    </cfRule>
  </conditionalFormatting>
  <conditionalFormatting sqref="B4:I4">
    <cfRule type="cellIs" dxfId="199" priority="7" stopIfTrue="1" operator="equal">
      <formula>"input"</formula>
    </cfRule>
  </conditionalFormatting>
  <conditionalFormatting sqref="J4">
    <cfRule type="cellIs" dxfId="198" priority="5" stopIfTrue="1" operator="equal">
      <formula>"input"</formula>
    </cfRule>
  </conditionalFormatting>
  <conditionalFormatting sqref="J4">
    <cfRule type="cellIs" dxfId="197" priority="6" stopIfTrue="1" operator="equal">
      <formula>"input"</formula>
    </cfRule>
  </conditionalFormatting>
  <conditionalFormatting sqref="K4:X4">
    <cfRule type="cellIs" dxfId="196" priority="3" stopIfTrue="1" operator="equal">
      <formula>"input"</formula>
    </cfRule>
  </conditionalFormatting>
  <conditionalFormatting sqref="K4:X4">
    <cfRule type="cellIs" dxfId="195" priority="4" stopIfTrue="1" operator="equal">
      <formula>"input"</formula>
    </cfRule>
  </conditionalFormatting>
  <conditionalFormatting sqref="Y4">
    <cfRule type="cellIs" dxfId="194" priority="1" stopIfTrue="1" operator="equal">
      <formula>"input"</formula>
    </cfRule>
  </conditionalFormatting>
  <conditionalFormatting sqref="Y4">
    <cfRule type="cellIs" dxfId="193"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3"/>
  <dimension ref="A1:AI759"/>
  <sheetViews>
    <sheetView showGridLines="0" view="pageBreakPreview" zoomScale="85" zoomScaleNormal="100" zoomScaleSheetLayoutView="85" workbookViewId="0"/>
  </sheetViews>
  <sheetFormatPr defaultRowHeight="14.25" outlineLevelRow="1" outlineLevelCol="1"/>
  <cols>
    <col min="1" max="1" width="4.5" style="234" customWidth="1"/>
    <col min="2" max="2" width="42.1640625" style="234" customWidth="1"/>
    <col min="3" max="3" width="3.83203125" style="234" customWidth="1"/>
    <col min="4" max="4" width="12.832031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str">
        <f>VLOOKUP(B4,Outline!$E$8:$G$65,COLUMNS(Outline!$E$8:$G$8),FALSE)</f>
        <v>Workpaper #6</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
        <v>4225</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'DLOM Hybrid'!D9</f>
        <v>3</v>
      </c>
      <c r="O6" s="440">
        <f>'Risk-Free Rates Hybrid'!E35</f>
        <v>2.4299999999999999E-2</v>
      </c>
      <c r="Q6" s="268">
        <f>HLOOKUP(ROUND(N6,0),'Equity Vol'!$D$8:$H$8,1,TRUE)</f>
        <v>3</v>
      </c>
    </row>
    <row r="7" spans="2:35" ht="30"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14.8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9.9499999999999993" customHeight="1"/>
    <row r="10" spans="2:35" ht="14.85" customHeight="1">
      <c r="B10" s="1916" t="s">
        <v>4046</v>
      </c>
    </row>
    <row r="11" spans="2:35" ht="14.85" customHeight="1">
      <c r="B11" s="234" t="str">
        <f>'Comp.1'!B11</f>
        <v>Alnylam Pharmaceuticals, Inc.</v>
      </c>
      <c r="D11" s="259">
        <f>'Beta Calc'!K11</f>
        <v>8868.9653999999991</v>
      </c>
      <c r="E11" s="259">
        <f>'Beta Calc'!L11</f>
        <v>30</v>
      </c>
      <c r="F11" s="259" t="str">
        <f>'Beta Calc'!M11</f>
        <v>n/a</v>
      </c>
      <c r="G11" s="259" t="str">
        <f>'Beta Calc'!N11</f>
        <v>n/a</v>
      </c>
      <c r="H11" s="259">
        <f>SUM(E11:G11)</f>
        <v>30</v>
      </c>
      <c r="I11" s="259">
        <f>SUM(D11:G11)</f>
        <v>8898.9653999999991</v>
      </c>
      <c r="J11" s="259">
        <f>'Beta Calc'!Q11</f>
        <v>1236.8340000000001</v>
      </c>
      <c r="K11" s="259">
        <f>I11-J11</f>
        <v>7662.1313999999993</v>
      </c>
      <c r="M11" s="390">
        <f>IFERROR('Capital IQ Sheet-GPC'!AT13,"n/a")</f>
        <v>0</v>
      </c>
      <c r="N11" s="259">
        <f t="shared" ref="N11:O35" si="0">N$6</f>
        <v>3</v>
      </c>
      <c r="O11" s="898">
        <f t="shared" si="0"/>
        <v>2.4299999999999999E-2</v>
      </c>
      <c r="P11" s="899"/>
      <c r="Q11" s="900">
        <f>IFERROR(HLOOKUP($Q$6,'Equity Vol'!$B$8:$H11,ROWS('Equity Vol'!$C$8:$C11),FALSE),"n/a")</f>
        <v>0.7096389326799265</v>
      </c>
      <c r="R11" s="304"/>
      <c r="S11" s="901">
        <f>IFERROR(IF(Q11="n/a","n/a",Q11^2),"n/a")</f>
        <v>0.50358741477510527</v>
      </c>
      <c r="T11" s="901">
        <f t="shared" ref="T11:T26" si="1">IF(OR(K11="n/a",S11="n/a"),"n/a",IF(H11=0,0,IF(M11=0,(LN(K11/H11)+((O11+(S11/2))*N11))/((S11*N11)^0.5),(LN(K11/H11)+((O11-M11+(S11/2))*N11))/((S11*N11)^0.5))))</f>
        <v>5.1834432949397913</v>
      </c>
      <c r="U11" s="902">
        <f t="shared" ref="U11:U26" si="2">IF(T11="n/a","n/a",IF(H11=0,0,T11-(S11*N11)^0.5))</f>
        <v>3.9543126085092082</v>
      </c>
      <c r="V11" s="902">
        <f t="shared" ref="V11:V26" si="3">IF(OR(T11="n/a",S11="n/a"),"n/a",IF(H11=0,0,NORMSDIST(T11)))</f>
        <v>0.99999989108676213</v>
      </c>
      <c r="W11" s="902">
        <f t="shared" ref="W11:W26" si="4">IF(OR(U11="n/a",S11="n/a"),"n/a",IF(H11=0,0,NORMSDIST(U11)))</f>
        <v>0.9999616224993616</v>
      </c>
      <c r="X11" s="259">
        <f t="shared" ref="X11:X26" si="5">IF(OR(K11="n/a",S11="n/a"),"n/a",IF(M11=0,(K11*V11)-((H11*EXP(1)^(-O11*N11))*W11),(K11*(2.718^(-M11*N11))*V11)-(H11*(2.718^(-O11*N11))*W11)))</f>
        <v>7634.2408220294774</v>
      </c>
      <c r="Y11" s="900">
        <f>IFERROR(IF(LEN(B11)&gt;0,IF(H11=0,Q11,IF(ISERROR(Q11/((K11/X11)*V11)),"n/a",Q11/((K11/X11)*V11)))),"n/a")</f>
        <v>0.7070558851039791</v>
      </c>
      <c r="AA11" s="815" t="str">
        <f>IF('MASTER PubCo Inputs'!B28=0,"",'MASTER PubCo Inputs'!B28)</f>
        <v>NasdaqGS:ALNY</v>
      </c>
      <c r="AB11" s="259">
        <f>'Beta Calc'!Z11</f>
        <v>7662.1313899999996</v>
      </c>
      <c r="AC11" s="903">
        <f t="shared" ref="AC11:AC35" si="6">K11-AB11</f>
        <v>9.9999997473787516E-6</v>
      </c>
      <c r="AI11" s="811"/>
    </row>
    <row r="12" spans="2:35" ht="14.85" customHeight="1">
      <c r="B12" s="234" t="str">
        <f>'Comp.1'!B12</f>
        <v>bluebird bio, Inc.</v>
      </c>
      <c r="D12" s="259">
        <f>'Beta Calc'!K12</f>
        <v>7297.8752599999998</v>
      </c>
      <c r="E12" s="259">
        <f>'Beta Calc'!L12</f>
        <v>155.03399999999999</v>
      </c>
      <c r="F12" s="259" t="str">
        <f>'Beta Calc'!M12</f>
        <v>n/a</v>
      </c>
      <c r="G12" s="259" t="str">
        <f>'Beta Calc'!N12</f>
        <v>n/a</v>
      </c>
      <c r="H12" s="259">
        <f t="shared" ref="H12:H26" si="7">SUM(E12:G12)</f>
        <v>155.03399999999999</v>
      </c>
      <c r="I12" s="259">
        <f t="shared" ref="I12:I26" si="8">SUM(D12:G12)</f>
        <v>7452.9092599999994</v>
      </c>
      <c r="J12" s="259">
        <f>'Beta Calc'!Q12</f>
        <v>1695.2950000000001</v>
      </c>
      <c r="K12" s="259">
        <f t="shared" ref="K12:K26" si="9">I12-J12</f>
        <v>5757.6142599999994</v>
      </c>
      <c r="M12" s="390">
        <f>IFERROR('Capital IQ Sheet-GPC'!AT14,"n/a")</f>
        <v>0</v>
      </c>
      <c r="N12" s="259">
        <f t="shared" si="0"/>
        <v>3</v>
      </c>
      <c r="O12" s="898">
        <f t="shared" si="0"/>
        <v>2.4299999999999999E-2</v>
      </c>
      <c r="P12" s="899"/>
      <c r="Q12" s="900">
        <f>IFERROR(HLOOKUP($Q$6,'Equity Vol'!$B$8:$H12,ROWS('Equity Vol'!$C$8:$C12),FALSE),"n/a")</f>
        <v>0.62078542774096979</v>
      </c>
      <c r="R12" s="304"/>
      <c r="S12" s="901">
        <f t="shared" ref="S12:S26" si="10">IFERROR(IF(Q12="n/a","n/a",Q12^2),"n/a")</f>
        <v>0.38537454729553883</v>
      </c>
      <c r="T12" s="901">
        <f t="shared" si="1"/>
        <v>3.9671403391413556</v>
      </c>
      <c r="U12" s="902">
        <f t="shared" si="2"/>
        <v>2.8919084376956179</v>
      </c>
      <c r="V12" s="902">
        <f t="shared" si="3"/>
        <v>0.99996362991797838</v>
      </c>
      <c r="W12" s="902">
        <f t="shared" si="4"/>
        <v>0.99808545238931534</v>
      </c>
      <c r="X12" s="259">
        <f t="shared" si="5"/>
        <v>5613.5466590090082</v>
      </c>
      <c r="Y12" s="900">
        <f t="shared" ref="Y12:Y26" si="11">IFERROR(IF(LEN(B12)&gt;0,IF(H12=0,Q12,IF(ISERROR(Q12/((K12/X12)*V12)),"n/a",Q12/((K12/X12)*V12)))),"n/a")</f>
        <v>0.60527408642656899</v>
      </c>
      <c r="AA12" s="815" t="str">
        <f>IF('MASTER PubCo Inputs'!B29=0,"",'MASTER PubCo Inputs'!B29)</f>
        <v>NasdaqGS:BLUE</v>
      </c>
      <c r="AB12" s="259">
        <f>'Beta Calc'!Z12</f>
        <v>5757.6142600000003</v>
      </c>
      <c r="AC12" s="903">
        <f t="shared" si="6"/>
        <v>0</v>
      </c>
      <c r="AI12" s="811"/>
    </row>
    <row r="13" spans="2:35" ht="14.85" customHeight="1">
      <c r="B13" s="234" t="str">
        <f>'Comp.1'!B13</f>
        <v>Ironwood Pharmaceuticals, Inc.</v>
      </c>
      <c r="D13" s="259">
        <f>'Beta Calc'!K13</f>
        <v>2104.44911</v>
      </c>
      <c r="E13" s="259">
        <f>'Beta Calc'!L13</f>
        <v>409.30599999999998</v>
      </c>
      <c r="F13" s="259" t="str">
        <f>'Beta Calc'!M13</f>
        <v>n/a</v>
      </c>
      <c r="G13" s="259" t="str">
        <f>'Beta Calc'!N13</f>
        <v>n/a</v>
      </c>
      <c r="H13" s="259">
        <f t="shared" si="7"/>
        <v>409.30599999999998</v>
      </c>
      <c r="I13" s="259">
        <f t="shared" si="8"/>
        <v>2513.7551100000001</v>
      </c>
      <c r="J13" s="259">
        <f>'Beta Calc'!Q13</f>
        <v>161.398</v>
      </c>
      <c r="K13" s="259">
        <f t="shared" si="9"/>
        <v>2352.3571099999999</v>
      </c>
      <c r="M13" s="390">
        <f>IFERROR('Capital IQ Sheet-GPC'!AT15,"n/a")</f>
        <v>0</v>
      </c>
      <c r="N13" s="259">
        <f t="shared" si="0"/>
        <v>3</v>
      </c>
      <c r="O13" s="898">
        <f t="shared" si="0"/>
        <v>2.4299999999999999E-2</v>
      </c>
      <c r="P13" s="899"/>
      <c r="Q13" s="900">
        <f>IFERROR(HLOOKUP($Q$6,'Equity Vol'!$B$8:$H13,ROWS('Equity Vol'!$C$8:$C13),FALSE),"n/a")</f>
        <v>0.45368577964898188</v>
      </c>
      <c r="R13" s="304"/>
      <c r="S13" s="901">
        <f t="shared" si="10"/>
        <v>0.20583078665570453</v>
      </c>
      <c r="T13" s="901">
        <f t="shared" si="1"/>
        <v>2.7110432365803634</v>
      </c>
      <c r="U13" s="902">
        <f t="shared" si="2"/>
        <v>1.9252364155568287</v>
      </c>
      <c r="V13" s="902">
        <f t="shared" si="3"/>
        <v>0.99664640601587728</v>
      </c>
      <c r="W13" s="902">
        <f t="shared" si="4"/>
        <v>0.97290010586879083</v>
      </c>
      <c r="X13" s="259">
        <f t="shared" si="5"/>
        <v>1974.2513133349034</v>
      </c>
      <c r="Y13" s="900">
        <f t="shared" si="11"/>
        <v>0.38204387828338338</v>
      </c>
      <c r="AA13" s="815" t="str">
        <f>IF('MASTER PubCo Inputs'!B30=0,"",'MASTER PubCo Inputs'!B30)</f>
        <v>NasdaqGS:IRWD</v>
      </c>
      <c r="AB13" s="259">
        <f>'Beta Calc'!Z13</f>
        <v>2352.3571099999999</v>
      </c>
      <c r="AC13" s="903">
        <f t="shared" si="6"/>
        <v>0</v>
      </c>
      <c r="AI13" s="811"/>
    </row>
    <row r="14" spans="2:35" ht="14.85" customHeight="1">
      <c r="B14" s="234" t="str">
        <f>'Comp.1'!B14</f>
        <v>Global Blood Therapeutics, Inc.</v>
      </c>
      <c r="D14" s="259">
        <f>'Beta Calc'!K14</f>
        <v>2660.4172400000002</v>
      </c>
      <c r="E14" s="259">
        <f>'Beta Calc'!L14</f>
        <v>0</v>
      </c>
      <c r="F14" s="259" t="str">
        <f>'Beta Calc'!M14</f>
        <v>n/a</v>
      </c>
      <c r="G14" s="259" t="str">
        <f>'Beta Calc'!N14</f>
        <v>n/a</v>
      </c>
      <c r="H14" s="259">
        <f t="shared" si="7"/>
        <v>0</v>
      </c>
      <c r="I14" s="259">
        <f t="shared" si="8"/>
        <v>2660.4172400000002</v>
      </c>
      <c r="J14" s="259">
        <f>'Beta Calc'!Q14</f>
        <v>383.22800000000001</v>
      </c>
      <c r="K14" s="259">
        <f t="shared" si="9"/>
        <v>2277.1892400000002</v>
      </c>
      <c r="M14" s="390">
        <f>IFERROR('Capital IQ Sheet-GPC'!AT16,"n/a")</f>
        <v>0</v>
      </c>
      <c r="N14" s="259">
        <f t="shared" si="0"/>
        <v>3</v>
      </c>
      <c r="O14" s="898">
        <f t="shared" si="0"/>
        <v>2.4299999999999999E-2</v>
      </c>
      <c r="P14" s="899"/>
      <c r="Q14" s="900">
        <f>IFERROR(HLOOKUP($Q$6,'Equity Vol'!$B$8:$H14,ROWS('Equity Vol'!$C$8:$C14),FALSE),"n/a")</f>
        <v>0.73278037479134861</v>
      </c>
      <c r="R14" s="304"/>
      <c r="S14" s="901">
        <f t="shared" si="10"/>
        <v>0.53696707767934937</v>
      </c>
      <c r="T14" s="901">
        <f t="shared" si="1"/>
        <v>0</v>
      </c>
      <c r="U14" s="902">
        <f t="shared" si="2"/>
        <v>0</v>
      </c>
      <c r="V14" s="902">
        <f t="shared" si="3"/>
        <v>0</v>
      </c>
      <c r="W14" s="902">
        <f t="shared" si="4"/>
        <v>0</v>
      </c>
      <c r="X14" s="259">
        <f t="shared" si="5"/>
        <v>0</v>
      </c>
      <c r="Y14" s="900">
        <f t="shared" si="11"/>
        <v>0.73278037479134861</v>
      </c>
      <c r="AA14" s="815" t="str">
        <f>IF('MASTER PubCo Inputs'!B31=0,"",'MASTER PubCo Inputs'!B31)</f>
        <v>NasdaqGS:GBT</v>
      </c>
      <c r="AB14" s="259">
        <f>'Beta Calc'!Z14</f>
        <v>2277.1892400000002</v>
      </c>
      <c r="AC14" s="903">
        <f t="shared" si="6"/>
        <v>0</v>
      </c>
      <c r="AI14" s="811"/>
    </row>
    <row r="15" spans="2:35" ht="14.85" customHeight="1">
      <c r="B15" s="234" t="str">
        <f>'Comp.1'!B15</f>
        <v>Acceleron Pharma Inc.</v>
      </c>
      <c r="D15" s="259">
        <f>'Beta Calc'!K15</f>
        <v>2185.0571599999998</v>
      </c>
      <c r="E15" s="259">
        <f>'Beta Calc'!L15</f>
        <v>0</v>
      </c>
      <c r="F15" s="259" t="str">
        <f>'Beta Calc'!M15</f>
        <v>n/a</v>
      </c>
      <c r="G15" s="259" t="str">
        <f>'Beta Calc'!N15</f>
        <v>n/a</v>
      </c>
      <c r="H15" s="259">
        <f t="shared" si="7"/>
        <v>0</v>
      </c>
      <c r="I15" s="259">
        <f t="shared" si="8"/>
        <v>2185.0571599999998</v>
      </c>
      <c r="J15" s="259">
        <f>'Beta Calc'!Q15</f>
        <v>307.97199999999998</v>
      </c>
      <c r="K15" s="259">
        <f t="shared" si="9"/>
        <v>1877.0851599999999</v>
      </c>
      <c r="M15" s="390">
        <f>IFERROR('Capital IQ Sheet-GPC'!AT17,"n/a")</f>
        <v>0</v>
      </c>
      <c r="N15" s="259">
        <f t="shared" si="0"/>
        <v>3</v>
      </c>
      <c r="O15" s="898">
        <f t="shared" si="0"/>
        <v>2.4299999999999999E-2</v>
      </c>
      <c r="P15" s="899"/>
      <c r="Q15" s="900">
        <f>IFERROR(HLOOKUP($Q$6,'Equity Vol'!$B$8:$H15,ROWS('Equity Vol'!$C$8:$C15),FALSE),"n/a")</f>
        <v>0.56423016277929228</v>
      </c>
      <c r="R15" s="304"/>
      <c r="S15" s="901">
        <f t="shared" si="10"/>
        <v>0.31835567658994668</v>
      </c>
      <c r="T15" s="901">
        <f t="shared" si="1"/>
        <v>0</v>
      </c>
      <c r="U15" s="902">
        <f t="shared" si="2"/>
        <v>0</v>
      </c>
      <c r="V15" s="902">
        <f t="shared" si="3"/>
        <v>0</v>
      </c>
      <c r="W15" s="902">
        <f t="shared" si="4"/>
        <v>0</v>
      </c>
      <c r="X15" s="259">
        <f t="shared" si="5"/>
        <v>0</v>
      </c>
      <c r="Y15" s="900">
        <f t="shared" si="11"/>
        <v>0.56423016277929228</v>
      </c>
      <c r="AA15" s="815" t="str">
        <f>IF('MASTER PubCo Inputs'!B32=0,"",'MASTER PubCo Inputs'!B32)</f>
        <v>NasdaqGM:XLRN</v>
      </c>
      <c r="AB15" s="259">
        <f>'Beta Calc'!Z15</f>
        <v>1877.0851600000001</v>
      </c>
      <c r="AC15" s="903">
        <f t="shared" si="6"/>
        <v>0</v>
      </c>
      <c r="AI15" s="811"/>
    </row>
    <row r="16" spans="2:35" ht="14.85" customHeight="1">
      <c r="B16" s="234" t="str">
        <f>'Comp.1'!B16</f>
        <v>Spark Therapeutics, Inc.</v>
      </c>
      <c r="D16" s="259">
        <f>'Beta Calc'!K16</f>
        <v>1805.0671400000001</v>
      </c>
      <c r="E16" s="259">
        <f>'Beta Calc'!L16</f>
        <v>84.891000000000005</v>
      </c>
      <c r="F16" s="259" t="str">
        <f>'Beta Calc'!M16</f>
        <v>n/a</v>
      </c>
      <c r="G16" s="259" t="str">
        <f>'Beta Calc'!N16</f>
        <v>n/a</v>
      </c>
      <c r="H16" s="259">
        <f t="shared" si="7"/>
        <v>84.891000000000005</v>
      </c>
      <c r="I16" s="259">
        <f t="shared" si="8"/>
        <v>1889.9581400000002</v>
      </c>
      <c r="J16" s="259">
        <f>'Beta Calc'!Q16</f>
        <v>590.476</v>
      </c>
      <c r="K16" s="259">
        <f t="shared" si="9"/>
        <v>1299.4821400000001</v>
      </c>
      <c r="M16" s="390">
        <f>IFERROR('Capital IQ Sheet-GPC'!AT18,"n/a")</f>
        <v>0</v>
      </c>
      <c r="N16" s="259">
        <f t="shared" si="0"/>
        <v>3</v>
      </c>
      <c r="O16" s="898">
        <f t="shared" si="0"/>
        <v>2.4299999999999999E-2</v>
      </c>
      <c r="P16" s="899"/>
      <c r="Q16" s="900">
        <f>IFERROR(HLOOKUP($Q$6,'Equity Vol'!$B$8:$H16,ROWS('Equity Vol'!$C$8:$C16),FALSE),"n/a")</f>
        <v>0.67870462913818252</v>
      </c>
      <c r="R16" s="304"/>
      <c r="S16" s="901">
        <f t="shared" si="10"/>
        <v>0.46063997361359788</v>
      </c>
      <c r="T16" s="901">
        <f t="shared" si="1"/>
        <v>2.9707033417775381</v>
      </c>
      <c r="U16" s="902">
        <f t="shared" si="2"/>
        <v>1.7951524407780137</v>
      </c>
      <c r="V16" s="902">
        <f t="shared" si="3"/>
        <v>0.99851440681700088</v>
      </c>
      <c r="W16" s="902">
        <f t="shared" si="4"/>
        <v>0.9636852922480843</v>
      </c>
      <c r="X16" s="259">
        <f t="shared" si="5"/>
        <v>1221.495054719509</v>
      </c>
      <c r="Y16" s="900">
        <f t="shared" si="11"/>
        <v>0.63892204649603856</v>
      </c>
      <c r="AA16" s="815" t="str">
        <f>IF('MASTER PubCo Inputs'!B33=0,"",'MASTER PubCo Inputs'!B33)</f>
        <v>NasdaqGS:ONCE</v>
      </c>
      <c r="AB16" s="259">
        <f>'Beta Calc'!Z16</f>
        <v>1299.4821300000001</v>
      </c>
      <c r="AC16" s="903">
        <f t="shared" si="6"/>
        <v>9.9999999747524271E-6</v>
      </c>
      <c r="AI16" s="811"/>
    </row>
    <row r="17" spans="2:35" ht="14.85" customHeight="1">
      <c r="B17" s="234" t="str">
        <f>'Comp.1'!B17</f>
        <v>REGENXBIO Inc.</v>
      </c>
      <c r="D17" s="259">
        <f>'Beta Calc'!K17</f>
        <v>1575.5421799999999</v>
      </c>
      <c r="E17" s="259">
        <f>'Beta Calc'!L17</f>
        <v>0</v>
      </c>
      <c r="F17" s="259" t="str">
        <f>'Beta Calc'!M17</f>
        <v>n/a</v>
      </c>
      <c r="G17" s="259" t="str">
        <f>'Beta Calc'!N17</f>
        <v>n/a</v>
      </c>
      <c r="H17" s="259">
        <f t="shared" si="7"/>
        <v>0</v>
      </c>
      <c r="I17" s="259">
        <f t="shared" si="8"/>
        <v>1575.5421799999999</v>
      </c>
      <c r="J17" s="259">
        <f>'Beta Calc'!Q17</f>
        <v>372.589</v>
      </c>
      <c r="K17" s="259">
        <f t="shared" si="9"/>
        <v>1202.95318</v>
      </c>
      <c r="M17" s="390">
        <f>IFERROR('Capital IQ Sheet-GPC'!AT19,"n/a")</f>
        <v>0</v>
      </c>
      <c r="N17" s="259">
        <f t="shared" si="0"/>
        <v>3</v>
      </c>
      <c r="O17" s="898">
        <f t="shared" si="0"/>
        <v>2.4299999999999999E-2</v>
      </c>
      <c r="P17" s="899"/>
      <c r="Q17" s="900">
        <f>IFERROR(HLOOKUP($Q$6,'Equity Vol'!$B$8:$H17,ROWS('Equity Vol'!$C$8:$C17),FALSE),"n/a")</f>
        <v>0.66256910320315288</v>
      </c>
      <c r="R17" s="304"/>
      <c r="S17" s="901">
        <f t="shared" si="10"/>
        <v>0.43899781651943026</v>
      </c>
      <c r="T17" s="901">
        <f t="shared" si="1"/>
        <v>0</v>
      </c>
      <c r="U17" s="902">
        <f t="shared" si="2"/>
        <v>0</v>
      </c>
      <c r="V17" s="902">
        <f t="shared" si="3"/>
        <v>0</v>
      </c>
      <c r="W17" s="902">
        <f t="shared" si="4"/>
        <v>0</v>
      </c>
      <c r="X17" s="259">
        <f t="shared" si="5"/>
        <v>0</v>
      </c>
      <c r="Y17" s="900">
        <f t="shared" si="11"/>
        <v>0.66256910320315288</v>
      </c>
      <c r="AA17" s="815" t="str">
        <f>IF('MASTER PubCo Inputs'!B34=0,"",'MASTER PubCo Inputs'!B34)</f>
        <v>NasdaqGS:RGNX</v>
      </c>
      <c r="AB17" s="259">
        <f>'Beta Calc'!Z17</f>
        <v>1202.95318</v>
      </c>
      <c r="AC17" s="903">
        <f t="shared" si="6"/>
        <v>0</v>
      </c>
      <c r="AI17" s="811"/>
    </row>
    <row r="18" spans="2:35" ht="14.85" customHeight="1">
      <c r="B18" s="234" t="str">
        <f>'Comp.1'!B18</f>
        <v>uniQure N.V.</v>
      </c>
      <c r="D18" s="259">
        <f>'Beta Calc'!K18</f>
        <v>1275.6593700000001</v>
      </c>
      <c r="E18" s="259">
        <f>'Beta Calc'!L18</f>
        <v>20.707999999999998</v>
      </c>
      <c r="F18" s="259" t="str">
        <f>'Beta Calc'!M18</f>
        <v>n/a</v>
      </c>
      <c r="G18" s="259" t="str">
        <f>'Beta Calc'!N18</f>
        <v>n/a</v>
      </c>
      <c r="H18" s="259">
        <f t="shared" si="7"/>
        <v>20.707999999999998</v>
      </c>
      <c r="I18" s="259">
        <f t="shared" si="8"/>
        <v>1296.3673700000002</v>
      </c>
      <c r="J18" s="259">
        <f>'Beta Calc'!Q18</f>
        <v>239.54599999999999</v>
      </c>
      <c r="K18" s="259">
        <f t="shared" si="9"/>
        <v>1056.8213700000001</v>
      </c>
      <c r="M18" s="390">
        <f>IFERROR('Capital IQ Sheet-GPC'!AT20,"n/a")</f>
        <v>0</v>
      </c>
      <c r="N18" s="259">
        <f t="shared" si="0"/>
        <v>3</v>
      </c>
      <c r="O18" s="898">
        <f t="shared" si="0"/>
        <v>2.4299999999999999E-2</v>
      </c>
      <c r="P18" s="899"/>
      <c r="Q18" s="900">
        <f>IFERROR(HLOOKUP($Q$6,'Equity Vol'!$B$8:$H18,ROWS('Equity Vol'!$C$8:$C18),FALSE),"n/a")</f>
        <v>0.72202351879102378</v>
      </c>
      <c r="R18" s="304"/>
      <c r="S18" s="901">
        <f t="shared" si="10"/>
        <v>0.52131796168737188</v>
      </c>
      <c r="T18" s="901">
        <f t="shared" si="1"/>
        <v>3.8281216607952646</v>
      </c>
      <c r="U18" s="902">
        <f t="shared" si="2"/>
        <v>2.5775402419895492</v>
      </c>
      <c r="V18" s="902">
        <f t="shared" si="3"/>
        <v>0.9999354375352294</v>
      </c>
      <c r="W18" s="902">
        <f t="shared" si="4"/>
        <v>0.99502468528310084</v>
      </c>
      <c r="X18" s="259">
        <f t="shared" si="5"/>
        <v>1037.5968251576962</v>
      </c>
      <c r="Y18" s="900">
        <f t="shared" si="11"/>
        <v>0.70893502288561994</v>
      </c>
      <c r="AA18" s="815" t="str">
        <f>IF('MASTER PubCo Inputs'!B35=0,"",'MASTER PubCo Inputs'!B35)</f>
        <v>NasdaqGS:QURE</v>
      </c>
      <c r="AB18" s="259">
        <f>'Beta Calc'!Z18</f>
        <v>1056.8213699999999</v>
      </c>
      <c r="AC18" s="903">
        <f t="shared" si="6"/>
        <v>0</v>
      </c>
      <c r="AI18" s="811"/>
    </row>
    <row r="19" spans="2:35" ht="14.85" customHeight="1">
      <c r="B19" s="234" t="str">
        <f>'Comp.1'!B19</f>
        <v>Audentes Therapeutics, Inc.</v>
      </c>
      <c r="D19" s="259">
        <f>'Beta Calc'!K19</f>
        <v>1058.70937</v>
      </c>
      <c r="E19" s="259">
        <f>'Beta Calc'!L19</f>
        <v>0</v>
      </c>
      <c r="F19" s="259" t="str">
        <f>'Beta Calc'!M19</f>
        <v>n/a</v>
      </c>
      <c r="G19" s="259" t="str">
        <f>'Beta Calc'!N19</f>
        <v>n/a</v>
      </c>
      <c r="H19" s="259">
        <f t="shared" si="7"/>
        <v>0</v>
      </c>
      <c r="I19" s="259">
        <f t="shared" si="8"/>
        <v>1058.70937</v>
      </c>
      <c r="J19" s="259">
        <f>'Beta Calc'!Q19</f>
        <v>280.68599999999998</v>
      </c>
      <c r="K19" s="259">
        <f t="shared" si="9"/>
        <v>778.02337000000011</v>
      </c>
      <c r="M19" s="390">
        <f>IFERROR('Capital IQ Sheet-GPC'!AT21,"n/a")</f>
        <v>0</v>
      </c>
      <c r="N19" s="259">
        <f t="shared" si="0"/>
        <v>3</v>
      </c>
      <c r="O19" s="898">
        <f t="shared" si="0"/>
        <v>2.4299999999999999E-2</v>
      </c>
      <c r="P19" s="899"/>
      <c r="Q19" s="900">
        <f>IFERROR(HLOOKUP($Q$6,'Equity Vol'!$B$8:$H19,ROWS('Equity Vol'!$C$8:$C19),FALSE),"n/a")</f>
        <v>0.59768048017248299</v>
      </c>
      <c r="R19" s="304"/>
      <c r="S19" s="901">
        <f t="shared" si="10"/>
        <v>0.35722195637920984</v>
      </c>
      <c r="T19" s="901">
        <f t="shared" si="1"/>
        <v>0</v>
      </c>
      <c r="U19" s="902">
        <f t="shared" si="2"/>
        <v>0</v>
      </c>
      <c r="V19" s="902">
        <f t="shared" si="3"/>
        <v>0</v>
      </c>
      <c r="W19" s="902">
        <f t="shared" si="4"/>
        <v>0</v>
      </c>
      <c r="X19" s="259">
        <f t="shared" si="5"/>
        <v>0</v>
      </c>
      <c r="Y19" s="900">
        <f t="shared" si="11"/>
        <v>0.59768048017248299</v>
      </c>
      <c r="AA19" s="815" t="str">
        <f>IF('MASTER PubCo Inputs'!B36=0,"",'MASTER PubCo Inputs'!B36)</f>
        <v>NasdaqGM:BOLD</v>
      </c>
      <c r="AB19" s="259">
        <f>'Beta Calc'!Z19</f>
        <v>778.02337</v>
      </c>
      <c r="AC19" s="903">
        <f t="shared" si="6"/>
        <v>0</v>
      </c>
      <c r="AI19" s="811"/>
    </row>
    <row r="20" spans="2:35" ht="14.85" customHeight="1">
      <c r="B20" s="234" t="str">
        <f>'Comp.1'!B20</f>
        <v>Sangamo Therapeutics, Inc.</v>
      </c>
      <c r="D20" s="259">
        <f>'Beta Calc'!K20</f>
        <v>1193.4655700000001</v>
      </c>
      <c r="E20" s="259">
        <f>'Beta Calc'!L20</f>
        <v>0</v>
      </c>
      <c r="F20" s="259" t="str">
        <f>'Beta Calc'!M20</f>
        <v>n/a</v>
      </c>
      <c r="G20" s="259" t="str">
        <f>'Beta Calc'!N20</f>
        <v>n/a</v>
      </c>
      <c r="H20" s="259">
        <f t="shared" si="7"/>
        <v>0</v>
      </c>
      <c r="I20" s="259">
        <f t="shared" si="8"/>
        <v>1193.4655700000001</v>
      </c>
      <c r="J20" s="259">
        <f>'Beta Calc'!Q20</f>
        <v>458.57</v>
      </c>
      <c r="K20" s="259">
        <f t="shared" si="9"/>
        <v>734.89557000000013</v>
      </c>
      <c r="M20" s="390">
        <f>IFERROR('Capital IQ Sheet-GPC'!AT22,"n/a")</f>
        <v>0</v>
      </c>
      <c r="N20" s="259">
        <f t="shared" si="0"/>
        <v>3</v>
      </c>
      <c r="O20" s="898">
        <f t="shared" si="0"/>
        <v>2.4299999999999999E-2</v>
      </c>
      <c r="P20" s="899"/>
      <c r="Q20" s="900">
        <f>IFERROR(HLOOKUP($Q$6,'Equity Vol'!$B$8:$H20,ROWS('Equity Vol'!$C$8:$C20),FALSE),"n/a")</f>
        <v>0.81085681085935835</v>
      </c>
      <c r="R20" s="304"/>
      <c r="S20" s="901">
        <f t="shared" si="10"/>
        <v>0.65748876771700926</v>
      </c>
      <c r="T20" s="901">
        <f t="shared" si="1"/>
        <v>0</v>
      </c>
      <c r="U20" s="902">
        <f t="shared" si="2"/>
        <v>0</v>
      </c>
      <c r="V20" s="902">
        <f t="shared" si="3"/>
        <v>0</v>
      </c>
      <c r="W20" s="902">
        <f t="shared" si="4"/>
        <v>0</v>
      </c>
      <c r="X20" s="259">
        <f t="shared" si="5"/>
        <v>0</v>
      </c>
      <c r="Y20" s="900">
        <f t="shared" si="11"/>
        <v>0.81085681085935835</v>
      </c>
      <c r="AA20" s="815" t="str">
        <f>IF('MASTER PubCo Inputs'!B37=0,"",'MASTER PubCo Inputs'!B37)</f>
        <v>NasdaqGS:SGMO</v>
      </c>
      <c r="AB20" s="259">
        <f>'Beta Calc'!Z20</f>
        <v>734.89557000000002</v>
      </c>
      <c r="AC20" s="903">
        <f t="shared" si="6"/>
        <v>0</v>
      </c>
      <c r="AI20" s="811"/>
    </row>
    <row r="21" spans="2:35" ht="14.85" customHeight="1">
      <c r="B21" s="234" t="str">
        <f>'Comp.1'!B21</f>
        <v>Homology Medicines, Inc.</v>
      </c>
      <c r="D21" s="259">
        <f>'Beta Calc'!K21</f>
        <v>756.27498000000003</v>
      </c>
      <c r="E21" s="259">
        <f>'Beta Calc'!L21</f>
        <v>0</v>
      </c>
      <c r="F21" s="259" t="str">
        <f>'Beta Calc'!M21</f>
        <v>n/a</v>
      </c>
      <c r="G21" s="259" t="str">
        <f>'Beta Calc'!N21</f>
        <v>n/a</v>
      </c>
      <c r="H21" s="259">
        <f t="shared" si="7"/>
        <v>0</v>
      </c>
      <c r="I21" s="259">
        <f t="shared" si="8"/>
        <v>756.27498000000003</v>
      </c>
      <c r="J21" s="259">
        <f>'Beta Calc'!Q21</f>
        <v>237.54401999999999</v>
      </c>
      <c r="K21" s="259">
        <f t="shared" si="9"/>
        <v>518.7309600000001</v>
      </c>
      <c r="M21" s="390">
        <f>IFERROR('Capital IQ Sheet-GPC'!AT23,"n/a")</f>
        <v>0</v>
      </c>
      <c r="N21" s="259">
        <f t="shared" si="0"/>
        <v>3</v>
      </c>
      <c r="O21" s="898">
        <f t="shared" si="0"/>
        <v>2.4299999999999999E-2</v>
      </c>
      <c r="P21" s="899"/>
      <c r="Q21" s="900" t="str">
        <f>IFERROR(HLOOKUP($Q$6,'Equity Vol'!$B$8:$H21,ROWS('Equity Vol'!$C$8:$C21),FALSE),"n/a")</f>
        <v>NM</v>
      </c>
      <c r="R21" s="304"/>
      <c r="S21" s="901" t="str">
        <f t="shared" si="10"/>
        <v>n/a</v>
      </c>
      <c r="T21" s="901" t="str">
        <f t="shared" si="1"/>
        <v>n/a</v>
      </c>
      <c r="U21" s="902" t="str">
        <f t="shared" si="2"/>
        <v>n/a</v>
      </c>
      <c r="V21" s="902" t="str">
        <f t="shared" si="3"/>
        <v>n/a</v>
      </c>
      <c r="W21" s="902" t="str">
        <f t="shared" si="4"/>
        <v>n/a</v>
      </c>
      <c r="X21" s="259" t="str">
        <f t="shared" si="5"/>
        <v>n/a</v>
      </c>
      <c r="Y21" s="900" t="str">
        <f t="shared" si="11"/>
        <v>NM</v>
      </c>
      <c r="AA21" s="815" t="str">
        <f>IF('MASTER PubCo Inputs'!B38=0,"",'MASTER PubCo Inputs'!B38)</f>
        <v>NasdaqGS:FIXX</v>
      </c>
      <c r="AB21" s="259">
        <f>'Beta Calc'!Z21</f>
        <v>518.73095999999998</v>
      </c>
      <c r="AC21" s="903">
        <f t="shared" si="6"/>
        <v>0</v>
      </c>
      <c r="AI21" s="811"/>
    </row>
    <row r="22" spans="2:35" ht="14.85" customHeight="1">
      <c r="B22" s="234" t="str">
        <f>'Comp.1'!B22</f>
        <v>Corbus Pharmaceuticals Holdings, Inc.</v>
      </c>
      <c r="D22" s="259">
        <f>'Beta Calc'!K22</f>
        <v>473.53946999999999</v>
      </c>
      <c r="E22" s="259">
        <f>'Beta Calc'!L22</f>
        <v>0</v>
      </c>
      <c r="F22" s="259" t="str">
        <f>'Beta Calc'!M22</f>
        <v>n/a</v>
      </c>
      <c r="G22" s="259" t="str">
        <f>'Beta Calc'!N22</f>
        <v>n/a</v>
      </c>
      <c r="H22" s="259">
        <f t="shared" si="7"/>
        <v>0</v>
      </c>
      <c r="I22" s="259">
        <f t="shared" si="8"/>
        <v>473.53946999999999</v>
      </c>
      <c r="J22" s="259">
        <f>'Beta Calc'!Q22</f>
        <v>55.659350000000003</v>
      </c>
      <c r="K22" s="259">
        <f t="shared" si="9"/>
        <v>417.88011999999998</v>
      </c>
      <c r="M22" s="390">
        <f>IFERROR('Capital IQ Sheet-GPC'!AT24,"n/a")</f>
        <v>0</v>
      </c>
      <c r="N22" s="259">
        <f t="shared" si="0"/>
        <v>3</v>
      </c>
      <c r="O22" s="898">
        <f t="shared" si="0"/>
        <v>2.4299999999999999E-2</v>
      </c>
      <c r="P22" s="899"/>
      <c r="Q22" s="900">
        <f>IFERROR(HLOOKUP($Q$6,'Equity Vol'!$B$8:$H22,ROWS('Equity Vol'!$C$8:$C22),FALSE),"n/a")</f>
        <v>0.8020029159787504</v>
      </c>
      <c r="R22" s="304"/>
      <c r="S22" s="901">
        <f t="shared" si="10"/>
        <v>0.64320867723841857</v>
      </c>
      <c r="T22" s="901">
        <f t="shared" si="1"/>
        <v>0</v>
      </c>
      <c r="U22" s="902">
        <f t="shared" si="2"/>
        <v>0</v>
      </c>
      <c r="V22" s="902">
        <f t="shared" si="3"/>
        <v>0</v>
      </c>
      <c r="W22" s="902">
        <f t="shared" si="4"/>
        <v>0</v>
      </c>
      <c r="X22" s="259">
        <f t="shared" si="5"/>
        <v>0</v>
      </c>
      <c r="Y22" s="900">
        <f t="shared" si="11"/>
        <v>0.8020029159787504</v>
      </c>
      <c r="AA22" s="815" t="str">
        <f>IF('MASTER PubCo Inputs'!B39=0,"",'MASTER PubCo Inputs'!B39)</f>
        <v>NasdaqGM:CRBP</v>
      </c>
      <c r="AB22" s="259">
        <f>'Beta Calc'!Z22</f>
        <v>417.88011999999998</v>
      </c>
      <c r="AC22" s="903">
        <f t="shared" si="6"/>
        <v>0</v>
      </c>
      <c r="AI22" s="811"/>
    </row>
    <row r="23" spans="2:35" ht="14.85" customHeight="1">
      <c r="B23" s="234" t="str">
        <f>'Comp.1'!B23</f>
        <v>GlycoMimetics, Inc.</v>
      </c>
      <c r="D23" s="259">
        <f>'Beta Calc'!K23</f>
        <v>483.13693999999998</v>
      </c>
      <c r="E23" s="259">
        <f>'Beta Calc'!L23</f>
        <v>0</v>
      </c>
      <c r="F23" s="259" t="str">
        <f>'Beta Calc'!M23</f>
        <v>n/a</v>
      </c>
      <c r="G23" s="259" t="str">
        <f>'Beta Calc'!N23</f>
        <v>n/a</v>
      </c>
      <c r="H23" s="259">
        <f t="shared" si="7"/>
        <v>0</v>
      </c>
      <c r="I23" s="259">
        <f t="shared" si="8"/>
        <v>483.13693999999998</v>
      </c>
      <c r="J23" s="259">
        <f>'Beta Calc'!Q23</f>
        <v>219.82863</v>
      </c>
      <c r="K23" s="259">
        <f t="shared" si="9"/>
        <v>263.30831000000001</v>
      </c>
      <c r="M23" s="390">
        <f>IFERROR('Capital IQ Sheet-GPC'!AT25,"n/a")</f>
        <v>0</v>
      </c>
      <c r="N23" s="259">
        <f t="shared" si="0"/>
        <v>3</v>
      </c>
      <c r="O23" s="898">
        <f t="shared" si="0"/>
        <v>2.4299999999999999E-2</v>
      </c>
      <c r="P23" s="899"/>
      <c r="Q23" s="900">
        <f>IFERROR(HLOOKUP($Q$6,'Equity Vol'!$B$8:$H23,ROWS('Equity Vol'!$C$8:$C23),FALSE),"n/a")</f>
        <v>0.75849447476702381</v>
      </c>
      <c r="R23" s="304"/>
      <c r="S23" s="901">
        <f t="shared" si="10"/>
        <v>0.57531386825210329</v>
      </c>
      <c r="T23" s="901">
        <f t="shared" si="1"/>
        <v>0</v>
      </c>
      <c r="U23" s="902">
        <f t="shared" si="2"/>
        <v>0</v>
      </c>
      <c r="V23" s="902">
        <f t="shared" si="3"/>
        <v>0</v>
      </c>
      <c r="W23" s="902">
        <f t="shared" si="4"/>
        <v>0</v>
      </c>
      <c r="X23" s="259">
        <f t="shared" si="5"/>
        <v>0</v>
      </c>
      <c r="Y23" s="900">
        <f t="shared" si="11"/>
        <v>0.75849447476702381</v>
      </c>
      <c r="AA23" s="815" t="str">
        <f>IF('MASTER PubCo Inputs'!B40=0,"",'MASTER PubCo Inputs'!B40)</f>
        <v>NasdaqGM:GLYC</v>
      </c>
      <c r="AB23" s="259">
        <f>'Beta Calc'!Z23</f>
        <v>263.30831000000001</v>
      </c>
      <c r="AC23" s="903">
        <f t="shared" si="6"/>
        <v>0</v>
      </c>
      <c r="AI23" s="811"/>
    </row>
    <row r="24" spans="2:35" ht="14.85" customHeight="1">
      <c r="B24" s="234" t="str">
        <f>'Comp.1'!B24</f>
        <v>LogicBio Therapeutics, Inc.</v>
      </c>
      <c r="D24" s="259">
        <f>'Beta Calc'!K24</f>
        <v>196.03698</v>
      </c>
      <c r="E24" s="259">
        <f>'Beta Calc'!L24</f>
        <v>0</v>
      </c>
      <c r="F24" s="259">
        <f>'Beta Calc'!M24</f>
        <v>33.061999999999998</v>
      </c>
      <c r="G24" s="259" t="str">
        <f>'Beta Calc'!N24</f>
        <v>n/a</v>
      </c>
      <c r="H24" s="259">
        <f t="shared" si="7"/>
        <v>33.061999999999998</v>
      </c>
      <c r="I24" s="259">
        <f t="shared" si="8"/>
        <v>229.09897999999998</v>
      </c>
      <c r="J24" s="259">
        <f>'Beta Calc'!Q24</f>
        <v>12.877000000000001</v>
      </c>
      <c r="K24" s="259">
        <f t="shared" si="9"/>
        <v>216.22197999999997</v>
      </c>
      <c r="M24" s="390">
        <f>IFERROR('Capital IQ Sheet-GPC'!AT26,"n/a")</f>
        <v>0</v>
      </c>
      <c r="N24" s="259">
        <f t="shared" si="0"/>
        <v>3</v>
      </c>
      <c r="O24" s="898">
        <f t="shared" si="0"/>
        <v>2.4299999999999999E-2</v>
      </c>
      <c r="P24" s="899"/>
      <c r="Q24" s="900" t="str">
        <f>IFERROR(HLOOKUP($Q$6,'Equity Vol'!$B$8:$H24,ROWS('Equity Vol'!$C$8:$C24),FALSE),"n/a")</f>
        <v>NM</v>
      </c>
      <c r="R24" s="304"/>
      <c r="S24" s="901" t="str">
        <f t="shared" si="10"/>
        <v>n/a</v>
      </c>
      <c r="T24" s="901" t="str">
        <f t="shared" si="1"/>
        <v>n/a</v>
      </c>
      <c r="U24" s="902" t="str">
        <f t="shared" si="2"/>
        <v>n/a</v>
      </c>
      <c r="V24" s="902" t="str">
        <f t="shared" si="3"/>
        <v>n/a</v>
      </c>
      <c r="W24" s="902" t="str">
        <f t="shared" si="4"/>
        <v>n/a</v>
      </c>
      <c r="X24" s="259" t="str">
        <f t="shared" si="5"/>
        <v>n/a</v>
      </c>
      <c r="Y24" s="900" t="str">
        <f t="shared" si="11"/>
        <v>n/a</v>
      </c>
      <c r="AA24" s="815" t="str">
        <f>IF('MASTER PubCo Inputs'!B41=0,"",'MASTER PubCo Inputs'!B41)</f>
        <v>NasdaqGM:LOGC</v>
      </c>
      <c r="AB24" s="259">
        <f>'Beta Calc'!Z24</f>
        <v>216.22198</v>
      </c>
      <c r="AC24" s="903">
        <f t="shared" si="6"/>
        <v>0</v>
      </c>
      <c r="AI24" s="811"/>
    </row>
    <row r="25" spans="2:35" ht="14.85" customHeight="1">
      <c r="B25" s="234" t="str">
        <f>'Comp.1'!B25</f>
        <v>Arbutus Biopharma Corporation</v>
      </c>
      <c r="D25" s="259">
        <f>'Beta Calc'!K25</f>
        <v>204.79499999999999</v>
      </c>
      <c r="E25" s="259">
        <f>'Beta Calc'!L25</f>
        <v>0</v>
      </c>
      <c r="F25" s="259">
        <f>'Beta Calc'!M25</f>
        <v>123.489</v>
      </c>
      <c r="G25" s="259" t="str">
        <f>'Beta Calc'!N25</f>
        <v>n/a</v>
      </c>
      <c r="H25" s="259">
        <f t="shared" si="7"/>
        <v>123.489</v>
      </c>
      <c r="I25" s="259">
        <f t="shared" si="8"/>
        <v>328.28399999999999</v>
      </c>
      <c r="J25" s="259">
        <f>'Beta Calc'!Q25</f>
        <v>142.018</v>
      </c>
      <c r="K25" s="259">
        <f t="shared" si="9"/>
        <v>186.26599999999999</v>
      </c>
      <c r="M25" s="390">
        <f>IFERROR('Capital IQ Sheet-GPC'!AT27,"n/a")</f>
        <v>0</v>
      </c>
      <c r="N25" s="259">
        <f t="shared" si="0"/>
        <v>3</v>
      </c>
      <c r="O25" s="898">
        <f t="shared" si="0"/>
        <v>2.4299999999999999E-2</v>
      </c>
      <c r="P25" s="899"/>
      <c r="Q25" s="900">
        <f>IFERROR(HLOOKUP($Q$6,'Equity Vol'!$B$8:$H25,ROWS('Equity Vol'!$C$8:$C25),FALSE),"n/a")</f>
        <v>0.71784148374896406</v>
      </c>
      <c r="R25" s="304"/>
      <c r="S25" s="901">
        <f t="shared" si="10"/>
        <v>0.51529639579091424</v>
      </c>
      <c r="T25" s="901">
        <f t="shared" si="1"/>
        <v>1.0108822775788293</v>
      </c>
      <c r="U25" s="902">
        <f t="shared" si="2"/>
        <v>-0.23245564405500496</v>
      </c>
      <c r="V25" s="902">
        <f t="shared" si="3"/>
        <v>0.84396361137453746</v>
      </c>
      <c r="W25" s="902">
        <f t="shared" si="4"/>
        <v>0.40809206728856218</v>
      </c>
      <c r="X25" s="259">
        <f t="shared" si="5"/>
        <v>110.34991760658608</v>
      </c>
      <c r="Y25" s="900">
        <f t="shared" si="11"/>
        <v>0.50389872034866467</v>
      </c>
      <c r="AA25" s="815" t="str">
        <f>IF('MASTER PubCo Inputs'!B42=0,"",'MASTER PubCo Inputs'!B42)</f>
        <v>NasdaqGS:ABUS</v>
      </c>
      <c r="AB25" s="259">
        <f>'Beta Calc'!Z25</f>
        <v>186.26599999999999</v>
      </c>
      <c r="AC25" s="903">
        <f t="shared" si="6"/>
        <v>0</v>
      </c>
      <c r="AI25" s="811"/>
    </row>
    <row r="26" spans="2:35" ht="14.85" customHeight="1">
      <c r="B26" s="234" t="str">
        <f>'Comp.1'!B26</f>
        <v>Voyager Therapeutics, Inc.</v>
      </c>
      <c r="D26" s="259">
        <f>'Beta Calc'!K26</f>
        <v>341.52161000000001</v>
      </c>
      <c r="E26" s="259">
        <f>'Beta Calc'!L26</f>
        <v>0</v>
      </c>
      <c r="F26" s="259" t="str">
        <f>'Beta Calc'!M26</f>
        <v>n/a</v>
      </c>
      <c r="G26" s="259" t="str">
        <f>'Beta Calc'!N26</f>
        <v>n/a</v>
      </c>
      <c r="H26" s="259">
        <f t="shared" si="7"/>
        <v>0</v>
      </c>
      <c r="I26" s="259">
        <f t="shared" si="8"/>
        <v>341.52161000000001</v>
      </c>
      <c r="J26" s="259">
        <f>'Beta Calc'!Q26</f>
        <v>179.601</v>
      </c>
      <c r="K26" s="259">
        <f t="shared" si="9"/>
        <v>161.92061000000001</v>
      </c>
      <c r="M26" s="390">
        <f>IFERROR('Capital IQ Sheet-GPC'!AT28,"n/a")</f>
        <v>0</v>
      </c>
      <c r="N26" s="259">
        <f t="shared" si="0"/>
        <v>3</v>
      </c>
      <c r="O26" s="898">
        <f t="shared" si="0"/>
        <v>2.4299999999999999E-2</v>
      </c>
      <c r="P26" s="899"/>
      <c r="Q26" s="900">
        <f>IFERROR(HLOOKUP($Q$6,'Equity Vol'!$B$8:$H26,ROWS('Equity Vol'!$C$8:$C26),FALSE),"n/a")</f>
        <v>0.72546741238615475</v>
      </c>
      <c r="R26" s="304"/>
      <c r="S26" s="901">
        <f t="shared" si="10"/>
        <v>0.52630296643426311</v>
      </c>
      <c r="T26" s="901">
        <f t="shared" si="1"/>
        <v>0</v>
      </c>
      <c r="U26" s="902">
        <f t="shared" si="2"/>
        <v>0</v>
      </c>
      <c r="V26" s="902">
        <f t="shared" si="3"/>
        <v>0</v>
      </c>
      <c r="W26" s="902">
        <f t="shared" si="4"/>
        <v>0</v>
      </c>
      <c r="X26" s="259">
        <f t="shared" si="5"/>
        <v>0</v>
      </c>
      <c r="Y26" s="900">
        <f t="shared" si="11"/>
        <v>0.72546741238615475</v>
      </c>
      <c r="AA26" s="815" t="str">
        <f>IF('MASTER PubCo Inputs'!B43=0,"",'MASTER PubCo Inputs'!B43)</f>
        <v>NasdaqGS:VYGR</v>
      </c>
      <c r="AB26" s="259">
        <f>'Beta Calc'!Z26</f>
        <v>161.92061000000001</v>
      </c>
      <c r="AC26" s="903">
        <f t="shared" si="6"/>
        <v>0</v>
      </c>
      <c r="AI26" s="811"/>
    </row>
    <row r="27" spans="2:35" ht="14.85" customHeight="1">
      <c r="B27" s="234" t="str">
        <f>'Comp.1'!B27</f>
        <v>La Jolla Pharmaceutical Company</v>
      </c>
      <c r="D27" s="259">
        <f>'Beta Calc'!K27</f>
        <v>158.45113000000001</v>
      </c>
      <c r="E27" s="259">
        <f>'Beta Calc'!L27</f>
        <v>124.324</v>
      </c>
      <c r="F27" s="259">
        <f>'Beta Calc'!M27</f>
        <v>6.6429999999999998</v>
      </c>
      <c r="G27" s="259" t="str">
        <f>'Beta Calc'!N27</f>
        <v>n/a</v>
      </c>
      <c r="H27" s="259">
        <f t="shared" ref="H27:H29" si="12">SUM(E27:G27)</f>
        <v>130.96699999999998</v>
      </c>
      <c r="I27" s="259">
        <f t="shared" ref="I27:I29" si="13">SUM(D27:G27)</f>
        <v>289.41812999999996</v>
      </c>
      <c r="J27" s="259">
        <f>'Beta Calc'!Q27</f>
        <v>204.33699999999999</v>
      </c>
      <c r="K27" s="259">
        <f t="shared" ref="K27:K29" si="14">I27-J27</f>
        <v>85.081129999999973</v>
      </c>
      <c r="M27" s="390">
        <f>IFERROR('Capital IQ Sheet-GPC'!AT29,"n/a")</f>
        <v>0</v>
      </c>
      <c r="N27" s="259">
        <f t="shared" si="0"/>
        <v>3</v>
      </c>
      <c r="O27" s="898">
        <f t="shared" si="0"/>
        <v>2.4299999999999999E-2</v>
      </c>
      <c r="P27" s="899"/>
      <c r="Q27" s="900">
        <f>IFERROR(HLOOKUP($Q$6,'Equity Vol'!$B$8:$H27,ROWS('Equity Vol'!$C$8:$C27),FALSE),"n/a")</f>
        <v>0.83012698647985494</v>
      </c>
      <c r="R27" s="304"/>
      <c r="S27" s="901">
        <f t="shared" ref="S27:S29" si="15">IFERROR(IF(Q27="n/a","n/a",Q27^2),"n/a")</f>
        <v>0.68911081368212523</v>
      </c>
      <c r="T27" s="901">
        <f t="shared" ref="T27:T29" si="16">IF(OR(K27="n/a",S27="n/a"),"n/a",IF(H27=0,0,IF(M27=0,(LN(K27/H27)+((O27+(S27/2))*N27))/((S27*N27)^0.5),(LN(K27/H27)+((O27-M27+(S27/2))*N27))/((S27*N27)^0.5))))</f>
        <v>0.46961727823069133</v>
      </c>
      <c r="U27" s="902">
        <f t="shared" ref="U27:U29" si="17">IF(T27="n/a","n/a",IF(H27=0,0,T27-(S27*N27)^0.5))</f>
        <v>-0.96820483908645993</v>
      </c>
      <c r="V27" s="902">
        <f t="shared" ref="V27:V29" si="18">IF(OR(T27="n/a",S27="n/a"),"n/a",IF(H27=0,0,NORMSDIST(T27)))</f>
        <v>0.68068576101517653</v>
      </c>
      <c r="W27" s="902">
        <f t="shared" ref="W27:W29" si="19">IF(OR(U27="n/a",S27="n/a"),"n/a",IF(H27=0,0,NORMSDIST(U27)))</f>
        <v>0.16647103932285126</v>
      </c>
      <c r="X27" s="259">
        <f t="shared" ref="X27:X29" si="20">IF(OR(K27="n/a",S27="n/a"),"n/a",IF(M27=0,(K27*V27)-((H27*EXP(1)^(-O27*N27))*W27),(K27*(2.718^(-M27*N27))*V27)-(H27*(2.718^(-O27*N27))*W27)))</f>
        <v>37.644131949385255</v>
      </c>
      <c r="Y27" s="900">
        <f t="shared" ref="Y27:Y29" si="21">IFERROR(IF(LEN(B27)&gt;0,IF(H27=0,Q27,IF(ISERROR(Q27/((K27/X27)*V27)),"n/a",Q27/((K27/X27)*V27)))),"n/a")</f>
        <v>0.53958752984242597</v>
      </c>
      <c r="AA27" s="815" t="str">
        <f>IF('MASTER PubCo Inputs'!B44=0,"",'MASTER PubCo Inputs'!B44)</f>
        <v>NasdaqCM:LJPC</v>
      </c>
      <c r="AB27" s="259">
        <f>'Beta Calc'!Z27</f>
        <v>85.081130000000002</v>
      </c>
      <c r="AC27" s="903">
        <f t="shared" si="6"/>
        <v>0</v>
      </c>
      <c r="AI27" s="811"/>
    </row>
    <row r="28" spans="2:35" ht="14.85" customHeight="1">
      <c r="B28" s="234" t="str">
        <f>'Comp.1'!B28</f>
        <v>Protagonist Therapeutics, Inc.</v>
      </c>
      <c r="D28" s="259">
        <f>'Beta Calc'!K28</f>
        <v>197.11606</v>
      </c>
      <c r="E28" s="259">
        <f>'Beta Calc'!L28</f>
        <v>0</v>
      </c>
      <c r="F28" s="259" t="str">
        <f>'Beta Calc'!M28</f>
        <v>n/a</v>
      </c>
      <c r="G28" s="259" t="str">
        <f>'Beta Calc'!N28</f>
        <v>n/a</v>
      </c>
      <c r="H28" s="259">
        <f t="shared" si="12"/>
        <v>0</v>
      </c>
      <c r="I28" s="259">
        <f t="shared" si="13"/>
        <v>197.11606</v>
      </c>
      <c r="J28" s="259">
        <f>'Beta Calc'!Q28</f>
        <v>138.517</v>
      </c>
      <c r="K28" s="259">
        <f t="shared" si="14"/>
        <v>58.599060000000009</v>
      </c>
      <c r="M28" s="390">
        <f>IFERROR('Capital IQ Sheet-GPC'!AT30,"n/a")</f>
        <v>0</v>
      </c>
      <c r="N28" s="259">
        <f t="shared" si="0"/>
        <v>3</v>
      </c>
      <c r="O28" s="898">
        <f t="shared" si="0"/>
        <v>2.4299999999999999E-2</v>
      </c>
      <c r="P28" s="899"/>
      <c r="Q28" s="900">
        <f>IFERROR(HLOOKUP($Q$6,'Equity Vol'!$B$8:$H28,ROWS('Equity Vol'!$C$8:$C28),FALSE),"n/a")</f>
        <v>0.91520299544650408</v>
      </c>
      <c r="R28" s="304"/>
      <c r="S28" s="901">
        <f t="shared" si="15"/>
        <v>0.83759652287425379</v>
      </c>
      <c r="T28" s="901">
        <f t="shared" si="16"/>
        <v>0</v>
      </c>
      <c r="U28" s="902">
        <f t="shared" si="17"/>
        <v>0</v>
      </c>
      <c r="V28" s="902">
        <f t="shared" si="18"/>
        <v>0</v>
      </c>
      <c r="W28" s="902">
        <f t="shared" si="19"/>
        <v>0</v>
      </c>
      <c r="X28" s="259">
        <f t="shared" si="20"/>
        <v>0</v>
      </c>
      <c r="Y28" s="900">
        <f t="shared" si="21"/>
        <v>0.91520299544650408</v>
      </c>
      <c r="AA28" s="815" t="str">
        <f>IF('MASTER PubCo Inputs'!B45=0,"",'MASTER PubCo Inputs'!B45)</f>
        <v>NasdaqGM:PTGX</v>
      </c>
      <c r="AB28" s="259">
        <f>'Beta Calc'!Z28</f>
        <v>58.599049999999998</v>
      </c>
      <c r="AC28" s="903">
        <f t="shared" si="6"/>
        <v>1.0000000010279564E-5</v>
      </c>
      <c r="AI28" s="811"/>
    </row>
    <row r="29" spans="2:35" ht="14.85" customHeight="1">
      <c r="B29" s="234" t="str">
        <f>'Comp.1'!B29</f>
        <v>Fibrocell Science, Inc.</v>
      </c>
      <c r="D29" s="259">
        <f>'Beta Calc'!K29</f>
        <v>19.22391</v>
      </c>
      <c r="E29" s="259">
        <f>'Beta Calc'!L29</f>
        <v>0</v>
      </c>
      <c r="F29" s="259">
        <f>'Beta Calc'!M29</f>
        <v>7.6230000000000002</v>
      </c>
      <c r="G29" s="259" t="str">
        <f>'Beta Calc'!N29</f>
        <v>n/a</v>
      </c>
      <c r="H29" s="259">
        <f t="shared" si="12"/>
        <v>7.6230000000000002</v>
      </c>
      <c r="I29" s="259">
        <f t="shared" si="13"/>
        <v>26.846910000000001</v>
      </c>
      <c r="J29" s="259">
        <f>'Beta Calc'!Q29</f>
        <v>16.111000000000001</v>
      </c>
      <c r="K29" s="259">
        <f t="shared" si="14"/>
        <v>10.735910000000001</v>
      </c>
      <c r="M29" s="390">
        <f>IFERROR('Capital IQ Sheet-GPC'!AT31,"n/a")</f>
        <v>0</v>
      </c>
      <c r="N29" s="259">
        <f t="shared" si="0"/>
        <v>3</v>
      </c>
      <c r="O29" s="898">
        <f t="shared" si="0"/>
        <v>2.4299999999999999E-2</v>
      </c>
      <c r="P29" s="899"/>
      <c r="Q29" s="900">
        <f>IFERROR(HLOOKUP($Q$6,'Equity Vol'!$B$8:$H29,ROWS('Equity Vol'!$C$8:$C29),FALSE),"n/a")</f>
        <v>0.92725005077133138</v>
      </c>
      <c r="R29" s="304"/>
      <c r="S29" s="901">
        <f t="shared" si="15"/>
        <v>0.85979265665543658</v>
      </c>
      <c r="T29" s="901">
        <f t="shared" si="16"/>
        <v>1.0616228307725324</v>
      </c>
      <c r="U29" s="902">
        <f t="shared" si="17"/>
        <v>-0.54442136848423472</v>
      </c>
      <c r="V29" s="902">
        <f t="shared" si="18"/>
        <v>0.85579652757412894</v>
      </c>
      <c r="W29" s="902">
        <f t="shared" si="19"/>
        <v>0.29307577226414416</v>
      </c>
      <c r="X29" s="259">
        <f t="shared" si="20"/>
        <v>7.1107101474368264</v>
      </c>
      <c r="Y29" s="900">
        <f t="shared" si="21"/>
        <v>0.71762979152482576</v>
      </c>
      <c r="AA29" s="815" t="str">
        <f>IF('MASTER PubCo Inputs'!B46=0,"",'MASTER PubCo Inputs'!B46)</f>
        <v>NasdaqCM:FCSC</v>
      </c>
      <c r="AB29" s="259">
        <f>'Beta Calc'!Z29</f>
        <v>10.735910000000001</v>
      </c>
      <c r="AC29" s="903">
        <f t="shared" si="6"/>
        <v>0</v>
      </c>
      <c r="AI29" s="811"/>
    </row>
    <row r="30" spans="2:35" ht="9.9499999999999993" customHeight="1">
      <c r="D30" s="259"/>
      <c r="E30" s="259"/>
      <c r="F30" s="259"/>
      <c r="G30" s="259"/>
      <c r="H30" s="259"/>
      <c r="I30" s="259"/>
      <c r="J30" s="259"/>
      <c r="K30" s="259"/>
      <c r="M30" s="390"/>
      <c r="N30" s="259"/>
      <c r="O30" s="898"/>
      <c r="P30" s="899"/>
      <c r="Q30" s="900"/>
      <c r="R30" s="304"/>
      <c r="S30" s="901"/>
      <c r="T30" s="901"/>
      <c r="U30" s="902"/>
      <c r="V30" s="902"/>
      <c r="W30" s="902"/>
      <c r="X30" s="259"/>
      <c r="Y30" s="900"/>
      <c r="AA30" s="815"/>
      <c r="AB30" s="259"/>
      <c r="AC30" s="903"/>
      <c r="AI30" s="811"/>
    </row>
    <row r="31" spans="2:35" ht="14.85" customHeight="1">
      <c r="B31" s="1369" t="str">
        <f>'Comp.1'!B31</f>
        <v>CRISPR/Cas9</v>
      </c>
      <c r="AB31" s="259"/>
      <c r="AC31" s="903"/>
      <c r="AI31" s="811"/>
    </row>
    <row r="32" spans="2:35" ht="14.85" customHeight="1">
      <c r="B32" s="234" t="str">
        <f>'Comp.1'!B32</f>
        <v>CRISPR Therapeutics AG</v>
      </c>
      <c r="D32" s="259">
        <f>'Beta Calc'!K32</f>
        <v>1679.8645300000001</v>
      </c>
      <c r="E32" s="259">
        <f>'Beta Calc'!L32</f>
        <v>0</v>
      </c>
      <c r="F32" s="259" t="str">
        <f>'Beta Calc'!M32</f>
        <v>n/a</v>
      </c>
      <c r="G32" s="259" t="str">
        <f>'Beta Calc'!N32</f>
        <v>n/a</v>
      </c>
      <c r="H32" s="259">
        <f>SUM(E32:G32)</f>
        <v>0</v>
      </c>
      <c r="I32" s="259">
        <f>SUM(D32:G32)</f>
        <v>1679.8645300000001</v>
      </c>
      <c r="J32" s="259">
        <f>'Beta Calc'!Q32</f>
        <v>487.29500000000002</v>
      </c>
      <c r="K32" s="259">
        <f>I32-J32</f>
        <v>1192.56953</v>
      </c>
      <c r="M32" s="390">
        <f>IFERROR('Capital IQ Sheet-GPC'!AT33,"n/a")</f>
        <v>0</v>
      </c>
      <c r="N32" s="259">
        <f t="shared" si="0"/>
        <v>3</v>
      </c>
      <c r="O32" s="898">
        <f t="shared" si="0"/>
        <v>2.4299999999999999E-2</v>
      </c>
      <c r="P32" s="899"/>
      <c r="Q32" s="900">
        <f>IFERROR(HLOOKUP($Q$6,'Equity Vol'!$B$8:$H31,ROWS('Equity Vol'!$C$8:$C31),FALSE),"n/a")</f>
        <v>0</v>
      </c>
      <c r="R32" s="304"/>
      <c r="S32" s="901">
        <f>IFERROR(IF(Q32="n/a","n/a",Q32^2),"n/a")</f>
        <v>0</v>
      </c>
      <c r="T32" s="901">
        <f>IF(OR(K32="n/a",S32="n/a"),"n/a",IF(H32=0,0,IF(M32=0,(LN(K32/H32)+((O32+(S32/2))*N32))/((S32*N32)^0.5),(LN(K32/H32)+((O32-M32+(S32/2))*N32))/((S32*N32)^0.5))))</f>
        <v>0</v>
      </c>
      <c r="U32" s="902">
        <f>IF(T32="n/a","n/a",IF(H32=0,0,T32-(S32*N32)^0.5))</f>
        <v>0</v>
      </c>
      <c r="V32" s="902">
        <f>IF(OR(T32="n/a",S32="n/a"),"n/a",IF(H32=0,0,NORMSDIST(T32)))</f>
        <v>0</v>
      </c>
      <c r="W32" s="902">
        <f>IF(OR(U32="n/a",S32="n/a"),"n/a",IF(H32=0,0,NORMSDIST(U32)))</f>
        <v>0</v>
      </c>
      <c r="X32" s="259">
        <f>IF(OR(K32="n/a",S32="n/a"),"n/a",IF(M32=0,(K32*V32)-((H32*EXP(1)^(-O32*N32))*W32),(K32*(2.718^(-M32*N32))*V32)-(H32*(2.718^(-O32*N32))*W32)))</f>
        <v>0</v>
      </c>
      <c r="Y32" s="900">
        <f>IFERROR(IF(LEN(B31)&gt;0,IF(H32=0,Q32,IF(ISERROR(Q32/((K32/X32)*V32)),"n/a",Q32/((K32/X32)*V32)))),"n/a")</f>
        <v>0</v>
      </c>
      <c r="AA32" s="815" t="str">
        <f>IF('MASTER PubCo Inputs'!B48=0,"",'MASTER PubCo Inputs'!B48)</f>
        <v>NasdaqGM:CRSP</v>
      </c>
      <c r="AB32" s="259">
        <f>'Beta Calc'!Z32</f>
        <v>1192.56953</v>
      </c>
      <c r="AC32" s="903">
        <f t="shared" si="6"/>
        <v>0</v>
      </c>
      <c r="AI32" s="811"/>
    </row>
    <row r="33" spans="2:35" ht="14.85" customHeight="1">
      <c r="B33" s="234" t="str">
        <f>'Comp.1'!B33</f>
        <v>Editas Medicine, Inc.</v>
      </c>
      <c r="D33" s="259">
        <f>'Beta Calc'!K33</f>
        <v>1032.0795800000001</v>
      </c>
      <c r="E33" s="259">
        <f>'Beta Calc'!L33</f>
        <v>32.694000000000003</v>
      </c>
      <c r="F33" s="259" t="str">
        <f>'Beta Calc'!M33</f>
        <v>n/a</v>
      </c>
      <c r="G33" s="259" t="str">
        <f>'Beta Calc'!N33</f>
        <v>n/a</v>
      </c>
      <c r="H33" s="259">
        <f>SUM(E33:G33)</f>
        <v>32.694000000000003</v>
      </c>
      <c r="I33" s="259">
        <f>SUM(D33:G33)</f>
        <v>1064.77358</v>
      </c>
      <c r="J33" s="259">
        <f>'Beta Calc'!Q33</f>
        <v>337.49200000000002</v>
      </c>
      <c r="K33" s="259">
        <f>I33-J33</f>
        <v>727.28158000000008</v>
      </c>
      <c r="M33" s="390">
        <f>IFERROR('Capital IQ Sheet-GPC'!AT34,"n/a")</f>
        <v>0</v>
      </c>
      <c r="N33" s="259">
        <f t="shared" si="0"/>
        <v>3</v>
      </c>
      <c r="O33" s="898">
        <f t="shared" si="0"/>
        <v>2.4299999999999999E-2</v>
      </c>
      <c r="P33" s="899"/>
      <c r="Q33" s="900">
        <f>IFERROR(HLOOKUP($Q$6,'Equity Vol'!$B$8:$H32,ROWS('Equity Vol'!$C$8:$C32),FALSE),"n/a")</f>
        <v>0.70462779949123155</v>
      </c>
      <c r="R33" s="304"/>
      <c r="S33" s="901">
        <f>IFERROR(IF(Q33="n/a","n/a",Q33^2),"n/a")</f>
        <v>0.49650033581585523</v>
      </c>
      <c r="T33" s="901">
        <f>IF(OR(K33="n/a",S33="n/a"),"n/a",IF(H33=0,0,IF(M33=0,(LN(K33/H33)+((O33+(S33/2))*N33))/((S33*N33)^0.5),(LN(K33/H33)+((O33-M33+(S33/2))*N33))/((S33*N33)^0.5))))</f>
        <v>3.2117407173016903</v>
      </c>
      <c r="U33" s="902">
        <f>IF(T33="n/a","n/a",IF(H33=0,0,T33-(S33*N33)^0.5))</f>
        <v>1.9912895681574219</v>
      </c>
      <c r="V33" s="902">
        <f>IF(OR(T33="n/a",S33="n/a"),"n/a",IF(H33=0,0,NORMSDIST(T33)))</f>
        <v>0.99934033305278169</v>
      </c>
      <c r="W33" s="902">
        <f>IF(OR(U33="n/a",S33="n/a"),"n/a",IF(H33=0,0,NORMSDIST(U33)))</f>
        <v>0.97677546916922653</v>
      </c>
      <c r="X33" s="259">
        <f>IF(OR(K33="n/a",S33="n/a"),"n/a",IF(M33=0,(K33*V33)-((H33*EXP(1)^(-O33*N33))*W33),(K33*(2.718^(-M33*N33))*V33)-(H33*(2.718^(-O33*N33))*W33)))</f>
        <v>697.11232656628033</v>
      </c>
      <c r="Y33" s="900">
        <f>IFERROR(IF(LEN(B32)&gt;0,IF(H33=0,Q33,IF(ISERROR(Q33/((K33/X33)*V33)),"n/a",Q33/((K33/X33)*V33)))),"n/a")</f>
        <v>0.67584410715004506</v>
      </c>
      <c r="AA33" s="815" t="str">
        <f>IF('MASTER PubCo Inputs'!B49=0,"",'MASTER PubCo Inputs'!B49)</f>
        <v>NasdaqGS:EDIT</v>
      </c>
      <c r="AB33" s="259">
        <f>'Beta Calc'!Z33</f>
        <v>727.28157999999996</v>
      </c>
      <c r="AC33" s="903">
        <f t="shared" si="6"/>
        <v>0</v>
      </c>
      <c r="AI33" s="811"/>
    </row>
    <row r="34" spans="2:35" ht="14.85" customHeight="1">
      <c r="B34" s="234" t="str">
        <f>'Comp.1'!B34</f>
        <v>Intellia Therapeutics, Inc.</v>
      </c>
      <c r="D34" s="259">
        <f>'Beta Calc'!K34</f>
        <v>613.94893999999999</v>
      </c>
      <c r="E34" s="259">
        <f>'Beta Calc'!L34</f>
        <v>0</v>
      </c>
      <c r="F34" s="259" t="str">
        <f>'Beta Calc'!M34</f>
        <v>n/a</v>
      </c>
      <c r="G34" s="259" t="str">
        <f>'Beta Calc'!N34</f>
        <v>n/a</v>
      </c>
      <c r="H34" s="259">
        <f>SUM(E34:G34)</f>
        <v>0</v>
      </c>
      <c r="I34" s="259">
        <f>SUM(D34:G34)</f>
        <v>613.94893999999999</v>
      </c>
      <c r="J34" s="259">
        <f>'Beta Calc'!Q34</f>
        <v>293.24799999999999</v>
      </c>
      <c r="K34" s="259">
        <f>I34-J34</f>
        <v>320.70094</v>
      </c>
      <c r="M34" s="390">
        <f>IFERROR('Capital IQ Sheet-GPC'!AT35,"n/a")</f>
        <v>0</v>
      </c>
      <c r="N34" s="259">
        <f t="shared" si="0"/>
        <v>3</v>
      </c>
      <c r="O34" s="898">
        <f t="shared" si="0"/>
        <v>2.4299999999999999E-2</v>
      </c>
      <c r="P34" s="899"/>
      <c r="Q34" s="900">
        <f>IFERROR(HLOOKUP($Q$6,'Equity Vol'!$B$8:$H33,ROWS('Equity Vol'!$C$8:$C33),FALSE),"n/a")</f>
        <v>0.76544326890760306</v>
      </c>
      <c r="R34" s="304"/>
      <c r="S34" s="901">
        <f>IFERROR(IF(Q34="n/a","n/a",Q34^2),"n/a")</f>
        <v>0.58590339791595714</v>
      </c>
      <c r="T34" s="901">
        <f>IF(OR(K34="n/a",S34="n/a"),"n/a",IF(H34=0,0,IF(M34=0,(LN(K34/H34)+((O34+(S34/2))*N34))/((S34*N34)^0.5),(LN(K34/H34)+((O34-M34+(S34/2))*N34))/((S34*N34)^0.5))))</f>
        <v>0</v>
      </c>
      <c r="U34" s="902">
        <f>IF(T34="n/a","n/a",IF(H34=0,0,T34-(S34*N34)^0.5))</f>
        <v>0</v>
      </c>
      <c r="V34" s="902">
        <f>IF(OR(T34="n/a",S34="n/a"),"n/a",IF(H34=0,0,NORMSDIST(T34)))</f>
        <v>0</v>
      </c>
      <c r="W34" s="902">
        <f>IF(OR(U34="n/a",S34="n/a"),"n/a",IF(H34=0,0,NORMSDIST(U34)))</f>
        <v>0</v>
      </c>
      <c r="X34" s="259">
        <f>IF(OR(K34="n/a",S34="n/a"),"n/a",IF(M34=0,(K34*V34)-((H34*EXP(1)^(-O34*N34))*W34),(K34*(2.718^(-M34*N34))*V34)-(H34*(2.718^(-O34*N34))*W34)))</f>
        <v>0</v>
      </c>
      <c r="Y34" s="900">
        <f>IFERROR(IF(LEN(B33)&gt;0,IF(H34=0,Q34,IF(ISERROR(Q34/((K34/X34)*V34)),"n/a",Q34/((K34/X34)*V34)))),"n/a")</f>
        <v>0.76544326890760306</v>
      </c>
      <c r="AA34" s="815" t="str">
        <f>IF('MASTER PubCo Inputs'!B50=0,"",'MASTER PubCo Inputs'!B50)</f>
        <v>NasdaqGM:NTLA</v>
      </c>
      <c r="AB34" s="259">
        <f>'Beta Calc'!Z34</f>
        <v>320.70094</v>
      </c>
      <c r="AC34" s="903">
        <f t="shared" si="6"/>
        <v>0</v>
      </c>
      <c r="AI34" s="811"/>
    </row>
    <row r="35" spans="2:35" ht="14.85" customHeight="1">
      <c r="B35" s="234" t="str">
        <f>'Comp.1'!B35</f>
        <v>Abeona Therapeutics Inc.</v>
      </c>
      <c r="D35" s="259">
        <f>'Beta Calc'!K35</f>
        <v>325.54306000000003</v>
      </c>
      <c r="E35" s="259">
        <f>'Beta Calc'!L35</f>
        <v>0</v>
      </c>
      <c r="F35" s="259" t="str">
        <f>'Beta Calc'!M35</f>
        <v>n/a</v>
      </c>
      <c r="G35" s="259" t="str">
        <f>'Beta Calc'!N35</f>
        <v>n/a</v>
      </c>
      <c r="H35" s="259">
        <f>SUM(E35:G35)</f>
        <v>0</v>
      </c>
      <c r="I35" s="259">
        <f>SUM(D35:G35)</f>
        <v>325.54306000000003</v>
      </c>
      <c r="J35" s="259">
        <f>'Beta Calc'!Q35</f>
        <v>112.224</v>
      </c>
      <c r="K35" s="259">
        <f>I35-J35</f>
        <v>213.31906000000004</v>
      </c>
      <c r="M35" s="390">
        <f>IFERROR('Capital IQ Sheet-GPC'!AT36,"n/a")</f>
        <v>0</v>
      </c>
      <c r="N35" s="259">
        <f t="shared" si="0"/>
        <v>3</v>
      </c>
      <c r="O35" s="898">
        <f t="shared" si="0"/>
        <v>2.4299999999999999E-2</v>
      </c>
      <c r="P35" s="899"/>
      <c r="Q35" s="900">
        <f>IFERROR(HLOOKUP($Q$6,'Equity Vol'!$B$8:$H34,ROWS('Equity Vol'!$C$8:$C34),FALSE),"n/a")</f>
        <v>0.72806937672607763</v>
      </c>
      <c r="R35" s="304"/>
      <c r="S35" s="901">
        <f>IFERROR(IF(Q35="n/a","n/a",Q35^2),"n/a")</f>
        <v>0.5300850173262992</v>
      </c>
      <c r="T35" s="901">
        <f>IF(OR(K35="n/a",S35="n/a"),"n/a",IF(H35=0,0,IF(M35=0,(LN(K35/H35)+((O35+(S35/2))*N35))/((S35*N35)^0.5),(LN(K35/H35)+((O35-M35+(S35/2))*N35))/((S35*N35)^0.5))))</f>
        <v>0</v>
      </c>
      <c r="U35" s="902">
        <f>IF(T35="n/a","n/a",IF(H35=0,0,T35-(S35*N35)^0.5))</f>
        <v>0</v>
      </c>
      <c r="V35" s="902">
        <f>IF(OR(T35="n/a",S35="n/a"),"n/a",IF(H35=0,0,NORMSDIST(T35)))</f>
        <v>0</v>
      </c>
      <c r="W35" s="902">
        <f>IF(OR(U35="n/a",S35="n/a"),"n/a",IF(H35=0,0,NORMSDIST(U35)))</f>
        <v>0</v>
      </c>
      <c r="X35" s="259">
        <f>IF(OR(K35="n/a",S35="n/a"),"n/a",IF(M35=0,(K35*V35)-((H35*EXP(1)^(-O35*N35))*W35),(K35*(2.718^(-M35*N35))*V35)-(H35*(2.718^(-O35*N35))*W35)))</f>
        <v>0</v>
      </c>
      <c r="Y35" s="900">
        <f>IFERROR(IF(LEN(B34)&gt;0,IF(H35=0,Q35,IF(ISERROR(Q35/((K35/X35)*V35)),"n/a",Q35/((K35/X35)*V35)))),"n/a")</f>
        <v>0.72806937672607763</v>
      </c>
      <c r="AA35" s="815" t="str">
        <f>IF('MASTER PubCo Inputs'!B51=0,"",'MASTER PubCo Inputs'!B51)</f>
        <v>NasdaqCM:ABEO</v>
      </c>
      <c r="AB35" s="259">
        <f>'Beta Calc'!Z35</f>
        <v>213.31906000000001</v>
      </c>
      <c r="AC35" s="903">
        <f t="shared" si="6"/>
        <v>0</v>
      </c>
      <c r="AI35" s="811"/>
    </row>
    <row r="36" spans="2:35" ht="9.9499999999999993" customHeight="1">
      <c r="D36" s="259"/>
      <c r="E36" s="259"/>
      <c r="F36" s="259"/>
      <c r="G36" s="259"/>
      <c r="H36" s="259"/>
      <c r="I36" s="259"/>
      <c r="J36" s="259"/>
      <c r="K36" s="259"/>
      <c r="R36" s="435"/>
    </row>
    <row r="37" spans="2:35" ht="14.85" customHeight="1">
      <c r="B37" s="817" t="s">
        <v>111</v>
      </c>
      <c r="C37" s="819"/>
      <c r="D37" s="818">
        <f t="shared" ref="D37:K37" si="22">MAX(D11:D35)</f>
        <v>8868.9653999999991</v>
      </c>
      <c r="E37" s="818">
        <f t="shared" si="22"/>
        <v>409.30599999999998</v>
      </c>
      <c r="F37" s="818">
        <f t="shared" si="22"/>
        <v>123.489</v>
      </c>
      <c r="G37" s="818">
        <f t="shared" si="22"/>
        <v>0</v>
      </c>
      <c r="H37" s="818">
        <f t="shared" si="22"/>
        <v>409.30599999999998</v>
      </c>
      <c r="I37" s="818">
        <f t="shared" si="22"/>
        <v>8898.9653999999991</v>
      </c>
      <c r="J37" s="818">
        <f t="shared" si="22"/>
        <v>1695.2950000000001</v>
      </c>
      <c r="K37" s="818">
        <f t="shared" si="22"/>
        <v>7662.1313999999993</v>
      </c>
      <c r="L37" s="819"/>
      <c r="M37" s="904">
        <f>MAX(M11:M35)</f>
        <v>0</v>
      </c>
      <c r="N37" s="818">
        <f>MAX(N11:N35)</f>
        <v>3</v>
      </c>
      <c r="O37" s="905">
        <f>MAX(O11:O35)</f>
        <v>2.4299999999999999E-2</v>
      </c>
      <c r="P37" s="906"/>
      <c r="Q37" s="907">
        <f>MAX(Q11:Q35)</f>
        <v>0.92725005077133138</v>
      </c>
      <c r="R37" s="908"/>
      <c r="S37" s="909">
        <f>MAX(S11:S36)</f>
        <v>0.85979265665543658</v>
      </c>
      <c r="T37" s="909">
        <f>MAX(T11:T36)</f>
        <v>5.1834432949397913</v>
      </c>
      <c r="U37" s="910">
        <f>MAX(U11:U36)</f>
        <v>3.9543126085092082</v>
      </c>
      <c r="V37" s="910">
        <f>MAX(V11:V36)</f>
        <v>0.99999989108676213</v>
      </c>
      <c r="W37" s="910">
        <f>MAX(W11:W36)</f>
        <v>0.9999616224993616</v>
      </c>
      <c r="X37" s="818">
        <f>MAX(X11:X35)</f>
        <v>7634.2408220294774</v>
      </c>
      <c r="Y37" s="911">
        <f>MAX(Y11:Y35)</f>
        <v>0.91520299544650408</v>
      </c>
      <c r="AB37" s="912">
        <f>Y44</f>
        <v>0.6637704297506184</v>
      </c>
      <c r="AC37" s="913" t="s">
        <v>1388</v>
      </c>
      <c r="AD37" s="913"/>
      <c r="AE37" s="913"/>
      <c r="AF37" s="480"/>
    </row>
    <row r="38" spans="2:35" ht="14.85" customHeight="1">
      <c r="B38" s="821" t="s">
        <v>115</v>
      </c>
      <c r="C38" s="823"/>
      <c r="D38" s="822">
        <f t="shared" ref="D38:K38" si="23">QUARTILE(D11:D35,3)</f>
        <v>1742.465835</v>
      </c>
      <c r="E38" s="822">
        <f t="shared" si="23"/>
        <v>25.353999999999999</v>
      </c>
      <c r="F38" s="822">
        <f t="shared" si="23"/>
        <v>55.668750000000003</v>
      </c>
      <c r="G38" s="822" t="e">
        <f t="shared" si="23"/>
        <v>#NUM!</v>
      </c>
      <c r="H38" s="822">
        <f t="shared" si="23"/>
        <v>32.878</v>
      </c>
      <c r="I38" s="822">
        <f t="shared" si="23"/>
        <v>1784.9113350000002</v>
      </c>
      <c r="J38" s="822">
        <f t="shared" si="23"/>
        <v>377.9085</v>
      </c>
      <c r="K38" s="822">
        <f t="shared" si="23"/>
        <v>1251.21766</v>
      </c>
      <c r="L38" s="823"/>
      <c r="M38" s="860">
        <f>QUARTILE(M11:M35,3)</f>
        <v>0</v>
      </c>
      <c r="N38" s="822">
        <f>QUARTILE(N11:N35,3)</f>
        <v>3</v>
      </c>
      <c r="O38" s="914">
        <f>QUARTILE(O11:O35,3)</f>
        <v>2.4299999999999999E-2</v>
      </c>
      <c r="P38" s="915"/>
      <c r="Q38" s="916">
        <f>QUARTILE(Q11:Q35,3)</f>
        <v>0.76544326890760306</v>
      </c>
      <c r="R38" s="917"/>
      <c r="S38" s="918">
        <f>QUARTILE(S11:S36,3)</f>
        <v>0.58590339791595714</v>
      </c>
      <c r="T38" s="918">
        <f>QUARTILE(T11:T36,3)</f>
        <v>2.7110432365803634</v>
      </c>
      <c r="U38" s="919">
        <f>QUARTILE(U11:U36,3)</f>
        <v>1.7951524407780137</v>
      </c>
      <c r="V38" s="919">
        <f>QUARTILE(V11:V36,3)</f>
        <v>0.99664640601587728</v>
      </c>
      <c r="W38" s="919">
        <f>QUARTILE(W11:W36,3)</f>
        <v>0.9636852922480843</v>
      </c>
      <c r="X38" s="822">
        <f>QUARTILE(X11:X35,3)</f>
        <v>697.11232656628033</v>
      </c>
      <c r="Y38" s="920">
        <f>QUARTILE(Y11:Y35,3)</f>
        <v>0.73278037479134861</v>
      </c>
      <c r="AB38" s="921">
        <f>Y46</f>
        <v>0.6635362207847505</v>
      </c>
      <c r="AC38" s="234" t="s">
        <v>1389</v>
      </c>
      <c r="AF38" s="348"/>
    </row>
    <row r="39" spans="2:35" ht="14.85" customHeight="1">
      <c r="B39" s="821" t="s">
        <v>113</v>
      </c>
      <c r="C39" s="823"/>
      <c r="D39" s="822">
        <f t="shared" ref="D39:K39" si="24">AVERAGE(D11:D35)</f>
        <v>1587.2495647826088</v>
      </c>
      <c r="E39" s="822">
        <f t="shared" si="24"/>
        <v>37.258999999999993</v>
      </c>
      <c r="F39" s="822">
        <f t="shared" si="24"/>
        <v>42.704249999999995</v>
      </c>
      <c r="G39" s="822" t="e">
        <f t="shared" si="24"/>
        <v>#DIV/0!</v>
      </c>
      <c r="H39" s="822">
        <f t="shared" si="24"/>
        <v>44.685826086956517</v>
      </c>
      <c r="I39" s="822">
        <f t="shared" si="24"/>
        <v>1631.9353908695655</v>
      </c>
      <c r="J39" s="822">
        <f t="shared" si="24"/>
        <v>354.92808695652167</v>
      </c>
      <c r="K39" s="822">
        <f t="shared" si="24"/>
        <v>1277.0073039130434</v>
      </c>
      <c r="L39" s="823"/>
      <c r="M39" s="860">
        <f>AVERAGE(M11:M35)</f>
        <v>0</v>
      </c>
      <c r="N39" s="822">
        <f>AVERAGE(N11:N35)</f>
        <v>3</v>
      </c>
      <c r="O39" s="914">
        <f>AVERAGE(O11:O35)</f>
        <v>2.4299999999999992E-2</v>
      </c>
      <c r="P39" s="915"/>
      <c r="Q39" s="916">
        <f>AVERAGE(Q11:Q35)</f>
        <v>0.68702295164324834</v>
      </c>
      <c r="R39" s="917"/>
      <c r="S39" s="918">
        <f>AVERAGE(S11:S36)</f>
        <v>0.50689964909037566</v>
      </c>
      <c r="T39" s="918">
        <f>AVERAGE(T11:T36)</f>
        <v>1.1625864274818121</v>
      </c>
      <c r="U39" s="919">
        <f>AVERAGE(U11:U36)</f>
        <v>0.63763608862194943</v>
      </c>
      <c r="V39" s="919">
        <f>AVERAGE(V11:V36)</f>
        <v>0.39880219068521294</v>
      </c>
      <c r="W39" s="919">
        <f>AVERAGE(W11:W36)</f>
        <v>0.32257483363492556</v>
      </c>
      <c r="X39" s="822">
        <f>AVERAGE(X11:X35)</f>
        <v>873.01656002477534</v>
      </c>
      <c r="Y39" s="920">
        <f>AVERAGE(Y11:Y35)</f>
        <v>0.64485659257520489</v>
      </c>
      <c r="AB39" s="921">
        <f>Y40</f>
        <v>0.7070558851039791</v>
      </c>
      <c r="AC39" s="234" t="s">
        <v>1387</v>
      </c>
      <c r="AF39" s="922" t="s">
        <v>1764</v>
      </c>
    </row>
    <row r="40" spans="2:35" ht="14.85" customHeight="1">
      <c r="B40" s="821" t="s">
        <v>44</v>
      </c>
      <c r="C40" s="823"/>
      <c r="D40" s="822">
        <f t="shared" ref="D40:K40" si="25">MEDIAN(D11:D35)</f>
        <v>1032.0795800000001</v>
      </c>
      <c r="E40" s="822">
        <f t="shared" si="25"/>
        <v>0</v>
      </c>
      <c r="F40" s="822">
        <f t="shared" si="25"/>
        <v>20.342499999999998</v>
      </c>
      <c r="G40" s="822" t="e">
        <f t="shared" si="25"/>
        <v>#NUM!</v>
      </c>
      <c r="H40" s="822">
        <f t="shared" si="25"/>
        <v>0</v>
      </c>
      <c r="I40" s="822">
        <f t="shared" si="25"/>
        <v>1058.70937</v>
      </c>
      <c r="J40" s="822">
        <f t="shared" si="25"/>
        <v>239.54599999999999</v>
      </c>
      <c r="K40" s="822">
        <f t="shared" si="25"/>
        <v>727.28158000000008</v>
      </c>
      <c r="L40" s="823"/>
      <c r="M40" s="860">
        <f>MEDIAN(M11:M35)</f>
        <v>0</v>
      </c>
      <c r="N40" s="822">
        <f>MEDIAN(N11:N35)</f>
        <v>3</v>
      </c>
      <c r="O40" s="914">
        <f>MEDIAN(O11:O35)</f>
        <v>2.4299999999999999E-2</v>
      </c>
      <c r="P40" s="915"/>
      <c r="Q40" s="916">
        <f>MEDIAN(Q11:Q35)</f>
        <v>0.72202351879102378</v>
      </c>
      <c r="R40" s="917"/>
      <c r="S40" s="918">
        <f>MEDIAN(S11:S36)</f>
        <v>0.52131796168737188</v>
      </c>
      <c r="T40" s="918">
        <f>MEDIAN(T11:T36)</f>
        <v>0</v>
      </c>
      <c r="U40" s="919">
        <f>MEDIAN(U11:U36)</f>
        <v>0</v>
      </c>
      <c r="V40" s="919">
        <f>MEDIAN(V11:V36)</f>
        <v>0</v>
      </c>
      <c r="W40" s="919">
        <f>MEDIAN(W11:W36)</f>
        <v>0</v>
      </c>
      <c r="X40" s="822">
        <f>MEDIAN(X11:X35)</f>
        <v>0</v>
      </c>
      <c r="Y40" s="920">
        <f>MEDIAN(Y11:Y35)</f>
        <v>0.7070558851039791</v>
      </c>
      <c r="AB40" s="923" t="str">
        <f>IF(ROUND(AB37,3)=ROUND(AB39,3),"","Update Volatility - OPM")</f>
        <v>Update Volatility - OPM</v>
      </c>
      <c r="AF40" s="348"/>
    </row>
    <row r="41" spans="2:35" ht="14.85" customHeight="1">
      <c r="B41" s="821" t="s">
        <v>114</v>
      </c>
      <c r="C41" s="823"/>
      <c r="D41" s="822">
        <f t="shared" ref="D41:K41" si="26">QUARTILE(D11:D35,1)</f>
        <v>333.53233499999999</v>
      </c>
      <c r="E41" s="822">
        <f t="shared" si="26"/>
        <v>0</v>
      </c>
      <c r="F41" s="822">
        <f t="shared" si="26"/>
        <v>7.3780000000000001</v>
      </c>
      <c r="G41" s="822" t="e">
        <f t="shared" si="26"/>
        <v>#NUM!</v>
      </c>
      <c r="H41" s="822">
        <f t="shared" si="26"/>
        <v>0</v>
      </c>
      <c r="I41" s="822">
        <f t="shared" si="26"/>
        <v>334.902805</v>
      </c>
      <c r="J41" s="822">
        <f t="shared" si="26"/>
        <v>151.708</v>
      </c>
      <c r="K41" s="822">
        <f t="shared" si="26"/>
        <v>214.77052</v>
      </c>
      <c r="L41" s="823"/>
      <c r="M41" s="860">
        <f>QUARTILE(M11:M35,1)</f>
        <v>0</v>
      </c>
      <c r="N41" s="822">
        <f>QUARTILE(N11:N35,1)</f>
        <v>3</v>
      </c>
      <c r="O41" s="914">
        <f>QUARTILE(O11:O35,1)</f>
        <v>2.4299999999999999E-2</v>
      </c>
      <c r="P41" s="915"/>
      <c r="Q41" s="916">
        <f>QUARTILE(Q11:Q35,1)</f>
        <v>0.66256910320315288</v>
      </c>
      <c r="R41" s="917"/>
      <c r="S41" s="918">
        <f>QUARTILE(S11:S36,1)</f>
        <v>0.43899781651943026</v>
      </c>
      <c r="T41" s="918">
        <f>QUARTILE(T11:T36,1)</f>
        <v>0</v>
      </c>
      <c r="U41" s="919">
        <f>QUARTILE(U11:U36,1)</f>
        <v>0</v>
      </c>
      <c r="V41" s="919">
        <f>QUARTILE(V11:V36,1)</f>
        <v>0</v>
      </c>
      <c r="W41" s="919">
        <f>QUARTILE(W11:W36,1)</f>
        <v>0</v>
      </c>
      <c r="X41" s="822">
        <f>QUARTILE(X11:X35,1)</f>
        <v>0</v>
      </c>
      <c r="Y41" s="920">
        <f>QUARTILE(Y11:Y35,1)</f>
        <v>0.59768048017248299</v>
      </c>
      <c r="AB41" s="924" t="str">
        <f>IF(ROUND(AB38,3)=ROUND(AB39,3),"","Update Volatility - DLOM")</f>
        <v>Update Volatility - DLOM</v>
      </c>
      <c r="AC41" s="269"/>
      <c r="AD41" s="269"/>
      <c r="AE41" s="269"/>
      <c r="AF41" s="594"/>
    </row>
    <row r="42" spans="2:35" ht="14.85" customHeight="1">
      <c r="B42" s="754" t="s">
        <v>112</v>
      </c>
      <c r="C42" s="556"/>
      <c r="D42" s="565">
        <f t="shared" ref="D42:K42" si="27">MIN(D11:D35)</f>
        <v>19.22391</v>
      </c>
      <c r="E42" s="565">
        <f t="shared" si="27"/>
        <v>0</v>
      </c>
      <c r="F42" s="565">
        <f t="shared" si="27"/>
        <v>6.6429999999999998</v>
      </c>
      <c r="G42" s="565">
        <f t="shared" si="27"/>
        <v>0</v>
      </c>
      <c r="H42" s="565">
        <f t="shared" si="27"/>
        <v>0</v>
      </c>
      <c r="I42" s="565">
        <f t="shared" si="27"/>
        <v>26.846910000000001</v>
      </c>
      <c r="J42" s="565">
        <f t="shared" si="27"/>
        <v>12.877000000000001</v>
      </c>
      <c r="K42" s="565">
        <f t="shared" si="27"/>
        <v>10.735910000000001</v>
      </c>
      <c r="L42" s="556"/>
      <c r="M42" s="865">
        <f>MIN(M11:M35)</f>
        <v>0</v>
      </c>
      <c r="N42" s="565">
        <f>MIN(N11:N35)</f>
        <v>3</v>
      </c>
      <c r="O42" s="925">
        <f>MIN(O11:O35)</f>
        <v>2.4299999999999999E-2</v>
      </c>
      <c r="P42" s="926"/>
      <c r="Q42" s="927">
        <f>MIN(Q11:Q35)</f>
        <v>0</v>
      </c>
      <c r="R42" s="928"/>
      <c r="S42" s="929">
        <f>MIN(S11:S36)</f>
        <v>0</v>
      </c>
      <c r="T42" s="929">
        <f>MIN(T11:T36)</f>
        <v>0</v>
      </c>
      <c r="U42" s="930">
        <f>MIN(U11:U36)</f>
        <v>-0.96820483908645993</v>
      </c>
      <c r="V42" s="930">
        <f>MIN(V11:V36)</f>
        <v>0</v>
      </c>
      <c r="W42" s="930">
        <f>MIN(W11:W36)</f>
        <v>0</v>
      </c>
      <c r="X42" s="565">
        <f>MIN(X11:X35)</f>
        <v>0</v>
      </c>
      <c r="Y42" s="931">
        <f>MIN(Y11:Y35)</f>
        <v>0</v>
      </c>
    </row>
    <row r="43" spans="2:35" ht="14.85" customHeight="1">
      <c r="AB43" s="932" t="str">
        <f>IF(AND(AB40=$AF$41,AB41=$AF$41),"","Check")</f>
        <v>Check</v>
      </c>
    </row>
    <row r="44" spans="2:35" ht="14.85" hidden="1" customHeight="1" outlineLevel="1">
      <c r="B44" s="933" t="str">
        <f>B2</f>
        <v>Trucode Gene Repair, Inc.</v>
      </c>
      <c r="C44" s="934" t="s">
        <v>249</v>
      </c>
      <c r="D44" s="936">
        <f>'Hybrid OPM'!$C$33/1000</f>
        <v>36</v>
      </c>
      <c r="E44" s="939">
        <f>H44</f>
        <v>0.15776502000000001</v>
      </c>
      <c r="F44" s="935"/>
      <c r="G44" s="935"/>
      <c r="H44" s="936">
        <f>'Hist BS'!$E$61/1000</f>
        <v>0.15776502000000001</v>
      </c>
      <c r="I44" s="937">
        <f t="shared" ref="I44" si="28">SUM(D44:G44)</f>
        <v>36.157765019999999</v>
      </c>
      <c r="J44" s="935"/>
      <c r="K44" s="936">
        <f>D44+H44</f>
        <v>36.157765019999999</v>
      </c>
      <c r="L44" s="935"/>
      <c r="M44" s="938">
        <f>'DLOM Hybrid'!D15</f>
        <v>0</v>
      </c>
      <c r="N44" s="939">
        <f>N$6</f>
        <v>3</v>
      </c>
      <c r="O44" s="940">
        <f>O$6</f>
        <v>2.4299999999999999E-2</v>
      </c>
      <c r="P44" s="941"/>
      <c r="Q44" s="942">
        <v>0.6664739292817059</v>
      </c>
      <c r="R44" s="935"/>
      <c r="S44" s="943">
        <f>IF(Q44="n/a","n/a",Q44^2)</f>
        <v>0.44418749841219635</v>
      </c>
      <c r="T44" s="943">
        <f>IF(OR(K44="n/a",S44="n/a"),"n/a",IF(H44=0,0,IF(M44=0,(LN(K44/H44)+((O44+(S44/2))*N44))/((S44*N44)^0.5),(LN(K44/H44)+((O44-M44+(S44/2))*N44))/((S44*N44)^0.5))))</f>
        <v>5.3481458721352526</v>
      </c>
      <c r="U44" s="944">
        <f>IF(T44="n/a","n/a",IF(H44=0,0,T44-(S44*N44)^0.5))</f>
        <v>4.1937791646992713</v>
      </c>
      <c r="V44" s="944">
        <f>IF(OR(T44="n/a",S44="n/a"),"n/a",IF(H44=0,0,NORMSDIST(T44)))</f>
        <v>0.99999995557008203</v>
      </c>
      <c r="W44" s="944">
        <f>IF(OR(U44="n/a",S44="n/a"),"n/a",IF(H44=0,0,NORMSDIST(U44)))</f>
        <v>0.99998628274613355</v>
      </c>
      <c r="X44" s="944">
        <f>IF(OR(K44="n/a",S44="n/a"),"n/a",IF(M44=0,(K44*V44)-((H44*EXP(1)^(-O44*N44))*W44),(K44*(2.718^(-M44*N44))*V44)-(H44*(2.718^(-O44*N44))*W44)))</f>
        <v>36.011092265342732</v>
      </c>
      <c r="Y44" s="945">
        <f>IF(LEN(B44)&gt;0,IF(H44=0,Q44,IF(ISERROR(Q44/((K44/X44)*V44)),"n/a",Q44/((K44/X44)*V44))))</f>
        <v>0.6637704297506184</v>
      </c>
    </row>
    <row r="45" spans="2:35" ht="14.85" hidden="1" customHeight="1" outlineLevel="1"/>
    <row r="46" spans="2:35" ht="14.85" customHeight="1" collapsed="1">
      <c r="B46" s="933" t="str">
        <f>B44</f>
        <v>Trucode Gene Repair, Inc.</v>
      </c>
      <c r="C46" s="934" t="s">
        <v>249</v>
      </c>
      <c r="D46" s="936">
        <f>D44-E46</f>
        <v>13.252649910546541</v>
      </c>
      <c r="E46" s="939">
        <f>H46</f>
        <v>22.747350089453459</v>
      </c>
      <c r="F46" s="935"/>
      <c r="G46" s="935"/>
      <c r="H46" s="936">
        <f>H44+('OPM 1 Hybrid'!D114/1000)</f>
        <v>22.747350089453459</v>
      </c>
      <c r="I46" s="937">
        <f>K46+J46</f>
        <v>36.157765019999999</v>
      </c>
      <c r="J46" s="935"/>
      <c r="K46" s="946">
        <f>K44</f>
        <v>36.157765019999999</v>
      </c>
      <c r="L46" s="935"/>
      <c r="M46" s="947">
        <f>M44</f>
        <v>0</v>
      </c>
      <c r="N46" s="939">
        <f>N$6</f>
        <v>3</v>
      </c>
      <c r="O46" s="940">
        <f>O$6</f>
        <v>2.4299999999999999E-2</v>
      </c>
      <c r="P46" s="941"/>
      <c r="Q46" s="942">
        <v>0.86667538436797842</v>
      </c>
      <c r="R46" s="935"/>
      <c r="S46" s="943">
        <f>IF(Q46="n/a","n/a",Q46^2)</f>
        <v>0.75112622186938316</v>
      </c>
      <c r="T46" s="943">
        <f>IF(OR(K46="n/a",S46="n/a"),"n/a",IF(H46=0,0,IF(M46=0,(LN(K46/H46)+((O46+(S46/2))*N46))/((S46*N46)^0.5),(LN(K46/H46)+((O46-M46+(S46/2))*N46))/((S46*N46)^0.5))))</f>
        <v>1.1078567832123587</v>
      </c>
      <c r="U46" s="944">
        <f>IF(T46="n/a","n/a",IF(H46=0,0,T46-(S46*N46)^0.5))</f>
        <v>-0.39326901618226562</v>
      </c>
      <c r="V46" s="944">
        <f>IF(OR(T46="n/a",S46="n/a"),"n/a",IF(H46=0,0,NORMSDIST(T46)))</f>
        <v>0.86603816385337651</v>
      </c>
      <c r="W46" s="944">
        <f>IF(OR(U46="n/a",S46="n/a"),"n/a",IF(H46=0,0,NORMSDIST(U46)))</f>
        <v>0.34706039996604809</v>
      </c>
      <c r="X46" s="944">
        <f>IF(OR(K46="n/a",S46="n/a"),"n/a",IF(M46=0,(K46*V46)-((H46*EXP(1)^(-O46*N46))*W46),(K46*(2.718^(-M46*N46))*V46)-(H46*(2.718^(-O46*N46))*W46)))</f>
        <v>23.974346716049912</v>
      </c>
      <c r="Y46" s="945">
        <f>IF(LEN(B46)&gt;0,IF(H46=0,Q46,IF(ISERROR(Q46/((K46/X46)*V46)),"n/a",Q46/((K46/X46)*V46))))</f>
        <v>0.6635362207847505</v>
      </c>
    </row>
    <row r="47" spans="2:35" ht="14.85" customHeight="1"/>
    <row r="48" spans="2:35" ht="14.85" customHeight="1">
      <c r="B48" s="279" t="s">
        <v>86</v>
      </c>
    </row>
    <row r="49" spans="1:26" ht="14.85" customHeight="1">
      <c r="A49" s="280" t="s">
        <v>250</v>
      </c>
      <c r="B49" s="388" t="s">
        <v>2925</v>
      </c>
    </row>
    <row r="50" spans="1:26" s="282" customFormat="1" ht="14.85" customHeight="1">
      <c r="A50" s="280" t="s">
        <v>249</v>
      </c>
      <c r="B50" s="388" t="s">
        <v>4245</v>
      </c>
      <c r="C50" s="234"/>
      <c r="D50" s="234"/>
      <c r="E50" s="234"/>
      <c r="F50" s="234"/>
      <c r="G50" s="234"/>
      <c r="H50" s="234"/>
      <c r="I50" s="234"/>
      <c r="J50" s="234"/>
      <c r="K50" s="234"/>
      <c r="L50" s="234"/>
      <c r="M50" s="234"/>
      <c r="N50" s="234"/>
      <c r="O50" s="234"/>
      <c r="P50" s="435"/>
      <c r="Q50" s="234"/>
      <c r="R50" s="234"/>
      <c r="S50" s="234"/>
      <c r="T50" s="234"/>
      <c r="U50" s="234"/>
      <c r="V50" s="234"/>
      <c r="W50" s="234"/>
      <c r="X50" s="234"/>
      <c r="Y50" s="234"/>
      <c r="Z50" s="234"/>
    </row>
    <row r="51" spans="1:26" ht="14.85" customHeight="1"/>
    <row r="52" spans="1:26" ht="14.85" customHeight="1">
      <c r="B52" s="279" t="s">
        <v>116</v>
      </c>
    </row>
    <row r="53" spans="1:26" ht="14.85" customHeight="1"/>
    <row r="54" spans="1:26" ht="14.85" customHeight="1">
      <c r="B54" s="234" t="s">
        <v>1416</v>
      </c>
    </row>
    <row r="55" spans="1:26" ht="14.85" customHeight="1">
      <c r="B55" s="234" t="s">
        <v>1417</v>
      </c>
    </row>
    <row r="56" spans="1:26" ht="14.85" customHeight="1">
      <c r="B56" s="234" t="s">
        <v>1418</v>
      </c>
    </row>
    <row r="57" spans="1:26" ht="14.85" customHeight="1">
      <c r="B57" s="234" t="s">
        <v>1419</v>
      </c>
    </row>
    <row r="58" spans="1:26" ht="14.85" customHeight="1">
      <c r="B58" s="234" t="s">
        <v>1420</v>
      </c>
    </row>
    <row r="59" spans="1:26" ht="14.85" customHeight="1">
      <c r="B59" s="234" t="s">
        <v>1421</v>
      </c>
    </row>
    <row r="60" spans="1:26" ht="14.85" customHeight="1">
      <c r="B60" s="234" t="s">
        <v>1422</v>
      </c>
    </row>
    <row r="61" spans="1:26" ht="14.85" customHeight="1"/>
    <row r="62" spans="1:26" ht="14.85" customHeight="1">
      <c r="B62" s="234" t="s">
        <v>1423</v>
      </c>
    </row>
    <row r="63" spans="1:26" ht="14.85" customHeight="1">
      <c r="B63" s="234" t="s">
        <v>1424</v>
      </c>
    </row>
    <row r="64" spans="1:26"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1:B35">
    <cfRule type="cellIs" dxfId="192" priority="8" operator="equal">
      <formula>"(Invalid Identifier)"</formula>
    </cfRule>
  </conditionalFormatting>
  <conditionalFormatting sqref="B4:I4">
    <cfRule type="cellIs" dxfId="191" priority="7" stopIfTrue="1" operator="equal">
      <formula>"input"</formula>
    </cfRule>
  </conditionalFormatting>
  <conditionalFormatting sqref="J4">
    <cfRule type="cellIs" dxfId="190" priority="5" stopIfTrue="1" operator="equal">
      <formula>"input"</formula>
    </cfRule>
  </conditionalFormatting>
  <conditionalFormatting sqref="J4">
    <cfRule type="cellIs" dxfId="189" priority="6" stopIfTrue="1" operator="equal">
      <formula>"input"</formula>
    </cfRule>
  </conditionalFormatting>
  <conditionalFormatting sqref="K4:X4">
    <cfRule type="cellIs" dxfId="188" priority="3" stopIfTrue="1" operator="equal">
      <formula>"input"</formula>
    </cfRule>
  </conditionalFormatting>
  <conditionalFormatting sqref="K4:X4">
    <cfRule type="cellIs" dxfId="187" priority="4" stopIfTrue="1" operator="equal">
      <formula>"input"</formula>
    </cfRule>
  </conditionalFormatting>
  <conditionalFormatting sqref="Y4">
    <cfRule type="cellIs" dxfId="186" priority="1" stopIfTrue="1" operator="equal">
      <formula>"input"</formula>
    </cfRule>
  </conditionalFormatting>
  <conditionalFormatting sqref="Y4">
    <cfRule type="cellIs" dxfId="185"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2"/>
  <dimension ref="B1:Q764"/>
  <sheetViews>
    <sheetView showGridLines="0" view="pageBreakPreview" zoomScale="85" zoomScaleNormal="100" zoomScaleSheetLayoutView="85" workbookViewId="0"/>
  </sheetViews>
  <sheetFormatPr defaultRowHeight="14.25" outlineLevelRow="1"/>
  <cols>
    <col min="1" max="1" width="4.5" style="234" customWidth="1"/>
    <col min="2" max="2" width="81.33203125" style="234" customWidth="1"/>
    <col min="3" max="3" width="2.83203125" style="234" customWidth="1"/>
    <col min="4" max="5" width="30.83203125" style="234" customWidth="1"/>
    <col min="6" max="6" width="4.5" style="234" customWidth="1"/>
    <col min="7" max="7" width="19.5" style="234" bestFit="1" customWidth="1"/>
    <col min="8" max="8" width="1.83203125" style="234" customWidth="1"/>
    <col min="9" max="10" width="12.83203125" style="234" customWidth="1"/>
    <col min="11" max="11" width="1.83203125" style="234" customWidth="1"/>
    <col min="12" max="12" width="9.33203125" style="234"/>
    <col min="13" max="17" width="12.83203125" style="234" customWidth="1"/>
    <col min="18" max="16384" width="9.33203125" style="234"/>
  </cols>
  <sheetData>
    <row r="1" spans="2:17" ht="10.7" customHeight="1" thickBot="1"/>
    <row r="2" spans="2:17" ht="16.5" customHeight="1" thickTop="1">
      <c r="B2" s="223" t="str">
        <f>'MASTER PubCo Inputs'!$C$5</f>
        <v>Trucode Gene Repair, Inc.</v>
      </c>
      <c r="C2" s="223"/>
      <c r="D2" s="223"/>
      <c r="E2" s="223"/>
    </row>
    <row r="3" spans="2:17" ht="15.75" customHeight="1">
      <c r="B3" s="232" t="str">
        <f>VLOOKUP(B4,Outline!$E$8:$G$65,COLUMNS(Outline!$E$8:$G$8),FALSE)</f>
        <v>Workpaper #7</v>
      </c>
      <c r="C3" s="232"/>
      <c r="D3" s="232"/>
      <c r="E3" s="232"/>
    </row>
    <row r="4" spans="2:17" ht="16.5" customHeight="1" thickBot="1">
      <c r="B4" s="225" t="s">
        <v>4173</v>
      </c>
      <c r="C4" s="225"/>
      <c r="D4" s="225"/>
      <c r="E4" s="225"/>
      <c r="G4" s="1231"/>
      <c r="H4" s="1232"/>
      <c r="I4" s="1233"/>
      <c r="J4" s="1234" t="s">
        <v>1708</v>
      </c>
      <c r="K4" s="1235"/>
      <c r="L4" s="1236">
        <f>'OPM 1 Hybrid'!D10</f>
        <v>2</v>
      </c>
      <c r="M4" s="347"/>
    </row>
    <row r="5" spans="2:17" ht="14.85" customHeight="1" thickTop="1">
      <c r="G5" s="1231" t="s">
        <v>87</v>
      </c>
      <c r="H5" s="1232"/>
      <c r="I5" s="1239">
        <f>'MASTER PubCo Inputs'!$C$6</f>
        <v>43496</v>
      </c>
      <c r="M5" s="347"/>
    </row>
    <row r="6" spans="2:17" ht="14.85" customHeight="1">
      <c r="G6" s="1231"/>
      <c r="H6" s="1232"/>
      <c r="I6" s="1233"/>
      <c r="J6" s="1234" t="s">
        <v>1726</v>
      </c>
      <c r="K6" s="1235"/>
      <c r="L6" s="1236">
        <f>'DLOM Hybrid'!D13</f>
        <v>3</v>
      </c>
      <c r="M6" s="1953"/>
      <c r="N6" s="267"/>
      <c r="O6" s="267"/>
      <c r="P6" s="267"/>
      <c r="Q6" s="267"/>
    </row>
    <row r="7" spans="2:17" s="270" customFormat="1" ht="14.85" customHeight="1">
      <c r="B7" s="1242" t="s">
        <v>126</v>
      </c>
      <c r="D7" s="1243" t="s">
        <v>125</v>
      </c>
      <c r="E7" s="1244" t="s">
        <v>72</v>
      </c>
      <c r="G7" s="1245" t="s">
        <v>127</v>
      </c>
      <c r="H7" s="1246"/>
      <c r="I7" s="1246" t="s">
        <v>128</v>
      </c>
      <c r="J7" s="1247" t="s">
        <v>129</v>
      </c>
    </row>
    <row r="8" spans="2:17" ht="14.85" customHeight="1"/>
    <row r="9" spans="2:17" ht="14.85" customHeight="1">
      <c r="B9" s="234" t="str">
        <f>'Capital IQ Sheet-GPC'!E57</f>
        <v>United States Treasury Constant Maturity - 1 Month</v>
      </c>
      <c r="D9" s="324">
        <f>'Capital IQ Sheet-GPC'!C57</f>
        <v>8.3333333333333329E-2</v>
      </c>
      <c r="E9" s="370">
        <f>'Capital IQ Sheet-GPC'!D57</f>
        <v>2.4199999999999999E-2</v>
      </c>
      <c r="G9" s="1248">
        <f>'Capital IQ Sheet-GPC'!B79</f>
        <v>0</v>
      </c>
      <c r="H9" s="324"/>
      <c r="I9" s="1249">
        <v>0</v>
      </c>
      <c r="J9" s="324">
        <f>D10</f>
        <v>0.25</v>
      </c>
    </row>
    <row r="10" spans="2:17" ht="14.85" customHeight="1">
      <c r="B10" s="234" t="str">
        <f>'Capital IQ Sheet-GPC'!E58</f>
        <v>United States Treasury Constant Maturity - 3 Month</v>
      </c>
      <c r="D10" s="324">
        <f>'Capital IQ Sheet-GPC'!C58</f>
        <v>0.25</v>
      </c>
      <c r="E10" s="370">
        <f>'Capital IQ Sheet-GPC'!D58</f>
        <v>2.41E-2</v>
      </c>
      <c r="G10" s="1248">
        <f>'Capital IQ Sheet-GPC'!B80</f>
        <v>0</v>
      </c>
      <c r="H10" s="324"/>
      <c r="I10" s="324">
        <f>D9</f>
        <v>8.3333333333333329E-2</v>
      </c>
      <c r="J10" s="324">
        <f>D11</f>
        <v>0.5</v>
      </c>
    </row>
    <row r="11" spans="2:17" ht="14.85" customHeight="1">
      <c r="B11" s="234" t="str">
        <f>'Capital IQ Sheet-GPC'!E59</f>
        <v>United States Treasury Constant Maturity - 6 Month</v>
      </c>
      <c r="D11" s="324">
        <f>'Capital IQ Sheet-GPC'!C59</f>
        <v>0.5</v>
      </c>
      <c r="E11" s="370">
        <f>'Capital IQ Sheet-GPC'!D59</f>
        <v>2.46E-2</v>
      </c>
      <c r="G11" s="1248">
        <f>'Capital IQ Sheet-GPC'!B81</f>
        <v>0</v>
      </c>
      <c r="H11" s="324"/>
      <c r="I11" s="324">
        <f t="shared" ref="I11:I19" si="0">D10</f>
        <v>0.25</v>
      </c>
      <c r="J11" s="324">
        <f t="shared" ref="J11:J18" si="1">D12</f>
        <v>1</v>
      </c>
    </row>
    <row r="12" spans="2:17" ht="14.85" customHeight="1">
      <c r="B12" s="234" t="str">
        <f>'Capital IQ Sheet-GPC'!E60</f>
        <v>United States Treasury Constant Maturity - 1 Year</v>
      </c>
      <c r="D12" s="324">
        <f>'Capital IQ Sheet-GPC'!C60</f>
        <v>1</v>
      </c>
      <c r="E12" s="370">
        <f>'Capital IQ Sheet-GPC'!D60</f>
        <v>2.5499999999999998E-2</v>
      </c>
      <c r="G12" s="1248">
        <f>'Capital IQ Sheet-GPC'!B82</f>
        <v>0</v>
      </c>
      <c r="H12" s="324"/>
      <c r="I12" s="324">
        <f t="shared" si="0"/>
        <v>0.5</v>
      </c>
      <c r="J12" s="324">
        <f t="shared" si="1"/>
        <v>2</v>
      </c>
    </row>
    <row r="13" spans="2:17" ht="14.85" customHeight="1">
      <c r="B13" s="234" t="str">
        <f>'Capital IQ Sheet-GPC'!E61</f>
        <v>United States Treasury Constant Maturity - 2 Year</v>
      </c>
      <c r="D13" s="324">
        <f>'Capital IQ Sheet-GPC'!C61</f>
        <v>2</v>
      </c>
      <c r="E13" s="370">
        <f>'Capital IQ Sheet-GPC'!D61</f>
        <v>2.4500000000000001E-2</v>
      </c>
      <c r="G13" s="1248">
        <f>'Capital IQ Sheet-GPC'!B83</f>
        <v>0</v>
      </c>
      <c r="H13" s="324"/>
      <c r="I13" s="324">
        <f t="shared" si="0"/>
        <v>1</v>
      </c>
      <c r="J13" s="324">
        <f t="shared" si="1"/>
        <v>3</v>
      </c>
    </row>
    <row r="14" spans="2:17" ht="14.85" customHeight="1">
      <c r="B14" s="234" t="str">
        <f>'Capital IQ Sheet-GPC'!E62</f>
        <v>United States Treasury Constant Maturity - 3 Year</v>
      </c>
      <c r="D14" s="324">
        <f>'Capital IQ Sheet-GPC'!C62</f>
        <v>3</v>
      </c>
      <c r="E14" s="370">
        <f>'Capital IQ Sheet-GPC'!D62</f>
        <v>2.4299999999999999E-2</v>
      </c>
      <c r="G14" s="1248">
        <f>'Capital IQ Sheet-GPC'!B84</f>
        <v>0</v>
      </c>
      <c r="H14" s="324"/>
      <c r="I14" s="324">
        <f t="shared" si="0"/>
        <v>2</v>
      </c>
      <c r="J14" s="324">
        <f t="shared" si="1"/>
        <v>5</v>
      </c>
    </row>
    <row r="15" spans="2:17" ht="14.85" customHeight="1">
      <c r="B15" s="234" t="str">
        <f>'Capital IQ Sheet-GPC'!E63</f>
        <v>United States Treasury Constant Maturity - 5 Year</v>
      </c>
      <c r="D15" s="324">
        <f>'Capital IQ Sheet-GPC'!C63</f>
        <v>5</v>
      </c>
      <c r="E15" s="370">
        <f>'Capital IQ Sheet-GPC'!D63</f>
        <v>2.4299999999999999E-2</v>
      </c>
      <c r="G15" s="1248">
        <f>'Capital IQ Sheet-GPC'!B85</f>
        <v>0</v>
      </c>
      <c r="H15" s="324"/>
      <c r="I15" s="324">
        <f t="shared" si="0"/>
        <v>3</v>
      </c>
      <c r="J15" s="324">
        <f t="shared" si="1"/>
        <v>7</v>
      </c>
    </row>
    <row r="16" spans="2:17" ht="14.85" customHeight="1">
      <c r="B16" s="234" t="str">
        <f>'Capital IQ Sheet-GPC'!E64</f>
        <v>United States Treasury Constant Maturity - 7 Year</v>
      </c>
      <c r="D16" s="324">
        <f>'Capital IQ Sheet-GPC'!C64</f>
        <v>7</v>
      </c>
      <c r="E16" s="370">
        <f>'Capital IQ Sheet-GPC'!D64</f>
        <v>2.5100000000000001E-2</v>
      </c>
      <c r="G16" s="1248">
        <f>'Capital IQ Sheet-GPC'!B86</f>
        <v>0</v>
      </c>
      <c r="H16" s="324"/>
      <c r="I16" s="324">
        <f t="shared" si="0"/>
        <v>5</v>
      </c>
      <c r="J16" s="324">
        <f t="shared" si="1"/>
        <v>10</v>
      </c>
    </row>
    <row r="17" spans="2:10" ht="14.85" customHeight="1">
      <c r="B17" s="234" t="str">
        <f>'Capital IQ Sheet-GPC'!E65</f>
        <v>United States Treasury Constant Maturity - 10 Year</v>
      </c>
      <c r="D17" s="324">
        <f>'Capital IQ Sheet-GPC'!C65</f>
        <v>10</v>
      </c>
      <c r="E17" s="370">
        <f>'Capital IQ Sheet-GPC'!D65</f>
        <v>2.63E-2</v>
      </c>
      <c r="G17" s="1248">
        <f>'Capital IQ Sheet-GPC'!B87</f>
        <v>0</v>
      </c>
      <c r="H17" s="324"/>
      <c r="I17" s="324">
        <f t="shared" si="0"/>
        <v>7</v>
      </c>
      <c r="J17" s="324">
        <f t="shared" si="1"/>
        <v>20</v>
      </c>
    </row>
    <row r="18" spans="2:10" ht="14.85" customHeight="1">
      <c r="B18" s="234" t="str">
        <f>'Capital IQ Sheet-GPC'!E66</f>
        <v>United States Treasury Constant Maturity - 20 Year</v>
      </c>
      <c r="D18" s="324">
        <f>'Capital IQ Sheet-GPC'!C66</f>
        <v>20</v>
      </c>
      <c r="E18" s="370">
        <f>'Capital IQ Sheet-GPC'!D66</f>
        <v>2.8299999999999999E-2</v>
      </c>
      <c r="G18" s="1248">
        <f>'Capital IQ Sheet-GPC'!B88</f>
        <v>0</v>
      </c>
      <c r="H18" s="324"/>
      <c r="I18" s="324">
        <f t="shared" si="0"/>
        <v>10</v>
      </c>
      <c r="J18" s="324">
        <f t="shared" si="1"/>
        <v>30</v>
      </c>
    </row>
    <row r="19" spans="2:10" ht="14.85" customHeight="1">
      <c r="B19" s="234" t="str">
        <f>'Capital IQ Sheet-GPC'!E67</f>
        <v>United States Treasury Constant Maturity - 30 Year</v>
      </c>
      <c r="D19" s="324">
        <f>'Capital IQ Sheet-GPC'!C67</f>
        <v>30</v>
      </c>
      <c r="E19" s="370">
        <f>'Capital IQ Sheet-GPC'!D67</f>
        <v>2.9899999999999999E-2</v>
      </c>
      <c r="G19" s="1248">
        <f>'Capital IQ Sheet-GPC'!B89</f>
        <v>0</v>
      </c>
      <c r="H19" s="324"/>
      <c r="I19" s="324">
        <f t="shared" si="0"/>
        <v>20</v>
      </c>
      <c r="J19" s="1250"/>
    </row>
    <row r="20" spans="2:10" ht="14.85" customHeight="1"/>
    <row r="21" spans="2:10" ht="14.85" customHeight="1">
      <c r="B21" s="751" t="s">
        <v>1725</v>
      </c>
      <c r="C21" s="1251"/>
      <c r="D21" s="1251"/>
      <c r="E21" s="1252"/>
      <c r="H21" s="435"/>
      <c r="I21" s="435"/>
      <c r="J21" s="435"/>
    </row>
    <row r="22" spans="2:10" ht="14.85" customHeight="1">
      <c r="B22" s="529" t="s">
        <v>128</v>
      </c>
      <c r="C22" s="530"/>
      <c r="D22" s="1253">
        <f>SUMIFS($D$9:$D$19,$D$9:$D$19,"&lt;"&amp;D24,J$9:J$19,"&gt;"&amp;D24)</f>
        <v>0</v>
      </c>
      <c r="E22" s="1254" t="str">
        <f>IF(ISERROR(VLOOKUP(D22,$D$9:$E$19,COLUMNS($D$7:$E$7),FALSE)), "n/a", VLOOKUP(D22,$D$9:$E$19,COLUMNS($D$7:$E$7),FALSE))</f>
        <v>n/a</v>
      </c>
      <c r="G22" s="1255"/>
      <c r="H22" s="435"/>
      <c r="I22" s="435"/>
      <c r="J22" s="435"/>
    </row>
    <row r="23" spans="2:10" ht="14.85" customHeight="1">
      <c r="B23" s="529" t="s">
        <v>129</v>
      </c>
      <c r="C23" s="530"/>
      <c r="D23" s="1253">
        <f>SUMIFS($D$9:$D$19,$D$9:$D$19,"&gt;"&amp;D24,I$9:I$19,"&lt;"&amp;D24)</f>
        <v>0</v>
      </c>
      <c r="E23" s="1254" t="str">
        <f>IF(ISERROR(VLOOKUP(D23,$D$9:$E$19,COLUMNS($D$7:$E$7),FALSE)), "n/a", VLOOKUP(D23,$D$9:$E$19,COLUMNS($D$7:$E$7),FALSE))</f>
        <v>n/a</v>
      </c>
      <c r="G23" s="370"/>
      <c r="H23" s="435"/>
      <c r="I23" s="435"/>
      <c r="J23" s="435"/>
    </row>
    <row r="24" spans="2:10" ht="14.85" customHeight="1">
      <c r="B24" s="529" t="s">
        <v>102</v>
      </c>
      <c r="C24" s="530"/>
      <c r="D24" s="1253">
        <f>L4</f>
        <v>2</v>
      </c>
      <c r="E24" s="1254" t="str">
        <f>IF(ISERROR(+E22+(E23-E22)/(D23-D22)*(D24-D22)), "n/a", +E22+(E23-E22)/(D23-D22)*(D24-D22))</f>
        <v>n/a</v>
      </c>
      <c r="H24" s="435"/>
      <c r="I24" s="435"/>
      <c r="J24" s="435"/>
    </row>
    <row r="25" spans="2:10" ht="14.85" customHeight="1">
      <c r="B25" s="529" t="s">
        <v>141</v>
      </c>
      <c r="C25" s="530"/>
      <c r="D25" s="1253">
        <f>D24</f>
        <v>2</v>
      </c>
      <c r="E25" s="1254">
        <f>IF(ISERROR(VLOOKUP(D25,$D$9:$E$19,COLUMNS($D$7:$E$7),FALSE)), "n/a", VLOOKUP(D25,$D$9:$E$19,COLUMNS($D$7:$E$7),FALSE))</f>
        <v>2.4500000000000001E-2</v>
      </c>
      <c r="H25" s="435"/>
      <c r="I25" s="435"/>
      <c r="J25" s="435"/>
    </row>
    <row r="26" spans="2:10" ht="14.85" customHeight="1">
      <c r="B26" s="567"/>
      <c r="C26" s="530"/>
      <c r="D26" s="530"/>
      <c r="E26" s="1256"/>
      <c r="H26" s="435"/>
      <c r="I26" s="435"/>
      <c r="J26" s="435"/>
    </row>
    <row r="27" spans="2:10" ht="14.85" customHeight="1">
      <c r="B27" s="754" t="s">
        <v>142</v>
      </c>
      <c r="C27" s="755"/>
      <c r="D27" s="755"/>
      <c r="E27" s="1257">
        <f>IF(E24="n/a",E25,E24)</f>
        <v>2.4500000000000001E-2</v>
      </c>
      <c r="H27" s="434"/>
      <c r="I27" s="434"/>
      <c r="J27" s="434"/>
    </row>
    <row r="28" spans="2:10" ht="14.85" customHeight="1">
      <c r="H28" s="435"/>
      <c r="I28" s="435"/>
      <c r="J28" s="435"/>
    </row>
    <row r="29" spans="2:10" ht="14.85" customHeight="1">
      <c r="B29" s="751" t="s">
        <v>1727</v>
      </c>
      <c r="C29" s="1251"/>
      <c r="D29" s="1251"/>
      <c r="E29" s="1252"/>
      <c r="H29" s="435"/>
      <c r="I29" s="435"/>
      <c r="J29" s="435"/>
    </row>
    <row r="30" spans="2:10" ht="14.85" customHeight="1">
      <c r="B30" s="529" t="s">
        <v>128</v>
      </c>
      <c r="C30" s="530"/>
      <c r="D30" s="1253">
        <f>SUMIFS($D$9:$D$19,$D$9:$D$19,"&lt;"&amp;D32,$J$9:$J$19,"&gt;"&amp;D32)</f>
        <v>0</v>
      </c>
      <c r="E30" s="1254" t="str">
        <f>IF(ISERROR(VLOOKUP(D30,$D$9:$E$19,COLUMNS($D$7:$E$7),FALSE)), "n/a", VLOOKUP(D30,$D$9:$E$19,COLUMNS($D$7:$E$7),FALSE))</f>
        <v>n/a</v>
      </c>
      <c r="H30" s="435"/>
      <c r="I30" s="435"/>
      <c r="J30" s="435"/>
    </row>
    <row r="31" spans="2:10" ht="14.85" customHeight="1">
      <c r="B31" s="529" t="s">
        <v>129</v>
      </c>
      <c r="C31" s="530"/>
      <c r="D31" s="1253">
        <f>SUMIFS($D$9:$D$19,$D$9:$D$19,"&gt;"&amp;D32,$I$9:$I$19,"&lt;"&amp;D32)</f>
        <v>0</v>
      </c>
      <c r="E31" s="1254" t="str">
        <f>IF(ISERROR(VLOOKUP(D31,$D$9:$E$19,COLUMNS($D$7:$E$7),FALSE)), "n/a", VLOOKUP(D31,$D$9:$E$19,COLUMNS($D$7:$E$7),FALSE))</f>
        <v>n/a</v>
      </c>
      <c r="G31" s="261"/>
      <c r="H31" s="435"/>
      <c r="I31" s="435"/>
      <c r="J31" s="435"/>
    </row>
    <row r="32" spans="2:10" ht="14.85" customHeight="1">
      <c r="B32" s="529" t="s">
        <v>102</v>
      </c>
      <c r="C32" s="530"/>
      <c r="D32" s="1253">
        <f>L6</f>
        <v>3</v>
      </c>
      <c r="E32" s="1254" t="str">
        <f>IF(ISERROR(+E30+(E31-E30)/(D31-D30)*(D32-D30)), "n/a", +E30+(E31-E30)/(D31-D30)*(D32-D30))</f>
        <v>n/a</v>
      </c>
      <c r="H32" s="435"/>
      <c r="I32" s="435"/>
      <c r="J32" s="435"/>
    </row>
    <row r="33" spans="2:10" ht="14.85" customHeight="1">
      <c r="B33" s="529" t="s">
        <v>141</v>
      </c>
      <c r="C33" s="530"/>
      <c r="D33" s="1253">
        <f>D32</f>
        <v>3</v>
      </c>
      <c r="E33" s="1254">
        <f>IF(ISERROR(VLOOKUP(D33,$D$9:$E$19,COLUMNS($D$7:$E$7),FALSE)), "n/a", VLOOKUP(D33,$D$9:$E$19,COLUMNS($D$7:$E$7),FALSE))</f>
        <v>2.4299999999999999E-2</v>
      </c>
      <c r="H33" s="435"/>
      <c r="I33" s="435"/>
      <c r="J33" s="435"/>
    </row>
    <row r="34" spans="2:10" ht="14.85" customHeight="1">
      <c r="B34" s="567"/>
      <c r="C34" s="530"/>
      <c r="D34" s="530"/>
      <c r="E34" s="1256"/>
      <c r="H34" s="435"/>
      <c r="I34" s="435"/>
      <c r="J34" s="435"/>
    </row>
    <row r="35" spans="2:10" ht="14.85" customHeight="1">
      <c r="B35" s="754" t="s">
        <v>142</v>
      </c>
      <c r="C35" s="755"/>
      <c r="D35" s="755"/>
      <c r="E35" s="1257">
        <f>IF(E32="n/a",E33,E32)</f>
        <v>2.4299999999999999E-2</v>
      </c>
      <c r="H35" s="434"/>
      <c r="I35" s="434"/>
      <c r="J35" s="434"/>
    </row>
    <row r="36" spans="2:10" ht="14.85" customHeight="1"/>
    <row r="37" spans="2:10" ht="14.85" hidden="1" customHeight="1" outlineLevel="1">
      <c r="B37" s="751" t="s">
        <v>3566</v>
      </c>
      <c r="C37" s="1251"/>
      <c r="D37" s="1251"/>
      <c r="E37" s="1252"/>
      <c r="H37" s="435"/>
      <c r="I37" s="435"/>
      <c r="J37" s="435"/>
    </row>
    <row r="38" spans="2:10" ht="14.85" hidden="1" customHeight="1" outlineLevel="1">
      <c r="B38" s="529" t="s">
        <v>128</v>
      </c>
      <c r="C38" s="530"/>
      <c r="D38" s="1253">
        <f>SUMIFS($D$9:$D$19,$D$9:$D$19,"&lt;"&amp;D40,J$9:J$19,"&gt;"&amp;D40)</f>
        <v>0</v>
      </c>
      <c r="E38" s="1254" t="str">
        <f>IF(ISERROR(VLOOKUP(D38,$D$9:$E$19,COLUMNS($D$7:$E$7),FALSE)), "n/a", VLOOKUP(D38,$D$9:$E$19,COLUMNS($D$7:$E$7),FALSE))</f>
        <v>n/a</v>
      </c>
      <c r="G38" s="1255"/>
      <c r="H38" s="435"/>
      <c r="I38" s="435"/>
      <c r="J38" s="435"/>
    </row>
    <row r="39" spans="2:10" ht="14.85" hidden="1" customHeight="1" outlineLevel="1">
      <c r="B39" s="529" t="s">
        <v>129</v>
      </c>
      <c r="C39" s="530"/>
      <c r="D39" s="1253">
        <f>SUMIFS($D$9:$D$19,$D$9:$D$19,"&gt;"&amp;D40,I$9:I$19,"&lt;"&amp;D40)</f>
        <v>0</v>
      </c>
      <c r="E39" s="1254" t="str">
        <f>IF(ISERROR(VLOOKUP(D39,$D$9:$E$19,COLUMNS($D$7:$E$7),FALSE)), "n/a", VLOOKUP(D39,$D$9:$E$19,COLUMNS($D$7:$E$7),FALSE))</f>
        <v>n/a</v>
      </c>
      <c r="G39" s="370"/>
      <c r="H39" s="435"/>
      <c r="I39" s="435"/>
      <c r="J39" s="435"/>
    </row>
    <row r="40" spans="2:10" ht="14.85" hidden="1" customHeight="1" outlineLevel="1">
      <c r="B40" s="529" t="s">
        <v>102</v>
      </c>
      <c r="C40" s="530"/>
      <c r="D40" s="1253">
        <f>N6</f>
        <v>0</v>
      </c>
      <c r="E40" s="1254" t="str">
        <f>IF(ISERROR(+E38+(E39-E38)/(D39-D38)*(D40-D38)), "n/a", +E38+(E39-E38)/(D39-D38)*(D40-D38))</f>
        <v>n/a</v>
      </c>
      <c r="H40" s="435"/>
      <c r="I40" s="435"/>
      <c r="J40" s="435"/>
    </row>
    <row r="41" spans="2:10" ht="14.85" hidden="1" customHeight="1" outlineLevel="1">
      <c r="B41" s="529" t="s">
        <v>141</v>
      </c>
      <c r="C41" s="530"/>
      <c r="D41" s="1253">
        <f>D40</f>
        <v>0</v>
      </c>
      <c r="E41" s="1254" t="str">
        <f>IF(ISERROR(VLOOKUP(D41,$D$9:$E$19,COLUMNS($D$7:$E$7),FALSE)), "n/a", VLOOKUP(D41,$D$9:$E$19,COLUMNS($D$7:$E$7),FALSE))</f>
        <v>n/a</v>
      </c>
      <c r="H41" s="435"/>
      <c r="I41" s="435"/>
      <c r="J41" s="435"/>
    </row>
    <row r="42" spans="2:10" ht="14.85" hidden="1" customHeight="1" outlineLevel="1">
      <c r="B42" s="567"/>
      <c r="C42" s="530"/>
      <c r="D42" s="530"/>
      <c r="E42" s="1256"/>
      <c r="H42" s="435"/>
      <c r="I42" s="435"/>
      <c r="J42" s="435"/>
    </row>
    <row r="43" spans="2:10" ht="14.85" hidden="1" customHeight="1" outlineLevel="1">
      <c r="B43" s="754" t="s">
        <v>142</v>
      </c>
      <c r="C43" s="755"/>
      <c r="D43" s="755"/>
      <c r="E43" s="1257" t="str">
        <f>IF(E40="n/a",E41,E40)</f>
        <v>n/a</v>
      </c>
      <c r="H43" s="434"/>
      <c r="I43" s="434"/>
      <c r="J43" s="434"/>
    </row>
    <row r="44" spans="2:10" ht="14.85" hidden="1" customHeight="1" outlineLevel="1">
      <c r="H44" s="435"/>
      <c r="I44" s="435"/>
      <c r="J44" s="435"/>
    </row>
    <row r="45" spans="2:10" ht="14.85" hidden="1" customHeight="1" outlineLevel="1">
      <c r="B45" s="751" t="s">
        <v>3572</v>
      </c>
      <c r="C45" s="1251"/>
      <c r="D45" s="1251"/>
      <c r="E45" s="1252"/>
      <c r="H45" s="435"/>
      <c r="I45" s="435"/>
      <c r="J45" s="435"/>
    </row>
    <row r="46" spans="2:10" ht="14.85" hidden="1" customHeight="1" outlineLevel="1">
      <c r="B46" s="529" t="s">
        <v>128</v>
      </c>
      <c r="C46" s="530"/>
      <c r="D46" s="1253">
        <f>SUMIFS($D$9:$D$19,$D$9:$D$19,"&lt;"&amp;D48,$J$9:$J$19,"&gt;"&amp;D48)</f>
        <v>0</v>
      </c>
      <c r="E46" s="1254" t="str">
        <f>IF(ISERROR(VLOOKUP(D46,$D$9:$E$19,COLUMNS($D$7:$E$7),FALSE)), "n/a", VLOOKUP(D46,$D$9:$E$19,COLUMNS($D$7:$E$7),FALSE))</f>
        <v>n/a</v>
      </c>
      <c r="H46" s="435"/>
      <c r="I46" s="435"/>
      <c r="J46" s="435"/>
    </row>
    <row r="47" spans="2:10" ht="14.85" hidden="1" customHeight="1" outlineLevel="1">
      <c r="B47" s="529" t="s">
        <v>129</v>
      </c>
      <c r="C47" s="530"/>
      <c r="D47" s="1253">
        <f>SUMIFS($D$9:$D$19,$D$9:$D$19,"&gt;"&amp;D48,$I$9:$I$19,"&lt;"&amp;D48)</f>
        <v>0</v>
      </c>
      <c r="E47" s="1254" t="str">
        <f>IF(ISERROR(VLOOKUP(D47,$D$9:$E$19,COLUMNS($D$7:$E$7),FALSE)), "n/a", VLOOKUP(D47,$D$9:$E$19,COLUMNS($D$7:$E$7),FALSE))</f>
        <v>n/a</v>
      </c>
      <c r="G47" s="261"/>
      <c r="H47" s="435"/>
      <c r="I47" s="435"/>
      <c r="J47" s="435"/>
    </row>
    <row r="48" spans="2:10" ht="14.85" hidden="1" customHeight="1" outlineLevel="1">
      <c r="B48" s="529" t="s">
        <v>102</v>
      </c>
      <c r="C48" s="530"/>
      <c r="D48" s="1253">
        <f>O6</f>
        <v>0</v>
      </c>
      <c r="E48" s="1254" t="str">
        <f>IF(ISERROR(+E46+(E47-E46)/(D47-D46)*(D48-D46)), "n/a", +E46+(E47-E46)/(D47-D46)*(D48-D46))</f>
        <v>n/a</v>
      </c>
      <c r="H48" s="435"/>
      <c r="I48" s="435"/>
      <c r="J48" s="435"/>
    </row>
    <row r="49" spans="2:10" ht="14.85" hidden="1" customHeight="1" outlineLevel="1">
      <c r="B49" s="529" t="s">
        <v>141</v>
      </c>
      <c r="C49" s="530"/>
      <c r="D49" s="1253">
        <f>D48</f>
        <v>0</v>
      </c>
      <c r="E49" s="1254" t="str">
        <f>IF(ISERROR(VLOOKUP(D49,$D$9:$E$19,COLUMNS($D$7:$E$7),FALSE)), "n/a", VLOOKUP(D49,$D$9:$E$19,COLUMNS($D$7:$E$7),FALSE))</f>
        <v>n/a</v>
      </c>
      <c r="H49" s="435"/>
      <c r="I49" s="435"/>
      <c r="J49" s="435"/>
    </row>
    <row r="50" spans="2:10" ht="14.85" hidden="1" customHeight="1" outlineLevel="1">
      <c r="B50" s="567"/>
      <c r="C50" s="530"/>
      <c r="D50" s="530"/>
      <c r="E50" s="1256"/>
      <c r="H50" s="435"/>
      <c r="I50" s="435"/>
      <c r="J50" s="435"/>
    </row>
    <row r="51" spans="2:10" ht="14.85" hidden="1" customHeight="1" outlineLevel="1">
      <c r="B51" s="754" t="s">
        <v>142</v>
      </c>
      <c r="C51" s="755"/>
      <c r="D51" s="755"/>
      <c r="E51" s="1257" t="str">
        <f>IF(E48="n/a",E49,E48)</f>
        <v>n/a</v>
      </c>
      <c r="H51" s="434"/>
      <c r="I51" s="434"/>
      <c r="J51" s="434"/>
    </row>
    <row r="52" spans="2:10" ht="14.85" hidden="1" customHeight="1" outlineLevel="1"/>
    <row r="53" spans="2:10" ht="14.85" hidden="1" customHeight="1" outlineLevel="1">
      <c r="B53" s="751" t="s">
        <v>3567</v>
      </c>
      <c r="C53" s="1251"/>
      <c r="D53" s="1251"/>
      <c r="E53" s="1252"/>
      <c r="H53" s="435"/>
      <c r="I53" s="435"/>
      <c r="J53" s="435"/>
    </row>
    <row r="54" spans="2:10" ht="14.85" hidden="1" customHeight="1" outlineLevel="1">
      <c r="B54" s="529" t="s">
        <v>128</v>
      </c>
      <c r="C54" s="530"/>
      <c r="D54" s="1253">
        <f>SUMIFS($D$9:$D$19,$D$9:$D$19,"&lt;"&amp;D56,J$9:J$19,"&gt;"&amp;D56)</f>
        <v>0</v>
      </c>
      <c r="E54" s="1254" t="str">
        <f>IF(ISERROR(VLOOKUP(D54,$D$9:$E$19,COLUMNS($D$7:$E$7),FALSE)), "n/a", VLOOKUP(D54,$D$9:$E$19,COLUMNS($D$7:$E$7),FALSE))</f>
        <v>n/a</v>
      </c>
      <c r="G54" s="1255"/>
      <c r="H54" s="435"/>
      <c r="I54" s="435"/>
      <c r="J54" s="435"/>
    </row>
    <row r="55" spans="2:10" ht="14.85" hidden="1" customHeight="1" outlineLevel="1">
      <c r="B55" s="529" t="s">
        <v>129</v>
      </c>
      <c r="C55" s="530"/>
      <c r="D55" s="1253">
        <f>SUMIFS($D$9:$D$19,$D$9:$D$19,"&gt;"&amp;D56,I$9:I$19,"&lt;"&amp;D56)</f>
        <v>0</v>
      </c>
      <c r="E55" s="1254" t="str">
        <f>IF(ISERROR(VLOOKUP(D55,$D$9:$E$19,COLUMNS($D$7:$E$7),FALSE)), "n/a", VLOOKUP(D55,$D$9:$E$19,COLUMNS($D$7:$E$7),FALSE))</f>
        <v>n/a</v>
      </c>
      <c r="G55" s="370"/>
      <c r="H55" s="435"/>
      <c r="I55" s="435"/>
      <c r="J55" s="435"/>
    </row>
    <row r="56" spans="2:10" ht="14.85" hidden="1" customHeight="1" outlineLevel="1">
      <c r="B56" s="529" t="s">
        <v>102</v>
      </c>
      <c r="C56" s="530"/>
      <c r="D56" s="1253">
        <f>P6</f>
        <v>0</v>
      </c>
      <c r="E56" s="1254" t="str">
        <f>IF(ISERROR(+E54+(E55-E54)/(D55-D54)*(D56-D54)), "n/a", +E54+(E55-E54)/(D55-D54)*(D56-D54))</f>
        <v>n/a</v>
      </c>
      <c r="H56" s="435"/>
      <c r="I56" s="435"/>
      <c r="J56" s="435"/>
    </row>
    <row r="57" spans="2:10" ht="14.85" hidden="1" customHeight="1" outlineLevel="1">
      <c r="B57" s="529" t="s">
        <v>141</v>
      </c>
      <c r="C57" s="530"/>
      <c r="D57" s="1253">
        <f>D56</f>
        <v>0</v>
      </c>
      <c r="E57" s="1254" t="str">
        <f>IF(ISERROR(VLOOKUP(D57,$D$9:$E$19,COLUMNS($D$7:$E$7),FALSE)), "n/a", VLOOKUP(D57,$D$9:$E$19,COLUMNS($D$7:$E$7),FALSE))</f>
        <v>n/a</v>
      </c>
      <c r="H57" s="435"/>
      <c r="I57" s="435"/>
      <c r="J57" s="435"/>
    </row>
    <row r="58" spans="2:10" ht="14.85" hidden="1" customHeight="1" outlineLevel="1">
      <c r="B58" s="567"/>
      <c r="C58" s="530"/>
      <c r="D58" s="530"/>
      <c r="E58" s="1256"/>
      <c r="H58" s="435"/>
      <c r="I58" s="435"/>
      <c r="J58" s="435"/>
    </row>
    <row r="59" spans="2:10" ht="14.85" hidden="1" customHeight="1" outlineLevel="1">
      <c r="B59" s="754" t="s">
        <v>142</v>
      </c>
      <c r="C59" s="755"/>
      <c r="D59" s="755"/>
      <c r="E59" s="1257" t="str">
        <f>IF(E56="n/a",E57,E56)</f>
        <v>n/a</v>
      </c>
      <c r="H59" s="434"/>
      <c r="I59" s="434"/>
      <c r="J59" s="434"/>
    </row>
    <row r="60" spans="2:10" ht="14.85" hidden="1" customHeight="1" outlineLevel="1">
      <c r="H60" s="435"/>
      <c r="I60" s="435"/>
      <c r="J60" s="435"/>
    </row>
    <row r="61" spans="2:10" ht="14.85" hidden="1" customHeight="1" outlineLevel="1">
      <c r="B61" s="751" t="s">
        <v>3568</v>
      </c>
      <c r="C61" s="1251"/>
      <c r="D61" s="1251"/>
      <c r="E61" s="1252"/>
      <c r="H61" s="435"/>
      <c r="I61" s="435"/>
      <c r="J61" s="435"/>
    </row>
    <row r="62" spans="2:10" ht="14.85" hidden="1" customHeight="1" outlineLevel="1">
      <c r="B62" s="529" t="s">
        <v>128</v>
      </c>
      <c r="C62" s="530"/>
      <c r="D62" s="1253">
        <f>SUMIFS($D$9:$D$19,$D$9:$D$19,"&lt;"&amp;D64,$J$9:$J$19,"&gt;"&amp;D64)</f>
        <v>0</v>
      </c>
      <c r="E62" s="1254" t="str">
        <f>IF(ISERROR(VLOOKUP(D62,$D$9:$E$19,COLUMNS($D$7:$E$7),FALSE)), "n/a", VLOOKUP(D62,$D$9:$E$19,COLUMNS($D$7:$E$7),FALSE))</f>
        <v>n/a</v>
      </c>
      <c r="H62" s="435"/>
      <c r="I62" s="435"/>
      <c r="J62" s="435"/>
    </row>
    <row r="63" spans="2:10" ht="14.85" hidden="1" customHeight="1" outlineLevel="1">
      <c r="B63" s="529" t="s">
        <v>129</v>
      </c>
      <c r="C63" s="530"/>
      <c r="D63" s="1253">
        <f>SUMIFS($D$9:$D$19,$D$9:$D$19,"&gt;"&amp;D64,$I$9:$I$19,"&lt;"&amp;D64)</f>
        <v>0</v>
      </c>
      <c r="E63" s="1254" t="str">
        <f>IF(ISERROR(VLOOKUP(D63,$D$9:$E$19,COLUMNS($D$7:$E$7),FALSE)), "n/a", VLOOKUP(D63,$D$9:$E$19,COLUMNS($D$7:$E$7),FALSE))</f>
        <v>n/a</v>
      </c>
      <c r="G63" s="261"/>
      <c r="H63" s="435"/>
      <c r="I63" s="435"/>
      <c r="J63" s="435"/>
    </row>
    <row r="64" spans="2:10" ht="14.85" hidden="1" customHeight="1" outlineLevel="1">
      <c r="B64" s="529" t="s">
        <v>102</v>
      </c>
      <c r="C64" s="530"/>
      <c r="D64" s="1253">
        <f>Q6</f>
        <v>0</v>
      </c>
      <c r="E64" s="1254" t="str">
        <f>IF(ISERROR(+E62+(E63-E62)/(D63-D62)*(D64-D62)), "n/a", +E62+(E63-E62)/(D63-D62)*(D64-D62))</f>
        <v>n/a</v>
      </c>
      <c r="H64" s="435"/>
      <c r="I64" s="435"/>
      <c r="J64" s="435"/>
    </row>
    <row r="65" spans="2:10" ht="14.85" hidden="1" customHeight="1" outlineLevel="1">
      <c r="B65" s="529" t="s">
        <v>141</v>
      </c>
      <c r="C65" s="530"/>
      <c r="D65" s="1253">
        <f>D64</f>
        <v>0</v>
      </c>
      <c r="E65" s="1254" t="str">
        <f>IF(ISERROR(VLOOKUP(D65,$D$9:$E$19,COLUMNS($D$7:$E$7),FALSE)), "n/a", VLOOKUP(D65,$D$9:$E$19,COLUMNS($D$7:$E$7),FALSE))</f>
        <v>n/a</v>
      </c>
      <c r="H65" s="435"/>
      <c r="I65" s="435"/>
      <c r="J65" s="435"/>
    </row>
    <row r="66" spans="2:10" ht="14.85" hidden="1" customHeight="1" outlineLevel="1">
      <c r="B66" s="567"/>
      <c r="C66" s="530"/>
      <c r="D66" s="530"/>
      <c r="E66" s="1256"/>
      <c r="H66" s="435"/>
      <c r="I66" s="435"/>
      <c r="J66" s="435"/>
    </row>
    <row r="67" spans="2:10" ht="14.85" hidden="1" customHeight="1" outlineLevel="1">
      <c r="B67" s="754" t="s">
        <v>142</v>
      </c>
      <c r="C67" s="755"/>
      <c r="D67" s="755"/>
      <c r="E67" s="1257" t="str">
        <f>IF(E64="n/a",E65,E64)</f>
        <v>n/a</v>
      </c>
      <c r="H67" s="434"/>
      <c r="I67" s="434"/>
      <c r="J67" s="434"/>
    </row>
    <row r="68" spans="2:10" ht="14.85" hidden="1" customHeight="1" outlineLevel="1"/>
    <row r="69" spans="2:10" ht="14.85" hidden="1" customHeight="1" outlineLevel="1">
      <c r="B69" s="751" t="s">
        <v>1725</v>
      </c>
      <c r="C69" s="1251"/>
      <c r="D69" s="1251"/>
      <c r="E69" s="1252"/>
      <c r="H69" s="435"/>
      <c r="I69" s="435"/>
      <c r="J69" s="435"/>
    </row>
    <row r="70" spans="2:10" ht="14.85" hidden="1" customHeight="1" outlineLevel="1">
      <c r="B70" s="529" t="s">
        <v>128</v>
      </c>
      <c r="C70" s="530"/>
      <c r="D70" s="1253">
        <f>SUMIFS($D$9:$D$19,$D$9:$D$19,"&lt;"&amp;D72,J$9:J$19,"&gt;"&amp;D72)</f>
        <v>0</v>
      </c>
      <c r="E70" s="1254" t="str">
        <f>IF(ISERROR(VLOOKUP(D70,$D$9:$E$19,COLUMNS($D$7:$E$7),FALSE)), "n/a", VLOOKUP(D70,$D$9:$E$19,COLUMNS($D$7:$E$7),FALSE))</f>
        <v>n/a</v>
      </c>
      <c r="G70" s="1255"/>
      <c r="H70" s="435"/>
      <c r="I70" s="435"/>
      <c r="J70" s="435"/>
    </row>
    <row r="71" spans="2:10" ht="14.85" hidden="1" customHeight="1" outlineLevel="1">
      <c r="B71" s="529" t="s">
        <v>129</v>
      </c>
      <c r="C71" s="530"/>
      <c r="D71" s="1253">
        <f>SUMIFS($D$9:$D$19,$D$9:$D$19,"&gt;"&amp;D72,I$9:I$19,"&lt;"&amp;D72)</f>
        <v>0</v>
      </c>
      <c r="E71" s="1254" t="str">
        <f>IF(ISERROR(VLOOKUP(D71,$D$9:$E$19,COLUMNS($D$7:$E$7),FALSE)), "n/a", VLOOKUP(D71,$D$9:$E$19,COLUMNS($D$7:$E$7),FALSE))</f>
        <v>n/a</v>
      </c>
      <c r="H71" s="435"/>
      <c r="I71" s="435"/>
      <c r="J71" s="435"/>
    </row>
    <row r="72" spans="2:10" ht="14.85" hidden="1" customHeight="1" outlineLevel="1">
      <c r="B72" s="529" t="s">
        <v>102</v>
      </c>
      <c r="C72" s="530"/>
      <c r="D72" s="1253">
        <f>L4</f>
        <v>2</v>
      </c>
      <c r="E72" s="1254" t="str">
        <f>IF(ISERROR(+E70+(E71-E70)/(D71-D70)*(D72-D70)), "n/a", +E70+(E71-E70)/(D71-D70)*(D72-D70))</f>
        <v>n/a</v>
      </c>
      <c r="H72" s="435"/>
      <c r="I72" s="435"/>
      <c r="J72" s="435"/>
    </row>
    <row r="73" spans="2:10" ht="14.85" hidden="1" customHeight="1" outlineLevel="1">
      <c r="B73" s="529" t="s">
        <v>141</v>
      </c>
      <c r="C73" s="530"/>
      <c r="D73" s="1253">
        <f>D72</f>
        <v>2</v>
      </c>
      <c r="E73" s="1254">
        <f>IF(ISERROR(VLOOKUP(D73,$D$9:$E$19,COLUMNS($D$7:$E$7),FALSE)), "n/a", VLOOKUP(D73,$D$9:$E$19,COLUMNS($D$7:$E$7),FALSE))</f>
        <v>2.4500000000000001E-2</v>
      </c>
      <c r="H73" s="435"/>
      <c r="I73" s="435"/>
      <c r="J73" s="435"/>
    </row>
    <row r="74" spans="2:10" ht="14.85" hidden="1" customHeight="1" outlineLevel="1">
      <c r="B74" s="567"/>
      <c r="C74" s="530"/>
      <c r="D74" s="530"/>
      <c r="E74" s="1256"/>
      <c r="H74" s="435"/>
      <c r="I74" s="435"/>
      <c r="J74" s="435"/>
    </row>
    <row r="75" spans="2:10" ht="14.85" hidden="1" customHeight="1" outlineLevel="1">
      <c r="B75" s="754" t="s">
        <v>142</v>
      </c>
      <c r="C75" s="755"/>
      <c r="D75" s="755"/>
      <c r="E75" s="1257">
        <f>IF(E72="n/a",E73,E72)</f>
        <v>2.4500000000000001E-2</v>
      </c>
      <c r="H75" s="434"/>
      <c r="I75" s="434"/>
      <c r="J75" s="434"/>
    </row>
    <row r="76" spans="2:10" ht="14.85" hidden="1" customHeight="1" outlineLevel="1">
      <c r="H76" s="435"/>
      <c r="I76" s="435"/>
      <c r="J76" s="435"/>
    </row>
    <row r="77" spans="2:10" ht="14.85" hidden="1" customHeight="1" outlineLevel="1">
      <c r="B77" s="751" t="s">
        <v>1727</v>
      </c>
      <c r="C77" s="1251"/>
      <c r="D77" s="1251"/>
      <c r="E77" s="1252"/>
      <c r="H77" s="435"/>
      <c r="I77" s="435"/>
      <c r="J77" s="435"/>
    </row>
    <row r="78" spans="2:10" ht="14.85" hidden="1" customHeight="1" outlineLevel="1">
      <c r="B78" s="529" t="s">
        <v>128</v>
      </c>
      <c r="C78" s="530"/>
      <c r="D78" s="1253">
        <f>SUMIFS($D$9:$D$19,$D$9:$D$19,"&lt;"&amp;D80,J$9:J$19,"&gt;"&amp;D80)</f>
        <v>0</v>
      </c>
      <c r="E78" s="1254" t="str">
        <f>IF(ISERROR(VLOOKUP(D78,$D$9:$E$19,COLUMNS($D$7:$E$7),FALSE)), "n/a", VLOOKUP(D78,$D$9:$E$19,COLUMNS($D$7:$E$7),FALSE))</f>
        <v>n/a</v>
      </c>
      <c r="G78" s="1255"/>
      <c r="H78" s="435"/>
      <c r="I78" s="435"/>
      <c r="J78" s="435"/>
    </row>
    <row r="79" spans="2:10" ht="14.85" hidden="1" customHeight="1" outlineLevel="1">
      <c r="B79" s="529" t="s">
        <v>129</v>
      </c>
      <c r="C79" s="530"/>
      <c r="D79" s="1253">
        <f>SUMIFS($D$9:$D$19,$D$9:$D$19,"&gt;"&amp;D80,I$9:I$19,"&lt;"&amp;D80)</f>
        <v>0</v>
      </c>
      <c r="E79" s="1254" t="str">
        <f>IF(ISERROR(VLOOKUP(D79,$D$9:$E$19,COLUMNS($D$7:$E$7),FALSE)), "n/a", VLOOKUP(D79,$D$9:$E$19,COLUMNS($D$7:$E$7),FALSE))</f>
        <v>n/a</v>
      </c>
      <c r="H79" s="435"/>
      <c r="I79" s="435"/>
      <c r="J79" s="435"/>
    </row>
    <row r="80" spans="2:10" ht="14.85" hidden="1" customHeight="1" outlineLevel="1">
      <c r="B80" s="529" t="s">
        <v>102</v>
      </c>
      <c r="C80" s="530"/>
      <c r="D80" s="1253">
        <f>L6</f>
        <v>3</v>
      </c>
      <c r="E80" s="1254" t="str">
        <f>IF(ISERROR(+E78+(E79-E78)/(D79-D78)*(D80-D78)), "n/a", +E78+(E79-E78)/(D79-D78)*(D80-D78))</f>
        <v>n/a</v>
      </c>
      <c r="H80" s="435"/>
      <c r="I80" s="435"/>
      <c r="J80" s="435"/>
    </row>
    <row r="81" spans="2:10" ht="14.85" hidden="1" customHeight="1" outlineLevel="1">
      <c r="B81" s="529" t="s">
        <v>141</v>
      </c>
      <c r="C81" s="530"/>
      <c r="D81" s="1253">
        <f>D80</f>
        <v>3</v>
      </c>
      <c r="E81" s="1254">
        <f>IF(ISERROR(VLOOKUP(D81,$D$9:$E$19,COLUMNS($D$7:$E$7),FALSE)), "n/a", VLOOKUP(D81,$D$9:$E$19,COLUMNS($D$7:$E$7),FALSE))</f>
        <v>2.4299999999999999E-2</v>
      </c>
      <c r="H81" s="435"/>
      <c r="I81" s="435"/>
      <c r="J81" s="435"/>
    </row>
    <row r="82" spans="2:10" ht="14.85" hidden="1" customHeight="1" outlineLevel="1">
      <c r="B82" s="567"/>
      <c r="C82" s="530"/>
      <c r="D82" s="530"/>
      <c r="E82" s="1256"/>
      <c r="H82" s="435"/>
      <c r="I82" s="435"/>
      <c r="J82" s="435"/>
    </row>
    <row r="83" spans="2:10" ht="14.85" hidden="1" customHeight="1" outlineLevel="1">
      <c r="B83" s="754" t="s">
        <v>142</v>
      </c>
      <c r="C83" s="755"/>
      <c r="D83" s="755"/>
      <c r="E83" s="1257">
        <f>IF(E80="n/a",E81,E80)</f>
        <v>2.4299999999999999E-2</v>
      </c>
      <c r="H83" s="434"/>
      <c r="I83" s="434"/>
      <c r="J83" s="434"/>
    </row>
    <row r="84" spans="2:10" ht="14.85" customHeight="1" collapsed="1">
      <c r="H84" s="435"/>
      <c r="I84" s="435"/>
      <c r="J84" s="435"/>
    </row>
    <row r="85" spans="2:10" ht="14.85" customHeight="1">
      <c r="B85" s="279" t="s">
        <v>116</v>
      </c>
    </row>
    <row r="86" spans="2:10" ht="14.85" customHeight="1"/>
    <row r="87" spans="2:10" ht="14.85" customHeight="1"/>
    <row r="88" spans="2:10" ht="14.85" customHeight="1"/>
    <row r="89" spans="2:10" ht="14.85" customHeight="1"/>
    <row r="90" spans="2:10" ht="14.85" customHeight="1"/>
    <row r="91" spans="2:10" ht="14.85" customHeight="1"/>
    <row r="92" spans="2:10" ht="14.85" customHeight="1"/>
    <row r="93" spans="2:10" ht="14.85" customHeight="1"/>
    <row r="94" spans="2:10" ht="14.85" customHeight="1"/>
    <row r="95" spans="2:10" ht="14.85" customHeight="1"/>
    <row r="96" spans="2:10"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E4">
    <cfRule type="cellIs" dxfId="184" priority="1" stopIfTrue="1" operator="equal">
      <formula>"input"</formula>
    </cfRule>
  </conditionalFormatting>
  <pageMargins left="0.5" right="0.5" top="0.5" bottom="0.5" header="0.5" footer="0.5"/>
  <pageSetup scale="85" orientation="landscape" r:id="rId1"/>
  <rowBreaks count="1" manualBreakCount="1">
    <brk id="51" max="5" man="1"/>
  </rowBreaks>
  <legacyDrawing r:id="rId2"/>
  <legacyDrawingHF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49"/>
  <dimension ref="B1:AG765"/>
  <sheetViews>
    <sheetView showGridLines="0" view="pageBreakPreview" zoomScaleNormal="100" zoomScaleSheetLayoutView="100" workbookViewId="0"/>
  </sheetViews>
  <sheetFormatPr defaultRowHeight="14.25" outlineLevelRow="1" outlineLevelCol="1"/>
  <cols>
    <col min="1" max="1" width="2.83203125" style="234" customWidth="1"/>
    <col min="2" max="2" width="40.83203125" style="234" customWidth="1"/>
    <col min="3" max="3" width="2.83203125" style="234" customWidth="1"/>
    <col min="4" max="4" width="12.6640625" style="234" customWidth="1"/>
    <col min="5" max="5" width="12.33203125" style="234" customWidth="1"/>
    <col min="6" max="11" width="11.83203125" style="234" hidden="1" customWidth="1" outlineLevel="1"/>
    <col min="12" max="12" width="11.83203125" style="234" customWidth="1" collapsed="1"/>
    <col min="13" max="13" width="2.83203125" style="234" customWidth="1"/>
    <col min="14" max="14" width="13.6640625" style="234" customWidth="1"/>
    <col min="15" max="15" width="12.33203125" style="234" customWidth="1"/>
    <col min="16" max="17" width="12.83203125" style="234" hidden="1" customWidth="1" outlineLevel="1"/>
    <col min="18" max="18" width="21.5" style="234" hidden="1" customWidth="1" outlineLevel="1"/>
    <col min="19" max="21" width="12.83203125" style="234" hidden="1" customWidth="1" outlineLevel="1"/>
    <col min="22" max="22" width="12.5" style="234" customWidth="1" collapsed="1"/>
    <col min="23" max="23" width="2.83203125" style="234" customWidth="1"/>
    <col min="24" max="26" width="12.83203125" style="234" customWidth="1"/>
    <col min="27" max="28" width="2.83203125" style="234" customWidth="1"/>
    <col min="29" max="29" width="18.83203125" style="234" bestFit="1" customWidth="1"/>
    <col min="30" max="30" width="19.83203125" style="234" customWidth="1"/>
    <col min="31" max="31" width="17.83203125" style="234" bestFit="1" customWidth="1"/>
    <col min="32" max="32" width="20.5" style="234" customWidth="1"/>
    <col min="33" max="33" width="17" style="234" customWidth="1"/>
    <col min="34" max="16384" width="9.33203125" style="234"/>
  </cols>
  <sheetData>
    <row r="1" spans="2:33" ht="10.7" customHeight="1" thickBot="1"/>
    <row r="2" spans="2:33"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Z2" s="223"/>
      <c r="AC2" s="841" t="s">
        <v>681</v>
      </c>
      <c r="AD2" s="842">
        <f>'Capital IQ Sheet-GPC'!B8</f>
        <v>43404</v>
      </c>
      <c r="AF2" s="841" t="s">
        <v>442</v>
      </c>
      <c r="AG2" s="842">
        <f>'Capital IQ Sheet-GPC'!L2</f>
        <v>43496</v>
      </c>
    </row>
    <row r="3" spans="2:33" ht="15.75" customHeight="1">
      <c r="B3" s="232" t="str">
        <f>VLOOKUP(B4,Outline!$E$8:$G$65,COLUMNS(Outline!$E$8:$G$8),FALSE)</f>
        <v>Workpaper #8</v>
      </c>
      <c r="C3" s="232"/>
      <c r="D3" s="232"/>
      <c r="E3" s="232"/>
      <c r="F3" s="232"/>
      <c r="G3" s="232"/>
      <c r="H3" s="232"/>
      <c r="I3" s="232"/>
      <c r="J3" s="232"/>
      <c r="K3" s="232"/>
      <c r="L3" s="232"/>
      <c r="M3" s="232"/>
      <c r="N3" s="232"/>
      <c r="O3" s="232"/>
      <c r="P3" s="232"/>
      <c r="Q3" s="232"/>
      <c r="R3" s="232"/>
      <c r="S3" s="232"/>
      <c r="T3" s="232"/>
      <c r="U3" s="232"/>
      <c r="V3" s="232"/>
      <c r="W3" s="232"/>
      <c r="X3" s="232"/>
      <c r="Y3" s="232"/>
      <c r="Z3" s="232"/>
      <c r="AC3" s="347" t="s">
        <v>455</v>
      </c>
      <c r="AD3" s="781" t="str">
        <f>'Capital IQ Sheet-GPC'!L3</f>
        <v>F</v>
      </c>
      <c r="AF3" s="347" t="s">
        <v>455</v>
      </c>
      <c r="AG3" s="781" t="str">
        <f>AD3</f>
        <v>F</v>
      </c>
    </row>
    <row r="4" spans="2:33" ht="16.5" customHeight="1" thickBot="1">
      <c r="B4" s="225" t="s">
        <v>2923</v>
      </c>
      <c r="C4" s="225"/>
      <c r="D4" s="225"/>
      <c r="E4" s="233"/>
      <c r="F4" s="233"/>
      <c r="G4" s="233"/>
      <c r="H4" s="233"/>
      <c r="I4" s="233"/>
      <c r="J4" s="233"/>
      <c r="K4" s="233"/>
      <c r="L4" s="233"/>
      <c r="M4" s="233"/>
      <c r="N4" s="233"/>
      <c r="O4" s="233"/>
      <c r="P4" s="233"/>
      <c r="Q4" s="233"/>
      <c r="R4" s="233"/>
      <c r="S4" s="233"/>
      <c r="T4" s="233"/>
      <c r="U4" s="233"/>
      <c r="V4" s="233"/>
      <c r="W4" s="233"/>
      <c r="X4" s="233"/>
      <c r="Y4" s="233"/>
      <c r="Z4" s="233" t="str">
        <f>+'MASTER PubCo Inputs'!$C$25</f>
        <v>(in millions of USD, except stock price)</v>
      </c>
      <c r="AC4" s="347" t="s">
        <v>456</v>
      </c>
      <c r="AD4" s="781" t="str">
        <f>'Capital IQ Sheet-GPC'!L4</f>
        <v>LFR</v>
      </c>
      <c r="AF4" s="347" t="s">
        <v>456</v>
      </c>
      <c r="AG4" s="781" t="str">
        <f>AD4</f>
        <v>LFR</v>
      </c>
    </row>
    <row r="5" spans="2:33" ht="14.85" customHeight="1" thickTop="1">
      <c r="B5" s="782"/>
      <c r="C5" s="782"/>
      <c r="D5" s="782"/>
      <c r="N5" s="782"/>
      <c r="AC5" s="384" t="s">
        <v>89</v>
      </c>
      <c r="AD5" s="843" t="str">
        <f>'Capital IQ Sheet-GPC'!L6</f>
        <v>H</v>
      </c>
      <c r="AF5" s="384" t="s">
        <v>89</v>
      </c>
      <c r="AG5" s="843" t="str">
        <f>AD5</f>
        <v>H</v>
      </c>
    </row>
    <row r="6" spans="2:33" ht="14.85" customHeight="1">
      <c r="D6" s="528" t="s">
        <v>712</v>
      </c>
      <c r="E6" s="528"/>
      <c r="F6" s="528"/>
      <c r="G6" s="528"/>
      <c r="H6" s="528"/>
      <c r="I6" s="528"/>
      <c r="J6" s="528"/>
      <c r="K6" s="528"/>
      <c r="L6" s="528"/>
      <c r="N6" s="528" t="s">
        <v>713</v>
      </c>
      <c r="O6" s="810"/>
      <c r="P6" s="810"/>
      <c r="Q6" s="810"/>
      <c r="R6" s="810"/>
      <c r="S6" s="810"/>
      <c r="T6" s="810"/>
      <c r="U6" s="810"/>
      <c r="V6" s="810"/>
    </row>
    <row r="7" spans="2:33" ht="14.85" customHeight="1">
      <c r="D7" s="844" t="str">
        <f>"As of "&amp;TEXT($AD$2,"MM/DD/YY")</f>
        <v>As of 10/31/18</v>
      </c>
      <c r="E7" s="845"/>
      <c r="F7" s="845"/>
      <c r="G7" s="845"/>
      <c r="H7" s="845"/>
      <c r="I7" s="845"/>
      <c r="J7" s="845"/>
      <c r="K7" s="845"/>
      <c r="L7" s="846"/>
      <c r="N7" s="844" t="str">
        <f>"As of "&amp;TEXT($AG$2,"MM/DD/YY")</f>
        <v>As of 01/31/19</v>
      </c>
      <c r="O7" s="845"/>
      <c r="P7" s="845"/>
      <c r="Q7" s="845"/>
      <c r="R7" s="845"/>
      <c r="S7" s="845"/>
      <c r="T7" s="845"/>
      <c r="U7" s="845"/>
      <c r="V7" s="846"/>
      <c r="W7" s="316"/>
      <c r="X7" s="847" t="s">
        <v>2922</v>
      </c>
      <c r="Y7" s="845"/>
      <c r="Z7" s="846"/>
      <c r="AC7" s="254" t="s">
        <v>934</v>
      </c>
      <c r="AD7" s="848">
        <v>1</v>
      </c>
      <c r="AE7" s="254" t="s">
        <v>935</v>
      </c>
      <c r="AF7" s="848">
        <v>-1</v>
      </c>
    </row>
    <row r="8" spans="2:33" s="270" customFormat="1" ht="35.25" customHeight="1">
      <c r="B8" s="849" t="s">
        <v>711</v>
      </c>
      <c r="C8" s="305"/>
      <c r="D8" s="867" t="s">
        <v>679</v>
      </c>
      <c r="E8" s="850" t="s">
        <v>94</v>
      </c>
      <c r="F8" s="850" t="s">
        <v>95</v>
      </c>
      <c r="G8" s="850" t="s">
        <v>96</v>
      </c>
      <c r="H8" s="850" t="s">
        <v>97</v>
      </c>
      <c r="I8" s="850" t="s">
        <v>98</v>
      </c>
      <c r="J8" s="850" t="s">
        <v>99</v>
      </c>
      <c r="K8" s="850" t="s">
        <v>100</v>
      </c>
      <c r="L8" s="851" t="s">
        <v>101</v>
      </c>
      <c r="M8" s="271"/>
      <c r="N8" s="799" t="s">
        <v>679</v>
      </c>
      <c r="O8" s="850" t="s">
        <v>94</v>
      </c>
      <c r="P8" s="850" t="s">
        <v>95</v>
      </c>
      <c r="Q8" s="850" t="s">
        <v>96</v>
      </c>
      <c r="R8" s="850" t="s">
        <v>97</v>
      </c>
      <c r="S8" s="850" t="s">
        <v>98</v>
      </c>
      <c r="T8" s="850" t="s">
        <v>99</v>
      </c>
      <c r="U8" s="850" t="s">
        <v>100</v>
      </c>
      <c r="V8" s="851" t="s">
        <v>101</v>
      </c>
      <c r="W8" s="852"/>
      <c r="X8" s="867" t="s">
        <v>680</v>
      </c>
      <c r="Y8" s="850" t="s">
        <v>94</v>
      </c>
      <c r="Z8" s="851" t="s">
        <v>101</v>
      </c>
      <c r="AA8" s="271"/>
      <c r="AB8" s="271"/>
      <c r="AC8" s="450" t="s">
        <v>108</v>
      </c>
    </row>
    <row r="9" spans="2:33" ht="14.85" customHeight="1">
      <c r="B9" s="853"/>
      <c r="C9" s="853"/>
      <c r="D9" s="853"/>
      <c r="N9" s="853"/>
      <c r="AC9" s="811"/>
    </row>
    <row r="10" spans="2:33" s="435" customFormat="1" ht="14.85" customHeight="1">
      <c r="B10" s="1916" t="s">
        <v>4220</v>
      </c>
      <c r="C10" s="434"/>
      <c r="D10" s="434"/>
      <c r="E10" s="234"/>
      <c r="F10" s="234"/>
      <c r="G10" s="234"/>
      <c r="H10" s="234"/>
      <c r="I10" s="234"/>
      <c r="J10" s="234"/>
      <c r="K10" s="234"/>
      <c r="L10" s="234"/>
      <c r="N10" s="434"/>
      <c r="O10" s="234"/>
      <c r="P10" s="234"/>
      <c r="Q10" s="234"/>
      <c r="R10" s="234"/>
      <c r="S10" s="234"/>
      <c r="T10" s="234"/>
      <c r="U10" s="234"/>
      <c r="V10" s="234"/>
      <c r="Y10" s="835"/>
    </row>
    <row r="11" spans="2:33" ht="14.85" customHeight="1">
      <c r="B11" s="435" t="str">
        <f>'Capital IQ Sheet-GPC'!C13</f>
        <v>Alnylam Pharmaceuticals, Inc.</v>
      </c>
      <c r="C11" s="816"/>
      <c r="D11" s="839">
        <f>'Capital IQ Sheet-GPC'!BE13</f>
        <v>80.430000000000007</v>
      </c>
      <c r="E11" s="839">
        <f>'Capital IQ Sheet-GPC'!BF13</f>
        <v>8096.57539</v>
      </c>
      <c r="F11" s="839">
        <f>'Capital IQ Sheet-GPC'!BG13</f>
        <v>30</v>
      </c>
      <c r="G11" s="839" t="str">
        <f>'Capital IQ Sheet-GPC'!BH13</f>
        <v>n/a</v>
      </c>
      <c r="H11" s="839" t="str">
        <f>'Capital IQ Sheet-GPC'!BI13</f>
        <v>n/a</v>
      </c>
      <c r="I11" s="839">
        <f>SUM(F11:H11)</f>
        <v>30</v>
      </c>
      <c r="J11" s="839">
        <f>SUM(E11:H11)</f>
        <v>8126.57539</v>
      </c>
      <c r="K11" s="839">
        <f>'Capital IQ Sheet-GPC'!BJ13</f>
        <v>1447.6659999999999</v>
      </c>
      <c r="L11" s="839">
        <f>IF(ISERROR(J11-K11), "n/a", J11-K11)</f>
        <v>6678.9093899999998</v>
      </c>
      <c r="M11" s="591"/>
      <c r="N11" s="839">
        <f>'Capital IQ Sheet-GPC'!I13</f>
        <v>83.53</v>
      </c>
      <c r="O11" s="839">
        <f>'Capital IQ Sheet-GPC'!J13</f>
        <v>8868.9653999999991</v>
      </c>
      <c r="P11" s="839">
        <f>'Capital IQ Sheet-GPC'!K13</f>
        <v>30</v>
      </c>
      <c r="Q11" s="839" t="str">
        <f>'Capital IQ Sheet-GPC'!L13</f>
        <v>n/a</v>
      </c>
      <c r="R11" s="839" t="str">
        <f>'Capital IQ Sheet-GPC'!M13</f>
        <v>n/a</v>
      </c>
      <c r="S11" s="839">
        <f>SUM(P11:R11)</f>
        <v>30</v>
      </c>
      <c r="T11" s="839">
        <f>SUM(O11:R11)</f>
        <v>8898.9653999999991</v>
      </c>
      <c r="U11" s="839">
        <f>'Capital IQ Sheet-GPC'!N13</f>
        <v>1236.8340000000001</v>
      </c>
      <c r="V11" s="839">
        <f>IF(ISERROR(T11-U11), "n/a", T11-U11)</f>
        <v>7662.1313999999993</v>
      </c>
      <c r="X11" s="835">
        <f>IFERROR(IF(OR(N11/D11-1&gt;$AD$7,N11/D11-1&lt;$AF$7),"NM",N11/D11-1),"n/a")</f>
        <v>3.8542832276513561E-2</v>
      </c>
      <c r="Y11" s="835">
        <f>IFERROR(IF(OR(O11/E11-1&gt;$AD$7,O11/E11-1&lt;$AF$7),"NM",O11/E11-1),"n/a")</f>
        <v>9.5397124437817338E-2</v>
      </c>
      <c r="Z11" s="835">
        <f>IFERROR(IF(OR(V11/L11-1&gt;$AD$7,V11/L11-1&lt;$AF$7),"NM",V11/L11-1),"n/a")</f>
        <v>0.14721295837193549</v>
      </c>
      <c r="AC11" s="815" t="str">
        <f>IF('MASTER PubCo Inputs'!C28="","",'MASTER PubCo Inputs'!C28)</f>
        <v>IQ2796659</v>
      </c>
      <c r="AD11" s="234" t="str">
        <f>'Capital IQ Sheet-GPC'!AP13</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2" spans="2:33" ht="14.85" customHeight="1">
      <c r="B12" s="435" t="str">
        <f>'Capital IQ Sheet-GPC'!C14</f>
        <v>bluebird bio, Inc.</v>
      </c>
      <c r="C12" s="816"/>
      <c r="D12" s="839">
        <f>'Capital IQ Sheet-GPC'!BE14</f>
        <v>114.7</v>
      </c>
      <c r="E12" s="839">
        <f>'Capital IQ Sheet-GPC'!BF14</f>
        <v>6211.9129700000003</v>
      </c>
      <c r="F12" s="839">
        <f>'Capital IQ Sheet-GPC'!BG14</f>
        <v>155.31700000000001</v>
      </c>
      <c r="G12" s="839" t="str">
        <f>'Capital IQ Sheet-GPC'!BH14</f>
        <v>n/a</v>
      </c>
      <c r="H12" s="839" t="str">
        <f>'Capital IQ Sheet-GPC'!BI14</f>
        <v>n/a</v>
      </c>
      <c r="I12" s="839">
        <f t="shared" ref="I12:I26" si="0">SUM(F12:H12)</f>
        <v>155.31700000000001</v>
      </c>
      <c r="J12" s="839">
        <f t="shared" ref="J12:J26" si="1">SUM(E12:H12)</f>
        <v>6367.2299700000003</v>
      </c>
      <c r="K12" s="839">
        <f>'Capital IQ Sheet-GPC'!BJ14</f>
        <v>1076.9590000000001</v>
      </c>
      <c r="L12" s="839">
        <f t="shared" ref="L12:L26" si="2">IF(ISERROR(J12-K12), "n/a", J12-K12)</f>
        <v>5290.2709700000005</v>
      </c>
      <c r="M12" s="591"/>
      <c r="N12" s="839">
        <f>'Capital IQ Sheet-GPC'!I14</f>
        <v>133.43</v>
      </c>
      <c r="O12" s="839">
        <f>'Capital IQ Sheet-GPC'!J14</f>
        <v>7297.8752599999998</v>
      </c>
      <c r="P12" s="839">
        <f>'Capital IQ Sheet-GPC'!K14</f>
        <v>155.03399999999999</v>
      </c>
      <c r="Q12" s="839" t="str">
        <f>'Capital IQ Sheet-GPC'!L14</f>
        <v>n/a</v>
      </c>
      <c r="R12" s="839" t="str">
        <f>'Capital IQ Sheet-GPC'!M14</f>
        <v>n/a</v>
      </c>
      <c r="S12" s="839">
        <f t="shared" ref="S12:S26" si="3">SUM(P12:R12)</f>
        <v>155.03399999999999</v>
      </c>
      <c r="T12" s="839">
        <f t="shared" ref="T12:T26" si="4">SUM(O12:R12)</f>
        <v>7452.9092599999994</v>
      </c>
      <c r="U12" s="839">
        <f>'Capital IQ Sheet-GPC'!N14</f>
        <v>1695.2950000000001</v>
      </c>
      <c r="V12" s="839">
        <f t="shared" ref="V12:V26" si="5">IF(ISERROR(T12-U12), "n/a", T12-U12)</f>
        <v>5757.6142599999994</v>
      </c>
      <c r="X12" s="835">
        <f t="shared" ref="X12:X26" si="6">IFERROR(IF(OR(N12/D12-1&gt;$AD$7,N12/D12-1&lt;$AF$7),"NM",N12/D12-1),"n/a")</f>
        <v>0.16329555361813419</v>
      </c>
      <c r="Y12" s="835">
        <f t="shared" ref="Y12:Y26" si="7">IFERROR(IF(OR(O12/E12-1&gt;$AD$7,O12/E12-1&lt;$AF$7),"NM",O12/E12-1),"n/a")</f>
        <v>0.1748193020804667</v>
      </c>
      <c r="Z12" s="835">
        <f t="shared" ref="Z12:Z26" si="8">IFERROR(IF(OR(V12/L12-1&gt;$AD$7,V12/L12-1&lt;$AF$7),"NM",V12/L12-1),"n/a")</f>
        <v>8.8340142244169195E-2</v>
      </c>
      <c r="AC12" s="815" t="str">
        <f>IF('MASTER PubCo Inputs'!C29="","",'MASTER PubCo Inputs'!C29)</f>
        <v>IQ28921</v>
      </c>
      <c r="AD12" s="234" t="str">
        <f>'Capital IQ Sheet-GPC'!AP14</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3" spans="2:33" ht="14.85" customHeight="1">
      <c r="B13" s="435" t="str">
        <f>'Capital IQ Sheet-GPC'!C15</f>
        <v>Ironwood Pharmaceuticals, Inc.</v>
      </c>
      <c r="C13" s="816"/>
      <c r="D13" s="839">
        <f>'Capital IQ Sheet-GPC'!BE15</f>
        <v>13.1</v>
      </c>
      <c r="E13" s="839">
        <f>'Capital IQ Sheet-GPC'!BF15</f>
        <v>2006.36212</v>
      </c>
      <c r="F13" s="839">
        <f>'Capital IQ Sheet-GPC'!BG15</f>
        <v>407.14600000000002</v>
      </c>
      <c r="G13" s="839" t="str">
        <f>'Capital IQ Sheet-GPC'!BH15</f>
        <v>n/a</v>
      </c>
      <c r="H13" s="839" t="str">
        <f>'Capital IQ Sheet-GPC'!BI15</f>
        <v>n/a</v>
      </c>
      <c r="I13" s="839">
        <f t="shared" si="0"/>
        <v>407.14600000000002</v>
      </c>
      <c r="J13" s="839">
        <f t="shared" si="1"/>
        <v>2413.50812</v>
      </c>
      <c r="K13" s="839">
        <f>'Capital IQ Sheet-GPC'!BJ15</f>
        <v>181.24600000000001</v>
      </c>
      <c r="L13" s="839">
        <f t="shared" si="2"/>
        <v>2232.2621199999999</v>
      </c>
      <c r="M13" s="591"/>
      <c r="N13" s="839">
        <f>'Capital IQ Sheet-GPC'!I15</f>
        <v>13.66</v>
      </c>
      <c r="O13" s="839">
        <f>'Capital IQ Sheet-GPC'!J15</f>
        <v>2104.44911</v>
      </c>
      <c r="P13" s="839">
        <f>'Capital IQ Sheet-GPC'!K15</f>
        <v>409.30599999999998</v>
      </c>
      <c r="Q13" s="839" t="str">
        <f>'Capital IQ Sheet-GPC'!L15</f>
        <v>n/a</v>
      </c>
      <c r="R13" s="839" t="str">
        <f>'Capital IQ Sheet-GPC'!M15</f>
        <v>n/a</v>
      </c>
      <c r="S13" s="839">
        <f t="shared" si="3"/>
        <v>409.30599999999998</v>
      </c>
      <c r="T13" s="839">
        <f t="shared" si="4"/>
        <v>2513.7551100000001</v>
      </c>
      <c r="U13" s="839">
        <f>'Capital IQ Sheet-GPC'!N15</f>
        <v>161.398</v>
      </c>
      <c r="V13" s="839">
        <f t="shared" si="5"/>
        <v>2352.3571099999999</v>
      </c>
      <c r="X13" s="835">
        <f t="shared" si="6"/>
        <v>4.2748091603053373E-2</v>
      </c>
      <c r="Y13" s="835">
        <f t="shared" si="7"/>
        <v>4.8887979404236281E-2</v>
      </c>
      <c r="Z13" s="835">
        <f t="shared" si="8"/>
        <v>5.3799681015955336E-2</v>
      </c>
      <c r="AC13" s="815" t="str">
        <f>IF('MASTER PubCo Inputs'!C30="","",'MASTER PubCo Inputs'!C30)</f>
        <v>IQ31498</v>
      </c>
      <c r="AD13" s="234" t="str">
        <f>'Capital IQ Sheet-GPC'!AP15</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4" spans="2:33" ht="14.85" customHeight="1">
      <c r="B14" s="435" t="str">
        <f>'Capital IQ Sheet-GPC'!C16</f>
        <v>Global Blood Therapeutics, Inc.</v>
      </c>
      <c r="C14" s="816"/>
      <c r="D14" s="839">
        <f>'Capital IQ Sheet-GPC'!BE16</f>
        <v>35.090000000000003</v>
      </c>
      <c r="E14" s="839">
        <f>'Capital IQ Sheet-GPC'!BF16</f>
        <v>1826.55009</v>
      </c>
      <c r="F14" s="839">
        <f>'Capital IQ Sheet-GPC'!BG16</f>
        <v>0</v>
      </c>
      <c r="G14" s="839" t="str">
        <f>'Capital IQ Sheet-GPC'!BH16</f>
        <v>n/a</v>
      </c>
      <c r="H14" s="839" t="str">
        <f>'Capital IQ Sheet-GPC'!BI16</f>
        <v>n/a</v>
      </c>
      <c r="I14" s="839">
        <f t="shared" si="0"/>
        <v>0</v>
      </c>
      <c r="J14" s="839">
        <f t="shared" si="1"/>
        <v>1826.55009</v>
      </c>
      <c r="K14" s="839">
        <f>'Capital IQ Sheet-GPC'!BJ16</f>
        <v>462.48399999999998</v>
      </c>
      <c r="L14" s="839">
        <f t="shared" si="2"/>
        <v>1364.06609</v>
      </c>
      <c r="M14" s="591"/>
      <c r="N14" s="839">
        <f>'Capital IQ Sheet-GPC'!I16</f>
        <v>47.91</v>
      </c>
      <c r="O14" s="839">
        <f>'Capital IQ Sheet-GPC'!J16</f>
        <v>2660.4172400000002</v>
      </c>
      <c r="P14" s="839">
        <f>'Capital IQ Sheet-GPC'!K16</f>
        <v>0</v>
      </c>
      <c r="Q14" s="839" t="str">
        <f>'Capital IQ Sheet-GPC'!L16</f>
        <v>n/a</v>
      </c>
      <c r="R14" s="839" t="str">
        <f>'Capital IQ Sheet-GPC'!M16</f>
        <v>n/a</v>
      </c>
      <c r="S14" s="839">
        <f t="shared" si="3"/>
        <v>0</v>
      </c>
      <c r="T14" s="839">
        <f t="shared" si="4"/>
        <v>2660.4172400000002</v>
      </c>
      <c r="U14" s="839">
        <f>'Capital IQ Sheet-GPC'!N16</f>
        <v>383.22800000000001</v>
      </c>
      <c r="V14" s="839">
        <f t="shared" si="5"/>
        <v>2277.1892400000002</v>
      </c>
      <c r="X14" s="835">
        <f t="shared" si="6"/>
        <v>0.36534625249358776</v>
      </c>
      <c r="Y14" s="835">
        <f t="shared" si="7"/>
        <v>0.45652575013697017</v>
      </c>
      <c r="Z14" s="835">
        <f t="shared" si="8"/>
        <v>0.6694126895273822</v>
      </c>
      <c r="AC14" s="815" t="str">
        <f>IF('MASTER PubCo Inputs'!C31="","",'MASTER PubCo Inputs'!C31)</f>
        <v>IQ208736100</v>
      </c>
      <c r="AD14" s="234" t="str">
        <f>'Capital IQ Sheet-GPC'!AP16</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5" spans="2:33" ht="14.85" customHeight="1">
      <c r="B15" s="435" t="str">
        <f>'Capital IQ Sheet-GPC'!C17</f>
        <v>Acceleron Pharma Inc.</v>
      </c>
      <c r="C15" s="816"/>
      <c r="D15" s="839">
        <f>'Capital IQ Sheet-GPC'!BE17</f>
        <v>50.77</v>
      </c>
      <c r="E15" s="839">
        <f>'Capital IQ Sheet-GPC'!BF17</f>
        <v>2345.0837700000002</v>
      </c>
      <c r="F15" s="839">
        <f>'Capital IQ Sheet-GPC'!BG17</f>
        <v>0</v>
      </c>
      <c r="G15" s="839" t="str">
        <f>'Capital IQ Sheet-GPC'!BH17</f>
        <v>n/a</v>
      </c>
      <c r="H15" s="839" t="str">
        <f>'Capital IQ Sheet-GPC'!BI17</f>
        <v>n/a</v>
      </c>
      <c r="I15" s="839">
        <f t="shared" si="0"/>
        <v>0</v>
      </c>
      <c r="J15" s="839">
        <f t="shared" si="1"/>
        <v>2345.0837700000002</v>
      </c>
      <c r="K15" s="839">
        <f>'Capital IQ Sheet-GPC'!BJ17</f>
        <v>307.97199999999998</v>
      </c>
      <c r="L15" s="839">
        <f t="shared" si="2"/>
        <v>2037.1117700000002</v>
      </c>
      <c r="M15" s="591"/>
      <c r="N15" s="839">
        <f>'Capital IQ Sheet-GPC'!I17</f>
        <v>42.4</v>
      </c>
      <c r="O15" s="839">
        <f>'Capital IQ Sheet-GPC'!J17</f>
        <v>2185.0571599999998</v>
      </c>
      <c r="P15" s="839">
        <f>'Capital IQ Sheet-GPC'!K17</f>
        <v>0</v>
      </c>
      <c r="Q15" s="839" t="str">
        <f>'Capital IQ Sheet-GPC'!L17</f>
        <v>n/a</v>
      </c>
      <c r="R15" s="839" t="str">
        <f>'Capital IQ Sheet-GPC'!M17</f>
        <v>n/a</v>
      </c>
      <c r="S15" s="839">
        <f t="shared" si="3"/>
        <v>0</v>
      </c>
      <c r="T15" s="839">
        <f t="shared" si="4"/>
        <v>2185.0571599999998</v>
      </c>
      <c r="U15" s="839">
        <f>'Capital IQ Sheet-GPC'!N17</f>
        <v>307.97199999999998</v>
      </c>
      <c r="V15" s="839">
        <f t="shared" si="5"/>
        <v>1877.0851599999999</v>
      </c>
      <c r="X15" s="835">
        <f t="shared" si="6"/>
        <v>-0.16486113846759909</v>
      </c>
      <c r="Y15" s="835">
        <f t="shared" si="7"/>
        <v>-6.8239187037655524E-2</v>
      </c>
      <c r="Z15" s="835">
        <f t="shared" si="8"/>
        <v>-7.8555635658617007E-2</v>
      </c>
      <c r="AC15" s="815" t="str">
        <f>IF('MASTER PubCo Inputs'!C32="","",'MASTER PubCo Inputs'!C32)</f>
        <v>IQ9004482</v>
      </c>
      <c r="AD15" s="234" t="str">
        <f>'Capital IQ Sheet-GPC'!AP17</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6" spans="2:33" ht="14.85" customHeight="1">
      <c r="B16" s="435" t="str">
        <f>'Capital IQ Sheet-GPC'!C18</f>
        <v>Spark Therapeutics, Inc.</v>
      </c>
      <c r="C16" s="816"/>
      <c r="D16" s="839">
        <f>'Capital IQ Sheet-GPC'!BE18</f>
        <v>44.99</v>
      </c>
      <c r="E16" s="839">
        <f>'Capital IQ Sheet-GPC'!BF18</f>
        <v>1690.3433600000001</v>
      </c>
      <c r="F16" s="839">
        <f>'Capital IQ Sheet-GPC'!BG18</f>
        <v>35.369</v>
      </c>
      <c r="G16" s="839" t="str">
        <f>'Capital IQ Sheet-GPC'!BH18</f>
        <v>n/a</v>
      </c>
      <c r="H16" s="839" t="str">
        <f>'Capital IQ Sheet-GPC'!BI18</f>
        <v>n/a</v>
      </c>
      <c r="I16" s="839">
        <f t="shared" si="0"/>
        <v>35.369</v>
      </c>
      <c r="J16" s="839">
        <f t="shared" si="1"/>
        <v>1725.71236</v>
      </c>
      <c r="K16" s="839">
        <f>'Capital IQ Sheet-GPC'!BJ18</f>
        <v>647.22699999999998</v>
      </c>
      <c r="L16" s="839">
        <f t="shared" si="2"/>
        <v>1078.4853600000001</v>
      </c>
      <c r="M16" s="591"/>
      <c r="N16" s="839">
        <f>'Capital IQ Sheet-GPC'!I18</f>
        <v>47.82</v>
      </c>
      <c r="O16" s="839">
        <f>'Capital IQ Sheet-GPC'!J18</f>
        <v>1805.0671400000001</v>
      </c>
      <c r="P16" s="839">
        <f>'Capital IQ Sheet-GPC'!K18</f>
        <v>84.891000000000005</v>
      </c>
      <c r="Q16" s="839" t="str">
        <f>'Capital IQ Sheet-GPC'!L18</f>
        <v>n/a</v>
      </c>
      <c r="R16" s="839" t="str">
        <f>'Capital IQ Sheet-GPC'!M18</f>
        <v>n/a</v>
      </c>
      <c r="S16" s="839">
        <f t="shared" si="3"/>
        <v>84.891000000000005</v>
      </c>
      <c r="T16" s="839">
        <f t="shared" si="4"/>
        <v>1889.9581400000002</v>
      </c>
      <c r="U16" s="839">
        <f>'Capital IQ Sheet-GPC'!N18</f>
        <v>590.476</v>
      </c>
      <c r="V16" s="839">
        <f t="shared" si="5"/>
        <v>1299.4821400000001</v>
      </c>
      <c r="X16" s="835">
        <f t="shared" si="6"/>
        <v>6.29028673038452E-2</v>
      </c>
      <c r="Y16" s="835">
        <f t="shared" si="7"/>
        <v>6.7870104213619609E-2</v>
      </c>
      <c r="Z16" s="835">
        <f t="shared" si="8"/>
        <v>0.20491402868927211</v>
      </c>
      <c r="AC16" s="815" t="str">
        <f>IF('MASTER PubCo Inputs'!C33="","",'MASTER PubCo Inputs'!C33)</f>
        <v>IQ249341857</v>
      </c>
      <c r="AD16" s="234" t="str">
        <f>'Capital IQ Sheet-GPC'!AP18</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7" spans="2:30" ht="14.85" customHeight="1">
      <c r="B17" s="435" t="str">
        <f>'Capital IQ Sheet-GPC'!C19</f>
        <v>REGENXBIO Inc.</v>
      </c>
      <c r="C17" s="816"/>
      <c r="D17" s="839">
        <f>'Capital IQ Sheet-GPC'!BE19</f>
        <v>66.67</v>
      </c>
      <c r="E17" s="839">
        <f>'Capital IQ Sheet-GPC'!BF19</f>
        <v>2361.02765</v>
      </c>
      <c r="F17" s="839">
        <f>'Capital IQ Sheet-GPC'!BG19</f>
        <v>0</v>
      </c>
      <c r="G17" s="839" t="str">
        <f>'Capital IQ Sheet-GPC'!BH19</f>
        <v>n/a</v>
      </c>
      <c r="H17" s="839" t="str">
        <f>'Capital IQ Sheet-GPC'!BI19</f>
        <v>n/a</v>
      </c>
      <c r="I17" s="839">
        <f t="shared" si="0"/>
        <v>0</v>
      </c>
      <c r="J17" s="839">
        <f t="shared" si="1"/>
        <v>2361.02765</v>
      </c>
      <c r="K17" s="839">
        <f>'Capital IQ Sheet-GPC'!BJ19</f>
        <v>286.49400000000003</v>
      </c>
      <c r="L17" s="839">
        <f t="shared" si="2"/>
        <v>2074.5336499999999</v>
      </c>
      <c r="M17" s="591"/>
      <c r="N17" s="839">
        <f>'Capital IQ Sheet-GPC'!I19</f>
        <v>43.96</v>
      </c>
      <c r="O17" s="839">
        <f>'Capital IQ Sheet-GPC'!J19</f>
        <v>1575.5421799999999</v>
      </c>
      <c r="P17" s="839">
        <f>'Capital IQ Sheet-GPC'!K19</f>
        <v>0</v>
      </c>
      <c r="Q17" s="839" t="str">
        <f>'Capital IQ Sheet-GPC'!L19</f>
        <v>n/a</v>
      </c>
      <c r="R17" s="839" t="str">
        <f>'Capital IQ Sheet-GPC'!M19</f>
        <v>n/a</v>
      </c>
      <c r="S17" s="839">
        <f t="shared" si="3"/>
        <v>0</v>
      </c>
      <c r="T17" s="839">
        <f t="shared" si="4"/>
        <v>1575.5421799999999</v>
      </c>
      <c r="U17" s="839">
        <f>'Capital IQ Sheet-GPC'!N19</f>
        <v>372.589</v>
      </c>
      <c r="V17" s="839">
        <f t="shared" si="5"/>
        <v>1202.95318</v>
      </c>
      <c r="X17" s="835">
        <f t="shared" si="6"/>
        <v>-0.34063296835158241</v>
      </c>
      <c r="Y17" s="835">
        <f t="shared" si="7"/>
        <v>-0.3326879589910775</v>
      </c>
      <c r="Z17" s="835">
        <f t="shared" si="8"/>
        <v>-0.42013320439511792</v>
      </c>
      <c r="AC17" s="815" t="str">
        <f>IF('MASTER PubCo Inputs'!C34="","",'MASTER PubCo Inputs'!C34)</f>
        <v>IQ130641748</v>
      </c>
      <c r="AD17" s="234" t="str">
        <f>'Capital IQ Sheet-GPC'!AP19</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18" spans="2:30" ht="14.85" customHeight="1">
      <c r="B18" s="435" t="str">
        <f>'Capital IQ Sheet-GPC'!C20</f>
        <v>uniQure N.V.</v>
      </c>
      <c r="C18" s="816"/>
      <c r="D18" s="839">
        <f>'Capital IQ Sheet-GPC'!BE20</f>
        <v>25.73</v>
      </c>
      <c r="E18" s="839">
        <f>'Capital IQ Sheet-GPC'!BF20</f>
        <v>958.32745999999997</v>
      </c>
      <c r="F18" s="839">
        <f>'Capital IQ Sheet-GPC'!BG20</f>
        <v>20.867999999999999</v>
      </c>
      <c r="G18" s="839" t="str">
        <f>'Capital IQ Sheet-GPC'!BH20</f>
        <v>n/a</v>
      </c>
      <c r="H18" s="839" t="str">
        <f>'Capital IQ Sheet-GPC'!BI20</f>
        <v>n/a</v>
      </c>
      <c r="I18" s="839">
        <f t="shared" si="0"/>
        <v>20.867999999999999</v>
      </c>
      <c r="J18" s="839">
        <f t="shared" si="1"/>
        <v>979.19546000000003</v>
      </c>
      <c r="K18" s="839">
        <f>'Capital IQ Sheet-GPC'!BJ20</f>
        <v>259.18</v>
      </c>
      <c r="L18" s="839">
        <f t="shared" si="2"/>
        <v>720.01546000000008</v>
      </c>
      <c r="M18" s="591"/>
      <c r="N18" s="839">
        <f>'Capital IQ Sheet-GPC'!I20</f>
        <v>34.25</v>
      </c>
      <c r="O18" s="839">
        <f>'Capital IQ Sheet-GPC'!J20</f>
        <v>1275.6593700000001</v>
      </c>
      <c r="P18" s="839">
        <f>'Capital IQ Sheet-GPC'!K20</f>
        <v>20.707999999999998</v>
      </c>
      <c r="Q18" s="839" t="str">
        <f>'Capital IQ Sheet-GPC'!L20</f>
        <v>n/a</v>
      </c>
      <c r="R18" s="839" t="str">
        <f>'Capital IQ Sheet-GPC'!M20</f>
        <v>n/a</v>
      </c>
      <c r="S18" s="839">
        <f t="shared" si="3"/>
        <v>20.707999999999998</v>
      </c>
      <c r="T18" s="839">
        <f t="shared" si="4"/>
        <v>1296.3673700000002</v>
      </c>
      <c r="U18" s="839">
        <f>'Capital IQ Sheet-GPC'!N20</f>
        <v>239.54599999999999</v>
      </c>
      <c r="V18" s="839">
        <f t="shared" si="5"/>
        <v>1056.8213700000001</v>
      </c>
      <c r="X18" s="835">
        <f t="shared" si="6"/>
        <v>0.33113097551496296</v>
      </c>
      <c r="Y18" s="835">
        <f t="shared" si="7"/>
        <v>0.33113097896620869</v>
      </c>
      <c r="Z18" s="835">
        <f t="shared" si="8"/>
        <v>0.4677759419221359</v>
      </c>
      <c r="AC18" s="815" t="str">
        <f>IF('MASTER PubCo Inputs'!C35="","",'MASTER PubCo Inputs'!C35)</f>
        <v>IQ171029664</v>
      </c>
      <c r="AD18" s="234" t="str">
        <f>'Capital IQ Sheet-GPC'!AP20</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19" spans="2:30" ht="14.85" customHeight="1">
      <c r="B19" s="435" t="str">
        <f>'Capital IQ Sheet-GPC'!C21</f>
        <v>Audentes Therapeutics, Inc.</v>
      </c>
      <c r="C19" s="816"/>
      <c r="D19" s="839">
        <f>'Capital IQ Sheet-GPC'!BE21</f>
        <v>28.2</v>
      </c>
      <c r="E19" s="839">
        <f>'Capital IQ Sheet-GPC'!BF21</f>
        <v>1196.95498</v>
      </c>
      <c r="F19" s="839">
        <f>'Capital IQ Sheet-GPC'!BG21</f>
        <v>0</v>
      </c>
      <c r="G19" s="839" t="str">
        <f>'Capital IQ Sheet-GPC'!BH21</f>
        <v>n/a</v>
      </c>
      <c r="H19" s="839" t="str">
        <f>'Capital IQ Sheet-GPC'!BI21</f>
        <v>n/a</v>
      </c>
      <c r="I19" s="839">
        <f t="shared" si="0"/>
        <v>0</v>
      </c>
      <c r="J19" s="839">
        <f t="shared" si="1"/>
        <v>1196.95498</v>
      </c>
      <c r="K19" s="839">
        <f>'Capital IQ Sheet-GPC'!BJ21</f>
        <v>314.43400000000003</v>
      </c>
      <c r="L19" s="839">
        <f t="shared" si="2"/>
        <v>882.52098000000001</v>
      </c>
      <c r="M19" s="591"/>
      <c r="N19" s="839">
        <f>'Capital IQ Sheet-GPC'!I21</f>
        <v>24.8</v>
      </c>
      <c r="O19" s="839">
        <f>'Capital IQ Sheet-GPC'!J21</f>
        <v>1058.70937</v>
      </c>
      <c r="P19" s="839">
        <f>'Capital IQ Sheet-GPC'!K21</f>
        <v>0</v>
      </c>
      <c r="Q19" s="839" t="str">
        <f>'Capital IQ Sheet-GPC'!L21</f>
        <v>n/a</v>
      </c>
      <c r="R19" s="839" t="str">
        <f>'Capital IQ Sheet-GPC'!M21</f>
        <v>n/a</v>
      </c>
      <c r="S19" s="839">
        <f t="shared" si="3"/>
        <v>0</v>
      </c>
      <c r="T19" s="839">
        <f t="shared" si="4"/>
        <v>1058.70937</v>
      </c>
      <c r="U19" s="839">
        <f>'Capital IQ Sheet-GPC'!N21</f>
        <v>280.68599999999998</v>
      </c>
      <c r="V19" s="839">
        <f t="shared" si="5"/>
        <v>778.02337000000011</v>
      </c>
      <c r="X19" s="835">
        <f t="shared" si="6"/>
        <v>-0.12056737588652477</v>
      </c>
      <c r="Y19" s="835">
        <f t="shared" si="7"/>
        <v>-0.11549775247185989</v>
      </c>
      <c r="Z19" s="835">
        <f t="shared" si="8"/>
        <v>-0.11840807455931512</v>
      </c>
      <c r="AC19" s="815" t="str">
        <f>IF('MASTER PubCo Inputs'!C36="","",'MASTER PubCo Inputs'!C36)</f>
        <v>IQ243223852</v>
      </c>
      <c r="AD19" s="234" t="str">
        <f>'Capital IQ Sheet-GPC'!AP21</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20" spans="2:30" ht="14.85" customHeight="1">
      <c r="B20" s="435" t="str">
        <f>'Capital IQ Sheet-GPC'!C22</f>
        <v>Sangamo Therapeutics, Inc.</v>
      </c>
      <c r="C20" s="816"/>
      <c r="D20" s="839">
        <f>'Capital IQ Sheet-GPC'!BE22</f>
        <v>12.67</v>
      </c>
      <c r="E20" s="839">
        <f>'Capital IQ Sheet-GPC'!BF22</f>
        <v>1288.2065</v>
      </c>
      <c r="F20" s="839">
        <f>'Capital IQ Sheet-GPC'!BG22</f>
        <v>0</v>
      </c>
      <c r="G20" s="839" t="str">
        <f>'Capital IQ Sheet-GPC'!BH22</f>
        <v>n/a</v>
      </c>
      <c r="H20" s="839" t="str">
        <f>'Capital IQ Sheet-GPC'!BI22</f>
        <v>n/a</v>
      </c>
      <c r="I20" s="839">
        <f t="shared" si="0"/>
        <v>0</v>
      </c>
      <c r="J20" s="839">
        <f t="shared" si="1"/>
        <v>1288.2065</v>
      </c>
      <c r="K20" s="839">
        <f>'Capital IQ Sheet-GPC'!BJ22</f>
        <v>539.44600000000003</v>
      </c>
      <c r="L20" s="839">
        <f t="shared" si="2"/>
        <v>748.76049999999998</v>
      </c>
      <c r="M20" s="591"/>
      <c r="N20" s="839">
        <f>'Capital IQ Sheet-GPC'!I22</f>
        <v>11.69</v>
      </c>
      <c r="O20" s="839">
        <f>'Capital IQ Sheet-GPC'!J22</f>
        <v>1193.4655700000001</v>
      </c>
      <c r="P20" s="839">
        <f>'Capital IQ Sheet-GPC'!K22</f>
        <v>0</v>
      </c>
      <c r="Q20" s="839" t="str">
        <f>'Capital IQ Sheet-GPC'!L22</f>
        <v>n/a</v>
      </c>
      <c r="R20" s="839" t="str">
        <f>'Capital IQ Sheet-GPC'!M22</f>
        <v>n/a</v>
      </c>
      <c r="S20" s="839">
        <f t="shared" si="3"/>
        <v>0</v>
      </c>
      <c r="T20" s="839">
        <f t="shared" si="4"/>
        <v>1193.4655700000001</v>
      </c>
      <c r="U20" s="839">
        <f>'Capital IQ Sheet-GPC'!N22</f>
        <v>458.57</v>
      </c>
      <c r="V20" s="839">
        <f t="shared" si="5"/>
        <v>734.89557000000013</v>
      </c>
      <c r="X20" s="835">
        <f t="shared" si="6"/>
        <v>-7.7348066298342566E-2</v>
      </c>
      <c r="Y20" s="835">
        <f t="shared" si="7"/>
        <v>-7.3544831515754638E-2</v>
      </c>
      <c r="Z20" s="835">
        <f t="shared" si="8"/>
        <v>-1.8517176052956663E-2</v>
      </c>
      <c r="AC20" s="815" t="str">
        <f>IF('MASTER PubCo Inputs'!C37="","",'MASTER PubCo Inputs'!C37)</f>
        <v>IQ412674</v>
      </c>
      <c r="AD20" s="234" t="str">
        <f>'Capital IQ Sheet-GPC'!AP22</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1" spans="2:30" ht="14.85" customHeight="1">
      <c r="B21" s="435" t="str">
        <f>'Capital IQ Sheet-GPC'!C23</f>
        <v>Homology Medicines, Inc.</v>
      </c>
      <c r="C21" s="816"/>
      <c r="D21" s="839">
        <f>'Capital IQ Sheet-GPC'!BE23</f>
        <v>18.82</v>
      </c>
      <c r="E21" s="839">
        <f>'Capital IQ Sheet-GPC'!BF23</f>
        <v>701.13725999999997</v>
      </c>
      <c r="F21" s="839">
        <f>'Capital IQ Sheet-GPC'!BG23</f>
        <v>0</v>
      </c>
      <c r="G21" s="839" t="str">
        <f>'Capital IQ Sheet-GPC'!BH23</f>
        <v>n/a</v>
      </c>
      <c r="H21" s="839" t="str">
        <f>'Capital IQ Sheet-GPC'!BI23</f>
        <v>n/a</v>
      </c>
      <c r="I21" s="839">
        <f t="shared" si="0"/>
        <v>0</v>
      </c>
      <c r="J21" s="839">
        <f t="shared" si="1"/>
        <v>701.13725999999997</v>
      </c>
      <c r="K21" s="839">
        <f>'Capital IQ Sheet-GPC'!BJ23</f>
        <v>255.50809000000001</v>
      </c>
      <c r="L21" s="839">
        <f t="shared" si="2"/>
        <v>445.62916999999993</v>
      </c>
      <c r="M21" s="591"/>
      <c r="N21" s="839">
        <f>'Capital IQ Sheet-GPC'!I23</f>
        <v>20.27</v>
      </c>
      <c r="O21" s="839">
        <f>'Capital IQ Sheet-GPC'!J23</f>
        <v>756.27498000000003</v>
      </c>
      <c r="P21" s="839">
        <f>'Capital IQ Sheet-GPC'!K23</f>
        <v>0</v>
      </c>
      <c r="Q21" s="839" t="str">
        <f>'Capital IQ Sheet-GPC'!L23</f>
        <v>n/a</v>
      </c>
      <c r="R21" s="839" t="str">
        <f>'Capital IQ Sheet-GPC'!M23</f>
        <v>n/a</v>
      </c>
      <c r="S21" s="839">
        <f t="shared" si="3"/>
        <v>0</v>
      </c>
      <c r="T21" s="839">
        <f t="shared" si="4"/>
        <v>756.27498000000003</v>
      </c>
      <c r="U21" s="839">
        <f>'Capital IQ Sheet-GPC'!N23</f>
        <v>237.54401999999999</v>
      </c>
      <c r="V21" s="839">
        <f t="shared" si="5"/>
        <v>518.7309600000001</v>
      </c>
      <c r="X21" s="835">
        <f t="shared" si="6"/>
        <v>7.7045696068012814E-2</v>
      </c>
      <c r="Y21" s="835">
        <f t="shared" si="7"/>
        <v>7.8640407728438388E-2</v>
      </c>
      <c r="Z21" s="835">
        <f t="shared" si="8"/>
        <v>0.1640417524732507</v>
      </c>
      <c r="AC21" s="815" t="str">
        <f>IF('MASTER PubCo Inputs'!C38="","",'MASTER PubCo Inputs'!C38)</f>
        <v>IQ321461593</v>
      </c>
      <c r="AD21" s="234" t="str">
        <f>'Capital IQ Sheet-GPC'!AP23</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2" spans="2:30" ht="14.85" customHeight="1">
      <c r="B22" s="435" t="str">
        <f>'Capital IQ Sheet-GPC'!C24</f>
        <v>Corbus Pharmaceuticals Holdings, Inc.</v>
      </c>
      <c r="C22" s="816"/>
      <c r="D22" s="839">
        <f>'Capital IQ Sheet-GPC'!BE24</f>
        <v>6.66</v>
      </c>
      <c r="E22" s="839">
        <f>'Capital IQ Sheet-GPC'!BF24</f>
        <v>380.99256000000003</v>
      </c>
      <c r="F22" s="839">
        <f>'Capital IQ Sheet-GPC'!BG24</f>
        <v>8.3699999999999997E-2</v>
      </c>
      <c r="G22" s="839" t="str">
        <f>'Capital IQ Sheet-GPC'!BH24</f>
        <v>n/a</v>
      </c>
      <c r="H22" s="839" t="str">
        <f>'Capital IQ Sheet-GPC'!BI24</f>
        <v>n/a</v>
      </c>
      <c r="I22" s="839">
        <f t="shared" si="0"/>
        <v>8.3699999999999997E-2</v>
      </c>
      <c r="J22" s="839">
        <f t="shared" si="1"/>
        <v>381.07626000000005</v>
      </c>
      <c r="K22" s="839">
        <f>'Capital IQ Sheet-GPC'!BJ24</f>
        <v>64.676540000000003</v>
      </c>
      <c r="L22" s="839">
        <f t="shared" si="2"/>
        <v>316.39972000000006</v>
      </c>
      <c r="M22" s="591"/>
      <c r="N22" s="839">
        <f>'Capital IQ Sheet-GPC'!I24</f>
        <v>7.56</v>
      </c>
      <c r="O22" s="839">
        <f>'Capital IQ Sheet-GPC'!J24</f>
        <v>473.53946999999999</v>
      </c>
      <c r="P22" s="839">
        <f>'Capital IQ Sheet-GPC'!K24</f>
        <v>0</v>
      </c>
      <c r="Q22" s="839" t="str">
        <f>'Capital IQ Sheet-GPC'!L24</f>
        <v>n/a</v>
      </c>
      <c r="R22" s="839" t="str">
        <f>'Capital IQ Sheet-GPC'!M24</f>
        <v>n/a</v>
      </c>
      <c r="S22" s="839">
        <f t="shared" si="3"/>
        <v>0</v>
      </c>
      <c r="T22" s="839">
        <f t="shared" si="4"/>
        <v>473.53946999999999</v>
      </c>
      <c r="U22" s="839">
        <f>'Capital IQ Sheet-GPC'!N24</f>
        <v>55.659350000000003</v>
      </c>
      <c r="V22" s="839">
        <f t="shared" si="5"/>
        <v>417.88011999999998</v>
      </c>
      <c r="X22" s="835">
        <f t="shared" si="6"/>
        <v>0.13513513513513509</v>
      </c>
      <c r="Y22" s="835">
        <f t="shared" si="7"/>
        <v>0.24291001903029286</v>
      </c>
      <c r="Z22" s="835">
        <f t="shared" si="8"/>
        <v>0.32073479711043951</v>
      </c>
      <c r="AC22" s="815" t="str">
        <f>IF('MASTER PubCo Inputs'!C39="","",'MASTER PubCo Inputs'!C39)</f>
        <v>IQ254045988</v>
      </c>
      <c r="AD22" s="234" t="str">
        <f>'Capital IQ Sheet-GPC'!AP24</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30" ht="14.85" customHeight="1">
      <c r="B23" s="435" t="str">
        <f>'Capital IQ Sheet-GPC'!C25</f>
        <v>GlycoMimetics, Inc.</v>
      </c>
      <c r="C23" s="816"/>
      <c r="D23" s="839">
        <f>'Capital IQ Sheet-GPC'!BE25</f>
        <v>12.58</v>
      </c>
      <c r="E23" s="839">
        <f>'Capital IQ Sheet-GPC'!BF25</f>
        <v>541.66042000000004</v>
      </c>
      <c r="F23" s="839">
        <f>'Capital IQ Sheet-GPC'!BG25</f>
        <v>0</v>
      </c>
      <c r="G23" s="839" t="str">
        <f>'Capital IQ Sheet-GPC'!BH25</f>
        <v>n/a</v>
      </c>
      <c r="H23" s="839" t="str">
        <f>'Capital IQ Sheet-GPC'!BI25</f>
        <v>n/a</v>
      </c>
      <c r="I23" s="839">
        <f t="shared" si="0"/>
        <v>0</v>
      </c>
      <c r="J23" s="839">
        <f t="shared" si="1"/>
        <v>541.66042000000004</v>
      </c>
      <c r="K23" s="839">
        <f>'Capital IQ Sheet-GPC'!BJ25</f>
        <v>229.43472</v>
      </c>
      <c r="L23" s="839">
        <f t="shared" si="2"/>
        <v>312.22570000000007</v>
      </c>
      <c r="M23" s="591"/>
      <c r="N23" s="839">
        <f>'Capital IQ Sheet-GPC'!I25</f>
        <v>11.2</v>
      </c>
      <c r="O23" s="839">
        <f>'Capital IQ Sheet-GPC'!J25</f>
        <v>483.13693999999998</v>
      </c>
      <c r="P23" s="839">
        <f>'Capital IQ Sheet-GPC'!K25</f>
        <v>0</v>
      </c>
      <c r="Q23" s="839" t="str">
        <f>'Capital IQ Sheet-GPC'!L25</f>
        <v>n/a</v>
      </c>
      <c r="R23" s="839" t="str">
        <f>'Capital IQ Sheet-GPC'!M25</f>
        <v>n/a</v>
      </c>
      <c r="S23" s="839">
        <f t="shared" si="3"/>
        <v>0</v>
      </c>
      <c r="T23" s="839">
        <f t="shared" si="4"/>
        <v>483.13693999999998</v>
      </c>
      <c r="U23" s="839">
        <f>'Capital IQ Sheet-GPC'!N25</f>
        <v>219.82863</v>
      </c>
      <c r="V23" s="839">
        <f t="shared" si="5"/>
        <v>263.30831000000001</v>
      </c>
      <c r="X23" s="835">
        <f t="shared" si="6"/>
        <v>-0.109697933227345</v>
      </c>
      <c r="Y23" s="835">
        <f t="shared" si="7"/>
        <v>-0.10804459369580677</v>
      </c>
      <c r="Z23" s="835">
        <f t="shared" si="8"/>
        <v>-0.1566731694412089</v>
      </c>
      <c r="AC23" s="815" t="str">
        <f>IF('MASTER PubCo Inputs'!C40="","",'MASTER PubCo Inputs'!C40)</f>
        <v>IQ5703481</v>
      </c>
      <c r="AD23" s="234" t="str">
        <f>'Capital IQ Sheet-GPC'!AP25</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4" spans="2:30" ht="14.85" customHeight="1">
      <c r="B24" s="435" t="str">
        <f>'Capital IQ Sheet-GPC'!C26</f>
        <v>LogicBio Therapeutics, Inc.</v>
      </c>
      <c r="C24" s="816"/>
      <c r="D24" s="839">
        <f>'Capital IQ Sheet-GPC'!BE26</f>
        <v>10.69</v>
      </c>
      <c r="E24" s="839">
        <f>'Capital IQ Sheet-GPC'!BF26</f>
        <v>234.51507000000001</v>
      </c>
      <c r="F24" s="839">
        <f>'Capital IQ Sheet-GPC'!BG26</f>
        <v>0</v>
      </c>
      <c r="G24" s="839">
        <f>'Capital IQ Sheet-GPC'!BH26</f>
        <v>33.061999999999998</v>
      </c>
      <c r="H24" s="839" t="str">
        <f>'Capital IQ Sheet-GPC'!BI26</f>
        <v>n/a</v>
      </c>
      <c r="I24" s="839">
        <f t="shared" si="0"/>
        <v>33.061999999999998</v>
      </c>
      <c r="J24" s="839">
        <f t="shared" si="1"/>
        <v>267.57706999999999</v>
      </c>
      <c r="K24" s="839">
        <f>'Capital IQ Sheet-GPC'!BJ26</f>
        <v>18.260999999999999</v>
      </c>
      <c r="L24" s="839">
        <f t="shared" si="2"/>
        <v>249.31607</v>
      </c>
      <c r="M24" s="591"/>
      <c r="N24" s="839">
        <f>'Capital IQ Sheet-GPC'!I26</f>
        <v>8.84</v>
      </c>
      <c r="O24" s="839">
        <f>'Capital IQ Sheet-GPC'!J26</f>
        <v>196.03698</v>
      </c>
      <c r="P24" s="839">
        <f>'Capital IQ Sheet-GPC'!K26</f>
        <v>0</v>
      </c>
      <c r="Q24" s="839">
        <f>'Capital IQ Sheet-GPC'!L26</f>
        <v>33.061999999999998</v>
      </c>
      <c r="R24" s="839" t="str">
        <f>'Capital IQ Sheet-GPC'!M26</f>
        <v>n/a</v>
      </c>
      <c r="S24" s="839">
        <f t="shared" si="3"/>
        <v>33.061999999999998</v>
      </c>
      <c r="T24" s="839">
        <f t="shared" si="4"/>
        <v>229.09897999999998</v>
      </c>
      <c r="U24" s="839">
        <f>'Capital IQ Sheet-GPC'!N26</f>
        <v>12.877000000000001</v>
      </c>
      <c r="V24" s="839">
        <f t="shared" si="5"/>
        <v>216.22197999999997</v>
      </c>
      <c r="X24" s="835">
        <f t="shared" si="6"/>
        <v>-0.17305893358278768</v>
      </c>
      <c r="Y24" s="835">
        <f t="shared" si="7"/>
        <v>-0.16407512745342978</v>
      </c>
      <c r="Z24" s="835">
        <f t="shared" si="8"/>
        <v>-0.1327394980997415</v>
      </c>
      <c r="AC24" s="815" t="str">
        <f>IF('MASTER PubCo Inputs'!C41="","",'MASTER PubCo Inputs'!C41)</f>
        <v>IQ322758292</v>
      </c>
      <c r="AD24" s="234" t="str">
        <f>'Capital IQ Sheet-GPC'!AP26</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5" spans="2:30" ht="14.85" customHeight="1">
      <c r="B25" s="435" t="str">
        <f>'Capital IQ Sheet-GPC'!C27</f>
        <v>Arbutus Biopharma Corporation</v>
      </c>
      <c r="C25" s="816"/>
      <c r="D25" s="839">
        <f>'Capital IQ Sheet-GPC'!BE27</f>
        <v>4.24</v>
      </c>
      <c r="E25" s="839">
        <f>'Capital IQ Sheet-GPC'!BF27</f>
        <v>234.91422</v>
      </c>
      <c r="F25" s="839">
        <f>'Capital IQ Sheet-GPC'!BG27</f>
        <v>0</v>
      </c>
      <c r="G25" s="839">
        <f>'Capital IQ Sheet-GPC'!BH27</f>
        <v>120.922</v>
      </c>
      <c r="H25" s="839" t="str">
        <f>'Capital IQ Sheet-GPC'!BI27</f>
        <v>n/a</v>
      </c>
      <c r="I25" s="839">
        <f t="shared" si="0"/>
        <v>120.922</v>
      </c>
      <c r="J25" s="839">
        <f t="shared" si="1"/>
        <v>355.83622000000003</v>
      </c>
      <c r="K25" s="839">
        <f>'Capital IQ Sheet-GPC'!BJ27</f>
        <v>154.869</v>
      </c>
      <c r="L25" s="839">
        <f t="shared" si="2"/>
        <v>200.96722000000003</v>
      </c>
      <c r="M25" s="591"/>
      <c r="N25" s="839">
        <f>'Capital IQ Sheet-GPC'!I27</f>
        <v>3.69</v>
      </c>
      <c r="O25" s="839">
        <f>'Capital IQ Sheet-GPC'!J27</f>
        <v>204.79499999999999</v>
      </c>
      <c r="P25" s="839">
        <f>'Capital IQ Sheet-GPC'!K27</f>
        <v>0</v>
      </c>
      <c r="Q25" s="839">
        <f>'Capital IQ Sheet-GPC'!L27</f>
        <v>123.489</v>
      </c>
      <c r="R25" s="839" t="str">
        <f>'Capital IQ Sheet-GPC'!M27</f>
        <v>n/a</v>
      </c>
      <c r="S25" s="839">
        <f t="shared" si="3"/>
        <v>123.489</v>
      </c>
      <c r="T25" s="839">
        <f t="shared" si="4"/>
        <v>328.28399999999999</v>
      </c>
      <c r="U25" s="839">
        <f>'Capital IQ Sheet-GPC'!N27</f>
        <v>142.018</v>
      </c>
      <c r="V25" s="839">
        <f t="shared" si="5"/>
        <v>186.26599999999999</v>
      </c>
      <c r="X25" s="835">
        <f t="shared" si="6"/>
        <v>-0.12971698113207553</v>
      </c>
      <c r="Y25" s="835">
        <f t="shared" si="7"/>
        <v>-0.12821369434340757</v>
      </c>
      <c r="Z25" s="835">
        <f t="shared" si="8"/>
        <v>-7.3152328026431568E-2</v>
      </c>
      <c r="AC25" s="815" t="str">
        <f>IF('MASTER PubCo Inputs'!C42="","",'MASTER PubCo Inputs'!C42)</f>
        <v>IQ34160168</v>
      </c>
      <c r="AD25" s="234" t="str">
        <f>'Capital IQ Sheet-GPC'!AP27</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6" spans="2:30" ht="14.85" customHeight="1">
      <c r="B26" s="435" t="str">
        <f>'Capital IQ Sheet-GPC'!C28</f>
        <v>Voyager Therapeutics, Inc.</v>
      </c>
      <c r="C26" s="816"/>
      <c r="D26" s="839">
        <f>'Capital IQ Sheet-GPC'!BE28</f>
        <v>13.57</v>
      </c>
      <c r="E26" s="839">
        <f>'Capital IQ Sheet-GPC'!BF28</f>
        <v>440.15663999999998</v>
      </c>
      <c r="F26" s="839">
        <f>'Capital IQ Sheet-GPC'!BG28</f>
        <v>0</v>
      </c>
      <c r="G26" s="839" t="str">
        <f>'Capital IQ Sheet-GPC'!BH28</f>
        <v>n/a</v>
      </c>
      <c r="H26" s="839" t="str">
        <f>'Capital IQ Sheet-GPC'!BI28</f>
        <v>n/a</v>
      </c>
      <c r="I26" s="839">
        <f t="shared" si="0"/>
        <v>0</v>
      </c>
      <c r="J26" s="839">
        <f t="shared" si="1"/>
        <v>440.15663999999998</v>
      </c>
      <c r="K26" s="839">
        <f>'Capital IQ Sheet-GPC'!BJ28</f>
        <v>196.12299999999999</v>
      </c>
      <c r="L26" s="839">
        <f t="shared" si="2"/>
        <v>244.03363999999999</v>
      </c>
      <c r="M26" s="591"/>
      <c r="N26" s="839">
        <f>'Capital IQ Sheet-GPC'!I28</f>
        <v>10.49</v>
      </c>
      <c r="O26" s="839">
        <f>'Capital IQ Sheet-GPC'!J28</f>
        <v>341.52161000000001</v>
      </c>
      <c r="P26" s="839">
        <f>'Capital IQ Sheet-GPC'!K28</f>
        <v>0</v>
      </c>
      <c r="Q26" s="839" t="str">
        <f>'Capital IQ Sheet-GPC'!L28</f>
        <v>n/a</v>
      </c>
      <c r="R26" s="839" t="str">
        <f>'Capital IQ Sheet-GPC'!M28</f>
        <v>n/a</v>
      </c>
      <c r="S26" s="839">
        <f t="shared" si="3"/>
        <v>0</v>
      </c>
      <c r="T26" s="839">
        <f t="shared" si="4"/>
        <v>341.52161000000001</v>
      </c>
      <c r="U26" s="839">
        <f>'Capital IQ Sheet-GPC'!N28</f>
        <v>179.601</v>
      </c>
      <c r="V26" s="839">
        <f t="shared" si="5"/>
        <v>161.92061000000001</v>
      </c>
      <c r="X26" s="835">
        <f t="shared" si="6"/>
        <v>-0.22697126013264557</v>
      </c>
      <c r="Y26" s="835">
        <f t="shared" si="7"/>
        <v>-0.22409074642154658</v>
      </c>
      <c r="Z26" s="835">
        <f t="shared" si="8"/>
        <v>-0.33648242103014969</v>
      </c>
      <c r="AC26" s="815" t="str">
        <f>IF('MASTER PubCo Inputs'!C43="","",'MASTER PubCo Inputs'!C43)</f>
        <v>IQ256887902</v>
      </c>
      <c r="AD26" s="234" t="str">
        <f>'Capital IQ Sheet-GPC'!AP28</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7" spans="2:30" ht="14.85" customHeight="1">
      <c r="B27" s="435" t="str">
        <f>'Capital IQ Sheet-GPC'!C29</f>
        <v>La Jolla Pharmaceutical Company</v>
      </c>
      <c r="C27" s="816"/>
      <c r="D27" s="839">
        <f>'Capital IQ Sheet-GPC'!BE29</f>
        <v>16.3</v>
      </c>
      <c r="E27" s="839">
        <f>'Capital IQ Sheet-GPC'!BF29</f>
        <v>427.60818999999998</v>
      </c>
      <c r="F27" s="839">
        <f>'Capital IQ Sheet-GPC'!BG29</f>
        <v>124.324</v>
      </c>
      <c r="G27" s="839">
        <f>'Capital IQ Sheet-GPC'!BH29</f>
        <v>6.6429999999999998</v>
      </c>
      <c r="H27" s="839" t="str">
        <f>'Capital IQ Sheet-GPC'!BI29</f>
        <v>n/a</v>
      </c>
      <c r="I27" s="839">
        <f t="shared" ref="I27:I41" si="9">SUM(F27:H27)</f>
        <v>130.96699999999998</v>
      </c>
      <c r="J27" s="839">
        <f t="shared" ref="J27:J41" si="10">SUM(E27:H27)</f>
        <v>558.57519000000002</v>
      </c>
      <c r="K27" s="839">
        <f>'Capital IQ Sheet-GPC'!BJ29</f>
        <v>204.33699999999999</v>
      </c>
      <c r="L27" s="839">
        <f t="shared" ref="L27:L41" si="11">IF(ISERROR(J27-K27), "n/a", J27-K27)</f>
        <v>354.23819000000003</v>
      </c>
      <c r="M27" s="591"/>
      <c r="N27" s="839">
        <f>'Capital IQ Sheet-GPC'!I29</f>
        <v>6.04</v>
      </c>
      <c r="O27" s="839">
        <f>'Capital IQ Sheet-GPC'!J29</f>
        <v>158.45113000000001</v>
      </c>
      <c r="P27" s="839">
        <f>'Capital IQ Sheet-GPC'!K29</f>
        <v>124.324</v>
      </c>
      <c r="Q27" s="839">
        <f>'Capital IQ Sheet-GPC'!L29</f>
        <v>6.6429999999999998</v>
      </c>
      <c r="R27" s="839" t="str">
        <f>'Capital IQ Sheet-GPC'!M29</f>
        <v>n/a</v>
      </c>
      <c r="S27" s="839">
        <f t="shared" ref="S27:S41" si="12">SUM(P27:R27)</f>
        <v>130.96699999999998</v>
      </c>
      <c r="T27" s="839">
        <f t="shared" ref="T27:T41" si="13">SUM(O27:R27)</f>
        <v>289.41812999999996</v>
      </c>
      <c r="U27" s="839">
        <f>'Capital IQ Sheet-GPC'!N29</f>
        <v>204.33699999999999</v>
      </c>
      <c r="V27" s="839">
        <f t="shared" ref="V27:V41" si="14">IF(ISERROR(T27-U27), "n/a", T27-U27)</f>
        <v>85.081129999999973</v>
      </c>
      <c r="X27" s="835">
        <f t="shared" ref="X27:X41" si="15">IFERROR(IF(OR(N27/D27-1&gt;$AD$7,N27/D27-1&lt;$AF$7),"NM",N27/D27-1),"n/a")</f>
        <v>-0.62944785276073623</v>
      </c>
      <c r="Y27" s="835">
        <f t="shared" ref="Y27:Y41" si="16">IFERROR(IF(OR(O27/E27-1&gt;$AD$7,O27/E27-1&lt;$AF$7),"NM",O27/E27-1),"n/a")</f>
        <v>-0.62944785973346296</v>
      </c>
      <c r="Z27" s="835">
        <f t="shared" ref="Z27:Z41" si="17">IFERROR(IF(OR(V27/L27-1&gt;$AD$7,V27/L27-1&lt;$AF$7),"NM",V27/L27-1),"n/a")</f>
        <v>-0.75981943110086481</v>
      </c>
      <c r="AC27" s="815" t="str">
        <f>IF('MASTER PubCo Inputs'!C44="","",'MASTER PubCo Inputs'!C44)</f>
        <v>IQ30632</v>
      </c>
      <c r="AD27" s="234" t="str">
        <f>'Capital IQ Sheet-GPC'!AP29</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28" spans="2:30" ht="14.85" customHeight="1">
      <c r="B28" s="435" t="str">
        <f>'Capital IQ Sheet-GPC'!C30</f>
        <v>Protagonist Therapeutics, Inc.</v>
      </c>
      <c r="C28" s="816"/>
      <c r="D28" s="839">
        <f>'Capital IQ Sheet-GPC'!BE30</f>
        <v>7.99</v>
      </c>
      <c r="E28" s="839">
        <f>'Capital IQ Sheet-GPC'!BF30</f>
        <v>192.44385</v>
      </c>
      <c r="F28" s="839">
        <f>'Capital IQ Sheet-GPC'!BG30</f>
        <v>0</v>
      </c>
      <c r="G28" s="839" t="str">
        <f>'Capital IQ Sheet-GPC'!BH30</f>
        <v>n/a</v>
      </c>
      <c r="H28" s="839" t="str">
        <f>'Capital IQ Sheet-GPC'!BI30</f>
        <v>n/a</v>
      </c>
      <c r="I28" s="839">
        <f t="shared" si="9"/>
        <v>0</v>
      </c>
      <c r="J28" s="839">
        <f t="shared" si="10"/>
        <v>192.44385</v>
      </c>
      <c r="K28" s="839">
        <f>'Capital IQ Sheet-GPC'!BJ30</f>
        <v>125.167</v>
      </c>
      <c r="L28" s="839">
        <f t="shared" si="11"/>
        <v>67.276849999999996</v>
      </c>
      <c r="M28" s="591"/>
      <c r="N28" s="839">
        <f>'Capital IQ Sheet-GPC'!I30</f>
        <v>8.15</v>
      </c>
      <c r="O28" s="839">
        <f>'Capital IQ Sheet-GPC'!J30</f>
        <v>197.11606</v>
      </c>
      <c r="P28" s="839">
        <f>'Capital IQ Sheet-GPC'!K30</f>
        <v>0</v>
      </c>
      <c r="Q28" s="839" t="str">
        <f>'Capital IQ Sheet-GPC'!L30</f>
        <v>n/a</v>
      </c>
      <c r="R28" s="839" t="str">
        <f>'Capital IQ Sheet-GPC'!M30</f>
        <v>n/a</v>
      </c>
      <c r="S28" s="839">
        <f t="shared" si="12"/>
        <v>0</v>
      </c>
      <c r="T28" s="839">
        <f t="shared" si="13"/>
        <v>197.11606</v>
      </c>
      <c r="U28" s="839">
        <f>'Capital IQ Sheet-GPC'!N30</f>
        <v>138.517</v>
      </c>
      <c r="V28" s="839">
        <f t="shared" si="14"/>
        <v>58.599060000000009</v>
      </c>
      <c r="X28" s="835">
        <f t="shared" si="15"/>
        <v>2.0025031289111483E-2</v>
      </c>
      <c r="Y28" s="835">
        <f t="shared" si="16"/>
        <v>2.4278302476280711E-2</v>
      </c>
      <c r="Z28" s="835">
        <f t="shared" si="17"/>
        <v>-0.12898627090893799</v>
      </c>
      <c r="AC28" s="815" t="str">
        <f>IF('MASTER PubCo Inputs'!C45="","",'MASTER PubCo Inputs'!C45)</f>
        <v>IQ129263324</v>
      </c>
      <c r="AD28" s="234" t="str">
        <f>'Capital IQ Sheet-GPC'!AP30</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29" spans="2:30" ht="14.85" customHeight="1">
      <c r="B29" s="435" t="str">
        <f>'Capital IQ Sheet-GPC'!C31</f>
        <v>Fibrocell Science, Inc.</v>
      </c>
      <c r="C29" s="816"/>
      <c r="D29" s="839">
        <f>'Capital IQ Sheet-GPC'!BE31</f>
        <v>2.1150000000000002</v>
      </c>
      <c r="E29" s="839">
        <f>'Capital IQ Sheet-GPC'!BF31</f>
        <v>19.70119</v>
      </c>
      <c r="F29" s="839">
        <f>'Capital IQ Sheet-GPC'!BG31</f>
        <v>0</v>
      </c>
      <c r="G29" s="839">
        <f>'Capital IQ Sheet-GPC'!BH31</f>
        <v>7.6230000000000002</v>
      </c>
      <c r="H29" s="839" t="str">
        <f>'Capital IQ Sheet-GPC'!BI31</f>
        <v>n/a</v>
      </c>
      <c r="I29" s="839">
        <f t="shared" si="9"/>
        <v>7.6230000000000002</v>
      </c>
      <c r="J29" s="839">
        <f t="shared" si="10"/>
        <v>27.324190000000002</v>
      </c>
      <c r="K29" s="839">
        <f>'Capital IQ Sheet-GPC'!BJ31</f>
        <v>15.41</v>
      </c>
      <c r="L29" s="839">
        <f t="shared" si="11"/>
        <v>11.914190000000001</v>
      </c>
      <c r="M29" s="591"/>
      <c r="N29" s="839">
        <f>'Capital IQ Sheet-GPC'!I31</f>
        <v>1.97</v>
      </c>
      <c r="O29" s="839">
        <f>'Capital IQ Sheet-GPC'!J31</f>
        <v>19.22391</v>
      </c>
      <c r="P29" s="839">
        <f>'Capital IQ Sheet-GPC'!K31</f>
        <v>0</v>
      </c>
      <c r="Q29" s="839">
        <f>'Capital IQ Sheet-GPC'!L31</f>
        <v>7.6230000000000002</v>
      </c>
      <c r="R29" s="839" t="str">
        <f>'Capital IQ Sheet-GPC'!M31</f>
        <v>n/a</v>
      </c>
      <c r="S29" s="839">
        <f t="shared" si="12"/>
        <v>7.6230000000000002</v>
      </c>
      <c r="T29" s="839">
        <f t="shared" si="13"/>
        <v>26.846910000000001</v>
      </c>
      <c r="U29" s="839">
        <f>'Capital IQ Sheet-GPC'!N31</f>
        <v>16.111000000000001</v>
      </c>
      <c r="V29" s="839">
        <f t="shared" si="14"/>
        <v>10.735910000000001</v>
      </c>
      <c r="X29" s="835">
        <f t="shared" si="15"/>
        <v>-6.8557919621749508E-2</v>
      </c>
      <c r="Y29" s="835">
        <f t="shared" si="16"/>
        <v>-2.4225947772698042E-2</v>
      </c>
      <c r="Z29" s="835">
        <f t="shared" si="17"/>
        <v>-9.8897197375566459E-2</v>
      </c>
      <c r="AC29" s="815" t="str">
        <f>IF('MASTER PubCo Inputs'!C46="","",'MASTER PubCo Inputs'!C46)</f>
        <v>IQ1517644</v>
      </c>
      <c r="AD29" s="234" t="str">
        <f>'Capital IQ Sheet-GPC'!AP31</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30" spans="2:30" ht="14.85" customHeight="1">
      <c r="B30" s="435"/>
      <c r="C30" s="816"/>
      <c r="D30" s="839"/>
      <c r="E30" s="839"/>
      <c r="F30" s="839"/>
      <c r="G30" s="839"/>
      <c r="H30" s="839"/>
      <c r="I30" s="839"/>
      <c r="J30" s="839"/>
      <c r="K30" s="839"/>
      <c r="L30" s="839"/>
      <c r="M30" s="591"/>
      <c r="N30" s="839"/>
      <c r="O30" s="839"/>
      <c r="P30" s="839"/>
      <c r="Q30" s="839"/>
      <c r="R30" s="839"/>
      <c r="S30" s="839"/>
      <c r="T30" s="839"/>
      <c r="U30" s="839"/>
      <c r="V30" s="839"/>
      <c r="X30" s="835"/>
      <c r="Y30" s="835"/>
      <c r="Z30" s="835"/>
      <c r="AC30" s="815"/>
    </row>
    <row r="31" spans="2:30" ht="14.85" customHeight="1">
      <c r="B31" s="1369" t="str">
        <f>'Comp.1'!B31</f>
        <v>CRISPR/Cas9</v>
      </c>
      <c r="C31" s="816"/>
      <c r="D31" s="839"/>
      <c r="E31" s="839"/>
      <c r="F31" s="839"/>
      <c r="G31" s="839"/>
      <c r="H31" s="839"/>
      <c r="I31" s="839"/>
      <c r="J31" s="839"/>
      <c r="K31" s="839"/>
      <c r="L31" s="839"/>
      <c r="M31" s="591"/>
      <c r="N31" s="839"/>
      <c r="O31" s="839"/>
      <c r="P31" s="839"/>
      <c r="Q31" s="839"/>
      <c r="R31" s="839"/>
      <c r="S31" s="839"/>
      <c r="T31" s="839"/>
      <c r="U31" s="839"/>
      <c r="V31" s="839"/>
      <c r="X31" s="835"/>
      <c r="Y31" s="835"/>
      <c r="Z31" s="835"/>
      <c r="AC31" s="815"/>
    </row>
    <row r="32" spans="2:30" ht="14.85" customHeight="1">
      <c r="B32" s="435" t="str">
        <f>'Capital IQ Sheet-GPC'!C33</f>
        <v>CRISPR Therapeutics AG</v>
      </c>
      <c r="C32" s="816"/>
      <c r="D32" s="839">
        <f>'Capital IQ Sheet-GPC'!BE33</f>
        <v>32.770000000000003</v>
      </c>
      <c r="E32" s="839">
        <f>'Capital IQ Sheet-GPC'!BF33</f>
        <v>1689.91741</v>
      </c>
      <c r="F32" s="839">
        <f>'Capital IQ Sheet-GPC'!BG33</f>
        <v>0</v>
      </c>
      <c r="G32" s="839" t="str">
        <f>'Capital IQ Sheet-GPC'!BH33</f>
        <v>n/a</v>
      </c>
      <c r="H32" s="839" t="str">
        <f>'Capital IQ Sheet-GPC'!BI33</f>
        <v>n/a</v>
      </c>
      <c r="I32" s="839">
        <f t="shared" si="9"/>
        <v>0</v>
      </c>
      <c r="J32" s="839">
        <f t="shared" si="10"/>
        <v>1689.91741</v>
      </c>
      <c r="K32" s="839">
        <f>'Capital IQ Sheet-GPC'!BJ33</f>
        <v>319.73700000000002</v>
      </c>
      <c r="L32" s="839">
        <f t="shared" si="11"/>
        <v>1370.1804099999999</v>
      </c>
      <c r="M32" s="591"/>
      <c r="N32" s="839">
        <f>'Capital IQ Sheet-GPC'!I33</f>
        <v>32.43</v>
      </c>
      <c r="O32" s="839">
        <f>'Capital IQ Sheet-GPC'!J33</f>
        <v>1679.8645300000001</v>
      </c>
      <c r="P32" s="839">
        <f>'Capital IQ Sheet-GPC'!K33</f>
        <v>0</v>
      </c>
      <c r="Q32" s="839" t="str">
        <f>'Capital IQ Sheet-GPC'!L33</f>
        <v>n/a</v>
      </c>
      <c r="R32" s="839" t="str">
        <f>'Capital IQ Sheet-GPC'!M33</f>
        <v>n/a</v>
      </c>
      <c r="S32" s="839">
        <f t="shared" si="12"/>
        <v>0</v>
      </c>
      <c r="T32" s="839">
        <f t="shared" si="13"/>
        <v>1679.8645300000001</v>
      </c>
      <c r="U32" s="839">
        <f>'Capital IQ Sheet-GPC'!N33</f>
        <v>487.29500000000002</v>
      </c>
      <c r="V32" s="839">
        <f t="shared" si="14"/>
        <v>1192.56953</v>
      </c>
      <c r="X32" s="835">
        <f t="shared" si="15"/>
        <v>-1.0375343301800566E-2</v>
      </c>
      <c r="Y32" s="835">
        <f t="shared" si="16"/>
        <v>-5.9487404180301739E-3</v>
      </c>
      <c r="Z32" s="835">
        <f t="shared" si="17"/>
        <v>-0.12962590816781561</v>
      </c>
      <c r="AC32" s="815" t="str">
        <f>IF('MASTER PubCo Inputs'!C48="","",'MASTER PubCo Inputs'!C48)</f>
        <v>IQ262549448</v>
      </c>
      <c r="AD32" s="234" t="str">
        <f>'Capital IQ Sheet-GPC'!AP33</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3" spans="2:30" ht="14.85" customHeight="1">
      <c r="B33" s="435" t="str">
        <f>'Capital IQ Sheet-GPC'!C34</f>
        <v>Editas Medicine, Inc.</v>
      </c>
      <c r="C33" s="816"/>
      <c r="D33" s="839">
        <f>'Capital IQ Sheet-GPC'!BE34</f>
        <v>25.33</v>
      </c>
      <c r="E33" s="839">
        <f>'Capital IQ Sheet-GPC'!BF34</f>
        <v>1199.44523</v>
      </c>
      <c r="F33" s="839">
        <f>'Capital IQ Sheet-GPC'!BG34</f>
        <v>32.944000000000003</v>
      </c>
      <c r="G33" s="839" t="str">
        <f>'Capital IQ Sheet-GPC'!BH34</f>
        <v>n/a</v>
      </c>
      <c r="H33" s="839" t="str">
        <f>'Capital IQ Sheet-GPC'!BI34</f>
        <v>n/a</v>
      </c>
      <c r="I33" s="839">
        <f t="shared" si="9"/>
        <v>32.944000000000003</v>
      </c>
      <c r="J33" s="839">
        <f t="shared" si="10"/>
        <v>1232.38923</v>
      </c>
      <c r="K33" s="839">
        <f>'Capital IQ Sheet-GPC'!BJ34</f>
        <v>344.08</v>
      </c>
      <c r="L33" s="839">
        <f t="shared" si="11"/>
        <v>888.30923000000007</v>
      </c>
      <c r="M33" s="591"/>
      <c r="N33" s="839">
        <f>'Capital IQ Sheet-GPC'!I34</f>
        <v>21.73</v>
      </c>
      <c r="O33" s="839">
        <f>'Capital IQ Sheet-GPC'!J34</f>
        <v>1032.0795800000001</v>
      </c>
      <c r="P33" s="839">
        <f>'Capital IQ Sheet-GPC'!K34</f>
        <v>32.694000000000003</v>
      </c>
      <c r="Q33" s="839" t="str">
        <f>'Capital IQ Sheet-GPC'!L34</f>
        <v>n/a</v>
      </c>
      <c r="R33" s="839" t="str">
        <f>'Capital IQ Sheet-GPC'!M34</f>
        <v>n/a</v>
      </c>
      <c r="S33" s="839">
        <f t="shared" si="12"/>
        <v>32.694000000000003</v>
      </c>
      <c r="T33" s="839">
        <f t="shared" si="13"/>
        <v>1064.77358</v>
      </c>
      <c r="U33" s="839">
        <f>'Capital IQ Sheet-GPC'!N34</f>
        <v>337.49200000000002</v>
      </c>
      <c r="V33" s="839">
        <f t="shared" si="14"/>
        <v>727.28158000000008</v>
      </c>
      <c r="X33" s="835">
        <f t="shared" si="15"/>
        <v>-0.14212396367943148</v>
      </c>
      <c r="Y33" s="835">
        <f t="shared" si="16"/>
        <v>-0.13953588360178815</v>
      </c>
      <c r="Z33" s="835">
        <f t="shared" si="17"/>
        <v>-0.18127431817859196</v>
      </c>
      <c r="AC33" s="815" t="str">
        <f>IF('MASTER PubCo Inputs'!C49="","",'MASTER PubCo Inputs'!C49)</f>
        <v>IQ252050056</v>
      </c>
      <c r="AD33" s="234" t="str">
        <f>'Capital IQ Sheet-GPC'!AP34</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4" spans="2:30" ht="14.85" customHeight="1">
      <c r="B34" s="435" t="str">
        <f>'Capital IQ Sheet-GPC'!C35</f>
        <v>Intellia Therapeutics, Inc.</v>
      </c>
      <c r="C34" s="816"/>
      <c r="D34" s="839">
        <f>'Capital IQ Sheet-GPC'!BE35</f>
        <v>16.98</v>
      </c>
      <c r="E34" s="839">
        <f>'Capital IQ Sheet-GPC'!BF35</f>
        <v>737.25977</v>
      </c>
      <c r="F34" s="839">
        <f>'Capital IQ Sheet-GPC'!BG35</f>
        <v>0</v>
      </c>
      <c r="G34" s="839" t="str">
        <f>'Capital IQ Sheet-GPC'!BH35</f>
        <v>n/a</v>
      </c>
      <c r="H34" s="839" t="str">
        <f>'Capital IQ Sheet-GPC'!BI35</f>
        <v>n/a</v>
      </c>
      <c r="I34" s="839">
        <f t="shared" si="9"/>
        <v>0</v>
      </c>
      <c r="J34" s="839">
        <f t="shared" si="10"/>
        <v>737.25977</v>
      </c>
      <c r="K34" s="839">
        <f>'Capital IQ Sheet-GPC'!BJ35</f>
        <v>293.24799999999999</v>
      </c>
      <c r="L34" s="839">
        <f t="shared" si="11"/>
        <v>444.01177000000001</v>
      </c>
      <c r="M34" s="591"/>
      <c r="N34" s="839">
        <f>'Capital IQ Sheet-GPC'!I35</f>
        <v>14.14</v>
      </c>
      <c r="O34" s="839">
        <f>'Capital IQ Sheet-GPC'!J35</f>
        <v>613.94893999999999</v>
      </c>
      <c r="P34" s="839">
        <f>'Capital IQ Sheet-GPC'!K35</f>
        <v>0</v>
      </c>
      <c r="Q34" s="839" t="str">
        <f>'Capital IQ Sheet-GPC'!L35</f>
        <v>n/a</v>
      </c>
      <c r="R34" s="839" t="str">
        <f>'Capital IQ Sheet-GPC'!M35</f>
        <v>n/a</v>
      </c>
      <c r="S34" s="839">
        <f t="shared" si="12"/>
        <v>0</v>
      </c>
      <c r="T34" s="839">
        <f t="shared" si="13"/>
        <v>613.94893999999999</v>
      </c>
      <c r="U34" s="839">
        <f>'Capital IQ Sheet-GPC'!N35</f>
        <v>293.24799999999999</v>
      </c>
      <c r="V34" s="839">
        <f t="shared" si="14"/>
        <v>320.70094</v>
      </c>
      <c r="X34" s="835">
        <f t="shared" si="15"/>
        <v>-0.16725559481743224</v>
      </c>
      <c r="Y34" s="835">
        <f t="shared" si="16"/>
        <v>-0.16725560652794058</v>
      </c>
      <c r="Z34" s="835">
        <f t="shared" si="17"/>
        <v>-0.27771973251970328</v>
      </c>
      <c r="AC34" s="815" t="str">
        <f>IF('MASTER PubCo Inputs'!C50="","",'MASTER PubCo Inputs'!C50)</f>
        <v>IQ277799796</v>
      </c>
      <c r="AD34" s="234" t="str">
        <f>'Capital IQ Sheet-GPC'!AP35</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5" spans="2:30" ht="14.85" customHeight="1">
      <c r="B35" s="435" t="str">
        <f>'Capital IQ Sheet-GPC'!C36</f>
        <v>Abeona Therapeutics Inc.</v>
      </c>
      <c r="C35" s="816"/>
      <c r="D35" s="839">
        <f>'Capital IQ Sheet-GPC'!BE36</f>
        <v>8.6</v>
      </c>
      <c r="E35" s="839">
        <f>'Capital IQ Sheet-GPC'!BF36</f>
        <v>412.31225000000001</v>
      </c>
      <c r="F35" s="839">
        <f>'Capital IQ Sheet-GPC'!BG36</f>
        <v>0</v>
      </c>
      <c r="G35" s="839" t="str">
        <f>'Capital IQ Sheet-GPC'!BH36</f>
        <v>n/a</v>
      </c>
      <c r="H35" s="839" t="str">
        <f>'Capital IQ Sheet-GPC'!BI36</f>
        <v>n/a</v>
      </c>
      <c r="I35" s="839">
        <f t="shared" si="9"/>
        <v>0</v>
      </c>
      <c r="J35" s="839">
        <f t="shared" si="10"/>
        <v>412.31225000000001</v>
      </c>
      <c r="K35" s="839">
        <f>'Capital IQ Sheet-GPC'!BJ36</f>
        <v>119.842</v>
      </c>
      <c r="L35" s="839">
        <f t="shared" si="11"/>
        <v>292.47025000000002</v>
      </c>
      <c r="M35" s="591"/>
      <c r="N35" s="839">
        <f>'Capital IQ Sheet-GPC'!I36</f>
        <v>6.79</v>
      </c>
      <c r="O35" s="839">
        <f>'Capital IQ Sheet-GPC'!J36</f>
        <v>325.54306000000003</v>
      </c>
      <c r="P35" s="839">
        <f>'Capital IQ Sheet-GPC'!K36</f>
        <v>0</v>
      </c>
      <c r="Q35" s="839" t="str">
        <f>'Capital IQ Sheet-GPC'!L36</f>
        <v>n/a</v>
      </c>
      <c r="R35" s="839" t="str">
        <f>'Capital IQ Sheet-GPC'!M36</f>
        <v>n/a</v>
      </c>
      <c r="S35" s="839">
        <f t="shared" si="12"/>
        <v>0</v>
      </c>
      <c r="T35" s="839">
        <f t="shared" si="13"/>
        <v>325.54306000000003</v>
      </c>
      <c r="U35" s="839">
        <f>'Capital IQ Sheet-GPC'!N36</f>
        <v>112.224</v>
      </c>
      <c r="V35" s="839">
        <f t="shared" si="14"/>
        <v>213.31906000000004</v>
      </c>
      <c r="X35" s="835">
        <f t="shared" si="15"/>
        <v>-0.21046511627906972</v>
      </c>
      <c r="Y35" s="835">
        <f t="shared" si="16"/>
        <v>-0.21044533602870152</v>
      </c>
      <c r="Z35" s="835">
        <f t="shared" si="17"/>
        <v>-0.27062988457800397</v>
      </c>
      <c r="AC35" s="815" t="str">
        <f>IF('MASTER PubCo Inputs'!C51="","",'MASTER PubCo Inputs'!C51)</f>
        <v>IQ360935</v>
      </c>
      <c r="AD35" s="234" t="str">
        <f>'Capital IQ Sheet-GPC'!AP36</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6" spans="2:30" ht="14.85" hidden="1" customHeight="1" outlineLevel="1">
      <c r="B36" s="435" t="str">
        <f>'Capital IQ Sheet-GPC'!C37</f>
        <v>(Invalid Identifier)</v>
      </c>
      <c r="C36" s="816"/>
      <c r="D36" s="839" t="str">
        <f>'Capital IQ Sheet-GPC'!BE37</f>
        <v>(Invalid Identifier)</v>
      </c>
      <c r="E36" s="839" t="str">
        <f>'Capital IQ Sheet-GPC'!BF37</f>
        <v>(Invalid Identifier)</v>
      </c>
      <c r="F36" s="839" t="str">
        <f>'Capital IQ Sheet-GPC'!BG37</f>
        <v>(Invalid Identifier)</v>
      </c>
      <c r="G36" s="839" t="str">
        <f>'Capital IQ Sheet-GPC'!BH37</f>
        <v>(Invalid Identifier)</v>
      </c>
      <c r="H36" s="839" t="str">
        <f>'Capital IQ Sheet-GPC'!BI37</f>
        <v>(Invalid Identifier)</v>
      </c>
      <c r="I36" s="839">
        <f t="shared" si="9"/>
        <v>0</v>
      </c>
      <c r="J36" s="839">
        <f t="shared" si="10"/>
        <v>0</v>
      </c>
      <c r="K36" s="839" t="str">
        <f>'Capital IQ Sheet-GPC'!BJ37</f>
        <v>(Invalid Identifier)</v>
      </c>
      <c r="L36" s="839" t="str">
        <f t="shared" si="11"/>
        <v>n/a</v>
      </c>
      <c r="M36" s="591"/>
      <c r="N36" s="839" t="str">
        <f>'Capital IQ Sheet-GPC'!I37</f>
        <v>(Invalid Identifier)</v>
      </c>
      <c r="O36" s="839" t="str">
        <f>'Capital IQ Sheet-GPC'!J37</f>
        <v>(Invalid Identifier)</v>
      </c>
      <c r="P36" s="839" t="str">
        <f>'Capital IQ Sheet-GPC'!K37</f>
        <v>(Invalid Identifier)</v>
      </c>
      <c r="Q36" s="839" t="str">
        <f>'Capital IQ Sheet-GPC'!L37</f>
        <v>(Invalid Identifier)</v>
      </c>
      <c r="R36" s="839" t="str">
        <f>'Capital IQ Sheet-GPC'!M37</f>
        <v>(Invalid Identifier)</v>
      </c>
      <c r="S36" s="839">
        <f t="shared" si="12"/>
        <v>0</v>
      </c>
      <c r="T36" s="839">
        <f t="shared" si="13"/>
        <v>0</v>
      </c>
      <c r="U36" s="839" t="str">
        <f>'Capital IQ Sheet-GPC'!N37</f>
        <v>(Invalid Identifier)</v>
      </c>
      <c r="V36" s="839" t="str">
        <f t="shared" si="14"/>
        <v>n/a</v>
      </c>
      <c r="X36" s="835" t="str">
        <f t="shared" si="15"/>
        <v>n/a</v>
      </c>
      <c r="Y36" s="835" t="str">
        <f t="shared" si="16"/>
        <v>n/a</v>
      </c>
      <c r="Z36" s="835" t="str">
        <f t="shared" si="17"/>
        <v>n/a</v>
      </c>
      <c r="AC36" s="815" t="str">
        <f>IF('MASTER PubCo Inputs'!C52="","",'MASTER PubCo Inputs'!C52)</f>
        <v/>
      </c>
      <c r="AD36" s="234" t="str">
        <f>'Capital IQ Sheet-GPC'!AP37</f>
        <v>(Invalid Identifier)</v>
      </c>
    </row>
    <row r="37" spans="2:30" ht="14.85" hidden="1" customHeight="1" outlineLevel="1">
      <c r="B37" s="435" t="str">
        <f>'Capital IQ Sheet-GPC'!C38</f>
        <v>(Invalid Identifier)</v>
      </c>
      <c r="C37" s="816"/>
      <c r="D37" s="839" t="str">
        <f>'Capital IQ Sheet-GPC'!BE38</f>
        <v>(Invalid Identifier)</v>
      </c>
      <c r="E37" s="839" t="str">
        <f>'Capital IQ Sheet-GPC'!BF38</f>
        <v>(Invalid Identifier)</v>
      </c>
      <c r="F37" s="839" t="str">
        <f>'Capital IQ Sheet-GPC'!BG38</f>
        <v>(Invalid Identifier)</v>
      </c>
      <c r="G37" s="839" t="str">
        <f>'Capital IQ Sheet-GPC'!BH38</f>
        <v>(Invalid Identifier)</v>
      </c>
      <c r="H37" s="839" t="str">
        <f>'Capital IQ Sheet-GPC'!BI38</f>
        <v>(Invalid Identifier)</v>
      </c>
      <c r="I37" s="839">
        <f t="shared" si="9"/>
        <v>0</v>
      </c>
      <c r="J37" s="839">
        <f t="shared" si="10"/>
        <v>0</v>
      </c>
      <c r="K37" s="839" t="str">
        <f>'Capital IQ Sheet-GPC'!BJ38</f>
        <v>(Invalid Identifier)</v>
      </c>
      <c r="L37" s="839" t="str">
        <f t="shared" si="11"/>
        <v>n/a</v>
      </c>
      <c r="M37" s="591"/>
      <c r="N37" s="839" t="str">
        <f>'Capital IQ Sheet-GPC'!I38</f>
        <v>(Invalid Identifier)</v>
      </c>
      <c r="O37" s="839" t="str">
        <f>'Capital IQ Sheet-GPC'!J38</f>
        <v>(Invalid Identifier)</v>
      </c>
      <c r="P37" s="839" t="str">
        <f>'Capital IQ Sheet-GPC'!K38</f>
        <v>(Invalid Identifier)</v>
      </c>
      <c r="Q37" s="839" t="str">
        <f>'Capital IQ Sheet-GPC'!L38</f>
        <v>(Invalid Identifier)</v>
      </c>
      <c r="R37" s="839" t="str">
        <f>'Capital IQ Sheet-GPC'!M38</f>
        <v>(Invalid Identifier)</v>
      </c>
      <c r="S37" s="839">
        <f t="shared" si="12"/>
        <v>0</v>
      </c>
      <c r="T37" s="839">
        <f t="shared" si="13"/>
        <v>0</v>
      </c>
      <c r="U37" s="839" t="str">
        <f>'Capital IQ Sheet-GPC'!N38</f>
        <v>(Invalid Identifier)</v>
      </c>
      <c r="V37" s="839" t="str">
        <f t="shared" si="14"/>
        <v>n/a</v>
      </c>
      <c r="X37" s="835" t="str">
        <f t="shared" si="15"/>
        <v>n/a</v>
      </c>
      <c r="Y37" s="835" t="str">
        <f t="shared" si="16"/>
        <v>n/a</v>
      </c>
      <c r="Z37" s="835" t="str">
        <f t="shared" si="17"/>
        <v>n/a</v>
      </c>
      <c r="AC37" s="815" t="str">
        <f>IF('MASTER PubCo Inputs'!C53="","",'MASTER PubCo Inputs'!C53)</f>
        <v/>
      </c>
      <c r="AD37" s="234" t="str">
        <f>'Capital IQ Sheet-GPC'!AP38</f>
        <v>(Invalid Identifier)</v>
      </c>
    </row>
    <row r="38" spans="2:30" ht="14.85" hidden="1" customHeight="1" outlineLevel="1">
      <c r="B38" s="435" t="str">
        <f>'Capital IQ Sheet-GPC'!C39</f>
        <v>(Invalid Identifier)</v>
      </c>
      <c r="C38" s="816"/>
      <c r="D38" s="839" t="str">
        <f>'Capital IQ Sheet-GPC'!BE39</f>
        <v>(Invalid Identifier)</v>
      </c>
      <c r="E38" s="839" t="str">
        <f>'Capital IQ Sheet-GPC'!BF39</f>
        <v>(Invalid Identifier)</v>
      </c>
      <c r="F38" s="839" t="str">
        <f>'Capital IQ Sheet-GPC'!BG39</f>
        <v>(Invalid Identifier)</v>
      </c>
      <c r="G38" s="839" t="str">
        <f>'Capital IQ Sheet-GPC'!BH39</f>
        <v>(Invalid Identifier)</v>
      </c>
      <c r="H38" s="839" t="str">
        <f>'Capital IQ Sheet-GPC'!BI39</f>
        <v>(Invalid Identifier)</v>
      </c>
      <c r="I38" s="839">
        <f t="shared" si="9"/>
        <v>0</v>
      </c>
      <c r="J38" s="839">
        <f t="shared" si="10"/>
        <v>0</v>
      </c>
      <c r="K38" s="839" t="str">
        <f>'Capital IQ Sheet-GPC'!BJ39</f>
        <v>(Invalid Identifier)</v>
      </c>
      <c r="L38" s="839" t="str">
        <f t="shared" si="11"/>
        <v>n/a</v>
      </c>
      <c r="M38" s="591"/>
      <c r="N38" s="839" t="str">
        <f>'Capital IQ Sheet-GPC'!I39</f>
        <v>(Invalid Identifier)</v>
      </c>
      <c r="O38" s="839" t="str">
        <f>'Capital IQ Sheet-GPC'!J39</f>
        <v>(Invalid Identifier)</v>
      </c>
      <c r="P38" s="839" t="str">
        <f>'Capital IQ Sheet-GPC'!K39</f>
        <v>(Invalid Identifier)</v>
      </c>
      <c r="Q38" s="839" t="str">
        <f>'Capital IQ Sheet-GPC'!L39</f>
        <v>(Invalid Identifier)</v>
      </c>
      <c r="R38" s="839" t="str">
        <f>'Capital IQ Sheet-GPC'!M39</f>
        <v>(Invalid Identifier)</v>
      </c>
      <c r="S38" s="839">
        <f t="shared" si="12"/>
        <v>0</v>
      </c>
      <c r="T38" s="839">
        <f t="shared" si="13"/>
        <v>0</v>
      </c>
      <c r="U38" s="839" t="str">
        <f>'Capital IQ Sheet-GPC'!N39</f>
        <v>(Invalid Identifier)</v>
      </c>
      <c r="V38" s="839" t="str">
        <f t="shared" si="14"/>
        <v>n/a</v>
      </c>
      <c r="X38" s="835" t="str">
        <f t="shared" si="15"/>
        <v>n/a</v>
      </c>
      <c r="Y38" s="835" t="str">
        <f t="shared" si="16"/>
        <v>n/a</v>
      </c>
      <c r="Z38" s="835" t="str">
        <f t="shared" si="17"/>
        <v>n/a</v>
      </c>
      <c r="AC38" s="815" t="str">
        <f>IF('MASTER PubCo Inputs'!C54="","",'MASTER PubCo Inputs'!C54)</f>
        <v/>
      </c>
      <c r="AD38" s="234" t="str">
        <f>'Capital IQ Sheet-GPC'!AP39</f>
        <v>(Invalid Identifier)</v>
      </c>
    </row>
    <row r="39" spans="2:30" ht="14.85" hidden="1" customHeight="1" outlineLevel="1">
      <c r="B39" s="435" t="str">
        <f>'Capital IQ Sheet-GPC'!C40</f>
        <v>(Invalid Identifier)</v>
      </c>
      <c r="C39" s="816"/>
      <c r="D39" s="839" t="str">
        <f>'Capital IQ Sheet-GPC'!BE40</f>
        <v>(Invalid Identifier)</v>
      </c>
      <c r="E39" s="839" t="str">
        <f>'Capital IQ Sheet-GPC'!BF40</f>
        <v>(Invalid Identifier)</v>
      </c>
      <c r="F39" s="839" t="str">
        <f>'Capital IQ Sheet-GPC'!BG40</f>
        <v>(Invalid Identifier)</v>
      </c>
      <c r="G39" s="839" t="str">
        <f>'Capital IQ Sheet-GPC'!BH40</f>
        <v>(Invalid Identifier)</v>
      </c>
      <c r="H39" s="839" t="str">
        <f>'Capital IQ Sheet-GPC'!BI40</f>
        <v>(Invalid Identifier)</v>
      </c>
      <c r="I39" s="839">
        <f t="shared" si="9"/>
        <v>0</v>
      </c>
      <c r="J39" s="839">
        <f t="shared" si="10"/>
        <v>0</v>
      </c>
      <c r="K39" s="839" t="str">
        <f>'Capital IQ Sheet-GPC'!BJ40</f>
        <v>(Invalid Identifier)</v>
      </c>
      <c r="L39" s="839" t="str">
        <f t="shared" si="11"/>
        <v>n/a</v>
      </c>
      <c r="M39" s="591"/>
      <c r="N39" s="839" t="str">
        <f>'Capital IQ Sheet-GPC'!I40</f>
        <v>(Invalid Identifier)</v>
      </c>
      <c r="O39" s="839" t="str">
        <f>'Capital IQ Sheet-GPC'!J40</f>
        <v>(Invalid Identifier)</v>
      </c>
      <c r="P39" s="839" t="str">
        <f>'Capital IQ Sheet-GPC'!K40</f>
        <v>(Invalid Identifier)</v>
      </c>
      <c r="Q39" s="839" t="str">
        <f>'Capital IQ Sheet-GPC'!L40</f>
        <v>(Invalid Identifier)</v>
      </c>
      <c r="R39" s="839" t="str">
        <f>'Capital IQ Sheet-GPC'!M40</f>
        <v>(Invalid Identifier)</v>
      </c>
      <c r="S39" s="839">
        <f t="shared" si="12"/>
        <v>0</v>
      </c>
      <c r="T39" s="839">
        <f t="shared" si="13"/>
        <v>0</v>
      </c>
      <c r="U39" s="839" t="str">
        <f>'Capital IQ Sheet-GPC'!N40</f>
        <v>(Invalid Identifier)</v>
      </c>
      <c r="V39" s="839" t="str">
        <f t="shared" si="14"/>
        <v>n/a</v>
      </c>
      <c r="X39" s="835" t="str">
        <f t="shared" si="15"/>
        <v>n/a</v>
      </c>
      <c r="Y39" s="835" t="str">
        <f t="shared" si="16"/>
        <v>n/a</v>
      </c>
      <c r="Z39" s="835" t="str">
        <f t="shared" si="17"/>
        <v>n/a</v>
      </c>
      <c r="AC39" s="815" t="str">
        <f>IF('MASTER PubCo Inputs'!C55="","",'MASTER PubCo Inputs'!C55)</f>
        <v/>
      </c>
      <c r="AD39" s="234" t="str">
        <f>'Capital IQ Sheet-GPC'!AP40</f>
        <v>(Invalid Identifier)</v>
      </c>
    </row>
    <row r="40" spans="2:30" ht="14.85" hidden="1" customHeight="1" outlineLevel="1">
      <c r="B40" s="435" t="str">
        <f>'Capital IQ Sheet-GPC'!C41</f>
        <v>(Invalid Identifier)</v>
      </c>
      <c r="C40" s="816"/>
      <c r="D40" s="839" t="str">
        <f>'Capital IQ Sheet-GPC'!BE41</f>
        <v>(Invalid Identifier)</v>
      </c>
      <c r="E40" s="839" t="str">
        <f>'Capital IQ Sheet-GPC'!BF41</f>
        <v>(Invalid Identifier)</v>
      </c>
      <c r="F40" s="839" t="str">
        <f>'Capital IQ Sheet-GPC'!BG41</f>
        <v>(Invalid Identifier)</v>
      </c>
      <c r="G40" s="839" t="str">
        <f>'Capital IQ Sheet-GPC'!BH41</f>
        <v>(Invalid Identifier)</v>
      </c>
      <c r="H40" s="839" t="str">
        <f>'Capital IQ Sheet-GPC'!BI41</f>
        <v>(Invalid Identifier)</v>
      </c>
      <c r="I40" s="839">
        <f t="shared" si="9"/>
        <v>0</v>
      </c>
      <c r="J40" s="839">
        <f t="shared" si="10"/>
        <v>0</v>
      </c>
      <c r="K40" s="839" t="str">
        <f>'Capital IQ Sheet-GPC'!BJ41</f>
        <v>(Invalid Identifier)</v>
      </c>
      <c r="L40" s="839" t="str">
        <f t="shared" si="11"/>
        <v>n/a</v>
      </c>
      <c r="M40" s="591"/>
      <c r="N40" s="839" t="str">
        <f>'Capital IQ Sheet-GPC'!I41</f>
        <v>(Invalid Identifier)</v>
      </c>
      <c r="O40" s="839" t="str">
        <f>'Capital IQ Sheet-GPC'!J41</f>
        <v>(Invalid Identifier)</v>
      </c>
      <c r="P40" s="839" t="str">
        <f>'Capital IQ Sheet-GPC'!K41</f>
        <v>(Invalid Identifier)</v>
      </c>
      <c r="Q40" s="839" t="str">
        <f>'Capital IQ Sheet-GPC'!L41</f>
        <v>(Invalid Identifier)</v>
      </c>
      <c r="R40" s="839" t="str">
        <f>'Capital IQ Sheet-GPC'!M41</f>
        <v>(Invalid Identifier)</v>
      </c>
      <c r="S40" s="839">
        <f t="shared" si="12"/>
        <v>0</v>
      </c>
      <c r="T40" s="839">
        <f t="shared" si="13"/>
        <v>0</v>
      </c>
      <c r="U40" s="839" t="str">
        <f>'Capital IQ Sheet-GPC'!N41</f>
        <v>(Invalid Identifier)</v>
      </c>
      <c r="V40" s="839" t="str">
        <f t="shared" si="14"/>
        <v>n/a</v>
      </c>
      <c r="X40" s="835" t="str">
        <f t="shared" si="15"/>
        <v>n/a</v>
      </c>
      <c r="Y40" s="835" t="str">
        <f t="shared" si="16"/>
        <v>n/a</v>
      </c>
      <c r="Z40" s="835" t="str">
        <f t="shared" si="17"/>
        <v>n/a</v>
      </c>
      <c r="AC40" s="815" t="str">
        <f>IF('MASTER PubCo Inputs'!C56="","",'MASTER PubCo Inputs'!C56)</f>
        <v/>
      </c>
      <c r="AD40" s="234" t="str">
        <f>'Capital IQ Sheet-GPC'!AP41</f>
        <v>(Invalid Identifier)</v>
      </c>
    </row>
    <row r="41" spans="2:30" ht="14.85" hidden="1" customHeight="1" outlineLevel="1">
      <c r="B41" s="435" t="str">
        <f>'Capital IQ Sheet-GPC'!C42</f>
        <v>(Invalid Identifier)</v>
      </c>
      <c r="C41" s="816"/>
      <c r="D41" s="839" t="str">
        <f>'Capital IQ Sheet-GPC'!BE42</f>
        <v>(Invalid Identifier)</v>
      </c>
      <c r="E41" s="839" t="str">
        <f>'Capital IQ Sheet-GPC'!BF42</f>
        <v>(Invalid Identifier)</v>
      </c>
      <c r="F41" s="839" t="str">
        <f>'Capital IQ Sheet-GPC'!BG42</f>
        <v>(Invalid Identifier)</v>
      </c>
      <c r="G41" s="839" t="str">
        <f>'Capital IQ Sheet-GPC'!BH42</f>
        <v>(Invalid Identifier)</v>
      </c>
      <c r="H41" s="839" t="str">
        <f>'Capital IQ Sheet-GPC'!BI42</f>
        <v>(Invalid Identifier)</v>
      </c>
      <c r="I41" s="839">
        <f t="shared" si="9"/>
        <v>0</v>
      </c>
      <c r="J41" s="839">
        <f t="shared" si="10"/>
        <v>0</v>
      </c>
      <c r="K41" s="839" t="str">
        <f>'Capital IQ Sheet-GPC'!BJ42</f>
        <v>(Invalid Identifier)</v>
      </c>
      <c r="L41" s="839" t="str">
        <f t="shared" si="11"/>
        <v>n/a</v>
      </c>
      <c r="M41" s="591"/>
      <c r="N41" s="839" t="str">
        <f>'Capital IQ Sheet-GPC'!I42</f>
        <v>(Invalid Identifier)</v>
      </c>
      <c r="O41" s="839" t="str">
        <f>'Capital IQ Sheet-GPC'!J42</f>
        <v>(Invalid Identifier)</v>
      </c>
      <c r="P41" s="839" t="str">
        <f>'Capital IQ Sheet-GPC'!K42</f>
        <v>(Invalid Identifier)</v>
      </c>
      <c r="Q41" s="839" t="str">
        <f>'Capital IQ Sheet-GPC'!L42</f>
        <v>(Invalid Identifier)</v>
      </c>
      <c r="R41" s="839" t="str">
        <f>'Capital IQ Sheet-GPC'!M42</f>
        <v>(Invalid Identifier)</v>
      </c>
      <c r="S41" s="839">
        <f t="shared" si="12"/>
        <v>0</v>
      </c>
      <c r="T41" s="839">
        <f t="shared" si="13"/>
        <v>0</v>
      </c>
      <c r="U41" s="839" t="str">
        <f>'Capital IQ Sheet-GPC'!N42</f>
        <v>(Invalid Identifier)</v>
      </c>
      <c r="V41" s="839" t="str">
        <f t="shared" si="14"/>
        <v>n/a</v>
      </c>
      <c r="X41" s="835" t="str">
        <f t="shared" si="15"/>
        <v>n/a</v>
      </c>
      <c r="Y41" s="835" t="str">
        <f t="shared" si="16"/>
        <v>n/a</v>
      </c>
      <c r="Z41" s="835" t="str">
        <f t="shared" si="17"/>
        <v>n/a</v>
      </c>
      <c r="AC41" s="815" t="str">
        <f>IF('MASTER PubCo Inputs'!C57="","",'MASTER PubCo Inputs'!C57)</f>
        <v/>
      </c>
      <c r="AD41" s="234" t="str">
        <f>'Capital IQ Sheet-GPC'!AP42</f>
        <v>(Invalid Identifier)</v>
      </c>
    </row>
    <row r="42" spans="2:30" ht="14.85" customHeight="1" collapsed="1"/>
    <row r="43" spans="2:30" ht="14.85" customHeight="1">
      <c r="B43" s="854" t="s">
        <v>111</v>
      </c>
      <c r="C43" s="855"/>
      <c r="D43" s="856">
        <f>MAX(D11:D41)</f>
        <v>114.7</v>
      </c>
      <c r="E43" s="856">
        <f t="shared" ref="E43:Z43" si="18">MAX(E11:E41)</f>
        <v>8096.57539</v>
      </c>
      <c r="F43" s="856">
        <f t="shared" si="18"/>
        <v>407.14600000000002</v>
      </c>
      <c r="G43" s="856">
        <f t="shared" si="18"/>
        <v>120.922</v>
      </c>
      <c r="H43" s="856">
        <f t="shared" si="18"/>
        <v>0</v>
      </c>
      <c r="I43" s="856">
        <f t="shared" si="18"/>
        <v>407.14600000000002</v>
      </c>
      <c r="J43" s="856">
        <f t="shared" si="18"/>
        <v>8126.57539</v>
      </c>
      <c r="K43" s="856">
        <f t="shared" si="18"/>
        <v>1447.6659999999999</v>
      </c>
      <c r="L43" s="856">
        <f t="shared" si="18"/>
        <v>6678.9093899999998</v>
      </c>
      <c r="M43" s="857"/>
      <c r="N43" s="856">
        <f t="shared" si="18"/>
        <v>133.43</v>
      </c>
      <c r="O43" s="856">
        <f t="shared" si="18"/>
        <v>8868.9653999999991</v>
      </c>
      <c r="P43" s="856">
        <f t="shared" si="18"/>
        <v>409.30599999999998</v>
      </c>
      <c r="Q43" s="856">
        <f t="shared" si="18"/>
        <v>123.489</v>
      </c>
      <c r="R43" s="856">
        <f t="shared" si="18"/>
        <v>0</v>
      </c>
      <c r="S43" s="856">
        <f t="shared" si="18"/>
        <v>409.30599999999998</v>
      </c>
      <c r="T43" s="856">
        <f t="shared" si="18"/>
        <v>8898.9653999999991</v>
      </c>
      <c r="U43" s="856">
        <f t="shared" si="18"/>
        <v>1695.2950000000001</v>
      </c>
      <c r="V43" s="856">
        <f t="shared" si="18"/>
        <v>7662.1313999999993</v>
      </c>
      <c r="W43" s="856"/>
      <c r="X43" s="858">
        <f t="shared" si="18"/>
        <v>0.36534625249358776</v>
      </c>
      <c r="Y43" s="858">
        <f t="shared" si="18"/>
        <v>0.45652575013697017</v>
      </c>
      <c r="Z43" s="859">
        <f t="shared" si="18"/>
        <v>0.6694126895273822</v>
      </c>
    </row>
    <row r="44" spans="2:30" ht="14.85" customHeight="1">
      <c r="B44" s="821" t="s">
        <v>115</v>
      </c>
      <c r="C44" s="823"/>
      <c r="D44" s="822">
        <f>QUARTILE(D11:D41,3)</f>
        <v>33.930000000000007</v>
      </c>
      <c r="E44" s="822">
        <f t="shared" ref="E44:Z44" si="19">QUARTILE(E11:E41,3)</f>
        <v>1758.446725</v>
      </c>
      <c r="F44" s="822">
        <f t="shared" si="19"/>
        <v>25.433999999999997</v>
      </c>
      <c r="G44" s="822">
        <f t="shared" si="19"/>
        <v>55.027000000000001</v>
      </c>
      <c r="H44" s="822" t="e">
        <f t="shared" si="19"/>
        <v>#NUM!</v>
      </c>
      <c r="I44" s="822">
        <f t="shared" si="19"/>
        <v>30</v>
      </c>
      <c r="J44" s="822">
        <f t="shared" si="19"/>
        <v>1689.91741</v>
      </c>
      <c r="K44" s="822">
        <f t="shared" si="19"/>
        <v>331.9085</v>
      </c>
      <c r="L44" s="822">
        <f t="shared" si="19"/>
        <v>1367.1232500000001</v>
      </c>
      <c r="M44" s="822"/>
      <c r="N44" s="822">
        <f t="shared" si="19"/>
        <v>38.325000000000003</v>
      </c>
      <c r="O44" s="822">
        <f t="shared" si="19"/>
        <v>1742.465835</v>
      </c>
      <c r="P44" s="822">
        <f t="shared" si="19"/>
        <v>25.353999999999999</v>
      </c>
      <c r="Q44" s="822">
        <f t="shared" si="19"/>
        <v>55.668750000000003</v>
      </c>
      <c r="R44" s="822" t="e">
        <f t="shared" si="19"/>
        <v>#NUM!</v>
      </c>
      <c r="S44" s="822">
        <f t="shared" si="19"/>
        <v>30</v>
      </c>
      <c r="T44" s="822">
        <f t="shared" si="19"/>
        <v>1575.5421799999999</v>
      </c>
      <c r="U44" s="822">
        <f t="shared" si="19"/>
        <v>377.9085</v>
      </c>
      <c r="V44" s="822">
        <f t="shared" si="19"/>
        <v>1251.21766</v>
      </c>
      <c r="W44" s="822"/>
      <c r="X44" s="860">
        <f t="shared" si="19"/>
        <v>5.2825479453449287E-2</v>
      </c>
      <c r="Y44" s="860">
        <f t="shared" si="19"/>
        <v>7.3255255971028999E-2</v>
      </c>
      <c r="Z44" s="861">
        <f t="shared" si="19"/>
        <v>0.11777655030805234</v>
      </c>
    </row>
    <row r="45" spans="2:30" ht="14.85" customHeight="1">
      <c r="B45" s="821" t="s">
        <v>113</v>
      </c>
      <c r="C45" s="823"/>
      <c r="D45" s="822">
        <f>AVERAGE(D11:D41)</f>
        <v>28.217173913043485</v>
      </c>
      <c r="E45" s="822">
        <f t="shared" ref="E45:Z45" si="20">AVERAGE(E11:E41)</f>
        <v>1530.1481891304343</v>
      </c>
      <c r="F45" s="822">
        <f t="shared" si="20"/>
        <v>35.04572608695652</v>
      </c>
      <c r="G45" s="822">
        <f t="shared" si="20"/>
        <v>42.062499999999993</v>
      </c>
      <c r="H45" s="822" t="e">
        <f t="shared" si="20"/>
        <v>#DIV/0!</v>
      </c>
      <c r="I45" s="822">
        <f t="shared" si="20"/>
        <v>33.596610344827589</v>
      </c>
      <c r="J45" s="822">
        <f t="shared" si="20"/>
        <v>1247.1624155172415</v>
      </c>
      <c r="K45" s="822">
        <f t="shared" si="20"/>
        <v>341.90440652173913</v>
      </c>
      <c r="L45" s="822">
        <f t="shared" si="20"/>
        <v>1230.6047260869566</v>
      </c>
      <c r="M45" s="823"/>
      <c r="N45" s="822">
        <f t="shared" si="20"/>
        <v>27.684782608695649</v>
      </c>
      <c r="O45" s="822">
        <f t="shared" si="20"/>
        <v>1587.2495647826088</v>
      </c>
      <c r="P45" s="822">
        <f t="shared" si="20"/>
        <v>37.258999999999993</v>
      </c>
      <c r="Q45" s="822">
        <f t="shared" si="20"/>
        <v>42.704249999999995</v>
      </c>
      <c r="R45" s="822" t="e">
        <f t="shared" si="20"/>
        <v>#DIV/0!</v>
      </c>
      <c r="S45" s="822">
        <f t="shared" si="20"/>
        <v>35.440482758620689</v>
      </c>
      <c r="T45" s="822">
        <f t="shared" si="20"/>
        <v>1294.2935858620692</v>
      </c>
      <c r="U45" s="822">
        <f t="shared" si="20"/>
        <v>354.92808695652167</v>
      </c>
      <c r="V45" s="822">
        <f t="shared" si="20"/>
        <v>1277.0073039130434</v>
      </c>
      <c r="W45" s="822"/>
      <c r="X45" s="862">
        <f t="shared" si="20"/>
        <v>-5.803947879290286E-2</v>
      </c>
      <c r="Y45" s="862">
        <f t="shared" si="20"/>
        <v>-3.786057815386213E-2</v>
      </c>
      <c r="Z45" s="863">
        <f t="shared" si="20"/>
        <v>-4.6320967771238342E-2</v>
      </c>
    </row>
    <row r="46" spans="2:30" ht="14.85" customHeight="1">
      <c r="B46" s="821" t="s">
        <v>44</v>
      </c>
      <c r="C46" s="823"/>
      <c r="D46" s="822">
        <f>MEDIAN(D11:D41)</f>
        <v>16.98</v>
      </c>
      <c r="E46" s="822">
        <f t="shared" ref="E46:Z46" si="21">MEDIAN(E11:E41)</f>
        <v>958.32745999999997</v>
      </c>
      <c r="F46" s="822">
        <f t="shared" si="21"/>
        <v>0</v>
      </c>
      <c r="G46" s="822">
        <f t="shared" si="21"/>
        <v>20.342499999999998</v>
      </c>
      <c r="H46" s="822" t="e">
        <f t="shared" si="21"/>
        <v>#NUM!</v>
      </c>
      <c r="I46" s="822">
        <f t="shared" si="21"/>
        <v>0</v>
      </c>
      <c r="J46" s="822">
        <f t="shared" si="21"/>
        <v>558.57519000000002</v>
      </c>
      <c r="K46" s="822">
        <f t="shared" si="21"/>
        <v>259.18</v>
      </c>
      <c r="L46" s="822">
        <f t="shared" si="21"/>
        <v>720.01546000000008</v>
      </c>
      <c r="M46" s="823"/>
      <c r="N46" s="822">
        <f t="shared" si="21"/>
        <v>14.14</v>
      </c>
      <c r="O46" s="822">
        <f t="shared" si="21"/>
        <v>1032.0795800000001</v>
      </c>
      <c r="P46" s="822">
        <f t="shared" si="21"/>
        <v>0</v>
      </c>
      <c r="Q46" s="822">
        <f t="shared" si="21"/>
        <v>20.342499999999998</v>
      </c>
      <c r="R46" s="822" t="e">
        <f t="shared" si="21"/>
        <v>#NUM!</v>
      </c>
      <c r="S46" s="822">
        <f t="shared" si="21"/>
        <v>0</v>
      </c>
      <c r="T46" s="822">
        <f t="shared" si="21"/>
        <v>483.13693999999998</v>
      </c>
      <c r="U46" s="822">
        <f t="shared" si="21"/>
        <v>239.54599999999999</v>
      </c>
      <c r="V46" s="822">
        <f t="shared" si="21"/>
        <v>727.28158000000008</v>
      </c>
      <c r="W46" s="822"/>
      <c r="X46" s="862">
        <f t="shared" si="21"/>
        <v>-7.7348066298342566E-2</v>
      </c>
      <c r="Y46" s="862">
        <f t="shared" si="21"/>
        <v>-6.8239187037655524E-2</v>
      </c>
      <c r="Z46" s="863">
        <f t="shared" si="21"/>
        <v>-9.8897197375566459E-2</v>
      </c>
    </row>
    <row r="47" spans="2:30" ht="14.85" customHeight="1">
      <c r="B47" s="821" t="s">
        <v>114</v>
      </c>
      <c r="C47" s="823"/>
      <c r="D47" s="822">
        <f>QUARTILE(D11:D41,1)</f>
        <v>11.635</v>
      </c>
      <c r="E47" s="822">
        <f t="shared" ref="E47:Z47" si="22">QUARTILE(E11:E41,1)</f>
        <v>419.96021999999999</v>
      </c>
      <c r="F47" s="822">
        <f t="shared" si="22"/>
        <v>0</v>
      </c>
      <c r="G47" s="822">
        <f t="shared" si="22"/>
        <v>7.3780000000000001</v>
      </c>
      <c r="H47" s="822" t="e">
        <f t="shared" si="22"/>
        <v>#NUM!</v>
      </c>
      <c r="I47" s="822">
        <f t="shared" si="22"/>
        <v>0</v>
      </c>
      <c r="J47" s="822">
        <f t="shared" si="22"/>
        <v>192.44385</v>
      </c>
      <c r="K47" s="822">
        <f t="shared" si="22"/>
        <v>168.0575</v>
      </c>
      <c r="L47" s="822">
        <f t="shared" si="22"/>
        <v>302.34797500000002</v>
      </c>
      <c r="M47" s="823"/>
      <c r="N47" s="822">
        <f t="shared" si="22"/>
        <v>8.495000000000001</v>
      </c>
      <c r="O47" s="822">
        <f t="shared" si="22"/>
        <v>333.53233499999999</v>
      </c>
      <c r="P47" s="822">
        <f t="shared" si="22"/>
        <v>0</v>
      </c>
      <c r="Q47" s="822">
        <f t="shared" si="22"/>
        <v>7.3780000000000001</v>
      </c>
      <c r="R47" s="822" t="e">
        <f t="shared" si="22"/>
        <v>#NUM!</v>
      </c>
      <c r="S47" s="822">
        <f t="shared" si="22"/>
        <v>0</v>
      </c>
      <c r="T47" s="822">
        <f t="shared" si="22"/>
        <v>197.11606</v>
      </c>
      <c r="U47" s="822">
        <f t="shared" si="22"/>
        <v>151.708</v>
      </c>
      <c r="V47" s="822">
        <f t="shared" si="22"/>
        <v>214.77052</v>
      </c>
      <c r="W47" s="822"/>
      <c r="X47" s="862">
        <f t="shared" si="22"/>
        <v>-0.16605836664251566</v>
      </c>
      <c r="Y47" s="862">
        <f t="shared" si="22"/>
        <v>-0.15180550552760896</v>
      </c>
      <c r="Z47" s="863">
        <f t="shared" si="22"/>
        <v>-0.16897374380990043</v>
      </c>
    </row>
    <row r="48" spans="2:30" ht="14.85" customHeight="1">
      <c r="B48" s="754" t="s">
        <v>112</v>
      </c>
      <c r="C48" s="556"/>
      <c r="D48" s="565">
        <f>MIN(D11:D41)</f>
        <v>2.1150000000000002</v>
      </c>
      <c r="E48" s="565">
        <f t="shared" ref="E48:Z48" si="23">MIN(E11:E41)</f>
        <v>19.70119</v>
      </c>
      <c r="F48" s="565">
        <f t="shared" si="23"/>
        <v>0</v>
      </c>
      <c r="G48" s="565">
        <f t="shared" si="23"/>
        <v>6.6429999999999998</v>
      </c>
      <c r="H48" s="565">
        <f t="shared" si="23"/>
        <v>0</v>
      </c>
      <c r="I48" s="565">
        <f t="shared" si="23"/>
        <v>0</v>
      </c>
      <c r="J48" s="565">
        <f t="shared" si="23"/>
        <v>0</v>
      </c>
      <c r="K48" s="565">
        <f t="shared" si="23"/>
        <v>15.41</v>
      </c>
      <c r="L48" s="565">
        <f t="shared" si="23"/>
        <v>11.914190000000001</v>
      </c>
      <c r="M48" s="864"/>
      <c r="N48" s="565">
        <f t="shared" si="23"/>
        <v>1.97</v>
      </c>
      <c r="O48" s="565">
        <f t="shared" si="23"/>
        <v>19.22391</v>
      </c>
      <c r="P48" s="565">
        <f t="shared" si="23"/>
        <v>0</v>
      </c>
      <c r="Q48" s="565">
        <f t="shared" si="23"/>
        <v>6.6429999999999998</v>
      </c>
      <c r="R48" s="565">
        <f t="shared" si="23"/>
        <v>0</v>
      </c>
      <c r="S48" s="565">
        <f t="shared" si="23"/>
        <v>0</v>
      </c>
      <c r="T48" s="565">
        <f t="shared" si="23"/>
        <v>0</v>
      </c>
      <c r="U48" s="565">
        <f t="shared" si="23"/>
        <v>12.877000000000001</v>
      </c>
      <c r="V48" s="565">
        <f t="shared" si="23"/>
        <v>10.735910000000001</v>
      </c>
      <c r="W48" s="864"/>
      <c r="X48" s="865">
        <f t="shared" si="23"/>
        <v>-0.62944785276073623</v>
      </c>
      <c r="Y48" s="865">
        <f t="shared" si="23"/>
        <v>-0.62944785973346296</v>
      </c>
      <c r="Z48" s="866">
        <f t="shared" si="23"/>
        <v>-0.75981943110086481</v>
      </c>
    </row>
    <row r="49" spans="2:14" ht="14.85" customHeight="1"/>
    <row r="50" spans="2:14" ht="14.85" customHeight="1">
      <c r="B50" s="279" t="s">
        <v>116</v>
      </c>
      <c r="C50" s="279"/>
      <c r="D50" s="279"/>
      <c r="N50" s="279"/>
    </row>
    <row r="51" spans="2:14" ht="14.85" customHeight="1"/>
    <row r="52" spans="2:14" ht="14.85" customHeight="1"/>
    <row r="53" spans="2:14" ht="14.85" customHeight="1"/>
    <row r="54" spans="2:14" ht="14.85" customHeight="1"/>
    <row r="55" spans="2:14" ht="14.85" customHeight="1"/>
    <row r="56" spans="2:14" ht="14.85" customHeight="1"/>
    <row r="57" spans="2:14" ht="14.85" customHeight="1"/>
    <row r="58" spans="2:14" ht="14.85" customHeight="1"/>
    <row r="59" spans="2:14" ht="14.85" customHeight="1"/>
    <row r="60" spans="2:14" ht="14.85" customHeight="1"/>
    <row r="61" spans="2:14" ht="14.85" customHeight="1"/>
    <row r="62" spans="2:14" ht="14.85" customHeight="1"/>
    <row r="63" spans="2:14" ht="14.85" customHeight="1"/>
    <row r="64" spans="2:1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conditionalFormatting sqref="B4:Y4">
    <cfRule type="cellIs" dxfId="183" priority="21" stopIfTrue="1" operator="equal">
      <formula>"input"</formula>
    </cfRule>
  </conditionalFormatting>
  <conditionalFormatting sqref="B11:C30 N11:N41 B32:C41 C31">
    <cfRule type="cellIs" dxfId="182" priority="20" operator="equal">
      <formula>"(Invalid Identifier)"</formula>
    </cfRule>
  </conditionalFormatting>
  <conditionalFormatting sqref="Z4">
    <cfRule type="cellIs" dxfId="181" priority="18" stopIfTrue="1" operator="equal">
      <formula>"input"</formula>
    </cfRule>
  </conditionalFormatting>
  <conditionalFormatting sqref="Z4">
    <cfRule type="cellIs" dxfId="180" priority="19" stopIfTrue="1" operator="equal">
      <formula>"input"</formula>
    </cfRule>
  </conditionalFormatting>
  <conditionalFormatting sqref="D11:D41">
    <cfRule type="cellIs" dxfId="179" priority="17" operator="equal">
      <formula>"(Invalid Identifier)"</formula>
    </cfRule>
  </conditionalFormatting>
  <conditionalFormatting sqref="E11:E41">
    <cfRule type="cellIs" dxfId="178" priority="11" operator="equal">
      <formula>"(Invalid Identifier)"</formula>
    </cfRule>
  </conditionalFormatting>
  <conditionalFormatting sqref="F11:F41">
    <cfRule type="cellIs" dxfId="177" priority="10" operator="equal">
      <formula>"(Invalid Identifier)"</formula>
    </cfRule>
  </conditionalFormatting>
  <conditionalFormatting sqref="G11:G41">
    <cfRule type="cellIs" dxfId="176" priority="9" operator="equal">
      <formula>"(Invalid Identifier)"</formula>
    </cfRule>
  </conditionalFormatting>
  <conditionalFormatting sqref="H11:H41">
    <cfRule type="cellIs" dxfId="175" priority="8" operator="equal">
      <formula>"(Invalid Identifier)"</formula>
    </cfRule>
  </conditionalFormatting>
  <conditionalFormatting sqref="K11:K41">
    <cfRule type="cellIs" dxfId="174" priority="7" operator="equal">
      <formula>"(Invalid Identifier)"</formula>
    </cfRule>
  </conditionalFormatting>
  <conditionalFormatting sqref="O11:O41">
    <cfRule type="cellIs" dxfId="173" priority="6" operator="equal">
      <formula>"(Invalid Identifier)"</formula>
    </cfRule>
  </conditionalFormatting>
  <conditionalFormatting sqref="P11:P41">
    <cfRule type="cellIs" dxfId="172" priority="5" operator="equal">
      <formula>"(Invalid Identifier)"</formula>
    </cfRule>
  </conditionalFormatting>
  <conditionalFormatting sqref="Q11:Q41">
    <cfRule type="cellIs" dxfId="171" priority="4" operator="equal">
      <formula>"(Invalid Identifier)"</formula>
    </cfRule>
  </conditionalFormatting>
  <conditionalFormatting sqref="R11:R41">
    <cfRule type="cellIs" dxfId="170" priority="3" operator="equal">
      <formula>"(Invalid Identifier)"</formula>
    </cfRule>
  </conditionalFormatting>
  <conditionalFormatting sqref="U11:U41">
    <cfRule type="cellIs" dxfId="169" priority="2" operator="equal">
      <formula>"(Invalid Identifier)"</formula>
    </cfRule>
  </conditionalFormatting>
  <conditionalFormatting sqref="B31">
    <cfRule type="cellIs" dxfId="168" priority="1" operator="equal">
      <formula>"(Invalid Identifier)"</formula>
    </cfRule>
  </conditionalFormatting>
  <pageMargins left="0.5" right="0.5" top="0.5" bottom="0.5" header="0.5" footer="0.5"/>
  <pageSetup scale="71" fitToWidth="0" fitToHeight="0" orientation="landscape" r:id="rId1"/>
  <legacyDrawingHF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6"/>
  <dimension ref="B1:H676"/>
  <sheetViews>
    <sheetView showGridLines="0" view="pageBreakPreview" zoomScaleNormal="100" zoomScaleSheetLayoutView="100" workbookViewId="0"/>
  </sheetViews>
  <sheetFormatPr defaultRowHeight="14.25" outlineLevelRow="1" outlineLevelCol="1"/>
  <cols>
    <col min="1" max="1" width="2.83203125" style="234" customWidth="1"/>
    <col min="2" max="2" width="60.1640625" style="252" customWidth="1"/>
    <col min="3" max="4" width="23.83203125" style="252" customWidth="1"/>
    <col min="5" max="5" width="19.1640625" style="252" hidden="1" customWidth="1" outlineLevel="1"/>
    <col min="6" max="6" width="23.83203125" style="252" customWidth="1" collapsed="1"/>
    <col min="7" max="7" width="2.83203125" style="252" customWidth="1"/>
    <col min="8" max="8" width="9.33203125" style="252"/>
    <col min="9" max="16384" width="9.33203125" style="234"/>
  </cols>
  <sheetData>
    <row r="1" spans="2:6" ht="10.7" customHeight="1" thickBot="1">
      <c r="B1" s="234"/>
      <c r="C1" s="234"/>
      <c r="D1" s="234"/>
      <c r="E1" s="234"/>
      <c r="F1" s="234"/>
    </row>
    <row r="2" spans="2:6" ht="16.5" customHeight="1" thickTop="1">
      <c r="B2" s="223" t="str">
        <f>'MASTER PubCo Inputs'!$C$5</f>
        <v>Trucode Gene Repair, Inc.</v>
      </c>
      <c r="C2" s="223"/>
      <c r="D2" s="223"/>
      <c r="E2" s="223"/>
      <c r="F2" s="223"/>
    </row>
    <row r="3" spans="2:6" ht="15.75" customHeight="1">
      <c r="B3" s="232" t="str">
        <f>VLOOKUP(B4,Outline!$E$8:$G$65,COLUMNS(Outline!$E$8:$G$8),FALSE)</f>
        <v>Workpaper #9</v>
      </c>
      <c r="C3" s="232"/>
      <c r="D3" s="232"/>
      <c r="E3" s="232"/>
      <c r="F3" s="232"/>
    </row>
    <row r="4" spans="2:6" ht="16.5" customHeight="1" thickBot="1">
      <c r="B4" s="225" t="s">
        <v>676</v>
      </c>
      <c r="C4" s="225"/>
      <c r="D4" s="225"/>
      <c r="E4" s="225"/>
      <c r="F4" s="233" t="str">
        <f>+'MASTER PubCo Inputs'!$C$19</f>
        <v>(in thousands of USD, except price per share)</v>
      </c>
    </row>
    <row r="5" spans="2:6" ht="14.85" customHeight="1" thickTop="1">
      <c r="B5" s="413"/>
      <c r="C5" s="413"/>
      <c r="D5" s="413"/>
      <c r="E5" s="413"/>
      <c r="F5" s="234"/>
    </row>
    <row r="6" spans="2:6" ht="14.85" customHeight="1">
      <c r="B6" s="234"/>
      <c r="C6" s="234"/>
      <c r="D6" s="435"/>
      <c r="E6" s="435"/>
      <c r="F6" s="234"/>
    </row>
    <row r="7" spans="2:6" ht="14.85" customHeight="1">
      <c r="B7" s="234" t="s">
        <v>402</v>
      </c>
      <c r="C7" s="826">
        <f>'MASTER PubCo Inputs'!C6</f>
        <v>43496</v>
      </c>
      <c r="D7" s="303">
        <f>'Market Trends since Prior Val'!AD2</f>
        <v>43404</v>
      </c>
      <c r="E7" s="827">
        <v>43039</v>
      </c>
      <c r="F7" s="252" t="s">
        <v>627</v>
      </c>
    </row>
    <row r="8" spans="2:6" ht="14.85" customHeight="1" outlineLevel="1">
      <c r="B8" s="234" t="s">
        <v>628</v>
      </c>
      <c r="C8" s="828" t="s">
        <v>4228</v>
      </c>
      <c r="D8" s="828" t="s">
        <v>4227</v>
      </c>
      <c r="E8" s="828" t="s">
        <v>4175</v>
      </c>
    </row>
    <row r="9" spans="2:6" ht="14.85" customHeight="1">
      <c r="B9" s="234"/>
      <c r="D9" s="436"/>
      <c r="E9" s="436"/>
    </row>
    <row r="10" spans="2:6" ht="14.85" customHeight="1">
      <c r="B10" s="255" t="s">
        <v>144</v>
      </c>
      <c r="D10" s="436"/>
      <c r="E10" s="436"/>
    </row>
    <row r="11" spans="2:6" ht="14.85" customHeight="1">
      <c r="B11" s="234" t="s">
        <v>148</v>
      </c>
      <c r="C11" s="829">
        <f>'Val Summ'!D9</f>
        <v>42640</v>
      </c>
      <c r="D11" s="2044">
        <v>82080</v>
      </c>
      <c r="E11" s="830">
        <v>70600</v>
      </c>
      <c r="F11" s="390">
        <f>IFERROR(C11/D11-1,"n/a")</f>
        <v>-0.48050682261208577</v>
      </c>
    </row>
    <row r="12" spans="2:6" ht="14.85" customHeight="1">
      <c r="B12" s="234" t="s">
        <v>633</v>
      </c>
      <c r="C12" s="829">
        <f>IFERROR((SUM('Econ Rights'!D13:G13)),"n/a")</f>
        <v>39467.435395299995</v>
      </c>
      <c r="D12" s="2044">
        <f>1020+3430+13135.6+21881.8+8119.2</f>
        <v>47586.599999999991</v>
      </c>
      <c r="E12" s="830">
        <v>47586.604983699996</v>
      </c>
      <c r="F12" s="390">
        <f>IFERROR(C12/D12-1,"n/a")</f>
        <v>-0.17061871629198133</v>
      </c>
    </row>
    <row r="13" spans="2:6" ht="14.85" customHeight="1">
      <c r="B13" s="234"/>
      <c r="D13" s="436"/>
      <c r="E13" s="436"/>
    </row>
    <row r="14" spans="2:6" ht="14.85" customHeight="1">
      <c r="B14" s="255" t="s">
        <v>1327</v>
      </c>
      <c r="D14" s="436"/>
      <c r="E14" s="436"/>
    </row>
    <row r="15" spans="2:6" ht="14.85" customHeight="1">
      <c r="B15" s="234" t="s">
        <v>1328</v>
      </c>
      <c r="C15" s="2045">
        <f>IFERROR('Val Summ'!F11,"n/a")</f>
        <v>0.60357333558646586</v>
      </c>
      <c r="D15" s="2046">
        <v>0.91042544397691094</v>
      </c>
      <c r="E15" s="831">
        <v>0.81483870966077721</v>
      </c>
      <c r="F15" s="390">
        <f>IFERROR(C15/D15-1,"n/a")</f>
        <v>-0.33704254469213524</v>
      </c>
    </row>
    <row r="16" spans="2:6" ht="14.85" customHeight="1">
      <c r="B16" s="234" t="s">
        <v>1342</v>
      </c>
      <c r="C16" s="835">
        <f>C15/C78</f>
        <v>0.14060786832839442</v>
      </c>
      <c r="D16" s="835">
        <f>D15/D78</f>
        <v>0.21209184270067347</v>
      </c>
      <c r="E16" s="833">
        <v>0.18982404828327287</v>
      </c>
      <c r="F16" s="390">
        <f>IFERROR(C16/D16-1,"n/a")</f>
        <v>-0.33704254469213524</v>
      </c>
    </row>
    <row r="17" spans="2:6" ht="14.85" customHeight="1">
      <c r="B17" s="234" t="s">
        <v>4237</v>
      </c>
      <c r="C17" s="2045">
        <f>IFERROR('Val Summ'!L9,"n/a")</f>
        <v>2.7225605165679432</v>
      </c>
      <c r="D17" s="2050">
        <v>4.29</v>
      </c>
      <c r="E17" s="833"/>
      <c r="F17" s="390">
        <f>IFERROR(C17/D17-1,"n/a")</f>
        <v>-0.36537050895852141</v>
      </c>
    </row>
    <row r="18" spans="2:6" ht="14.85" customHeight="1">
      <c r="B18" s="234"/>
      <c r="D18" s="436"/>
      <c r="E18" s="436"/>
    </row>
    <row r="19" spans="2:6" ht="14.85" customHeight="1">
      <c r="B19" s="255" t="s">
        <v>1329</v>
      </c>
      <c r="D19" s="436"/>
      <c r="E19" s="436"/>
    </row>
    <row r="20" spans="2:6" ht="42.75" customHeight="1">
      <c r="B20" s="234" t="s">
        <v>1330</v>
      </c>
      <c r="C20" s="828" t="s">
        <v>688</v>
      </c>
      <c r="D20" s="828" t="s">
        <v>688</v>
      </c>
      <c r="E20" s="436" t="s">
        <v>688</v>
      </c>
      <c r="F20" s="390" t="str">
        <f>IFERROR(C20/D20-1,"n/a")</f>
        <v>n/a</v>
      </c>
    </row>
    <row r="21" spans="2:6" ht="14.85" customHeight="1">
      <c r="B21" s="234" t="s">
        <v>1331</v>
      </c>
      <c r="C21" s="436" t="s">
        <v>1708</v>
      </c>
      <c r="D21" s="436" t="s">
        <v>1708</v>
      </c>
      <c r="E21" s="436" t="s">
        <v>4176</v>
      </c>
      <c r="F21" s="390" t="str">
        <f>IFERROR(C21/D21-1,"n/a")</f>
        <v>n/a</v>
      </c>
    </row>
    <row r="22" spans="2:6" ht="14.85" customHeight="1">
      <c r="B22" s="234"/>
      <c r="D22" s="436"/>
      <c r="E22" s="436"/>
    </row>
    <row r="23" spans="2:6" ht="14.85" customHeight="1">
      <c r="B23" s="255" t="s">
        <v>1329</v>
      </c>
      <c r="D23" s="436"/>
      <c r="E23" s="436"/>
    </row>
    <row r="24" spans="2:6" ht="14.85" customHeight="1">
      <c r="B24" s="255" t="s">
        <v>4231</v>
      </c>
      <c r="D24" s="436"/>
      <c r="E24" s="436"/>
      <c r="F24" s="363" t="s">
        <v>939</v>
      </c>
    </row>
    <row r="25" spans="2:6" ht="14.85" customHeight="1">
      <c r="B25" s="234" t="s">
        <v>4229</v>
      </c>
      <c r="C25" s="826">
        <f>'Exit Probability'!D36</f>
        <v>44196</v>
      </c>
      <c r="D25" s="408">
        <v>44043</v>
      </c>
      <c r="E25" s="827"/>
      <c r="F25" s="834">
        <f>IFERROR(YEARFRAC(D25,C25,3)*12,"n/a")</f>
        <v>5.0301369863013701</v>
      </c>
    </row>
    <row r="26" spans="2:6" ht="14.85" customHeight="1">
      <c r="B26" s="234" t="s">
        <v>3485</v>
      </c>
      <c r="C26" s="826">
        <f>'Exit Probability'!D37</f>
        <v>44834</v>
      </c>
      <c r="D26" s="408">
        <v>44834</v>
      </c>
      <c r="E26" s="827">
        <v>44742</v>
      </c>
      <c r="F26" s="834">
        <f t="shared" ref="F26:F31" si="0">IFERROR(YEARFRAC(D26,C26,3)*12,"n/a")</f>
        <v>0</v>
      </c>
    </row>
    <row r="27" spans="2:6" ht="14.85" customHeight="1">
      <c r="B27" s="234" t="s">
        <v>3483</v>
      </c>
      <c r="C27" s="826">
        <f>'Exit Probability'!D38</f>
        <v>44196</v>
      </c>
      <c r="D27" s="408">
        <v>44196</v>
      </c>
      <c r="E27" s="827">
        <v>44104</v>
      </c>
      <c r="F27" s="834">
        <f t="shared" si="0"/>
        <v>0</v>
      </c>
    </row>
    <row r="28" spans="2:6" ht="14.85" customHeight="1">
      <c r="B28" s="234" t="s">
        <v>3484</v>
      </c>
      <c r="C28" s="826">
        <f>'Exit Probability'!D39</f>
        <v>44834</v>
      </c>
      <c r="D28" s="408">
        <v>44834</v>
      </c>
      <c r="E28" s="827">
        <v>44742</v>
      </c>
      <c r="F28" s="834">
        <f t="shared" si="0"/>
        <v>0</v>
      </c>
    </row>
    <row r="29" spans="2:6" ht="14.85" customHeight="1">
      <c r="B29" s="234" t="s">
        <v>4177</v>
      </c>
      <c r="C29" s="826">
        <f>'Exit Probability'!D40</f>
        <v>43738</v>
      </c>
      <c r="D29" s="408">
        <v>43738</v>
      </c>
      <c r="E29" s="827">
        <v>43646</v>
      </c>
      <c r="F29" s="834">
        <f t="shared" si="0"/>
        <v>0</v>
      </c>
    </row>
    <row r="30" spans="2:6" ht="14.85" customHeight="1">
      <c r="B30" s="234" t="s">
        <v>4196</v>
      </c>
      <c r="C30" s="826">
        <f>'Exit Probability'!D41</f>
        <v>44196</v>
      </c>
      <c r="D30" s="408">
        <v>44196</v>
      </c>
      <c r="E30" s="827">
        <v>44104</v>
      </c>
      <c r="F30" s="834">
        <f t="shared" si="0"/>
        <v>0</v>
      </c>
    </row>
    <row r="31" spans="2:6" ht="14.85" customHeight="1">
      <c r="B31" s="234" t="s">
        <v>4178</v>
      </c>
      <c r="C31" s="826">
        <f>'Exit Probability'!D42</f>
        <v>44834</v>
      </c>
      <c r="D31" s="408">
        <v>44834</v>
      </c>
      <c r="E31" s="827">
        <v>44742</v>
      </c>
      <c r="F31" s="834">
        <f t="shared" si="0"/>
        <v>0</v>
      </c>
    </row>
    <row r="32" spans="2:6" ht="14.85" customHeight="1">
      <c r="B32" s="234"/>
      <c r="D32" s="436"/>
      <c r="E32" s="436"/>
    </row>
    <row r="33" spans="2:6" ht="14.85" customHeight="1">
      <c r="B33" s="255" t="s">
        <v>631</v>
      </c>
      <c r="D33" s="436"/>
      <c r="E33" s="436"/>
    </row>
    <row r="34" spans="2:6" ht="14.85" customHeight="1">
      <c r="B34" s="234" t="s">
        <v>4229</v>
      </c>
      <c r="C34" s="451">
        <f>'Exit Probability'!F36</f>
        <v>200000</v>
      </c>
      <c r="D34" s="2047">
        <v>200000</v>
      </c>
      <c r="E34" s="718"/>
      <c r="F34" s="390">
        <f t="shared" ref="F34:F38" si="1">IFERROR(C34/D34-1,"n/a")</f>
        <v>0</v>
      </c>
    </row>
    <row r="35" spans="2:6" ht="14.85" customHeight="1">
      <c r="B35" s="234" t="s">
        <v>3485</v>
      </c>
      <c r="C35" s="451">
        <f>'Exit Probability'!F37</f>
        <v>280000</v>
      </c>
      <c r="D35" s="2047">
        <v>350000</v>
      </c>
      <c r="E35" s="718">
        <v>300000</v>
      </c>
      <c r="F35" s="390">
        <f t="shared" si="1"/>
        <v>-0.19999999999999996</v>
      </c>
    </row>
    <row r="36" spans="2:6" ht="14.85" customHeight="1">
      <c r="B36" s="234" t="s">
        <v>3483</v>
      </c>
      <c r="C36" s="451">
        <f>'Exit Probability'!F38</f>
        <v>280000</v>
      </c>
      <c r="D36" s="2047">
        <v>375000</v>
      </c>
      <c r="E36" s="718">
        <v>325000</v>
      </c>
      <c r="F36" s="390">
        <f t="shared" si="1"/>
        <v>-0.2533333333333333</v>
      </c>
    </row>
    <row r="37" spans="2:6" ht="14.85" customHeight="1">
      <c r="B37" s="234" t="s">
        <v>3484</v>
      </c>
      <c r="C37" s="451">
        <f>'Exit Probability'!F39</f>
        <v>400000</v>
      </c>
      <c r="D37" s="2047">
        <v>470000</v>
      </c>
      <c r="E37" s="718">
        <v>400000</v>
      </c>
      <c r="F37" s="390">
        <f t="shared" si="1"/>
        <v>-0.14893617021276595</v>
      </c>
    </row>
    <row r="38" spans="2:6" ht="14.85" customHeight="1">
      <c r="B38" s="234" t="s">
        <v>4230</v>
      </c>
      <c r="C38" s="451">
        <f>'Exit Probability'!F45</f>
        <v>15600</v>
      </c>
      <c r="D38" s="2047">
        <v>31100</v>
      </c>
      <c r="E38" s="718">
        <v>23793.302491849998</v>
      </c>
      <c r="F38" s="390">
        <f t="shared" si="1"/>
        <v>-0.49839228295819937</v>
      </c>
    </row>
    <row r="39" spans="2:6" ht="14.85" customHeight="1">
      <c r="B39" s="234"/>
      <c r="D39" s="436"/>
      <c r="E39" s="436"/>
    </row>
    <row r="40" spans="2:6" ht="14.85" customHeight="1">
      <c r="B40" s="255" t="s">
        <v>632</v>
      </c>
      <c r="C40" s="835"/>
      <c r="D40" s="833"/>
      <c r="E40" s="833"/>
      <c r="F40" s="835"/>
    </row>
    <row r="41" spans="2:6" ht="14.85" customHeight="1">
      <c r="B41" s="234" t="s">
        <v>4229</v>
      </c>
      <c r="C41" s="832">
        <f>'Exit Probability'!E36</f>
        <v>1.6500000000000001E-2</v>
      </c>
      <c r="D41" s="1385">
        <v>1.7999999999999999E-2</v>
      </c>
      <c r="E41" s="833"/>
      <c r="F41" s="390">
        <f t="shared" ref="F41:F45" si="2">IFERROR(C41-D41,"n/a")</f>
        <v>-1.4999999999999979E-3</v>
      </c>
    </row>
    <row r="42" spans="2:6" ht="14.85" customHeight="1">
      <c r="B42" s="234" t="s">
        <v>3485</v>
      </c>
      <c r="C42" s="832">
        <f>'Exit Probability'!E37</f>
        <v>1.4850000000000006E-2</v>
      </c>
      <c r="D42" s="1385">
        <v>0.06</v>
      </c>
      <c r="E42" s="833">
        <v>0.06</v>
      </c>
      <c r="F42" s="390">
        <f t="shared" si="2"/>
        <v>-4.5149999999999996E-2</v>
      </c>
    </row>
    <row r="43" spans="2:6" ht="14.85" customHeight="1">
      <c r="B43" s="234" t="s">
        <v>3483</v>
      </c>
      <c r="C43" s="832">
        <f>'Exit Probability'!E38</f>
        <v>0.14850000000000002</v>
      </c>
      <c r="D43" s="1385">
        <v>0.16</v>
      </c>
      <c r="E43" s="833">
        <v>0.22</v>
      </c>
      <c r="F43" s="390">
        <f t="shared" si="2"/>
        <v>-1.1499999999999982E-2</v>
      </c>
    </row>
    <row r="44" spans="2:6" ht="14.85" customHeight="1">
      <c r="B44" s="234" t="s">
        <v>3484</v>
      </c>
      <c r="C44" s="832">
        <f>'Exit Probability'!E39</f>
        <v>5.9400000000000022E-2</v>
      </c>
      <c r="D44" s="1385">
        <v>0.23500000000000001</v>
      </c>
      <c r="E44" s="833">
        <v>0.09</v>
      </c>
      <c r="F44" s="390">
        <f t="shared" si="2"/>
        <v>-0.17559999999999998</v>
      </c>
    </row>
    <row r="45" spans="2:6" ht="14.85" customHeight="1">
      <c r="B45" s="234" t="s">
        <v>4230</v>
      </c>
      <c r="C45" s="832">
        <f>'Exit Probability'!E45</f>
        <v>0.76074999999999993</v>
      </c>
      <c r="D45" s="1385">
        <v>0.52800000000000002</v>
      </c>
      <c r="E45" s="833">
        <v>0.12</v>
      </c>
      <c r="F45" s="390">
        <f t="shared" si="2"/>
        <v>0.2327499999999999</v>
      </c>
    </row>
    <row r="46" spans="2:6" ht="14.85" customHeight="1">
      <c r="B46" s="234"/>
      <c r="D46" s="436"/>
      <c r="E46" s="436"/>
    </row>
    <row r="47" spans="2:6" ht="14.85" customHeight="1">
      <c r="B47" s="255" t="s">
        <v>374</v>
      </c>
      <c r="D47" s="436"/>
      <c r="E47" s="436"/>
    </row>
    <row r="48" spans="2:6" ht="14.85" customHeight="1">
      <c r="B48" s="234" t="s">
        <v>4233</v>
      </c>
      <c r="C48" s="832">
        <f>'PWERM DLOM'!D$65</f>
        <v>0.3</v>
      </c>
      <c r="D48" s="1385">
        <v>0.32</v>
      </c>
      <c r="E48" s="838"/>
      <c r="F48" s="390">
        <f t="shared" ref="F48:F51" si="3">IFERROR(C48-D48,"n/a")</f>
        <v>-2.0000000000000018E-2</v>
      </c>
    </row>
    <row r="49" spans="2:6" ht="14.85" customHeight="1">
      <c r="B49" s="234" t="s">
        <v>3563</v>
      </c>
      <c r="C49" s="832">
        <f>'PWERM DLOM'!E$65</f>
        <v>0.4</v>
      </c>
      <c r="D49" s="1385">
        <v>0.4</v>
      </c>
      <c r="E49" s="838">
        <v>0.4</v>
      </c>
      <c r="F49" s="390">
        <f t="shared" si="3"/>
        <v>0</v>
      </c>
    </row>
    <row r="50" spans="2:6" ht="14.85" customHeight="1">
      <c r="B50" s="234" t="s">
        <v>3564</v>
      </c>
      <c r="C50" s="832">
        <f>'PWERM DLOM'!F$65</f>
        <v>0.34500000000000003</v>
      </c>
      <c r="D50" s="1385">
        <v>0.38</v>
      </c>
      <c r="E50" s="838">
        <v>0.4</v>
      </c>
      <c r="F50" s="390">
        <f t="shared" si="3"/>
        <v>-3.4999999999999976E-2</v>
      </c>
    </row>
    <row r="51" spans="2:6" ht="14.85" customHeight="1">
      <c r="B51" s="234" t="s">
        <v>3565</v>
      </c>
      <c r="C51" s="832">
        <f>'PWERM DLOM'!G$65</f>
        <v>0.4</v>
      </c>
      <c r="D51" s="1385">
        <v>0.4</v>
      </c>
      <c r="E51" s="833">
        <v>0.4</v>
      </c>
      <c r="F51" s="390">
        <f t="shared" si="3"/>
        <v>0</v>
      </c>
    </row>
    <row r="52" spans="2:6" ht="14.85" customHeight="1">
      <c r="B52" s="234"/>
      <c r="C52" s="835"/>
      <c r="D52" s="833"/>
      <c r="E52" s="833"/>
      <c r="F52" s="835"/>
    </row>
    <row r="53" spans="2:6" ht="14.85" customHeight="1">
      <c r="B53" s="255" t="s">
        <v>460</v>
      </c>
      <c r="C53" s="835"/>
      <c r="D53" s="833"/>
      <c r="E53" s="833"/>
      <c r="F53" s="835"/>
    </row>
    <row r="54" spans="2:6" ht="14.85" customHeight="1">
      <c r="B54" s="234" t="s">
        <v>1332</v>
      </c>
      <c r="C54" s="832">
        <f>'WACC PWERM'!J11</f>
        <v>0.125</v>
      </c>
      <c r="D54" s="1385">
        <v>0.125</v>
      </c>
      <c r="E54" s="833">
        <v>0.125</v>
      </c>
      <c r="F54" s="390">
        <f t="shared" ref="F54:F57" si="4">IFERROR(C54-D54,"n/a")</f>
        <v>0</v>
      </c>
    </row>
    <row r="55" spans="2:6" ht="14.85" customHeight="1">
      <c r="B55" s="234" t="s">
        <v>1333</v>
      </c>
      <c r="C55" s="832">
        <f>'WACC PWERM'!J13</f>
        <v>0.25</v>
      </c>
      <c r="D55" s="1385">
        <v>0.25</v>
      </c>
      <c r="E55" s="833">
        <v>0.25</v>
      </c>
      <c r="F55" s="390">
        <f t="shared" si="4"/>
        <v>0</v>
      </c>
    </row>
    <row r="56" spans="2:6" ht="14.85" customHeight="1">
      <c r="B56" s="234" t="s">
        <v>1334</v>
      </c>
      <c r="C56" s="832">
        <f>'WACC PWERM'!J15</f>
        <v>0.3</v>
      </c>
      <c r="D56" s="1385">
        <v>0.3</v>
      </c>
      <c r="E56" s="833">
        <v>0.3</v>
      </c>
      <c r="F56" s="390">
        <f t="shared" si="4"/>
        <v>0</v>
      </c>
    </row>
    <row r="57" spans="2:6" ht="14.85" customHeight="1">
      <c r="B57" s="234" t="s">
        <v>1335</v>
      </c>
      <c r="C57" s="832">
        <f>'WACC PWERM'!J23</f>
        <v>0.2</v>
      </c>
      <c r="D57" s="1385">
        <v>0.2</v>
      </c>
      <c r="E57" s="833">
        <v>0.20499999999999999</v>
      </c>
      <c r="F57" s="390">
        <f t="shared" si="4"/>
        <v>0</v>
      </c>
    </row>
    <row r="58" spans="2:6" ht="14.85" customHeight="1">
      <c r="B58" s="234"/>
      <c r="C58" s="832"/>
      <c r="D58" s="833"/>
      <c r="E58" s="833"/>
      <c r="F58" s="390"/>
    </row>
    <row r="59" spans="2:6" ht="14.85" customHeight="1">
      <c r="B59" s="369" t="s">
        <v>4179</v>
      </c>
      <c r="C59" s="1960"/>
      <c r="D59" s="1961"/>
      <c r="E59" s="1961"/>
      <c r="F59" s="1962"/>
    </row>
    <row r="60" spans="2:6" ht="6" customHeight="1">
      <c r="B60" s="234"/>
      <c r="C60" s="832"/>
      <c r="D60" s="833"/>
      <c r="E60" s="833"/>
      <c r="F60" s="390"/>
    </row>
    <row r="61" spans="2:6" ht="14.85" customHeight="1">
      <c r="B61" s="234" t="s">
        <v>1328</v>
      </c>
      <c r="C61" s="1963">
        <f>'Hybrid OPM'!C29</f>
        <v>0.48939260151813985</v>
      </c>
      <c r="D61" s="2050">
        <v>1.0620267326265702</v>
      </c>
      <c r="E61" s="1959"/>
      <c r="F61" s="390">
        <f t="shared" ref="F61:F64" si="5">IFERROR(C61/D61-1,"n/a")</f>
        <v>-0.53918994081458771</v>
      </c>
    </row>
    <row r="62" spans="2:6" ht="14.85" customHeight="1">
      <c r="B62" s="234" t="s">
        <v>4180</v>
      </c>
      <c r="C62" s="1963">
        <f>'Hybrid OPM'!C31</f>
        <v>2.7259429561535211</v>
      </c>
      <c r="D62" s="2050">
        <v>4.2926000000000002</v>
      </c>
      <c r="E62" s="1959"/>
      <c r="F62" s="390">
        <f t="shared" si="5"/>
        <v>-0.3649669300299303</v>
      </c>
    </row>
    <row r="63" spans="2:6" ht="14.85" customHeight="1">
      <c r="B63" s="234" t="s">
        <v>148</v>
      </c>
      <c r="C63" s="1964">
        <f>'Hybrid OPM'!C33</f>
        <v>36000</v>
      </c>
      <c r="D63" s="2051">
        <v>80600</v>
      </c>
      <c r="E63" s="1959"/>
      <c r="F63" s="390">
        <f t="shared" si="5"/>
        <v>-0.5533498759305211</v>
      </c>
    </row>
    <row r="64" spans="2:6" ht="14.85" customHeight="1">
      <c r="B64" s="234" t="s">
        <v>1343</v>
      </c>
      <c r="C64" s="1964">
        <f>'OPM 1 Hybrid'!D10</f>
        <v>2</v>
      </c>
      <c r="D64" s="2051">
        <v>2.7695652173913041</v>
      </c>
      <c r="E64" s="1959"/>
      <c r="F64" s="390">
        <f t="shared" si="5"/>
        <v>-0.27786499215070637</v>
      </c>
    </row>
    <row r="65" spans="2:6" ht="14.85" customHeight="1">
      <c r="B65" s="234" t="s">
        <v>1344</v>
      </c>
      <c r="C65" s="1965">
        <f>C7+C64*365.25</f>
        <v>44226.5</v>
      </c>
      <c r="D65" s="1965">
        <f>D7+D64*365.25</f>
        <v>44415.583695652174</v>
      </c>
      <c r="E65" s="1959"/>
      <c r="F65" s="834">
        <f t="shared" ref="F65" si="6">IFERROR(YEARFRAC(D65,C65,3)*12,"n/a")</f>
        <v>6.2136986301369861</v>
      </c>
    </row>
    <row r="66" spans="2:6" ht="14.85" customHeight="1">
      <c r="B66" s="234" t="s">
        <v>117</v>
      </c>
      <c r="C66" s="832">
        <f>'OPM 1 Hybrid'!D11</f>
        <v>0.66800000000000004</v>
      </c>
      <c r="D66" s="1385">
        <v>0.70963058179624272</v>
      </c>
      <c r="E66" s="1959"/>
      <c r="F66" s="390">
        <f t="shared" ref="F66:F67" si="7">IFERROR(C66-D66,"n/a")</f>
        <v>-4.1630581796242683E-2</v>
      </c>
    </row>
    <row r="67" spans="2:6" ht="14.85" customHeight="1">
      <c r="B67" s="234" t="s">
        <v>629</v>
      </c>
      <c r="C67" s="832">
        <f>'Asset Vol Hybrid'!Y44</f>
        <v>0.66521256834709541</v>
      </c>
      <c r="D67" s="1385">
        <v>0.70799999996794771</v>
      </c>
      <c r="E67" s="1959"/>
      <c r="F67" s="390">
        <f t="shared" si="7"/>
        <v>-4.2787431620852301E-2</v>
      </c>
    </row>
    <row r="68" spans="2:6" ht="14.85" customHeight="1">
      <c r="B68" s="234" t="s">
        <v>630</v>
      </c>
      <c r="C68" s="833" t="s">
        <v>44</v>
      </c>
      <c r="D68" s="833" t="s">
        <v>44</v>
      </c>
      <c r="E68" s="1959"/>
      <c r="F68" s="390" t="s">
        <v>13</v>
      </c>
    </row>
    <row r="69" spans="2:6" ht="14.85" customHeight="1">
      <c r="B69" s="234"/>
      <c r="C69" s="832"/>
      <c r="D69" s="833"/>
      <c r="E69" s="833"/>
      <c r="F69" s="390"/>
    </row>
    <row r="70" spans="2:6" ht="14.85" customHeight="1">
      <c r="B70" s="255" t="s">
        <v>4181</v>
      </c>
      <c r="C70" s="832"/>
      <c r="D70" s="833"/>
      <c r="E70" s="833"/>
      <c r="F70" s="390"/>
    </row>
    <row r="71" spans="2:6" ht="14.85" customHeight="1">
      <c r="B71" s="234" t="s">
        <v>556</v>
      </c>
      <c r="C71" s="832">
        <f>'DLOM Hybrid'!D51</f>
        <v>0.3</v>
      </c>
      <c r="D71" s="1385">
        <v>0.4</v>
      </c>
      <c r="E71" s="1959"/>
      <c r="F71" s="390">
        <f t="shared" ref="F71:F73" si="8">IFERROR(C71-D71,"n/a")</f>
        <v>-0.10000000000000003</v>
      </c>
    </row>
    <row r="72" spans="2:6" ht="14.85" customHeight="1">
      <c r="B72" s="234" t="s">
        <v>4194</v>
      </c>
      <c r="C72" s="832">
        <f>'Hybrid OPM'!E13</f>
        <v>0.3</v>
      </c>
      <c r="D72" s="1385">
        <v>0.32</v>
      </c>
      <c r="E72" s="1959"/>
      <c r="F72" s="390">
        <f t="shared" si="8"/>
        <v>-2.0000000000000018E-2</v>
      </c>
    </row>
    <row r="73" spans="2:6" ht="14.85" customHeight="1">
      <c r="B73" s="234" t="s">
        <v>3485</v>
      </c>
      <c r="C73" s="832">
        <f>'Hybrid OPM'!F13</f>
        <v>0.4</v>
      </c>
      <c r="D73" s="1385">
        <v>0.4</v>
      </c>
      <c r="E73" s="1959"/>
      <c r="F73" s="390">
        <f t="shared" si="8"/>
        <v>0</v>
      </c>
    </row>
    <row r="74" spans="2:6" ht="14.85" customHeight="1">
      <c r="B74" s="234"/>
      <c r="C74" s="832"/>
      <c r="D74" s="833"/>
      <c r="E74" s="833"/>
      <c r="F74" s="390"/>
    </row>
    <row r="75" spans="2:6" ht="14.85" customHeight="1">
      <c r="B75" s="255" t="s">
        <v>91</v>
      </c>
      <c r="D75" s="436"/>
      <c r="E75" s="436"/>
    </row>
    <row r="76" spans="2:6" ht="14.85" customHeight="1">
      <c r="B76" s="234" t="s">
        <v>1336</v>
      </c>
      <c r="C76" s="252" t="s">
        <v>490</v>
      </c>
      <c r="D76" s="436" t="s">
        <v>4186</v>
      </c>
      <c r="E76" s="436" t="s">
        <v>4186</v>
      </c>
    </row>
    <row r="77" spans="2:6" ht="14.85" customHeight="1">
      <c r="B77" s="234" t="s">
        <v>1337</v>
      </c>
      <c r="C77" s="826">
        <f>'Econ Rights'!G10</f>
        <v>43031</v>
      </c>
      <c r="D77" s="296">
        <v>43031</v>
      </c>
      <c r="E77" s="827">
        <v>43031</v>
      </c>
      <c r="F77" s="835"/>
    </row>
    <row r="78" spans="2:6" ht="14.85" customHeight="1">
      <c r="B78" s="234" t="s">
        <v>1338</v>
      </c>
      <c r="C78" s="1966">
        <f>'Econ Rights'!G12</f>
        <v>4.2926000000000002</v>
      </c>
      <c r="D78" s="2052">
        <v>4.2926000000000002</v>
      </c>
      <c r="E78" s="840">
        <v>4.2926000000000002</v>
      </c>
      <c r="F78" s="390">
        <f t="shared" ref="F78:F80" si="9">IFERROR(C78/D78-1,"n/a")</f>
        <v>0</v>
      </c>
    </row>
    <row r="79" spans="2:6" ht="14.85" customHeight="1">
      <c r="B79" s="234" t="s">
        <v>1339</v>
      </c>
      <c r="C79" s="451">
        <f>'Econ Rights'!G13</f>
        <v>21881.811811600001</v>
      </c>
      <c r="D79" s="2047">
        <v>21881.811811600001</v>
      </c>
      <c r="E79" s="718">
        <v>21881.811811600001</v>
      </c>
      <c r="F79" s="390">
        <f t="shared" si="9"/>
        <v>0</v>
      </c>
    </row>
    <row r="80" spans="2:6" ht="14.85" customHeight="1">
      <c r="B80" s="234" t="s">
        <v>1340</v>
      </c>
      <c r="C80" s="451">
        <f>'Cap Table'!J11+'Cap Table'!J13</f>
        <v>19371.920000000002</v>
      </c>
      <c r="D80" s="2047">
        <v>21287.8</v>
      </c>
      <c r="E80" s="718">
        <v>19263.692000000003</v>
      </c>
      <c r="F80" s="390">
        <f t="shared" si="9"/>
        <v>-8.9998966544217684E-2</v>
      </c>
    </row>
    <row r="81" spans="2:6" ht="14.85" customHeight="1">
      <c r="B81" s="234" t="s">
        <v>1341</v>
      </c>
      <c r="C81" s="1966">
        <f>'Cap Table'!E28</f>
        <v>0.91</v>
      </c>
      <c r="D81" s="2052">
        <v>0.81</v>
      </c>
      <c r="E81" s="718">
        <v>0.38</v>
      </c>
      <c r="F81" s="390">
        <f>IFERROR(C81/D81-1,"n/a")</f>
        <v>0.12345679012345667</v>
      </c>
    </row>
    <row r="82" spans="2:6" ht="14.85" customHeight="1"/>
    <row r="83" spans="2:6" ht="14.85" customHeight="1">
      <c r="B83" s="298" t="s">
        <v>4182</v>
      </c>
    </row>
    <row r="84" spans="2:6" ht="14.85" customHeight="1">
      <c r="B84" s="298" t="s">
        <v>4183</v>
      </c>
    </row>
    <row r="85" spans="2:6" ht="14.85" customHeight="1">
      <c r="B85" s="388" t="s">
        <v>4062</v>
      </c>
    </row>
    <row r="86" spans="2:6" ht="14.85" customHeight="1">
      <c r="B86" s="388"/>
    </row>
    <row r="87" spans="2:6" ht="14.85" customHeight="1">
      <c r="B87" s="298" t="s">
        <v>4184</v>
      </c>
    </row>
    <row r="88" spans="2:6" ht="14.85" customHeight="1">
      <c r="B88" s="388" t="s">
        <v>4185</v>
      </c>
    </row>
    <row r="89" spans="2:6" ht="14.85" customHeight="1">
      <c r="B89" s="388" t="s">
        <v>3925</v>
      </c>
    </row>
    <row r="90" spans="2:6" ht="14.85" customHeight="1">
      <c r="B90" s="388" t="s">
        <v>3836</v>
      </c>
    </row>
    <row r="91" spans="2:6" ht="14.85" customHeight="1">
      <c r="B91" s="388" t="s">
        <v>3816</v>
      </c>
    </row>
    <row r="92" spans="2:6" ht="14.85" customHeight="1"/>
    <row r="93" spans="2:6" ht="14.85" customHeight="1"/>
    <row r="94" spans="2:6" ht="14.85" customHeight="1"/>
    <row r="95" spans="2:6" ht="14.85" customHeight="1"/>
    <row r="96" spans="2: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sheetData>
  <conditionalFormatting sqref="B4:E5 F4">
    <cfRule type="cellIs" dxfId="167" priority="3" stopIfTrue="1" operator="equal">
      <formula>"input"</formula>
    </cfRule>
  </conditionalFormatting>
  <pageMargins left="0.5" right="0.5" top="0.5" bottom="0.5" header="0.5" footer="0.5"/>
  <pageSetup scale="94" orientation="landscape" r:id="rId1"/>
  <rowBreaks count="2" manualBreakCount="2">
    <brk id="32" max="7" man="1"/>
    <brk id="57" max="6" man="1"/>
  </rowBreaks>
  <legacy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6">
    <tabColor theme="1"/>
  </sheetPr>
  <dimension ref="A1"/>
  <sheetViews>
    <sheetView workbookViewId="0"/>
  </sheetViews>
  <sheetFormatPr defaultRowHeight="12.75"/>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78">
    <tabColor theme="4"/>
  </sheetPr>
  <dimension ref="A1:AZ81"/>
  <sheetViews>
    <sheetView workbookViewId="0">
      <pane xSplit="3" ySplit="3" topLeftCell="D4" activePane="bottomRight" state="frozen"/>
      <selection activeCell="AN5" sqref="AN5:AY5"/>
      <selection pane="topRight" activeCell="AN5" sqref="AN5:AY5"/>
      <selection pane="bottomLeft" activeCell="AN5" sqref="AN5:AY5"/>
      <selection pane="bottomRight" activeCell="D4" sqref="D4"/>
    </sheetView>
  </sheetViews>
  <sheetFormatPr defaultRowHeight="15"/>
  <cols>
    <col min="1" max="1" width="29.83203125" style="1681" customWidth="1"/>
    <col min="2" max="14" width="14.83203125" style="1681" customWidth="1"/>
    <col min="15" max="15" width="14.5" style="1681" bestFit="1" customWidth="1"/>
    <col min="16" max="39" width="14.83203125" style="1681" customWidth="1"/>
    <col min="40" max="40" width="15.5" style="1681" bestFit="1" customWidth="1"/>
    <col min="41" max="50" width="14.83203125" style="1681" customWidth="1"/>
    <col min="51" max="51" width="18.6640625" style="1681" customWidth="1"/>
    <col min="52" max="16384" width="9.33203125" style="1681"/>
  </cols>
  <sheetData>
    <row r="1" spans="1:52">
      <c r="A1" s="1705" t="s">
        <v>3472</v>
      </c>
      <c r="D1" s="1681">
        <v>1</v>
      </c>
      <c r="E1" s="1681">
        <f>D1+1</f>
        <v>2</v>
      </c>
      <c r="F1" s="1681">
        <f t="shared" ref="F1:AY1" si="0">E1+1</f>
        <v>3</v>
      </c>
      <c r="G1" s="1681">
        <f t="shared" si="0"/>
        <v>4</v>
      </c>
      <c r="H1" s="1681">
        <f t="shared" si="0"/>
        <v>5</v>
      </c>
      <c r="I1" s="1681">
        <f t="shared" si="0"/>
        <v>6</v>
      </c>
      <c r="J1" s="1681">
        <f t="shared" si="0"/>
        <v>7</v>
      </c>
      <c r="K1" s="1681">
        <f t="shared" si="0"/>
        <v>8</v>
      </c>
      <c r="L1" s="1681">
        <f t="shared" si="0"/>
        <v>9</v>
      </c>
      <c r="M1" s="1681">
        <f t="shared" si="0"/>
        <v>10</v>
      </c>
      <c r="N1" s="1681">
        <f t="shared" si="0"/>
        <v>11</v>
      </c>
      <c r="O1" s="1681">
        <f t="shared" si="0"/>
        <v>12</v>
      </c>
      <c r="P1" s="1681">
        <f t="shared" si="0"/>
        <v>13</v>
      </c>
      <c r="Q1" s="1681">
        <f t="shared" si="0"/>
        <v>14</v>
      </c>
      <c r="R1" s="1681">
        <f t="shared" si="0"/>
        <v>15</v>
      </c>
      <c r="S1" s="1681">
        <f t="shared" si="0"/>
        <v>16</v>
      </c>
      <c r="T1" s="1681">
        <f t="shared" si="0"/>
        <v>17</v>
      </c>
      <c r="U1" s="1681">
        <f t="shared" si="0"/>
        <v>18</v>
      </c>
      <c r="V1" s="1681">
        <f t="shared" si="0"/>
        <v>19</v>
      </c>
      <c r="W1" s="1681">
        <f t="shared" si="0"/>
        <v>20</v>
      </c>
      <c r="X1" s="1681">
        <f t="shared" si="0"/>
        <v>21</v>
      </c>
      <c r="Y1" s="1681">
        <f t="shared" si="0"/>
        <v>22</v>
      </c>
      <c r="Z1" s="1681">
        <f t="shared" si="0"/>
        <v>23</v>
      </c>
      <c r="AA1" s="1681">
        <f t="shared" si="0"/>
        <v>24</v>
      </c>
      <c r="AB1" s="1681">
        <f t="shared" si="0"/>
        <v>25</v>
      </c>
      <c r="AC1" s="1681">
        <f t="shared" si="0"/>
        <v>26</v>
      </c>
      <c r="AD1" s="1681">
        <f t="shared" si="0"/>
        <v>27</v>
      </c>
      <c r="AE1" s="1681">
        <f t="shared" si="0"/>
        <v>28</v>
      </c>
      <c r="AF1" s="1681">
        <f t="shared" si="0"/>
        <v>29</v>
      </c>
      <c r="AG1" s="1681">
        <f t="shared" si="0"/>
        <v>30</v>
      </c>
      <c r="AH1" s="1681">
        <f t="shared" si="0"/>
        <v>31</v>
      </c>
      <c r="AI1" s="1681">
        <f t="shared" si="0"/>
        <v>32</v>
      </c>
      <c r="AJ1" s="1681">
        <f t="shared" si="0"/>
        <v>33</v>
      </c>
      <c r="AK1" s="1681">
        <f t="shared" si="0"/>
        <v>34</v>
      </c>
      <c r="AL1" s="1681">
        <f t="shared" si="0"/>
        <v>35</v>
      </c>
      <c r="AM1" s="1681">
        <f t="shared" si="0"/>
        <v>36</v>
      </c>
      <c r="AN1" s="1681">
        <f t="shared" si="0"/>
        <v>37</v>
      </c>
      <c r="AO1" s="1681">
        <f t="shared" si="0"/>
        <v>38</v>
      </c>
      <c r="AP1" s="1681">
        <f t="shared" si="0"/>
        <v>39</v>
      </c>
      <c r="AQ1" s="1681">
        <f t="shared" si="0"/>
        <v>40</v>
      </c>
      <c r="AR1" s="1681">
        <f t="shared" si="0"/>
        <v>41</v>
      </c>
      <c r="AS1" s="1681">
        <f t="shared" si="0"/>
        <v>42</v>
      </c>
      <c r="AT1" s="1681">
        <f t="shared" si="0"/>
        <v>43</v>
      </c>
      <c r="AU1" s="1681">
        <f t="shared" si="0"/>
        <v>44</v>
      </c>
      <c r="AV1" s="1681">
        <f t="shared" si="0"/>
        <v>45</v>
      </c>
      <c r="AW1" s="1681">
        <f t="shared" si="0"/>
        <v>46</v>
      </c>
      <c r="AX1" s="1681">
        <f t="shared" si="0"/>
        <v>47</v>
      </c>
      <c r="AY1" s="1681">
        <f t="shared" si="0"/>
        <v>48</v>
      </c>
      <c r="AZ1" s="1686"/>
    </row>
    <row r="2" spans="1:52">
      <c r="D2" s="2211">
        <v>2018</v>
      </c>
      <c r="E2" s="2212"/>
      <c r="F2" s="2212"/>
      <c r="G2" s="2212"/>
      <c r="H2" s="2212"/>
      <c r="I2" s="2212"/>
      <c r="J2" s="2212"/>
      <c r="K2" s="2212"/>
      <c r="L2" s="2212"/>
      <c r="M2" s="2212"/>
      <c r="N2" s="2212"/>
      <c r="O2" s="2212"/>
      <c r="P2" s="2211">
        <v>2019</v>
      </c>
      <c r="Q2" s="2212"/>
      <c r="R2" s="2212"/>
      <c r="S2" s="2212"/>
      <c r="T2" s="2212"/>
      <c r="U2" s="2212"/>
      <c r="V2" s="2212"/>
      <c r="W2" s="2212"/>
      <c r="X2" s="2212"/>
      <c r="Y2" s="2212"/>
      <c r="Z2" s="2212"/>
      <c r="AA2" s="2213"/>
      <c r="AB2" s="2212">
        <v>2020</v>
      </c>
      <c r="AC2" s="2212"/>
      <c r="AD2" s="2212"/>
      <c r="AE2" s="2212"/>
      <c r="AF2" s="2212"/>
      <c r="AG2" s="2212"/>
      <c r="AH2" s="2212"/>
      <c r="AI2" s="2212"/>
      <c r="AJ2" s="2212"/>
      <c r="AK2" s="2212"/>
      <c r="AL2" s="2212"/>
      <c r="AM2" s="2213"/>
      <c r="AN2" s="2212">
        <v>2021</v>
      </c>
      <c r="AO2" s="2212"/>
      <c r="AP2" s="2212"/>
      <c r="AQ2" s="2212"/>
      <c r="AR2" s="2212"/>
      <c r="AS2" s="2212"/>
      <c r="AT2" s="2212"/>
      <c r="AU2" s="2212"/>
      <c r="AV2" s="2212"/>
      <c r="AW2" s="2212"/>
      <c r="AX2" s="2212"/>
      <c r="AY2" s="2213"/>
      <c r="AZ2" s="1686"/>
    </row>
    <row r="3" spans="1:52">
      <c r="B3" s="1706" t="s">
        <v>3422</v>
      </c>
      <c r="C3" s="1706" t="s">
        <v>3421</v>
      </c>
      <c r="D3" s="1707" t="s">
        <v>3432</v>
      </c>
      <c r="E3" s="1688" t="s">
        <v>3431</v>
      </c>
      <c r="F3" s="1688" t="s">
        <v>3430</v>
      </c>
      <c r="G3" s="1688" t="s">
        <v>3429</v>
      </c>
      <c r="H3" s="1688" t="s">
        <v>3428</v>
      </c>
      <c r="I3" s="1688" t="s">
        <v>3427</v>
      </c>
      <c r="J3" s="1688" t="s">
        <v>3426</v>
      </c>
      <c r="K3" s="1688" t="s">
        <v>3425</v>
      </c>
      <c r="L3" s="1688" t="s">
        <v>3424</v>
      </c>
      <c r="M3" s="1688" t="s">
        <v>3423</v>
      </c>
      <c r="N3" s="1688" t="s">
        <v>3422</v>
      </c>
      <c r="O3" s="1708" t="s">
        <v>3421</v>
      </c>
      <c r="P3" s="1688" t="s">
        <v>3432</v>
      </c>
      <c r="Q3" s="1688" t="s">
        <v>3431</v>
      </c>
      <c r="R3" s="1688" t="s">
        <v>3430</v>
      </c>
      <c r="S3" s="1688" t="s">
        <v>3429</v>
      </c>
      <c r="T3" s="1688" t="s">
        <v>3428</v>
      </c>
      <c r="U3" s="1688" t="s">
        <v>3427</v>
      </c>
      <c r="V3" s="1688" t="s">
        <v>3426</v>
      </c>
      <c r="W3" s="1688" t="s">
        <v>3425</v>
      </c>
      <c r="X3" s="1688" t="s">
        <v>3424</v>
      </c>
      <c r="Y3" s="1688" t="s">
        <v>3423</v>
      </c>
      <c r="Z3" s="1688" t="s">
        <v>3422</v>
      </c>
      <c r="AA3" s="1708" t="s">
        <v>3421</v>
      </c>
      <c r="AB3" s="1688" t="s">
        <v>3432</v>
      </c>
      <c r="AC3" s="1688" t="s">
        <v>3431</v>
      </c>
      <c r="AD3" s="1688" t="s">
        <v>3430</v>
      </c>
      <c r="AE3" s="1688" t="s">
        <v>3429</v>
      </c>
      <c r="AF3" s="1688" t="s">
        <v>3428</v>
      </c>
      <c r="AG3" s="1688" t="s">
        <v>3427</v>
      </c>
      <c r="AH3" s="1688" t="s">
        <v>3426</v>
      </c>
      <c r="AI3" s="1688" t="s">
        <v>3425</v>
      </c>
      <c r="AJ3" s="1688" t="s">
        <v>3424</v>
      </c>
      <c r="AK3" s="1688" t="s">
        <v>3423</v>
      </c>
      <c r="AL3" s="1688" t="s">
        <v>3422</v>
      </c>
      <c r="AM3" s="1708" t="s">
        <v>3421</v>
      </c>
      <c r="AN3" s="1688" t="s">
        <v>3432</v>
      </c>
      <c r="AO3" s="1688" t="s">
        <v>3431</v>
      </c>
      <c r="AP3" s="1688" t="s">
        <v>3430</v>
      </c>
      <c r="AQ3" s="1688" t="s">
        <v>3429</v>
      </c>
      <c r="AR3" s="1688" t="s">
        <v>3428</v>
      </c>
      <c r="AS3" s="1688" t="s">
        <v>3427</v>
      </c>
      <c r="AT3" s="1688" t="s">
        <v>3426</v>
      </c>
      <c r="AU3" s="1688" t="s">
        <v>3425</v>
      </c>
      <c r="AV3" s="1688" t="s">
        <v>3424</v>
      </c>
      <c r="AW3" s="1688" t="s">
        <v>3423</v>
      </c>
      <c r="AX3" s="1688" t="s">
        <v>3422</v>
      </c>
      <c r="AY3" s="1708" t="s">
        <v>3421</v>
      </c>
      <c r="AZ3" s="1686"/>
    </row>
    <row r="5" spans="1:52">
      <c r="A5" s="1681" t="s">
        <v>3473</v>
      </c>
      <c r="B5" s="1693">
        <v>-750000</v>
      </c>
      <c r="C5" s="1693">
        <v>-750000</v>
      </c>
      <c r="D5" s="1709">
        <v>-630366.65999999992</v>
      </c>
      <c r="E5" s="1709">
        <v>-1518557.62</v>
      </c>
      <c r="F5" s="1709">
        <v>-788922.38000000012</v>
      </c>
      <c r="G5" s="1709">
        <v>-648707.77</v>
      </c>
      <c r="H5" s="1709">
        <v>-1123998.9800000002</v>
      </c>
      <c r="I5" s="1709">
        <v>-916238.93000000017</v>
      </c>
      <c r="J5" s="1709">
        <v>-901683.46000000008</v>
      </c>
      <c r="K5" s="1709">
        <v>-1738483.47</v>
      </c>
      <c r="L5" s="1693">
        <v>-801657.8600000001</v>
      </c>
      <c r="M5" s="1693">
        <v>-1390777.2299999997</v>
      </c>
      <c r="N5" s="1693">
        <v>-1347666.7330331593</v>
      </c>
      <c r="O5" s="1693">
        <v>-1755862.2968808943</v>
      </c>
      <c r="P5" s="1693">
        <v>-1549444.1914830047</v>
      </c>
      <c r="Q5" s="1693">
        <v>-1703709.3995156148</v>
      </c>
      <c r="R5" s="1693">
        <v>-1042036.6645695575</v>
      </c>
      <c r="S5" s="1693">
        <v>-1067072.3408103078</v>
      </c>
      <c r="T5" s="1693">
        <v>-1360556.4219251294</v>
      </c>
      <c r="U5" s="1693">
        <v>-540974.43732300459</v>
      </c>
      <c r="V5" s="1693">
        <v>-902328.79083178379</v>
      </c>
      <c r="W5" s="1693">
        <v>-786118.90722477832</v>
      </c>
      <c r="X5" s="1693">
        <v>-810633.69273568795</v>
      </c>
      <c r="Y5" s="1693">
        <v>-1198233.0251696373</v>
      </c>
      <c r="Z5" s="1693">
        <v>-1547721.2491253228</v>
      </c>
      <c r="AA5" s="1693">
        <v>-1035515.9002211081</v>
      </c>
      <c r="AB5" s="1693">
        <v>-1658106.8998077747</v>
      </c>
      <c r="AC5" s="1693">
        <v>-2136373.0470299972</v>
      </c>
      <c r="AD5" s="1693">
        <v>-1106270.7984188856</v>
      </c>
      <c r="AE5" s="1693">
        <v>-1365110.4484188857</v>
      </c>
      <c r="AF5" s="1693">
        <v>-1875886.9761966637</v>
      </c>
      <c r="AG5" s="1693">
        <v>-1306250.0161966637</v>
      </c>
      <c r="AH5" s="1693">
        <v>-1477073.4261966639</v>
      </c>
      <c r="AI5" s="1693">
        <v>-1617125.7761966635</v>
      </c>
      <c r="AJ5" s="1693">
        <v>-1403969.3028633301</v>
      </c>
      <c r="AK5" s="1693">
        <v>-1561946.20286333</v>
      </c>
      <c r="AL5" s="1693">
        <v>-2359826.0028633298</v>
      </c>
      <c r="AM5" s="1693">
        <v>-1230802.40286333</v>
      </c>
      <c r="AN5" s="1693">
        <v>-1657412.6149167635</v>
      </c>
      <c r="AO5" s="1693">
        <v>-3573998.373250097</v>
      </c>
      <c r="AP5" s="1693">
        <v>-2328762.2524167635</v>
      </c>
      <c r="AQ5" s="1693">
        <v>-2694335.6524167638</v>
      </c>
      <c r="AR5" s="1693">
        <v>-1886470.6524167636</v>
      </c>
      <c r="AS5" s="1693">
        <v>-1157428.6524167636</v>
      </c>
      <c r="AT5" s="1693">
        <v>-970307.65241676359</v>
      </c>
      <c r="AU5" s="1693">
        <v>-905220.04825009673</v>
      </c>
      <c r="AV5" s="1693">
        <v>-875315.91519454145</v>
      </c>
      <c r="AW5" s="1693">
        <v>-1166249.3874167637</v>
      </c>
      <c r="AX5" s="1693">
        <v>-1345351.9651945413</v>
      </c>
      <c r="AY5" s="1693">
        <v>-851945.17075009702</v>
      </c>
    </row>
    <row r="6" spans="1:52">
      <c r="A6" s="1681" t="s">
        <v>3474</v>
      </c>
      <c r="B6" s="1693"/>
      <c r="C6" s="1693"/>
      <c r="D6" s="1710">
        <f>D5</f>
        <v>-630366.65999999992</v>
      </c>
      <c r="E6" s="1710">
        <f>D6+E5</f>
        <v>-2148924.2800000003</v>
      </c>
      <c r="F6" s="1710">
        <f t="shared" ref="F6:AM6" si="1">E6+F5</f>
        <v>-2937846.66</v>
      </c>
      <c r="G6" s="1710">
        <f t="shared" si="1"/>
        <v>-3586554.43</v>
      </c>
      <c r="H6" s="1710">
        <f t="shared" si="1"/>
        <v>-4710553.41</v>
      </c>
      <c r="I6" s="1710">
        <f t="shared" si="1"/>
        <v>-5626792.3399999999</v>
      </c>
      <c r="J6" s="1710">
        <f t="shared" si="1"/>
        <v>-6528475.7999999998</v>
      </c>
      <c r="K6" s="1710">
        <f t="shared" si="1"/>
        <v>-8266959.2699999996</v>
      </c>
      <c r="L6" s="1710">
        <f t="shared" si="1"/>
        <v>-9068617.129999999</v>
      </c>
      <c r="M6" s="1710">
        <f t="shared" si="1"/>
        <v>-10459394.359999999</v>
      </c>
      <c r="N6" s="1710">
        <f t="shared" si="1"/>
        <v>-11807061.093033159</v>
      </c>
      <c r="O6" s="1710">
        <f t="shared" si="1"/>
        <v>-13562923.389914054</v>
      </c>
      <c r="P6" s="1710">
        <f t="shared" si="1"/>
        <v>-15112367.581397058</v>
      </c>
      <c r="Q6" s="1710">
        <f t="shared" si="1"/>
        <v>-16816076.980912674</v>
      </c>
      <c r="R6" s="1710">
        <f t="shared" si="1"/>
        <v>-17858113.645482231</v>
      </c>
      <c r="S6" s="1710">
        <f t="shared" si="1"/>
        <v>-18925185.986292537</v>
      </c>
      <c r="T6" s="1710">
        <f t="shared" si="1"/>
        <v>-20285742.408217669</v>
      </c>
      <c r="U6" s="1710">
        <f t="shared" si="1"/>
        <v>-20826716.845540673</v>
      </c>
      <c r="V6" s="1710">
        <f t="shared" si="1"/>
        <v>-21729045.636372454</v>
      </c>
      <c r="W6" s="1710">
        <f t="shared" si="1"/>
        <v>-22515164.543597233</v>
      </c>
      <c r="X6" s="1710">
        <f t="shared" si="1"/>
        <v>-23325798.236332919</v>
      </c>
      <c r="Y6" s="1710">
        <f t="shared" si="1"/>
        <v>-24524031.261502557</v>
      </c>
      <c r="Z6" s="1710">
        <f t="shared" si="1"/>
        <v>-26071752.510627881</v>
      </c>
      <c r="AA6" s="1710">
        <f t="shared" si="1"/>
        <v>-27107268.41084899</v>
      </c>
      <c r="AB6" s="1710">
        <f t="shared" si="1"/>
        <v>-28765375.310656764</v>
      </c>
      <c r="AC6" s="1710">
        <f t="shared" si="1"/>
        <v>-30901748.357686762</v>
      </c>
      <c r="AD6" s="1710">
        <f t="shared" si="1"/>
        <v>-32008019.156105649</v>
      </c>
      <c r="AE6" s="1710">
        <f t="shared" si="1"/>
        <v>-33373129.604524534</v>
      </c>
      <c r="AF6" s="1710">
        <f t="shared" si="1"/>
        <v>-35249016.5807212</v>
      </c>
      <c r="AG6" s="1710">
        <f t="shared" si="1"/>
        <v>-36555266.59691786</v>
      </c>
      <c r="AH6" s="1710">
        <f t="shared" si="1"/>
        <v>-38032340.023114525</v>
      </c>
      <c r="AI6" s="1710">
        <f t="shared" si="1"/>
        <v>-39649465.799311191</v>
      </c>
      <c r="AJ6" s="1710">
        <f t="shared" si="1"/>
        <v>-41053435.10217452</v>
      </c>
      <c r="AK6" s="1710">
        <f t="shared" si="1"/>
        <v>-42615381.305037849</v>
      </c>
      <c r="AL6" s="1710">
        <f t="shared" si="1"/>
        <v>-44975207.307901181</v>
      </c>
      <c r="AM6" s="1710">
        <f t="shared" si="1"/>
        <v>-46206009.710764512</v>
      </c>
      <c r="AN6" s="1710">
        <f>AM6+AN5</f>
        <v>-47863422.325681277</v>
      </c>
      <c r="AO6" s="1710">
        <f t="shared" ref="AO6:AY6" si="2">AN6+AO5</f>
        <v>-51437420.698931374</v>
      </c>
      <c r="AP6" s="1710">
        <f t="shared" si="2"/>
        <v>-53766182.951348141</v>
      </c>
      <c r="AQ6" s="1710">
        <f t="shared" si="2"/>
        <v>-56460518.603764907</v>
      </c>
      <c r="AR6" s="1710">
        <f t="shared" si="2"/>
        <v>-58346989.256181672</v>
      </c>
      <c r="AS6" s="1710">
        <f t="shared" si="2"/>
        <v>-59504417.908598438</v>
      </c>
      <c r="AT6" s="1710">
        <f t="shared" si="2"/>
        <v>-60474725.561015204</v>
      </c>
      <c r="AU6" s="1710">
        <f t="shared" si="2"/>
        <v>-61379945.609265298</v>
      </c>
      <c r="AV6" s="1710">
        <f t="shared" si="2"/>
        <v>-62255261.524459839</v>
      </c>
      <c r="AW6" s="1710">
        <f t="shared" si="2"/>
        <v>-63421510.911876604</v>
      </c>
      <c r="AX6" s="1710">
        <f t="shared" si="2"/>
        <v>-64766862.877071142</v>
      </c>
      <c r="AY6" s="1710">
        <f t="shared" si="2"/>
        <v>-65618808.047821239</v>
      </c>
    </row>
    <row r="7" spans="1:52">
      <c r="B7" s="1693"/>
      <c r="C7" s="1693"/>
      <c r="D7" s="1710"/>
      <c r="E7" s="1710"/>
      <c r="F7" s="1710"/>
      <c r="G7" s="1710"/>
      <c r="H7" s="1710"/>
      <c r="I7" s="1710"/>
      <c r="J7" s="1710"/>
      <c r="K7" s="1710"/>
      <c r="L7" s="1710"/>
      <c r="M7" s="1710"/>
      <c r="N7" s="1710"/>
      <c r="O7" s="1710"/>
      <c r="P7" s="1710"/>
      <c r="Q7" s="1710"/>
      <c r="R7" s="1710"/>
      <c r="S7" s="1710"/>
      <c r="T7" s="1710"/>
      <c r="U7" s="1710"/>
      <c r="V7" s="1710"/>
      <c r="W7" s="1710"/>
      <c r="X7" s="1710"/>
      <c r="Y7" s="1710"/>
      <c r="Z7" s="1710"/>
      <c r="AA7" s="1710"/>
      <c r="AB7" s="1710"/>
      <c r="AC7" s="1710"/>
      <c r="AD7" s="1710"/>
      <c r="AE7" s="1710"/>
      <c r="AF7" s="1710"/>
      <c r="AG7" s="1710"/>
      <c r="AH7" s="1710"/>
      <c r="AI7" s="1710"/>
      <c r="AJ7" s="1710"/>
      <c r="AK7" s="1710"/>
      <c r="AL7" s="1710"/>
      <c r="AM7" s="1710"/>
      <c r="AN7" s="1710"/>
      <c r="AO7" s="1710"/>
      <c r="AP7" s="1710"/>
      <c r="AQ7" s="1710"/>
      <c r="AR7" s="1710"/>
      <c r="AS7" s="1710"/>
      <c r="AT7" s="1710"/>
      <c r="AU7" s="1710"/>
      <c r="AV7" s="1710"/>
      <c r="AW7" s="1710"/>
      <c r="AX7" s="1710"/>
      <c r="AY7" s="1710"/>
    </row>
    <row r="8" spans="1:52">
      <c r="A8" s="1681" t="s">
        <v>3475</v>
      </c>
      <c r="B8" s="1693"/>
      <c r="C8" s="1693"/>
      <c r="D8" s="1693">
        <f>D6/D1</f>
        <v>-630366.65999999992</v>
      </c>
      <c r="E8" s="1693">
        <f t="shared" ref="E8:AM8" si="3">E6/E1</f>
        <v>-1074462.1400000001</v>
      </c>
      <c r="F8" s="1693">
        <f t="shared" si="3"/>
        <v>-979282.22000000009</v>
      </c>
      <c r="G8" s="1693">
        <f t="shared" si="3"/>
        <v>-896638.60750000004</v>
      </c>
      <c r="H8" s="1693">
        <f t="shared" si="3"/>
        <v>-942110.68200000003</v>
      </c>
      <c r="I8" s="1693">
        <f t="shared" si="3"/>
        <v>-937798.72333333327</v>
      </c>
      <c r="J8" s="1693">
        <f t="shared" si="3"/>
        <v>-932639.4</v>
      </c>
      <c r="K8" s="1693">
        <f t="shared" si="3"/>
        <v>-1033369.9087499999</v>
      </c>
      <c r="L8" s="1693">
        <f t="shared" si="3"/>
        <v>-1007624.1255555555</v>
      </c>
      <c r="M8" s="1693">
        <f t="shared" si="3"/>
        <v>-1045939.436</v>
      </c>
      <c r="N8" s="1693">
        <f t="shared" si="3"/>
        <v>-1073369.1902757417</v>
      </c>
      <c r="O8" s="1693">
        <f t="shared" si="3"/>
        <v>-1130243.6158261711</v>
      </c>
      <c r="P8" s="1693">
        <f t="shared" si="3"/>
        <v>-1162489.8139536199</v>
      </c>
      <c r="Q8" s="1693">
        <f t="shared" si="3"/>
        <v>-1201148.3557794767</v>
      </c>
      <c r="R8" s="1693">
        <f t="shared" si="3"/>
        <v>-1190540.9096988153</v>
      </c>
      <c r="S8" s="1693">
        <f t="shared" si="3"/>
        <v>-1182824.1241432836</v>
      </c>
      <c r="T8" s="1693">
        <f t="shared" si="3"/>
        <v>-1193278.9651892746</v>
      </c>
      <c r="U8" s="1693">
        <f t="shared" si="3"/>
        <v>-1157039.8247522595</v>
      </c>
      <c r="V8" s="1693">
        <f t="shared" si="3"/>
        <v>-1143633.9808617081</v>
      </c>
      <c r="W8" s="1693">
        <f t="shared" si="3"/>
        <v>-1125758.2271798616</v>
      </c>
      <c r="X8" s="1693">
        <f t="shared" si="3"/>
        <v>-1110752.2969682342</v>
      </c>
      <c r="Y8" s="1693">
        <f t="shared" si="3"/>
        <v>-1114728.6937046617</v>
      </c>
      <c r="Z8" s="1693">
        <f t="shared" si="3"/>
        <v>-1133554.456983821</v>
      </c>
      <c r="AA8" s="1693">
        <f t="shared" si="3"/>
        <v>-1129469.517118708</v>
      </c>
      <c r="AB8" s="1693">
        <f t="shared" si="3"/>
        <v>-1150615.0124262706</v>
      </c>
      <c r="AC8" s="1693">
        <f t="shared" si="3"/>
        <v>-1188528.7829879525</v>
      </c>
      <c r="AD8" s="1693">
        <f t="shared" si="3"/>
        <v>-1185482.190966876</v>
      </c>
      <c r="AE8" s="1693">
        <f t="shared" si="3"/>
        <v>-1191897.4858758762</v>
      </c>
      <c r="AF8" s="1693">
        <f t="shared" si="3"/>
        <v>-1215483.3303696965</v>
      </c>
      <c r="AG8" s="1693">
        <f t="shared" si="3"/>
        <v>-1218508.8865639286</v>
      </c>
      <c r="AH8" s="1693">
        <f t="shared" si="3"/>
        <v>-1226849.6781649846</v>
      </c>
      <c r="AI8" s="1693">
        <f t="shared" si="3"/>
        <v>-1239045.8062284747</v>
      </c>
      <c r="AJ8" s="1693">
        <f t="shared" si="3"/>
        <v>-1244043.4879446824</v>
      </c>
      <c r="AK8" s="1693">
        <f t="shared" si="3"/>
        <v>-1253393.5677952308</v>
      </c>
      <c r="AL8" s="1693">
        <f t="shared" si="3"/>
        <v>-1285005.9230828909</v>
      </c>
      <c r="AM8" s="1693">
        <f t="shared" si="3"/>
        <v>-1283500.2697434586</v>
      </c>
      <c r="AN8" s="1693">
        <f>AN6/AN1</f>
        <v>-1293606.0088021967</v>
      </c>
      <c r="AO8" s="1693">
        <f t="shared" ref="AO8:AY8" si="4">AO6/AO1</f>
        <v>-1353616.3341824047</v>
      </c>
      <c r="AP8" s="1693">
        <f t="shared" si="4"/>
        <v>-1378620.0756755935</v>
      </c>
      <c r="AQ8" s="1693">
        <f t="shared" si="4"/>
        <v>-1411512.9650941226</v>
      </c>
      <c r="AR8" s="1693">
        <f t="shared" si="4"/>
        <v>-1423097.2989312604</v>
      </c>
      <c r="AS8" s="1693">
        <f t="shared" si="4"/>
        <v>-1416771.8549666295</v>
      </c>
      <c r="AT8" s="1693">
        <f t="shared" si="4"/>
        <v>-1406388.9665352374</v>
      </c>
      <c r="AU8" s="1693">
        <f t="shared" si="4"/>
        <v>-1394998.7638469385</v>
      </c>
      <c r="AV8" s="1693">
        <f t="shared" si="4"/>
        <v>-1383450.2560991074</v>
      </c>
      <c r="AW8" s="1693">
        <f t="shared" si="4"/>
        <v>-1378728.4980842739</v>
      </c>
      <c r="AX8" s="1693">
        <f t="shared" si="4"/>
        <v>-1378018.3590866202</v>
      </c>
      <c r="AY8" s="1693">
        <f t="shared" si="4"/>
        <v>-1367058.5009962758</v>
      </c>
    </row>
    <row r="9" spans="1:52">
      <c r="A9" s="1681" t="s">
        <v>3476</v>
      </c>
      <c r="B9" s="1693"/>
      <c r="C9" s="1693"/>
      <c r="D9" s="1693">
        <v>42.148272641830403</v>
      </c>
      <c r="E9" s="1693">
        <v>23.314277253175248</v>
      </c>
      <c r="F9" s="1693">
        <v>24.77466184365116</v>
      </c>
      <c r="G9" s="1693">
        <v>26.334665809045031</v>
      </c>
      <c r="H9" s="1693">
        <v>23.870527666939246</v>
      </c>
      <c r="I9" s="1693">
        <v>23.00327312594586</v>
      </c>
      <c r="J9" s="1693">
        <v>22.16371805651788</v>
      </c>
      <c r="K9" s="1693">
        <v>18.320906279244316</v>
      </c>
      <c r="L9" s="1693">
        <v>17.993431211270021</v>
      </c>
      <c r="M9" s="1693">
        <v>16.004596034755497</v>
      </c>
      <c r="N9" s="1693">
        <v>14.340053316615771</v>
      </c>
      <c r="O9" s="1693">
        <v>12.06492912602585</v>
      </c>
      <c r="P9" s="1693">
        <v>10.397394268338228</v>
      </c>
      <c r="Q9" s="1693">
        <v>8.6443572762077796</v>
      </c>
      <c r="R9" s="1693">
        <v>7.8461132989381257</v>
      </c>
      <c r="S9" s="1693">
        <v>6.9951621334239622</v>
      </c>
      <c r="T9" s="1693"/>
      <c r="U9" s="1693"/>
      <c r="V9" s="1693"/>
      <c r="W9" s="1693"/>
      <c r="X9" s="1693"/>
      <c r="Y9" s="1693"/>
      <c r="Z9" s="1693"/>
      <c r="AA9" s="1693"/>
      <c r="AB9" s="1693"/>
      <c r="AC9" s="1693"/>
      <c r="AD9" s="1693"/>
      <c r="AE9" s="1693"/>
      <c r="AF9" s="1693"/>
      <c r="AG9" s="1693"/>
      <c r="AH9" s="1693"/>
      <c r="AI9" s="1693"/>
      <c r="AJ9" s="1693"/>
      <c r="AK9" s="1693"/>
      <c r="AL9" s="1693"/>
      <c r="AM9" s="1693"/>
      <c r="AN9" s="1693"/>
      <c r="AO9" s="1693"/>
      <c r="AP9" s="1693"/>
      <c r="AQ9" s="1693"/>
      <c r="AR9" s="1693"/>
      <c r="AS9" s="1693"/>
      <c r="AT9" s="1693"/>
      <c r="AU9" s="1693"/>
      <c r="AV9" s="1693"/>
      <c r="AW9" s="1693"/>
      <c r="AX9" s="1693"/>
      <c r="AY9" s="1693"/>
    </row>
    <row r="10" spans="1:52">
      <c r="B10" s="1693"/>
      <c r="C10" s="1693"/>
      <c r="D10" s="1693"/>
      <c r="E10" s="1693"/>
      <c r="F10" s="1693"/>
      <c r="G10" s="1693"/>
      <c r="H10" s="1693"/>
      <c r="I10" s="1693"/>
      <c r="J10" s="1693"/>
      <c r="K10" s="1693"/>
      <c r="L10" s="1693"/>
      <c r="M10" s="1693"/>
      <c r="N10" s="1693"/>
      <c r="O10" s="1693"/>
      <c r="P10" s="1693"/>
      <c r="Q10" s="1693"/>
      <c r="R10" s="1693"/>
      <c r="S10" s="1693"/>
      <c r="T10" s="1693"/>
      <c r="U10" s="1693"/>
      <c r="V10" s="1693"/>
      <c r="W10" s="1693"/>
      <c r="X10" s="1693"/>
      <c r="Y10" s="1693"/>
      <c r="Z10" s="1693"/>
      <c r="AA10" s="1693"/>
      <c r="AB10" s="1693"/>
      <c r="AC10" s="1693"/>
      <c r="AD10" s="1693"/>
      <c r="AE10" s="1693"/>
      <c r="AF10" s="1693"/>
      <c r="AG10" s="1693"/>
      <c r="AH10" s="1693"/>
      <c r="AI10" s="1693"/>
      <c r="AJ10" s="1693"/>
      <c r="AK10" s="1693"/>
      <c r="AL10" s="1693"/>
      <c r="AM10" s="1693"/>
      <c r="AN10" s="1693"/>
      <c r="AO10" s="1693"/>
      <c r="AP10" s="1693"/>
      <c r="AQ10" s="1693"/>
      <c r="AR10" s="1693"/>
      <c r="AS10" s="1693"/>
      <c r="AT10" s="1693"/>
      <c r="AU10" s="1693"/>
      <c r="AV10" s="1693"/>
      <c r="AW10" s="1693"/>
      <c r="AX10" s="1693"/>
      <c r="AY10" s="1693"/>
    </row>
    <row r="11" spans="1:52">
      <c r="A11" s="1681" t="s">
        <v>3477</v>
      </c>
      <c r="B11" s="1693"/>
      <c r="C11" s="1693"/>
      <c r="D11" s="1710">
        <f>AVERAGE(B5:D5)</f>
        <v>-710122.22000000009</v>
      </c>
      <c r="E11" s="1710">
        <f t="shared" ref="E11:AM11" si="5">AVERAGE(C5:E5)</f>
        <v>-966308.09333333338</v>
      </c>
      <c r="F11" s="1710">
        <f t="shared" si="5"/>
        <v>-979282.22000000009</v>
      </c>
      <c r="G11" s="1710">
        <f t="shared" si="5"/>
        <v>-985395.92333333334</v>
      </c>
      <c r="H11" s="1710">
        <f t="shared" si="5"/>
        <v>-853876.37666666682</v>
      </c>
      <c r="I11" s="1710">
        <f t="shared" si="5"/>
        <v>-896315.22666666692</v>
      </c>
      <c r="J11" s="1710">
        <f t="shared" si="5"/>
        <v>-980640.4566666669</v>
      </c>
      <c r="K11" s="1710">
        <f t="shared" si="5"/>
        <v>-1185468.6200000001</v>
      </c>
      <c r="L11" s="1710">
        <f t="shared" si="5"/>
        <v>-1147274.93</v>
      </c>
      <c r="M11" s="1710">
        <f t="shared" si="5"/>
        <v>-1310306.1866666665</v>
      </c>
      <c r="N11" s="1710">
        <f t="shared" si="5"/>
        <v>-1180033.941011053</v>
      </c>
      <c r="O11" s="1710">
        <f t="shared" si="5"/>
        <v>-1498102.0866380178</v>
      </c>
      <c r="P11" s="1710">
        <f t="shared" si="5"/>
        <v>-1550991.0737990194</v>
      </c>
      <c r="Q11" s="1710">
        <f t="shared" si="5"/>
        <v>-1669671.9626265047</v>
      </c>
      <c r="R11" s="1710">
        <f t="shared" si="5"/>
        <v>-1431730.0851893926</v>
      </c>
      <c r="S11" s="1710">
        <f t="shared" si="5"/>
        <v>-1270939.4682984934</v>
      </c>
      <c r="T11" s="1710">
        <f t="shared" si="5"/>
        <v>-1156555.1424349982</v>
      </c>
      <c r="U11" s="1710">
        <f t="shared" si="5"/>
        <v>-989534.4000194805</v>
      </c>
      <c r="V11" s="1710">
        <f t="shared" si="5"/>
        <v>-934619.8833599725</v>
      </c>
      <c r="W11" s="1710">
        <f t="shared" si="5"/>
        <v>-743140.71179318894</v>
      </c>
      <c r="X11" s="1710">
        <f t="shared" si="5"/>
        <v>-833027.13026408339</v>
      </c>
      <c r="Y11" s="1710">
        <f t="shared" si="5"/>
        <v>-931661.87504336797</v>
      </c>
      <c r="Z11" s="1710">
        <f t="shared" si="5"/>
        <v>-1185529.3223435495</v>
      </c>
      <c r="AA11" s="1710">
        <f t="shared" si="5"/>
        <v>-1260490.0581720227</v>
      </c>
      <c r="AB11" s="1710">
        <f t="shared" si="5"/>
        <v>-1413781.3497180685</v>
      </c>
      <c r="AC11" s="1710">
        <f t="shared" si="5"/>
        <v>-1609998.6156862935</v>
      </c>
      <c r="AD11" s="1710">
        <f t="shared" si="5"/>
        <v>-1633583.581752219</v>
      </c>
      <c r="AE11" s="1710">
        <f t="shared" si="5"/>
        <v>-1535918.0979559228</v>
      </c>
      <c r="AF11" s="1710">
        <f t="shared" si="5"/>
        <v>-1449089.407678145</v>
      </c>
      <c r="AG11" s="1710">
        <f t="shared" si="5"/>
        <v>-1515749.1469374045</v>
      </c>
      <c r="AH11" s="1710">
        <f t="shared" si="5"/>
        <v>-1553070.1395299973</v>
      </c>
      <c r="AI11" s="1710">
        <f t="shared" si="5"/>
        <v>-1466816.4061966639</v>
      </c>
      <c r="AJ11" s="1710">
        <f t="shared" si="5"/>
        <v>-1499389.5017522192</v>
      </c>
      <c r="AK11" s="1710">
        <f t="shared" si="5"/>
        <v>-1527680.4273077745</v>
      </c>
      <c r="AL11" s="1710">
        <f t="shared" si="5"/>
        <v>-1775247.1695299968</v>
      </c>
      <c r="AM11" s="1710">
        <f t="shared" si="5"/>
        <v>-1717524.8695299968</v>
      </c>
      <c r="AN11" s="1710">
        <f>AVERAGE(AL5:AN5)</f>
        <v>-1749347.0068811411</v>
      </c>
      <c r="AO11" s="1710">
        <f t="shared" ref="AO11:AY11" si="6">AVERAGE(AM5:AO5)</f>
        <v>-2154071.1303433967</v>
      </c>
      <c r="AP11" s="1710">
        <f t="shared" si="6"/>
        <v>-2520057.7468612078</v>
      </c>
      <c r="AQ11" s="1710">
        <f t="shared" si="6"/>
        <v>-2865698.759361208</v>
      </c>
      <c r="AR11" s="1710">
        <f t="shared" si="6"/>
        <v>-2303189.5190834305</v>
      </c>
      <c r="AS11" s="1710">
        <f t="shared" si="6"/>
        <v>-1912744.9857500971</v>
      </c>
      <c r="AT11" s="1710">
        <f t="shared" si="6"/>
        <v>-1338068.9857500969</v>
      </c>
      <c r="AU11" s="1710">
        <f t="shared" si="6"/>
        <v>-1010985.4510278747</v>
      </c>
      <c r="AV11" s="1710">
        <f t="shared" si="6"/>
        <v>-916947.87195380067</v>
      </c>
      <c r="AW11" s="1710">
        <f t="shared" si="6"/>
        <v>-982261.78362046729</v>
      </c>
      <c r="AX11" s="1710">
        <f t="shared" si="6"/>
        <v>-1128972.4226019487</v>
      </c>
      <c r="AY11" s="1710">
        <f t="shared" si="6"/>
        <v>-1121182.1744538008</v>
      </c>
    </row>
    <row r="12" spans="1:52">
      <c r="A12" s="1681" t="s">
        <v>3476</v>
      </c>
      <c r="B12" s="1693"/>
      <c r="C12" s="1693"/>
      <c r="D12" s="1693">
        <v>37.414497253726267</v>
      </c>
      <c r="E12" s="1693">
        <v>25.923728056118801</v>
      </c>
      <c r="F12" s="1693">
        <v>24.77466184365116</v>
      </c>
      <c r="G12" s="1693">
        <v>23.962630168110056</v>
      </c>
      <c r="H12" s="1693">
        <v>26.337160406978974</v>
      </c>
      <c r="I12" s="1693">
        <v>24.067916652745467</v>
      </c>
      <c r="J12" s="1693">
        <v>21.078833296622062</v>
      </c>
      <c r="K12" s="1693">
        <v>15.970286290665372</v>
      </c>
      <c r="L12" s="1693">
        <v>15.803200188467462</v>
      </c>
      <c r="M12" s="1693">
        <v>12.775516379560916</v>
      </c>
      <c r="N12" s="1693">
        <v>13.043837877899362</v>
      </c>
      <c r="O12" s="1693">
        <v>9.1023897781812835</v>
      </c>
      <c r="P12" s="1693">
        <v>7.7929945134998126</v>
      </c>
      <c r="Q12" s="1693">
        <v>6.2186799332450535</v>
      </c>
      <c r="R12" s="1693">
        <v>6.5243574617502738</v>
      </c>
      <c r="S12" s="1693">
        <v>6.5101814288485169</v>
      </c>
      <c r="T12" s="1693"/>
      <c r="U12" s="1693"/>
      <c r="V12" s="1693"/>
      <c r="W12" s="1693"/>
      <c r="X12" s="1693"/>
      <c r="Y12" s="1693"/>
      <c r="Z12" s="1693"/>
      <c r="AA12" s="1693"/>
      <c r="AB12" s="1693"/>
      <c r="AC12" s="1693"/>
      <c r="AD12" s="1693"/>
      <c r="AE12" s="1693"/>
      <c r="AF12" s="1693"/>
      <c r="AG12" s="1693"/>
      <c r="AH12" s="1693"/>
      <c r="AI12" s="1693"/>
      <c r="AJ12" s="1693"/>
      <c r="AK12" s="1693"/>
      <c r="AL12" s="1693"/>
      <c r="AM12" s="1693"/>
      <c r="AN12" s="1693"/>
      <c r="AO12" s="1693"/>
      <c r="AP12" s="1693"/>
      <c r="AQ12" s="1693"/>
      <c r="AR12" s="1693"/>
      <c r="AS12" s="1693"/>
      <c r="AT12" s="1693"/>
      <c r="AU12" s="1693"/>
      <c r="AV12" s="1693"/>
      <c r="AW12" s="1693"/>
      <c r="AX12" s="1693"/>
      <c r="AY12" s="1693"/>
    </row>
    <row r="13" spans="1:52">
      <c r="B13" s="1693"/>
      <c r="C13" s="1693"/>
    </row>
    <row r="14" spans="1:52">
      <c r="B14" s="1693"/>
      <c r="C14" s="1693"/>
    </row>
    <row r="15" spans="1:52">
      <c r="B15" s="1693"/>
      <c r="C15" s="1693"/>
    </row>
    <row r="16" spans="1:52">
      <c r="B16" s="1693"/>
      <c r="C16" s="1693"/>
    </row>
    <row r="17" spans="2:23">
      <c r="B17" s="1693"/>
      <c r="C17" s="1693"/>
      <c r="W17" s="1693"/>
    </row>
    <row r="18" spans="2:23">
      <c r="W18" s="1693"/>
    </row>
    <row r="19" spans="2:23">
      <c r="W19" s="1693"/>
    </row>
    <row r="20" spans="2:23">
      <c r="W20" s="1693"/>
    </row>
    <row r="21" spans="2:23">
      <c r="W21" s="1693"/>
    </row>
    <row r="22" spans="2:23">
      <c r="W22" s="1693"/>
    </row>
    <row r="23" spans="2:23">
      <c r="W23" s="1693"/>
    </row>
    <row r="24" spans="2:23">
      <c r="W24" s="1693"/>
    </row>
    <row r="25" spans="2:23">
      <c r="W25" s="1693"/>
    </row>
    <row r="26" spans="2:23">
      <c r="W26" s="1693"/>
    </row>
    <row r="27" spans="2:23">
      <c r="W27" s="1693"/>
    </row>
    <row r="28" spans="2:23">
      <c r="W28" s="1693"/>
    </row>
    <row r="29" spans="2:23">
      <c r="W29" s="1693"/>
    </row>
    <row r="30" spans="2:23">
      <c r="W30" s="1693"/>
    </row>
    <row r="31" spans="2:23">
      <c r="W31" s="1693"/>
    </row>
    <row r="78" spans="4:51">
      <c r="D78" s="1681">
        <v>1</v>
      </c>
      <c r="E78" s="1681">
        <f>D78+1</f>
        <v>2</v>
      </c>
      <c r="F78" s="1681">
        <f t="shared" ref="F78:AY78" si="7">E78+1</f>
        <v>3</v>
      </c>
      <c r="G78" s="1681">
        <f t="shared" si="7"/>
        <v>4</v>
      </c>
      <c r="H78" s="1681">
        <f t="shared" si="7"/>
        <v>5</v>
      </c>
      <c r="I78" s="1681">
        <f t="shared" si="7"/>
        <v>6</v>
      </c>
      <c r="J78" s="1681">
        <f t="shared" si="7"/>
        <v>7</v>
      </c>
      <c r="K78" s="1681">
        <f t="shared" si="7"/>
        <v>8</v>
      </c>
      <c r="L78" s="1681">
        <f t="shared" si="7"/>
        <v>9</v>
      </c>
      <c r="M78" s="1681">
        <f t="shared" si="7"/>
        <v>10</v>
      </c>
      <c r="N78" s="1681">
        <f t="shared" si="7"/>
        <v>11</v>
      </c>
      <c r="O78" s="1681">
        <f t="shared" si="7"/>
        <v>12</v>
      </c>
      <c r="P78" s="1681">
        <f t="shared" si="7"/>
        <v>13</v>
      </c>
      <c r="Q78" s="1681">
        <f t="shared" si="7"/>
        <v>14</v>
      </c>
      <c r="R78" s="1681">
        <f t="shared" si="7"/>
        <v>15</v>
      </c>
      <c r="S78" s="1681">
        <f t="shared" si="7"/>
        <v>16</v>
      </c>
      <c r="T78" s="1681">
        <f t="shared" si="7"/>
        <v>17</v>
      </c>
      <c r="U78" s="1681">
        <f t="shared" si="7"/>
        <v>18</v>
      </c>
      <c r="V78" s="1681">
        <f t="shared" si="7"/>
        <v>19</v>
      </c>
      <c r="W78" s="1681">
        <f t="shared" si="7"/>
        <v>20</v>
      </c>
      <c r="X78" s="1681">
        <f t="shared" si="7"/>
        <v>21</v>
      </c>
      <c r="Y78" s="1681">
        <f t="shared" si="7"/>
        <v>22</v>
      </c>
      <c r="Z78" s="1681">
        <f t="shared" si="7"/>
        <v>23</v>
      </c>
      <c r="AA78" s="1681">
        <f t="shared" si="7"/>
        <v>24</v>
      </c>
      <c r="AB78" s="1681">
        <f t="shared" si="7"/>
        <v>25</v>
      </c>
      <c r="AC78" s="1681">
        <f t="shared" si="7"/>
        <v>26</v>
      </c>
      <c r="AD78" s="1681">
        <f t="shared" si="7"/>
        <v>27</v>
      </c>
      <c r="AE78" s="1681">
        <f t="shared" si="7"/>
        <v>28</v>
      </c>
      <c r="AF78" s="1681">
        <f t="shared" si="7"/>
        <v>29</v>
      </c>
      <c r="AG78" s="1681">
        <f t="shared" si="7"/>
        <v>30</v>
      </c>
      <c r="AH78" s="1681">
        <f t="shared" si="7"/>
        <v>31</v>
      </c>
      <c r="AI78" s="1681">
        <f t="shared" si="7"/>
        <v>32</v>
      </c>
      <c r="AJ78" s="1681">
        <f t="shared" si="7"/>
        <v>33</v>
      </c>
      <c r="AK78" s="1681">
        <f t="shared" si="7"/>
        <v>34</v>
      </c>
      <c r="AL78" s="1681">
        <f t="shared" si="7"/>
        <v>35</v>
      </c>
      <c r="AM78" s="1681">
        <f t="shared" si="7"/>
        <v>36</v>
      </c>
      <c r="AN78" s="1681">
        <f t="shared" si="7"/>
        <v>37</v>
      </c>
      <c r="AO78" s="1681">
        <f t="shared" si="7"/>
        <v>38</v>
      </c>
      <c r="AP78" s="1681">
        <f t="shared" si="7"/>
        <v>39</v>
      </c>
      <c r="AQ78" s="1681">
        <f t="shared" si="7"/>
        <v>40</v>
      </c>
      <c r="AR78" s="1681">
        <f t="shared" si="7"/>
        <v>41</v>
      </c>
      <c r="AS78" s="1681">
        <f t="shared" si="7"/>
        <v>42</v>
      </c>
      <c r="AT78" s="1681">
        <f t="shared" si="7"/>
        <v>43</v>
      </c>
      <c r="AU78" s="1681">
        <f t="shared" si="7"/>
        <v>44</v>
      </c>
      <c r="AV78" s="1681">
        <f t="shared" si="7"/>
        <v>45</v>
      </c>
      <c r="AW78" s="1681">
        <f t="shared" si="7"/>
        <v>46</v>
      </c>
      <c r="AX78" s="1681">
        <f t="shared" si="7"/>
        <v>47</v>
      </c>
      <c r="AY78" s="1681">
        <f t="shared" si="7"/>
        <v>48</v>
      </c>
    </row>
    <row r="79" spans="4:51">
      <c r="D79" s="2211">
        <v>2018</v>
      </c>
      <c r="E79" s="2212"/>
      <c r="F79" s="2212"/>
      <c r="G79" s="2212"/>
      <c r="H79" s="2212"/>
      <c r="I79" s="2212"/>
      <c r="J79" s="2212"/>
      <c r="K79" s="2212"/>
      <c r="L79" s="2212"/>
      <c r="M79" s="2212"/>
      <c r="N79" s="2212"/>
      <c r="O79" s="2212"/>
      <c r="P79" s="2211">
        <v>2019</v>
      </c>
      <c r="Q79" s="2212"/>
      <c r="R79" s="2212"/>
      <c r="S79" s="2212"/>
      <c r="T79" s="2212"/>
      <c r="U79" s="2212"/>
      <c r="V79" s="2212"/>
      <c r="W79" s="2212"/>
      <c r="X79" s="2212"/>
      <c r="Y79" s="2212"/>
      <c r="Z79" s="2212"/>
      <c r="AA79" s="2213"/>
      <c r="AB79" s="2212">
        <v>2020</v>
      </c>
      <c r="AC79" s="2212"/>
      <c r="AD79" s="2212"/>
      <c r="AE79" s="2212"/>
      <c r="AF79" s="2212"/>
      <c r="AG79" s="2212"/>
      <c r="AH79" s="2212"/>
      <c r="AI79" s="2212"/>
      <c r="AJ79" s="2212"/>
      <c r="AK79" s="2212"/>
      <c r="AL79" s="2212"/>
      <c r="AM79" s="2213"/>
      <c r="AN79" s="2212">
        <v>2021</v>
      </c>
      <c r="AO79" s="2212"/>
      <c r="AP79" s="2212"/>
      <c r="AQ79" s="2212"/>
      <c r="AR79" s="2212"/>
      <c r="AS79" s="2212"/>
      <c r="AT79" s="2212"/>
      <c r="AU79" s="2212"/>
      <c r="AV79" s="2212"/>
      <c r="AW79" s="2212"/>
      <c r="AX79" s="2212"/>
      <c r="AY79" s="2213"/>
    </row>
    <row r="80" spans="4:51">
      <c r="D80" s="1707" t="s">
        <v>3432</v>
      </c>
      <c r="E80" s="1688" t="s">
        <v>3431</v>
      </c>
      <c r="F80" s="1688" t="s">
        <v>3430</v>
      </c>
      <c r="G80" s="1688" t="s">
        <v>3429</v>
      </c>
      <c r="H80" s="1688" t="s">
        <v>3428</v>
      </c>
      <c r="I80" s="1688" t="s">
        <v>3427</v>
      </c>
      <c r="J80" s="1688" t="s">
        <v>3426</v>
      </c>
      <c r="K80" s="1688" t="s">
        <v>3425</v>
      </c>
      <c r="L80" s="1688" t="s">
        <v>3424</v>
      </c>
      <c r="M80" s="1688" t="s">
        <v>3423</v>
      </c>
      <c r="N80" s="1688" t="s">
        <v>3422</v>
      </c>
      <c r="O80" s="1708" t="s">
        <v>3421</v>
      </c>
      <c r="P80" s="1688" t="s">
        <v>3432</v>
      </c>
      <c r="Q80" s="1688" t="s">
        <v>3431</v>
      </c>
      <c r="R80" s="1688" t="s">
        <v>3430</v>
      </c>
      <c r="S80" s="1688" t="s">
        <v>3429</v>
      </c>
      <c r="T80" s="1688" t="s">
        <v>3428</v>
      </c>
      <c r="U80" s="1688" t="s">
        <v>3427</v>
      </c>
      <c r="V80" s="1688" t="s">
        <v>3426</v>
      </c>
      <c r="W80" s="1688" t="s">
        <v>3425</v>
      </c>
      <c r="X80" s="1688" t="s">
        <v>3424</v>
      </c>
      <c r="Y80" s="1688" t="s">
        <v>3423</v>
      </c>
      <c r="Z80" s="1688" t="s">
        <v>3422</v>
      </c>
      <c r="AA80" s="1708" t="s">
        <v>3421</v>
      </c>
      <c r="AB80" s="1688" t="s">
        <v>3432</v>
      </c>
      <c r="AC80" s="1688" t="s">
        <v>3431</v>
      </c>
      <c r="AD80" s="1688" t="s">
        <v>3430</v>
      </c>
      <c r="AE80" s="1688" t="s">
        <v>3429</v>
      </c>
      <c r="AF80" s="1688" t="s">
        <v>3428</v>
      </c>
      <c r="AG80" s="1688" t="s">
        <v>3427</v>
      </c>
      <c r="AH80" s="1688" t="s">
        <v>3426</v>
      </c>
      <c r="AI80" s="1688" t="s">
        <v>3425</v>
      </c>
      <c r="AJ80" s="1688" t="s">
        <v>3424</v>
      </c>
      <c r="AK80" s="1688" t="s">
        <v>3423</v>
      </c>
      <c r="AL80" s="1688" t="s">
        <v>3422</v>
      </c>
      <c r="AM80" s="1708" t="s">
        <v>3421</v>
      </c>
      <c r="AN80" s="1688" t="s">
        <v>3432</v>
      </c>
      <c r="AO80" s="1688" t="s">
        <v>3431</v>
      </c>
      <c r="AP80" s="1688" t="s">
        <v>3430</v>
      </c>
      <c r="AQ80" s="1688" t="s">
        <v>3429</v>
      </c>
      <c r="AR80" s="1688" t="s">
        <v>3428</v>
      </c>
      <c r="AS80" s="1688" t="s">
        <v>3427</v>
      </c>
      <c r="AT80" s="1688" t="s">
        <v>3426</v>
      </c>
      <c r="AU80" s="1688" t="s">
        <v>3425</v>
      </c>
      <c r="AV80" s="1688" t="s">
        <v>3424</v>
      </c>
      <c r="AW80" s="1688" t="s">
        <v>3423</v>
      </c>
      <c r="AX80" s="1688" t="s">
        <v>3422</v>
      </c>
      <c r="AY80" s="1708" t="s">
        <v>3421</v>
      </c>
    </row>
    <row r="81" spans="4:51">
      <c r="D81" s="1711">
        <v>26568.865850000002</v>
      </c>
      <c r="E81" s="1711">
        <v>25050.308229999999</v>
      </c>
      <c r="F81" s="1711">
        <v>24261.385850000002</v>
      </c>
      <c r="G81" s="1711">
        <v>23612.678080000002</v>
      </c>
      <c r="H81" s="1711">
        <v>22488.679100000001</v>
      </c>
      <c r="I81" s="1711">
        <v>21572.440170000002</v>
      </c>
      <c r="J81" s="1711">
        <v>20670.756710000001</v>
      </c>
      <c r="K81" s="1711">
        <v>18932.273240000002</v>
      </c>
      <c r="L81" s="1711">
        <v>18130.615380000003</v>
      </c>
      <c r="M81" s="1711">
        <v>16739.838150000003</v>
      </c>
      <c r="N81" s="1711">
        <v>15392.171416966843</v>
      </c>
      <c r="O81" s="1711">
        <v>13636.309120085947</v>
      </c>
      <c r="P81" s="1711">
        <v>12086.864928602943</v>
      </c>
      <c r="Q81" s="1711">
        <v>10383.155529087328</v>
      </c>
      <c r="R81" s="1711">
        <v>9341.1188645177699</v>
      </c>
      <c r="S81" s="1711">
        <v>8274.0465237074623</v>
      </c>
      <c r="T81" s="1711">
        <v>6913.4901017823331</v>
      </c>
      <c r="U81" s="1711">
        <v>6372.515664459328</v>
      </c>
      <c r="V81" s="1711">
        <v>5470.1868736275446</v>
      </c>
      <c r="W81" s="1711">
        <v>4684.0679664027666</v>
      </c>
      <c r="X81" s="1711">
        <v>3873.4342736670783</v>
      </c>
      <c r="Y81" s="1711">
        <v>2675.2012484974416</v>
      </c>
      <c r="Z81" s="1711">
        <v>1127.4799993721185</v>
      </c>
      <c r="AA81" s="1711">
        <v>91.964099151010515</v>
      </c>
      <c r="AB81" s="1711">
        <v>-1566.1428006567644</v>
      </c>
      <c r="AC81" s="1711">
        <v>-3702.5158476867614</v>
      </c>
      <c r="AD81" s="1711">
        <v>-4808.7866461056474</v>
      </c>
      <c r="AE81" s="1711">
        <v>-6173.8970945245328</v>
      </c>
      <c r="AF81" s="1711">
        <v>-8049.7840707211963</v>
      </c>
      <c r="AG81" s="1711">
        <v>-9356.0340869178599</v>
      </c>
      <c r="AH81" s="1711">
        <v>-10833.107513114524</v>
      </c>
      <c r="AI81" s="1711">
        <v>-12450.233289311189</v>
      </c>
      <c r="AJ81" s="1711">
        <v>-13854.202592174519</v>
      </c>
      <c r="AK81" s="1711">
        <v>-15416.148795037849</v>
      </c>
      <c r="AL81" s="1711">
        <v>-17775.974797901181</v>
      </c>
      <c r="AM81" s="1711">
        <v>-19006.777200764511</v>
      </c>
      <c r="AN81" s="1711">
        <v>-20664.189815681275</v>
      </c>
      <c r="AO81" s="1711">
        <v>-24238.188188931374</v>
      </c>
      <c r="AP81" s="1711">
        <v>-26566.950441348137</v>
      </c>
      <c r="AQ81" s="1711">
        <v>-29261.286093764902</v>
      </c>
      <c r="AR81" s="1711">
        <v>-31147.756746181662</v>
      </c>
      <c r="AS81" s="1711">
        <v>-32305.185398598423</v>
      </c>
      <c r="AT81" s="1711">
        <v>-33275.49305101519</v>
      </c>
      <c r="AU81" s="1711">
        <v>-34180.713099265282</v>
      </c>
      <c r="AV81" s="1711">
        <v>-35056.029014459826</v>
      </c>
      <c r="AW81" s="1711">
        <v>-36222.278401876589</v>
      </c>
      <c r="AX81" s="1711">
        <v>-37567.630367071128</v>
      </c>
      <c r="AY81" s="1711">
        <v>-38419.575537821227</v>
      </c>
    </row>
  </sheetData>
  <mergeCells count="8">
    <mergeCell ref="D2:O2"/>
    <mergeCell ref="P2:AA2"/>
    <mergeCell ref="AB2:AM2"/>
    <mergeCell ref="AN2:AY2"/>
    <mergeCell ref="D79:O79"/>
    <mergeCell ref="P79:AA79"/>
    <mergeCell ref="AB79:AM79"/>
    <mergeCell ref="AN79:AY79"/>
  </mergeCells>
  <pageMargins left="0.7" right="0.7" top="0.75" bottom="0.75" header="0.3" footer="0.3"/>
  <drawing r:id="rId1"/>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79">
    <tabColor theme="4"/>
  </sheetPr>
  <dimension ref="A1:BS36"/>
  <sheetViews>
    <sheetView workbookViewId="0">
      <pane xSplit="1" ySplit="3" topLeftCell="B4" activePane="bottomRight" state="frozen"/>
      <selection activeCell="J35" sqref="J35"/>
      <selection pane="topRight" activeCell="J35" sqref="J35"/>
      <selection pane="bottomLeft" activeCell="J35" sqref="J35"/>
      <selection pane="bottomRight" activeCell="B4" sqref="B4"/>
    </sheetView>
  </sheetViews>
  <sheetFormatPr defaultRowHeight="15"/>
  <cols>
    <col min="1" max="1" width="41.5" style="1601" customWidth="1"/>
    <col min="2" max="49" width="13.6640625" style="1549" customWidth="1"/>
    <col min="50" max="50" width="9.33203125" style="1601"/>
    <col min="51" max="53" width="14.5" style="1601" bestFit="1" customWidth="1"/>
    <col min="54" max="54" width="14.5" style="1601" customWidth="1"/>
    <col min="55" max="55" width="3.1640625" style="1601" customWidth="1"/>
    <col min="56" max="71" width="14.83203125" style="1601" customWidth="1"/>
    <col min="72" max="16384" width="9.33203125" style="1549"/>
  </cols>
  <sheetData>
    <row r="1" spans="1:71">
      <c r="A1" s="1638" t="s">
        <v>3433</v>
      </c>
      <c r="B1" s="1637" t="s">
        <v>690</v>
      </c>
      <c r="C1" s="1637" t="s">
        <v>690</v>
      </c>
      <c r="D1" s="1637" t="s">
        <v>690</v>
      </c>
      <c r="E1" s="1637" t="s">
        <v>690</v>
      </c>
      <c r="F1" s="1637" t="s">
        <v>690</v>
      </c>
      <c r="G1" s="1637" t="s">
        <v>690</v>
      </c>
      <c r="H1" s="1637" t="s">
        <v>690</v>
      </c>
      <c r="I1" s="1637" t="s">
        <v>690</v>
      </c>
      <c r="J1" s="1637" t="s">
        <v>690</v>
      </c>
      <c r="K1" s="1637" t="s">
        <v>690</v>
      </c>
    </row>
    <row r="2" spans="1:71">
      <c r="B2" s="2215">
        <v>2018</v>
      </c>
      <c r="C2" s="2214"/>
      <c r="D2" s="2214"/>
      <c r="E2" s="2214"/>
      <c r="F2" s="2214"/>
      <c r="G2" s="2214"/>
      <c r="H2" s="2214"/>
      <c r="I2" s="2214"/>
      <c r="J2" s="2214"/>
      <c r="K2" s="2214"/>
      <c r="L2" s="2214"/>
      <c r="M2" s="2214"/>
      <c r="N2" s="2215">
        <v>2019</v>
      </c>
      <c r="O2" s="2214"/>
      <c r="P2" s="2214"/>
      <c r="Q2" s="2214"/>
      <c r="R2" s="2214"/>
      <c r="S2" s="2214"/>
      <c r="T2" s="2214"/>
      <c r="U2" s="2214"/>
      <c r="V2" s="2214"/>
      <c r="W2" s="2214"/>
      <c r="X2" s="2214"/>
      <c r="Y2" s="2216"/>
      <c r="Z2" s="2214">
        <v>2020</v>
      </c>
      <c r="AA2" s="2214"/>
      <c r="AB2" s="2214"/>
      <c r="AC2" s="2214"/>
      <c r="AD2" s="2214"/>
      <c r="AE2" s="2214"/>
      <c r="AF2" s="2214"/>
      <c r="AG2" s="2214"/>
      <c r="AH2" s="2214"/>
      <c r="AI2" s="2214"/>
      <c r="AJ2" s="2214"/>
      <c r="AK2" s="2216"/>
      <c r="AL2" s="2214">
        <v>2021</v>
      </c>
      <c r="AM2" s="2214"/>
      <c r="AN2" s="2214"/>
      <c r="AO2" s="2214"/>
      <c r="AP2" s="2214"/>
      <c r="AQ2" s="2214"/>
      <c r="AR2" s="2214"/>
      <c r="AS2" s="2214"/>
      <c r="AT2" s="2214"/>
      <c r="AU2" s="2214"/>
      <c r="AV2" s="2214"/>
      <c r="AW2" s="2216"/>
      <c r="AY2" s="1636">
        <v>2018</v>
      </c>
      <c r="AZ2" s="1635">
        <v>2019</v>
      </c>
      <c r="BA2" s="1634">
        <v>2020</v>
      </c>
      <c r="BB2" s="1633">
        <v>2021</v>
      </c>
      <c r="BC2" s="1629"/>
      <c r="BD2" s="2214">
        <v>2018</v>
      </c>
      <c r="BE2" s="2214"/>
      <c r="BF2" s="2214"/>
      <c r="BG2" s="2214"/>
      <c r="BH2" s="2214">
        <v>2019</v>
      </c>
      <c r="BI2" s="2214"/>
      <c r="BJ2" s="2214"/>
      <c r="BK2" s="2214"/>
      <c r="BL2" s="2214">
        <v>2020</v>
      </c>
      <c r="BM2" s="2214"/>
      <c r="BN2" s="2214"/>
      <c r="BO2" s="2214"/>
      <c r="BP2" s="2214">
        <v>2021</v>
      </c>
      <c r="BQ2" s="2214"/>
      <c r="BR2" s="2214"/>
      <c r="BS2" s="2214"/>
    </row>
    <row r="3" spans="1:71">
      <c r="B3" s="1632" t="s">
        <v>3432</v>
      </c>
      <c r="C3" s="1581" t="s">
        <v>3431</v>
      </c>
      <c r="D3" s="1581" t="s">
        <v>3430</v>
      </c>
      <c r="E3" s="1581" t="s">
        <v>3429</v>
      </c>
      <c r="F3" s="1581" t="s">
        <v>3428</v>
      </c>
      <c r="G3" s="1581" t="s">
        <v>3427</v>
      </c>
      <c r="H3" s="1581" t="s">
        <v>3426</v>
      </c>
      <c r="I3" s="1581" t="s">
        <v>3425</v>
      </c>
      <c r="J3" s="1581" t="s">
        <v>3424</v>
      </c>
      <c r="K3" s="1581" t="s">
        <v>3423</v>
      </c>
      <c r="L3" s="1581" t="s">
        <v>3422</v>
      </c>
      <c r="M3" s="1628" t="s">
        <v>3421</v>
      </c>
      <c r="N3" s="1581" t="s">
        <v>3432</v>
      </c>
      <c r="O3" s="1581" t="s">
        <v>3431</v>
      </c>
      <c r="P3" s="1581" t="s">
        <v>3430</v>
      </c>
      <c r="Q3" s="1581" t="s">
        <v>3429</v>
      </c>
      <c r="R3" s="1581" t="s">
        <v>3428</v>
      </c>
      <c r="S3" s="1581" t="s">
        <v>3427</v>
      </c>
      <c r="T3" s="1581" t="s">
        <v>3426</v>
      </c>
      <c r="U3" s="1581" t="s">
        <v>3425</v>
      </c>
      <c r="V3" s="1581" t="s">
        <v>3424</v>
      </c>
      <c r="W3" s="1581" t="s">
        <v>3423</v>
      </c>
      <c r="X3" s="1581" t="s">
        <v>3422</v>
      </c>
      <c r="Y3" s="1628" t="s">
        <v>3421</v>
      </c>
      <c r="Z3" s="1581" t="s">
        <v>3432</v>
      </c>
      <c r="AA3" s="1581" t="s">
        <v>3431</v>
      </c>
      <c r="AB3" s="1581" t="s">
        <v>3430</v>
      </c>
      <c r="AC3" s="1581" t="s">
        <v>3429</v>
      </c>
      <c r="AD3" s="1581" t="s">
        <v>3428</v>
      </c>
      <c r="AE3" s="1581" t="s">
        <v>3427</v>
      </c>
      <c r="AF3" s="1581" t="s">
        <v>3426</v>
      </c>
      <c r="AG3" s="1581" t="s">
        <v>3425</v>
      </c>
      <c r="AH3" s="1581" t="s">
        <v>3424</v>
      </c>
      <c r="AI3" s="1581" t="s">
        <v>3423</v>
      </c>
      <c r="AJ3" s="1581" t="s">
        <v>3422</v>
      </c>
      <c r="AK3" s="1628" t="s">
        <v>3421</v>
      </c>
      <c r="AL3" s="1581" t="s">
        <v>3432</v>
      </c>
      <c r="AM3" s="1581" t="s">
        <v>3431</v>
      </c>
      <c r="AN3" s="1581" t="s">
        <v>3430</v>
      </c>
      <c r="AO3" s="1581" t="s">
        <v>3429</v>
      </c>
      <c r="AP3" s="1581" t="s">
        <v>3428</v>
      </c>
      <c r="AQ3" s="1581" t="s">
        <v>3427</v>
      </c>
      <c r="AR3" s="1581" t="s">
        <v>3426</v>
      </c>
      <c r="AS3" s="1581" t="s">
        <v>3425</v>
      </c>
      <c r="AT3" s="1581" t="s">
        <v>3424</v>
      </c>
      <c r="AU3" s="1581" t="s">
        <v>3423</v>
      </c>
      <c r="AV3" s="1581" t="s">
        <v>3422</v>
      </c>
      <c r="AW3" s="1628" t="s">
        <v>3421</v>
      </c>
      <c r="AY3" s="1632"/>
      <c r="AZ3" s="1631"/>
      <c r="BA3" s="1581"/>
      <c r="BB3" s="1630"/>
      <c r="BC3" s="1629"/>
      <c r="BD3" s="1581" t="s">
        <v>3420</v>
      </c>
      <c r="BE3" s="1581" t="s">
        <v>3419</v>
      </c>
      <c r="BF3" s="1581" t="s">
        <v>3418</v>
      </c>
      <c r="BG3" s="1628" t="s">
        <v>3417</v>
      </c>
      <c r="BH3" s="1581" t="s">
        <v>3420</v>
      </c>
      <c r="BI3" s="1581" t="s">
        <v>3419</v>
      </c>
      <c r="BJ3" s="1581" t="s">
        <v>3418</v>
      </c>
      <c r="BK3" s="1628" t="s">
        <v>3417</v>
      </c>
      <c r="BL3" s="1581" t="s">
        <v>3420</v>
      </c>
      <c r="BM3" s="1581" t="s">
        <v>3419</v>
      </c>
      <c r="BN3" s="1581" t="s">
        <v>3418</v>
      </c>
      <c r="BO3" s="1628" t="s">
        <v>3417</v>
      </c>
      <c r="BP3" s="1581" t="s">
        <v>3420</v>
      </c>
      <c r="BQ3" s="1581" t="s">
        <v>3419</v>
      </c>
      <c r="BR3" s="1581" t="s">
        <v>3418</v>
      </c>
      <c r="BS3" s="1628" t="s">
        <v>3417</v>
      </c>
    </row>
    <row r="4" spans="1:71">
      <c r="B4" s="1601"/>
    </row>
    <row r="5" spans="1:71">
      <c r="A5" s="1583" t="s">
        <v>160</v>
      </c>
      <c r="B5" s="1585">
        <v>0</v>
      </c>
      <c r="C5" s="1585">
        <v>0</v>
      </c>
      <c r="D5" s="1585">
        <v>0</v>
      </c>
      <c r="E5" s="1585">
        <v>0</v>
      </c>
      <c r="F5" s="1585">
        <v>0</v>
      </c>
      <c r="G5" s="1585">
        <v>0</v>
      </c>
      <c r="H5" s="1585">
        <v>0</v>
      </c>
      <c r="I5" s="1585">
        <v>0</v>
      </c>
      <c r="J5" s="1603">
        <v>227149.12</v>
      </c>
      <c r="K5" s="1603">
        <v>0</v>
      </c>
      <c r="L5" s="1585">
        <v>32587.99</v>
      </c>
      <c r="M5" s="1585">
        <v>32587.99</v>
      </c>
      <c r="N5" s="1585">
        <v>31500.49</v>
      </c>
      <c r="O5" s="1585">
        <v>31500.49</v>
      </c>
      <c r="P5" s="1585">
        <v>31500.49</v>
      </c>
      <c r="Q5" s="1585">
        <v>23017.99</v>
      </c>
      <c r="R5" s="1585">
        <v>23017.99</v>
      </c>
      <c r="S5" s="1585">
        <v>0</v>
      </c>
      <c r="T5" s="1585">
        <v>0</v>
      </c>
      <c r="U5" s="1585">
        <v>0</v>
      </c>
      <c r="V5" s="1585">
        <v>0</v>
      </c>
      <c r="W5" s="1585">
        <v>0</v>
      </c>
      <c r="X5" s="1585">
        <v>0</v>
      </c>
      <c r="Y5" s="1585">
        <v>0</v>
      </c>
      <c r="Z5" s="1585">
        <v>0</v>
      </c>
      <c r="AA5" s="1585">
        <v>0</v>
      </c>
      <c r="AB5" s="1585">
        <v>0</v>
      </c>
      <c r="AC5" s="1585">
        <v>0</v>
      </c>
      <c r="AD5" s="1585">
        <v>0</v>
      </c>
      <c r="AE5" s="1585">
        <v>0</v>
      </c>
      <c r="AF5" s="1585">
        <v>0</v>
      </c>
      <c r="AG5" s="1585">
        <v>0</v>
      </c>
      <c r="AH5" s="1585">
        <v>0</v>
      </c>
      <c r="AI5" s="1585">
        <v>0</v>
      </c>
      <c r="AJ5" s="1585">
        <v>0</v>
      </c>
      <c r="AK5" s="1585">
        <v>0</v>
      </c>
      <c r="AL5" s="1585">
        <v>0</v>
      </c>
      <c r="AM5" s="1585">
        <v>0</v>
      </c>
      <c r="AN5" s="1585">
        <v>0</v>
      </c>
      <c r="AO5" s="1585">
        <v>0</v>
      </c>
      <c r="AP5" s="1585">
        <v>0</v>
      </c>
      <c r="AQ5" s="1585">
        <v>0</v>
      </c>
      <c r="AR5" s="1585">
        <v>0</v>
      </c>
      <c r="AS5" s="1585">
        <v>0</v>
      </c>
      <c r="AT5" s="1585">
        <v>0</v>
      </c>
      <c r="AU5" s="1585">
        <v>0</v>
      </c>
      <c r="AV5" s="1585">
        <v>0</v>
      </c>
      <c r="AW5" s="1585">
        <v>0</v>
      </c>
      <c r="AY5" s="1601">
        <f>SUM(B5:M5)</f>
        <v>292325.09999999998</v>
      </c>
      <c r="AZ5" s="1601">
        <f>SUM(N5:Y5)</f>
        <v>140537.45000000001</v>
      </c>
      <c r="BA5" s="1601">
        <f>SUM(Z5:AK5)</f>
        <v>0</v>
      </c>
      <c r="BB5" s="1601">
        <f>SUM(AL5:AW5)</f>
        <v>0</v>
      </c>
      <c r="BD5" s="1601">
        <f>SUM(B5:D5)</f>
        <v>0</v>
      </c>
      <c r="BE5" s="1601">
        <f>SUM(E5:G5)</f>
        <v>0</v>
      </c>
      <c r="BF5" s="1601">
        <f>SUM(H5:J5)</f>
        <v>227149.12</v>
      </c>
      <c r="BG5" s="1601">
        <f>SUM(K5:M5)</f>
        <v>65175.98</v>
      </c>
      <c r="BH5" s="1601">
        <f>SUM(N5:P5)</f>
        <v>94501.47</v>
      </c>
      <c r="BI5" s="1601">
        <f>SUM(Q5:S5)</f>
        <v>46035.98</v>
      </c>
      <c r="BJ5" s="1601">
        <f>SUM(T5:V5)</f>
        <v>0</v>
      </c>
      <c r="BK5" s="1601">
        <f>SUM(W5:Y5)</f>
        <v>0</v>
      </c>
      <c r="BL5" s="1601">
        <f>SUM(Z5:AB5)</f>
        <v>0</v>
      </c>
      <c r="BM5" s="1601">
        <f>SUM(AC5:AE5)</f>
        <v>0</v>
      </c>
      <c r="BN5" s="1601">
        <f>SUM(AF5:AH5)</f>
        <v>0</v>
      </c>
      <c r="BO5" s="1601">
        <f>SUM(AI5:AK5)</f>
        <v>0</v>
      </c>
      <c r="BP5" s="1601">
        <f>SUM(AL5:AN5)</f>
        <v>0</v>
      </c>
      <c r="BQ5" s="1601">
        <f>SUM(AO5:AQ5)</f>
        <v>0</v>
      </c>
      <c r="BR5" s="1601">
        <f>SUM(AR5:AT5)</f>
        <v>0</v>
      </c>
      <c r="BS5" s="1601">
        <f>SUM(AU5:AW5)</f>
        <v>0</v>
      </c>
    </row>
    <row r="6" spans="1:71">
      <c r="A6" s="1583" t="s">
        <v>3330</v>
      </c>
      <c r="B6" s="1624">
        <v>0</v>
      </c>
      <c r="C6" s="1624">
        <v>0</v>
      </c>
      <c r="D6" s="1624">
        <v>0</v>
      </c>
      <c r="E6" s="1624">
        <v>0</v>
      </c>
      <c r="F6" s="1624">
        <v>0</v>
      </c>
      <c r="G6" s="1624">
        <v>0</v>
      </c>
      <c r="H6" s="1624">
        <v>0</v>
      </c>
      <c r="I6" s="1624">
        <v>0</v>
      </c>
      <c r="J6" s="1627">
        <v>55111.74</v>
      </c>
      <c r="K6" s="1627">
        <v>0</v>
      </c>
      <c r="L6" s="1624">
        <v>26882.16</v>
      </c>
      <c r="M6" s="1624">
        <v>26882.16</v>
      </c>
      <c r="N6" s="1624">
        <v>26157.16</v>
      </c>
      <c r="O6" s="1624">
        <v>26157.16</v>
      </c>
      <c r="P6" s="1624">
        <v>26157.16</v>
      </c>
      <c r="Q6" s="1624">
        <v>20502.16</v>
      </c>
      <c r="R6" s="1624">
        <v>20502.16</v>
      </c>
      <c r="S6" s="1624">
        <v>0</v>
      </c>
      <c r="T6" s="1624">
        <v>0</v>
      </c>
      <c r="U6" s="1624">
        <v>0</v>
      </c>
      <c r="V6" s="1624">
        <v>0</v>
      </c>
      <c r="W6" s="1624">
        <v>0</v>
      </c>
      <c r="X6" s="1624">
        <v>0</v>
      </c>
      <c r="Y6" s="1624">
        <v>0</v>
      </c>
      <c r="Z6" s="1624">
        <v>0</v>
      </c>
      <c r="AA6" s="1624">
        <v>0</v>
      </c>
      <c r="AB6" s="1624">
        <v>0</v>
      </c>
      <c r="AC6" s="1624">
        <v>0</v>
      </c>
      <c r="AD6" s="1624">
        <v>0</v>
      </c>
      <c r="AE6" s="1624">
        <v>0</v>
      </c>
      <c r="AF6" s="1624">
        <v>0</v>
      </c>
      <c r="AG6" s="1624">
        <v>0</v>
      </c>
      <c r="AH6" s="1624">
        <v>0</v>
      </c>
      <c r="AI6" s="1624">
        <v>0</v>
      </c>
      <c r="AJ6" s="1624">
        <v>0</v>
      </c>
      <c r="AK6" s="1624">
        <v>0</v>
      </c>
      <c r="AL6" s="1624">
        <v>0</v>
      </c>
      <c r="AM6" s="1624">
        <v>0</v>
      </c>
      <c r="AN6" s="1624">
        <v>0</v>
      </c>
      <c r="AO6" s="1624">
        <v>0</v>
      </c>
      <c r="AP6" s="1624">
        <v>0</v>
      </c>
      <c r="AQ6" s="1624">
        <v>0</v>
      </c>
      <c r="AR6" s="1624">
        <v>0</v>
      </c>
      <c r="AS6" s="1624">
        <v>0</v>
      </c>
      <c r="AT6" s="1624">
        <v>0</v>
      </c>
      <c r="AU6" s="1624">
        <v>0</v>
      </c>
      <c r="AV6" s="1624">
        <v>0</v>
      </c>
      <c r="AW6" s="1624">
        <v>0</v>
      </c>
      <c r="AY6" s="1624">
        <f>SUM(B6:M6)</f>
        <v>108876.06</v>
      </c>
      <c r="AZ6" s="1624">
        <f>SUM(N6:Y6)</f>
        <v>119475.8</v>
      </c>
      <c r="BA6" s="1624">
        <f>SUM(Z6:AK6)</f>
        <v>0</v>
      </c>
      <c r="BB6" s="1601">
        <f>SUM(AL6:AW6)</f>
        <v>0</v>
      </c>
      <c r="BC6" s="1624"/>
      <c r="BD6" s="1624">
        <f>SUM(B6:D6)</f>
        <v>0</v>
      </c>
      <c r="BE6" s="1624">
        <f>SUM(E6:G6)</f>
        <v>0</v>
      </c>
      <c r="BF6" s="1624">
        <f>SUM(H6:J6)</f>
        <v>55111.74</v>
      </c>
      <c r="BG6" s="1624">
        <f>SUM(K6:M6)</f>
        <v>53764.32</v>
      </c>
      <c r="BH6" s="1624">
        <f>SUM(N6:P6)</f>
        <v>78471.48</v>
      </c>
      <c r="BI6" s="1624">
        <f>SUM(Q6:S6)</f>
        <v>41004.32</v>
      </c>
      <c r="BJ6" s="1624">
        <f>SUM(T6:V6)</f>
        <v>0</v>
      </c>
      <c r="BK6" s="1624">
        <f>SUM(W6:Y6)</f>
        <v>0</v>
      </c>
      <c r="BL6" s="1624">
        <f>SUM(Z6:AB6)</f>
        <v>0</v>
      </c>
      <c r="BM6" s="1624">
        <f>SUM(AC6:AE6)</f>
        <v>0</v>
      </c>
      <c r="BN6" s="1624">
        <f>SUM(AF6:AH6)</f>
        <v>0</v>
      </c>
      <c r="BO6" s="1624">
        <f>SUM(AI6:AK6)</f>
        <v>0</v>
      </c>
      <c r="BP6" s="1624">
        <f>SUM(AL6:AN6)</f>
        <v>0</v>
      </c>
      <c r="BQ6" s="1624">
        <f>SUM(AO6:AQ6)</f>
        <v>0</v>
      </c>
      <c r="BR6" s="1624">
        <f>SUM(AR6:AT6)</f>
        <v>0</v>
      </c>
      <c r="BS6" s="1624">
        <f>SUM(AU6:AW6)</f>
        <v>0</v>
      </c>
    </row>
    <row r="7" spans="1:71">
      <c r="A7" s="1583" t="s">
        <v>3331</v>
      </c>
      <c r="B7" s="1601">
        <f t="shared" ref="B7:AW7" si="0">B5-B6</f>
        <v>0</v>
      </c>
      <c r="C7" s="1601">
        <f t="shared" si="0"/>
        <v>0</v>
      </c>
      <c r="D7" s="1601">
        <f t="shared" si="0"/>
        <v>0</v>
      </c>
      <c r="E7" s="1601">
        <f t="shared" si="0"/>
        <v>0</v>
      </c>
      <c r="F7" s="1601">
        <f t="shared" si="0"/>
        <v>0</v>
      </c>
      <c r="G7" s="1601">
        <f t="shared" si="0"/>
        <v>0</v>
      </c>
      <c r="H7" s="1601">
        <f t="shared" si="0"/>
        <v>0</v>
      </c>
      <c r="I7" s="1601">
        <f t="shared" si="0"/>
        <v>0</v>
      </c>
      <c r="J7" s="1601">
        <f t="shared" si="0"/>
        <v>172037.38</v>
      </c>
      <c r="K7" s="1601">
        <f t="shared" si="0"/>
        <v>0</v>
      </c>
      <c r="L7" s="1601">
        <f t="shared" si="0"/>
        <v>5705.8300000000017</v>
      </c>
      <c r="M7" s="1601">
        <f t="shared" si="0"/>
        <v>5705.8300000000017</v>
      </c>
      <c r="N7" s="1601">
        <f t="shared" si="0"/>
        <v>5343.3300000000017</v>
      </c>
      <c r="O7" s="1601">
        <f t="shared" si="0"/>
        <v>5343.3300000000017</v>
      </c>
      <c r="P7" s="1601">
        <f t="shared" si="0"/>
        <v>5343.3300000000017</v>
      </c>
      <c r="Q7" s="1601">
        <f t="shared" si="0"/>
        <v>2515.8300000000017</v>
      </c>
      <c r="R7" s="1601">
        <f t="shared" si="0"/>
        <v>2515.8300000000017</v>
      </c>
      <c r="S7" s="1601">
        <f t="shared" si="0"/>
        <v>0</v>
      </c>
      <c r="T7" s="1601">
        <f t="shared" si="0"/>
        <v>0</v>
      </c>
      <c r="U7" s="1601">
        <f t="shared" si="0"/>
        <v>0</v>
      </c>
      <c r="V7" s="1601">
        <f t="shared" si="0"/>
        <v>0</v>
      </c>
      <c r="W7" s="1601">
        <f t="shared" si="0"/>
        <v>0</v>
      </c>
      <c r="X7" s="1601">
        <f t="shared" si="0"/>
        <v>0</v>
      </c>
      <c r="Y7" s="1601">
        <f t="shared" si="0"/>
        <v>0</v>
      </c>
      <c r="Z7" s="1601">
        <f t="shared" si="0"/>
        <v>0</v>
      </c>
      <c r="AA7" s="1601">
        <f t="shared" si="0"/>
        <v>0</v>
      </c>
      <c r="AB7" s="1601">
        <f t="shared" si="0"/>
        <v>0</v>
      </c>
      <c r="AC7" s="1601">
        <f t="shared" si="0"/>
        <v>0</v>
      </c>
      <c r="AD7" s="1601">
        <f t="shared" si="0"/>
        <v>0</v>
      </c>
      <c r="AE7" s="1601">
        <f t="shared" si="0"/>
        <v>0</v>
      </c>
      <c r="AF7" s="1601">
        <f t="shared" si="0"/>
        <v>0</v>
      </c>
      <c r="AG7" s="1601">
        <f t="shared" si="0"/>
        <v>0</v>
      </c>
      <c r="AH7" s="1601">
        <f t="shared" si="0"/>
        <v>0</v>
      </c>
      <c r="AI7" s="1601">
        <f t="shared" si="0"/>
        <v>0</v>
      </c>
      <c r="AJ7" s="1601">
        <f t="shared" si="0"/>
        <v>0</v>
      </c>
      <c r="AK7" s="1601">
        <f t="shared" si="0"/>
        <v>0</v>
      </c>
      <c r="AL7" s="1601">
        <f t="shared" si="0"/>
        <v>0</v>
      </c>
      <c r="AM7" s="1601">
        <f t="shared" si="0"/>
        <v>0</v>
      </c>
      <c r="AN7" s="1601">
        <f t="shared" si="0"/>
        <v>0</v>
      </c>
      <c r="AO7" s="1601">
        <f t="shared" si="0"/>
        <v>0</v>
      </c>
      <c r="AP7" s="1601">
        <f t="shared" si="0"/>
        <v>0</v>
      </c>
      <c r="AQ7" s="1601">
        <f t="shared" si="0"/>
        <v>0</v>
      </c>
      <c r="AR7" s="1601">
        <f t="shared" si="0"/>
        <v>0</v>
      </c>
      <c r="AS7" s="1601">
        <f t="shared" si="0"/>
        <v>0</v>
      </c>
      <c r="AT7" s="1601">
        <f t="shared" si="0"/>
        <v>0</v>
      </c>
      <c r="AU7" s="1601">
        <f t="shared" si="0"/>
        <v>0</v>
      </c>
      <c r="AV7" s="1601">
        <f t="shared" si="0"/>
        <v>0</v>
      </c>
      <c r="AW7" s="1601">
        <f t="shared" si="0"/>
        <v>0</v>
      </c>
      <c r="AY7" s="1601">
        <f>AY5-AY6</f>
        <v>183449.03999999998</v>
      </c>
      <c r="AZ7" s="1601">
        <f>AZ5-AZ6</f>
        <v>21061.650000000009</v>
      </c>
      <c r="BA7" s="1601">
        <f>BA5-BA6</f>
        <v>0</v>
      </c>
      <c r="BB7" s="1626">
        <f>BB5-BB6</f>
        <v>0</v>
      </c>
      <c r="BD7" s="1601">
        <f t="shared" ref="BD7:BS7" si="1">BD5-BD6</f>
        <v>0</v>
      </c>
      <c r="BE7" s="1601">
        <f t="shared" si="1"/>
        <v>0</v>
      </c>
      <c r="BF7" s="1601">
        <f t="shared" si="1"/>
        <v>172037.38</v>
      </c>
      <c r="BG7" s="1601">
        <f t="shared" si="1"/>
        <v>11411.660000000003</v>
      </c>
      <c r="BH7" s="1601">
        <f t="shared" si="1"/>
        <v>16029.990000000005</v>
      </c>
      <c r="BI7" s="1601">
        <f t="shared" si="1"/>
        <v>5031.6600000000035</v>
      </c>
      <c r="BJ7" s="1601">
        <f t="shared" si="1"/>
        <v>0</v>
      </c>
      <c r="BK7" s="1601">
        <f t="shared" si="1"/>
        <v>0</v>
      </c>
      <c r="BL7" s="1601">
        <f t="shared" si="1"/>
        <v>0</v>
      </c>
      <c r="BM7" s="1601">
        <f t="shared" si="1"/>
        <v>0</v>
      </c>
      <c r="BN7" s="1601">
        <f t="shared" si="1"/>
        <v>0</v>
      </c>
      <c r="BO7" s="1601">
        <f t="shared" si="1"/>
        <v>0</v>
      </c>
      <c r="BP7" s="1601">
        <f t="shared" si="1"/>
        <v>0</v>
      </c>
      <c r="BQ7" s="1601">
        <f t="shared" si="1"/>
        <v>0</v>
      </c>
      <c r="BR7" s="1601">
        <f t="shared" si="1"/>
        <v>0</v>
      </c>
      <c r="BS7" s="1601">
        <f t="shared" si="1"/>
        <v>0</v>
      </c>
    </row>
    <row r="8" spans="1:71">
      <c r="A8" s="1583" t="s">
        <v>3332</v>
      </c>
      <c r="B8" s="1601"/>
      <c r="C8" s="1601"/>
      <c r="D8" s="1601"/>
      <c r="E8" s="1601"/>
      <c r="F8" s="1601"/>
      <c r="G8" s="1601"/>
      <c r="H8" s="1601"/>
      <c r="I8" s="1601"/>
      <c r="J8" s="1601"/>
      <c r="K8" s="1601"/>
      <c r="L8" s="1601"/>
      <c r="M8" s="1601"/>
      <c r="N8" s="1601"/>
      <c r="O8" s="1601"/>
      <c r="P8" s="1601"/>
      <c r="Q8" s="1601"/>
      <c r="R8" s="1601"/>
      <c r="S8" s="1601"/>
      <c r="T8" s="1601"/>
      <c r="U8" s="1601"/>
      <c r="V8" s="1601"/>
      <c r="W8" s="1601"/>
      <c r="X8" s="1601"/>
      <c r="Y8" s="1601"/>
      <c r="Z8" s="1601"/>
      <c r="AA8" s="1601"/>
      <c r="AB8" s="1601"/>
      <c r="AC8" s="1601"/>
      <c r="AD8" s="1601"/>
      <c r="AE8" s="1601"/>
      <c r="AF8" s="1601"/>
      <c r="AG8" s="1601"/>
      <c r="AH8" s="1601"/>
      <c r="AI8" s="1601"/>
      <c r="AJ8" s="1601"/>
      <c r="AK8" s="1601"/>
      <c r="AL8" s="1601"/>
      <c r="AM8" s="1601"/>
      <c r="AN8" s="1601"/>
      <c r="AO8" s="1601"/>
      <c r="AP8" s="1601"/>
      <c r="AQ8" s="1601"/>
      <c r="AR8" s="1601"/>
      <c r="AS8" s="1601"/>
      <c r="AT8" s="1601"/>
      <c r="AU8" s="1601"/>
      <c r="AV8" s="1601"/>
      <c r="AW8" s="1601"/>
    </row>
    <row r="9" spans="1:71">
      <c r="A9" s="1583" t="s">
        <v>3333</v>
      </c>
      <c r="B9" s="1586">
        <v>324411.11</v>
      </c>
      <c r="C9" s="1586">
        <v>364204.26</v>
      </c>
      <c r="D9" s="1586">
        <v>355917.02</v>
      </c>
      <c r="E9" s="1586">
        <v>365377.61</v>
      </c>
      <c r="F9" s="1586">
        <v>364905.87</v>
      </c>
      <c r="G9" s="1586">
        <v>366711.64</v>
      </c>
      <c r="H9" s="1586">
        <v>458130.28</v>
      </c>
      <c r="I9" s="1586">
        <v>483839.62</v>
      </c>
      <c r="J9" s="1586">
        <v>412459.96</v>
      </c>
      <c r="K9" s="1586">
        <v>400570.34</v>
      </c>
      <c r="L9" s="1586">
        <v>434442.21705555555</v>
      </c>
      <c r="M9" s="1586">
        <v>434442.21705555555</v>
      </c>
      <c r="N9" s="1586">
        <v>365436.62511111115</v>
      </c>
      <c r="O9" s="1586">
        <v>365436.62511111115</v>
      </c>
      <c r="P9" s="1586">
        <v>651103.29177777772</v>
      </c>
      <c r="Q9" s="1586">
        <v>260301.16677777778</v>
      </c>
      <c r="R9" s="1586">
        <v>260301.16677777778</v>
      </c>
      <c r="S9" s="1586">
        <v>263666.16677777778</v>
      </c>
      <c r="T9" s="1586">
        <v>263666.16677777778</v>
      </c>
      <c r="U9" s="1586">
        <v>263666.16677777778</v>
      </c>
      <c r="V9" s="1586">
        <v>263666.16677777778</v>
      </c>
      <c r="W9" s="1586">
        <v>263666.16677777778</v>
      </c>
      <c r="X9" s="1586">
        <v>263666.16677777778</v>
      </c>
      <c r="Y9" s="1586">
        <v>263666.16677777778</v>
      </c>
      <c r="Z9" s="1586">
        <v>270723.54067000002</v>
      </c>
      <c r="AA9" s="1586">
        <v>270723.54067000002</v>
      </c>
      <c r="AB9" s="1586">
        <v>270723.54067000002</v>
      </c>
      <c r="AC9" s="1586">
        <v>270723.54067000002</v>
      </c>
      <c r="AD9" s="1586">
        <v>270723.54067000002</v>
      </c>
      <c r="AE9" s="1586">
        <v>270723.54067000002</v>
      </c>
      <c r="AF9" s="1586">
        <v>270723.54067000002</v>
      </c>
      <c r="AG9" s="1586">
        <v>270723.54067000002</v>
      </c>
      <c r="AH9" s="1586">
        <v>270723.54067000002</v>
      </c>
      <c r="AI9" s="1586">
        <v>270723.54067000002</v>
      </c>
      <c r="AJ9" s="1586">
        <v>270723.54067000002</v>
      </c>
      <c r="AK9" s="1586">
        <v>270723.54067000002</v>
      </c>
      <c r="AL9" s="1586">
        <v>289348.15689010004</v>
      </c>
      <c r="AM9" s="1586">
        <v>289348.15689010004</v>
      </c>
      <c r="AN9" s="1586">
        <v>289348.15689010004</v>
      </c>
      <c r="AO9" s="1586">
        <v>289348.15689010004</v>
      </c>
      <c r="AP9" s="1586">
        <v>289348.15689010004</v>
      </c>
      <c r="AQ9" s="1586">
        <v>289348.15689010004</v>
      </c>
      <c r="AR9" s="1586">
        <v>289348.15689010004</v>
      </c>
      <c r="AS9" s="1586">
        <v>289348.15689010004</v>
      </c>
      <c r="AT9" s="1586">
        <v>289348.15689010004</v>
      </c>
      <c r="AU9" s="1586">
        <v>289348.15689010004</v>
      </c>
      <c r="AV9" s="1586">
        <v>289348.15689010004</v>
      </c>
      <c r="AW9" s="1586">
        <v>289348.15689010004</v>
      </c>
      <c r="AY9" s="1586">
        <f t="shared" ref="AY9:AY24" si="2">SUM(B9:M9)</f>
        <v>4765412.1441111108</v>
      </c>
      <c r="AZ9" s="1586">
        <f t="shared" ref="AZ9:AZ24" si="3">SUM(N9:Y9)</f>
        <v>3748242.043000001</v>
      </c>
      <c r="BA9" s="1586">
        <f t="shared" ref="BA9:BA24" si="4">SUM(Z9:AK9)</f>
        <v>3248682.4880400002</v>
      </c>
      <c r="BB9" s="1586">
        <f t="shared" ref="BB9:BB24" si="5">SUM(AL9:AW9)</f>
        <v>3472177.8826811998</v>
      </c>
      <c r="BC9" s="1586"/>
      <c r="BD9" s="1586">
        <f t="shared" ref="BD9:BD24" si="6">SUM(B9:D9)</f>
        <v>1044532.39</v>
      </c>
      <c r="BE9" s="1586">
        <f t="shared" ref="BE9:BE24" si="7">SUM(E9:G9)</f>
        <v>1096995.1200000001</v>
      </c>
      <c r="BF9" s="1586">
        <f t="shared" ref="BF9:BF24" si="8">SUM(H9:J9)</f>
        <v>1354429.86</v>
      </c>
      <c r="BG9" s="1586">
        <f t="shared" ref="BG9:BG24" si="9">SUM(K9:M9)</f>
        <v>1269454.7741111112</v>
      </c>
      <c r="BH9" s="1586">
        <f t="shared" ref="BH9:BH24" si="10">SUM(N9:P9)</f>
        <v>1381976.5419999999</v>
      </c>
      <c r="BI9" s="1586">
        <f t="shared" ref="BI9:BI24" si="11">SUM(Q9:S9)</f>
        <v>784268.50033333339</v>
      </c>
      <c r="BJ9" s="1586">
        <f t="shared" ref="BJ9:BJ24" si="12">SUM(T9:V9)</f>
        <v>790998.50033333339</v>
      </c>
      <c r="BK9" s="1586">
        <f t="shared" ref="BK9:BK24" si="13">SUM(W9:Y9)</f>
        <v>790998.50033333339</v>
      </c>
      <c r="BL9" s="1586">
        <f t="shared" ref="BL9:BL24" si="14">SUM(Z9:AB9)</f>
        <v>812170.62201000005</v>
      </c>
      <c r="BM9" s="1586">
        <f t="shared" ref="BM9:BM24" si="15">SUM(AC9:AE9)</f>
        <v>812170.62201000005</v>
      </c>
      <c r="BN9" s="1586">
        <f t="shared" ref="BN9:BN24" si="16">SUM(AF9:AH9)</f>
        <v>812170.62201000005</v>
      </c>
      <c r="BO9" s="1586">
        <f t="shared" ref="BO9:BO24" si="17">SUM(AI9:AK9)</f>
        <v>812170.62201000005</v>
      </c>
      <c r="BP9" s="1586">
        <f t="shared" ref="BP9:BP24" si="18">SUM(AL9:AN9)</f>
        <v>868044.47067030007</v>
      </c>
      <c r="BQ9" s="1586">
        <f t="shared" ref="BQ9:BQ24" si="19">SUM(AO9:AQ9)</f>
        <v>868044.47067030007</v>
      </c>
      <c r="BR9" s="1586">
        <f t="shared" ref="BR9:BR24" si="20">SUM(AR9:AT9)</f>
        <v>868044.47067030007</v>
      </c>
      <c r="BS9" s="1586">
        <f t="shared" ref="BS9:BS24" si="21">SUM(AU9:AW9)</f>
        <v>868044.47067030007</v>
      </c>
    </row>
    <row r="10" spans="1:71">
      <c r="A10" s="1583" t="s">
        <v>3334</v>
      </c>
      <c r="B10" s="1586">
        <v>29118.309999999998</v>
      </c>
      <c r="C10" s="1586">
        <v>30736.27</v>
      </c>
      <c r="D10" s="1586">
        <v>32418.679999999997</v>
      </c>
      <c r="E10" s="1586">
        <v>33718.74</v>
      </c>
      <c r="F10" s="1586">
        <v>30087.21</v>
      </c>
      <c r="G10" s="1586">
        <v>37759.710000000006</v>
      </c>
      <c r="H10" s="1586">
        <v>37343.329999999994</v>
      </c>
      <c r="I10" s="1586">
        <v>59385.88</v>
      </c>
      <c r="J10" s="1586">
        <v>202911.55</v>
      </c>
      <c r="K10" s="1586">
        <v>255767.66999999995</v>
      </c>
      <c r="L10" s="1586">
        <v>179711.66999999998</v>
      </c>
      <c r="M10" s="1586">
        <v>189086.66999999998</v>
      </c>
      <c r="N10" s="1586">
        <v>174539.66999999998</v>
      </c>
      <c r="O10" s="1586">
        <v>174539.66999999995</v>
      </c>
      <c r="P10" s="1586">
        <v>149414.66999999998</v>
      </c>
      <c r="Q10" s="1586">
        <v>145789.66999999998</v>
      </c>
      <c r="R10" s="1586">
        <v>130789.66999999998</v>
      </c>
      <c r="S10" s="1586">
        <v>130914.66999999998</v>
      </c>
      <c r="T10" s="1586">
        <v>115114.66999999997</v>
      </c>
      <c r="U10" s="1586">
        <v>113114.66999999998</v>
      </c>
      <c r="V10" s="1586">
        <v>115239.66999999998</v>
      </c>
      <c r="W10" s="1586">
        <v>113114.66999999998</v>
      </c>
      <c r="X10" s="1586">
        <v>113114.66999999998</v>
      </c>
      <c r="Y10" s="1586">
        <v>118239.66999999998</v>
      </c>
      <c r="Z10" s="1586">
        <v>117414.66999999998</v>
      </c>
      <c r="AA10" s="1586">
        <v>117414.66999999998</v>
      </c>
      <c r="AB10" s="1586">
        <v>117539.66999999997</v>
      </c>
      <c r="AC10" s="1586">
        <v>117414.66999999997</v>
      </c>
      <c r="AD10" s="1586">
        <v>117414.66999999997</v>
      </c>
      <c r="AE10" s="1586">
        <v>117539.66999999997</v>
      </c>
      <c r="AF10" s="1586">
        <v>119414.66999999997</v>
      </c>
      <c r="AG10" s="1586">
        <v>117414.66999999998</v>
      </c>
      <c r="AH10" s="1586">
        <v>119539.66999999998</v>
      </c>
      <c r="AI10" s="1586">
        <v>117414.66999999998</v>
      </c>
      <c r="AJ10" s="1586">
        <v>117414.66999999998</v>
      </c>
      <c r="AK10" s="1586">
        <v>122539.66999999998</v>
      </c>
      <c r="AL10" s="1586">
        <v>120464.66999999998</v>
      </c>
      <c r="AM10" s="1586">
        <v>120464.66999999998</v>
      </c>
      <c r="AN10" s="1586">
        <v>120589.66999999998</v>
      </c>
      <c r="AO10" s="1586">
        <v>120464.66999999998</v>
      </c>
      <c r="AP10" s="1586">
        <v>120464.66999999998</v>
      </c>
      <c r="AQ10" s="1586">
        <v>120589.66999999998</v>
      </c>
      <c r="AR10" s="1586">
        <v>122464.66999999998</v>
      </c>
      <c r="AS10" s="1586">
        <v>120464.66999999998</v>
      </c>
      <c r="AT10" s="1586">
        <v>122589.66999999998</v>
      </c>
      <c r="AU10" s="1586">
        <v>120464.66999999998</v>
      </c>
      <c r="AV10" s="1586">
        <v>120464.66999999998</v>
      </c>
      <c r="AW10" s="1586">
        <v>125589.66999999998</v>
      </c>
      <c r="AY10" s="1586">
        <f t="shared" si="2"/>
        <v>1118045.6899999997</v>
      </c>
      <c r="AZ10" s="1586">
        <f t="shared" si="3"/>
        <v>1593926.0399999993</v>
      </c>
      <c r="BA10" s="1586">
        <f t="shared" si="4"/>
        <v>1418476.0399999993</v>
      </c>
      <c r="BB10" s="1586">
        <f t="shared" si="5"/>
        <v>1455076.0399999993</v>
      </c>
      <c r="BC10" s="1586"/>
      <c r="BD10" s="1586">
        <f t="shared" si="6"/>
        <v>92273.26</v>
      </c>
      <c r="BE10" s="1586">
        <f t="shared" si="7"/>
        <v>101565.66</v>
      </c>
      <c r="BF10" s="1586">
        <f t="shared" si="8"/>
        <v>299640.76</v>
      </c>
      <c r="BG10" s="1586">
        <f t="shared" si="9"/>
        <v>624566.01</v>
      </c>
      <c r="BH10" s="1586">
        <f t="shared" si="10"/>
        <v>498494.00999999995</v>
      </c>
      <c r="BI10" s="1586">
        <f t="shared" si="11"/>
        <v>407494.00999999995</v>
      </c>
      <c r="BJ10" s="1586">
        <f t="shared" si="12"/>
        <v>343469.00999999995</v>
      </c>
      <c r="BK10" s="1586">
        <f t="shared" si="13"/>
        <v>344469.00999999995</v>
      </c>
      <c r="BL10" s="1586">
        <f t="shared" si="14"/>
        <v>352369.00999999995</v>
      </c>
      <c r="BM10" s="1586">
        <f t="shared" si="15"/>
        <v>352369.00999999989</v>
      </c>
      <c r="BN10" s="1586">
        <f t="shared" si="16"/>
        <v>356369.00999999995</v>
      </c>
      <c r="BO10" s="1586">
        <f t="shared" si="17"/>
        <v>357369.00999999995</v>
      </c>
      <c r="BP10" s="1586">
        <f t="shared" si="18"/>
        <v>361519.00999999995</v>
      </c>
      <c r="BQ10" s="1586">
        <f t="shared" si="19"/>
        <v>361519.00999999995</v>
      </c>
      <c r="BR10" s="1586">
        <f t="shared" si="20"/>
        <v>365519.00999999995</v>
      </c>
      <c r="BS10" s="1586">
        <f t="shared" si="21"/>
        <v>366519.00999999995</v>
      </c>
    </row>
    <row r="11" spans="1:71">
      <c r="A11" s="1583" t="s">
        <v>3335</v>
      </c>
      <c r="B11" s="1586">
        <v>59431.770000000004</v>
      </c>
      <c r="C11" s="1586">
        <v>59943.45</v>
      </c>
      <c r="D11" s="1586">
        <v>75610.739999999991</v>
      </c>
      <c r="E11" s="1586">
        <v>78224.17</v>
      </c>
      <c r="F11" s="1586">
        <v>113692.07</v>
      </c>
      <c r="G11" s="1586">
        <v>85424.26999999999</v>
      </c>
      <c r="H11" s="1586">
        <v>90130.76</v>
      </c>
      <c r="I11" s="1586">
        <v>235695.67</v>
      </c>
      <c r="J11" s="1586">
        <v>75230.78</v>
      </c>
      <c r="K11" s="1586">
        <v>126983.13</v>
      </c>
      <c r="L11" s="1586">
        <v>115963</v>
      </c>
      <c r="M11" s="1586">
        <v>116463</v>
      </c>
      <c r="N11" s="1586">
        <v>126853.83333333334</v>
      </c>
      <c r="O11" s="1586">
        <v>105378.83333333334</v>
      </c>
      <c r="P11" s="1586">
        <v>150378.83333333334</v>
      </c>
      <c r="Q11" s="1586">
        <v>140178.83333333334</v>
      </c>
      <c r="R11" s="1586">
        <v>138178.83333333334</v>
      </c>
      <c r="S11" s="1586">
        <v>140178.83333333334</v>
      </c>
      <c r="T11" s="1586">
        <v>155373.33333333334</v>
      </c>
      <c r="U11" s="1586">
        <v>132790</v>
      </c>
      <c r="V11" s="1586">
        <v>190790</v>
      </c>
      <c r="W11" s="1586">
        <v>132790</v>
      </c>
      <c r="X11" s="1586">
        <v>140790</v>
      </c>
      <c r="Y11" s="1586">
        <v>162789.99999999997</v>
      </c>
      <c r="Z11" s="1586">
        <v>216769.5</v>
      </c>
      <c r="AA11" s="1586">
        <v>156769.5</v>
      </c>
      <c r="AB11" s="1586">
        <v>156769.5</v>
      </c>
      <c r="AC11" s="1586">
        <v>156769.5</v>
      </c>
      <c r="AD11" s="1586">
        <v>156769.5</v>
      </c>
      <c r="AE11" s="1586">
        <v>288019.49999999994</v>
      </c>
      <c r="AF11" s="1586">
        <v>329431.66666666663</v>
      </c>
      <c r="AG11" s="1586">
        <v>269848.66666666663</v>
      </c>
      <c r="AH11" s="1586">
        <v>285348.66666666663</v>
      </c>
      <c r="AI11" s="1586">
        <v>269848.66666666663</v>
      </c>
      <c r="AJ11" s="1586">
        <v>269848.66666666663</v>
      </c>
      <c r="AK11" s="1586">
        <v>285348.66666666663</v>
      </c>
      <c r="AL11" s="1586">
        <v>299681.66666666663</v>
      </c>
      <c r="AM11" s="1586">
        <v>349681.66666666669</v>
      </c>
      <c r="AN11" s="1586">
        <v>365181.66666666669</v>
      </c>
      <c r="AO11" s="1586">
        <v>349681.66666666669</v>
      </c>
      <c r="AP11" s="1586">
        <v>199681.66666666666</v>
      </c>
      <c r="AQ11" s="1586">
        <v>215181.66666666666</v>
      </c>
      <c r="AR11" s="1586">
        <v>218931.66666666666</v>
      </c>
      <c r="AS11" s="1586">
        <v>209431.66666666666</v>
      </c>
      <c r="AT11" s="1586">
        <v>274931.66666666663</v>
      </c>
      <c r="AU11" s="1586">
        <v>209431.66666666666</v>
      </c>
      <c r="AV11" s="1586">
        <v>209431.66666666666</v>
      </c>
      <c r="AW11" s="1586">
        <v>224931.66666666666</v>
      </c>
      <c r="AY11" s="1586">
        <f t="shared" si="2"/>
        <v>1232792.81</v>
      </c>
      <c r="AZ11" s="1586">
        <f t="shared" si="3"/>
        <v>1716471.3333333335</v>
      </c>
      <c r="BA11" s="1586">
        <f t="shared" si="4"/>
        <v>2841541.9999999991</v>
      </c>
      <c r="BB11" s="1586">
        <f t="shared" si="5"/>
        <v>3126179.9999999995</v>
      </c>
      <c r="BC11" s="1586"/>
      <c r="BD11" s="1586">
        <f t="shared" si="6"/>
        <v>194985.96</v>
      </c>
      <c r="BE11" s="1586">
        <f t="shared" si="7"/>
        <v>277340.51</v>
      </c>
      <c r="BF11" s="1586">
        <f t="shared" si="8"/>
        <v>401057.20999999996</v>
      </c>
      <c r="BG11" s="1586">
        <f t="shared" si="9"/>
        <v>359409.13</v>
      </c>
      <c r="BH11" s="1586">
        <f t="shared" si="10"/>
        <v>382611.5</v>
      </c>
      <c r="BI11" s="1586">
        <f t="shared" si="11"/>
        <v>418536.5</v>
      </c>
      <c r="BJ11" s="1586">
        <f t="shared" si="12"/>
        <v>478953.33333333337</v>
      </c>
      <c r="BK11" s="1586">
        <f t="shared" si="13"/>
        <v>436370</v>
      </c>
      <c r="BL11" s="1586">
        <f t="shared" si="14"/>
        <v>530308.5</v>
      </c>
      <c r="BM11" s="1586">
        <f t="shared" si="15"/>
        <v>601558.5</v>
      </c>
      <c r="BN11" s="1586">
        <f t="shared" si="16"/>
        <v>884628.99999999988</v>
      </c>
      <c r="BO11" s="1586">
        <f t="shared" si="17"/>
        <v>825045.99999999988</v>
      </c>
      <c r="BP11" s="1586">
        <f t="shared" si="18"/>
        <v>1014545</v>
      </c>
      <c r="BQ11" s="1586">
        <f t="shared" si="19"/>
        <v>764545</v>
      </c>
      <c r="BR11" s="1586">
        <f t="shared" si="20"/>
        <v>703295</v>
      </c>
      <c r="BS11" s="1586">
        <f t="shared" si="21"/>
        <v>643795</v>
      </c>
    </row>
    <row r="12" spans="1:71">
      <c r="A12" s="1583" t="s">
        <v>3336</v>
      </c>
      <c r="B12" s="1586">
        <v>3795.95</v>
      </c>
      <c r="C12" s="1586">
        <v>1429.6299999999999</v>
      </c>
      <c r="D12" s="1586">
        <v>11183.779999999999</v>
      </c>
      <c r="E12" s="1586">
        <v>24256.22</v>
      </c>
      <c r="F12" s="1586">
        <v>10930.05</v>
      </c>
      <c r="G12" s="1586">
        <v>20389.580000000002</v>
      </c>
      <c r="H12" s="1586">
        <v>5370.83</v>
      </c>
      <c r="I12" s="1586">
        <v>27070.59</v>
      </c>
      <c r="J12" s="1586">
        <v>11568</v>
      </c>
      <c r="K12" s="1586">
        <v>24773.69</v>
      </c>
      <c r="L12" s="1586">
        <v>25400</v>
      </c>
      <c r="M12" s="1586">
        <v>49450</v>
      </c>
      <c r="N12" s="1586">
        <v>23900</v>
      </c>
      <c r="O12" s="1586">
        <v>26650</v>
      </c>
      <c r="P12" s="1586">
        <v>18400</v>
      </c>
      <c r="Q12" s="1586">
        <v>26900</v>
      </c>
      <c r="R12" s="1586">
        <v>29900</v>
      </c>
      <c r="S12" s="1586">
        <v>27400</v>
      </c>
      <c r="T12" s="1586">
        <v>19900</v>
      </c>
      <c r="U12" s="1586">
        <v>24900</v>
      </c>
      <c r="V12" s="1586">
        <v>22900</v>
      </c>
      <c r="W12" s="1586">
        <v>64800</v>
      </c>
      <c r="X12" s="1586">
        <v>20400</v>
      </c>
      <c r="Y12" s="1586">
        <v>54200</v>
      </c>
      <c r="Z12" s="1586">
        <v>27070</v>
      </c>
      <c r="AA12" s="1586">
        <v>25070</v>
      </c>
      <c r="AB12" s="1586">
        <v>22070</v>
      </c>
      <c r="AC12" s="1586">
        <v>33070</v>
      </c>
      <c r="AD12" s="1586">
        <v>36070</v>
      </c>
      <c r="AE12" s="1586">
        <v>27070</v>
      </c>
      <c r="AF12" s="1586">
        <v>34070</v>
      </c>
      <c r="AG12" s="1586">
        <v>36570</v>
      </c>
      <c r="AH12" s="1586">
        <v>34570</v>
      </c>
      <c r="AI12" s="1586">
        <v>67970</v>
      </c>
      <c r="AJ12" s="1586">
        <v>32070</v>
      </c>
      <c r="AK12" s="1586">
        <v>65870</v>
      </c>
      <c r="AL12" s="1586">
        <v>37248.5</v>
      </c>
      <c r="AM12" s="1586">
        <v>35248.5</v>
      </c>
      <c r="AN12" s="1586">
        <v>32248.5</v>
      </c>
      <c r="AO12" s="1586">
        <v>43748.5</v>
      </c>
      <c r="AP12" s="1586">
        <v>44748.5</v>
      </c>
      <c r="AQ12" s="1586">
        <v>37248.5</v>
      </c>
      <c r="AR12" s="1586">
        <v>34248.5</v>
      </c>
      <c r="AS12" s="1586">
        <v>36748.5</v>
      </c>
      <c r="AT12" s="1586">
        <v>34748.5</v>
      </c>
      <c r="AU12" s="1586">
        <v>68148.5</v>
      </c>
      <c r="AV12" s="1586">
        <v>32248.5</v>
      </c>
      <c r="AW12" s="1586">
        <v>62548.5</v>
      </c>
      <c r="AY12" s="1586">
        <f t="shared" si="2"/>
        <v>215618.32</v>
      </c>
      <c r="AZ12" s="1586">
        <f t="shared" si="3"/>
        <v>360250</v>
      </c>
      <c r="BA12" s="1586">
        <f t="shared" si="4"/>
        <v>441540</v>
      </c>
      <c r="BB12" s="1586">
        <f t="shared" si="5"/>
        <v>499182</v>
      </c>
      <c r="BC12" s="1586"/>
      <c r="BD12" s="1586">
        <f t="shared" si="6"/>
        <v>16409.36</v>
      </c>
      <c r="BE12" s="1586">
        <f t="shared" si="7"/>
        <v>55575.850000000006</v>
      </c>
      <c r="BF12" s="1586">
        <f t="shared" si="8"/>
        <v>44009.42</v>
      </c>
      <c r="BG12" s="1586">
        <f t="shared" si="9"/>
        <v>99623.69</v>
      </c>
      <c r="BH12" s="1586">
        <f t="shared" si="10"/>
        <v>68950</v>
      </c>
      <c r="BI12" s="1586">
        <f t="shared" si="11"/>
        <v>84200</v>
      </c>
      <c r="BJ12" s="1586">
        <f t="shared" si="12"/>
        <v>67700</v>
      </c>
      <c r="BK12" s="1586">
        <f t="shared" si="13"/>
        <v>139400</v>
      </c>
      <c r="BL12" s="1586">
        <f t="shared" si="14"/>
        <v>74210</v>
      </c>
      <c r="BM12" s="1586">
        <f t="shared" si="15"/>
        <v>96210</v>
      </c>
      <c r="BN12" s="1586">
        <f t="shared" si="16"/>
        <v>105210</v>
      </c>
      <c r="BO12" s="1586">
        <f t="shared" si="17"/>
        <v>165910</v>
      </c>
      <c r="BP12" s="1586">
        <f t="shared" si="18"/>
        <v>104745.5</v>
      </c>
      <c r="BQ12" s="1586">
        <f t="shared" si="19"/>
        <v>125745.5</v>
      </c>
      <c r="BR12" s="1586">
        <f t="shared" si="20"/>
        <v>105745.5</v>
      </c>
      <c r="BS12" s="1586">
        <f t="shared" si="21"/>
        <v>162945.5</v>
      </c>
    </row>
    <row r="13" spans="1:71">
      <c r="A13" s="1583" t="s">
        <v>3337</v>
      </c>
      <c r="B13" s="1586">
        <v>0</v>
      </c>
      <c r="C13" s="1586">
        <v>0</v>
      </c>
      <c r="D13" s="1586">
        <v>0</v>
      </c>
      <c r="E13" s="1586">
        <v>0</v>
      </c>
      <c r="F13" s="1586">
        <v>11144</v>
      </c>
      <c r="G13" s="1586">
        <v>0</v>
      </c>
      <c r="H13" s="1586">
        <v>34779.99</v>
      </c>
      <c r="I13" s="1586">
        <v>8651.25</v>
      </c>
      <c r="J13" s="1586">
        <v>0</v>
      </c>
      <c r="K13" s="1586">
        <v>2068.75</v>
      </c>
      <c r="L13" s="1586">
        <v>11600</v>
      </c>
      <c r="M13" s="1586">
        <v>11600</v>
      </c>
      <c r="N13" s="1586">
        <v>600</v>
      </c>
      <c r="O13" s="1586">
        <v>600</v>
      </c>
      <c r="P13" s="1586">
        <v>600</v>
      </c>
      <c r="Q13" s="1586">
        <v>600</v>
      </c>
      <c r="R13" s="1586">
        <v>600</v>
      </c>
      <c r="S13" s="1586">
        <v>600</v>
      </c>
      <c r="T13" s="1586">
        <v>600</v>
      </c>
      <c r="U13" s="1586">
        <v>600</v>
      </c>
      <c r="V13" s="1586">
        <v>600</v>
      </c>
      <c r="W13" s="1586">
        <v>600</v>
      </c>
      <c r="X13" s="1586">
        <v>600</v>
      </c>
      <c r="Y13" s="1586">
        <v>600</v>
      </c>
      <c r="Z13" s="1586">
        <v>7600</v>
      </c>
      <c r="AA13" s="1586">
        <v>7600</v>
      </c>
      <c r="AB13" s="1586">
        <v>7600</v>
      </c>
      <c r="AC13" s="1586">
        <v>7600</v>
      </c>
      <c r="AD13" s="1586">
        <v>7600</v>
      </c>
      <c r="AE13" s="1586">
        <v>7600</v>
      </c>
      <c r="AF13" s="1586">
        <v>7600</v>
      </c>
      <c r="AG13" s="1586">
        <v>7600</v>
      </c>
      <c r="AH13" s="1586">
        <v>7600</v>
      </c>
      <c r="AI13" s="1586">
        <v>7600</v>
      </c>
      <c r="AJ13" s="1586">
        <v>7600</v>
      </c>
      <c r="AK13" s="1586">
        <v>7600</v>
      </c>
      <c r="AL13" s="1586">
        <v>11100</v>
      </c>
      <c r="AM13" s="1586">
        <v>11100</v>
      </c>
      <c r="AN13" s="1586">
        <v>11100</v>
      </c>
      <c r="AO13" s="1586">
        <v>11100</v>
      </c>
      <c r="AP13" s="1586">
        <v>11100</v>
      </c>
      <c r="AQ13" s="1586">
        <v>18600</v>
      </c>
      <c r="AR13" s="1586">
        <v>18600</v>
      </c>
      <c r="AS13" s="1586">
        <v>18600</v>
      </c>
      <c r="AT13" s="1586">
        <v>18600</v>
      </c>
      <c r="AU13" s="1586">
        <v>18600</v>
      </c>
      <c r="AV13" s="1586">
        <v>18600</v>
      </c>
      <c r="AW13" s="1586">
        <v>18600</v>
      </c>
      <c r="AY13" s="1586">
        <f t="shared" si="2"/>
        <v>79843.989999999991</v>
      </c>
      <c r="AZ13" s="1586">
        <f t="shared" si="3"/>
        <v>7200</v>
      </c>
      <c r="BA13" s="1586">
        <f t="shared" si="4"/>
        <v>91200</v>
      </c>
      <c r="BB13" s="1586">
        <f t="shared" si="5"/>
        <v>185700</v>
      </c>
      <c r="BC13" s="1586"/>
      <c r="BD13" s="1586">
        <f t="shared" si="6"/>
        <v>0</v>
      </c>
      <c r="BE13" s="1586">
        <f t="shared" si="7"/>
        <v>11144</v>
      </c>
      <c r="BF13" s="1586">
        <f t="shared" si="8"/>
        <v>43431.24</v>
      </c>
      <c r="BG13" s="1586">
        <f t="shared" si="9"/>
        <v>25268.75</v>
      </c>
      <c r="BH13" s="1586">
        <f t="shared" si="10"/>
        <v>1800</v>
      </c>
      <c r="BI13" s="1586">
        <f t="shared" si="11"/>
        <v>1800</v>
      </c>
      <c r="BJ13" s="1586">
        <f t="shared" si="12"/>
        <v>1800</v>
      </c>
      <c r="BK13" s="1586">
        <f t="shared" si="13"/>
        <v>1800</v>
      </c>
      <c r="BL13" s="1586">
        <f t="shared" si="14"/>
        <v>22800</v>
      </c>
      <c r="BM13" s="1586">
        <f t="shared" si="15"/>
        <v>22800</v>
      </c>
      <c r="BN13" s="1586">
        <f t="shared" si="16"/>
        <v>22800</v>
      </c>
      <c r="BO13" s="1586">
        <f t="shared" si="17"/>
        <v>22800</v>
      </c>
      <c r="BP13" s="1586">
        <f t="shared" si="18"/>
        <v>33300</v>
      </c>
      <c r="BQ13" s="1586">
        <f t="shared" si="19"/>
        <v>40800</v>
      </c>
      <c r="BR13" s="1586">
        <f t="shared" si="20"/>
        <v>55800</v>
      </c>
      <c r="BS13" s="1586">
        <f t="shared" si="21"/>
        <v>55800</v>
      </c>
    </row>
    <row r="14" spans="1:71">
      <c r="A14" s="1583" t="s">
        <v>3338</v>
      </c>
      <c r="B14" s="1586">
        <v>0</v>
      </c>
      <c r="C14" s="1586">
        <v>570</v>
      </c>
      <c r="D14" s="1586">
        <v>0</v>
      </c>
      <c r="E14" s="1586">
        <v>5087.6000000000004</v>
      </c>
      <c r="F14" s="1586">
        <v>0</v>
      </c>
      <c r="G14" s="1586">
        <v>0</v>
      </c>
      <c r="H14" s="1586">
        <v>14627.48</v>
      </c>
      <c r="I14" s="1586">
        <v>37328.33</v>
      </c>
      <c r="J14" s="1586">
        <v>0</v>
      </c>
      <c r="K14" s="1586">
        <v>1306.5</v>
      </c>
      <c r="L14" s="1586">
        <v>9500</v>
      </c>
      <c r="M14" s="1586">
        <v>39000</v>
      </c>
      <c r="N14" s="1586">
        <v>28500</v>
      </c>
      <c r="O14" s="1586">
        <v>8800</v>
      </c>
      <c r="P14" s="1586">
        <v>35800</v>
      </c>
      <c r="Q14" s="1586">
        <v>14800</v>
      </c>
      <c r="R14" s="1586">
        <v>10800</v>
      </c>
      <c r="S14" s="1586">
        <v>16600</v>
      </c>
      <c r="T14" s="1586">
        <v>15231</v>
      </c>
      <c r="U14" s="1586">
        <v>20000</v>
      </c>
      <c r="V14" s="1586">
        <v>10000</v>
      </c>
      <c r="W14" s="1586">
        <v>165000</v>
      </c>
      <c r="X14" s="1586">
        <v>21600</v>
      </c>
      <c r="Y14" s="1586">
        <v>1011000</v>
      </c>
      <c r="Z14" s="1586">
        <v>53500</v>
      </c>
      <c r="AA14" s="1586">
        <v>13500</v>
      </c>
      <c r="AB14" s="1586">
        <v>13500</v>
      </c>
      <c r="AC14" s="1586">
        <v>15900</v>
      </c>
      <c r="AD14" s="1586">
        <v>13500</v>
      </c>
      <c r="AE14" s="1586">
        <v>20900</v>
      </c>
      <c r="AF14" s="1586">
        <v>123477</v>
      </c>
      <c r="AG14" s="1586">
        <v>13500</v>
      </c>
      <c r="AH14" s="1586">
        <v>13000</v>
      </c>
      <c r="AI14" s="1586">
        <v>14500</v>
      </c>
      <c r="AJ14" s="1586">
        <v>15200</v>
      </c>
      <c r="AK14" s="1586">
        <v>16300</v>
      </c>
      <c r="AL14" s="1586">
        <v>55500</v>
      </c>
      <c r="AM14" s="1586">
        <v>15500</v>
      </c>
      <c r="AN14" s="1586">
        <v>15500</v>
      </c>
      <c r="AO14" s="1586">
        <v>18200</v>
      </c>
      <c r="AP14" s="1586">
        <v>15500</v>
      </c>
      <c r="AQ14" s="1586">
        <v>23660</v>
      </c>
      <c r="AR14" s="1586">
        <v>115500</v>
      </c>
      <c r="AS14" s="1586">
        <v>15500</v>
      </c>
      <c r="AT14" s="1586">
        <v>16300</v>
      </c>
      <c r="AU14" s="1586">
        <v>15500</v>
      </c>
      <c r="AV14" s="1586">
        <v>16300</v>
      </c>
      <c r="AW14" s="1586">
        <v>15500</v>
      </c>
      <c r="AY14" s="1586">
        <f t="shared" si="2"/>
        <v>107419.91</v>
      </c>
      <c r="AZ14" s="1586">
        <f t="shared" si="3"/>
        <v>1358131</v>
      </c>
      <c r="BA14" s="1586">
        <f t="shared" si="4"/>
        <v>326777</v>
      </c>
      <c r="BB14" s="1586">
        <f t="shared" si="5"/>
        <v>338460</v>
      </c>
      <c r="BC14" s="1586"/>
      <c r="BD14" s="1586">
        <f t="shared" si="6"/>
        <v>570</v>
      </c>
      <c r="BE14" s="1586">
        <f t="shared" si="7"/>
        <v>5087.6000000000004</v>
      </c>
      <c r="BF14" s="1586">
        <f t="shared" si="8"/>
        <v>51955.81</v>
      </c>
      <c r="BG14" s="1586">
        <f t="shared" si="9"/>
        <v>49806.5</v>
      </c>
      <c r="BH14" s="1586">
        <f t="shared" si="10"/>
        <v>73100</v>
      </c>
      <c r="BI14" s="1586">
        <f t="shared" si="11"/>
        <v>42200</v>
      </c>
      <c r="BJ14" s="1586">
        <f t="shared" si="12"/>
        <v>45231</v>
      </c>
      <c r="BK14" s="1586">
        <f t="shared" si="13"/>
        <v>1197600</v>
      </c>
      <c r="BL14" s="1586">
        <f t="shared" si="14"/>
        <v>80500</v>
      </c>
      <c r="BM14" s="1586">
        <f t="shared" si="15"/>
        <v>50300</v>
      </c>
      <c r="BN14" s="1586">
        <f t="shared" si="16"/>
        <v>149977</v>
      </c>
      <c r="BO14" s="1586">
        <f t="shared" si="17"/>
        <v>46000</v>
      </c>
      <c r="BP14" s="1586">
        <f t="shared" si="18"/>
        <v>86500</v>
      </c>
      <c r="BQ14" s="1586">
        <f t="shared" si="19"/>
        <v>57360</v>
      </c>
      <c r="BR14" s="1586">
        <f t="shared" si="20"/>
        <v>147300</v>
      </c>
      <c r="BS14" s="1586">
        <f t="shared" si="21"/>
        <v>47300</v>
      </c>
    </row>
    <row r="15" spans="1:71">
      <c r="A15" s="1583" t="s">
        <v>3339</v>
      </c>
      <c r="B15" s="1586">
        <v>44494.76</v>
      </c>
      <c r="C15" s="1586">
        <v>422514.88999999996</v>
      </c>
      <c r="D15" s="1586">
        <v>81738.33</v>
      </c>
      <c r="E15" s="1586">
        <v>85426.91</v>
      </c>
      <c r="F15" s="1586">
        <v>520594.91</v>
      </c>
      <c r="G15" s="1586">
        <v>63922.69</v>
      </c>
      <c r="H15" s="1586">
        <v>182835.44999999998</v>
      </c>
      <c r="I15" s="1586">
        <v>438214.64</v>
      </c>
      <c r="J15" s="1586">
        <v>237686.99</v>
      </c>
      <c r="K15" s="1586">
        <v>723495.78999999992</v>
      </c>
      <c r="L15" s="1586">
        <v>519823.82611111115</v>
      </c>
      <c r="M15" s="1586">
        <v>617417.71499999985</v>
      </c>
      <c r="N15" s="1586">
        <v>159435.02055555553</v>
      </c>
      <c r="O15" s="1586">
        <v>159352.18111111113</v>
      </c>
      <c r="P15" s="1586">
        <v>167731.56882777778</v>
      </c>
      <c r="Q15" s="1586">
        <v>848814.79833333334</v>
      </c>
      <c r="R15" s="1586">
        <v>126087.71499999998</v>
      </c>
      <c r="S15" s="1586">
        <v>148111.31944444447</v>
      </c>
      <c r="T15" s="1586">
        <v>135178.68055555556</v>
      </c>
      <c r="U15" s="1586">
        <v>148602.29166666669</v>
      </c>
      <c r="V15" s="1586">
        <v>165952.59722222222</v>
      </c>
      <c r="W15" s="1586">
        <v>876568.20833333337</v>
      </c>
      <c r="X15" s="1586">
        <v>156141.12500000003</v>
      </c>
      <c r="Y15" s="1586">
        <v>156491.12500000003</v>
      </c>
      <c r="Z15" s="1586">
        <v>177157.12500000003</v>
      </c>
      <c r="AA15" s="1586">
        <v>199157.12500000003</v>
      </c>
      <c r="AB15" s="1586">
        <v>177757.12500000003</v>
      </c>
      <c r="AC15" s="1586">
        <v>889032.125</v>
      </c>
      <c r="AD15" s="1586">
        <v>170532.12500000003</v>
      </c>
      <c r="AE15" s="1586">
        <v>182582.12500000003</v>
      </c>
      <c r="AF15" s="1586">
        <v>198532.12500000003</v>
      </c>
      <c r="AG15" s="1586">
        <v>185532.12500000003</v>
      </c>
      <c r="AH15" s="1586">
        <v>196099.12500000003</v>
      </c>
      <c r="AI15" s="1586">
        <v>904249.125</v>
      </c>
      <c r="AJ15" s="1586">
        <v>178249.12500000003</v>
      </c>
      <c r="AK15" s="1586">
        <v>178599.12500000003</v>
      </c>
      <c r="AL15" s="1586">
        <v>200449.12500000003</v>
      </c>
      <c r="AM15" s="1586">
        <v>214949.12500000003</v>
      </c>
      <c r="AN15" s="1586">
        <v>183799.12500000003</v>
      </c>
      <c r="AO15" s="1586">
        <v>900949.125</v>
      </c>
      <c r="AP15" s="1586">
        <v>181949.12500000003</v>
      </c>
      <c r="AQ15" s="1586">
        <v>182299.12500000003</v>
      </c>
      <c r="AR15" s="1586">
        <v>201449.12500000003</v>
      </c>
      <c r="AS15" s="1586">
        <v>174713.77777777778</v>
      </c>
      <c r="AT15" s="1586">
        <v>180523.5</v>
      </c>
      <c r="AU15" s="1586">
        <v>889173.5</v>
      </c>
      <c r="AV15" s="1586">
        <v>154756.83333333334</v>
      </c>
      <c r="AW15" s="1586">
        <v>153016.55555555556</v>
      </c>
      <c r="AY15" s="1586">
        <f t="shared" si="2"/>
        <v>3938166.901111111</v>
      </c>
      <c r="AZ15" s="1586">
        <f t="shared" si="3"/>
        <v>3248466.63105</v>
      </c>
      <c r="BA15" s="1586">
        <f t="shared" si="4"/>
        <v>3637478.5</v>
      </c>
      <c r="BB15" s="1586">
        <f t="shared" si="5"/>
        <v>3618028.041666667</v>
      </c>
      <c r="BC15" s="1586"/>
      <c r="BD15" s="1586">
        <f t="shared" si="6"/>
        <v>548747.98</v>
      </c>
      <c r="BE15" s="1586">
        <f t="shared" si="7"/>
        <v>669944.51</v>
      </c>
      <c r="BF15" s="1586">
        <f t="shared" si="8"/>
        <v>858737.08</v>
      </c>
      <c r="BG15" s="1586">
        <f t="shared" si="9"/>
        <v>1860737.331111111</v>
      </c>
      <c r="BH15" s="1586">
        <f t="shared" si="10"/>
        <v>486518.77049444441</v>
      </c>
      <c r="BI15" s="1586">
        <f t="shared" si="11"/>
        <v>1123013.8327777777</v>
      </c>
      <c r="BJ15" s="1586">
        <f t="shared" si="12"/>
        <v>449733.5694444445</v>
      </c>
      <c r="BK15" s="1586">
        <f t="shared" si="13"/>
        <v>1189200.4583333335</v>
      </c>
      <c r="BL15" s="1586">
        <f t="shared" si="14"/>
        <v>554071.37500000012</v>
      </c>
      <c r="BM15" s="1586">
        <f t="shared" si="15"/>
        <v>1242146.375</v>
      </c>
      <c r="BN15" s="1586">
        <f t="shared" si="16"/>
        <v>580163.37500000012</v>
      </c>
      <c r="BO15" s="1586">
        <f t="shared" si="17"/>
        <v>1261097.375</v>
      </c>
      <c r="BP15" s="1586">
        <f t="shared" si="18"/>
        <v>599197.37500000012</v>
      </c>
      <c r="BQ15" s="1586">
        <f t="shared" si="19"/>
        <v>1265197.375</v>
      </c>
      <c r="BR15" s="1586">
        <f t="shared" si="20"/>
        <v>556686.40277777775</v>
      </c>
      <c r="BS15" s="1586">
        <f t="shared" si="21"/>
        <v>1196946.888888889</v>
      </c>
    </row>
    <row r="16" spans="1:71">
      <c r="A16" s="1583" t="s">
        <v>3416</v>
      </c>
      <c r="B16" s="1586">
        <v>23910.57</v>
      </c>
      <c r="C16" s="1586">
        <v>22384.080000000002</v>
      </c>
      <c r="D16" s="1586">
        <v>38646.879999999997</v>
      </c>
      <c r="E16" s="1586">
        <v>23824.449999999997</v>
      </c>
      <c r="F16" s="1586">
        <v>33548.97</v>
      </c>
      <c r="G16" s="1586">
        <v>29586.68</v>
      </c>
      <c r="H16" s="1586">
        <v>60891.79</v>
      </c>
      <c r="I16" s="1586">
        <v>47372.56</v>
      </c>
      <c r="J16" s="1586">
        <v>85954.559999999998</v>
      </c>
      <c r="K16" s="1586">
        <v>76550.350000000006</v>
      </c>
      <c r="L16" s="1586">
        <v>24733.333333333336</v>
      </c>
      <c r="M16" s="1586">
        <v>22075</v>
      </c>
      <c r="N16" s="1586">
        <v>30575</v>
      </c>
      <c r="O16" s="1586">
        <v>35575</v>
      </c>
      <c r="P16" s="1586">
        <v>64061.111111111117</v>
      </c>
      <c r="Q16" s="1586">
        <v>52818.055555555562</v>
      </c>
      <c r="R16" s="1586">
        <v>47818.055555555562</v>
      </c>
      <c r="S16" s="1586">
        <v>55401.388888888891</v>
      </c>
      <c r="T16" s="1586">
        <v>80623.611111111109</v>
      </c>
      <c r="U16" s="1586">
        <v>68575</v>
      </c>
      <c r="V16" s="1586">
        <v>72575</v>
      </c>
      <c r="W16" s="1586">
        <v>73575</v>
      </c>
      <c r="X16" s="1586">
        <v>70241</v>
      </c>
      <c r="Y16" s="1586">
        <v>72575</v>
      </c>
      <c r="Z16" s="1586">
        <v>78963.888888888876</v>
      </c>
      <c r="AA16" s="1586">
        <v>72769.444444444438</v>
      </c>
      <c r="AB16" s="1586">
        <v>97672.222222222219</v>
      </c>
      <c r="AC16" s="1586">
        <v>88220.833333333343</v>
      </c>
      <c r="AD16" s="1586">
        <v>83220.833333333343</v>
      </c>
      <c r="AE16" s="1586">
        <v>87220.833333333343</v>
      </c>
      <c r="AF16" s="1586">
        <v>87804.166666666672</v>
      </c>
      <c r="AG16" s="1586">
        <v>83220.833333333343</v>
      </c>
      <c r="AH16" s="1586">
        <v>87220.833333333343</v>
      </c>
      <c r="AI16" s="1586">
        <v>88220.833333333343</v>
      </c>
      <c r="AJ16" s="1586">
        <v>84886.833333333343</v>
      </c>
      <c r="AK16" s="1586">
        <v>87220.833333333343</v>
      </c>
      <c r="AL16" s="1586">
        <v>88220.833333333343</v>
      </c>
      <c r="AM16" s="1586">
        <v>83220.833333333343</v>
      </c>
      <c r="AN16" s="1586">
        <v>87220.833333333343</v>
      </c>
      <c r="AO16" s="1586">
        <v>88220.833333333343</v>
      </c>
      <c r="AP16" s="1586">
        <v>83220.833333333343</v>
      </c>
      <c r="AQ16" s="1586">
        <v>87220.833333333343</v>
      </c>
      <c r="AR16" s="1586">
        <v>87804.166666666672</v>
      </c>
      <c r="AS16" s="1586">
        <v>83220.833333333343</v>
      </c>
      <c r="AT16" s="1586">
        <v>87220.833333333343</v>
      </c>
      <c r="AU16" s="1586">
        <v>88220.833333333343</v>
      </c>
      <c r="AV16" s="1586">
        <v>84886.833333333343</v>
      </c>
      <c r="AW16" s="1586">
        <v>87220.833333333343</v>
      </c>
      <c r="AY16" s="1586">
        <f t="shared" si="2"/>
        <v>489479.22333333333</v>
      </c>
      <c r="AZ16" s="1586">
        <f t="shared" si="3"/>
        <v>724413.22222222225</v>
      </c>
      <c r="BA16" s="1586">
        <f t="shared" si="4"/>
        <v>1026642.3888888891</v>
      </c>
      <c r="BB16" s="1586">
        <f t="shared" si="5"/>
        <v>1035899.3333333336</v>
      </c>
      <c r="BC16" s="1586"/>
      <c r="BD16" s="1586">
        <f t="shared" si="6"/>
        <v>84941.53</v>
      </c>
      <c r="BE16" s="1586">
        <f t="shared" si="7"/>
        <v>86960.1</v>
      </c>
      <c r="BF16" s="1586">
        <f t="shared" si="8"/>
        <v>194218.91</v>
      </c>
      <c r="BG16" s="1586">
        <f t="shared" si="9"/>
        <v>123358.68333333335</v>
      </c>
      <c r="BH16" s="1586">
        <f t="shared" si="10"/>
        <v>130211.11111111112</v>
      </c>
      <c r="BI16" s="1586">
        <f t="shared" si="11"/>
        <v>156037.5</v>
      </c>
      <c r="BJ16" s="1586">
        <f t="shared" si="12"/>
        <v>221773.61111111112</v>
      </c>
      <c r="BK16" s="1586">
        <f t="shared" si="13"/>
        <v>216391</v>
      </c>
      <c r="BL16" s="1586">
        <f t="shared" si="14"/>
        <v>249405.55555555553</v>
      </c>
      <c r="BM16" s="1586">
        <f t="shared" si="15"/>
        <v>258662.50000000003</v>
      </c>
      <c r="BN16" s="1586">
        <f t="shared" si="16"/>
        <v>258245.83333333334</v>
      </c>
      <c r="BO16" s="1586">
        <f t="shared" si="17"/>
        <v>260328.50000000003</v>
      </c>
      <c r="BP16" s="1586">
        <f t="shared" si="18"/>
        <v>258662.50000000003</v>
      </c>
      <c r="BQ16" s="1586">
        <f t="shared" si="19"/>
        <v>258662.50000000003</v>
      </c>
      <c r="BR16" s="1586">
        <f t="shared" si="20"/>
        <v>258245.83333333334</v>
      </c>
      <c r="BS16" s="1586">
        <f t="shared" si="21"/>
        <v>260328.50000000003</v>
      </c>
    </row>
    <row r="17" spans="1:71">
      <c r="A17" s="1583" t="s">
        <v>3415</v>
      </c>
      <c r="B17" s="1586">
        <v>2612.5</v>
      </c>
      <c r="C17" s="1586">
        <v>0</v>
      </c>
      <c r="D17" s="1586">
        <v>0</v>
      </c>
      <c r="E17" s="1586">
        <v>3400</v>
      </c>
      <c r="F17" s="1586">
        <v>0</v>
      </c>
      <c r="G17" s="1586">
        <v>0</v>
      </c>
      <c r="H17" s="1586">
        <v>0</v>
      </c>
      <c r="I17" s="1586">
        <v>0</v>
      </c>
      <c r="J17" s="1586">
        <v>0</v>
      </c>
      <c r="K17" s="1586">
        <v>0</v>
      </c>
      <c r="L17" s="1586">
        <v>2000</v>
      </c>
      <c r="M17" s="1586">
        <v>2000</v>
      </c>
      <c r="N17" s="1586">
        <v>1600</v>
      </c>
      <c r="O17" s="1586">
        <v>1600</v>
      </c>
      <c r="P17" s="1586">
        <v>1600</v>
      </c>
      <c r="Q17" s="1586">
        <v>1600</v>
      </c>
      <c r="R17" s="1586">
        <v>1600</v>
      </c>
      <c r="S17" s="1586">
        <v>1600</v>
      </c>
      <c r="T17" s="1586">
        <v>1600</v>
      </c>
      <c r="U17" s="1586">
        <v>1600</v>
      </c>
      <c r="V17" s="1586">
        <v>1600</v>
      </c>
      <c r="W17" s="1586">
        <v>1600</v>
      </c>
      <c r="X17" s="1586">
        <v>1600</v>
      </c>
      <c r="Y17" s="1586">
        <v>1600</v>
      </c>
      <c r="Z17" s="1586">
        <v>2000</v>
      </c>
      <c r="AA17" s="1586">
        <v>2000</v>
      </c>
      <c r="AB17" s="1586">
        <v>2000</v>
      </c>
      <c r="AC17" s="1586">
        <v>2000</v>
      </c>
      <c r="AD17" s="1586">
        <v>2000</v>
      </c>
      <c r="AE17" s="1586">
        <v>2000</v>
      </c>
      <c r="AF17" s="1586">
        <v>2000</v>
      </c>
      <c r="AG17" s="1586">
        <v>2000</v>
      </c>
      <c r="AH17" s="1586">
        <v>2000</v>
      </c>
      <c r="AI17" s="1586">
        <v>2000</v>
      </c>
      <c r="AJ17" s="1586">
        <v>2000</v>
      </c>
      <c r="AK17" s="1586">
        <v>2000</v>
      </c>
      <c r="AL17" s="1586">
        <v>2000</v>
      </c>
      <c r="AM17" s="1586">
        <v>2000</v>
      </c>
      <c r="AN17" s="1586">
        <v>2000</v>
      </c>
      <c r="AO17" s="1586">
        <v>2000</v>
      </c>
      <c r="AP17" s="1586">
        <v>2000</v>
      </c>
      <c r="AQ17" s="1586">
        <v>2000</v>
      </c>
      <c r="AR17" s="1586">
        <v>2000</v>
      </c>
      <c r="AS17" s="1586">
        <v>2000</v>
      </c>
      <c r="AT17" s="1586">
        <v>2000</v>
      </c>
      <c r="AU17" s="1586">
        <v>2000</v>
      </c>
      <c r="AV17" s="1586">
        <v>2000</v>
      </c>
      <c r="AW17" s="1586">
        <v>2000</v>
      </c>
      <c r="AY17" s="1586">
        <f t="shared" si="2"/>
        <v>10012.5</v>
      </c>
      <c r="AZ17" s="1586">
        <f t="shared" si="3"/>
        <v>19200</v>
      </c>
      <c r="BA17" s="1586">
        <f t="shared" si="4"/>
        <v>24000</v>
      </c>
      <c r="BB17" s="1586">
        <f t="shared" si="5"/>
        <v>24000</v>
      </c>
      <c r="BC17" s="1586"/>
      <c r="BD17" s="1586">
        <f t="shared" si="6"/>
        <v>2612.5</v>
      </c>
      <c r="BE17" s="1586">
        <f t="shared" si="7"/>
        <v>3400</v>
      </c>
      <c r="BF17" s="1586">
        <f t="shared" si="8"/>
        <v>0</v>
      </c>
      <c r="BG17" s="1586">
        <f t="shared" si="9"/>
        <v>4000</v>
      </c>
      <c r="BH17" s="1586">
        <f t="shared" si="10"/>
        <v>4800</v>
      </c>
      <c r="BI17" s="1586">
        <f t="shared" si="11"/>
        <v>4800</v>
      </c>
      <c r="BJ17" s="1586">
        <f t="shared" si="12"/>
        <v>4800</v>
      </c>
      <c r="BK17" s="1586">
        <f t="shared" si="13"/>
        <v>4800</v>
      </c>
      <c r="BL17" s="1586">
        <f t="shared" si="14"/>
        <v>6000</v>
      </c>
      <c r="BM17" s="1586">
        <f t="shared" si="15"/>
        <v>6000</v>
      </c>
      <c r="BN17" s="1586">
        <f t="shared" si="16"/>
        <v>6000</v>
      </c>
      <c r="BO17" s="1586">
        <f t="shared" si="17"/>
        <v>6000</v>
      </c>
      <c r="BP17" s="1586">
        <f t="shared" si="18"/>
        <v>6000</v>
      </c>
      <c r="BQ17" s="1586">
        <f t="shared" si="19"/>
        <v>6000</v>
      </c>
      <c r="BR17" s="1586">
        <f t="shared" si="20"/>
        <v>6000</v>
      </c>
      <c r="BS17" s="1586">
        <f t="shared" si="21"/>
        <v>6000</v>
      </c>
    </row>
    <row r="18" spans="1:71">
      <c r="A18" s="1583" t="s">
        <v>3414</v>
      </c>
      <c r="B18" s="1586">
        <v>37292.129999999997</v>
      </c>
      <c r="C18" s="1586">
        <v>16678.810000000001</v>
      </c>
      <c r="D18" s="1586">
        <v>32629.93</v>
      </c>
      <c r="E18" s="1586">
        <v>11344.06</v>
      </c>
      <c r="F18" s="1586">
        <v>31346.31</v>
      </c>
      <c r="G18" s="1586">
        <v>27197.05</v>
      </c>
      <c r="H18" s="1586">
        <v>33438.14</v>
      </c>
      <c r="I18" s="1586">
        <v>20080.189999999999</v>
      </c>
      <c r="J18" s="1586">
        <v>31050.1</v>
      </c>
      <c r="K18" s="1586">
        <v>0</v>
      </c>
      <c r="L18" s="1586">
        <v>46000</v>
      </c>
      <c r="M18" s="1586">
        <v>6000</v>
      </c>
      <c r="N18" s="1586">
        <v>6000</v>
      </c>
      <c r="O18" s="1586">
        <v>6000</v>
      </c>
      <c r="P18" s="1586">
        <v>6000</v>
      </c>
      <c r="Q18" s="1586">
        <v>6000</v>
      </c>
      <c r="R18" s="1586">
        <v>6000</v>
      </c>
      <c r="S18" s="1586">
        <v>0</v>
      </c>
      <c r="T18" s="1586">
        <v>0</v>
      </c>
      <c r="U18" s="1586">
        <v>0</v>
      </c>
      <c r="V18" s="1586">
        <v>0</v>
      </c>
      <c r="W18" s="1586">
        <v>0</v>
      </c>
      <c r="X18" s="1586">
        <v>0</v>
      </c>
      <c r="Y18" s="1586">
        <v>0</v>
      </c>
      <c r="Z18" s="1586">
        <v>0</v>
      </c>
      <c r="AA18" s="1586">
        <v>0</v>
      </c>
      <c r="AB18" s="1586">
        <v>0</v>
      </c>
      <c r="AC18" s="1586">
        <v>0</v>
      </c>
      <c r="AD18" s="1586">
        <v>0</v>
      </c>
      <c r="AE18" s="1586">
        <v>0</v>
      </c>
      <c r="AF18" s="1586">
        <v>0</v>
      </c>
      <c r="AG18" s="1586">
        <v>0</v>
      </c>
      <c r="AH18" s="1586">
        <v>0</v>
      </c>
      <c r="AI18" s="1586">
        <v>0</v>
      </c>
      <c r="AJ18" s="1586">
        <v>0</v>
      </c>
      <c r="AK18" s="1586">
        <v>0</v>
      </c>
      <c r="AL18" s="1586">
        <v>0</v>
      </c>
      <c r="AM18" s="1586">
        <v>0</v>
      </c>
      <c r="AN18" s="1586">
        <v>0</v>
      </c>
      <c r="AO18" s="1586">
        <v>0</v>
      </c>
      <c r="AP18" s="1586">
        <v>0</v>
      </c>
      <c r="AQ18" s="1586">
        <v>0</v>
      </c>
      <c r="AR18" s="1586">
        <v>0</v>
      </c>
      <c r="AS18" s="1586">
        <v>0</v>
      </c>
      <c r="AT18" s="1586">
        <v>0</v>
      </c>
      <c r="AU18" s="1586">
        <v>0</v>
      </c>
      <c r="AV18" s="1586">
        <v>0</v>
      </c>
      <c r="AW18" s="1586">
        <v>0</v>
      </c>
      <c r="AY18" s="1586">
        <f t="shared" si="2"/>
        <v>293056.71999999997</v>
      </c>
      <c r="AZ18" s="1586">
        <f t="shared" si="3"/>
        <v>30000</v>
      </c>
      <c r="BA18" s="1586">
        <f t="shared" si="4"/>
        <v>0</v>
      </c>
      <c r="BB18" s="1586">
        <f t="shared" si="5"/>
        <v>0</v>
      </c>
      <c r="BC18" s="1586"/>
      <c r="BD18" s="1586">
        <f t="shared" si="6"/>
        <v>86600.87</v>
      </c>
      <c r="BE18" s="1586">
        <f t="shared" si="7"/>
        <v>69887.42</v>
      </c>
      <c r="BF18" s="1586">
        <f t="shared" si="8"/>
        <v>84568.43</v>
      </c>
      <c r="BG18" s="1586">
        <f t="shared" si="9"/>
        <v>52000</v>
      </c>
      <c r="BH18" s="1586">
        <f t="shared" si="10"/>
        <v>18000</v>
      </c>
      <c r="BI18" s="1586">
        <f t="shared" si="11"/>
        <v>12000</v>
      </c>
      <c r="BJ18" s="1586">
        <f t="shared" si="12"/>
        <v>0</v>
      </c>
      <c r="BK18" s="1586">
        <f t="shared" si="13"/>
        <v>0</v>
      </c>
      <c r="BL18" s="1586">
        <f t="shared" si="14"/>
        <v>0</v>
      </c>
      <c r="BM18" s="1586">
        <f t="shared" si="15"/>
        <v>0</v>
      </c>
      <c r="BN18" s="1586">
        <f t="shared" si="16"/>
        <v>0</v>
      </c>
      <c r="BO18" s="1586">
        <f t="shared" si="17"/>
        <v>0</v>
      </c>
      <c r="BP18" s="1586">
        <f t="shared" si="18"/>
        <v>0</v>
      </c>
      <c r="BQ18" s="1586">
        <f t="shared" si="19"/>
        <v>0</v>
      </c>
      <c r="BR18" s="1586">
        <f t="shared" si="20"/>
        <v>0</v>
      </c>
      <c r="BS18" s="1586">
        <f t="shared" si="21"/>
        <v>0</v>
      </c>
    </row>
    <row r="19" spans="1:71">
      <c r="A19" s="1583" t="s">
        <v>3343</v>
      </c>
      <c r="B19" s="1586">
        <v>41581.499999999993</v>
      </c>
      <c r="C19" s="1586">
        <v>27051.52</v>
      </c>
      <c r="D19" s="1586">
        <v>164065.85</v>
      </c>
      <c r="E19" s="1586">
        <v>39474.83</v>
      </c>
      <c r="F19" s="1586">
        <v>128170.35</v>
      </c>
      <c r="G19" s="1586">
        <v>186353.07</v>
      </c>
      <c r="H19" s="1586">
        <v>219660.44</v>
      </c>
      <c r="I19" s="1586">
        <v>139523.44</v>
      </c>
      <c r="J19" s="1586">
        <v>335367.51</v>
      </c>
      <c r="K19" s="1586">
        <v>94768.14</v>
      </c>
      <c r="L19" s="1586">
        <v>77921</v>
      </c>
      <c r="M19" s="1586">
        <v>377921</v>
      </c>
      <c r="N19" s="1586">
        <v>160900</v>
      </c>
      <c r="O19" s="1586">
        <v>204900</v>
      </c>
      <c r="P19" s="1586">
        <v>86642</v>
      </c>
      <c r="Q19" s="1586">
        <v>129475.66666666666</v>
      </c>
      <c r="R19" s="1586">
        <v>95127.666666666657</v>
      </c>
      <c r="S19" s="1586">
        <v>68700</v>
      </c>
      <c r="T19" s="1586">
        <v>79200</v>
      </c>
      <c r="U19" s="1586">
        <v>44200</v>
      </c>
      <c r="V19" s="1586">
        <v>155612.33333333334</v>
      </c>
      <c r="W19" s="1586">
        <v>159200</v>
      </c>
      <c r="X19" s="1586">
        <v>85200</v>
      </c>
      <c r="Y19" s="1586">
        <v>93200</v>
      </c>
      <c r="Z19" s="1586">
        <v>84600</v>
      </c>
      <c r="AA19" s="1586">
        <v>327088</v>
      </c>
      <c r="AB19" s="1586">
        <v>273600</v>
      </c>
      <c r="AC19" s="1586">
        <v>669600</v>
      </c>
      <c r="AD19" s="1586">
        <v>517400</v>
      </c>
      <c r="AE19" s="1586">
        <v>521400</v>
      </c>
      <c r="AF19" s="1586">
        <v>597799</v>
      </c>
      <c r="AG19" s="1586">
        <v>706400</v>
      </c>
      <c r="AH19" s="1586">
        <v>107400</v>
      </c>
      <c r="AI19" s="1586">
        <v>1223400</v>
      </c>
      <c r="AJ19" s="1586">
        <v>382900</v>
      </c>
      <c r="AK19" s="1586">
        <v>287800</v>
      </c>
      <c r="AL19" s="1586">
        <v>1124666.6666666667</v>
      </c>
      <c r="AM19" s="1586">
        <v>1074154.6666666667</v>
      </c>
      <c r="AN19" s="1586">
        <v>1941666.6666666667</v>
      </c>
      <c r="AO19" s="1586">
        <v>472666.66666666669</v>
      </c>
      <c r="AP19" s="1586">
        <v>425666.66666666669</v>
      </c>
      <c r="AQ19" s="1586">
        <v>111666.66666666667</v>
      </c>
      <c r="AR19" s="1586">
        <v>25466.666666666668</v>
      </c>
      <c r="AS19" s="1586">
        <v>13666.666666666666</v>
      </c>
      <c r="AT19" s="1586">
        <v>73666.666666666657</v>
      </c>
      <c r="AU19" s="1586">
        <v>14500</v>
      </c>
      <c r="AV19" s="1586">
        <v>14500</v>
      </c>
      <c r="AW19" s="1586">
        <v>64500</v>
      </c>
      <c r="AY19" s="1586">
        <f t="shared" si="2"/>
        <v>1831858.65</v>
      </c>
      <c r="AZ19" s="1586">
        <f t="shared" si="3"/>
        <v>1362357.6666666665</v>
      </c>
      <c r="BA19" s="1586">
        <f t="shared" si="4"/>
        <v>5699387</v>
      </c>
      <c r="BB19" s="1586">
        <f t="shared" si="5"/>
        <v>5356788.0000000019</v>
      </c>
      <c r="BC19" s="1586"/>
      <c r="BD19" s="1586">
        <f t="shared" si="6"/>
        <v>232698.87</v>
      </c>
      <c r="BE19" s="1586">
        <f t="shared" si="7"/>
        <v>353998.25</v>
      </c>
      <c r="BF19" s="1586">
        <f t="shared" si="8"/>
        <v>694551.39</v>
      </c>
      <c r="BG19" s="1586">
        <f t="shared" si="9"/>
        <v>550610.14</v>
      </c>
      <c r="BH19" s="1586">
        <f t="shared" si="10"/>
        <v>452442</v>
      </c>
      <c r="BI19" s="1586">
        <f t="shared" si="11"/>
        <v>293303.33333333331</v>
      </c>
      <c r="BJ19" s="1586">
        <f t="shared" si="12"/>
        <v>279012.33333333337</v>
      </c>
      <c r="BK19" s="1586">
        <f t="shared" si="13"/>
        <v>337600</v>
      </c>
      <c r="BL19" s="1586">
        <f t="shared" si="14"/>
        <v>685288</v>
      </c>
      <c r="BM19" s="1586">
        <f t="shared" si="15"/>
        <v>1708400</v>
      </c>
      <c r="BN19" s="1586">
        <f t="shared" si="16"/>
        <v>1411599</v>
      </c>
      <c r="BO19" s="1586">
        <f t="shared" si="17"/>
        <v>1894100</v>
      </c>
      <c r="BP19" s="1586">
        <f t="shared" si="18"/>
        <v>4140488</v>
      </c>
      <c r="BQ19" s="1586">
        <f t="shared" si="19"/>
        <v>1010000</v>
      </c>
      <c r="BR19" s="1586">
        <f t="shared" si="20"/>
        <v>112800</v>
      </c>
      <c r="BS19" s="1586">
        <f t="shared" si="21"/>
        <v>93500</v>
      </c>
    </row>
    <row r="20" spans="1:71">
      <c r="A20" s="1583" t="s">
        <v>3413</v>
      </c>
      <c r="B20" s="1586">
        <v>0</v>
      </c>
      <c r="C20" s="1586">
        <v>0</v>
      </c>
      <c r="D20" s="1586">
        <v>0</v>
      </c>
      <c r="E20" s="1586">
        <v>0</v>
      </c>
      <c r="F20" s="1586">
        <v>0</v>
      </c>
      <c r="G20" s="1586">
        <v>0</v>
      </c>
      <c r="H20" s="1586">
        <v>0</v>
      </c>
      <c r="I20" s="1586">
        <v>0</v>
      </c>
      <c r="J20" s="1586">
        <v>0</v>
      </c>
      <c r="K20" s="1586">
        <v>0</v>
      </c>
      <c r="L20" s="1586">
        <v>0</v>
      </c>
      <c r="M20" s="1586">
        <v>0</v>
      </c>
      <c r="N20" s="1586">
        <v>0</v>
      </c>
      <c r="O20" s="1586">
        <v>0</v>
      </c>
      <c r="P20" s="1586">
        <v>0</v>
      </c>
      <c r="Q20" s="1586">
        <v>0</v>
      </c>
      <c r="R20" s="1586">
        <v>0</v>
      </c>
      <c r="S20" s="1586">
        <v>0</v>
      </c>
      <c r="T20" s="1586">
        <v>0</v>
      </c>
      <c r="U20" s="1586">
        <v>0</v>
      </c>
      <c r="V20" s="1586">
        <v>0</v>
      </c>
      <c r="W20" s="1586">
        <v>0</v>
      </c>
      <c r="X20" s="1586">
        <v>0</v>
      </c>
      <c r="Y20" s="1586">
        <v>0</v>
      </c>
      <c r="Z20" s="1586">
        <v>0</v>
      </c>
      <c r="AA20" s="1586">
        <v>0</v>
      </c>
      <c r="AB20" s="1586">
        <v>0</v>
      </c>
      <c r="AC20" s="1586">
        <v>0</v>
      </c>
      <c r="AD20" s="1586">
        <v>0</v>
      </c>
      <c r="AE20" s="1586">
        <v>0</v>
      </c>
      <c r="AF20" s="1586">
        <v>0</v>
      </c>
      <c r="AG20" s="1586">
        <v>0</v>
      </c>
      <c r="AH20" s="1586">
        <v>0</v>
      </c>
      <c r="AI20" s="1586">
        <v>0</v>
      </c>
      <c r="AJ20" s="1586">
        <v>0</v>
      </c>
      <c r="AK20" s="1586">
        <v>0</v>
      </c>
      <c r="AL20" s="1586">
        <v>0</v>
      </c>
      <c r="AM20" s="1586">
        <v>0</v>
      </c>
      <c r="AN20" s="1586">
        <v>0</v>
      </c>
      <c r="AO20" s="1586">
        <v>0</v>
      </c>
      <c r="AP20" s="1586">
        <v>0</v>
      </c>
      <c r="AQ20" s="1586">
        <v>0</v>
      </c>
      <c r="AR20" s="1586">
        <v>0</v>
      </c>
      <c r="AS20" s="1586">
        <v>0</v>
      </c>
      <c r="AT20" s="1586">
        <v>0</v>
      </c>
      <c r="AU20" s="1586">
        <v>0</v>
      </c>
      <c r="AV20" s="1586">
        <v>0</v>
      </c>
      <c r="AW20" s="1586">
        <v>0</v>
      </c>
      <c r="AY20" s="1586">
        <f t="shared" si="2"/>
        <v>0</v>
      </c>
      <c r="AZ20" s="1586">
        <f t="shared" si="3"/>
        <v>0</v>
      </c>
      <c r="BA20" s="1586">
        <f t="shared" si="4"/>
        <v>0</v>
      </c>
      <c r="BB20" s="1586">
        <f t="shared" si="5"/>
        <v>0</v>
      </c>
      <c r="BC20" s="1586"/>
      <c r="BD20" s="1586">
        <f t="shared" si="6"/>
        <v>0</v>
      </c>
      <c r="BE20" s="1586">
        <f t="shared" si="7"/>
        <v>0</v>
      </c>
      <c r="BF20" s="1586">
        <f t="shared" si="8"/>
        <v>0</v>
      </c>
      <c r="BG20" s="1586">
        <f t="shared" si="9"/>
        <v>0</v>
      </c>
      <c r="BH20" s="1586">
        <f t="shared" si="10"/>
        <v>0</v>
      </c>
      <c r="BI20" s="1586">
        <f t="shared" si="11"/>
        <v>0</v>
      </c>
      <c r="BJ20" s="1586">
        <f t="shared" si="12"/>
        <v>0</v>
      </c>
      <c r="BK20" s="1586">
        <f t="shared" si="13"/>
        <v>0</v>
      </c>
      <c r="BL20" s="1586">
        <f t="shared" si="14"/>
        <v>0</v>
      </c>
      <c r="BM20" s="1586">
        <f t="shared" si="15"/>
        <v>0</v>
      </c>
      <c r="BN20" s="1586">
        <f t="shared" si="16"/>
        <v>0</v>
      </c>
      <c r="BO20" s="1586">
        <f t="shared" si="17"/>
        <v>0</v>
      </c>
      <c r="BP20" s="1586">
        <f t="shared" si="18"/>
        <v>0</v>
      </c>
      <c r="BQ20" s="1586">
        <f t="shared" si="19"/>
        <v>0</v>
      </c>
      <c r="BR20" s="1586">
        <f t="shared" si="20"/>
        <v>0</v>
      </c>
      <c r="BS20" s="1586">
        <f t="shared" si="21"/>
        <v>0</v>
      </c>
    </row>
    <row r="21" spans="1:71">
      <c r="A21" s="1583" t="s">
        <v>3345</v>
      </c>
      <c r="B21" s="1586">
        <v>0</v>
      </c>
      <c r="C21" s="1586">
        <v>0</v>
      </c>
      <c r="D21" s="1586">
        <v>0</v>
      </c>
      <c r="E21" s="1586">
        <v>0</v>
      </c>
      <c r="F21" s="1586">
        <v>0</v>
      </c>
      <c r="G21" s="1586">
        <v>0</v>
      </c>
      <c r="H21" s="1586">
        <v>0</v>
      </c>
      <c r="I21" s="1586">
        <v>0</v>
      </c>
      <c r="J21" s="1586">
        <v>0</v>
      </c>
      <c r="K21" s="1586">
        <v>0</v>
      </c>
      <c r="L21" s="1586">
        <v>44000</v>
      </c>
      <c r="M21" s="1586">
        <v>44000</v>
      </c>
      <c r="N21" s="1586">
        <v>475</v>
      </c>
      <c r="O21" s="1586">
        <v>475</v>
      </c>
      <c r="P21" s="1586">
        <v>0</v>
      </c>
      <c r="Q21" s="1586">
        <v>0</v>
      </c>
      <c r="R21" s="1586">
        <v>0</v>
      </c>
      <c r="S21" s="1586">
        <v>0</v>
      </c>
      <c r="T21" s="1586">
        <v>0</v>
      </c>
      <c r="U21" s="1586">
        <v>0</v>
      </c>
      <c r="V21" s="1586">
        <v>0</v>
      </c>
      <c r="W21" s="1586">
        <v>0</v>
      </c>
      <c r="X21" s="1586">
        <v>0</v>
      </c>
      <c r="Y21" s="1586">
        <v>0</v>
      </c>
      <c r="Z21" s="1586">
        <v>0</v>
      </c>
      <c r="AA21" s="1586">
        <v>0</v>
      </c>
      <c r="AB21" s="1586">
        <v>0</v>
      </c>
      <c r="AC21" s="1586">
        <v>0</v>
      </c>
      <c r="AD21" s="1586">
        <v>0</v>
      </c>
      <c r="AE21" s="1586">
        <v>0</v>
      </c>
      <c r="AF21" s="1586">
        <v>0</v>
      </c>
      <c r="AG21" s="1586">
        <v>0</v>
      </c>
      <c r="AH21" s="1586">
        <v>0</v>
      </c>
      <c r="AI21" s="1586">
        <v>0</v>
      </c>
      <c r="AJ21" s="1586">
        <v>0</v>
      </c>
      <c r="AK21" s="1586">
        <v>0</v>
      </c>
      <c r="AL21" s="1586">
        <v>0</v>
      </c>
      <c r="AM21" s="1586">
        <v>0</v>
      </c>
      <c r="AN21" s="1586">
        <v>0</v>
      </c>
      <c r="AO21" s="1586">
        <v>0</v>
      </c>
      <c r="AP21" s="1586">
        <v>0</v>
      </c>
      <c r="AQ21" s="1586">
        <v>0</v>
      </c>
      <c r="AR21" s="1586">
        <v>0</v>
      </c>
      <c r="AS21" s="1586">
        <v>0</v>
      </c>
      <c r="AT21" s="1586">
        <v>0</v>
      </c>
      <c r="AU21" s="1586">
        <v>0</v>
      </c>
      <c r="AV21" s="1586">
        <v>0</v>
      </c>
      <c r="AW21" s="1586">
        <v>0</v>
      </c>
      <c r="AY21" s="1586">
        <f t="shared" si="2"/>
        <v>88000</v>
      </c>
      <c r="AZ21" s="1586">
        <f t="shared" si="3"/>
        <v>950</v>
      </c>
      <c r="BA21" s="1586">
        <f t="shared" si="4"/>
        <v>0</v>
      </c>
      <c r="BB21" s="1586">
        <f t="shared" si="5"/>
        <v>0</v>
      </c>
      <c r="BC21" s="1586"/>
      <c r="BD21" s="1586">
        <f t="shared" si="6"/>
        <v>0</v>
      </c>
      <c r="BE21" s="1586">
        <f t="shared" si="7"/>
        <v>0</v>
      </c>
      <c r="BF21" s="1586">
        <f t="shared" si="8"/>
        <v>0</v>
      </c>
      <c r="BG21" s="1586">
        <f t="shared" si="9"/>
        <v>88000</v>
      </c>
      <c r="BH21" s="1586">
        <f t="shared" si="10"/>
        <v>950</v>
      </c>
      <c r="BI21" s="1586">
        <f t="shared" si="11"/>
        <v>0</v>
      </c>
      <c r="BJ21" s="1586">
        <f t="shared" si="12"/>
        <v>0</v>
      </c>
      <c r="BK21" s="1586">
        <f t="shared" si="13"/>
        <v>0</v>
      </c>
      <c r="BL21" s="1586">
        <f t="shared" si="14"/>
        <v>0</v>
      </c>
      <c r="BM21" s="1586">
        <f t="shared" si="15"/>
        <v>0</v>
      </c>
      <c r="BN21" s="1586">
        <f t="shared" si="16"/>
        <v>0</v>
      </c>
      <c r="BO21" s="1586">
        <f t="shared" si="17"/>
        <v>0</v>
      </c>
      <c r="BP21" s="1586">
        <f t="shared" si="18"/>
        <v>0</v>
      </c>
      <c r="BQ21" s="1586">
        <f t="shared" si="19"/>
        <v>0</v>
      </c>
      <c r="BR21" s="1586">
        <f t="shared" si="20"/>
        <v>0</v>
      </c>
      <c r="BS21" s="1586">
        <f t="shared" si="21"/>
        <v>0</v>
      </c>
    </row>
    <row r="22" spans="1:71">
      <c r="A22" s="1583" t="s">
        <v>3346</v>
      </c>
      <c r="B22" s="1586">
        <v>0</v>
      </c>
      <c r="C22" s="1586">
        <v>0</v>
      </c>
      <c r="D22" s="1586">
        <v>0</v>
      </c>
      <c r="E22" s="1586">
        <v>0</v>
      </c>
      <c r="F22" s="1586">
        <v>0</v>
      </c>
      <c r="G22" s="1586">
        <v>0</v>
      </c>
      <c r="H22" s="1586">
        <v>0</v>
      </c>
      <c r="I22" s="1586">
        <v>0</v>
      </c>
      <c r="J22" s="1586">
        <v>0</v>
      </c>
      <c r="K22" s="1586">
        <v>0</v>
      </c>
      <c r="L22" s="1586">
        <v>0</v>
      </c>
      <c r="M22" s="1586">
        <v>0</v>
      </c>
      <c r="N22" s="1586">
        <v>0</v>
      </c>
      <c r="O22" s="1586">
        <v>0</v>
      </c>
      <c r="P22" s="1586">
        <v>0</v>
      </c>
      <c r="Q22" s="1586">
        <v>0</v>
      </c>
      <c r="R22" s="1586">
        <v>0</v>
      </c>
      <c r="S22" s="1586">
        <v>0</v>
      </c>
      <c r="T22" s="1586">
        <v>0</v>
      </c>
      <c r="U22" s="1586">
        <v>0</v>
      </c>
      <c r="V22" s="1586">
        <v>0</v>
      </c>
      <c r="W22" s="1586">
        <v>0</v>
      </c>
      <c r="X22" s="1586">
        <v>0</v>
      </c>
      <c r="Y22" s="1586">
        <v>0</v>
      </c>
      <c r="Z22" s="1586">
        <v>0</v>
      </c>
      <c r="AA22" s="1586">
        <v>0</v>
      </c>
      <c r="AB22" s="1586">
        <v>0</v>
      </c>
      <c r="AC22" s="1586">
        <v>0</v>
      </c>
      <c r="AD22" s="1586">
        <v>0</v>
      </c>
      <c r="AE22" s="1586">
        <v>0</v>
      </c>
      <c r="AF22" s="1586">
        <v>0</v>
      </c>
      <c r="AG22" s="1586">
        <v>0</v>
      </c>
      <c r="AH22" s="1586">
        <v>0</v>
      </c>
      <c r="AI22" s="1586">
        <v>0</v>
      </c>
      <c r="AJ22" s="1586">
        <v>0</v>
      </c>
      <c r="AK22" s="1586">
        <v>0</v>
      </c>
      <c r="AL22" s="1586">
        <v>0</v>
      </c>
      <c r="AM22" s="1586">
        <v>0</v>
      </c>
      <c r="AN22" s="1586">
        <v>0</v>
      </c>
      <c r="AO22" s="1586">
        <v>0</v>
      </c>
      <c r="AP22" s="1586">
        <v>0</v>
      </c>
      <c r="AQ22" s="1586">
        <v>0</v>
      </c>
      <c r="AR22" s="1586">
        <v>0</v>
      </c>
      <c r="AS22" s="1586">
        <v>0</v>
      </c>
      <c r="AT22" s="1586">
        <v>0</v>
      </c>
      <c r="AU22" s="1586">
        <v>0</v>
      </c>
      <c r="AV22" s="1586">
        <v>0</v>
      </c>
      <c r="AW22" s="1586">
        <v>0</v>
      </c>
      <c r="AY22" s="1586">
        <f t="shared" si="2"/>
        <v>0</v>
      </c>
      <c r="AZ22" s="1586">
        <f t="shared" si="3"/>
        <v>0</v>
      </c>
      <c r="BA22" s="1586">
        <f t="shared" si="4"/>
        <v>0</v>
      </c>
      <c r="BB22" s="1586">
        <f t="shared" si="5"/>
        <v>0</v>
      </c>
      <c r="BC22" s="1586"/>
      <c r="BD22" s="1586">
        <f t="shared" si="6"/>
        <v>0</v>
      </c>
      <c r="BE22" s="1586">
        <f t="shared" si="7"/>
        <v>0</v>
      </c>
      <c r="BF22" s="1586">
        <f t="shared" si="8"/>
        <v>0</v>
      </c>
      <c r="BG22" s="1586">
        <f t="shared" si="9"/>
        <v>0</v>
      </c>
      <c r="BH22" s="1586">
        <f t="shared" si="10"/>
        <v>0</v>
      </c>
      <c r="BI22" s="1586">
        <f t="shared" si="11"/>
        <v>0</v>
      </c>
      <c r="BJ22" s="1586">
        <f t="shared" si="12"/>
        <v>0</v>
      </c>
      <c r="BK22" s="1586">
        <f t="shared" si="13"/>
        <v>0</v>
      </c>
      <c r="BL22" s="1586">
        <f t="shared" si="14"/>
        <v>0</v>
      </c>
      <c r="BM22" s="1586">
        <f t="shared" si="15"/>
        <v>0</v>
      </c>
      <c r="BN22" s="1586">
        <f t="shared" si="16"/>
        <v>0</v>
      </c>
      <c r="BO22" s="1586">
        <f t="shared" si="17"/>
        <v>0</v>
      </c>
      <c r="BP22" s="1586">
        <f t="shared" si="18"/>
        <v>0</v>
      </c>
      <c r="BQ22" s="1586">
        <f t="shared" si="19"/>
        <v>0</v>
      </c>
      <c r="BR22" s="1586">
        <f t="shared" si="20"/>
        <v>0</v>
      </c>
      <c r="BS22" s="1586">
        <f t="shared" si="21"/>
        <v>0</v>
      </c>
    </row>
    <row r="23" spans="1:71">
      <c r="A23" s="1583" t="s">
        <v>3412</v>
      </c>
      <c r="B23" s="1586">
        <v>0</v>
      </c>
      <c r="C23" s="1586">
        <v>0</v>
      </c>
      <c r="D23" s="1586">
        <v>0</v>
      </c>
      <c r="E23" s="1586">
        <v>0</v>
      </c>
      <c r="F23" s="1586">
        <v>0</v>
      </c>
      <c r="G23" s="1586">
        <v>0</v>
      </c>
      <c r="H23" s="1586">
        <v>0</v>
      </c>
      <c r="I23" s="1586">
        <v>0</v>
      </c>
      <c r="J23" s="1586">
        <v>0</v>
      </c>
      <c r="K23" s="1586">
        <v>0</v>
      </c>
      <c r="L23" s="1586">
        <v>0</v>
      </c>
      <c r="M23" s="1586">
        <v>0</v>
      </c>
      <c r="N23" s="1586">
        <v>0</v>
      </c>
      <c r="O23" s="1586">
        <v>0</v>
      </c>
      <c r="P23" s="1586">
        <v>0</v>
      </c>
      <c r="Q23" s="1586">
        <v>0</v>
      </c>
      <c r="R23" s="1586">
        <v>0</v>
      </c>
      <c r="S23" s="1586">
        <v>0</v>
      </c>
      <c r="T23" s="1586">
        <v>0</v>
      </c>
      <c r="U23" s="1586">
        <v>0</v>
      </c>
      <c r="V23" s="1586">
        <v>0</v>
      </c>
      <c r="W23" s="1586">
        <v>0</v>
      </c>
      <c r="X23" s="1586">
        <v>0</v>
      </c>
      <c r="Y23" s="1586">
        <v>0</v>
      </c>
      <c r="Z23" s="1586">
        <v>0</v>
      </c>
      <c r="AA23" s="1586">
        <v>0</v>
      </c>
      <c r="AB23" s="1586">
        <v>0</v>
      </c>
      <c r="AC23" s="1586">
        <v>0</v>
      </c>
      <c r="AD23" s="1586">
        <v>0</v>
      </c>
      <c r="AE23" s="1586">
        <v>0</v>
      </c>
      <c r="AF23" s="1586">
        <v>0</v>
      </c>
      <c r="AG23" s="1586">
        <v>0</v>
      </c>
      <c r="AH23" s="1586">
        <v>0</v>
      </c>
      <c r="AI23" s="1586">
        <v>0</v>
      </c>
      <c r="AJ23" s="1586">
        <v>0</v>
      </c>
      <c r="AK23" s="1586">
        <v>0</v>
      </c>
      <c r="AL23" s="1586">
        <v>0</v>
      </c>
      <c r="AM23" s="1586">
        <v>0</v>
      </c>
      <c r="AN23" s="1586">
        <v>0</v>
      </c>
      <c r="AO23" s="1586">
        <v>0</v>
      </c>
      <c r="AP23" s="1586">
        <v>0</v>
      </c>
      <c r="AQ23" s="1586">
        <v>0</v>
      </c>
      <c r="AR23" s="1586">
        <v>0</v>
      </c>
      <c r="AS23" s="1586">
        <v>0</v>
      </c>
      <c r="AT23" s="1586">
        <v>0</v>
      </c>
      <c r="AU23" s="1586">
        <v>0</v>
      </c>
      <c r="AV23" s="1586">
        <v>0</v>
      </c>
      <c r="AW23" s="1586">
        <v>0</v>
      </c>
      <c r="AY23" s="1586">
        <f t="shared" si="2"/>
        <v>0</v>
      </c>
      <c r="AZ23" s="1586">
        <f t="shared" si="3"/>
        <v>0</v>
      </c>
      <c r="BA23" s="1586">
        <f t="shared" si="4"/>
        <v>0</v>
      </c>
      <c r="BB23" s="1586">
        <f t="shared" si="5"/>
        <v>0</v>
      </c>
      <c r="BC23" s="1586"/>
      <c r="BD23" s="1586">
        <f t="shared" si="6"/>
        <v>0</v>
      </c>
      <c r="BE23" s="1586">
        <f t="shared" si="7"/>
        <v>0</v>
      </c>
      <c r="BF23" s="1586">
        <f t="shared" si="8"/>
        <v>0</v>
      </c>
      <c r="BG23" s="1586">
        <f t="shared" si="9"/>
        <v>0</v>
      </c>
      <c r="BH23" s="1586">
        <f t="shared" si="10"/>
        <v>0</v>
      </c>
      <c r="BI23" s="1586">
        <f t="shared" si="11"/>
        <v>0</v>
      </c>
      <c r="BJ23" s="1586">
        <f t="shared" si="12"/>
        <v>0</v>
      </c>
      <c r="BK23" s="1586">
        <f t="shared" si="13"/>
        <v>0</v>
      </c>
      <c r="BL23" s="1586">
        <f t="shared" si="14"/>
        <v>0</v>
      </c>
      <c r="BM23" s="1586">
        <f t="shared" si="15"/>
        <v>0</v>
      </c>
      <c r="BN23" s="1586">
        <f t="shared" si="16"/>
        <v>0</v>
      </c>
      <c r="BO23" s="1586">
        <f t="shared" si="17"/>
        <v>0</v>
      </c>
      <c r="BP23" s="1586">
        <f t="shared" si="18"/>
        <v>0</v>
      </c>
      <c r="BQ23" s="1586">
        <f t="shared" si="19"/>
        <v>0</v>
      </c>
      <c r="BR23" s="1586">
        <f t="shared" si="20"/>
        <v>0</v>
      </c>
      <c r="BS23" s="1586">
        <f t="shared" si="21"/>
        <v>0</v>
      </c>
    </row>
    <row r="24" spans="1:71">
      <c r="A24" s="1583" t="s">
        <v>3411</v>
      </c>
      <c r="B24" s="1624">
        <v>2103.9</v>
      </c>
      <c r="C24" s="1624">
        <v>2295.62</v>
      </c>
      <c r="D24" s="1624">
        <v>2369.3000000000002</v>
      </c>
      <c r="E24" s="1624">
        <v>21406.140000000003</v>
      </c>
      <c r="F24" s="1624">
        <v>21642.01</v>
      </c>
      <c r="G24" s="1624">
        <v>10892.599999999999</v>
      </c>
      <c r="H24" s="1624">
        <v>10454.68</v>
      </c>
      <c r="I24" s="1624">
        <v>8822.31</v>
      </c>
      <c r="J24" s="1624">
        <v>11927.82</v>
      </c>
      <c r="K24" s="1624">
        <v>6373.7999999999993</v>
      </c>
      <c r="L24" s="1624">
        <v>16700</v>
      </c>
      <c r="M24" s="1624">
        <v>26300</v>
      </c>
      <c r="N24" s="1624">
        <v>12471</v>
      </c>
      <c r="O24" s="1624">
        <v>23500</v>
      </c>
      <c r="P24" s="1624">
        <v>10700</v>
      </c>
      <c r="Q24" s="1624">
        <v>6700</v>
      </c>
      <c r="R24" s="1624">
        <v>6700</v>
      </c>
      <c r="S24" s="1624">
        <v>12600</v>
      </c>
      <c r="T24" s="1624">
        <v>6700</v>
      </c>
      <c r="U24" s="1624">
        <v>6700</v>
      </c>
      <c r="V24" s="1624">
        <v>28550</v>
      </c>
      <c r="W24" s="1624">
        <v>6700</v>
      </c>
      <c r="X24" s="1624">
        <v>6700</v>
      </c>
      <c r="Y24" s="1624">
        <v>13300</v>
      </c>
      <c r="Z24" s="1624">
        <v>12875</v>
      </c>
      <c r="AA24" s="1624">
        <v>18550</v>
      </c>
      <c r="AB24" s="1624">
        <v>13250</v>
      </c>
      <c r="AC24" s="1624">
        <v>6750</v>
      </c>
      <c r="AD24" s="1624">
        <v>6750</v>
      </c>
      <c r="AE24" s="1624">
        <v>15150</v>
      </c>
      <c r="AF24" s="1624">
        <v>6750</v>
      </c>
      <c r="AG24" s="1624">
        <v>6750</v>
      </c>
      <c r="AH24" s="1624">
        <v>23600</v>
      </c>
      <c r="AI24" s="1624">
        <v>6750</v>
      </c>
      <c r="AJ24" s="1624">
        <v>6750</v>
      </c>
      <c r="AK24" s="1624">
        <v>13350</v>
      </c>
      <c r="AL24" s="1624">
        <v>22725</v>
      </c>
      <c r="AM24" s="1624">
        <v>28600</v>
      </c>
      <c r="AN24" s="1624">
        <v>23300</v>
      </c>
      <c r="AO24" s="1624">
        <v>16800</v>
      </c>
      <c r="AP24" s="1624">
        <v>16800</v>
      </c>
      <c r="AQ24" s="1624">
        <v>25200</v>
      </c>
      <c r="AR24" s="1624">
        <v>16800</v>
      </c>
      <c r="AS24" s="1624">
        <v>16800</v>
      </c>
      <c r="AT24" s="1624">
        <v>33650</v>
      </c>
      <c r="AU24" s="1624">
        <v>16800</v>
      </c>
      <c r="AV24" s="1624">
        <v>16800</v>
      </c>
      <c r="AW24" s="1624">
        <v>30900</v>
      </c>
      <c r="AY24" s="1624">
        <f t="shared" si="2"/>
        <v>141288.18</v>
      </c>
      <c r="AZ24" s="1624">
        <f t="shared" si="3"/>
        <v>141321</v>
      </c>
      <c r="BA24" s="1624">
        <f t="shared" si="4"/>
        <v>137275</v>
      </c>
      <c r="BB24" s="1586">
        <f t="shared" si="5"/>
        <v>265175</v>
      </c>
      <c r="BC24" s="1586"/>
      <c r="BD24" s="1624">
        <f t="shared" si="6"/>
        <v>6768.8200000000006</v>
      </c>
      <c r="BE24" s="1624">
        <f t="shared" si="7"/>
        <v>53940.75</v>
      </c>
      <c r="BF24" s="1624">
        <f t="shared" si="8"/>
        <v>31204.809999999998</v>
      </c>
      <c r="BG24" s="1624">
        <f t="shared" si="9"/>
        <v>49373.8</v>
      </c>
      <c r="BH24" s="1624">
        <f t="shared" si="10"/>
        <v>46671</v>
      </c>
      <c r="BI24" s="1624">
        <f t="shared" si="11"/>
        <v>26000</v>
      </c>
      <c r="BJ24" s="1624">
        <f t="shared" si="12"/>
        <v>41950</v>
      </c>
      <c r="BK24" s="1624">
        <f t="shared" si="13"/>
        <v>26700</v>
      </c>
      <c r="BL24" s="1624">
        <f t="shared" si="14"/>
        <v>44675</v>
      </c>
      <c r="BM24" s="1624">
        <f t="shared" si="15"/>
        <v>28650</v>
      </c>
      <c r="BN24" s="1624">
        <f t="shared" si="16"/>
        <v>37100</v>
      </c>
      <c r="BO24" s="1624">
        <f t="shared" si="17"/>
        <v>26850</v>
      </c>
      <c r="BP24" s="1586">
        <f t="shared" si="18"/>
        <v>74625</v>
      </c>
      <c r="BQ24" s="1586">
        <f t="shared" si="19"/>
        <v>58800</v>
      </c>
      <c r="BR24" s="1586">
        <f t="shared" si="20"/>
        <v>67250</v>
      </c>
      <c r="BS24" s="1586">
        <f t="shared" si="21"/>
        <v>64500</v>
      </c>
    </row>
    <row r="25" spans="1:71">
      <c r="A25" s="1583" t="s">
        <v>3349</v>
      </c>
      <c r="B25" s="1586">
        <f t="shared" ref="B25:AW25" si="22">SUM(B9:B24)</f>
        <v>568752.5</v>
      </c>
      <c r="C25" s="1586">
        <f t="shared" si="22"/>
        <v>947808.53</v>
      </c>
      <c r="D25" s="1586">
        <f t="shared" si="22"/>
        <v>794580.51</v>
      </c>
      <c r="E25" s="1586">
        <f t="shared" si="22"/>
        <v>691540.73</v>
      </c>
      <c r="F25" s="1586">
        <f t="shared" si="22"/>
        <v>1266061.75</v>
      </c>
      <c r="G25" s="1586">
        <f t="shared" si="22"/>
        <v>828237.29000000015</v>
      </c>
      <c r="H25" s="1586">
        <f t="shared" si="22"/>
        <v>1147663.17</v>
      </c>
      <c r="I25" s="1586">
        <f t="shared" si="22"/>
        <v>1505984.48</v>
      </c>
      <c r="J25" s="1586">
        <f t="shared" si="22"/>
        <v>1404157.2700000003</v>
      </c>
      <c r="K25" s="1586">
        <f t="shared" si="22"/>
        <v>1712658.16</v>
      </c>
      <c r="L25" s="1586">
        <f t="shared" si="22"/>
        <v>1507795.0464999999</v>
      </c>
      <c r="M25" s="1586">
        <f t="shared" si="22"/>
        <v>1935755.6020555554</v>
      </c>
      <c r="N25" s="1586">
        <f t="shared" si="22"/>
        <v>1091286.149</v>
      </c>
      <c r="O25" s="1586">
        <f t="shared" si="22"/>
        <v>1112807.3095555557</v>
      </c>
      <c r="P25" s="1586">
        <f t="shared" si="22"/>
        <v>1342431.4750499998</v>
      </c>
      <c r="Q25" s="1586">
        <f t="shared" si="22"/>
        <v>1633978.1906666667</v>
      </c>
      <c r="R25" s="1586">
        <f t="shared" si="22"/>
        <v>853903.10733333335</v>
      </c>
      <c r="S25" s="1586">
        <f t="shared" si="22"/>
        <v>865772.3784444445</v>
      </c>
      <c r="T25" s="1586">
        <f t="shared" si="22"/>
        <v>873187.46177777776</v>
      </c>
      <c r="U25" s="1586">
        <f t="shared" si="22"/>
        <v>824748.12844444439</v>
      </c>
      <c r="V25" s="1586">
        <f t="shared" si="22"/>
        <v>1027485.7673333334</v>
      </c>
      <c r="W25" s="1586">
        <f t="shared" si="22"/>
        <v>1857614.0451111111</v>
      </c>
      <c r="X25" s="1586">
        <f t="shared" si="22"/>
        <v>880052.96177777776</v>
      </c>
      <c r="Y25" s="1586">
        <f t="shared" si="22"/>
        <v>1947661.9617777779</v>
      </c>
      <c r="Z25" s="1586">
        <f t="shared" si="22"/>
        <v>1048673.7245588889</v>
      </c>
      <c r="AA25" s="1586">
        <f t="shared" si="22"/>
        <v>1210642.2801144444</v>
      </c>
      <c r="AB25" s="1586">
        <f t="shared" si="22"/>
        <v>1152482.0578922222</v>
      </c>
      <c r="AC25" s="1586">
        <f t="shared" si="22"/>
        <v>2257080.669003333</v>
      </c>
      <c r="AD25" s="1586">
        <f t="shared" si="22"/>
        <v>1381980.6690033334</v>
      </c>
      <c r="AE25" s="1586">
        <f t="shared" si="22"/>
        <v>1540205.6690033334</v>
      </c>
      <c r="AF25" s="1586">
        <f t="shared" si="22"/>
        <v>1777602.1690033334</v>
      </c>
      <c r="AG25" s="1586">
        <f t="shared" si="22"/>
        <v>1699559.8356699999</v>
      </c>
      <c r="AH25" s="1586">
        <f t="shared" si="22"/>
        <v>1147101.8356699999</v>
      </c>
      <c r="AI25" s="1586">
        <f t="shared" si="22"/>
        <v>2972676.8356699999</v>
      </c>
      <c r="AJ25" s="1586">
        <f t="shared" si="22"/>
        <v>1367642.8356699999</v>
      </c>
      <c r="AK25" s="1586">
        <f t="shared" si="22"/>
        <v>1337351.8356699999</v>
      </c>
      <c r="AL25" s="1586">
        <f t="shared" si="22"/>
        <v>2251404.6185567668</v>
      </c>
      <c r="AM25" s="1586">
        <f t="shared" si="22"/>
        <v>2224267.6185567668</v>
      </c>
      <c r="AN25" s="1586">
        <f t="shared" si="22"/>
        <v>3071954.6185567668</v>
      </c>
      <c r="AO25" s="1586">
        <f t="shared" si="22"/>
        <v>2313179.6185567668</v>
      </c>
      <c r="AP25" s="1586">
        <f t="shared" si="22"/>
        <v>1390479.6185567668</v>
      </c>
      <c r="AQ25" s="1586">
        <f t="shared" si="22"/>
        <v>1113014.6185567668</v>
      </c>
      <c r="AR25" s="1586">
        <f t="shared" si="22"/>
        <v>1132612.9518901</v>
      </c>
      <c r="AS25" s="1586">
        <f t="shared" si="22"/>
        <v>980494.27133454441</v>
      </c>
      <c r="AT25" s="1586">
        <f t="shared" si="22"/>
        <v>1133578.9935567668</v>
      </c>
      <c r="AU25" s="1586">
        <f t="shared" si="22"/>
        <v>1732187.3268901</v>
      </c>
      <c r="AV25" s="1586">
        <f t="shared" si="22"/>
        <v>959336.6602234334</v>
      </c>
      <c r="AW25" s="1586">
        <f t="shared" si="22"/>
        <v>1074155.3824456558</v>
      </c>
      <c r="AY25" s="1586">
        <f>SUM(AY9:AY24)</f>
        <v>14310995.038555555</v>
      </c>
      <c r="AZ25" s="1586">
        <f>SUM(AZ9:AZ24)</f>
        <v>14310928.936272223</v>
      </c>
      <c r="BA25" s="1586">
        <f>SUM(BA9:BA24)</f>
        <v>18893000.416928887</v>
      </c>
      <c r="BB25" s="1623">
        <f>SUM(BB9:BB24)</f>
        <v>19376666.297681201</v>
      </c>
      <c r="BD25" s="1586">
        <f t="shared" ref="BD25:BS25" si="23">SUM(BD9:BD24)</f>
        <v>2311141.54</v>
      </c>
      <c r="BE25" s="1586">
        <f t="shared" si="23"/>
        <v>2785839.77</v>
      </c>
      <c r="BF25" s="1586">
        <f t="shared" si="23"/>
        <v>4057804.9200000009</v>
      </c>
      <c r="BG25" s="1586">
        <f t="shared" si="23"/>
        <v>5156208.8085555555</v>
      </c>
      <c r="BH25" s="1586">
        <f t="shared" si="23"/>
        <v>3546524.9336055554</v>
      </c>
      <c r="BI25" s="1586">
        <f t="shared" si="23"/>
        <v>3353653.6764444443</v>
      </c>
      <c r="BJ25" s="1586">
        <f t="shared" si="23"/>
        <v>2725421.3575555556</v>
      </c>
      <c r="BK25" s="1586">
        <f t="shared" si="23"/>
        <v>4685328.9686666671</v>
      </c>
      <c r="BL25" s="1586">
        <f t="shared" si="23"/>
        <v>3411798.0625655558</v>
      </c>
      <c r="BM25" s="1586">
        <f t="shared" si="23"/>
        <v>5179267.0070099998</v>
      </c>
      <c r="BN25" s="1586">
        <f t="shared" si="23"/>
        <v>4624263.8403433338</v>
      </c>
      <c r="BO25" s="1586">
        <f t="shared" si="23"/>
        <v>5677671.5070099998</v>
      </c>
      <c r="BP25" s="1622">
        <f t="shared" si="23"/>
        <v>7547626.8556703003</v>
      </c>
      <c r="BQ25" s="1622">
        <f t="shared" si="23"/>
        <v>4816673.8556703003</v>
      </c>
      <c r="BR25" s="1622">
        <f t="shared" si="23"/>
        <v>3246686.2167814118</v>
      </c>
      <c r="BS25" s="1622">
        <f t="shared" si="23"/>
        <v>3765679.3695591893</v>
      </c>
    </row>
    <row r="26" spans="1:71">
      <c r="A26" s="1583" t="s">
        <v>173</v>
      </c>
      <c r="B26" s="1623">
        <f t="shared" ref="B26:AW26" si="24">B7-B25</f>
        <v>-568752.5</v>
      </c>
      <c r="C26" s="1623">
        <f t="shared" si="24"/>
        <v>-947808.53</v>
      </c>
      <c r="D26" s="1623">
        <f t="shared" si="24"/>
        <v>-794580.51</v>
      </c>
      <c r="E26" s="1623">
        <f t="shared" si="24"/>
        <v>-691540.73</v>
      </c>
      <c r="F26" s="1623">
        <f t="shared" si="24"/>
        <v>-1266061.75</v>
      </c>
      <c r="G26" s="1623">
        <f t="shared" si="24"/>
        <v>-828237.29000000015</v>
      </c>
      <c r="H26" s="1623">
        <f t="shared" si="24"/>
        <v>-1147663.17</v>
      </c>
      <c r="I26" s="1623">
        <f t="shared" si="24"/>
        <v>-1505984.48</v>
      </c>
      <c r="J26" s="1623">
        <f t="shared" si="24"/>
        <v>-1232119.8900000001</v>
      </c>
      <c r="K26" s="1623">
        <f t="shared" si="24"/>
        <v>-1712658.16</v>
      </c>
      <c r="L26" s="1623">
        <f t="shared" si="24"/>
        <v>-1502089.2164999999</v>
      </c>
      <c r="M26" s="1623">
        <f t="shared" si="24"/>
        <v>-1930049.7720555554</v>
      </c>
      <c r="N26" s="1623">
        <f t="shared" si="24"/>
        <v>-1085942.8189999999</v>
      </c>
      <c r="O26" s="1623">
        <f t="shared" si="24"/>
        <v>-1107463.9795555556</v>
      </c>
      <c r="P26" s="1623">
        <f t="shared" si="24"/>
        <v>-1337088.1450499997</v>
      </c>
      <c r="Q26" s="1623">
        <f t="shared" si="24"/>
        <v>-1631462.3606666666</v>
      </c>
      <c r="R26" s="1623">
        <f t="shared" si="24"/>
        <v>-851387.27733333339</v>
      </c>
      <c r="S26" s="1623">
        <f t="shared" si="24"/>
        <v>-865772.3784444445</v>
      </c>
      <c r="T26" s="1623">
        <f t="shared" si="24"/>
        <v>-873187.46177777776</v>
      </c>
      <c r="U26" s="1623">
        <f t="shared" si="24"/>
        <v>-824748.12844444439</v>
      </c>
      <c r="V26" s="1623">
        <f t="shared" si="24"/>
        <v>-1027485.7673333334</v>
      </c>
      <c r="W26" s="1623">
        <f t="shared" si="24"/>
        <v>-1857614.0451111111</v>
      </c>
      <c r="X26" s="1623">
        <f t="shared" si="24"/>
        <v>-880052.96177777776</v>
      </c>
      <c r="Y26" s="1623">
        <f t="shared" si="24"/>
        <v>-1947661.9617777779</v>
      </c>
      <c r="Z26" s="1623">
        <f t="shared" si="24"/>
        <v>-1048673.7245588889</v>
      </c>
      <c r="AA26" s="1623">
        <f t="shared" si="24"/>
        <v>-1210642.2801144444</v>
      </c>
      <c r="AB26" s="1623">
        <f t="shared" si="24"/>
        <v>-1152482.0578922222</v>
      </c>
      <c r="AC26" s="1623">
        <f t="shared" si="24"/>
        <v>-2257080.669003333</v>
      </c>
      <c r="AD26" s="1623">
        <f t="shared" si="24"/>
        <v>-1381980.6690033334</v>
      </c>
      <c r="AE26" s="1623">
        <f t="shared" si="24"/>
        <v>-1540205.6690033334</v>
      </c>
      <c r="AF26" s="1623">
        <f t="shared" si="24"/>
        <v>-1777602.1690033334</v>
      </c>
      <c r="AG26" s="1623">
        <f t="shared" si="24"/>
        <v>-1699559.8356699999</v>
      </c>
      <c r="AH26" s="1623">
        <f t="shared" si="24"/>
        <v>-1147101.8356699999</v>
      </c>
      <c r="AI26" s="1623">
        <f t="shared" si="24"/>
        <v>-2972676.8356699999</v>
      </c>
      <c r="AJ26" s="1623">
        <f t="shared" si="24"/>
        <v>-1367642.8356699999</v>
      </c>
      <c r="AK26" s="1623">
        <f t="shared" si="24"/>
        <v>-1337351.8356699999</v>
      </c>
      <c r="AL26" s="1623">
        <f t="shared" si="24"/>
        <v>-2251404.6185567668</v>
      </c>
      <c r="AM26" s="1623">
        <f t="shared" si="24"/>
        <v>-2224267.6185567668</v>
      </c>
      <c r="AN26" s="1623">
        <f t="shared" si="24"/>
        <v>-3071954.6185567668</v>
      </c>
      <c r="AO26" s="1623">
        <f t="shared" si="24"/>
        <v>-2313179.6185567668</v>
      </c>
      <c r="AP26" s="1623">
        <f t="shared" si="24"/>
        <v>-1390479.6185567668</v>
      </c>
      <c r="AQ26" s="1623">
        <f t="shared" si="24"/>
        <v>-1113014.6185567668</v>
      </c>
      <c r="AR26" s="1623">
        <f t="shared" si="24"/>
        <v>-1132612.9518901</v>
      </c>
      <c r="AS26" s="1623">
        <f t="shared" si="24"/>
        <v>-980494.27133454441</v>
      </c>
      <c r="AT26" s="1623">
        <f t="shared" si="24"/>
        <v>-1133578.9935567668</v>
      </c>
      <c r="AU26" s="1623">
        <f t="shared" si="24"/>
        <v>-1732187.3268901</v>
      </c>
      <c r="AV26" s="1623">
        <f t="shared" si="24"/>
        <v>-959336.6602234334</v>
      </c>
      <c r="AW26" s="1623">
        <f t="shared" si="24"/>
        <v>-1074155.3824456558</v>
      </c>
      <c r="AY26" s="1623">
        <f>AY7-AY25</f>
        <v>-14127545.998555556</v>
      </c>
      <c r="AZ26" s="1623">
        <f>AZ7-AZ25</f>
        <v>-14289867.286272222</v>
      </c>
      <c r="BA26" s="1623">
        <f>BA7-BA25</f>
        <v>-18893000.416928887</v>
      </c>
      <c r="BB26" s="1623">
        <f>BB7-BB25</f>
        <v>-19376666.297681201</v>
      </c>
      <c r="BD26" s="1623">
        <f t="shared" ref="BD26:BS26" si="25">BD7-BD25</f>
        <v>-2311141.54</v>
      </c>
      <c r="BE26" s="1623">
        <f t="shared" si="25"/>
        <v>-2785839.77</v>
      </c>
      <c r="BF26" s="1623">
        <f t="shared" si="25"/>
        <v>-3885767.540000001</v>
      </c>
      <c r="BG26" s="1623">
        <f t="shared" si="25"/>
        <v>-5144797.1485555554</v>
      </c>
      <c r="BH26" s="1623">
        <f t="shared" si="25"/>
        <v>-3530494.9436055552</v>
      </c>
      <c r="BI26" s="1623">
        <f t="shared" si="25"/>
        <v>-3348622.0164444442</v>
      </c>
      <c r="BJ26" s="1623">
        <f t="shared" si="25"/>
        <v>-2725421.3575555556</v>
      </c>
      <c r="BK26" s="1623">
        <f t="shared" si="25"/>
        <v>-4685328.9686666671</v>
      </c>
      <c r="BL26" s="1623">
        <f t="shared" si="25"/>
        <v>-3411798.0625655558</v>
      </c>
      <c r="BM26" s="1623">
        <f t="shared" si="25"/>
        <v>-5179267.0070099998</v>
      </c>
      <c r="BN26" s="1623">
        <f t="shared" si="25"/>
        <v>-4624263.8403433338</v>
      </c>
      <c r="BO26" s="1623">
        <f t="shared" si="25"/>
        <v>-5677671.5070099998</v>
      </c>
      <c r="BP26" s="1623">
        <f t="shared" si="25"/>
        <v>-7547626.8556703003</v>
      </c>
      <c r="BQ26" s="1623">
        <f t="shared" si="25"/>
        <v>-4816673.8556703003</v>
      </c>
      <c r="BR26" s="1623">
        <f t="shared" si="25"/>
        <v>-3246686.2167814118</v>
      </c>
      <c r="BS26" s="1623">
        <f t="shared" si="25"/>
        <v>-3765679.3695591893</v>
      </c>
    </row>
    <row r="27" spans="1:71">
      <c r="A27" s="1583" t="s">
        <v>3350</v>
      </c>
      <c r="B27" s="1586"/>
      <c r="C27" s="1586"/>
      <c r="D27" s="1586"/>
      <c r="E27" s="1586"/>
      <c r="F27" s="1586"/>
      <c r="G27" s="1586"/>
      <c r="H27" s="1586"/>
      <c r="I27" s="1586"/>
      <c r="J27" s="1586"/>
      <c r="K27" s="1586"/>
      <c r="L27" s="1586"/>
      <c r="M27" s="1586"/>
      <c r="N27" s="1586"/>
      <c r="O27" s="1586"/>
      <c r="P27" s="1586"/>
      <c r="Q27" s="1586"/>
      <c r="R27" s="1586"/>
      <c r="S27" s="1586"/>
      <c r="T27" s="1586"/>
      <c r="U27" s="1586"/>
      <c r="V27" s="1586"/>
      <c r="W27" s="1586"/>
      <c r="X27" s="1586"/>
      <c r="Y27" s="1586"/>
      <c r="Z27" s="1586"/>
      <c r="AA27" s="1586"/>
      <c r="AB27" s="1586"/>
      <c r="AC27" s="1586"/>
      <c r="AD27" s="1586"/>
      <c r="AE27" s="1586"/>
      <c r="AF27" s="1586"/>
      <c r="AG27" s="1586"/>
      <c r="AH27" s="1586"/>
      <c r="AI27" s="1586"/>
      <c r="AJ27" s="1586"/>
      <c r="AK27" s="1586"/>
      <c r="AL27" s="1586"/>
      <c r="AM27" s="1586"/>
      <c r="AN27" s="1586"/>
      <c r="AO27" s="1586"/>
      <c r="AP27" s="1586"/>
      <c r="AQ27" s="1586"/>
      <c r="AR27" s="1586"/>
      <c r="AS27" s="1586"/>
      <c r="AT27" s="1586"/>
      <c r="AU27" s="1586"/>
      <c r="AV27" s="1586"/>
      <c r="AW27" s="1586"/>
      <c r="AZ27" s="1639"/>
    </row>
    <row r="28" spans="1:71">
      <c r="A28" s="1583" t="s">
        <v>3351</v>
      </c>
      <c r="B28" s="1586">
        <v>2.97</v>
      </c>
      <c r="C28" s="1586">
        <v>2.58</v>
      </c>
      <c r="D28" s="1586">
        <v>15.43</v>
      </c>
      <c r="E28" s="1586">
        <v>104384.44</v>
      </c>
      <c r="F28" s="1586">
        <v>30761.3</v>
      </c>
      <c r="G28" s="1586">
        <v>29517.1</v>
      </c>
      <c r="H28" s="1586">
        <v>29019.200000000001</v>
      </c>
      <c r="I28" s="1586">
        <v>30657.94</v>
      </c>
      <c r="J28" s="1603">
        <v>27099.81</v>
      </c>
      <c r="K28" s="1603">
        <v>27272.93</v>
      </c>
      <c r="L28" s="1586">
        <v>0</v>
      </c>
      <c r="M28" s="1586">
        <v>0</v>
      </c>
      <c r="N28" s="1586">
        <v>0</v>
      </c>
      <c r="O28" s="1586">
        <v>0</v>
      </c>
      <c r="P28" s="1586">
        <v>0</v>
      </c>
      <c r="Q28" s="1586">
        <v>0</v>
      </c>
      <c r="R28" s="1586">
        <v>0</v>
      </c>
      <c r="S28" s="1586">
        <v>0</v>
      </c>
      <c r="T28" s="1586">
        <v>0</v>
      </c>
      <c r="U28" s="1586">
        <v>0</v>
      </c>
      <c r="V28" s="1586">
        <v>0</v>
      </c>
      <c r="W28" s="1586">
        <v>0</v>
      </c>
      <c r="X28" s="1586">
        <v>0</v>
      </c>
      <c r="Y28" s="1586">
        <v>0</v>
      </c>
      <c r="Z28" s="1586">
        <v>0</v>
      </c>
      <c r="AA28" s="1586">
        <v>0</v>
      </c>
      <c r="AB28" s="1586">
        <v>0</v>
      </c>
      <c r="AC28" s="1586">
        <v>0</v>
      </c>
      <c r="AD28" s="1586">
        <v>0</v>
      </c>
      <c r="AE28" s="1586">
        <v>0</v>
      </c>
      <c r="AF28" s="1586">
        <v>0</v>
      </c>
      <c r="AG28" s="1586">
        <v>0</v>
      </c>
      <c r="AH28" s="1586">
        <v>0</v>
      </c>
      <c r="AI28" s="1586">
        <v>0</v>
      </c>
      <c r="AJ28" s="1586">
        <v>0</v>
      </c>
      <c r="AK28" s="1586">
        <v>0</v>
      </c>
      <c r="AL28" s="1586">
        <v>0</v>
      </c>
      <c r="AM28" s="1586">
        <v>0</v>
      </c>
      <c r="AN28" s="1586">
        <v>0</v>
      </c>
      <c r="AO28" s="1586">
        <v>0</v>
      </c>
      <c r="AP28" s="1586">
        <v>0</v>
      </c>
      <c r="AQ28" s="1586">
        <v>0</v>
      </c>
      <c r="AR28" s="1586">
        <v>0</v>
      </c>
      <c r="AS28" s="1586">
        <v>0</v>
      </c>
      <c r="AT28" s="1586">
        <v>0</v>
      </c>
      <c r="AU28" s="1586">
        <v>0</v>
      </c>
      <c r="AV28" s="1586">
        <v>0</v>
      </c>
      <c r="AW28" s="1586">
        <v>0</v>
      </c>
      <c r="AY28" s="1586">
        <f>SUM(B28:M28)</f>
        <v>278733.7</v>
      </c>
      <c r="AZ28" s="1586">
        <f>SUM(N28:Y28)</f>
        <v>0</v>
      </c>
      <c r="BA28" s="1586">
        <f>SUM(Z28:AK28)</f>
        <v>0</v>
      </c>
      <c r="BB28" s="1586">
        <f>SUM(AL28:AW28)</f>
        <v>0</v>
      </c>
      <c r="BC28" s="1586"/>
      <c r="BD28" s="1586">
        <f>SUM(B28:D28)</f>
        <v>20.98</v>
      </c>
      <c r="BE28" s="1586">
        <f>SUM(E28:G28)</f>
        <v>164662.84</v>
      </c>
      <c r="BF28" s="1586">
        <f>SUM(H28:J28)</f>
        <v>86776.95</v>
      </c>
      <c r="BG28" s="1586">
        <f>SUM(K28:M28)</f>
        <v>27272.93</v>
      </c>
      <c r="BH28" s="1586">
        <f>SUM(N28:P28)</f>
        <v>0</v>
      </c>
      <c r="BI28" s="1586">
        <f>SUM(Q28:S28)</f>
        <v>0</v>
      </c>
      <c r="BJ28" s="1586">
        <f>SUM(T28:V28)</f>
        <v>0</v>
      </c>
      <c r="BK28" s="1586">
        <f>SUM(W28:Y28)</f>
        <v>0</v>
      </c>
      <c r="BL28" s="1586">
        <f>SUM(Z28:AB28)</f>
        <v>0</v>
      </c>
      <c r="BM28" s="1586">
        <f>SUM(AC28:AE28)</f>
        <v>0</v>
      </c>
      <c r="BN28" s="1586">
        <f>SUM(AF28:AH28)</f>
        <v>0</v>
      </c>
      <c r="BO28" s="1586">
        <f>SUM(AI28:AK28)</f>
        <v>0</v>
      </c>
      <c r="BP28" s="1586">
        <f>SUM(AL28:AN28)</f>
        <v>0</v>
      </c>
      <c r="BQ28" s="1586">
        <f>SUM(AO28:AQ28)</f>
        <v>0</v>
      </c>
      <c r="BR28" s="1586">
        <f>SUM(AR28:AT28)</f>
        <v>0</v>
      </c>
      <c r="BS28" s="1586">
        <f>SUM(AU28:AW28)</f>
        <v>0</v>
      </c>
    </row>
    <row r="29" spans="1:71">
      <c r="A29" s="1583" t="s">
        <v>3352</v>
      </c>
      <c r="B29" s="1586">
        <v>-15591.82</v>
      </c>
      <c r="C29" s="1586">
        <v>-17508.099999999999</v>
      </c>
      <c r="D29" s="1586">
        <v>-17787.96</v>
      </c>
      <c r="E29" s="1586">
        <v>-19788.41</v>
      </c>
      <c r="F29" s="1586">
        <v>-20111.490000000002</v>
      </c>
      <c r="G29" s="1586">
        <v>-20111.490000000002</v>
      </c>
      <c r="H29" s="1625">
        <v>-81285.77</v>
      </c>
      <c r="I29" s="1625">
        <v>-39349.199999999997</v>
      </c>
      <c r="J29" s="1586">
        <v>-19871.22</v>
      </c>
      <c r="K29" s="1586">
        <v>-38803.81</v>
      </c>
      <c r="L29" s="1586">
        <v>-43573.390634920637</v>
      </c>
      <c r="M29" s="1586">
        <v>-44290.057301587301</v>
      </c>
      <c r="N29" s="1586">
        <v>-44523.390634920637</v>
      </c>
      <c r="O29" s="1586">
        <v>-45245.057301587301</v>
      </c>
      <c r="P29" s="1586">
        <v>-45578.390634920637</v>
      </c>
      <c r="Q29" s="1586">
        <v>-45911.723968253966</v>
      </c>
      <c r="R29" s="1586">
        <v>-45911.723968253966</v>
      </c>
      <c r="S29" s="1586">
        <v>-45911.723968253966</v>
      </c>
      <c r="T29" s="1586">
        <v>-45911.723968253966</v>
      </c>
      <c r="U29" s="1586">
        <v>-46003.390634920637</v>
      </c>
      <c r="V29" s="1586">
        <v>-46003.390634920637</v>
      </c>
      <c r="W29" s="1586">
        <v>-46003.390634920637</v>
      </c>
      <c r="X29" s="1586">
        <v>-46003.390634920637</v>
      </c>
      <c r="Y29" s="1586">
        <v>-46003.390634920637</v>
      </c>
      <c r="Z29" s="1586">
        <v>-46436.723968253966</v>
      </c>
      <c r="AA29" s="1586">
        <v>-43213.873968253931</v>
      </c>
      <c r="AB29" s="1586">
        <v>-39962.753968253965</v>
      </c>
      <c r="AC29" s="1586">
        <v>-39962.753968253965</v>
      </c>
      <c r="AD29" s="1586">
        <v>-39962.753968253965</v>
      </c>
      <c r="AE29" s="1586">
        <v>-39962.753968253965</v>
      </c>
      <c r="AF29" s="1586">
        <v>-39962.753968253965</v>
      </c>
      <c r="AG29" s="1586">
        <v>-39962.753968253965</v>
      </c>
      <c r="AH29" s="1586">
        <v>-39962.753968253965</v>
      </c>
      <c r="AI29" s="1586">
        <v>-39962.753968253965</v>
      </c>
      <c r="AJ29" s="1586">
        <v>-39962.753968253965</v>
      </c>
      <c r="AK29" s="1586">
        <v>-39962.753968253965</v>
      </c>
      <c r="AL29" s="1586">
        <v>-39962.753968253965</v>
      </c>
      <c r="AM29" s="1586">
        <v>-39962.753968253965</v>
      </c>
      <c r="AN29" s="1586">
        <v>-39962.753968253965</v>
      </c>
      <c r="AO29" s="1586">
        <v>-39962.753968253965</v>
      </c>
      <c r="AP29" s="1586">
        <v>-39962.753968253965</v>
      </c>
      <c r="AQ29" s="1586">
        <v>-39962.753968253965</v>
      </c>
      <c r="AR29" s="1586">
        <v>-39962.753968253965</v>
      </c>
      <c r="AS29" s="1586">
        <v>-39962.753968253965</v>
      </c>
      <c r="AT29" s="1586">
        <v>-39962.753968253965</v>
      </c>
      <c r="AU29" s="1586">
        <v>-39962.753968253965</v>
      </c>
      <c r="AV29" s="1586">
        <v>-39851.642857142855</v>
      </c>
      <c r="AW29" s="1586">
        <v>-39851.642857142855</v>
      </c>
      <c r="AY29" s="1586">
        <f>SUM(B29:M29)</f>
        <v>-378072.71793650795</v>
      </c>
      <c r="AZ29" s="1586">
        <f>SUM(N29:Y29)</f>
        <v>-549010.68761904759</v>
      </c>
      <c r="BA29" s="1586">
        <f>SUM(Z29:AK29)</f>
        <v>-489278.13761904754</v>
      </c>
      <c r="BB29" s="1586">
        <f>SUM(AL29:AW29)</f>
        <v>-479330.82539682533</v>
      </c>
      <c r="BC29" s="1586"/>
      <c r="BD29" s="1586">
        <f>SUM(B29:D29)</f>
        <v>-50887.88</v>
      </c>
      <c r="BE29" s="1586">
        <f>SUM(E29:G29)</f>
        <v>-60011.39</v>
      </c>
      <c r="BF29" s="1586">
        <f>SUM(H29:J29)</f>
        <v>-140506.19</v>
      </c>
      <c r="BG29" s="1586">
        <f>SUM(K29:M29)</f>
        <v>-126667.25793650793</v>
      </c>
      <c r="BH29" s="1586">
        <f>SUM(N29:P29)</f>
        <v>-135346.83857142855</v>
      </c>
      <c r="BI29" s="1586">
        <f>SUM(Q29:S29)</f>
        <v>-137735.1719047619</v>
      </c>
      <c r="BJ29" s="1586">
        <f>SUM(T29:V29)</f>
        <v>-137918.50523809524</v>
      </c>
      <c r="BK29" s="1586">
        <f>SUM(W29:Y29)</f>
        <v>-138010.17190476193</v>
      </c>
      <c r="BL29" s="1586">
        <f>SUM(Z29:AB29)</f>
        <v>-129613.35190476186</v>
      </c>
      <c r="BM29" s="1586">
        <f>SUM(AC29:AE29)</f>
        <v>-119888.26190476189</v>
      </c>
      <c r="BN29" s="1586">
        <f>SUM(AF29:AH29)</f>
        <v>-119888.26190476189</v>
      </c>
      <c r="BO29" s="1586">
        <f>SUM(AI29:AK29)</f>
        <v>-119888.26190476189</v>
      </c>
      <c r="BP29" s="1586">
        <f>SUM(AL29:AN29)</f>
        <v>-119888.26190476189</v>
      </c>
      <c r="BQ29" s="1586">
        <f>SUM(AO29:AQ29)</f>
        <v>-119888.26190476189</v>
      </c>
      <c r="BR29" s="1586">
        <f>SUM(AR29:AT29)</f>
        <v>-119888.26190476189</v>
      </c>
      <c r="BS29" s="1586">
        <f>SUM(AU29:AW29)</f>
        <v>-119666.03968253967</v>
      </c>
    </row>
    <row r="30" spans="1:71">
      <c r="A30" s="1583" t="s">
        <v>3353</v>
      </c>
      <c r="B30" s="1624">
        <v>-2230.85</v>
      </c>
      <c r="C30" s="1624">
        <v>-2385.66</v>
      </c>
      <c r="D30" s="1624">
        <v>-2314.39</v>
      </c>
      <c r="E30" s="1624">
        <v>-2394.35</v>
      </c>
      <c r="F30" s="1624">
        <v>-2278.1</v>
      </c>
      <c r="G30" s="1624">
        <v>-2441.79</v>
      </c>
      <c r="H30" s="1624">
        <v>-1941.95</v>
      </c>
      <c r="I30" s="1624">
        <v>-1742.59</v>
      </c>
      <c r="J30" s="1624">
        <v>-2471.7399999999998</v>
      </c>
      <c r="K30" s="1624">
        <v>-1151.83</v>
      </c>
      <c r="L30" s="1624">
        <v>-1757.4253953847985</v>
      </c>
      <c r="M30" s="1624">
        <v>-1680.3898542308407</v>
      </c>
      <c r="N30" s="1624">
        <v>-1602.882511897174</v>
      </c>
      <c r="O30" s="1624">
        <v>-1524.8915445069417</v>
      </c>
      <c r="P30" s="1624">
        <v>-1446.4351167832128</v>
      </c>
      <c r="Q30" s="1624">
        <v>-1367.4813819777212</v>
      </c>
      <c r="R30" s="1624">
        <v>-1288.0584817991664</v>
      </c>
      <c r="S30" s="1624">
        <v>-1208.1545463410632</v>
      </c>
      <c r="T30" s="1624">
        <v>-1127.7376940091394</v>
      </c>
      <c r="U30" s="1624">
        <v>-1046.8360314482829</v>
      </c>
      <c r="V30" s="1624">
        <v>-965.43765346902933</v>
      </c>
      <c r="W30" s="1624">
        <v>-883.55064297359081</v>
      </c>
      <c r="X30" s="1624">
        <v>-801.15307088142413</v>
      </c>
      <c r="Y30" s="1624">
        <v>0</v>
      </c>
      <c r="Z30" s="1624">
        <v>0</v>
      </c>
      <c r="AA30" s="1624">
        <v>0</v>
      </c>
      <c r="AB30" s="1624">
        <v>0</v>
      </c>
      <c r="AC30" s="1624">
        <v>0</v>
      </c>
      <c r="AD30" s="1624">
        <v>0</v>
      </c>
      <c r="AE30" s="1624">
        <v>0</v>
      </c>
      <c r="AF30" s="1624">
        <v>0</v>
      </c>
      <c r="AG30" s="1624">
        <v>0</v>
      </c>
      <c r="AH30" s="1624">
        <v>0</v>
      </c>
      <c r="AI30" s="1624">
        <v>0</v>
      </c>
      <c r="AJ30" s="1624">
        <v>0</v>
      </c>
      <c r="AK30" s="1624">
        <v>0</v>
      </c>
      <c r="AL30" s="1624">
        <v>0</v>
      </c>
      <c r="AM30" s="1624">
        <v>0</v>
      </c>
      <c r="AN30" s="1624">
        <v>0</v>
      </c>
      <c r="AO30" s="1624">
        <v>0</v>
      </c>
      <c r="AP30" s="1624">
        <v>0</v>
      </c>
      <c r="AQ30" s="1624">
        <v>0</v>
      </c>
      <c r="AR30" s="1624">
        <v>0</v>
      </c>
      <c r="AS30" s="1624">
        <v>0</v>
      </c>
      <c r="AT30" s="1624">
        <v>0</v>
      </c>
      <c r="AU30" s="1624">
        <v>0</v>
      </c>
      <c r="AV30" s="1624">
        <v>0</v>
      </c>
      <c r="AW30" s="1624">
        <v>0</v>
      </c>
      <c r="AY30" s="1624">
        <f>SUM(B30:M30)</f>
        <v>-24791.06524961564</v>
      </c>
      <c r="AZ30" s="1624">
        <f>SUM(N30:Y30)</f>
        <v>-13262.618676086748</v>
      </c>
      <c r="BA30" s="1624">
        <f>SUM(Z30:AK30)</f>
        <v>0</v>
      </c>
      <c r="BB30" s="1586">
        <f>SUM(AL30:AW30)</f>
        <v>0</v>
      </c>
      <c r="BC30" s="1586"/>
      <c r="BD30" s="1624">
        <f>SUM(B30:D30)</f>
        <v>-6930.9</v>
      </c>
      <c r="BE30" s="1624">
        <f>SUM(E30:G30)</f>
        <v>-7114.24</v>
      </c>
      <c r="BF30" s="1624">
        <f>SUM(H30:J30)</f>
        <v>-6156.28</v>
      </c>
      <c r="BG30" s="1624">
        <f>SUM(K30:M30)</f>
        <v>-4589.6452496156389</v>
      </c>
      <c r="BH30" s="1624">
        <f>SUM(N30:P30)</f>
        <v>-4574.2091731873288</v>
      </c>
      <c r="BI30" s="1624">
        <f>SUM(Q30:S30)</f>
        <v>-3863.6944101179506</v>
      </c>
      <c r="BJ30" s="1624">
        <f>SUM(T30:V30)</f>
        <v>-3140.0113789264515</v>
      </c>
      <c r="BK30" s="1624">
        <f>SUM(W30:Y30)</f>
        <v>-1684.7037138550149</v>
      </c>
      <c r="BL30" s="1624">
        <f>SUM(Z30:AB30)</f>
        <v>0</v>
      </c>
      <c r="BM30" s="1624">
        <f>SUM(AC30:AE30)</f>
        <v>0</v>
      </c>
      <c r="BN30" s="1624">
        <f>SUM(AF30:AH30)</f>
        <v>0</v>
      </c>
      <c r="BO30" s="1624">
        <f>SUM(AI30:AK30)</f>
        <v>0</v>
      </c>
      <c r="BP30" s="1586">
        <f>SUM(AL30:AN30)</f>
        <v>0</v>
      </c>
      <c r="BQ30" s="1586">
        <f>SUM(AO30:AQ30)</f>
        <v>0</v>
      </c>
      <c r="BR30" s="1586">
        <f>SUM(AR30:AT30)</f>
        <v>0</v>
      </c>
      <c r="BS30" s="1586">
        <f>SUM(AU30:AW30)</f>
        <v>0</v>
      </c>
    </row>
    <row r="31" spans="1:71">
      <c r="A31" s="1583" t="s">
        <v>3354</v>
      </c>
      <c r="B31" s="1586">
        <f t="shared" ref="B31:AW31" si="26">SUM(B28:B30)</f>
        <v>-17819.7</v>
      </c>
      <c r="C31" s="1586">
        <f t="shared" si="26"/>
        <v>-19891.179999999997</v>
      </c>
      <c r="D31" s="1586">
        <f t="shared" si="26"/>
        <v>-20086.919999999998</v>
      </c>
      <c r="E31" s="1586">
        <f t="shared" si="26"/>
        <v>82201.679999999993</v>
      </c>
      <c r="F31" s="1586">
        <f t="shared" si="26"/>
        <v>8371.7099999999973</v>
      </c>
      <c r="G31" s="1586">
        <f t="shared" si="26"/>
        <v>6963.819999999997</v>
      </c>
      <c r="H31" s="1586">
        <f t="shared" si="26"/>
        <v>-54208.520000000004</v>
      </c>
      <c r="I31" s="1586">
        <f t="shared" si="26"/>
        <v>-10433.849999999999</v>
      </c>
      <c r="J31" s="1586">
        <f t="shared" si="26"/>
        <v>4756.8500000000004</v>
      </c>
      <c r="K31" s="1586">
        <f t="shared" si="26"/>
        <v>-12682.709999999997</v>
      </c>
      <c r="L31" s="1586">
        <f t="shared" si="26"/>
        <v>-45330.816030305439</v>
      </c>
      <c r="M31" s="1586">
        <f t="shared" si="26"/>
        <v>-45970.447155818139</v>
      </c>
      <c r="N31" s="1586">
        <f t="shared" si="26"/>
        <v>-46126.27314681781</v>
      </c>
      <c r="O31" s="1586">
        <f t="shared" si="26"/>
        <v>-46769.948846094245</v>
      </c>
      <c r="P31" s="1586">
        <f t="shared" si="26"/>
        <v>-47024.825751703851</v>
      </c>
      <c r="Q31" s="1586">
        <f t="shared" si="26"/>
        <v>-47279.205350231685</v>
      </c>
      <c r="R31" s="1586">
        <f t="shared" si="26"/>
        <v>-47199.782450053135</v>
      </c>
      <c r="S31" s="1586">
        <f t="shared" si="26"/>
        <v>-47119.878514595031</v>
      </c>
      <c r="T31" s="1586">
        <f t="shared" si="26"/>
        <v>-47039.461662263107</v>
      </c>
      <c r="U31" s="1586">
        <f t="shared" si="26"/>
        <v>-47050.226666368922</v>
      </c>
      <c r="V31" s="1586">
        <f t="shared" si="26"/>
        <v>-46968.828288389668</v>
      </c>
      <c r="W31" s="1586">
        <f t="shared" si="26"/>
        <v>-46886.941277894228</v>
      </c>
      <c r="X31" s="1586">
        <f t="shared" si="26"/>
        <v>-46804.543705802062</v>
      </c>
      <c r="Y31" s="1586">
        <f t="shared" si="26"/>
        <v>-46003.390634920637</v>
      </c>
      <c r="Z31" s="1586">
        <f t="shared" si="26"/>
        <v>-46436.723968253966</v>
      </c>
      <c r="AA31" s="1586">
        <f t="shared" si="26"/>
        <v>-43213.873968253931</v>
      </c>
      <c r="AB31" s="1586">
        <f t="shared" si="26"/>
        <v>-39962.753968253965</v>
      </c>
      <c r="AC31" s="1586">
        <f t="shared" si="26"/>
        <v>-39962.753968253965</v>
      </c>
      <c r="AD31" s="1586">
        <f t="shared" si="26"/>
        <v>-39962.753968253965</v>
      </c>
      <c r="AE31" s="1586">
        <f t="shared" si="26"/>
        <v>-39962.753968253965</v>
      </c>
      <c r="AF31" s="1586">
        <f t="shared" si="26"/>
        <v>-39962.753968253965</v>
      </c>
      <c r="AG31" s="1586">
        <f t="shared" si="26"/>
        <v>-39962.753968253965</v>
      </c>
      <c r="AH31" s="1586">
        <f t="shared" si="26"/>
        <v>-39962.753968253965</v>
      </c>
      <c r="AI31" s="1586">
        <f t="shared" si="26"/>
        <v>-39962.753968253965</v>
      </c>
      <c r="AJ31" s="1586">
        <f t="shared" si="26"/>
        <v>-39962.753968253965</v>
      </c>
      <c r="AK31" s="1586">
        <f t="shared" si="26"/>
        <v>-39962.753968253965</v>
      </c>
      <c r="AL31" s="1586">
        <f t="shared" si="26"/>
        <v>-39962.753968253965</v>
      </c>
      <c r="AM31" s="1586">
        <f t="shared" si="26"/>
        <v>-39962.753968253965</v>
      </c>
      <c r="AN31" s="1586">
        <f t="shared" si="26"/>
        <v>-39962.753968253965</v>
      </c>
      <c r="AO31" s="1586">
        <f t="shared" si="26"/>
        <v>-39962.753968253965</v>
      </c>
      <c r="AP31" s="1586">
        <f t="shared" si="26"/>
        <v>-39962.753968253965</v>
      </c>
      <c r="AQ31" s="1586">
        <f t="shared" si="26"/>
        <v>-39962.753968253965</v>
      </c>
      <c r="AR31" s="1586">
        <f t="shared" si="26"/>
        <v>-39962.753968253965</v>
      </c>
      <c r="AS31" s="1586">
        <f t="shared" si="26"/>
        <v>-39962.753968253965</v>
      </c>
      <c r="AT31" s="1586">
        <f t="shared" si="26"/>
        <v>-39962.753968253965</v>
      </c>
      <c r="AU31" s="1586">
        <f t="shared" si="26"/>
        <v>-39962.753968253965</v>
      </c>
      <c r="AV31" s="1586">
        <f t="shared" si="26"/>
        <v>-39851.642857142855</v>
      </c>
      <c r="AW31" s="1586">
        <f t="shared" si="26"/>
        <v>-39851.642857142855</v>
      </c>
      <c r="AY31" s="1586">
        <f>SUM(AY28:AY30)</f>
        <v>-124130.08318612358</v>
      </c>
      <c r="AZ31" s="1586">
        <f>SUM(AZ28:AZ30)</f>
        <v>-562273.30629513436</v>
      </c>
      <c r="BA31" s="1586">
        <f>SUM(BA28:BA30)</f>
        <v>-489278.13761904754</v>
      </c>
      <c r="BB31" s="1623">
        <f>SUM(BB28:BB30)</f>
        <v>-479330.82539682533</v>
      </c>
      <c r="BD31" s="1586">
        <f t="shared" ref="BD31:BS31" si="27">SUM(BD28:BD30)</f>
        <v>-57797.799999999996</v>
      </c>
      <c r="BE31" s="1586">
        <f t="shared" si="27"/>
        <v>97537.209999999992</v>
      </c>
      <c r="BF31" s="1586">
        <f t="shared" si="27"/>
        <v>-59885.520000000004</v>
      </c>
      <c r="BG31" s="1586">
        <f t="shared" si="27"/>
        <v>-103983.97318612358</v>
      </c>
      <c r="BH31" s="1586">
        <f t="shared" si="27"/>
        <v>-139921.04774461588</v>
      </c>
      <c r="BI31" s="1586">
        <f t="shared" si="27"/>
        <v>-141598.86631487985</v>
      </c>
      <c r="BJ31" s="1586">
        <f t="shared" si="27"/>
        <v>-141058.5166170217</v>
      </c>
      <c r="BK31" s="1586">
        <f t="shared" si="27"/>
        <v>-139694.87561861693</v>
      </c>
      <c r="BL31" s="1586">
        <f t="shared" si="27"/>
        <v>-129613.35190476186</v>
      </c>
      <c r="BM31" s="1586">
        <f t="shared" si="27"/>
        <v>-119888.26190476189</v>
      </c>
      <c r="BN31" s="1586">
        <f t="shared" si="27"/>
        <v>-119888.26190476189</v>
      </c>
      <c r="BO31" s="1586">
        <f t="shared" si="27"/>
        <v>-119888.26190476189</v>
      </c>
      <c r="BP31" s="1622">
        <f t="shared" si="27"/>
        <v>-119888.26190476189</v>
      </c>
      <c r="BQ31" s="1622">
        <f t="shared" si="27"/>
        <v>-119888.26190476189</v>
      </c>
      <c r="BR31" s="1622">
        <f t="shared" si="27"/>
        <v>-119888.26190476189</v>
      </c>
      <c r="BS31" s="1622">
        <f t="shared" si="27"/>
        <v>-119666.03968253967</v>
      </c>
    </row>
    <row r="32" spans="1:71" ht="15.75" thickBot="1">
      <c r="A32" s="1590" t="s">
        <v>212</v>
      </c>
      <c r="B32" s="1620">
        <f t="shared" ref="B32:AW32" si="28">B26+B31</f>
        <v>-586572.19999999995</v>
      </c>
      <c r="C32" s="1620">
        <f t="shared" si="28"/>
        <v>-967699.71000000008</v>
      </c>
      <c r="D32" s="1620">
        <f t="shared" si="28"/>
        <v>-814667.43</v>
      </c>
      <c r="E32" s="1620">
        <f t="shared" si="28"/>
        <v>-609339.05000000005</v>
      </c>
      <c r="F32" s="1620">
        <f t="shared" si="28"/>
        <v>-1257690.04</v>
      </c>
      <c r="G32" s="1620">
        <f t="shared" si="28"/>
        <v>-821273.4700000002</v>
      </c>
      <c r="H32" s="1620">
        <f t="shared" si="28"/>
        <v>-1201871.69</v>
      </c>
      <c r="I32" s="1620">
        <f t="shared" si="28"/>
        <v>-1516418.33</v>
      </c>
      <c r="J32" s="1621">
        <f t="shared" si="28"/>
        <v>-1227363.04</v>
      </c>
      <c r="K32" s="1621">
        <f t="shared" si="28"/>
        <v>-1725340.8699999999</v>
      </c>
      <c r="L32" s="1620">
        <f t="shared" si="28"/>
        <v>-1547420.0325303052</v>
      </c>
      <c r="M32" s="1620">
        <f t="shared" si="28"/>
        <v>-1976020.2192113735</v>
      </c>
      <c r="N32" s="1620">
        <f t="shared" si="28"/>
        <v>-1132069.0921468176</v>
      </c>
      <c r="O32" s="1620">
        <f t="shared" si="28"/>
        <v>-1154233.9284016499</v>
      </c>
      <c r="P32" s="1620">
        <f t="shared" si="28"/>
        <v>-1384112.9708017036</v>
      </c>
      <c r="Q32" s="1620">
        <f t="shared" si="28"/>
        <v>-1678741.5660168983</v>
      </c>
      <c r="R32" s="1620">
        <f t="shared" si="28"/>
        <v>-898587.05978338653</v>
      </c>
      <c r="S32" s="1620">
        <f t="shared" si="28"/>
        <v>-912892.25695903949</v>
      </c>
      <c r="T32" s="1620">
        <f t="shared" si="28"/>
        <v>-920226.9234400409</v>
      </c>
      <c r="U32" s="1620">
        <f t="shared" si="28"/>
        <v>-871798.35511081328</v>
      </c>
      <c r="V32" s="1620">
        <f t="shared" si="28"/>
        <v>-1074454.595621723</v>
      </c>
      <c r="W32" s="1620">
        <f t="shared" si="28"/>
        <v>-1904500.9863890053</v>
      </c>
      <c r="X32" s="1620">
        <f t="shared" si="28"/>
        <v>-926857.50548357982</v>
      </c>
      <c r="Y32" s="1620">
        <f t="shared" si="28"/>
        <v>-1993665.3524126986</v>
      </c>
      <c r="Z32" s="1620">
        <f t="shared" si="28"/>
        <v>-1095110.4485271429</v>
      </c>
      <c r="AA32" s="1620">
        <f t="shared" si="28"/>
        <v>-1253856.1540826983</v>
      </c>
      <c r="AB32" s="1620">
        <f t="shared" si="28"/>
        <v>-1192444.8118604762</v>
      </c>
      <c r="AC32" s="1620">
        <f t="shared" si="28"/>
        <v>-2297043.4229715867</v>
      </c>
      <c r="AD32" s="1620">
        <f t="shared" si="28"/>
        <v>-1421943.4229715874</v>
      </c>
      <c r="AE32" s="1620">
        <f t="shared" si="28"/>
        <v>-1580168.4229715874</v>
      </c>
      <c r="AF32" s="1620">
        <f t="shared" si="28"/>
        <v>-1817564.9229715874</v>
      </c>
      <c r="AG32" s="1620">
        <f t="shared" si="28"/>
        <v>-1739522.5896382539</v>
      </c>
      <c r="AH32" s="1620">
        <f t="shared" si="28"/>
        <v>-1187064.5896382539</v>
      </c>
      <c r="AI32" s="1620">
        <f t="shared" si="28"/>
        <v>-3012639.5896382537</v>
      </c>
      <c r="AJ32" s="1620">
        <f t="shared" si="28"/>
        <v>-1407605.5896382539</v>
      </c>
      <c r="AK32" s="1620">
        <f t="shared" si="28"/>
        <v>-1377314.5896382539</v>
      </c>
      <c r="AL32" s="1620">
        <f t="shared" si="28"/>
        <v>-2291367.3725250205</v>
      </c>
      <c r="AM32" s="1620">
        <f t="shared" si="28"/>
        <v>-2264230.3725250205</v>
      </c>
      <c r="AN32" s="1620">
        <f t="shared" si="28"/>
        <v>-3111917.3725250205</v>
      </c>
      <c r="AO32" s="1620">
        <f t="shared" si="28"/>
        <v>-2353142.3725250205</v>
      </c>
      <c r="AP32" s="1620">
        <f t="shared" si="28"/>
        <v>-1430442.3725250207</v>
      </c>
      <c r="AQ32" s="1620">
        <f t="shared" si="28"/>
        <v>-1152977.3725250207</v>
      </c>
      <c r="AR32" s="1620">
        <f t="shared" si="28"/>
        <v>-1172575.705858354</v>
      </c>
      <c r="AS32" s="1620">
        <f t="shared" si="28"/>
        <v>-1020457.0253027984</v>
      </c>
      <c r="AT32" s="1620">
        <f t="shared" si="28"/>
        <v>-1173541.7475250207</v>
      </c>
      <c r="AU32" s="1620">
        <f t="shared" si="28"/>
        <v>-1772150.080858354</v>
      </c>
      <c r="AV32" s="1620">
        <f t="shared" si="28"/>
        <v>-999188.30308057624</v>
      </c>
      <c r="AW32" s="1620">
        <f t="shared" si="28"/>
        <v>-1114007.0253027987</v>
      </c>
      <c r="AY32" s="1620">
        <f>AY26+AY31</f>
        <v>-14251676.081741679</v>
      </c>
      <c r="AZ32" s="1620">
        <f>AZ26+AZ31</f>
        <v>-14852140.592567356</v>
      </c>
      <c r="BA32" s="1620">
        <f>BA26+BA31</f>
        <v>-19382278.554547936</v>
      </c>
      <c r="BB32" s="1620">
        <f>BB26+BB31</f>
        <v>-19855997.123078026</v>
      </c>
      <c r="BD32" s="1620">
        <f t="shared" ref="BD32:BS32" si="29">BD26+BD31</f>
        <v>-2368939.34</v>
      </c>
      <c r="BE32" s="1620">
        <f t="shared" si="29"/>
        <v>-2688302.56</v>
      </c>
      <c r="BF32" s="1620">
        <f t="shared" si="29"/>
        <v>-3945653.060000001</v>
      </c>
      <c r="BG32" s="1620">
        <f t="shared" si="29"/>
        <v>-5248781.1217416786</v>
      </c>
      <c r="BH32" s="1620">
        <f t="shared" si="29"/>
        <v>-3670415.9913501712</v>
      </c>
      <c r="BI32" s="1620">
        <f t="shared" si="29"/>
        <v>-3490220.8827593243</v>
      </c>
      <c r="BJ32" s="1620">
        <f t="shared" si="29"/>
        <v>-2866479.8741725772</v>
      </c>
      <c r="BK32" s="1620">
        <f t="shared" si="29"/>
        <v>-4825023.8442852842</v>
      </c>
      <c r="BL32" s="1620">
        <f t="shared" si="29"/>
        <v>-3541411.4144703178</v>
      </c>
      <c r="BM32" s="1620">
        <f t="shared" si="29"/>
        <v>-5299155.268914762</v>
      </c>
      <c r="BN32" s="1620">
        <f t="shared" si="29"/>
        <v>-4744152.1022480959</v>
      </c>
      <c r="BO32" s="1620">
        <f t="shared" si="29"/>
        <v>-5797559.768914762</v>
      </c>
      <c r="BP32" s="1620">
        <f t="shared" si="29"/>
        <v>-7667515.1175750624</v>
      </c>
      <c r="BQ32" s="1620">
        <f t="shared" si="29"/>
        <v>-4936562.1175750624</v>
      </c>
      <c r="BR32" s="1620">
        <f t="shared" si="29"/>
        <v>-3366574.4786861734</v>
      </c>
      <c r="BS32" s="1620">
        <f t="shared" si="29"/>
        <v>-3885345.409241729</v>
      </c>
    </row>
    <row r="33" spans="1:71" ht="15.75" thickTop="1">
      <c r="A33" s="1600"/>
      <c r="B33" s="1601"/>
    </row>
    <row r="34" spans="1:71">
      <c r="B34" s="1601"/>
    </row>
    <row r="35" spans="1:71" s="1618" customFormat="1">
      <c r="A35" s="1602" t="s">
        <v>3410</v>
      </c>
      <c r="B35" s="1619">
        <v>0</v>
      </c>
      <c r="C35" s="1619">
        <v>0</v>
      </c>
      <c r="D35" s="1619">
        <v>0</v>
      </c>
      <c r="E35" s="1619">
        <v>0</v>
      </c>
      <c r="F35" s="1619">
        <v>0</v>
      </c>
      <c r="G35" s="1619">
        <v>0</v>
      </c>
      <c r="H35" s="1619">
        <v>0</v>
      </c>
      <c r="I35" s="1619">
        <v>0</v>
      </c>
      <c r="J35" s="1619">
        <v>0</v>
      </c>
      <c r="K35" s="1619">
        <v>0</v>
      </c>
      <c r="L35" s="1619">
        <v>0</v>
      </c>
      <c r="M35" s="1619">
        <v>0</v>
      </c>
      <c r="N35" s="1619">
        <v>0</v>
      </c>
      <c r="O35" s="1619">
        <v>0</v>
      </c>
      <c r="P35" s="1619">
        <v>0</v>
      </c>
      <c r="Q35" s="1619">
        <v>0</v>
      </c>
      <c r="R35" s="1619">
        <v>0</v>
      </c>
      <c r="S35" s="1619">
        <v>0</v>
      </c>
      <c r="T35" s="1619">
        <v>0</v>
      </c>
      <c r="U35" s="1619">
        <v>0</v>
      </c>
      <c r="V35" s="1619">
        <v>0</v>
      </c>
      <c r="W35" s="1619">
        <v>0</v>
      </c>
      <c r="X35" s="1619">
        <v>0</v>
      </c>
      <c r="Y35" s="1619">
        <v>0</v>
      </c>
      <c r="Z35" s="1619">
        <v>0</v>
      </c>
      <c r="AA35" s="1619">
        <v>0</v>
      </c>
      <c r="AB35" s="1619">
        <v>0</v>
      </c>
      <c r="AC35" s="1619">
        <v>0</v>
      </c>
      <c r="AD35" s="1619">
        <v>0</v>
      </c>
      <c r="AE35" s="1619">
        <v>0</v>
      </c>
      <c r="AF35" s="1619">
        <v>0</v>
      </c>
      <c r="AG35" s="1619">
        <v>0</v>
      </c>
      <c r="AH35" s="1619">
        <v>0</v>
      </c>
      <c r="AI35" s="1619">
        <v>0</v>
      </c>
      <c r="AJ35" s="1619">
        <v>0</v>
      </c>
      <c r="AK35" s="1619">
        <v>0</v>
      </c>
      <c r="AL35" s="1619">
        <v>0</v>
      </c>
      <c r="AM35" s="1619">
        <v>0</v>
      </c>
      <c r="AN35" s="1619">
        <v>0</v>
      </c>
      <c r="AO35" s="1619">
        <v>0</v>
      </c>
      <c r="AP35" s="1619">
        <v>0</v>
      </c>
      <c r="AQ35" s="1619">
        <v>0</v>
      </c>
      <c r="AR35" s="1619">
        <v>0</v>
      </c>
      <c r="AS35" s="1619">
        <v>0</v>
      </c>
      <c r="AT35" s="1619">
        <v>0</v>
      </c>
      <c r="AU35" s="1619">
        <v>0</v>
      </c>
      <c r="AV35" s="1619">
        <v>0</v>
      </c>
      <c r="AW35" s="1619">
        <v>0</v>
      </c>
      <c r="AX35" s="1602"/>
      <c r="AY35" s="1602"/>
      <c r="AZ35" s="1602"/>
      <c r="BA35" s="1602"/>
      <c r="BB35" s="1602"/>
      <c r="BC35" s="1602"/>
      <c r="BD35" s="1602"/>
      <c r="BE35" s="1602"/>
      <c r="BF35" s="1602"/>
      <c r="BG35" s="1602"/>
      <c r="BH35" s="1602"/>
      <c r="BI35" s="1602"/>
      <c r="BJ35" s="1602"/>
      <c r="BK35" s="1602"/>
      <c r="BL35" s="1602"/>
      <c r="BM35" s="1602"/>
      <c r="BN35" s="1602"/>
      <c r="BO35" s="1602"/>
      <c r="BP35" s="1602"/>
      <c r="BQ35" s="1602"/>
      <c r="BR35" s="1602"/>
      <c r="BS35" s="1602"/>
    </row>
    <row r="36" spans="1:71" s="1602" customFormat="1" ht="12.75">
      <c r="A36" s="1602" t="s">
        <v>3409</v>
      </c>
      <c r="B36" s="1617">
        <f>-586572.2-B32</f>
        <v>0</v>
      </c>
      <c r="C36" s="1617">
        <f>-967699.71-C32</f>
        <v>0</v>
      </c>
      <c r="D36" s="1617">
        <f>-814667.43-D32</f>
        <v>0</v>
      </c>
      <c r="E36" s="1617">
        <f>-609339.05-E32</f>
        <v>0</v>
      </c>
      <c r="F36" s="1617">
        <f>-1257690.04-F32</f>
        <v>0</v>
      </c>
      <c r="G36" s="1617">
        <f>-821273.47-G32</f>
        <v>0</v>
      </c>
    </row>
  </sheetData>
  <mergeCells count="8">
    <mergeCell ref="BP2:BS2"/>
    <mergeCell ref="BL2:BO2"/>
    <mergeCell ref="B2:M2"/>
    <mergeCell ref="N2:Y2"/>
    <mergeCell ref="Z2:AK2"/>
    <mergeCell ref="BD2:BG2"/>
    <mergeCell ref="BH2:BK2"/>
    <mergeCell ref="AL2:AW2"/>
  </mergeCells>
  <pageMargins left="0.7" right="0.7" top="0.75" bottom="0.75" header="0.3" footer="0.3"/>
  <pageSetup orientation="portrait" r:id="rId1"/>
  <legacy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80">
    <tabColor theme="4"/>
  </sheetPr>
  <dimension ref="A1:CA82"/>
  <sheetViews>
    <sheetView workbookViewId="0">
      <pane xSplit="1" ySplit="3" topLeftCell="B4" activePane="bottomRight" state="frozen"/>
      <selection activeCell="J35" sqref="J35"/>
      <selection pane="topRight" activeCell="J35" sqref="J35"/>
      <selection pane="bottomLeft" activeCell="J35" sqref="J35"/>
      <selection pane="bottomRight" activeCell="B4" sqref="B4"/>
    </sheetView>
  </sheetViews>
  <sheetFormatPr defaultRowHeight="15"/>
  <cols>
    <col min="1" max="1" width="35.5" style="1549" customWidth="1"/>
    <col min="2" max="2" width="13.83203125" style="1601" customWidth="1"/>
    <col min="3" max="38" width="14.83203125" style="1549" customWidth="1"/>
    <col min="39" max="50" width="16" style="1549" customWidth="1"/>
    <col min="51" max="51" width="10.6640625" style="1549" customWidth="1"/>
    <col min="52" max="55" width="16" style="1549" customWidth="1"/>
    <col min="56" max="56" width="10.6640625" style="1549" customWidth="1"/>
    <col min="57" max="72" width="17.1640625" style="1549" customWidth="1"/>
    <col min="73" max="79" width="10.6640625" style="1549" customWidth="1"/>
    <col min="80" max="16384" width="9.33203125" style="1549"/>
  </cols>
  <sheetData>
    <row r="1" spans="1:73">
      <c r="A1" s="1638" t="s">
        <v>3381</v>
      </c>
      <c r="C1" s="1637" t="s">
        <v>690</v>
      </c>
      <c r="D1" s="1637" t="s">
        <v>690</v>
      </c>
      <c r="E1" s="1637" t="s">
        <v>690</v>
      </c>
      <c r="F1" s="1637" t="s">
        <v>690</v>
      </c>
      <c r="G1" s="1637" t="s">
        <v>690</v>
      </c>
      <c r="H1" s="1637" t="s">
        <v>690</v>
      </c>
      <c r="I1" s="1637" t="s">
        <v>690</v>
      </c>
      <c r="J1" s="1637" t="s">
        <v>690</v>
      </c>
      <c r="K1" s="1637" t="s">
        <v>690</v>
      </c>
      <c r="L1" s="1637" t="s">
        <v>690</v>
      </c>
    </row>
    <row r="2" spans="1:73">
      <c r="B2" s="1658">
        <v>43100</v>
      </c>
      <c r="C2" s="2215">
        <v>2018</v>
      </c>
      <c r="D2" s="2214"/>
      <c r="E2" s="2214"/>
      <c r="F2" s="2214"/>
      <c r="G2" s="2214"/>
      <c r="H2" s="2214"/>
      <c r="I2" s="2214"/>
      <c r="J2" s="2214"/>
      <c r="K2" s="2214"/>
      <c r="L2" s="2214"/>
      <c r="M2" s="2214"/>
      <c r="N2" s="2214"/>
      <c r="O2" s="2215">
        <v>2019</v>
      </c>
      <c r="P2" s="2214"/>
      <c r="Q2" s="2214"/>
      <c r="R2" s="2214"/>
      <c r="S2" s="2214"/>
      <c r="T2" s="2214"/>
      <c r="U2" s="2214"/>
      <c r="V2" s="2214"/>
      <c r="W2" s="2214"/>
      <c r="X2" s="2214"/>
      <c r="Y2" s="2214"/>
      <c r="Z2" s="2216"/>
      <c r="AA2" s="2214">
        <v>2020</v>
      </c>
      <c r="AB2" s="2214"/>
      <c r="AC2" s="2214"/>
      <c r="AD2" s="2214"/>
      <c r="AE2" s="2214"/>
      <c r="AF2" s="2214"/>
      <c r="AG2" s="2214"/>
      <c r="AH2" s="2214"/>
      <c r="AI2" s="2214"/>
      <c r="AJ2" s="2214"/>
      <c r="AK2" s="2214"/>
      <c r="AL2" s="2216"/>
      <c r="AM2" s="2214">
        <v>2021</v>
      </c>
      <c r="AN2" s="2214"/>
      <c r="AO2" s="2214"/>
      <c r="AP2" s="2214"/>
      <c r="AQ2" s="2214"/>
      <c r="AR2" s="2214"/>
      <c r="AS2" s="2214"/>
      <c r="AT2" s="2214"/>
      <c r="AU2" s="2214"/>
      <c r="AV2" s="2214"/>
      <c r="AW2" s="2214"/>
      <c r="AX2" s="2216"/>
      <c r="AY2" s="1601"/>
      <c r="AZ2" s="1636">
        <v>2018</v>
      </c>
      <c r="BA2" s="1635">
        <v>2019</v>
      </c>
      <c r="BB2" s="1634">
        <v>2020</v>
      </c>
      <c r="BC2" s="1634">
        <v>2021</v>
      </c>
      <c r="BD2" s="1629"/>
      <c r="BE2" s="2214">
        <v>2018</v>
      </c>
      <c r="BF2" s="2214"/>
      <c r="BG2" s="2214"/>
      <c r="BH2" s="2214"/>
      <c r="BI2" s="2214">
        <v>2019</v>
      </c>
      <c r="BJ2" s="2214"/>
      <c r="BK2" s="2214"/>
      <c r="BL2" s="2214"/>
      <c r="BM2" s="2214">
        <v>2020</v>
      </c>
      <c r="BN2" s="2214"/>
      <c r="BO2" s="2214"/>
      <c r="BP2" s="2214"/>
      <c r="BQ2" s="2214">
        <v>2021</v>
      </c>
      <c r="BR2" s="2214"/>
      <c r="BS2" s="2214"/>
      <c r="BT2" s="2214"/>
    </row>
    <row r="3" spans="1:73">
      <c r="B3" s="1658" t="s">
        <v>690</v>
      </c>
      <c r="C3" s="1657" t="s">
        <v>3432</v>
      </c>
      <c r="D3" s="1656" t="s">
        <v>3431</v>
      </c>
      <c r="E3" s="1656" t="s">
        <v>3430</v>
      </c>
      <c r="F3" s="1656" t="s">
        <v>3429</v>
      </c>
      <c r="G3" s="1656" t="s">
        <v>3428</v>
      </c>
      <c r="H3" s="1656" t="s">
        <v>3427</v>
      </c>
      <c r="I3" s="1656" t="s">
        <v>3426</v>
      </c>
      <c r="J3" s="1656" t="s">
        <v>3425</v>
      </c>
      <c r="K3" s="1656" t="s">
        <v>3424</v>
      </c>
      <c r="L3" s="1656" t="s">
        <v>3423</v>
      </c>
      <c r="M3" s="1581" t="s">
        <v>3422</v>
      </c>
      <c r="N3" s="1628" t="s">
        <v>3421</v>
      </c>
      <c r="O3" s="1581" t="s">
        <v>3432</v>
      </c>
      <c r="P3" s="1581" t="s">
        <v>3431</v>
      </c>
      <c r="Q3" s="1581" t="s">
        <v>3430</v>
      </c>
      <c r="R3" s="1581" t="s">
        <v>3429</v>
      </c>
      <c r="S3" s="1581" t="s">
        <v>3428</v>
      </c>
      <c r="T3" s="1581" t="s">
        <v>3427</v>
      </c>
      <c r="U3" s="1581" t="s">
        <v>3426</v>
      </c>
      <c r="V3" s="1581" t="s">
        <v>3425</v>
      </c>
      <c r="W3" s="1581" t="s">
        <v>3424</v>
      </c>
      <c r="X3" s="1581" t="s">
        <v>3423</v>
      </c>
      <c r="Y3" s="1581" t="s">
        <v>3422</v>
      </c>
      <c r="Z3" s="1628" t="s">
        <v>3421</v>
      </c>
      <c r="AA3" s="1581" t="s">
        <v>3432</v>
      </c>
      <c r="AB3" s="1581" t="s">
        <v>3431</v>
      </c>
      <c r="AC3" s="1581" t="s">
        <v>3430</v>
      </c>
      <c r="AD3" s="1581" t="s">
        <v>3429</v>
      </c>
      <c r="AE3" s="1581" t="s">
        <v>3428</v>
      </c>
      <c r="AF3" s="1581" t="s">
        <v>3427</v>
      </c>
      <c r="AG3" s="1581" t="s">
        <v>3426</v>
      </c>
      <c r="AH3" s="1581" t="s">
        <v>3425</v>
      </c>
      <c r="AI3" s="1581" t="s">
        <v>3424</v>
      </c>
      <c r="AJ3" s="1581" t="s">
        <v>3423</v>
      </c>
      <c r="AK3" s="1581" t="s">
        <v>3422</v>
      </c>
      <c r="AL3" s="1628" t="s">
        <v>3421</v>
      </c>
      <c r="AM3" s="1581" t="s">
        <v>3432</v>
      </c>
      <c r="AN3" s="1581" t="s">
        <v>3431</v>
      </c>
      <c r="AO3" s="1581" t="s">
        <v>3430</v>
      </c>
      <c r="AP3" s="1581" t="s">
        <v>3429</v>
      </c>
      <c r="AQ3" s="1581" t="s">
        <v>3428</v>
      </c>
      <c r="AR3" s="1581" t="s">
        <v>3427</v>
      </c>
      <c r="AS3" s="1581" t="s">
        <v>3426</v>
      </c>
      <c r="AT3" s="1581" t="s">
        <v>3425</v>
      </c>
      <c r="AU3" s="1581" t="s">
        <v>3424</v>
      </c>
      <c r="AV3" s="1581" t="s">
        <v>3423</v>
      </c>
      <c r="AW3" s="1581" t="s">
        <v>3422</v>
      </c>
      <c r="AX3" s="1628" t="s">
        <v>3421</v>
      </c>
      <c r="AY3" s="1601"/>
      <c r="AZ3" s="1632"/>
      <c r="BA3" s="1631"/>
      <c r="BB3" s="1581"/>
      <c r="BC3" s="1581"/>
      <c r="BD3" s="1629"/>
      <c r="BE3" s="1581" t="s">
        <v>3420</v>
      </c>
      <c r="BF3" s="1581" t="s">
        <v>3419</v>
      </c>
      <c r="BG3" s="1581" t="s">
        <v>3418</v>
      </c>
      <c r="BH3" s="1628" t="s">
        <v>3417</v>
      </c>
      <c r="BI3" s="1581" t="s">
        <v>3420</v>
      </c>
      <c r="BJ3" s="1581" t="s">
        <v>3419</v>
      </c>
      <c r="BK3" s="1581" t="s">
        <v>3418</v>
      </c>
      <c r="BL3" s="1628" t="s">
        <v>3417</v>
      </c>
      <c r="BM3" s="1581" t="s">
        <v>3420</v>
      </c>
      <c r="BN3" s="1581" t="s">
        <v>3419</v>
      </c>
      <c r="BO3" s="1581" t="s">
        <v>3418</v>
      </c>
      <c r="BP3" s="1628" t="s">
        <v>3417</v>
      </c>
      <c r="BQ3" s="1581" t="s">
        <v>3420</v>
      </c>
      <c r="BR3" s="1581" t="s">
        <v>3419</v>
      </c>
      <c r="BS3" s="1581" t="s">
        <v>3418</v>
      </c>
      <c r="BT3" s="1628" t="s">
        <v>3417</v>
      </c>
    </row>
    <row r="4" spans="1:73">
      <c r="B4" s="1641"/>
      <c r="C4" s="1653"/>
      <c r="D4" s="1653"/>
      <c r="E4" s="1653"/>
      <c r="F4" s="1653"/>
      <c r="G4" s="1653"/>
      <c r="H4" s="1653"/>
      <c r="I4" s="1653"/>
      <c r="J4" s="1653"/>
      <c r="K4" s="1653"/>
      <c r="L4" s="1653"/>
    </row>
    <row r="5" spans="1:73">
      <c r="A5" s="1602" t="s">
        <v>3383</v>
      </c>
      <c r="B5" s="1655"/>
      <c r="C5" s="1654"/>
      <c r="D5" s="1654"/>
      <c r="E5" s="1653"/>
      <c r="F5" s="1653"/>
      <c r="G5" s="1653"/>
      <c r="H5" s="1653"/>
      <c r="I5" s="1653"/>
      <c r="J5" s="1653"/>
      <c r="K5" s="1653"/>
      <c r="L5" s="1653"/>
    </row>
    <row r="6" spans="1:73">
      <c r="A6" s="1601" t="s">
        <v>3384</v>
      </c>
      <c r="B6" s="1641"/>
      <c r="C6" s="1654"/>
      <c r="D6" s="1654"/>
      <c r="E6" s="1653"/>
      <c r="F6" s="1653"/>
      <c r="G6" s="1653"/>
      <c r="H6" s="1653"/>
      <c r="I6" s="1653"/>
      <c r="J6" s="1653"/>
      <c r="K6" s="1653"/>
      <c r="L6" s="1653"/>
    </row>
    <row r="7" spans="1:73">
      <c r="A7" s="1601" t="s">
        <v>3385</v>
      </c>
      <c r="B7" s="1645">
        <v>27199232.510000002</v>
      </c>
      <c r="C7" s="1646">
        <v>26568865.850000001</v>
      </c>
      <c r="D7" s="1646">
        <v>25050308.23</v>
      </c>
      <c r="E7" s="1646">
        <v>24261385.850000001</v>
      </c>
      <c r="F7" s="1646">
        <v>23612678.079999998</v>
      </c>
      <c r="G7" s="1646">
        <v>22488679.100000001</v>
      </c>
      <c r="H7" s="1646">
        <v>21572440.170000002</v>
      </c>
      <c r="I7" s="1646">
        <v>20670756.710000001</v>
      </c>
      <c r="J7" s="1646">
        <v>18932273.25</v>
      </c>
      <c r="K7" s="1646">
        <f t="shared" ref="K7:AX7" si="0">K49-K10-K11-K12-K13-K16-K17-K18</f>
        <v>18130615.389999993</v>
      </c>
      <c r="L7" s="1646">
        <f t="shared" si="0"/>
        <v>16739838.15</v>
      </c>
      <c r="M7" s="1652">
        <f t="shared" si="0"/>
        <v>15392171.416966835</v>
      </c>
      <c r="N7" s="1652">
        <f t="shared" si="0"/>
        <v>13636309.120085943</v>
      </c>
      <c r="O7" s="1652">
        <f t="shared" si="0"/>
        <v>12086864.928602941</v>
      </c>
      <c r="P7" s="1652">
        <f t="shared" si="0"/>
        <v>10383155.529087329</v>
      </c>
      <c r="Q7" s="1652">
        <f t="shared" si="0"/>
        <v>9341118.8645177688</v>
      </c>
      <c r="R7" s="1652">
        <f t="shared" si="0"/>
        <v>8274046.5237074606</v>
      </c>
      <c r="S7" s="1652">
        <f t="shared" si="0"/>
        <v>6913490.1017823312</v>
      </c>
      <c r="T7" s="1652">
        <f t="shared" si="0"/>
        <v>6372515.6644593254</v>
      </c>
      <c r="U7" s="1652">
        <f t="shared" si="0"/>
        <v>5470186.8736275416</v>
      </c>
      <c r="V7" s="1652">
        <f t="shared" si="0"/>
        <v>4684067.9664027644</v>
      </c>
      <c r="W7" s="1652">
        <f t="shared" si="0"/>
        <v>3873434.2736670747</v>
      </c>
      <c r="X7" s="1652">
        <f t="shared" si="0"/>
        <v>2675201.2484974372</v>
      </c>
      <c r="Y7" s="1652">
        <f t="shared" si="0"/>
        <v>1127479.9993721163</v>
      </c>
      <c r="Z7" s="1652">
        <f t="shared" si="0"/>
        <v>91964.09915100818</v>
      </c>
      <c r="AA7" s="1652">
        <f t="shared" si="0"/>
        <v>-1566142.800656765</v>
      </c>
      <c r="AB7" s="1652">
        <f t="shared" si="0"/>
        <v>-3702515.8476867615</v>
      </c>
      <c r="AC7" s="1652">
        <f t="shared" si="0"/>
        <v>-4808786.6461056471</v>
      </c>
      <c r="AD7" s="1652">
        <f t="shared" si="0"/>
        <v>-6173897.0945245335</v>
      </c>
      <c r="AE7" s="1652">
        <f t="shared" si="0"/>
        <v>-8049784.0707211988</v>
      </c>
      <c r="AF7" s="1652">
        <f t="shared" si="0"/>
        <v>-9356034.0869178604</v>
      </c>
      <c r="AG7" s="1652">
        <f t="shared" si="0"/>
        <v>-10833107.513114523</v>
      </c>
      <c r="AH7" s="1652">
        <f t="shared" si="0"/>
        <v>-12450233.289311187</v>
      </c>
      <c r="AI7" s="1652">
        <f t="shared" si="0"/>
        <v>-13854202.592174519</v>
      </c>
      <c r="AJ7" s="1652">
        <f t="shared" si="0"/>
        <v>-15416148.795037847</v>
      </c>
      <c r="AK7" s="1652">
        <f t="shared" si="0"/>
        <v>-17775974.79790118</v>
      </c>
      <c r="AL7" s="1652">
        <f t="shared" si="0"/>
        <v>-19006777.200764511</v>
      </c>
      <c r="AM7" s="1652">
        <f t="shared" si="0"/>
        <v>-20664189.815681275</v>
      </c>
      <c r="AN7" s="1652">
        <f t="shared" si="0"/>
        <v>-24238188.188931372</v>
      </c>
      <c r="AO7" s="1652">
        <f t="shared" si="0"/>
        <v>-26566950.441348128</v>
      </c>
      <c r="AP7" s="1652">
        <f t="shared" si="0"/>
        <v>-29261286.093764894</v>
      </c>
      <c r="AQ7" s="1652">
        <f t="shared" si="0"/>
        <v>-31147756.746181659</v>
      </c>
      <c r="AR7" s="1652">
        <f t="shared" si="0"/>
        <v>-32305185.398598425</v>
      </c>
      <c r="AS7" s="1652">
        <f t="shared" si="0"/>
        <v>-33275493.051015187</v>
      </c>
      <c r="AT7" s="1652">
        <f t="shared" si="0"/>
        <v>-34180713.099265285</v>
      </c>
      <c r="AU7" s="1652">
        <f t="shared" si="0"/>
        <v>-35056029.014459826</v>
      </c>
      <c r="AV7" s="1652">
        <f t="shared" si="0"/>
        <v>-36222278.401876584</v>
      </c>
      <c r="AW7" s="1652">
        <f t="shared" si="0"/>
        <v>-37567630.367071129</v>
      </c>
      <c r="AX7" s="1652">
        <f t="shared" si="0"/>
        <v>-38419575.537821226</v>
      </c>
      <c r="AZ7" s="1651">
        <f>N7</f>
        <v>13636309.120085943</v>
      </c>
      <c r="BA7" s="1651">
        <f>Z7</f>
        <v>91964.09915100818</v>
      </c>
      <c r="BB7" s="1651">
        <f>AL7</f>
        <v>-19006777.200764511</v>
      </c>
      <c r="BC7" s="1651">
        <f>AX7</f>
        <v>-38419575.537821226</v>
      </c>
      <c r="BD7" s="1601"/>
      <c r="BE7" s="1651">
        <f>E7</f>
        <v>24261385.850000001</v>
      </c>
      <c r="BF7" s="1651">
        <f>H7</f>
        <v>21572440.170000002</v>
      </c>
      <c r="BG7" s="1651">
        <f>K7</f>
        <v>18130615.389999993</v>
      </c>
      <c r="BH7" s="1651">
        <f>N7</f>
        <v>13636309.120085943</v>
      </c>
      <c r="BI7" s="1651">
        <f>Q7</f>
        <v>9341118.8645177688</v>
      </c>
      <c r="BJ7" s="1651">
        <f>T7</f>
        <v>6372515.6644593254</v>
      </c>
      <c r="BK7" s="1651">
        <f>W7</f>
        <v>3873434.2736670747</v>
      </c>
      <c r="BL7" s="1651">
        <f>Z7</f>
        <v>91964.09915100818</v>
      </c>
      <c r="BM7" s="1651">
        <f>AC7</f>
        <v>-4808786.6461056471</v>
      </c>
      <c r="BN7" s="1651">
        <f>AF7</f>
        <v>-9356034.0869178604</v>
      </c>
      <c r="BO7" s="1651">
        <f>AI7</f>
        <v>-13854202.592174519</v>
      </c>
      <c r="BP7" s="1651">
        <f>AL7</f>
        <v>-19006777.200764511</v>
      </c>
      <c r="BQ7" s="1651">
        <f>AO7</f>
        <v>-26566950.441348128</v>
      </c>
      <c r="BR7" s="1651">
        <f>AR7</f>
        <v>-32305185.398598425</v>
      </c>
      <c r="BS7" s="1651">
        <f>AU7</f>
        <v>-35056029.014459826</v>
      </c>
      <c r="BT7" s="1651">
        <f>AX7</f>
        <v>-38419575.537821226</v>
      </c>
      <c r="BU7" s="1601"/>
    </row>
    <row r="8" spans="1:73">
      <c r="A8" s="1601" t="s">
        <v>3386</v>
      </c>
      <c r="B8" s="1643">
        <f t="shared" ref="B8:AG8" si="1">B7</f>
        <v>27199232.510000002</v>
      </c>
      <c r="C8" s="1643">
        <f t="shared" si="1"/>
        <v>26568865.850000001</v>
      </c>
      <c r="D8" s="1643">
        <f t="shared" si="1"/>
        <v>25050308.23</v>
      </c>
      <c r="E8" s="1643">
        <f t="shared" si="1"/>
        <v>24261385.850000001</v>
      </c>
      <c r="F8" s="1643">
        <f t="shared" si="1"/>
        <v>23612678.079999998</v>
      </c>
      <c r="G8" s="1643">
        <f t="shared" si="1"/>
        <v>22488679.100000001</v>
      </c>
      <c r="H8" s="1643">
        <f t="shared" si="1"/>
        <v>21572440.170000002</v>
      </c>
      <c r="I8" s="1643">
        <f t="shared" si="1"/>
        <v>20670756.710000001</v>
      </c>
      <c r="J8" s="1643">
        <f t="shared" si="1"/>
        <v>18932273.25</v>
      </c>
      <c r="K8" s="1643">
        <f t="shared" si="1"/>
        <v>18130615.389999993</v>
      </c>
      <c r="L8" s="1643">
        <f t="shared" si="1"/>
        <v>16739838.15</v>
      </c>
      <c r="M8" s="1603">
        <f t="shared" si="1"/>
        <v>15392171.416966835</v>
      </c>
      <c r="N8" s="1603">
        <f t="shared" si="1"/>
        <v>13636309.120085943</v>
      </c>
      <c r="O8" s="1603">
        <f t="shared" si="1"/>
        <v>12086864.928602941</v>
      </c>
      <c r="P8" s="1603">
        <f t="shared" si="1"/>
        <v>10383155.529087329</v>
      </c>
      <c r="Q8" s="1603">
        <f t="shared" si="1"/>
        <v>9341118.8645177688</v>
      </c>
      <c r="R8" s="1603">
        <f t="shared" si="1"/>
        <v>8274046.5237074606</v>
      </c>
      <c r="S8" s="1603">
        <f t="shared" si="1"/>
        <v>6913490.1017823312</v>
      </c>
      <c r="T8" s="1603">
        <f t="shared" si="1"/>
        <v>6372515.6644593254</v>
      </c>
      <c r="U8" s="1603">
        <f t="shared" si="1"/>
        <v>5470186.8736275416</v>
      </c>
      <c r="V8" s="1603">
        <f t="shared" si="1"/>
        <v>4684067.9664027644</v>
      </c>
      <c r="W8" s="1603">
        <f t="shared" si="1"/>
        <v>3873434.2736670747</v>
      </c>
      <c r="X8" s="1603">
        <f t="shared" si="1"/>
        <v>2675201.2484974372</v>
      </c>
      <c r="Y8" s="1603">
        <f t="shared" si="1"/>
        <v>1127479.9993721163</v>
      </c>
      <c r="Z8" s="1603">
        <f t="shared" si="1"/>
        <v>91964.09915100818</v>
      </c>
      <c r="AA8" s="1603">
        <f t="shared" si="1"/>
        <v>-1566142.800656765</v>
      </c>
      <c r="AB8" s="1603">
        <f t="shared" si="1"/>
        <v>-3702515.8476867615</v>
      </c>
      <c r="AC8" s="1603">
        <f t="shared" si="1"/>
        <v>-4808786.6461056471</v>
      </c>
      <c r="AD8" s="1603">
        <f t="shared" si="1"/>
        <v>-6173897.0945245335</v>
      </c>
      <c r="AE8" s="1603">
        <f t="shared" si="1"/>
        <v>-8049784.0707211988</v>
      </c>
      <c r="AF8" s="1603">
        <f t="shared" si="1"/>
        <v>-9356034.0869178604</v>
      </c>
      <c r="AG8" s="1603">
        <f t="shared" si="1"/>
        <v>-10833107.513114523</v>
      </c>
      <c r="AH8" s="1603">
        <f t="shared" ref="AH8:AX8" si="2">AH7</f>
        <v>-12450233.289311187</v>
      </c>
      <c r="AI8" s="1603">
        <f t="shared" si="2"/>
        <v>-13854202.592174519</v>
      </c>
      <c r="AJ8" s="1603">
        <f t="shared" si="2"/>
        <v>-15416148.795037847</v>
      </c>
      <c r="AK8" s="1603">
        <f t="shared" si="2"/>
        <v>-17775974.79790118</v>
      </c>
      <c r="AL8" s="1603">
        <f t="shared" si="2"/>
        <v>-19006777.200764511</v>
      </c>
      <c r="AM8" s="1603">
        <f t="shared" si="2"/>
        <v>-20664189.815681275</v>
      </c>
      <c r="AN8" s="1603">
        <f t="shared" si="2"/>
        <v>-24238188.188931372</v>
      </c>
      <c r="AO8" s="1603">
        <f t="shared" si="2"/>
        <v>-26566950.441348128</v>
      </c>
      <c r="AP8" s="1603">
        <f t="shared" si="2"/>
        <v>-29261286.093764894</v>
      </c>
      <c r="AQ8" s="1603">
        <f t="shared" si="2"/>
        <v>-31147756.746181659</v>
      </c>
      <c r="AR8" s="1603">
        <f t="shared" si="2"/>
        <v>-32305185.398598425</v>
      </c>
      <c r="AS8" s="1603">
        <f t="shared" si="2"/>
        <v>-33275493.051015187</v>
      </c>
      <c r="AT8" s="1603">
        <f t="shared" si="2"/>
        <v>-34180713.099265285</v>
      </c>
      <c r="AU8" s="1603">
        <f t="shared" si="2"/>
        <v>-35056029.014459826</v>
      </c>
      <c r="AV8" s="1603">
        <f t="shared" si="2"/>
        <v>-36222278.401876584</v>
      </c>
      <c r="AW8" s="1603">
        <f t="shared" si="2"/>
        <v>-37567630.367071129</v>
      </c>
      <c r="AX8" s="1603">
        <f t="shared" si="2"/>
        <v>-38419575.537821226</v>
      </c>
      <c r="AZ8" s="1603">
        <f>AZ7</f>
        <v>13636309.120085943</v>
      </c>
      <c r="BA8" s="1603">
        <f>BA7</f>
        <v>91964.09915100818</v>
      </c>
      <c r="BB8" s="1603">
        <f>BB7</f>
        <v>-19006777.200764511</v>
      </c>
      <c r="BC8" s="1603">
        <f>BC7</f>
        <v>-38419575.537821226</v>
      </c>
      <c r="BD8" s="1601"/>
      <c r="BE8" s="1603">
        <f t="shared" ref="BE8:BT8" si="3">BE7</f>
        <v>24261385.850000001</v>
      </c>
      <c r="BF8" s="1603">
        <f t="shared" si="3"/>
        <v>21572440.170000002</v>
      </c>
      <c r="BG8" s="1603">
        <f t="shared" si="3"/>
        <v>18130615.389999993</v>
      </c>
      <c r="BH8" s="1603">
        <f t="shared" si="3"/>
        <v>13636309.120085943</v>
      </c>
      <c r="BI8" s="1603">
        <f t="shared" si="3"/>
        <v>9341118.8645177688</v>
      </c>
      <c r="BJ8" s="1603">
        <f t="shared" si="3"/>
        <v>6372515.6644593254</v>
      </c>
      <c r="BK8" s="1603">
        <f t="shared" si="3"/>
        <v>3873434.2736670747</v>
      </c>
      <c r="BL8" s="1603">
        <f t="shared" si="3"/>
        <v>91964.09915100818</v>
      </c>
      <c r="BM8" s="1603">
        <f t="shared" si="3"/>
        <v>-4808786.6461056471</v>
      </c>
      <c r="BN8" s="1603">
        <f t="shared" si="3"/>
        <v>-9356034.0869178604</v>
      </c>
      <c r="BO8" s="1603">
        <f t="shared" si="3"/>
        <v>-13854202.592174519</v>
      </c>
      <c r="BP8" s="1603">
        <f t="shared" si="3"/>
        <v>-19006777.200764511</v>
      </c>
      <c r="BQ8" s="1603">
        <f t="shared" si="3"/>
        <v>-26566950.441348128</v>
      </c>
      <c r="BR8" s="1603">
        <f t="shared" si="3"/>
        <v>-32305185.398598425</v>
      </c>
      <c r="BS8" s="1603">
        <f t="shared" si="3"/>
        <v>-35056029.014459826</v>
      </c>
      <c r="BT8" s="1603">
        <f t="shared" si="3"/>
        <v>-38419575.537821226</v>
      </c>
      <c r="BU8" s="1601"/>
    </row>
    <row r="9" spans="1:73">
      <c r="A9" s="1601"/>
      <c r="B9" s="1643"/>
      <c r="C9" s="1643"/>
      <c r="D9" s="1643"/>
      <c r="E9" s="1643"/>
      <c r="F9" s="1643"/>
      <c r="G9" s="1643"/>
      <c r="H9" s="1643"/>
      <c r="I9" s="1643"/>
      <c r="J9" s="1643"/>
      <c r="K9" s="1643"/>
      <c r="L9" s="1643"/>
      <c r="M9" s="1603"/>
      <c r="N9" s="1603"/>
      <c r="O9" s="1603"/>
      <c r="P9" s="1603"/>
      <c r="Q9" s="1603"/>
      <c r="R9" s="1603"/>
      <c r="S9" s="1603"/>
      <c r="T9" s="1603"/>
      <c r="U9" s="1603"/>
      <c r="V9" s="1603"/>
      <c r="W9" s="1603"/>
      <c r="X9" s="1603"/>
      <c r="Y9" s="1603"/>
      <c r="Z9" s="1603"/>
      <c r="AA9" s="1603"/>
      <c r="AB9" s="1603"/>
      <c r="AC9" s="1603"/>
      <c r="AD9" s="1603"/>
      <c r="AE9" s="1603"/>
      <c r="AF9" s="1603"/>
      <c r="AG9" s="1603"/>
      <c r="AH9" s="1603"/>
      <c r="AI9" s="1603"/>
      <c r="AJ9" s="1603"/>
      <c r="AK9" s="1603"/>
      <c r="AL9" s="1603"/>
      <c r="AM9" s="1603"/>
      <c r="AN9" s="1603"/>
      <c r="AO9" s="1603"/>
      <c r="AP9" s="1603"/>
      <c r="AQ9" s="1603"/>
      <c r="AR9" s="1603"/>
      <c r="AS9" s="1603"/>
      <c r="AT9" s="1603"/>
      <c r="AU9" s="1603"/>
      <c r="AV9" s="1603"/>
      <c r="AW9" s="1603"/>
      <c r="AX9" s="1603"/>
      <c r="AZ9" s="1601"/>
      <c r="BA9" s="1601"/>
      <c r="BB9" s="1601"/>
      <c r="BC9" s="1601"/>
      <c r="BD9" s="1601"/>
      <c r="BE9" s="1601"/>
      <c r="BF9" s="1601"/>
      <c r="BG9" s="1601"/>
      <c r="BH9" s="1601"/>
      <c r="BI9" s="1601"/>
      <c r="BJ9" s="1601"/>
      <c r="BK9" s="1601"/>
      <c r="BL9" s="1601"/>
      <c r="BM9" s="1601"/>
      <c r="BN9" s="1601"/>
      <c r="BO9" s="1601"/>
      <c r="BP9" s="1601"/>
      <c r="BQ9" s="1601"/>
      <c r="BR9" s="1601"/>
      <c r="BS9" s="1601"/>
      <c r="BT9" s="1601"/>
      <c r="BU9" s="1601"/>
    </row>
    <row r="10" spans="1:73">
      <c r="A10" s="1601" t="s">
        <v>3387</v>
      </c>
      <c r="B10" s="1643">
        <v>126843.47</v>
      </c>
      <c r="C10" s="1643">
        <v>0</v>
      </c>
      <c r="D10" s="1643">
        <v>0</v>
      </c>
      <c r="E10" s="1643">
        <v>0</v>
      </c>
      <c r="F10" s="1643">
        <v>0</v>
      </c>
      <c r="G10" s="1643">
        <v>0</v>
      </c>
      <c r="H10" s="1643">
        <v>0</v>
      </c>
      <c r="I10" s="1643">
        <v>0</v>
      </c>
      <c r="J10" s="1643">
        <v>0</v>
      </c>
      <c r="K10" s="1643">
        <v>165299.07999999999</v>
      </c>
      <c r="L10" s="1643">
        <v>165299.07999999999</v>
      </c>
      <c r="M10" s="1603">
        <v>197887.06999999998</v>
      </c>
      <c r="N10" s="1603">
        <v>197887.06999999998</v>
      </c>
      <c r="O10" s="1603">
        <v>196799.56999999998</v>
      </c>
      <c r="P10" s="1603">
        <v>196799.56999999998</v>
      </c>
      <c r="Q10" s="1603">
        <v>196799.56999999998</v>
      </c>
      <c r="R10" s="1603">
        <v>188317.06999999998</v>
      </c>
      <c r="S10" s="1603">
        <v>188317.06999999998</v>
      </c>
      <c r="T10" s="1603">
        <v>165299.07999999999</v>
      </c>
      <c r="U10" s="1603">
        <v>165299.07999999999</v>
      </c>
      <c r="V10" s="1603">
        <v>165299.07999999999</v>
      </c>
      <c r="W10" s="1603">
        <v>165299.07999999999</v>
      </c>
      <c r="X10" s="1603">
        <v>165299.07999999999</v>
      </c>
      <c r="Y10" s="1603">
        <v>165299.07999999999</v>
      </c>
      <c r="Z10" s="1603">
        <v>165299.07999999999</v>
      </c>
      <c r="AA10" s="1603">
        <v>165299.07999999999</v>
      </c>
      <c r="AB10" s="1603">
        <v>165299.07999999999</v>
      </c>
      <c r="AC10" s="1603">
        <v>165299.07999999999</v>
      </c>
      <c r="AD10" s="1603">
        <v>165299.07999999999</v>
      </c>
      <c r="AE10" s="1603">
        <v>165299.07999999999</v>
      </c>
      <c r="AF10" s="1603">
        <v>165299.07999999999</v>
      </c>
      <c r="AG10" s="1603">
        <v>165299.07999999999</v>
      </c>
      <c r="AH10" s="1603">
        <v>165299.07999999999</v>
      </c>
      <c r="AI10" s="1603">
        <v>165299.07999999999</v>
      </c>
      <c r="AJ10" s="1603">
        <v>165299.07999999999</v>
      </c>
      <c r="AK10" s="1603">
        <v>165299.07999999999</v>
      </c>
      <c r="AL10" s="1603">
        <v>165299.07999999999</v>
      </c>
      <c r="AM10" s="1603">
        <v>165299.07999999999</v>
      </c>
      <c r="AN10" s="1603">
        <v>165299.07999999999</v>
      </c>
      <c r="AO10" s="1603">
        <v>165299.07999999999</v>
      </c>
      <c r="AP10" s="1603">
        <v>165299.07999999999</v>
      </c>
      <c r="AQ10" s="1603">
        <v>165299.07999999999</v>
      </c>
      <c r="AR10" s="1603">
        <v>165299.07999999999</v>
      </c>
      <c r="AS10" s="1603">
        <v>165299.07999999999</v>
      </c>
      <c r="AT10" s="1603">
        <v>165299.07999999999</v>
      </c>
      <c r="AU10" s="1603">
        <v>165299.07999999999</v>
      </c>
      <c r="AV10" s="1603">
        <v>165299.07999999999</v>
      </c>
      <c r="AW10" s="1603">
        <v>165299.07999999999</v>
      </c>
      <c r="AX10" s="1603">
        <v>165299.07999999999</v>
      </c>
      <c r="AZ10" s="1586">
        <f>N10</f>
        <v>197887.06999999998</v>
      </c>
      <c r="BA10" s="1586">
        <f>Z10</f>
        <v>165299.07999999999</v>
      </c>
      <c r="BB10" s="1586">
        <f>AL10</f>
        <v>165299.07999999999</v>
      </c>
      <c r="BC10" s="1586">
        <f>AX10</f>
        <v>165299.07999999999</v>
      </c>
      <c r="BD10" s="1586"/>
      <c r="BE10" s="1586">
        <f>E10</f>
        <v>0</v>
      </c>
      <c r="BF10" s="1586">
        <f>H10</f>
        <v>0</v>
      </c>
      <c r="BG10" s="1586">
        <f>K10</f>
        <v>165299.07999999999</v>
      </c>
      <c r="BH10" s="1586">
        <f>N10</f>
        <v>197887.06999999998</v>
      </c>
      <c r="BI10" s="1586">
        <f>Q10</f>
        <v>196799.56999999998</v>
      </c>
      <c r="BJ10" s="1586">
        <f>T10</f>
        <v>165299.07999999999</v>
      </c>
      <c r="BK10" s="1586">
        <f>W10</f>
        <v>165299.07999999999</v>
      </c>
      <c r="BL10" s="1586">
        <f>Z10</f>
        <v>165299.07999999999</v>
      </c>
      <c r="BM10" s="1586">
        <f>AC10</f>
        <v>165299.07999999999</v>
      </c>
      <c r="BN10" s="1586">
        <f>AF10</f>
        <v>165299.07999999999</v>
      </c>
      <c r="BO10" s="1586">
        <f>AI10</f>
        <v>165299.07999999999</v>
      </c>
      <c r="BP10" s="1586">
        <f>AL10</f>
        <v>165299.07999999999</v>
      </c>
      <c r="BQ10" s="1586">
        <f>AO10</f>
        <v>165299.07999999999</v>
      </c>
      <c r="BR10" s="1586">
        <f>AR10</f>
        <v>165299.07999999999</v>
      </c>
      <c r="BS10" s="1586">
        <f>AU10</f>
        <v>165299.07999999999</v>
      </c>
      <c r="BT10" s="1586">
        <f>AX10</f>
        <v>165299.07999999999</v>
      </c>
      <c r="BU10" s="1601"/>
    </row>
    <row r="11" spans="1:73">
      <c r="A11" s="1601" t="s">
        <v>3448</v>
      </c>
      <c r="B11" s="1643">
        <v>48900</v>
      </c>
      <c r="C11" s="1647">
        <v>61170.92</v>
      </c>
      <c r="D11" s="1647">
        <v>102511.65</v>
      </c>
      <c r="E11" s="1647">
        <v>106911.65</v>
      </c>
      <c r="F11" s="1647">
        <v>63550</v>
      </c>
      <c r="G11" s="1647">
        <v>83658.570000000007</v>
      </c>
      <c r="H11" s="1647">
        <v>101584.41</v>
      </c>
      <c r="I11" s="1647">
        <v>101584.41</v>
      </c>
      <c r="J11" s="1647">
        <v>101584.41</v>
      </c>
      <c r="K11" s="1643">
        <v>101584.41</v>
      </c>
      <c r="L11" s="1643">
        <v>100171.25</v>
      </c>
      <c r="M11" s="1603">
        <v>109726.80555555556</v>
      </c>
      <c r="N11" s="1603">
        <v>138393.47222222222</v>
      </c>
      <c r="O11" s="1603">
        <v>151830.97222222222</v>
      </c>
      <c r="P11" s="1603">
        <v>151830.97222222222</v>
      </c>
      <c r="Q11" s="1603">
        <v>173330.97222222222</v>
      </c>
      <c r="R11" s="1603">
        <v>173330.97222222222</v>
      </c>
      <c r="S11" s="1603">
        <v>173330.97222222222</v>
      </c>
      <c r="T11" s="1603">
        <v>184080.97222222222</v>
      </c>
      <c r="U11" s="1603">
        <v>184080.97222222222</v>
      </c>
      <c r="V11" s="1603">
        <v>203490.69444444444</v>
      </c>
      <c r="W11" s="1603">
        <v>219018.47222222222</v>
      </c>
      <c r="X11" s="1603">
        <v>234247.63888888888</v>
      </c>
      <c r="Y11" s="1603">
        <v>234247.63888888888</v>
      </c>
      <c r="Z11" s="1603">
        <v>234247.63888888888</v>
      </c>
      <c r="AA11" s="1603">
        <v>236636.52777777775</v>
      </c>
      <c r="AB11" s="1603">
        <v>236636.52777777775</v>
      </c>
      <c r="AC11" s="1603">
        <v>268289.3055555555</v>
      </c>
      <c r="AD11" s="1603">
        <v>268289.3055555555</v>
      </c>
      <c r="AE11" s="1603">
        <v>268289.3055555555</v>
      </c>
      <c r="AF11" s="1603">
        <v>268289.3055555555</v>
      </c>
      <c r="AG11" s="1603">
        <v>268289.3055555555</v>
      </c>
      <c r="AH11" s="1603">
        <v>268289.3055555555</v>
      </c>
      <c r="AI11" s="1603">
        <v>268289.3055555555</v>
      </c>
      <c r="AJ11" s="1603">
        <v>268289.3055555555</v>
      </c>
      <c r="AK11" s="1603">
        <v>268289.3055555555</v>
      </c>
      <c r="AL11" s="1603">
        <v>268289.3055555555</v>
      </c>
      <c r="AM11" s="1603">
        <v>268289.3055555555</v>
      </c>
      <c r="AN11" s="1603">
        <v>268289.3055555555</v>
      </c>
      <c r="AO11" s="1603">
        <v>268289.3055555555</v>
      </c>
      <c r="AP11" s="1603">
        <v>268289.3055555555</v>
      </c>
      <c r="AQ11" s="1603">
        <v>268289.3055555555</v>
      </c>
      <c r="AR11" s="1603">
        <v>268289.3055555555</v>
      </c>
      <c r="AS11" s="1603">
        <v>268289.3055555555</v>
      </c>
      <c r="AT11" s="1603">
        <v>237830.97222222216</v>
      </c>
      <c r="AU11" s="1603">
        <v>230664.3055555555</v>
      </c>
      <c r="AV11" s="1603">
        <v>230664.3055555555</v>
      </c>
      <c r="AW11" s="1603">
        <v>221108.74999999994</v>
      </c>
      <c r="AX11" s="1603">
        <v>221108.74999999994</v>
      </c>
      <c r="AZ11" s="1586">
        <f>N11</f>
        <v>138393.47222222222</v>
      </c>
      <c r="BA11" s="1586">
        <f>Z11</f>
        <v>234247.63888888888</v>
      </c>
      <c r="BB11" s="1586">
        <f>AL11</f>
        <v>268289.3055555555</v>
      </c>
      <c r="BC11" s="1586">
        <f>AX11</f>
        <v>221108.74999999994</v>
      </c>
      <c r="BD11" s="1586"/>
      <c r="BE11" s="1586">
        <f>E11</f>
        <v>106911.65</v>
      </c>
      <c r="BF11" s="1586">
        <f>H11</f>
        <v>101584.41</v>
      </c>
      <c r="BG11" s="1586">
        <f>K11</f>
        <v>101584.41</v>
      </c>
      <c r="BH11" s="1586">
        <f>N11</f>
        <v>138393.47222222222</v>
      </c>
      <c r="BI11" s="1586">
        <f>Q11</f>
        <v>173330.97222222222</v>
      </c>
      <c r="BJ11" s="1586">
        <f>T11</f>
        <v>184080.97222222222</v>
      </c>
      <c r="BK11" s="1586">
        <f>W11</f>
        <v>219018.47222222222</v>
      </c>
      <c r="BL11" s="1586">
        <f>Z11</f>
        <v>234247.63888888888</v>
      </c>
      <c r="BM11" s="1586">
        <f>AC11</f>
        <v>268289.3055555555</v>
      </c>
      <c r="BN11" s="1586">
        <f>AF11</f>
        <v>268289.3055555555</v>
      </c>
      <c r="BO11" s="1586">
        <f>AI11</f>
        <v>268289.3055555555</v>
      </c>
      <c r="BP11" s="1586">
        <f>AL11</f>
        <v>268289.3055555555</v>
      </c>
      <c r="BQ11" s="1586">
        <f>AO11</f>
        <v>268289.3055555555</v>
      </c>
      <c r="BR11" s="1586">
        <f>AR11</f>
        <v>268289.3055555555</v>
      </c>
      <c r="BS11" s="1586">
        <f>AU11</f>
        <v>230664.3055555555</v>
      </c>
      <c r="BT11" s="1586">
        <f>AX11</f>
        <v>221108.74999999994</v>
      </c>
      <c r="BU11" s="1601"/>
    </row>
    <row r="12" spans="1:73">
      <c r="A12" s="1601" t="s">
        <v>3447</v>
      </c>
      <c r="B12" s="1643">
        <v>567969.76</v>
      </c>
      <c r="C12" s="1647">
        <v>572157.58000000007</v>
      </c>
      <c r="D12" s="1647">
        <v>569908.94000000006</v>
      </c>
      <c r="E12" s="1647">
        <v>651672.69000000006</v>
      </c>
      <c r="F12" s="1647">
        <v>709228.83000000007</v>
      </c>
      <c r="G12" s="1647">
        <v>722596.55</v>
      </c>
      <c r="H12" s="1647">
        <v>766197.77</v>
      </c>
      <c r="I12" s="1647">
        <v>756759.33000000007</v>
      </c>
      <c r="J12" s="1647">
        <v>706594.52</v>
      </c>
      <c r="K12" s="1643">
        <v>637415.6</v>
      </c>
      <c r="L12" s="1643">
        <v>579361.70000000007</v>
      </c>
      <c r="M12" s="1603">
        <v>568361.70000000007</v>
      </c>
      <c r="N12" s="1603">
        <v>557361.70000000007</v>
      </c>
      <c r="O12" s="1603">
        <v>546361.70000000007</v>
      </c>
      <c r="P12" s="1603">
        <v>535361.70000000007</v>
      </c>
      <c r="Q12" s="1603">
        <v>524361.70000000007</v>
      </c>
      <c r="R12" s="1603">
        <v>513361.70000000007</v>
      </c>
      <c r="S12" s="1603">
        <v>502361.70000000007</v>
      </c>
      <c r="T12" s="1603">
        <v>491361.70000000007</v>
      </c>
      <c r="U12" s="1603">
        <v>480361.70000000007</v>
      </c>
      <c r="V12" s="1603">
        <v>469361.70000000007</v>
      </c>
      <c r="W12" s="1603">
        <v>458361.70000000007</v>
      </c>
      <c r="X12" s="1603">
        <v>447361.70000000007</v>
      </c>
      <c r="Y12" s="1603">
        <v>436361.70000000007</v>
      </c>
      <c r="Z12" s="1603">
        <v>425361.70000000007</v>
      </c>
      <c r="AA12" s="1603">
        <v>425361.70000000007</v>
      </c>
      <c r="AB12" s="1603">
        <v>425361.70000000007</v>
      </c>
      <c r="AC12" s="1603">
        <v>425361.70000000007</v>
      </c>
      <c r="AD12" s="1603">
        <v>425361.70000000007</v>
      </c>
      <c r="AE12" s="1603">
        <v>425361.70000000007</v>
      </c>
      <c r="AF12" s="1603">
        <v>425361.70000000007</v>
      </c>
      <c r="AG12" s="1603">
        <v>425361.70000000007</v>
      </c>
      <c r="AH12" s="1603">
        <v>425361.70000000007</v>
      </c>
      <c r="AI12" s="1603">
        <v>425361.70000000007</v>
      </c>
      <c r="AJ12" s="1603">
        <v>425361.70000000007</v>
      </c>
      <c r="AK12" s="1603">
        <v>425361.70000000007</v>
      </c>
      <c r="AL12" s="1603">
        <v>425361.70000000007</v>
      </c>
      <c r="AM12" s="1603">
        <v>425361.70000000007</v>
      </c>
      <c r="AN12" s="1603">
        <v>425361.70000000007</v>
      </c>
      <c r="AO12" s="1603">
        <v>425361.70000000007</v>
      </c>
      <c r="AP12" s="1603">
        <v>425361.70000000007</v>
      </c>
      <c r="AQ12" s="1603">
        <v>425361.70000000007</v>
      </c>
      <c r="AR12" s="1603">
        <v>425361.70000000007</v>
      </c>
      <c r="AS12" s="1603">
        <v>425361.70000000007</v>
      </c>
      <c r="AT12" s="1603">
        <v>425361.70000000007</v>
      </c>
      <c r="AU12" s="1603">
        <v>425361.70000000007</v>
      </c>
      <c r="AV12" s="1603">
        <v>425361.70000000007</v>
      </c>
      <c r="AW12" s="1603">
        <v>425361.70000000007</v>
      </c>
      <c r="AX12" s="1603">
        <v>425361.70000000007</v>
      </c>
      <c r="AZ12" s="1586">
        <f>N12</f>
        <v>557361.70000000007</v>
      </c>
      <c r="BA12" s="1586">
        <f>Z12</f>
        <v>425361.70000000007</v>
      </c>
      <c r="BB12" s="1586">
        <f>AL12</f>
        <v>425361.70000000007</v>
      </c>
      <c r="BC12" s="1586">
        <f>AX12</f>
        <v>425361.70000000007</v>
      </c>
      <c r="BD12" s="1586"/>
      <c r="BE12" s="1586">
        <f>E12</f>
        <v>651672.69000000006</v>
      </c>
      <c r="BF12" s="1586">
        <f>H12</f>
        <v>766197.77</v>
      </c>
      <c r="BG12" s="1586">
        <f>K12</f>
        <v>637415.6</v>
      </c>
      <c r="BH12" s="1586">
        <f>N12</f>
        <v>557361.70000000007</v>
      </c>
      <c r="BI12" s="1586">
        <f>Q12</f>
        <v>524361.70000000007</v>
      </c>
      <c r="BJ12" s="1586">
        <f>T12</f>
        <v>491361.70000000007</v>
      </c>
      <c r="BK12" s="1586">
        <f>W12</f>
        <v>458361.70000000007</v>
      </c>
      <c r="BL12" s="1586">
        <f>Z12</f>
        <v>425361.70000000007</v>
      </c>
      <c r="BM12" s="1586">
        <f>AC12</f>
        <v>425361.70000000007</v>
      </c>
      <c r="BN12" s="1586">
        <f>AF12</f>
        <v>425361.70000000007</v>
      </c>
      <c r="BO12" s="1586">
        <f>AI12</f>
        <v>425361.70000000007</v>
      </c>
      <c r="BP12" s="1586">
        <f>AL12</f>
        <v>425361.70000000007</v>
      </c>
      <c r="BQ12" s="1586">
        <f>AO12</f>
        <v>425361.70000000007</v>
      </c>
      <c r="BR12" s="1586">
        <f>AR12</f>
        <v>425361.70000000007</v>
      </c>
      <c r="BS12" s="1586">
        <f>AU12</f>
        <v>425361.70000000007</v>
      </c>
      <c r="BT12" s="1586">
        <f>AX12</f>
        <v>425361.70000000007</v>
      </c>
      <c r="BU12" s="1601"/>
    </row>
    <row r="13" spans="1:73">
      <c r="A13" s="1601" t="s">
        <v>3389</v>
      </c>
      <c r="B13" s="1643">
        <v>70000</v>
      </c>
      <c r="C13" s="1646">
        <v>70000</v>
      </c>
      <c r="D13" s="1646">
        <v>363396.44</v>
      </c>
      <c r="E13" s="1646">
        <v>363396.44</v>
      </c>
      <c r="F13" s="1646">
        <v>363396.44</v>
      </c>
      <c r="G13" s="1646">
        <v>363396.44</v>
      </c>
      <c r="H13" s="1646">
        <v>363396.44</v>
      </c>
      <c r="I13" s="1646">
        <v>363396.44</v>
      </c>
      <c r="J13" s="1646">
        <v>363396.44</v>
      </c>
      <c r="K13" s="1645">
        <v>363396.44</v>
      </c>
      <c r="L13" s="1645">
        <v>363396.44</v>
      </c>
      <c r="M13" s="1627">
        <v>363396.44</v>
      </c>
      <c r="N13" s="1627">
        <v>363396.44</v>
      </c>
      <c r="O13" s="1627">
        <v>363396.44</v>
      </c>
      <c r="P13" s="1627">
        <v>363396.44</v>
      </c>
      <c r="Q13" s="1627">
        <v>363396.44</v>
      </c>
      <c r="R13" s="1627">
        <v>363396.44</v>
      </c>
      <c r="S13" s="1627">
        <v>363396.44</v>
      </c>
      <c r="T13" s="1627">
        <v>363396.44</v>
      </c>
      <c r="U13" s="1627">
        <v>363396.44</v>
      </c>
      <c r="V13" s="1627">
        <v>363396.44</v>
      </c>
      <c r="W13" s="1627">
        <v>363396.44</v>
      </c>
      <c r="X13" s="1627">
        <v>363396.44</v>
      </c>
      <c r="Y13" s="1627">
        <v>363396.44</v>
      </c>
      <c r="Z13" s="1627">
        <v>363396.44</v>
      </c>
      <c r="AA13" s="1627">
        <v>363396.44</v>
      </c>
      <c r="AB13" s="1627">
        <v>363396.44</v>
      </c>
      <c r="AC13" s="1627">
        <v>363396.44</v>
      </c>
      <c r="AD13" s="1627">
        <v>363396.44</v>
      </c>
      <c r="AE13" s="1627">
        <v>363396.44</v>
      </c>
      <c r="AF13" s="1627">
        <v>363396.44</v>
      </c>
      <c r="AG13" s="1627">
        <v>363396.44</v>
      </c>
      <c r="AH13" s="1627">
        <v>363396.44</v>
      </c>
      <c r="AI13" s="1627">
        <v>363396.44</v>
      </c>
      <c r="AJ13" s="1627">
        <v>363396.44</v>
      </c>
      <c r="AK13" s="1627">
        <v>363396.44</v>
      </c>
      <c r="AL13" s="1627">
        <v>363396.44</v>
      </c>
      <c r="AM13" s="1627">
        <v>363396.44</v>
      </c>
      <c r="AN13" s="1627">
        <v>363396.44</v>
      </c>
      <c r="AO13" s="1627">
        <v>363396.44</v>
      </c>
      <c r="AP13" s="1627">
        <v>363396.44</v>
      </c>
      <c r="AQ13" s="1627">
        <v>363396.44</v>
      </c>
      <c r="AR13" s="1627">
        <v>363396.44</v>
      </c>
      <c r="AS13" s="1627">
        <v>363396.44</v>
      </c>
      <c r="AT13" s="1627">
        <v>363396.44</v>
      </c>
      <c r="AU13" s="1627">
        <v>363396.44</v>
      </c>
      <c r="AV13" s="1627">
        <v>363396.44</v>
      </c>
      <c r="AW13" s="1627">
        <v>363396.44</v>
      </c>
      <c r="AX13" s="1627">
        <v>363396.44</v>
      </c>
      <c r="AZ13" s="1624">
        <f>N13</f>
        <v>363396.44</v>
      </c>
      <c r="BA13" s="1624">
        <f>Z13</f>
        <v>363396.44</v>
      </c>
      <c r="BB13" s="1624">
        <f>AL13</f>
        <v>363396.44</v>
      </c>
      <c r="BC13" s="1624">
        <f>AX13</f>
        <v>363396.44</v>
      </c>
      <c r="BD13" s="1586"/>
      <c r="BE13" s="1624">
        <f>E13</f>
        <v>363396.44</v>
      </c>
      <c r="BF13" s="1624">
        <f>H13</f>
        <v>363396.44</v>
      </c>
      <c r="BG13" s="1624">
        <f>K13</f>
        <v>363396.44</v>
      </c>
      <c r="BH13" s="1624">
        <f>N13</f>
        <v>363396.44</v>
      </c>
      <c r="BI13" s="1624">
        <f>Q13</f>
        <v>363396.44</v>
      </c>
      <c r="BJ13" s="1624">
        <f>T13</f>
        <v>363396.44</v>
      </c>
      <c r="BK13" s="1624">
        <f>W13</f>
        <v>363396.44</v>
      </c>
      <c r="BL13" s="1624">
        <f>Z13</f>
        <v>363396.44</v>
      </c>
      <c r="BM13" s="1624">
        <f>AC13</f>
        <v>363396.44</v>
      </c>
      <c r="BN13" s="1624">
        <f>AF13</f>
        <v>363396.44</v>
      </c>
      <c r="BO13" s="1624">
        <f>AI13</f>
        <v>363396.44</v>
      </c>
      <c r="BP13" s="1624">
        <f>AL13</f>
        <v>363396.44</v>
      </c>
      <c r="BQ13" s="1624">
        <f>AO13</f>
        <v>363396.44</v>
      </c>
      <c r="BR13" s="1624">
        <f>AR13</f>
        <v>363396.44</v>
      </c>
      <c r="BS13" s="1624">
        <f>AU13</f>
        <v>363396.44</v>
      </c>
      <c r="BT13" s="1624">
        <f>AX13</f>
        <v>363396.44</v>
      </c>
      <c r="BU13" s="1601"/>
    </row>
    <row r="14" spans="1:73">
      <c r="A14" s="1601" t="s">
        <v>224</v>
      </c>
      <c r="B14" s="1644">
        <f t="shared" ref="B14:AG14" si="4">SUM(B8:B13)</f>
        <v>28012945.740000002</v>
      </c>
      <c r="C14" s="1643">
        <f t="shared" si="4"/>
        <v>27272194.350000001</v>
      </c>
      <c r="D14" s="1643">
        <f t="shared" si="4"/>
        <v>26086125.260000002</v>
      </c>
      <c r="E14" s="1643">
        <f t="shared" si="4"/>
        <v>25383366.630000003</v>
      </c>
      <c r="F14" s="1643">
        <f t="shared" si="4"/>
        <v>24748853.349999998</v>
      </c>
      <c r="G14" s="1643">
        <f t="shared" si="4"/>
        <v>23658330.660000004</v>
      </c>
      <c r="H14" s="1643">
        <f t="shared" si="4"/>
        <v>22803618.790000003</v>
      </c>
      <c r="I14" s="1643">
        <f t="shared" si="4"/>
        <v>21892496.890000004</v>
      </c>
      <c r="J14" s="1643">
        <f t="shared" si="4"/>
        <v>20103848.620000001</v>
      </c>
      <c r="K14" s="1643">
        <f t="shared" si="4"/>
        <v>19398310.919999994</v>
      </c>
      <c r="L14" s="1643">
        <f t="shared" si="4"/>
        <v>17948066.620000001</v>
      </c>
      <c r="M14" s="1603">
        <f t="shared" si="4"/>
        <v>16631543.43252239</v>
      </c>
      <c r="N14" s="1603">
        <f t="shared" si="4"/>
        <v>14893347.802308165</v>
      </c>
      <c r="O14" s="1603">
        <f t="shared" si="4"/>
        <v>13345253.610825162</v>
      </c>
      <c r="P14" s="1603">
        <f t="shared" si="4"/>
        <v>11630544.21130955</v>
      </c>
      <c r="Q14" s="1603">
        <f t="shared" si="4"/>
        <v>10599007.54673999</v>
      </c>
      <c r="R14" s="1603">
        <f t="shared" si="4"/>
        <v>9512452.7059296817</v>
      </c>
      <c r="S14" s="1603">
        <f t="shared" si="4"/>
        <v>8140896.2840045542</v>
      </c>
      <c r="T14" s="1603">
        <f t="shared" si="4"/>
        <v>7576653.8566815481</v>
      </c>
      <c r="U14" s="1603">
        <f t="shared" si="4"/>
        <v>6663325.0658497643</v>
      </c>
      <c r="V14" s="1603">
        <f t="shared" si="4"/>
        <v>5885615.8808472091</v>
      </c>
      <c r="W14" s="1603">
        <f t="shared" si="4"/>
        <v>5079509.9658892974</v>
      </c>
      <c r="X14" s="1603">
        <f t="shared" si="4"/>
        <v>3885506.1073863264</v>
      </c>
      <c r="Y14" s="1603">
        <f t="shared" si="4"/>
        <v>2326784.8582610055</v>
      </c>
      <c r="Z14" s="1603">
        <f t="shared" si="4"/>
        <v>1280268.958039897</v>
      </c>
      <c r="AA14" s="1603">
        <f t="shared" si="4"/>
        <v>-375449.0528789871</v>
      </c>
      <c r="AB14" s="1603">
        <f t="shared" si="4"/>
        <v>-2511822.0999089838</v>
      </c>
      <c r="AC14" s="1603">
        <f t="shared" si="4"/>
        <v>-3586440.1205500909</v>
      </c>
      <c r="AD14" s="1603">
        <f t="shared" si="4"/>
        <v>-4951550.5689689778</v>
      </c>
      <c r="AE14" s="1603">
        <f t="shared" si="4"/>
        <v>-6827437.5451656431</v>
      </c>
      <c r="AF14" s="1603">
        <f t="shared" si="4"/>
        <v>-8133687.5613623047</v>
      </c>
      <c r="AG14" s="1603">
        <f t="shared" si="4"/>
        <v>-9610760.9875589684</v>
      </c>
      <c r="AH14" s="1603">
        <f t="shared" ref="AH14:AX14" si="5">SUM(AH8:AH13)</f>
        <v>-11227886.763755633</v>
      </c>
      <c r="AI14" s="1603">
        <f t="shared" si="5"/>
        <v>-12631856.066618964</v>
      </c>
      <c r="AJ14" s="1603">
        <f t="shared" si="5"/>
        <v>-14193802.269482292</v>
      </c>
      <c r="AK14" s="1603">
        <f t="shared" si="5"/>
        <v>-16553628.272345627</v>
      </c>
      <c r="AL14" s="1603">
        <f t="shared" si="5"/>
        <v>-17784430.675208956</v>
      </c>
      <c r="AM14" s="1603">
        <f t="shared" si="5"/>
        <v>-19441843.29012572</v>
      </c>
      <c r="AN14" s="1603">
        <f t="shared" si="5"/>
        <v>-23015841.663375817</v>
      </c>
      <c r="AO14" s="1603">
        <f t="shared" si="5"/>
        <v>-25344603.915792573</v>
      </c>
      <c r="AP14" s="1603">
        <f t="shared" si="5"/>
        <v>-28038939.568209339</v>
      </c>
      <c r="AQ14" s="1603">
        <f t="shared" si="5"/>
        <v>-29925410.220626105</v>
      </c>
      <c r="AR14" s="1603">
        <f t="shared" si="5"/>
        <v>-31082838.87304287</v>
      </c>
      <c r="AS14" s="1603">
        <f t="shared" si="5"/>
        <v>-32053146.525459632</v>
      </c>
      <c r="AT14" s="1603">
        <f t="shared" si="5"/>
        <v>-32988824.907043062</v>
      </c>
      <c r="AU14" s="1603">
        <f t="shared" si="5"/>
        <v>-33871307.488904275</v>
      </c>
      <c r="AV14" s="1603">
        <f t="shared" si="5"/>
        <v>-35037556.876321033</v>
      </c>
      <c r="AW14" s="1603">
        <f t="shared" si="5"/>
        <v>-36392464.397071131</v>
      </c>
      <c r="AX14" s="1603">
        <f t="shared" si="5"/>
        <v>-37244409.567821227</v>
      </c>
      <c r="AZ14" s="1603">
        <f>SUM(AZ8:AZ13)</f>
        <v>14893347.802308165</v>
      </c>
      <c r="BA14" s="1603">
        <f>SUM(BA8:BA13)</f>
        <v>1280268.958039897</v>
      </c>
      <c r="BB14" s="1603">
        <f>SUM(BB8:BB13)</f>
        <v>-17784430.675208956</v>
      </c>
      <c r="BC14" s="1603">
        <f>SUM(BC8:BC13)</f>
        <v>-37244409.567821227</v>
      </c>
      <c r="BD14" s="1601"/>
      <c r="BE14" s="1603">
        <f t="shared" ref="BE14:BT14" si="6">SUM(BE8:BE13)</f>
        <v>25383366.630000003</v>
      </c>
      <c r="BF14" s="1603">
        <f t="shared" si="6"/>
        <v>22803618.790000003</v>
      </c>
      <c r="BG14" s="1603">
        <f t="shared" si="6"/>
        <v>19398310.919999994</v>
      </c>
      <c r="BH14" s="1603">
        <f t="shared" si="6"/>
        <v>14893347.802308165</v>
      </c>
      <c r="BI14" s="1603">
        <f t="shared" si="6"/>
        <v>10599007.54673999</v>
      </c>
      <c r="BJ14" s="1603">
        <f t="shared" si="6"/>
        <v>7576653.8566815481</v>
      </c>
      <c r="BK14" s="1603">
        <f t="shared" si="6"/>
        <v>5079509.9658892974</v>
      </c>
      <c r="BL14" s="1603">
        <f t="shared" si="6"/>
        <v>1280268.958039897</v>
      </c>
      <c r="BM14" s="1603">
        <f t="shared" si="6"/>
        <v>-3586440.1205500909</v>
      </c>
      <c r="BN14" s="1603">
        <f t="shared" si="6"/>
        <v>-8133687.5613623047</v>
      </c>
      <c r="BO14" s="1603">
        <f t="shared" si="6"/>
        <v>-12631856.066618964</v>
      </c>
      <c r="BP14" s="1603">
        <f t="shared" si="6"/>
        <v>-17784430.675208956</v>
      </c>
      <c r="BQ14" s="1603">
        <f t="shared" si="6"/>
        <v>-25344603.915792573</v>
      </c>
      <c r="BR14" s="1603">
        <f t="shared" si="6"/>
        <v>-31082838.87304287</v>
      </c>
      <c r="BS14" s="1603">
        <f t="shared" si="6"/>
        <v>-33871307.488904275</v>
      </c>
      <c r="BT14" s="1603">
        <f t="shared" si="6"/>
        <v>-37244409.567821227</v>
      </c>
      <c r="BU14" s="1601"/>
    </row>
    <row r="15" spans="1:73">
      <c r="A15" s="1601"/>
      <c r="B15" s="1643"/>
      <c r="C15" s="1643"/>
      <c r="D15" s="1643"/>
      <c r="E15" s="1643"/>
      <c r="F15" s="1643"/>
      <c r="G15" s="1643"/>
      <c r="H15" s="1643"/>
      <c r="I15" s="1643"/>
      <c r="J15" s="1643"/>
      <c r="K15" s="1643"/>
      <c r="L15" s="1643"/>
      <c r="M15" s="1603"/>
      <c r="N15" s="1603"/>
      <c r="O15" s="1603"/>
      <c r="P15" s="1603"/>
      <c r="Q15" s="1603"/>
      <c r="R15" s="1603"/>
      <c r="S15" s="1603"/>
      <c r="T15" s="1603"/>
      <c r="U15" s="1603"/>
      <c r="V15" s="1603"/>
      <c r="W15" s="1603"/>
      <c r="X15" s="1603"/>
      <c r="Y15" s="1603"/>
      <c r="Z15" s="1603"/>
      <c r="AA15" s="1603"/>
      <c r="AB15" s="1603"/>
      <c r="AC15" s="1603"/>
      <c r="AD15" s="1603"/>
      <c r="AE15" s="1603"/>
      <c r="AF15" s="1603"/>
      <c r="AG15" s="1603"/>
      <c r="AH15" s="1603"/>
      <c r="AI15" s="1603"/>
      <c r="AJ15" s="1603"/>
      <c r="AK15" s="1603"/>
      <c r="AL15" s="1603"/>
      <c r="AM15" s="1603"/>
      <c r="AN15" s="1603"/>
      <c r="AO15" s="1603"/>
      <c r="AP15" s="1603"/>
      <c r="AQ15" s="1603"/>
      <c r="AR15" s="1603"/>
      <c r="AS15" s="1603"/>
      <c r="AT15" s="1603"/>
      <c r="AU15" s="1603"/>
      <c r="AV15" s="1603"/>
      <c r="AW15" s="1603"/>
      <c r="AX15" s="1603"/>
      <c r="AZ15" s="1601"/>
      <c r="BA15" s="1601"/>
      <c r="BB15" s="1601"/>
      <c r="BC15" s="1601"/>
      <c r="BD15" s="1601"/>
      <c r="BE15" s="1601"/>
      <c r="BF15" s="1601"/>
      <c r="BG15" s="1601"/>
      <c r="BH15" s="1601"/>
      <c r="BI15" s="1601"/>
      <c r="BJ15" s="1601"/>
      <c r="BK15" s="1601"/>
      <c r="BL15" s="1601"/>
      <c r="BM15" s="1601"/>
      <c r="BN15" s="1601"/>
      <c r="BO15" s="1601"/>
      <c r="BP15" s="1601"/>
      <c r="BQ15" s="1601"/>
      <c r="BR15" s="1601"/>
      <c r="BS15" s="1601"/>
      <c r="BT15" s="1601"/>
      <c r="BU15" s="1601"/>
    </row>
    <row r="16" spans="1:73">
      <c r="A16" s="1601" t="s">
        <v>3391</v>
      </c>
      <c r="B16" s="1643">
        <v>928677.73</v>
      </c>
      <c r="C16" s="1648">
        <v>917586.6</v>
      </c>
      <c r="D16" s="1648">
        <v>906112.25</v>
      </c>
      <c r="E16" s="1648">
        <v>907086.32</v>
      </c>
      <c r="F16" s="1648">
        <v>1003697.21</v>
      </c>
      <c r="G16" s="1648">
        <v>1002970.29</v>
      </c>
      <c r="H16" s="1648">
        <v>982858.8</v>
      </c>
      <c r="I16" s="1648">
        <v>988754.27</v>
      </c>
      <c r="J16" s="1648">
        <v>1020341.22</v>
      </c>
      <c r="K16" s="1643">
        <v>1600951.25</v>
      </c>
      <c r="L16" s="1643">
        <v>1697250.24</v>
      </c>
      <c r="M16" s="1603">
        <v>2041900.8193650793</v>
      </c>
      <c r="N16" s="1603">
        <v>2047084.7320634918</v>
      </c>
      <c r="O16" s="1603">
        <v>2023035.3114285714</v>
      </c>
      <c r="P16" s="1603">
        <v>2027564.2241269841</v>
      </c>
      <c r="Q16" s="1603">
        <v>2008459.8034920634</v>
      </c>
      <c r="R16" s="1603">
        <v>1989022.0495238095</v>
      </c>
      <c r="S16" s="1603">
        <v>1949584.2955555555</v>
      </c>
      <c r="T16" s="1603">
        <v>1910146.5415873015</v>
      </c>
      <c r="U16" s="1603">
        <v>1870708.7876190476</v>
      </c>
      <c r="V16" s="1603">
        <v>1836679.3669841269</v>
      </c>
      <c r="W16" s="1603">
        <v>1797149.9463492061</v>
      </c>
      <c r="X16" s="1603">
        <v>1757620.5257142857</v>
      </c>
      <c r="Y16" s="1603">
        <v>1718091.105079365</v>
      </c>
      <c r="Z16" s="1603">
        <v>1678561.6844444443</v>
      </c>
      <c r="AA16" s="1603">
        <v>1664598.9304761903</v>
      </c>
      <c r="AB16" s="1603">
        <v>1624636.1765079363</v>
      </c>
      <c r="AC16" s="1603">
        <v>1584673.4225396824</v>
      </c>
      <c r="AD16" s="1603">
        <v>1544710.6685714284</v>
      </c>
      <c r="AE16" s="1603">
        <v>1504747.9146031744</v>
      </c>
      <c r="AF16" s="1603">
        <v>1464785.1606349205</v>
      </c>
      <c r="AG16" s="1603">
        <v>1424822.4066666663</v>
      </c>
      <c r="AH16" s="1603">
        <v>1384859.6526984123</v>
      </c>
      <c r="AI16" s="1603">
        <v>1344896.8987301583</v>
      </c>
      <c r="AJ16" s="1603">
        <v>1304934.1447619046</v>
      </c>
      <c r="AK16" s="1603">
        <v>1264971.3907936504</v>
      </c>
      <c r="AL16" s="1603">
        <v>1225008.6368253964</v>
      </c>
      <c r="AM16" s="1603">
        <v>1185045.8828571425</v>
      </c>
      <c r="AN16" s="1603">
        <v>1145083.1288888885</v>
      </c>
      <c r="AO16" s="1603">
        <v>1105120.3749206346</v>
      </c>
      <c r="AP16" s="1603">
        <v>1065157.6209523804</v>
      </c>
      <c r="AQ16" s="1603">
        <v>1025194.8669841266</v>
      </c>
      <c r="AR16" s="1603">
        <v>985232.11301587243</v>
      </c>
      <c r="AS16" s="1603">
        <v>945269.35904761869</v>
      </c>
      <c r="AT16" s="1603">
        <v>905306.60507936496</v>
      </c>
      <c r="AU16" s="1603">
        <v>865343.85111111077</v>
      </c>
      <c r="AV16" s="1603">
        <v>825381.09714285657</v>
      </c>
      <c r="AW16" s="1603">
        <v>785529.45428571384</v>
      </c>
      <c r="AX16" s="1603">
        <v>745677.81142857112</v>
      </c>
      <c r="AZ16" s="1586">
        <f>N16</f>
        <v>2047084.7320634918</v>
      </c>
      <c r="BA16" s="1586">
        <f>Z16</f>
        <v>1678561.6844444443</v>
      </c>
      <c r="BB16" s="1586">
        <f>AL16</f>
        <v>1225008.6368253964</v>
      </c>
      <c r="BC16" s="1586">
        <f>AX16</f>
        <v>745677.81142857112</v>
      </c>
      <c r="BD16" s="1586"/>
      <c r="BE16" s="1586">
        <f>E16</f>
        <v>907086.32</v>
      </c>
      <c r="BF16" s="1586">
        <f>H16</f>
        <v>982858.8</v>
      </c>
      <c r="BG16" s="1586">
        <f>K16</f>
        <v>1600951.25</v>
      </c>
      <c r="BH16" s="1586">
        <f>N16</f>
        <v>2047084.7320634918</v>
      </c>
      <c r="BI16" s="1586">
        <f>Q16</f>
        <v>2008459.8034920634</v>
      </c>
      <c r="BJ16" s="1586">
        <f>T16</f>
        <v>1910146.5415873015</v>
      </c>
      <c r="BK16" s="1586">
        <f>W16</f>
        <v>1797149.9463492061</v>
      </c>
      <c r="BL16" s="1586">
        <f>Z16</f>
        <v>1678561.6844444443</v>
      </c>
      <c r="BM16" s="1586">
        <f>AC16</f>
        <v>1584673.4225396824</v>
      </c>
      <c r="BN16" s="1586">
        <f>AF16</f>
        <v>1464785.1606349205</v>
      </c>
      <c r="BO16" s="1586">
        <f>AI16</f>
        <v>1344896.8987301583</v>
      </c>
      <c r="BP16" s="1586">
        <f>AL16</f>
        <v>1225008.6368253964</v>
      </c>
      <c r="BQ16" s="1586">
        <f>AO16</f>
        <v>1105120.3749206346</v>
      </c>
      <c r="BR16" s="1586">
        <f>AR16</f>
        <v>985232.11301587243</v>
      </c>
      <c r="BS16" s="1586">
        <f>AU16</f>
        <v>865343.85111111077</v>
      </c>
      <c r="BT16" s="1586">
        <f>AX16</f>
        <v>745677.81142857112</v>
      </c>
    </row>
    <row r="17" spans="1:72">
      <c r="A17" s="1601" t="s">
        <v>3392</v>
      </c>
      <c r="B17" s="1643">
        <v>165100.35</v>
      </c>
      <c r="C17" s="1647">
        <v>165100.34999999998</v>
      </c>
      <c r="D17" s="1647">
        <v>165100.34999999998</v>
      </c>
      <c r="E17" s="1647">
        <v>165100.34999999998</v>
      </c>
      <c r="F17" s="1647">
        <v>165100.34999999998</v>
      </c>
      <c r="G17" s="1647">
        <v>165100.34999999998</v>
      </c>
      <c r="H17" s="1647">
        <v>165100.34999999998</v>
      </c>
      <c r="I17" s="1647">
        <v>121325.66</v>
      </c>
      <c r="J17" s="1647">
        <v>106834.64</v>
      </c>
      <c r="K17" s="1643">
        <v>106834.64</v>
      </c>
      <c r="L17" s="1643">
        <v>100360.66999999998</v>
      </c>
      <c r="M17" s="1603">
        <v>93886.699999999983</v>
      </c>
      <c r="N17" s="1603">
        <v>87412.729999999981</v>
      </c>
      <c r="O17" s="1603">
        <v>80938.75999999998</v>
      </c>
      <c r="P17" s="1603">
        <v>74464.789999999979</v>
      </c>
      <c r="Q17" s="1603">
        <v>67990.819999999978</v>
      </c>
      <c r="R17" s="1603">
        <v>61516.849999999977</v>
      </c>
      <c r="S17" s="1603">
        <v>55042.879999999976</v>
      </c>
      <c r="T17" s="1603">
        <v>48568.909999999974</v>
      </c>
      <c r="U17" s="1603">
        <v>42094.939999999973</v>
      </c>
      <c r="V17" s="1603">
        <v>35620.969999999972</v>
      </c>
      <c r="W17" s="1603">
        <v>29146.999999999971</v>
      </c>
      <c r="X17" s="1603">
        <v>22673.02999999997</v>
      </c>
      <c r="Y17" s="1603">
        <v>16199.059999999969</v>
      </c>
      <c r="Z17" s="1603">
        <v>9725.0899999999674</v>
      </c>
      <c r="AA17" s="1603">
        <v>3251.1199999999671</v>
      </c>
      <c r="AB17" s="1603">
        <v>0</v>
      </c>
      <c r="AC17" s="1603">
        <v>0</v>
      </c>
      <c r="AD17" s="1603">
        <v>0</v>
      </c>
      <c r="AE17" s="1603">
        <v>0</v>
      </c>
      <c r="AF17" s="1603">
        <v>0</v>
      </c>
      <c r="AG17" s="1603">
        <v>0</v>
      </c>
      <c r="AH17" s="1603">
        <v>0</v>
      </c>
      <c r="AI17" s="1603">
        <v>0</v>
      </c>
      <c r="AJ17" s="1603">
        <v>0</v>
      </c>
      <c r="AK17" s="1603">
        <v>0</v>
      </c>
      <c r="AL17" s="1603">
        <v>0</v>
      </c>
      <c r="AM17" s="1603">
        <v>0</v>
      </c>
      <c r="AN17" s="1603">
        <v>0</v>
      </c>
      <c r="AO17" s="1603">
        <v>0</v>
      </c>
      <c r="AP17" s="1603">
        <v>0</v>
      </c>
      <c r="AQ17" s="1603">
        <v>0</v>
      </c>
      <c r="AR17" s="1603">
        <v>0</v>
      </c>
      <c r="AS17" s="1603">
        <v>0</v>
      </c>
      <c r="AT17" s="1603">
        <v>0</v>
      </c>
      <c r="AU17" s="1603">
        <v>0</v>
      </c>
      <c r="AV17" s="1603">
        <v>0</v>
      </c>
      <c r="AW17" s="1603">
        <v>0</v>
      </c>
      <c r="AX17" s="1603">
        <v>0</v>
      </c>
      <c r="AZ17" s="1586">
        <f>N17</f>
        <v>87412.729999999981</v>
      </c>
      <c r="BA17" s="1586">
        <f>Z17</f>
        <v>9725.0899999999674</v>
      </c>
      <c r="BB17" s="1586">
        <f>AL17</f>
        <v>0</v>
      </c>
      <c r="BC17" s="1586">
        <f>AX17</f>
        <v>0</v>
      </c>
      <c r="BD17" s="1586"/>
      <c r="BE17" s="1586">
        <f>E17</f>
        <v>165100.34999999998</v>
      </c>
      <c r="BF17" s="1586">
        <f>H17</f>
        <v>165100.34999999998</v>
      </c>
      <c r="BG17" s="1586">
        <f>K17</f>
        <v>106834.64</v>
      </c>
      <c r="BH17" s="1586">
        <f>N17</f>
        <v>87412.729999999981</v>
      </c>
      <c r="BI17" s="1586">
        <f>Q17</f>
        <v>67990.819999999978</v>
      </c>
      <c r="BJ17" s="1586">
        <f>T17</f>
        <v>48568.909999999974</v>
      </c>
      <c r="BK17" s="1586">
        <f>W17</f>
        <v>29146.999999999971</v>
      </c>
      <c r="BL17" s="1586">
        <f>Z17</f>
        <v>9725.0899999999674</v>
      </c>
      <c r="BM17" s="1586">
        <f>AC17</f>
        <v>0</v>
      </c>
      <c r="BN17" s="1586">
        <f>AF17</f>
        <v>0</v>
      </c>
      <c r="BO17" s="1586">
        <f>AI17</f>
        <v>0</v>
      </c>
      <c r="BP17" s="1586">
        <f>AL17</f>
        <v>0</v>
      </c>
      <c r="BQ17" s="1586">
        <f>AO17</f>
        <v>0</v>
      </c>
      <c r="BR17" s="1586">
        <f>AR17</f>
        <v>0</v>
      </c>
      <c r="BS17" s="1586">
        <f>AU17</f>
        <v>0</v>
      </c>
      <c r="BT17" s="1586">
        <f>AX17</f>
        <v>0</v>
      </c>
    </row>
    <row r="18" spans="1:72">
      <c r="A18" s="1601" t="s">
        <v>3446</v>
      </c>
      <c r="B18" s="1643">
        <v>0</v>
      </c>
      <c r="C18" s="1643">
        <v>0</v>
      </c>
      <c r="D18" s="1643">
        <v>0</v>
      </c>
      <c r="E18" s="1643">
        <v>0</v>
      </c>
      <c r="F18" s="1643">
        <v>0</v>
      </c>
      <c r="G18" s="1643">
        <v>0</v>
      </c>
      <c r="H18" s="1643">
        <v>0</v>
      </c>
      <c r="I18" s="1643">
        <v>0</v>
      </c>
      <c r="J18" s="1643">
        <v>0</v>
      </c>
      <c r="K18" s="1643">
        <v>0</v>
      </c>
      <c r="L18" s="1643">
        <v>0</v>
      </c>
      <c r="M18" s="1603">
        <v>0</v>
      </c>
      <c r="N18" s="1603">
        <v>0</v>
      </c>
      <c r="O18" s="1603">
        <v>0</v>
      </c>
      <c r="P18" s="1603">
        <v>0</v>
      </c>
      <c r="Q18" s="1603">
        <v>0</v>
      </c>
      <c r="R18" s="1603">
        <v>0</v>
      </c>
      <c r="S18" s="1603">
        <v>0</v>
      </c>
      <c r="T18" s="1603">
        <v>0</v>
      </c>
      <c r="U18" s="1603">
        <v>0</v>
      </c>
      <c r="V18" s="1603">
        <v>0</v>
      </c>
      <c r="W18" s="1603">
        <v>0</v>
      </c>
      <c r="X18" s="1603">
        <v>0</v>
      </c>
      <c r="Y18" s="1603">
        <v>0</v>
      </c>
      <c r="Z18" s="1603">
        <v>0</v>
      </c>
      <c r="AA18" s="1603">
        <v>0</v>
      </c>
      <c r="AB18" s="1603">
        <v>0</v>
      </c>
      <c r="AC18" s="1603">
        <v>0</v>
      </c>
      <c r="AD18" s="1603">
        <v>0</v>
      </c>
      <c r="AE18" s="1603">
        <v>0</v>
      </c>
      <c r="AF18" s="1603">
        <v>0</v>
      </c>
      <c r="AG18" s="1603">
        <v>0</v>
      </c>
      <c r="AH18" s="1603">
        <v>0</v>
      </c>
      <c r="AI18" s="1603">
        <v>0</v>
      </c>
      <c r="AJ18" s="1603">
        <v>0</v>
      </c>
      <c r="AK18" s="1603">
        <v>0</v>
      </c>
      <c r="AL18" s="1603">
        <v>0</v>
      </c>
      <c r="AM18" s="1603">
        <v>0</v>
      </c>
      <c r="AN18" s="1603">
        <v>0</v>
      </c>
      <c r="AO18" s="1603">
        <v>0</v>
      </c>
      <c r="AP18" s="1603">
        <v>0</v>
      </c>
      <c r="AQ18" s="1603">
        <v>0</v>
      </c>
      <c r="AR18" s="1603">
        <v>0</v>
      </c>
      <c r="AS18" s="1603">
        <v>0</v>
      </c>
      <c r="AT18" s="1603">
        <v>0</v>
      </c>
      <c r="AU18" s="1603">
        <v>0</v>
      </c>
      <c r="AV18" s="1603">
        <v>0</v>
      </c>
      <c r="AW18" s="1603">
        <v>0</v>
      </c>
      <c r="AX18" s="1603">
        <v>0</v>
      </c>
      <c r="AZ18" s="1586">
        <f>N18</f>
        <v>0</v>
      </c>
      <c r="BA18" s="1586">
        <f>Z18</f>
        <v>0</v>
      </c>
      <c r="BB18" s="1586">
        <f>AL18</f>
        <v>0</v>
      </c>
      <c r="BC18" s="1586">
        <f>AX18</f>
        <v>0</v>
      </c>
      <c r="BD18" s="1586"/>
      <c r="BE18" s="1586">
        <f>E18</f>
        <v>0</v>
      </c>
      <c r="BF18" s="1586">
        <f>H18</f>
        <v>0</v>
      </c>
      <c r="BG18" s="1586">
        <f>K18</f>
        <v>0</v>
      </c>
      <c r="BH18" s="1586">
        <f>N18</f>
        <v>0</v>
      </c>
      <c r="BI18" s="1586">
        <f>Q18</f>
        <v>0</v>
      </c>
      <c r="BJ18" s="1586">
        <f>T18</f>
        <v>0</v>
      </c>
      <c r="BK18" s="1586">
        <f>W18</f>
        <v>0</v>
      </c>
      <c r="BL18" s="1586">
        <f>Z18</f>
        <v>0</v>
      </c>
      <c r="BM18" s="1586">
        <f>AC18</f>
        <v>0</v>
      </c>
      <c r="BN18" s="1586">
        <f>AF18</f>
        <v>0</v>
      </c>
      <c r="BO18" s="1586">
        <f>AI18</f>
        <v>0</v>
      </c>
      <c r="BP18" s="1586">
        <f>AL18</f>
        <v>0</v>
      </c>
      <c r="BQ18" s="1586"/>
      <c r="BR18" s="1586"/>
      <c r="BS18" s="1586"/>
      <c r="BT18" s="1586"/>
    </row>
    <row r="19" spans="1:72">
      <c r="A19" s="1601"/>
      <c r="B19" s="1643"/>
      <c r="C19" s="1643"/>
      <c r="D19" s="1643"/>
      <c r="E19" s="1643"/>
      <c r="F19" s="1643"/>
      <c r="G19" s="1643"/>
      <c r="H19" s="1643"/>
      <c r="I19" s="1643"/>
      <c r="J19" s="1643"/>
      <c r="K19" s="1643"/>
      <c r="L19" s="1643"/>
      <c r="M19" s="1603"/>
      <c r="N19" s="1603"/>
      <c r="O19" s="1603"/>
      <c r="P19" s="1603"/>
      <c r="Q19" s="1603"/>
      <c r="R19" s="1603"/>
      <c r="S19" s="1603"/>
      <c r="T19" s="1603"/>
      <c r="U19" s="1603"/>
      <c r="V19" s="1603"/>
      <c r="W19" s="1603"/>
      <c r="X19" s="1603"/>
      <c r="Y19" s="1603"/>
      <c r="Z19" s="1603"/>
      <c r="AA19" s="1603"/>
      <c r="AB19" s="1603"/>
      <c r="AC19" s="1603"/>
      <c r="AD19" s="1603"/>
      <c r="AE19" s="1603"/>
      <c r="AF19" s="1603"/>
      <c r="AG19" s="1603"/>
      <c r="AH19" s="1603"/>
      <c r="AI19" s="1603"/>
      <c r="AJ19" s="1603"/>
      <c r="AK19" s="1603"/>
      <c r="AL19" s="1603"/>
      <c r="AM19" s="1603"/>
      <c r="AN19" s="1603"/>
      <c r="AO19" s="1603"/>
      <c r="AP19" s="1603"/>
      <c r="AQ19" s="1603"/>
      <c r="AR19" s="1603"/>
      <c r="AS19" s="1603"/>
      <c r="AT19" s="1603"/>
      <c r="AU19" s="1603"/>
      <c r="AV19" s="1603"/>
      <c r="AW19" s="1603"/>
      <c r="AX19" s="1603"/>
    </row>
    <row r="20" spans="1:72" ht="15.75" thickBot="1">
      <c r="A20" s="1604" t="s">
        <v>3393</v>
      </c>
      <c r="B20" s="1650">
        <f>SUM(B14:B19)</f>
        <v>29106723.820000004</v>
      </c>
      <c r="C20" s="1650">
        <f t="shared" ref="C20:AX20" si="7">SUM(C14:C18)</f>
        <v>28354881.300000004</v>
      </c>
      <c r="D20" s="1650">
        <f t="shared" si="7"/>
        <v>27157337.860000003</v>
      </c>
      <c r="E20" s="1650">
        <f t="shared" si="7"/>
        <v>26455553.300000004</v>
      </c>
      <c r="F20" s="1650">
        <f t="shared" si="7"/>
        <v>25917650.91</v>
      </c>
      <c r="G20" s="1650">
        <f t="shared" si="7"/>
        <v>24826401.300000004</v>
      </c>
      <c r="H20" s="1650">
        <f t="shared" si="7"/>
        <v>23951577.940000005</v>
      </c>
      <c r="I20" s="1650">
        <f t="shared" si="7"/>
        <v>23002576.820000004</v>
      </c>
      <c r="J20" s="1650">
        <f t="shared" si="7"/>
        <v>21231024.48</v>
      </c>
      <c r="K20" s="1650">
        <f t="shared" si="7"/>
        <v>21106096.809999995</v>
      </c>
      <c r="L20" s="1650">
        <f t="shared" si="7"/>
        <v>19745677.530000001</v>
      </c>
      <c r="M20" s="1605">
        <f t="shared" si="7"/>
        <v>18767330.95188747</v>
      </c>
      <c r="N20" s="1605">
        <f t="shared" si="7"/>
        <v>17027845.264371656</v>
      </c>
      <c r="O20" s="1605">
        <f t="shared" si="7"/>
        <v>15449227.682253733</v>
      </c>
      <c r="P20" s="1605">
        <f t="shared" si="7"/>
        <v>13732573.225436533</v>
      </c>
      <c r="Q20" s="1605">
        <f t="shared" si="7"/>
        <v>12675458.170232054</v>
      </c>
      <c r="R20" s="1605">
        <f t="shared" si="7"/>
        <v>11562991.605453491</v>
      </c>
      <c r="S20" s="1605">
        <f t="shared" si="7"/>
        <v>10145523.459560111</v>
      </c>
      <c r="T20" s="1605">
        <f t="shared" si="7"/>
        <v>9535369.3082688488</v>
      </c>
      <c r="U20" s="1605">
        <f t="shared" si="7"/>
        <v>8576128.7934688106</v>
      </c>
      <c r="V20" s="1605">
        <f t="shared" si="7"/>
        <v>7757916.217831336</v>
      </c>
      <c r="W20" s="1605">
        <f t="shared" si="7"/>
        <v>6905806.9122385038</v>
      </c>
      <c r="X20" s="1605">
        <f t="shared" si="7"/>
        <v>5665799.6631006123</v>
      </c>
      <c r="Y20" s="1605">
        <f t="shared" si="7"/>
        <v>4061075.0233403705</v>
      </c>
      <c r="Z20" s="1605">
        <f t="shared" si="7"/>
        <v>2968555.7324843411</v>
      </c>
      <c r="AA20" s="1605">
        <f t="shared" si="7"/>
        <v>1292400.9975972031</v>
      </c>
      <c r="AB20" s="1605">
        <f t="shared" si="7"/>
        <v>-887185.92340104748</v>
      </c>
      <c r="AC20" s="1605">
        <f t="shared" si="7"/>
        <v>-2001766.6980104086</v>
      </c>
      <c r="AD20" s="1605">
        <f t="shared" si="7"/>
        <v>-3406839.9003975494</v>
      </c>
      <c r="AE20" s="1605">
        <f t="shared" si="7"/>
        <v>-5322689.6305624684</v>
      </c>
      <c r="AF20" s="1605">
        <f t="shared" si="7"/>
        <v>-6668902.4007273838</v>
      </c>
      <c r="AG20" s="1605">
        <f t="shared" si="7"/>
        <v>-8185938.5808923021</v>
      </c>
      <c r="AH20" s="1605">
        <f t="shared" si="7"/>
        <v>-9843027.11105722</v>
      </c>
      <c r="AI20" s="1605">
        <f t="shared" si="7"/>
        <v>-11286959.167888805</v>
      </c>
      <c r="AJ20" s="1605">
        <f t="shared" si="7"/>
        <v>-12888868.124720387</v>
      </c>
      <c r="AK20" s="1605">
        <f t="shared" si="7"/>
        <v>-15288656.881551977</v>
      </c>
      <c r="AL20" s="1605">
        <f t="shared" si="7"/>
        <v>-16559422.03838356</v>
      </c>
      <c r="AM20" s="1605">
        <f t="shared" si="7"/>
        <v>-18256797.407268576</v>
      </c>
      <c r="AN20" s="1605">
        <f t="shared" si="7"/>
        <v>-21870758.534486927</v>
      </c>
      <c r="AO20" s="1605">
        <f t="shared" si="7"/>
        <v>-24239483.540871941</v>
      </c>
      <c r="AP20" s="1605">
        <f t="shared" si="7"/>
        <v>-26973781.94725696</v>
      </c>
      <c r="AQ20" s="1605">
        <f t="shared" si="7"/>
        <v>-28900215.353641979</v>
      </c>
      <c r="AR20" s="1605">
        <f t="shared" si="7"/>
        <v>-30097606.760026999</v>
      </c>
      <c r="AS20" s="1605">
        <f t="shared" si="7"/>
        <v>-31107877.166412015</v>
      </c>
      <c r="AT20" s="1605">
        <f t="shared" si="7"/>
        <v>-32083518.301963698</v>
      </c>
      <c r="AU20" s="1605">
        <f t="shared" si="7"/>
        <v>-33005963.637793165</v>
      </c>
      <c r="AV20" s="1605">
        <f t="shared" si="7"/>
        <v>-34212175.779178172</v>
      </c>
      <c r="AW20" s="1605">
        <f t="shared" si="7"/>
        <v>-35606934.94278542</v>
      </c>
      <c r="AX20" s="1605">
        <f t="shared" si="7"/>
        <v>-36498731.756392658</v>
      </c>
      <c r="AZ20" s="1605">
        <f>SUM(AZ14:AZ18)</f>
        <v>17027845.264371656</v>
      </c>
      <c r="BA20" s="1605">
        <f>SUM(BA14:BA18)</f>
        <v>2968555.7324843411</v>
      </c>
      <c r="BB20" s="1605">
        <f>SUM(BB14:BB18)</f>
        <v>-16559422.03838356</v>
      </c>
      <c r="BC20" s="1605">
        <f>SUM(BC14:BC18)</f>
        <v>-36498731.756392658</v>
      </c>
      <c r="BE20" s="1605">
        <f t="shared" ref="BE20:BT20" si="8">SUM(BE14:BE18)</f>
        <v>26455553.300000004</v>
      </c>
      <c r="BF20" s="1605">
        <f t="shared" si="8"/>
        <v>23951577.940000005</v>
      </c>
      <c r="BG20" s="1605">
        <f t="shared" si="8"/>
        <v>21106096.809999995</v>
      </c>
      <c r="BH20" s="1605">
        <f t="shared" si="8"/>
        <v>17027845.264371656</v>
      </c>
      <c r="BI20" s="1605">
        <f t="shared" si="8"/>
        <v>12675458.170232054</v>
      </c>
      <c r="BJ20" s="1605">
        <f t="shared" si="8"/>
        <v>9535369.3082688488</v>
      </c>
      <c r="BK20" s="1605">
        <f t="shared" si="8"/>
        <v>6905806.9122385038</v>
      </c>
      <c r="BL20" s="1605">
        <f t="shared" si="8"/>
        <v>2968555.7324843411</v>
      </c>
      <c r="BM20" s="1605">
        <f t="shared" si="8"/>
        <v>-2001766.6980104086</v>
      </c>
      <c r="BN20" s="1605">
        <f t="shared" si="8"/>
        <v>-6668902.4007273838</v>
      </c>
      <c r="BO20" s="1605">
        <f t="shared" si="8"/>
        <v>-11286959.167888805</v>
      </c>
      <c r="BP20" s="1605">
        <f t="shared" si="8"/>
        <v>-16559422.03838356</v>
      </c>
      <c r="BQ20" s="1605">
        <f t="shared" si="8"/>
        <v>-24239483.540871941</v>
      </c>
      <c r="BR20" s="1605">
        <f t="shared" si="8"/>
        <v>-30097606.760026999</v>
      </c>
      <c r="BS20" s="1605">
        <f t="shared" si="8"/>
        <v>-33005963.637793165</v>
      </c>
      <c r="BT20" s="1605">
        <f t="shared" si="8"/>
        <v>-36498731.756392658</v>
      </c>
    </row>
    <row r="21" spans="1:72" ht="15.75" thickTop="1">
      <c r="A21" s="1601"/>
      <c r="B21" s="1643"/>
      <c r="C21" s="1643"/>
      <c r="D21" s="1643"/>
      <c r="E21" s="1643"/>
      <c r="F21" s="1643"/>
      <c r="G21" s="1643"/>
      <c r="H21" s="1643"/>
      <c r="I21" s="1643"/>
      <c r="J21" s="1643"/>
      <c r="K21" s="1643"/>
      <c r="L21" s="1643"/>
      <c r="M21" s="1603"/>
      <c r="N21" s="1603"/>
      <c r="O21" s="1603"/>
      <c r="P21" s="1603"/>
      <c r="Q21" s="1603"/>
      <c r="R21" s="1603"/>
      <c r="S21" s="1603"/>
      <c r="T21" s="1603"/>
      <c r="U21" s="1603"/>
      <c r="V21" s="1603"/>
      <c r="W21" s="1603"/>
      <c r="X21" s="1603"/>
      <c r="Y21" s="1603"/>
      <c r="Z21" s="1603"/>
      <c r="AA21" s="1603"/>
      <c r="AB21" s="1603"/>
      <c r="AC21" s="1603"/>
      <c r="AD21" s="1603"/>
      <c r="AE21" s="1603"/>
      <c r="AF21" s="1603"/>
      <c r="AG21" s="1603"/>
      <c r="AH21" s="1603"/>
      <c r="AI21" s="1603"/>
      <c r="AJ21" s="1603"/>
      <c r="AK21" s="1603"/>
      <c r="AL21" s="1603"/>
      <c r="AM21" s="1603"/>
      <c r="AN21" s="1603"/>
      <c r="AO21" s="1603"/>
      <c r="AP21" s="1603"/>
      <c r="AQ21" s="1603"/>
      <c r="AR21" s="1603"/>
      <c r="AS21" s="1603"/>
      <c r="AT21" s="1603"/>
      <c r="AU21" s="1603"/>
      <c r="AV21" s="1603"/>
      <c r="AW21" s="1603"/>
      <c r="AX21" s="1603"/>
    </row>
    <row r="22" spans="1:72">
      <c r="A22" s="1602" t="s">
        <v>3394</v>
      </c>
      <c r="B22" s="1643"/>
      <c r="C22" s="1643"/>
      <c r="D22" s="1643"/>
      <c r="E22" s="1643"/>
      <c r="F22" s="1643"/>
      <c r="G22" s="1643"/>
      <c r="H22" s="1643"/>
      <c r="I22" s="1643"/>
      <c r="J22" s="1643"/>
      <c r="K22" s="1643"/>
      <c r="L22" s="1643"/>
      <c r="M22" s="1603"/>
      <c r="N22" s="1603"/>
      <c r="O22" s="1603"/>
      <c r="P22" s="1603"/>
      <c r="Q22" s="1603"/>
      <c r="R22" s="1603"/>
      <c r="S22" s="1603"/>
      <c r="T22" s="1603"/>
      <c r="U22" s="1603"/>
      <c r="V22" s="1603"/>
      <c r="W22" s="1603"/>
      <c r="X22" s="1603"/>
      <c r="Y22" s="1603"/>
      <c r="Z22" s="1603"/>
      <c r="AA22" s="1603"/>
      <c r="AB22" s="1603"/>
      <c r="AC22" s="1603"/>
      <c r="AD22" s="1603"/>
      <c r="AE22" s="1603"/>
      <c r="AF22" s="1603"/>
      <c r="AG22" s="1603"/>
      <c r="AH22" s="1603"/>
      <c r="AI22" s="1603"/>
      <c r="AJ22" s="1603"/>
      <c r="AK22" s="1603"/>
      <c r="AL22" s="1603"/>
      <c r="AM22" s="1603"/>
      <c r="AN22" s="1603"/>
      <c r="AO22" s="1603"/>
      <c r="AP22" s="1603"/>
      <c r="AQ22" s="1603"/>
      <c r="AR22" s="1603"/>
      <c r="AS22" s="1603"/>
      <c r="AT22" s="1603"/>
      <c r="AU22" s="1603"/>
      <c r="AV22" s="1603"/>
      <c r="AW22" s="1603"/>
      <c r="AX22" s="1603"/>
    </row>
    <row r="23" spans="1:72">
      <c r="A23" s="1601" t="s">
        <v>3395</v>
      </c>
      <c r="B23" s="1643"/>
      <c r="C23" s="1643"/>
      <c r="D23" s="1643"/>
      <c r="E23" s="1643"/>
      <c r="F23" s="1643"/>
      <c r="G23" s="1643"/>
      <c r="H23" s="1643"/>
      <c r="I23" s="1643"/>
      <c r="J23" s="1643"/>
      <c r="K23" s="1643"/>
      <c r="L23" s="1643"/>
      <c r="M23" s="1603"/>
      <c r="N23" s="1603"/>
      <c r="O23" s="1603"/>
      <c r="P23" s="1603"/>
      <c r="Q23" s="1603"/>
      <c r="R23" s="1603"/>
      <c r="S23" s="1603"/>
      <c r="T23" s="1603"/>
      <c r="U23" s="1603"/>
      <c r="V23" s="1603"/>
      <c r="W23" s="1603"/>
      <c r="X23" s="1603"/>
      <c r="Y23" s="1603"/>
      <c r="Z23" s="1603"/>
      <c r="AA23" s="1603"/>
      <c r="AB23" s="1603"/>
      <c r="AC23" s="1603"/>
      <c r="AD23" s="1603"/>
      <c r="AE23" s="1603"/>
      <c r="AF23" s="1603"/>
      <c r="AG23" s="1603"/>
      <c r="AH23" s="1603"/>
      <c r="AI23" s="1603"/>
      <c r="AJ23" s="1603"/>
      <c r="AK23" s="1603"/>
      <c r="AL23" s="1603"/>
      <c r="AM23" s="1603"/>
      <c r="AN23" s="1603"/>
      <c r="AO23" s="1603"/>
      <c r="AP23" s="1603"/>
      <c r="AQ23" s="1603"/>
      <c r="AR23" s="1603"/>
      <c r="AS23" s="1603"/>
      <c r="AT23" s="1603"/>
      <c r="AU23" s="1603"/>
      <c r="AV23" s="1603"/>
      <c r="AW23" s="1603"/>
      <c r="AX23" s="1603"/>
    </row>
    <row r="24" spans="1:72">
      <c r="A24" s="1601" t="s">
        <v>3396</v>
      </c>
      <c r="B24" s="1648">
        <v>399841.51</v>
      </c>
      <c r="C24" s="1648">
        <v>204738.68</v>
      </c>
      <c r="D24" s="1648">
        <v>226330.11</v>
      </c>
      <c r="E24" s="1648">
        <v>274555.75</v>
      </c>
      <c r="F24" s="1648">
        <v>298580.63</v>
      </c>
      <c r="G24" s="1648">
        <v>514916.5</v>
      </c>
      <c r="H24" s="1648">
        <v>401391.61</v>
      </c>
      <c r="I24" s="1648">
        <v>594842.31999999995</v>
      </c>
      <c r="J24" s="1648">
        <v>268288.24</v>
      </c>
      <c r="K24" s="1643">
        <v>783073.64</v>
      </c>
      <c r="L24" s="1643">
        <v>1013495.19</v>
      </c>
      <c r="M24" s="1603">
        <v>1639044.001611111</v>
      </c>
      <c r="N24" s="1603">
        <v>1932053.8905</v>
      </c>
      <c r="O24" s="1603">
        <v>1399412.0877222223</v>
      </c>
      <c r="P24" s="1603">
        <v>1271269.1465000003</v>
      </c>
      <c r="Q24" s="1603">
        <v>1392834.6492905559</v>
      </c>
      <c r="R24" s="1603">
        <v>1873016.3377222223</v>
      </c>
      <c r="S24" s="1603">
        <v>1268041.9388055555</v>
      </c>
      <c r="T24" s="1603">
        <v>1484686.7316666667</v>
      </c>
      <c r="U24" s="1603">
        <v>1359579.8274999999</v>
      </c>
      <c r="V24" s="1603">
        <v>1327072.2941666667</v>
      </c>
      <c r="W24" s="1603">
        <v>1467501.1413888889</v>
      </c>
      <c r="X24" s="1603">
        <v>2050078.4358333331</v>
      </c>
      <c r="Y24" s="1603">
        <v>1290294.8587499999</v>
      </c>
      <c r="Z24" s="1603">
        <v>2109524.4774999996</v>
      </c>
      <c r="AA24" s="1603">
        <v>1409816.4983333328</v>
      </c>
      <c r="AB24" s="1603">
        <v>1589248.0386111105</v>
      </c>
      <c r="AC24" s="1603">
        <v>1548448.3830555549</v>
      </c>
      <c r="AD24" s="1603">
        <v>2321754.9108333322</v>
      </c>
      <c r="AE24" s="1603">
        <v>1709184.9108333322</v>
      </c>
      <c r="AF24" s="1603">
        <v>1819854.9108333327</v>
      </c>
      <c r="AG24" s="1603">
        <v>1984719.9608333323</v>
      </c>
      <c r="AH24" s="1603">
        <v>1931490.327499999</v>
      </c>
      <c r="AI24" s="1603">
        <v>1543282.2274999989</v>
      </c>
      <c r="AJ24" s="1603">
        <v>2822672.2274999986</v>
      </c>
      <c r="AK24" s="1603">
        <v>1699148.4274999986</v>
      </c>
      <c r="AL24" s="1603">
        <v>1674357.2274999986</v>
      </c>
      <c r="AM24" s="1603">
        <v>2118450.2649999983</v>
      </c>
      <c r="AN24" s="1603">
        <v>2283613.5441666646</v>
      </c>
      <c r="AO24" s="1603">
        <v>2876906.944166664</v>
      </c>
      <c r="AP24" s="1603">
        <v>2345851.944166664</v>
      </c>
      <c r="AQ24" s="1603">
        <v>1699961.9441666638</v>
      </c>
      <c r="AR24" s="1603">
        <v>1505648.9441666638</v>
      </c>
      <c r="AS24" s="1603">
        <v>1518055.2774999971</v>
      </c>
      <c r="AT24" s="1603">
        <v>1412972.2011111081</v>
      </c>
      <c r="AU24" s="1603">
        <v>1518644.0066666636</v>
      </c>
      <c r="AV24" s="1603">
        <v>1939157.3399999968</v>
      </c>
      <c r="AW24" s="1603">
        <v>1398161.8733333303</v>
      </c>
      <c r="AX24" s="1603">
        <v>1474947.4788888858</v>
      </c>
      <c r="AZ24" s="1586">
        <f>N24</f>
        <v>1932053.8905</v>
      </c>
      <c r="BA24" s="1586">
        <f>Z24</f>
        <v>2109524.4774999996</v>
      </c>
      <c r="BB24" s="1586">
        <f>AL24</f>
        <v>1674357.2274999986</v>
      </c>
      <c r="BC24" s="1586">
        <f>AX24</f>
        <v>1474947.4788888858</v>
      </c>
      <c r="BD24" s="1586"/>
      <c r="BE24" s="1586">
        <f>E24</f>
        <v>274555.75</v>
      </c>
      <c r="BF24" s="1586">
        <f>H24</f>
        <v>401391.61</v>
      </c>
      <c r="BG24" s="1586">
        <f>K24</f>
        <v>783073.64</v>
      </c>
      <c r="BH24" s="1586">
        <f>N24</f>
        <v>1932053.8905</v>
      </c>
      <c r="BI24" s="1586">
        <f>Q24</f>
        <v>1392834.6492905559</v>
      </c>
      <c r="BJ24" s="1586">
        <f>T24</f>
        <v>1484686.7316666667</v>
      </c>
      <c r="BK24" s="1586">
        <f>W24</f>
        <v>1467501.1413888889</v>
      </c>
      <c r="BL24" s="1586">
        <f>Z24</f>
        <v>2109524.4774999996</v>
      </c>
      <c r="BM24" s="1586">
        <f>AC24</f>
        <v>1548448.3830555549</v>
      </c>
      <c r="BN24" s="1586">
        <f>AF24</f>
        <v>1819854.9108333327</v>
      </c>
      <c r="BO24" s="1586">
        <f>AI24</f>
        <v>1543282.2274999989</v>
      </c>
      <c r="BP24" s="1586">
        <f>AL24</f>
        <v>1674357.2274999986</v>
      </c>
      <c r="BQ24" s="1586">
        <f>AO24</f>
        <v>2876906.944166664</v>
      </c>
      <c r="BR24" s="1586">
        <f>AR24</f>
        <v>1505648.9441666638</v>
      </c>
      <c r="BS24" s="1586">
        <f>AU24</f>
        <v>1518644.0066666636</v>
      </c>
      <c r="BT24" s="1586">
        <f>AX24</f>
        <v>1474947.4788888858</v>
      </c>
    </row>
    <row r="25" spans="1:72">
      <c r="A25" s="1601" t="s">
        <v>3363</v>
      </c>
      <c r="B25" s="1647">
        <v>686122.57</v>
      </c>
      <c r="C25" s="1647">
        <v>729141.24000000011</v>
      </c>
      <c r="D25" s="1647">
        <v>494020.29</v>
      </c>
      <c r="E25" s="1647">
        <v>571355.78</v>
      </c>
      <c r="F25" s="1647">
        <v>566559.63</v>
      </c>
      <c r="G25" s="1647">
        <v>529415.96000000008</v>
      </c>
      <c r="H25" s="1647">
        <v>604697.74</v>
      </c>
      <c r="I25" s="1647">
        <v>676738.53</v>
      </c>
      <c r="J25" s="1647">
        <v>772165.6100000001</v>
      </c>
      <c r="K25" s="1643">
        <v>1370335.6800000002</v>
      </c>
      <c r="L25" s="1643">
        <v>1519484.1800000002</v>
      </c>
      <c r="M25" s="1603">
        <v>1480008.8228066701</v>
      </c>
      <c r="N25" s="1603">
        <v>1440533.46561334</v>
      </c>
      <c r="O25" s="1603">
        <v>1543626.7784200099</v>
      </c>
      <c r="P25" s="1603">
        <v>1126349.1912266796</v>
      </c>
      <c r="Q25" s="1603">
        <v>1348781.6040333493</v>
      </c>
      <c r="R25" s="1603">
        <v>1451874.9168400192</v>
      </c>
      <c r="S25" s="1603">
        <v>1554968.229646689</v>
      </c>
      <c r="T25" s="1603">
        <v>1658061.5424533589</v>
      </c>
      <c r="U25" s="1603">
        <v>1761154.8552600287</v>
      </c>
      <c r="V25" s="1603">
        <v>1864248.1680666986</v>
      </c>
      <c r="W25" s="1603">
        <v>1963164.6108733683</v>
      </c>
      <c r="X25" s="1603">
        <v>2062081.0536800381</v>
      </c>
      <c r="Y25" s="1603">
        <v>2160997.4964867081</v>
      </c>
      <c r="Z25" s="1603">
        <v>2259913.939293378</v>
      </c>
      <c r="AA25" s="1603">
        <v>2395577.632100048</v>
      </c>
      <c r="AB25" s="1603">
        <v>1307415.324906718</v>
      </c>
      <c r="AC25" s="1603">
        <v>1443079.0177133877</v>
      </c>
      <c r="AD25" s="1603">
        <v>1578742.7105200575</v>
      </c>
      <c r="AE25" s="1603">
        <v>1714406.4033267272</v>
      </c>
      <c r="AF25" s="1603">
        <v>1850070.096133397</v>
      </c>
      <c r="AG25" s="1603">
        <v>1985733.7889400667</v>
      </c>
      <c r="AH25" s="1603">
        <v>2121397.4817467364</v>
      </c>
      <c r="AI25" s="1603">
        <v>2252738.1145534064</v>
      </c>
      <c r="AJ25" s="1603">
        <v>2384078.7473600763</v>
      </c>
      <c r="AK25" s="1603">
        <v>2515419.3801667462</v>
      </c>
      <c r="AL25" s="1603">
        <v>2646760.0129734161</v>
      </c>
      <c r="AM25" s="1603">
        <v>2796658.9791134195</v>
      </c>
      <c r="AN25" s="1603">
        <v>1281764.9452534229</v>
      </c>
      <c r="AO25" s="1603">
        <v>1431663.9113934259</v>
      </c>
      <c r="AP25" s="1603">
        <v>1581562.8775334288</v>
      </c>
      <c r="AQ25" s="1603">
        <v>1731461.8436734318</v>
      </c>
      <c r="AR25" s="1603">
        <v>1881360.8098134347</v>
      </c>
      <c r="AS25" s="1603">
        <v>2031259.7759534377</v>
      </c>
      <c r="AT25" s="1603">
        <v>2181158.7420934411</v>
      </c>
      <c r="AU25" s="1603">
        <v>2326583.3482334442</v>
      </c>
      <c r="AV25" s="1603">
        <v>2472007.9543734472</v>
      </c>
      <c r="AW25" s="1603">
        <v>2617432.5605134503</v>
      </c>
      <c r="AX25" s="1603">
        <v>2762857.1666534534</v>
      </c>
      <c r="AZ25" s="1586">
        <f>N25</f>
        <v>1440533.46561334</v>
      </c>
      <c r="BA25" s="1586">
        <f>Z25</f>
        <v>2259913.939293378</v>
      </c>
      <c r="BB25" s="1586">
        <f>AL25</f>
        <v>2646760.0129734161</v>
      </c>
      <c r="BC25" s="1586">
        <f>AX25</f>
        <v>2762857.1666534534</v>
      </c>
      <c r="BD25" s="1586"/>
      <c r="BE25" s="1586">
        <f>E25</f>
        <v>571355.78</v>
      </c>
      <c r="BF25" s="1586">
        <f>H25</f>
        <v>604697.74</v>
      </c>
      <c r="BG25" s="1586">
        <f>K25</f>
        <v>1370335.6800000002</v>
      </c>
      <c r="BH25" s="1586">
        <f>N25</f>
        <v>1440533.46561334</v>
      </c>
      <c r="BI25" s="1586">
        <f>Q25</f>
        <v>1348781.6040333493</v>
      </c>
      <c r="BJ25" s="1586">
        <f>T25</f>
        <v>1658061.5424533589</v>
      </c>
      <c r="BK25" s="1586">
        <f>W25</f>
        <v>1963164.6108733683</v>
      </c>
      <c r="BL25" s="1586">
        <f>Z25</f>
        <v>2259913.939293378</v>
      </c>
      <c r="BM25" s="1586">
        <f>AC25</f>
        <v>1443079.0177133877</v>
      </c>
      <c r="BN25" s="1586">
        <f>AF25</f>
        <v>1850070.096133397</v>
      </c>
      <c r="BO25" s="1586">
        <f>AI25</f>
        <v>2252738.1145534064</v>
      </c>
      <c r="BP25" s="1586">
        <f>AL25</f>
        <v>2646760.0129734161</v>
      </c>
      <c r="BQ25" s="1586">
        <f>AO25</f>
        <v>1431663.9113934259</v>
      </c>
      <c r="BR25" s="1586">
        <f>AR25</f>
        <v>1881360.8098134347</v>
      </c>
      <c r="BS25" s="1586">
        <f>AU25</f>
        <v>2326583.3482334442</v>
      </c>
      <c r="BT25" s="1586">
        <f>AX25</f>
        <v>2762857.1666534534</v>
      </c>
    </row>
    <row r="26" spans="1:72">
      <c r="A26" s="1601" t="s">
        <v>3445</v>
      </c>
      <c r="B26" s="1643"/>
      <c r="C26" s="1643"/>
      <c r="D26" s="1643"/>
      <c r="E26" s="1643"/>
      <c r="F26" s="1643"/>
      <c r="G26" s="1643"/>
      <c r="H26" s="1643"/>
      <c r="I26" s="1643"/>
      <c r="J26" s="1643"/>
      <c r="K26" s="1643"/>
      <c r="L26" s="1643"/>
      <c r="M26" s="1603"/>
      <c r="N26" s="1603"/>
      <c r="O26" s="1603"/>
      <c r="P26" s="1603"/>
      <c r="Q26" s="1603"/>
      <c r="R26" s="1603"/>
      <c r="S26" s="1603"/>
      <c r="T26" s="1603"/>
      <c r="U26" s="1603"/>
      <c r="V26" s="1603"/>
      <c r="W26" s="1603"/>
      <c r="X26" s="1603"/>
      <c r="Y26" s="1603"/>
      <c r="Z26" s="1603"/>
      <c r="AA26" s="1603"/>
      <c r="AB26" s="1603"/>
      <c r="AC26" s="1603"/>
      <c r="AD26" s="1603"/>
      <c r="AE26" s="1603"/>
      <c r="AF26" s="1603"/>
      <c r="AG26" s="1603"/>
      <c r="AH26" s="1603"/>
      <c r="AI26" s="1603"/>
      <c r="AJ26" s="1603"/>
      <c r="AK26" s="1603"/>
      <c r="AL26" s="1603"/>
      <c r="AM26" s="1603"/>
      <c r="AN26" s="1603"/>
      <c r="AO26" s="1603"/>
      <c r="AP26" s="1603"/>
      <c r="AQ26" s="1603"/>
      <c r="AR26" s="1603"/>
      <c r="AS26" s="1603"/>
      <c r="AT26" s="1603"/>
      <c r="AU26" s="1603"/>
      <c r="AV26" s="1603"/>
      <c r="AW26" s="1603"/>
      <c r="AX26" s="1603"/>
      <c r="AZ26" s="1586">
        <f>N26</f>
        <v>0</v>
      </c>
      <c r="BA26" s="1586">
        <f>Z26</f>
        <v>0</v>
      </c>
      <c r="BB26" s="1586">
        <f>AL26</f>
        <v>0</v>
      </c>
      <c r="BC26" s="1586">
        <f>AX26</f>
        <v>0</v>
      </c>
      <c r="BD26" s="1586"/>
      <c r="BE26" s="1586">
        <f>E26</f>
        <v>0</v>
      </c>
      <c r="BF26" s="1586">
        <f>H26</f>
        <v>0</v>
      </c>
      <c r="BG26" s="1586">
        <f>K26</f>
        <v>0</v>
      </c>
      <c r="BH26" s="1586">
        <f>N26</f>
        <v>0</v>
      </c>
      <c r="BI26" s="1586">
        <f>Q26</f>
        <v>0</v>
      </c>
      <c r="BJ26" s="1586">
        <f>T26</f>
        <v>0</v>
      </c>
      <c r="BK26" s="1586">
        <f>W26</f>
        <v>0</v>
      </c>
      <c r="BL26" s="1586">
        <f>Z26</f>
        <v>0</v>
      </c>
      <c r="BM26" s="1586">
        <f>AC26</f>
        <v>0</v>
      </c>
      <c r="BN26" s="1586">
        <f>AF26</f>
        <v>0</v>
      </c>
      <c r="BO26" s="1586">
        <f>AI26</f>
        <v>0</v>
      </c>
      <c r="BP26" s="1586">
        <f>AL26</f>
        <v>0</v>
      </c>
      <c r="BQ26" s="1586">
        <f>AO26</f>
        <v>0</v>
      </c>
      <c r="BR26" s="1586">
        <f>AR26</f>
        <v>0</v>
      </c>
      <c r="BS26" s="1586">
        <f>AU26</f>
        <v>0</v>
      </c>
      <c r="BT26" s="1586">
        <f>AX26</f>
        <v>0</v>
      </c>
    </row>
    <row r="27" spans="1:72">
      <c r="A27" s="1601" t="s">
        <v>3444</v>
      </c>
      <c r="B27" s="1645">
        <v>32972.949999999997</v>
      </c>
      <c r="C27" s="1646">
        <v>28851.33</v>
      </c>
      <c r="D27" s="1646">
        <v>24729.71</v>
      </c>
      <c r="E27" s="1646">
        <v>20608.09</v>
      </c>
      <c r="F27" s="1646">
        <v>16486.47</v>
      </c>
      <c r="G27" s="1646">
        <v>12364.85</v>
      </c>
      <c r="H27" s="1646">
        <v>8243.23</v>
      </c>
      <c r="I27" s="1646">
        <v>4121.6099999999997</v>
      </c>
      <c r="J27" s="1646">
        <v>0</v>
      </c>
      <c r="K27" s="1645">
        <v>0</v>
      </c>
      <c r="L27" s="1645">
        <v>0</v>
      </c>
      <c r="M27" s="1627">
        <v>0</v>
      </c>
      <c r="N27" s="1627">
        <v>0</v>
      </c>
      <c r="O27" s="1627">
        <v>0</v>
      </c>
      <c r="P27" s="1627">
        <v>0</v>
      </c>
      <c r="Q27" s="1627">
        <v>0</v>
      </c>
      <c r="R27" s="1627">
        <v>0</v>
      </c>
      <c r="S27" s="1627">
        <v>0</v>
      </c>
      <c r="T27" s="1627">
        <v>0</v>
      </c>
      <c r="U27" s="1627">
        <v>0</v>
      </c>
      <c r="V27" s="1627">
        <v>0</v>
      </c>
      <c r="W27" s="1627">
        <v>0</v>
      </c>
      <c r="X27" s="1627">
        <v>0</v>
      </c>
      <c r="Y27" s="1627">
        <v>0</v>
      </c>
      <c r="Z27" s="1627">
        <v>0</v>
      </c>
      <c r="AA27" s="1627">
        <v>0</v>
      </c>
      <c r="AB27" s="1627">
        <v>0</v>
      </c>
      <c r="AC27" s="1627">
        <v>0</v>
      </c>
      <c r="AD27" s="1627">
        <v>0</v>
      </c>
      <c r="AE27" s="1627">
        <v>0</v>
      </c>
      <c r="AF27" s="1627">
        <v>0</v>
      </c>
      <c r="AG27" s="1627">
        <v>0</v>
      </c>
      <c r="AH27" s="1627">
        <v>0</v>
      </c>
      <c r="AI27" s="1627">
        <v>0</v>
      </c>
      <c r="AJ27" s="1627">
        <v>0</v>
      </c>
      <c r="AK27" s="1627">
        <v>0</v>
      </c>
      <c r="AL27" s="1627">
        <v>0</v>
      </c>
      <c r="AM27" s="1627">
        <v>0</v>
      </c>
      <c r="AN27" s="1627">
        <v>0</v>
      </c>
      <c r="AO27" s="1627">
        <v>0</v>
      </c>
      <c r="AP27" s="1627">
        <v>0</v>
      </c>
      <c r="AQ27" s="1627">
        <v>0</v>
      </c>
      <c r="AR27" s="1627">
        <v>0</v>
      </c>
      <c r="AS27" s="1627">
        <v>0</v>
      </c>
      <c r="AT27" s="1627">
        <v>0</v>
      </c>
      <c r="AU27" s="1627">
        <v>0</v>
      </c>
      <c r="AV27" s="1627">
        <v>0</v>
      </c>
      <c r="AW27" s="1627">
        <v>0</v>
      </c>
      <c r="AX27" s="1627">
        <v>0</v>
      </c>
      <c r="AZ27" s="1624">
        <f>N27</f>
        <v>0</v>
      </c>
      <c r="BA27" s="1624">
        <f>Z27</f>
        <v>0</v>
      </c>
      <c r="BB27" s="1624">
        <f>AL27</f>
        <v>0</v>
      </c>
      <c r="BC27" s="1624">
        <f>AX27</f>
        <v>0</v>
      </c>
      <c r="BD27" s="1586"/>
      <c r="BE27" s="1624">
        <f>E27</f>
        <v>20608.09</v>
      </c>
      <c r="BF27" s="1624">
        <f>H27</f>
        <v>8243.23</v>
      </c>
      <c r="BG27" s="1624">
        <f>K27</f>
        <v>0</v>
      </c>
      <c r="BH27" s="1624">
        <f>N27</f>
        <v>0</v>
      </c>
      <c r="BI27" s="1624">
        <f>Q27</f>
        <v>0</v>
      </c>
      <c r="BJ27" s="1624">
        <f>T27</f>
        <v>0</v>
      </c>
      <c r="BK27" s="1624">
        <f>W27</f>
        <v>0</v>
      </c>
      <c r="BL27" s="1624">
        <f>Z27</f>
        <v>0</v>
      </c>
      <c r="BM27" s="1624">
        <f>AC27</f>
        <v>0</v>
      </c>
      <c r="BN27" s="1624">
        <f>AF27</f>
        <v>0</v>
      </c>
      <c r="BO27" s="1624">
        <f>AI27</f>
        <v>0</v>
      </c>
      <c r="BP27" s="1624">
        <f>AL27</f>
        <v>0</v>
      </c>
      <c r="BQ27" s="1624"/>
      <c r="BR27" s="1624"/>
      <c r="BS27" s="1624"/>
      <c r="BT27" s="1624"/>
    </row>
    <row r="28" spans="1:72">
      <c r="A28" s="1601" t="s">
        <v>3399</v>
      </c>
      <c r="B28" s="1643">
        <f t="shared" ref="B28:AG28" si="9">SUM(B24:B27)</f>
        <v>1118937.03</v>
      </c>
      <c r="C28" s="1643">
        <f t="shared" si="9"/>
        <v>962731.25000000012</v>
      </c>
      <c r="D28" s="1643">
        <f t="shared" si="9"/>
        <v>745080.10999999987</v>
      </c>
      <c r="E28" s="1643">
        <f t="shared" si="9"/>
        <v>866519.62</v>
      </c>
      <c r="F28" s="1643">
        <f t="shared" si="9"/>
        <v>881626.73</v>
      </c>
      <c r="G28" s="1643">
        <f t="shared" si="9"/>
        <v>1056697.31</v>
      </c>
      <c r="H28" s="1643">
        <f t="shared" si="9"/>
        <v>1014332.58</v>
      </c>
      <c r="I28" s="1643">
        <f t="shared" si="9"/>
        <v>1275702.4600000002</v>
      </c>
      <c r="J28" s="1643">
        <f t="shared" si="9"/>
        <v>1040453.8500000001</v>
      </c>
      <c r="K28" s="1643">
        <f t="shared" si="9"/>
        <v>2153409.3200000003</v>
      </c>
      <c r="L28" s="1643">
        <f t="shared" si="9"/>
        <v>2532979.37</v>
      </c>
      <c r="M28" s="1603">
        <f t="shared" si="9"/>
        <v>3119052.8244177811</v>
      </c>
      <c r="N28" s="1603">
        <f t="shared" si="9"/>
        <v>3372587.3561133398</v>
      </c>
      <c r="O28" s="1603">
        <f t="shared" si="9"/>
        <v>2943038.866142232</v>
      </c>
      <c r="P28" s="1603">
        <f t="shared" si="9"/>
        <v>2397618.3377266796</v>
      </c>
      <c r="Q28" s="1603">
        <f t="shared" si="9"/>
        <v>2741616.2533239052</v>
      </c>
      <c r="R28" s="1603">
        <f t="shared" si="9"/>
        <v>3324891.2545622415</v>
      </c>
      <c r="S28" s="1603">
        <f t="shared" si="9"/>
        <v>2823010.1684522443</v>
      </c>
      <c r="T28" s="1603">
        <f t="shared" si="9"/>
        <v>3142748.2741200253</v>
      </c>
      <c r="U28" s="1603">
        <f t="shared" si="9"/>
        <v>3120734.6827600286</v>
      </c>
      <c r="V28" s="1603">
        <f t="shared" si="9"/>
        <v>3191320.4622333655</v>
      </c>
      <c r="W28" s="1603">
        <f t="shared" si="9"/>
        <v>3430665.752262257</v>
      </c>
      <c r="X28" s="1603">
        <f t="shared" si="9"/>
        <v>4112159.4895133711</v>
      </c>
      <c r="Y28" s="1603">
        <f t="shared" si="9"/>
        <v>3451292.3552367082</v>
      </c>
      <c r="Z28" s="1603">
        <f t="shared" si="9"/>
        <v>4369438.4167933781</v>
      </c>
      <c r="AA28" s="1603">
        <f t="shared" si="9"/>
        <v>3805394.1304333806</v>
      </c>
      <c r="AB28" s="1603">
        <f t="shared" si="9"/>
        <v>2896663.3635178283</v>
      </c>
      <c r="AC28" s="1603">
        <f t="shared" si="9"/>
        <v>2991527.4007689427</v>
      </c>
      <c r="AD28" s="1603">
        <f t="shared" si="9"/>
        <v>3900497.6213533897</v>
      </c>
      <c r="AE28" s="1603">
        <f t="shared" si="9"/>
        <v>3423591.3141600592</v>
      </c>
      <c r="AF28" s="1603">
        <f t="shared" si="9"/>
        <v>3669925.0069667296</v>
      </c>
      <c r="AG28" s="1603">
        <f t="shared" si="9"/>
        <v>3970453.749773399</v>
      </c>
      <c r="AH28" s="1603">
        <f t="shared" ref="AH28:AX28" si="10">SUM(AH24:AH27)</f>
        <v>4052887.8092467356</v>
      </c>
      <c r="AI28" s="1603">
        <f t="shared" si="10"/>
        <v>3796020.342053405</v>
      </c>
      <c r="AJ28" s="1603">
        <f t="shared" si="10"/>
        <v>5206750.9748600749</v>
      </c>
      <c r="AK28" s="1603">
        <f t="shared" si="10"/>
        <v>4214567.807666745</v>
      </c>
      <c r="AL28" s="1603">
        <f t="shared" si="10"/>
        <v>4321117.2404734148</v>
      </c>
      <c r="AM28" s="1603">
        <f t="shared" si="10"/>
        <v>4915109.2441134173</v>
      </c>
      <c r="AN28" s="1603">
        <f t="shared" si="10"/>
        <v>3565378.4894200875</v>
      </c>
      <c r="AO28" s="1603">
        <f t="shared" si="10"/>
        <v>4308570.8555600904</v>
      </c>
      <c r="AP28" s="1603">
        <f t="shared" si="10"/>
        <v>3927414.8217000929</v>
      </c>
      <c r="AQ28" s="1603">
        <f t="shared" si="10"/>
        <v>3431423.7878400953</v>
      </c>
      <c r="AR28" s="1603">
        <f t="shared" si="10"/>
        <v>3387009.7539800983</v>
      </c>
      <c r="AS28" s="1603">
        <f t="shared" si="10"/>
        <v>3549315.0534534347</v>
      </c>
      <c r="AT28" s="1603">
        <f t="shared" si="10"/>
        <v>3594130.9432045491</v>
      </c>
      <c r="AU28" s="1603">
        <f t="shared" si="10"/>
        <v>3845227.3549001077</v>
      </c>
      <c r="AV28" s="1603">
        <f t="shared" si="10"/>
        <v>4411165.2943734443</v>
      </c>
      <c r="AW28" s="1603">
        <f t="shared" si="10"/>
        <v>4015594.4338467806</v>
      </c>
      <c r="AX28" s="1603">
        <f t="shared" si="10"/>
        <v>4237804.6455423394</v>
      </c>
      <c r="AZ28" s="1603">
        <f>SUM(AZ24:AZ27)</f>
        <v>3372587.3561133398</v>
      </c>
      <c r="BA28" s="1603">
        <f>SUM(BA24:BA27)</f>
        <v>4369438.4167933781</v>
      </c>
      <c r="BB28" s="1603">
        <f>SUM(BB24:BB27)</f>
        <v>4321117.2404734148</v>
      </c>
      <c r="BC28" s="1603">
        <f>SUM(BC24:BC27)</f>
        <v>4237804.6455423394</v>
      </c>
      <c r="BE28" s="1603">
        <f t="shared" ref="BE28:BT28" si="11">SUM(BE24:BE27)</f>
        <v>866519.62</v>
      </c>
      <c r="BF28" s="1603">
        <f t="shared" si="11"/>
        <v>1014332.58</v>
      </c>
      <c r="BG28" s="1603">
        <f t="shared" si="11"/>
        <v>2153409.3200000003</v>
      </c>
      <c r="BH28" s="1603">
        <f t="shared" si="11"/>
        <v>3372587.3561133398</v>
      </c>
      <c r="BI28" s="1603">
        <f t="shared" si="11"/>
        <v>2741616.2533239052</v>
      </c>
      <c r="BJ28" s="1603">
        <f t="shared" si="11"/>
        <v>3142748.2741200253</v>
      </c>
      <c r="BK28" s="1603">
        <f t="shared" si="11"/>
        <v>3430665.752262257</v>
      </c>
      <c r="BL28" s="1603">
        <f t="shared" si="11"/>
        <v>4369438.4167933781</v>
      </c>
      <c r="BM28" s="1603">
        <f t="shared" si="11"/>
        <v>2991527.4007689427</v>
      </c>
      <c r="BN28" s="1603">
        <f t="shared" si="11"/>
        <v>3669925.0069667296</v>
      </c>
      <c r="BO28" s="1603">
        <f t="shared" si="11"/>
        <v>3796020.342053405</v>
      </c>
      <c r="BP28" s="1603">
        <f t="shared" si="11"/>
        <v>4321117.2404734148</v>
      </c>
      <c r="BQ28" s="1603">
        <f t="shared" si="11"/>
        <v>4308570.8555600904</v>
      </c>
      <c r="BR28" s="1603">
        <f t="shared" si="11"/>
        <v>3387009.7539800983</v>
      </c>
      <c r="BS28" s="1603">
        <f t="shared" si="11"/>
        <v>3845227.3549001077</v>
      </c>
      <c r="BT28" s="1603">
        <f t="shared" si="11"/>
        <v>4237804.6455423394</v>
      </c>
    </row>
    <row r="29" spans="1:72">
      <c r="A29" s="1601"/>
      <c r="B29" s="1643"/>
      <c r="C29" s="1643"/>
      <c r="D29" s="1643"/>
      <c r="E29" s="1643"/>
      <c r="F29" s="1643"/>
      <c r="G29" s="1643"/>
      <c r="H29" s="1643"/>
      <c r="I29" s="1643"/>
      <c r="J29" s="1643"/>
      <c r="K29" s="1643"/>
      <c r="L29" s="1643"/>
      <c r="M29" s="1603"/>
      <c r="N29" s="1603"/>
      <c r="O29" s="1603"/>
      <c r="P29" s="1603"/>
      <c r="Q29" s="1603"/>
      <c r="R29" s="1603"/>
      <c r="S29" s="1603"/>
      <c r="T29" s="1603"/>
      <c r="U29" s="1603"/>
      <c r="V29" s="1603"/>
      <c r="W29" s="1603"/>
      <c r="X29" s="1603"/>
      <c r="Y29" s="1603"/>
      <c r="Z29" s="1603"/>
      <c r="AA29" s="1603"/>
      <c r="AB29" s="1603"/>
      <c r="AC29" s="1603"/>
      <c r="AD29" s="1603"/>
      <c r="AE29" s="1603"/>
      <c r="AF29" s="1603"/>
      <c r="AG29" s="1603"/>
      <c r="AH29" s="1603"/>
      <c r="AI29" s="1603"/>
      <c r="AJ29" s="1603"/>
      <c r="AK29" s="1603"/>
      <c r="AL29" s="1603"/>
      <c r="AM29" s="1603"/>
      <c r="AN29" s="1603"/>
      <c r="AO29" s="1603"/>
      <c r="AP29" s="1603"/>
      <c r="AQ29" s="1603"/>
      <c r="AR29" s="1603"/>
      <c r="AS29" s="1603"/>
      <c r="AT29" s="1603"/>
      <c r="AU29" s="1603"/>
      <c r="AV29" s="1603"/>
      <c r="AW29" s="1603"/>
      <c r="AX29" s="1603"/>
    </row>
    <row r="30" spans="1:72">
      <c r="A30" s="1601" t="s">
        <v>3400</v>
      </c>
      <c r="B30" s="1643"/>
      <c r="C30" s="1643"/>
      <c r="D30" s="1643"/>
      <c r="E30" s="1643"/>
      <c r="F30" s="1643"/>
      <c r="G30" s="1643"/>
      <c r="H30" s="1643"/>
      <c r="I30" s="1643"/>
      <c r="J30" s="1643"/>
      <c r="K30" s="1643"/>
      <c r="L30" s="1643"/>
      <c r="M30" s="1603"/>
      <c r="N30" s="1603"/>
      <c r="O30" s="1603"/>
      <c r="P30" s="1603"/>
      <c r="Q30" s="1603"/>
      <c r="R30" s="1603"/>
      <c r="S30" s="1603"/>
      <c r="T30" s="1603"/>
      <c r="U30" s="1603"/>
      <c r="V30" s="1603"/>
      <c r="W30" s="1603"/>
      <c r="X30" s="1603"/>
      <c r="Y30" s="1603"/>
      <c r="Z30" s="1603"/>
      <c r="AA30" s="1603"/>
      <c r="AB30" s="1603"/>
      <c r="AC30" s="1603"/>
      <c r="AD30" s="1603"/>
      <c r="AE30" s="1603"/>
      <c r="AF30" s="1603"/>
      <c r="AG30" s="1603"/>
      <c r="AH30" s="1603"/>
      <c r="AI30" s="1603"/>
      <c r="AJ30" s="1603"/>
      <c r="AK30" s="1603"/>
      <c r="AL30" s="1603"/>
      <c r="AM30" s="1603"/>
      <c r="AN30" s="1603"/>
      <c r="AO30" s="1603"/>
      <c r="AP30" s="1603"/>
      <c r="AQ30" s="1603"/>
      <c r="AR30" s="1603"/>
      <c r="AS30" s="1603"/>
      <c r="AT30" s="1603"/>
      <c r="AU30" s="1603"/>
      <c r="AV30" s="1603"/>
      <c r="AW30" s="1603"/>
      <c r="AX30" s="1603"/>
    </row>
    <row r="31" spans="1:72">
      <c r="A31" s="1601" t="s">
        <v>3443</v>
      </c>
      <c r="B31" s="1643">
        <f>149755.15+257493.5</f>
        <v>407248.65</v>
      </c>
      <c r="C31" s="1647">
        <v>395995.54000000004</v>
      </c>
      <c r="D31" s="1647">
        <v>383777.17</v>
      </c>
      <c r="E31" s="1647">
        <v>371485.61</v>
      </c>
      <c r="F31" s="1647">
        <v>427494.98</v>
      </c>
      <c r="G31" s="1647">
        <v>411849.58999999997</v>
      </c>
      <c r="H31" s="1647">
        <v>395295.41000000003</v>
      </c>
      <c r="I31" s="1647">
        <v>380435.87</v>
      </c>
      <c r="J31" s="1647">
        <v>367926.3</v>
      </c>
      <c r="K31" s="1643">
        <v>351037.45999999996</v>
      </c>
      <c r="L31" s="1643">
        <v>335378.04000000004</v>
      </c>
      <c r="M31" s="1603">
        <v>318378.04000000004</v>
      </c>
      <c r="N31" s="1603">
        <v>301378.04000000004</v>
      </c>
      <c r="O31" s="1603">
        <v>284378.04000000004</v>
      </c>
      <c r="P31" s="1603">
        <v>267378.04000000004</v>
      </c>
      <c r="Q31" s="1603">
        <v>250378.04000000004</v>
      </c>
      <c r="R31" s="1603">
        <v>233378.04000000004</v>
      </c>
      <c r="S31" s="1603">
        <v>216378.04000000004</v>
      </c>
      <c r="T31" s="1603">
        <v>199378.04000000004</v>
      </c>
      <c r="U31" s="1603">
        <v>182378.04000000004</v>
      </c>
      <c r="V31" s="1603">
        <v>165378.04000000004</v>
      </c>
      <c r="W31" s="1603">
        <v>148378.04000000004</v>
      </c>
      <c r="X31" s="1603">
        <v>131378.04000000004</v>
      </c>
      <c r="Y31" s="1603">
        <v>114378.04000000004</v>
      </c>
      <c r="Z31" s="1603">
        <v>97378.040000000037</v>
      </c>
      <c r="AA31" s="1603">
        <v>80378.040000000037</v>
      </c>
      <c r="AB31" s="1603">
        <v>63378.040000000037</v>
      </c>
      <c r="AC31" s="1603">
        <v>46378.040000000037</v>
      </c>
      <c r="AD31" s="1603">
        <v>29378.040000000037</v>
      </c>
      <c r="AE31" s="1603">
        <v>12378.040000000037</v>
      </c>
      <c r="AF31" s="1603">
        <v>3.637978807091713E-11</v>
      </c>
      <c r="AG31" s="1603">
        <v>3.637978807091713E-11</v>
      </c>
      <c r="AH31" s="1603">
        <v>3.637978807091713E-11</v>
      </c>
      <c r="AI31" s="1603">
        <v>3.637978807091713E-11</v>
      </c>
      <c r="AJ31" s="1603">
        <v>3.637978807091713E-11</v>
      </c>
      <c r="AK31" s="1603">
        <v>3.637978807091713E-11</v>
      </c>
      <c r="AL31" s="1603">
        <v>3.637978807091713E-11</v>
      </c>
      <c r="AM31" s="1603">
        <v>3.637978807091713E-11</v>
      </c>
      <c r="AN31" s="1603">
        <v>3.637978807091713E-11</v>
      </c>
      <c r="AO31" s="1603">
        <v>3.637978807091713E-11</v>
      </c>
      <c r="AP31" s="1603">
        <v>3.637978807091713E-11</v>
      </c>
      <c r="AQ31" s="1603">
        <v>3.637978807091713E-11</v>
      </c>
      <c r="AR31" s="1603">
        <v>3.637978807091713E-11</v>
      </c>
      <c r="AS31" s="1603">
        <v>3.637978807091713E-11</v>
      </c>
      <c r="AT31" s="1603">
        <v>3.637978807091713E-11</v>
      </c>
      <c r="AU31" s="1603">
        <v>3.637978807091713E-11</v>
      </c>
      <c r="AV31" s="1603">
        <v>3.637978807091713E-11</v>
      </c>
      <c r="AW31" s="1603">
        <v>3.637978807091713E-11</v>
      </c>
      <c r="AX31" s="1603">
        <v>3.637978807091713E-11</v>
      </c>
      <c r="AZ31" s="1586">
        <f>N31</f>
        <v>301378.04000000004</v>
      </c>
      <c r="BA31" s="1586">
        <f>Z31</f>
        <v>97378.040000000037</v>
      </c>
      <c r="BB31" s="1586">
        <f>AL31</f>
        <v>3.637978807091713E-11</v>
      </c>
      <c r="BC31" s="1586">
        <f>AX31</f>
        <v>3.637978807091713E-11</v>
      </c>
      <c r="BD31" s="1586"/>
      <c r="BE31" s="1586">
        <f>E31</f>
        <v>371485.61</v>
      </c>
      <c r="BF31" s="1586">
        <f>H31</f>
        <v>395295.41000000003</v>
      </c>
      <c r="BG31" s="1586">
        <f>K31</f>
        <v>351037.45999999996</v>
      </c>
      <c r="BH31" s="1586">
        <f>N31</f>
        <v>301378.04000000004</v>
      </c>
      <c r="BI31" s="1586">
        <f>Q31</f>
        <v>250378.04000000004</v>
      </c>
      <c r="BJ31" s="1586">
        <f>T31</f>
        <v>199378.04000000004</v>
      </c>
      <c r="BK31" s="1586">
        <f>W31</f>
        <v>148378.04000000004</v>
      </c>
      <c r="BL31" s="1586">
        <f>Z31</f>
        <v>97378.040000000037</v>
      </c>
      <c r="BM31" s="1586">
        <f>AC31</f>
        <v>46378.040000000037</v>
      </c>
      <c r="BN31" s="1586">
        <f>AF31</f>
        <v>3.637978807091713E-11</v>
      </c>
      <c r="BO31" s="1586">
        <f>AI31</f>
        <v>3.637978807091713E-11</v>
      </c>
      <c r="BP31" s="1586">
        <f>AL31</f>
        <v>3.637978807091713E-11</v>
      </c>
      <c r="BQ31" s="1586">
        <f>AO31</f>
        <v>3.637978807091713E-11</v>
      </c>
      <c r="BR31" s="1586">
        <f>AR31</f>
        <v>3.637978807091713E-11</v>
      </c>
      <c r="BS31" s="1586">
        <f>AU31</f>
        <v>3.637978807091713E-11</v>
      </c>
      <c r="BT31" s="1586">
        <f>AX31</f>
        <v>3.637978807091713E-11</v>
      </c>
    </row>
    <row r="32" spans="1:72">
      <c r="A32" s="1601" t="s">
        <v>3402</v>
      </c>
      <c r="B32" s="1649">
        <f t="shared" ref="B32:AG32" si="12">B31</f>
        <v>407248.65</v>
      </c>
      <c r="C32" s="1649">
        <f t="shared" si="12"/>
        <v>395995.54000000004</v>
      </c>
      <c r="D32" s="1649">
        <f t="shared" si="12"/>
        <v>383777.17</v>
      </c>
      <c r="E32" s="1649">
        <f t="shared" si="12"/>
        <v>371485.61</v>
      </c>
      <c r="F32" s="1649">
        <f t="shared" si="12"/>
        <v>427494.98</v>
      </c>
      <c r="G32" s="1649">
        <f t="shared" si="12"/>
        <v>411849.58999999997</v>
      </c>
      <c r="H32" s="1649">
        <f t="shared" si="12"/>
        <v>395295.41000000003</v>
      </c>
      <c r="I32" s="1649">
        <f t="shared" si="12"/>
        <v>380435.87</v>
      </c>
      <c r="J32" s="1649">
        <f t="shared" si="12"/>
        <v>367926.3</v>
      </c>
      <c r="K32" s="1649">
        <f t="shared" si="12"/>
        <v>351037.45999999996</v>
      </c>
      <c r="L32" s="1649">
        <f t="shared" si="12"/>
        <v>335378.04000000004</v>
      </c>
      <c r="M32" s="1606">
        <f t="shared" si="12"/>
        <v>318378.04000000004</v>
      </c>
      <c r="N32" s="1606">
        <f t="shared" si="12"/>
        <v>301378.04000000004</v>
      </c>
      <c r="O32" s="1606">
        <f t="shared" si="12"/>
        <v>284378.04000000004</v>
      </c>
      <c r="P32" s="1606">
        <f t="shared" si="12"/>
        <v>267378.04000000004</v>
      </c>
      <c r="Q32" s="1606">
        <f t="shared" si="12"/>
        <v>250378.04000000004</v>
      </c>
      <c r="R32" s="1606">
        <f t="shared" si="12"/>
        <v>233378.04000000004</v>
      </c>
      <c r="S32" s="1606">
        <f t="shared" si="12"/>
        <v>216378.04000000004</v>
      </c>
      <c r="T32" s="1606">
        <f t="shared" si="12"/>
        <v>199378.04000000004</v>
      </c>
      <c r="U32" s="1606">
        <f t="shared" si="12"/>
        <v>182378.04000000004</v>
      </c>
      <c r="V32" s="1606">
        <f t="shared" si="12"/>
        <v>165378.04000000004</v>
      </c>
      <c r="W32" s="1606">
        <f t="shared" si="12"/>
        <v>148378.04000000004</v>
      </c>
      <c r="X32" s="1606">
        <f t="shared" si="12"/>
        <v>131378.04000000004</v>
      </c>
      <c r="Y32" s="1606">
        <f t="shared" si="12"/>
        <v>114378.04000000004</v>
      </c>
      <c r="Z32" s="1606">
        <f t="shared" si="12"/>
        <v>97378.040000000037</v>
      </c>
      <c r="AA32" s="1606">
        <f t="shared" si="12"/>
        <v>80378.040000000037</v>
      </c>
      <c r="AB32" s="1606">
        <f t="shared" si="12"/>
        <v>63378.040000000037</v>
      </c>
      <c r="AC32" s="1606">
        <f t="shared" si="12"/>
        <v>46378.040000000037</v>
      </c>
      <c r="AD32" s="1606">
        <f t="shared" si="12"/>
        <v>29378.040000000037</v>
      </c>
      <c r="AE32" s="1606">
        <f t="shared" si="12"/>
        <v>12378.040000000037</v>
      </c>
      <c r="AF32" s="1606">
        <f t="shared" si="12"/>
        <v>3.637978807091713E-11</v>
      </c>
      <c r="AG32" s="1606">
        <f t="shared" si="12"/>
        <v>3.637978807091713E-11</v>
      </c>
      <c r="AH32" s="1606">
        <f t="shared" ref="AH32:AX32" si="13">AH31</f>
        <v>3.637978807091713E-11</v>
      </c>
      <c r="AI32" s="1606">
        <f t="shared" si="13"/>
        <v>3.637978807091713E-11</v>
      </c>
      <c r="AJ32" s="1606">
        <f t="shared" si="13"/>
        <v>3.637978807091713E-11</v>
      </c>
      <c r="AK32" s="1606">
        <f t="shared" si="13"/>
        <v>3.637978807091713E-11</v>
      </c>
      <c r="AL32" s="1606">
        <f t="shared" si="13"/>
        <v>3.637978807091713E-11</v>
      </c>
      <c r="AM32" s="1606">
        <f t="shared" si="13"/>
        <v>3.637978807091713E-11</v>
      </c>
      <c r="AN32" s="1606">
        <f t="shared" si="13"/>
        <v>3.637978807091713E-11</v>
      </c>
      <c r="AO32" s="1606">
        <f t="shared" si="13"/>
        <v>3.637978807091713E-11</v>
      </c>
      <c r="AP32" s="1606">
        <f t="shared" si="13"/>
        <v>3.637978807091713E-11</v>
      </c>
      <c r="AQ32" s="1606">
        <f t="shared" si="13"/>
        <v>3.637978807091713E-11</v>
      </c>
      <c r="AR32" s="1606">
        <f t="shared" si="13"/>
        <v>3.637978807091713E-11</v>
      </c>
      <c r="AS32" s="1606">
        <f t="shared" si="13"/>
        <v>3.637978807091713E-11</v>
      </c>
      <c r="AT32" s="1606">
        <f t="shared" si="13"/>
        <v>3.637978807091713E-11</v>
      </c>
      <c r="AU32" s="1606">
        <f t="shared" si="13"/>
        <v>3.637978807091713E-11</v>
      </c>
      <c r="AV32" s="1606">
        <f t="shared" si="13"/>
        <v>3.637978807091713E-11</v>
      </c>
      <c r="AW32" s="1606">
        <f t="shared" si="13"/>
        <v>3.637978807091713E-11</v>
      </c>
      <c r="AX32" s="1606">
        <f t="shared" si="13"/>
        <v>3.637978807091713E-11</v>
      </c>
      <c r="AZ32" s="1606">
        <f>AZ31</f>
        <v>301378.04000000004</v>
      </c>
      <c r="BA32" s="1606">
        <f>BA31</f>
        <v>97378.040000000037</v>
      </c>
      <c r="BB32" s="1606">
        <f>BB31</f>
        <v>3.637978807091713E-11</v>
      </c>
      <c r="BC32" s="1606">
        <f>BC31</f>
        <v>3.637978807091713E-11</v>
      </c>
      <c r="BE32" s="1606">
        <f t="shared" ref="BE32:BT32" si="14">BE31</f>
        <v>371485.61</v>
      </c>
      <c r="BF32" s="1606">
        <f t="shared" si="14"/>
        <v>395295.41000000003</v>
      </c>
      <c r="BG32" s="1606">
        <f t="shared" si="14"/>
        <v>351037.45999999996</v>
      </c>
      <c r="BH32" s="1606">
        <f t="shared" si="14"/>
        <v>301378.04000000004</v>
      </c>
      <c r="BI32" s="1606">
        <f t="shared" si="14"/>
        <v>250378.04000000004</v>
      </c>
      <c r="BJ32" s="1606">
        <f t="shared" si="14"/>
        <v>199378.04000000004</v>
      </c>
      <c r="BK32" s="1606">
        <f t="shared" si="14"/>
        <v>148378.04000000004</v>
      </c>
      <c r="BL32" s="1606">
        <f t="shared" si="14"/>
        <v>97378.040000000037</v>
      </c>
      <c r="BM32" s="1606">
        <f t="shared" si="14"/>
        <v>46378.040000000037</v>
      </c>
      <c r="BN32" s="1606">
        <f t="shared" si="14"/>
        <v>3.637978807091713E-11</v>
      </c>
      <c r="BO32" s="1606">
        <f t="shared" si="14"/>
        <v>3.637978807091713E-11</v>
      </c>
      <c r="BP32" s="1606">
        <f t="shared" si="14"/>
        <v>3.637978807091713E-11</v>
      </c>
      <c r="BQ32" s="1606">
        <f t="shared" si="14"/>
        <v>3.637978807091713E-11</v>
      </c>
      <c r="BR32" s="1606">
        <f t="shared" si="14"/>
        <v>3.637978807091713E-11</v>
      </c>
      <c r="BS32" s="1606">
        <f t="shared" si="14"/>
        <v>3.637978807091713E-11</v>
      </c>
      <c r="BT32" s="1606">
        <f t="shared" si="14"/>
        <v>3.637978807091713E-11</v>
      </c>
    </row>
    <row r="33" spans="1:72">
      <c r="A33" s="1601"/>
      <c r="B33" s="1643"/>
      <c r="C33" s="1643"/>
      <c r="D33" s="1643"/>
      <c r="E33" s="1643"/>
      <c r="F33" s="1643"/>
      <c r="G33" s="1643"/>
      <c r="H33" s="1643"/>
      <c r="I33" s="1643"/>
      <c r="J33" s="1643"/>
      <c r="K33" s="1643"/>
      <c r="L33" s="1643"/>
      <c r="M33" s="1603"/>
      <c r="N33" s="1603"/>
      <c r="O33" s="1603"/>
      <c r="P33" s="1603"/>
      <c r="Q33" s="1603"/>
      <c r="R33" s="1603"/>
      <c r="S33" s="1603"/>
      <c r="T33" s="1603"/>
      <c r="U33" s="1603"/>
      <c r="V33" s="1603"/>
      <c r="W33" s="1603"/>
      <c r="X33" s="1603"/>
      <c r="Y33" s="1603"/>
      <c r="Z33" s="1603"/>
      <c r="AA33" s="1603"/>
      <c r="AB33" s="1603"/>
      <c r="AC33" s="1603"/>
      <c r="AD33" s="1603"/>
      <c r="AE33" s="1603"/>
      <c r="AF33" s="1603"/>
      <c r="AG33" s="1603"/>
      <c r="AH33" s="1603"/>
      <c r="AI33" s="1603"/>
      <c r="AJ33" s="1603"/>
      <c r="AK33" s="1603"/>
      <c r="AL33" s="1603"/>
      <c r="AM33" s="1603"/>
      <c r="AN33" s="1603"/>
      <c r="AO33" s="1603"/>
      <c r="AP33" s="1603"/>
      <c r="AQ33" s="1603"/>
      <c r="AR33" s="1603"/>
      <c r="AS33" s="1603"/>
      <c r="AT33" s="1603"/>
      <c r="AU33" s="1603"/>
      <c r="AV33" s="1603"/>
      <c r="AW33" s="1603"/>
      <c r="AX33" s="1603"/>
    </row>
    <row r="34" spans="1:72">
      <c r="A34" s="1601" t="s">
        <v>3403</v>
      </c>
      <c r="B34" s="1643">
        <f t="shared" ref="B34:AG34" si="15">B28+B32</f>
        <v>1526185.6800000002</v>
      </c>
      <c r="C34" s="1643">
        <f t="shared" si="15"/>
        <v>1358726.79</v>
      </c>
      <c r="D34" s="1643">
        <f t="shared" si="15"/>
        <v>1128857.2799999998</v>
      </c>
      <c r="E34" s="1643">
        <f t="shared" si="15"/>
        <v>1238005.23</v>
      </c>
      <c r="F34" s="1643">
        <f t="shared" si="15"/>
        <v>1309121.71</v>
      </c>
      <c r="G34" s="1643">
        <f t="shared" si="15"/>
        <v>1468546.9</v>
      </c>
      <c r="H34" s="1643">
        <f t="shared" si="15"/>
        <v>1409627.99</v>
      </c>
      <c r="I34" s="1643">
        <f t="shared" si="15"/>
        <v>1656138.33</v>
      </c>
      <c r="J34" s="1643">
        <f t="shared" si="15"/>
        <v>1408380.1500000001</v>
      </c>
      <c r="K34" s="1643">
        <f t="shared" si="15"/>
        <v>2504446.7800000003</v>
      </c>
      <c r="L34" s="1643">
        <f t="shared" si="15"/>
        <v>2868357.41</v>
      </c>
      <c r="M34" s="1603">
        <f t="shared" si="15"/>
        <v>3437430.8644177811</v>
      </c>
      <c r="N34" s="1603">
        <f t="shared" si="15"/>
        <v>3673965.3961133398</v>
      </c>
      <c r="O34" s="1603">
        <f t="shared" si="15"/>
        <v>3227416.906142232</v>
      </c>
      <c r="P34" s="1603">
        <f t="shared" si="15"/>
        <v>2664996.3777266797</v>
      </c>
      <c r="Q34" s="1603">
        <f t="shared" si="15"/>
        <v>2991994.2933239052</v>
      </c>
      <c r="R34" s="1603">
        <f t="shared" si="15"/>
        <v>3558269.2945622415</v>
      </c>
      <c r="S34" s="1603">
        <f t="shared" si="15"/>
        <v>3039388.2084522443</v>
      </c>
      <c r="T34" s="1603">
        <f t="shared" si="15"/>
        <v>3342126.3141200254</v>
      </c>
      <c r="U34" s="1603">
        <f t="shared" si="15"/>
        <v>3303112.7227600287</v>
      </c>
      <c r="V34" s="1603">
        <f t="shared" si="15"/>
        <v>3356698.5022333656</v>
      </c>
      <c r="W34" s="1603">
        <f t="shared" si="15"/>
        <v>3579043.7922622571</v>
      </c>
      <c r="X34" s="1603">
        <f t="shared" si="15"/>
        <v>4243537.5295133712</v>
      </c>
      <c r="Y34" s="1603">
        <f t="shared" si="15"/>
        <v>3565670.3952367082</v>
      </c>
      <c r="Z34" s="1603">
        <f t="shared" si="15"/>
        <v>4466816.4567933781</v>
      </c>
      <c r="AA34" s="1603">
        <f t="shared" si="15"/>
        <v>3885772.1704333806</v>
      </c>
      <c r="AB34" s="1603">
        <f t="shared" si="15"/>
        <v>2960041.4035178283</v>
      </c>
      <c r="AC34" s="1603">
        <f t="shared" si="15"/>
        <v>3037905.4407689427</v>
      </c>
      <c r="AD34" s="1603">
        <f t="shared" si="15"/>
        <v>3929875.6613533897</v>
      </c>
      <c r="AE34" s="1603">
        <f t="shared" si="15"/>
        <v>3435969.3541600592</v>
      </c>
      <c r="AF34" s="1603">
        <f t="shared" si="15"/>
        <v>3669925.0069667296</v>
      </c>
      <c r="AG34" s="1603">
        <f t="shared" si="15"/>
        <v>3970453.749773399</v>
      </c>
      <c r="AH34" s="1603">
        <f t="shared" ref="AH34:AX34" si="16">AH28+AH32</f>
        <v>4052887.8092467356</v>
      </c>
      <c r="AI34" s="1603">
        <f t="shared" si="16"/>
        <v>3796020.342053405</v>
      </c>
      <c r="AJ34" s="1603">
        <f t="shared" si="16"/>
        <v>5206750.9748600749</v>
      </c>
      <c r="AK34" s="1603">
        <f t="shared" si="16"/>
        <v>4214567.807666745</v>
      </c>
      <c r="AL34" s="1603">
        <f t="shared" si="16"/>
        <v>4321117.2404734148</v>
      </c>
      <c r="AM34" s="1603">
        <f t="shared" si="16"/>
        <v>4915109.2441134173</v>
      </c>
      <c r="AN34" s="1603">
        <f t="shared" si="16"/>
        <v>3565378.4894200875</v>
      </c>
      <c r="AO34" s="1603">
        <f t="shared" si="16"/>
        <v>4308570.8555600904</v>
      </c>
      <c r="AP34" s="1603">
        <f t="shared" si="16"/>
        <v>3927414.8217000929</v>
      </c>
      <c r="AQ34" s="1603">
        <f t="shared" si="16"/>
        <v>3431423.7878400953</v>
      </c>
      <c r="AR34" s="1603">
        <f t="shared" si="16"/>
        <v>3387009.7539800983</v>
      </c>
      <c r="AS34" s="1603">
        <f t="shared" si="16"/>
        <v>3549315.0534534347</v>
      </c>
      <c r="AT34" s="1603">
        <f t="shared" si="16"/>
        <v>3594130.9432045491</v>
      </c>
      <c r="AU34" s="1603">
        <f t="shared" si="16"/>
        <v>3845227.3549001077</v>
      </c>
      <c r="AV34" s="1603">
        <f t="shared" si="16"/>
        <v>4411165.2943734443</v>
      </c>
      <c r="AW34" s="1603">
        <f t="shared" si="16"/>
        <v>4015594.4338467806</v>
      </c>
      <c r="AX34" s="1603">
        <f t="shared" si="16"/>
        <v>4237804.6455423394</v>
      </c>
      <c r="AZ34" s="1603">
        <f>AZ28+AZ32</f>
        <v>3673965.3961133398</v>
      </c>
      <c r="BA34" s="1603">
        <f>BA28+BA32</f>
        <v>4466816.4567933781</v>
      </c>
      <c r="BB34" s="1603">
        <f>BB28+BB32</f>
        <v>4321117.2404734148</v>
      </c>
      <c r="BC34" s="1603">
        <f>BC28+BC32</f>
        <v>4237804.6455423394</v>
      </c>
      <c r="BE34" s="1603">
        <f t="shared" ref="BE34:BT34" si="17">BE28+BE32</f>
        <v>1238005.23</v>
      </c>
      <c r="BF34" s="1603">
        <f t="shared" si="17"/>
        <v>1409627.99</v>
      </c>
      <c r="BG34" s="1603">
        <f t="shared" si="17"/>
        <v>2504446.7800000003</v>
      </c>
      <c r="BH34" s="1603">
        <f t="shared" si="17"/>
        <v>3673965.3961133398</v>
      </c>
      <c r="BI34" s="1603">
        <f t="shared" si="17"/>
        <v>2991994.2933239052</v>
      </c>
      <c r="BJ34" s="1603">
        <f t="shared" si="17"/>
        <v>3342126.3141200254</v>
      </c>
      <c r="BK34" s="1603">
        <f t="shared" si="17"/>
        <v>3579043.7922622571</v>
      </c>
      <c r="BL34" s="1603">
        <f t="shared" si="17"/>
        <v>4466816.4567933781</v>
      </c>
      <c r="BM34" s="1603">
        <f t="shared" si="17"/>
        <v>3037905.4407689427</v>
      </c>
      <c r="BN34" s="1603">
        <f t="shared" si="17"/>
        <v>3669925.0069667296</v>
      </c>
      <c r="BO34" s="1603">
        <f t="shared" si="17"/>
        <v>3796020.342053405</v>
      </c>
      <c r="BP34" s="1603">
        <f t="shared" si="17"/>
        <v>4321117.2404734148</v>
      </c>
      <c r="BQ34" s="1603">
        <f t="shared" si="17"/>
        <v>4308570.8555600904</v>
      </c>
      <c r="BR34" s="1603">
        <f t="shared" si="17"/>
        <v>3387009.7539800983</v>
      </c>
      <c r="BS34" s="1603">
        <f t="shared" si="17"/>
        <v>3845227.3549001077</v>
      </c>
      <c r="BT34" s="1603">
        <f t="shared" si="17"/>
        <v>4237804.6455423394</v>
      </c>
    </row>
    <row r="35" spans="1:72">
      <c r="A35" s="1601"/>
      <c r="B35" s="1643"/>
      <c r="C35" s="1643"/>
      <c r="D35" s="1643"/>
      <c r="E35" s="1643"/>
      <c r="F35" s="1643"/>
      <c r="G35" s="1643"/>
      <c r="H35" s="1643"/>
      <c r="I35" s="1643"/>
      <c r="J35" s="1643"/>
      <c r="K35" s="1643"/>
      <c r="L35" s="1643"/>
      <c r="M35" s="1603"/>
      <c r="N35" s="1603"/>
      <c r="O35" s="1603"/>
      <c r="P35" s="1603"/>
      <c r="Q35" s="1603"/>
      <c r="R35" s="1603"/>
      <c r="S35" s="1603"/>
      <c r="T35" s="1603"/>
      <c r="U35" s="1603"/>
      <c r="V35" s="1603"/>
      <c r="W35" s="1603"/>
      <c r="X35" s="1603"/>
      <c r="Y35" s="1603"/>
      <c r="Z35" s="1603"/>
      <c r="AA35" s="1603"/>
      <c r="AB35" s="1603"/>
      <c r="AC35" s="1603"/>
      <c r="AD35" s="1603"/>
      <c r="AE35" s="1603"/>
      <c r="AF35" s="1603"/>
      <c r="AG35" s="1603"/>
      <c r="AH35" s="1603"/>
      <c r="AI35" s="1603"/>
      <c r="AJ35" s="1603"/>
      <c r="AK35" s="1603"/>
      <c r="AL35" s="1603"/>
      <c r="AM35" s="1603"/>
      <c r="AN35" s="1603"/>
      <c r="AO35" s="1603"/>
      <c r="AP35" s="1603"/>
      <c r="AQ35" s="1603"/>
      <c r="AR35" s="1603"/>
      <c r="AS35" s="1603"/>
      <c r="AT35" s="1603"/>
      <c r="AU35" s="1603"/>
      <c r="AV35" s="1603"/>
      <c r="AW35" s="1603"/>
      <c r="AX35" s="1603"/>
    </row>
    <row r="36" spans="1:72">
      <c r="A36" s="1601" t="s">
        <v>265</v>
      </c>
      <c r="B36" s="1643"/>
      <c r="C36" s="1643"/>
      <c r="D36" s="1643"/>
      <c r="E36" s="1643"/>
      <c r="F36" s="1643"/>
      <c r="G36" s="1643"/>
      <c r="H36" s="1643"/>
      <c r="I36" s="1643"/>
      <c r="J36" s="1643"/>
      <c r="K36" s="1643"/>
      <c r="L36" s="1643"/>
      <c r="M36" s="1603"/>
      <c r="N36" s="1603"/>
      <c r="O36" s="1603"/>
      <c r="P36" s="1603"/>
      <c r="Q36" s="1603"/>
      <c r="R36" s="1603"/>
      <c r="S36" s="1603"/>
      <c r="T36" s="1603"/>
      <c r="U36" s="1603"/>
      <c r="V36" s="1603"/>
      <c r="W36" s="1603"/>
      <c r="X36" s="1603"/>
      <c r="Y36" s="1603"/>
      <c r="Z36" s="1603"/>
      <c r="AA36" s="1603"/>
      <c r="AB36" s="1603"/>
      <c r="AC36" s="1603"/>
      <c r="AD36" s="1603"/>
      <c r="AE36" s="1603"/>
      <c r="AF36" s="1603"/>
      <c r="AG36" s="1603"/>
      <c r="AH36" s="1603"/>
      <c r="AI36" s="1603"/>
      <c r="AJ36" s="1603"/>
      <c r="AK36" s="1603"/>
      <c r="AL36" s="1603"/>
      <c r="AM36" s="1603"/>
      <c r="AN36" s="1603"/>
      <c r="AO36" s="1603"/>
      <c r="AP36" s="1603"/>
      <c r="AQ36" s="1603"/>
      <c r="AR36" s="1603"/>
      <c r="AS36" s="1603"/>
      <c r="AT36" s="1603"/>
      <c r="AU36" s="1603"/>
      <c r="AV36" s="1603"/>
      <c r="AW36" s="1603"/>
      <c r="AX36" s="1603"/>
    </row>
    <row r="37" spans="1:72">
      <c r="A37" s="1601" t="s">
        <v>3442</v>
      </c>
      <c r="B37" s="1648">
        <v>41037014.450000003</v>
      </c>
      <c r="C37" s="1641">
        <v>41039203.020000003</v>
      </c>
      <c r="D37" s="1648">
        <v>41039228.800000004</v>
      </c>
      <c r="E37" s="1648">
        <v>41042963.719999999</v>
      </c>
      <c r="F37" s="1648">
        <v>41043283.900000006</v>
      </c>
      <c r="G37" s="1648">
        <v>41050299.140000001</v>
      </c>
      <c r="H37" s="1648">
        <v>41055668.160000004</v>
      </c>
      <c r="I37" s="1648">
        <v>41062028.390000001</v>
      </c>
      <c r="J37" s="1648">
        <v>41054652.560000002</v>
      </c>
      <c r="K37" s="1643">
        <v>41061021.299999997</v>
      </c>
      <c r="L37" s="1643">
        <v>41062032.259999998</v>
      </c>
      <c r="M37" s="1603">
        <f t="shared" ref="M37:AX37" si="18">L37</f>
        <v>41062032.259999998</v>
      </c>
      <c r="N37" s="1603">
        <f t="shared" si="18"/>
        <v>41062032.259999998</v>
      </c>
      <c r="O37" s="1603">
        <f t="shared" si="18"/>
        <v>41062032.259999998</v>
      </c>
      <c r="P37" s="1603">
        <f t="shared" si="18"/>
        <v>41062032.259999998</v>
      </c>
      <c r="Q37" s="1603">
        <f t="shared" si="18"/>
        <v>41062032.259999998</v>
      </c>
      <c r="R37" s="1603">
        <f t="shared" si="18"/>
        <v>41062032.259999998</v>
      </c>
      <c r="S37" s="1603">
        <f t="shared" si="18"/>
        <v>41062032.259999998</v>
      </c>
      <c r="T37" s="1603">
        <f t="shared" si="18"/>
        <v>41062032.259999998</v>
      </c>
      <c r="U37" s="1603">
        <f t="shared" si="18"/>
        <v>41062032.259999998</v>
      </c>
      <c r="V37" s="1603">
        <f t="shared" si="18"/>
        <v>41062032.259999998</v>
      </c>
      <c r="W37" s="1603">
        <f t="shared" si="18"/>
        <v>41062032.259999998</v>
      </c>
      <c r="X37" s="1603">
        <f t="shared" si="18"/>
        <v>41062032.259999998</v>
      </c>
      <c r="Y37" s="1603">
        <f t="shared" si="18"/>
        <v>41062032.259999998</v>
      </c>
      <c r="Z37" s="1603">
        <f t="shared" si="18"/>
        <v>41062032.259999998</v>
      </c>
      <c r="AA37" s="1603">
        <f t="shared" si="18"/>
        <v>41062032.259999998</v>
      </c>
      <c r="AB37" s="1603">
        <f t="shared" si="18"/>
        <v>41062032.259999998</v>
      </c>
      <c r="AC37" s="1603">
        <f t="shared" si="18"/>
        <v>41062032.259999998</v>
      </c>
      <c r="AD37" s="1603">
        <f t="shared" si="18"/>
        <v>41062032.259999998</v>
      </c>
      <c r="AE37" s="1603">
        <f t="shared" si="18"/>
        <v>41062032.259999998</v>
      </c>
      <c r="AF37" s="1603">
        <f t="shared" si="18"/>
        <v>41062032.259999998</v>
      </c>
      <c r="AG37" s="1603">
        <f t="shared" si="18"/>
        <v>41062032.259999998</v>
      </c>
      <c r="AH37" s="1603">
        <f t="shared" si="18"/>
        <v>41062032.259999998</v>
      </c>
      <c r="AI37" s="1603">
        <f t="shared" si="18"/>
        <v>41062032.259999998</v>
      </c>
      <c r="AJ37" s="1603">
        <f t="shared" si="18"/>
        <v>41062032.259999998</v>
      </c>
      <c r="AK37" s="1603">
        <f t="shared" si="18"/>
        <v>41062032.259999998</v>
      </c>
      <c r="AL37" s="1603">
        <f t="shared" si="18"/>
        <v>41062032.259999998</v>
      </c>
      <c r="AM37" s="1603">
        <f t="shared" si="18"/>
        <v>41062032.259999998</v>
      </c>
      <c r="AN37" s="1603">
        <f t="shared" si="18"/>
        <v>41062032.259999998</v>
      </c>
      <c r="AO37" s="1603">
        <f t="shared" si="18"/>
        <v>41062032.259999998</v>
      </c>
      <c r="AP37" s="1603">
        <f t="shared" si="18"/>
        <v>41062032.259999998</v>
      </c>
      <c r="AQ37" s="1603">
        <f t="shared" si="18"/>
        <v>41062032.259999998</v>
      </c>
      <c r="AR37" s="1603">
        <f t="shared" si="18"/>
        <v>41062032.259999998</v>
      </c>
      <c r="AS37" s="1603">
        <f t="shared" si="18"/>
        <v>41062032.259999998</v>
      </c>
      <c r="AT37" s="1603">
        <f t="shared" si="18"/>
        <v>41062032.259999998</v>
      </c>
      <c r="AU37" s="1603">
        <f t="shared" si="18"/>
        <v>41062032.259999998</v>
      </c>
      <c r="AV37" s="1603">
        <f t="shared" si="18"/>
        <v>41062032.259999998</v>
      </c>
      <c r="AW37" s="1603">
        <f t="shared" si="18"/>
        <v>41062032.259999998</v>
      </c>
      <c r="AX37" s="1603">
        <f t="shared" si="18"/>
        <v>41062032.259999998</v>
      </c>
      <c r="AZ37" s="1586">
        <f t="shared" ref="AZ37:AZ46" si="19">N37</f>
        <v>41062032.259999998</v>
      </c>
      <c r="BA37" s="1586">
        <f t="shared" ref="BA37:BA46" si="20">Z37</f>
        <v>41062032.259999998</v>
      </c>
      <c r="BB37" s="1586">
        <f t="shared" ref="BB37:BB46" si="21">AL37</f>
        <v>41062032.259999998</v>
      </c>
      <c r="BC37" s="1586">
        <f t="shared" ref="BC37:BC47" si="22">AX37</f>
        <v>41062032.259999998</v>
      </c>
      <c r="BD37" s="1586"/>
      <c r="BE37" s="1586">
        <f t="shared" ref="BE37:BE46" si="23">E37</f>
        <v>41042963.719999999</v>
      </c>
      <c r="BF37" s="1586">
        <f t="shared" ref="BF37:BF46" si="24">H37</f>
        <v>41055668.160000004</v>
      </c>
      <c r="BG37" s="1586">
        <f t="shared" ref="BG37:BG46" si="25">K37</f>
        <v>41061021.299999997</v>
      </c>
      <c r="BH37" s="1586">
        <f t="shared" ref="BH37:BH46" si="26">N37</f>
        <v>41062032.259999998</v>
      </c>
      <c r="BI37" s="1586">
        <f t="shared" ref="BI37:BI46" si="27">Q37</f>
        <v>41062032.259999998</v>
      </c>
      <c r="BJ37" s="1586">
        <f t="shared" ref="BJ37:BJ46" si="28">T37</f>
        <v>41062032.259999998</v>
      </c>
      <c r="BK37" s="1586">
        <f t="shared" ref="BK37:BK46" si="29">W37</f>
        <v>41062032.259999998</v>
      </c>
      <c r="BL37" s="1586">
        <f t="shared" ref="BL37:BL46" si="30">Z37</f>
        <v>41062032.259999998</v>
      </c>
      <c r="BM37" s="1586">
        <f t="shared" ref="BM37:BM46" si="31">AC37</f>
        <v>41062032.259999998</v>
      </c>
      <c r="BN37" s="1586">
        <f t="shared" ref="BN37:BN46" si="32">AF37</f>
        <v>41062032.259999998</v>
      </c>
      <c r="BO37" s="1586">
        <f t="shared" ref="BO37:BO46" si="33">AI37</f>
        <v>41062032.259999998</v>
      </c>
      <c r="BP37" s="1586">
        <f t="shared" ref="BP37:BP46" si="34">AL37</f>
        <v>41062032.259999998</v>
      </c>
      <c r="BQ37" s="1586">
        <f t="shared" ref="BQ37:BQ47" si="35">AO37</f>
        <v>41062032.259999998</v>
      </c>
      <c r="BR37" s="1586">
        <f t="shared" ref="BR37:BR47" si="36">AR37</f>
        <v>41062032.259999998</v>
      </c>
      <c r="BS37" s="1586">
        <f t="shared" ref="BS37:BS47" si="37">AU37</f>
        <v>41062032.259999998</v>
      </c>
      <c r="BT37" s="1586">
        <f t="shared" ref="BT37:BT47" si="38">AX37</f>
        <v>41062032.259999998</v>
      </c>
    </row>
    <row r="38" spans="1:72">
      <c r="A38" s="1601" t="s">
        <v>3441</v>
      </c>
      <c r="B38" s="1643"/>
      <c r="C38" s="1643">
        <f t="shared" ref="C38:L38" si="39">B38</f>
        <v>0</v>
      </c>
      <c r="D38" s="1643">
        <f t="shared" si="39"/>
        <v>0</v>
      </c>
      <c r="E38" s="1643">
        <f t="shared" si="39"/>
        <v>0</v>
      </c>
      <c r="F38" s="1643">
        <f t="shared" si="39"/>
        <v>0</v>
      </c>
      <c r="G38" s="1643">
        <f t="shared" si="39"/>
        <v>0</v>
      </c>
      <c r="H38" s="1643">
        <f t="shared" si="39"/>
        <v>0</v>
      </c>
      <c r="I38" s="1643">
        <f t="shared" si="39"/>
        <v>0</v>
      </c>
      <c r="J38" s="1643">
        <f t="shared" si="39"/>
        <v>0</v>
      </c>
      <c r="K38" s="1643">
        <f t="shared" si="39"/>
        <v>0</v>
      </c>
      <c r="L38" s="1643">
        <f t="shared" si="39"/>
        <v>0</v>
      </c>
      <c r="M38" s="1603">
        <f t="shared" ref="M38:AX38" si="40">L38</f>
        <v>0</v>
      </c>
      <c r="N38" s="1603">
        <f t="shared" si="40"/>
        <v>0</v>
      </c>
      <c r="O38" s="1603">
        <f t="shared" si="40"/>
        <v>0</v>
      </c>
      <c r="P38" s="1603">
        <f t="shared" si="40"/>
        <v>0</v>
      </c>
      <c r="Q38" s="1603">
        <f t="shared" si="40"/>
        <v>0</v>
      </c>
      <c r="R38" s="1603">
        <f t="shared" si="40"/>
        <v>0</v>
      </c>
      <c r="S38" s="1603">
        <f t="shared" si="40"/>
        <v>0</v>
      </c>
      <c r="T38" s="1603">
        <f t="shared" si="40"/>
        <v>0</v>
      </c>
      <c r="U38" s="1603">
        <f t="shared" si="40"/>
        <v>0</v>
      </c>
      <c r="V38" s="1603">
        <f t="shared" si="40"/>
        <v>0</v>
      </c>
      <c r="W38" s="1603">
        <f t="shared" si="40"/>
        <v>0</v>
      </c>
      <c r="X38" s="1603">
        <f t="shared" si="40"/>
        <v>0</v>
      </c>
      <c r="Y38" s="1603">
        <f t="shared" si="40"/>
        <v>0</v>
      </c>
      <c r="Z38" s="1603">
        <f t="shared" si="40"/>
        <v>0</v>
      </c>
      <c r="AA38" s="1603">
        <f t="shared" si="40"/>
        <v>0</v>
      </c>
      <c r="AB38" s="1603">
        <f t="shared" si="40"/>
        <v>0</v>
      </c>
      <c r="AC38" s="1603">
        <f t="shared" si="40"/>
        <v>0</v>
      </c>
      <c r="AD38" s="1603">
        <f t="shared" si="40"/>
        <v>0</v>
      </c>
      <c r="AE38" s="1603">
        <f t="shared" si="40"/>
        <v>0</v>
      </c>
      <c r="AF38" s="1603">
        <f t="shared" si="40"/>
        <v>0</v>
      </c>
      <c r="AG38" s="1603">
        <f t="shared" si="40"/>
        <v>0</v>
      </c>
      <c r="AH38" s="1603">
        <f t="shared" si="40"/>
        <v>0</v>
      </c>
      <c r="AI38" s="1603">
        <f t="shared" si="40"/>
        <v>0</v>
      </c>
      <c r="AJ38" s="1603">
        <f t="shared" si="40"/>
        <v>0</v>
      </c>
      <c r="AK38" s="1603">
        <f t="shared" si="40"/>
        <v>0</v>
      </c>
      <c r="AL38" s="1603">
        <f t="shared" si="40"/>
        <v>0</v>
      </c>
      <c r="AM38" s="1603">
        <f t="shared" si="40"/>
        <v>0</v>
      </c>
      <c r="AN38" s="1603">
        <f t="shared" si="40"/>
        <v>0</v>
      </c>
      <c r="AO38" s="1603">
        <f t="shared" si="40"/>
        <v>0</v>
      </c>
      <c r="AP38" s="1603">
        <f t="shared" si="40"/>
        <v>0</v>
      </c>
      <c r="AQ38" s="1603">
        <f t="shared" si="40"/>
        <v>0</v>
      </c>
      <c r="AR38" s="1603">
        <f t="shared" si="40"/>
        <v>0</v>
      </c>
      <c r="AS38" s="1603">
        <f t="shared" si="40"/>
        <v>0</v>
      </c>
      <c r="AT38" s="1603">
        <f t="shared" si="40"/>
        <v>0</v>
      </c>
      <c r="AU38" s="1603">
        <f t="shared" si="40"/>
        <v>0</v>
      </c>
      <c r="AV38" s="1603">
        <f t="shared" si="40"/>
        <v>0</v>
      </c>
      <c r="AW38" s="1603">
        <f t="shared" si="40"/>
        <v>0</v>
      </c>
      <c r="AX38" s="1603">
        <f t="shared" si="40"/>
        <v>0</v>
      </c>
      <c r="AZ38" s="1586">
        <f t="shared" si="19"/>
        <v>0</v>
      </c>
      <c r="BA38" s="1586">
        <f t="shared" si="20"/>
        <v>0</v>
      </c>
      <c r="BB38" s="1586">
        <f t="shared" si="21"/>
        <v>0</v>
      </c>
      <c r="BC38" s="1586">
        <f t="shared" si="22"/>
        <v>0</v>
      </c>
      <c r="BD38" s="1586"/>
      <c r="BE38" s="1586">
        <f t="shared" si="23"/>
        <v>0</v>
      </c>
      <c r="BF38" s="1586">
        <f t="shared" si="24"/>
        <v>0</v>
      </c>
      <c r="BG38" s="1586">
        <f t="shared" si="25"/>
        <v>0</v>
      </c>
      <c r="BH38" s="1586">
        <f t="shared" si="26"/>
        <v>0</v>
      </c>
      <c r="BI38" s="1586">
        <f t="shared" si="27"/>
        <v>0</v>
      </c>
      <c r="BJ38" s="1586">
        <f t="shared" si="28"/>
        <v>0</v>
      </c>
      <c r="BK38" s="1586">
        <f t="shared" si="29"/>
        <v>0</v>
      </c>
      <c r="BL38" s="1586">
        <f t="shared" si="30"/>
        <v>0</v>
      </c>
      <c r="BM38" s="1586">
        <f t="shared" si="31"/>
        <v>0</v>
      </c>
      <c r="BN38" s="1586">
        <f t="shared" si="32"/>
        <v>0</v>
      </c>
      <c r="BO38" s="1586">
        <f t="shared" si="33"/>
        <v>0</v>
      </c>
      <c r="BP38" s="1586">
        <f t="shared" si="34"/>
        <v>0</v>
      </c>
      <c r="BQ38" s="1586">
        <f t="shared" si="35"/>
        <v>0</v>
      </c>
      <c r="BR38" s="1586">
        <f t="shared" si="36"/>
        <v>0</v>
      </c>
      <c r="BS38" s="1586">
        <f t="shared" si="37"/>
        <v>0</v>
      </c>
      <c r="BT38" s="1586">
        <f t="shared" si="38"/>
        <v>0</v>
      </c>
    </row>
    <row r="39" spans="1:72">
      <c r="A39" s="1601" t="s">
        <v>3440</v>
      </c>
      <c r="B39" s="1643"/>
      <c r="C39" s="1643">
        <f t="shared" ref="C39:L39" si="41">B39</f>
        <v>0</v>
      </c>
      <c r="D39" s="1643">
        <f t="shared" si="41"/>
        <v>0</v>
      </c>
      <c r="E39" s="1643">
        <f t="shared" si="41"/>
        <v>0</v>
      </c>
      <c r="F39" s="1643">
        <f t="shared" si="41"/>
        <v>0</v>
      </c>
      <c r="G39" s="1643">
        <f t="shared" si="41"/>
        <v>0</v>
      </c>
      <c r="H39" s="1643">
        <f t="shared" si="41"/>
        <v>0</v>
      </c>
      <c r="I39" s="1643">
        <f t="shared" si="41"/>
        <v>0</v>
      </c>
      <c r="J39" s="1643">
        <f t="shared" si="41"/>
        <v>0</v>
      </c>
      <c r="K39" s="1643">
        <f t="shared" si="41"/>
        <v>0</v>
      </c>
      <c r="L39" s="1643">
        <f t="shared" si="41"/>
        <v>0</v>
      </c>
      <c r="M39" s="1603">
        <f t="shared" ref="M39:AX39" si="42">L39</f>
        <v>0</v>
      </c>
      <c r="N39" s="1603">
        <f t="shared" si="42"/>
        <v>0</v>
      </c>
      <c r="O39" s="1603">
        <f t="shared" si="42"/>
        <v>0</v>
      </c>
      <c r="P39" s="1603">
        <f t="shared" si="42"/>
        <v>0</v>
      </c>
      <c r="Q39" s="1603">
        <f t="shared" si="42"/>
        <v>0</v>
      </c>
      <c r="R39" s="1603">
        <f t="shared" si="42"/>
        <v>0</v>
      </c>
      <c r="S39" s="1603">
        <f t="shared" si="42"/>
        <v>0</v>
      </c>
      <c r="T39" s="1603">
        <f t="shared" si="42"/>
        <v>0</v>
      </c>
      <c r="U39" s="1603">
        <f t="shared" si="42"/>
        <v>0</v>
      </c>
      <c r="V39" s="1603">
        <f t="shared" si="42"/>
        <v>0</v>
      </c>
      <c r="W39" s="1603">
        <f t="shared" si="42"/>
        <v>0</v>
      </c>
      <c r="X39" s="1603">
        <f t="shared" si="42"/>
        <v>0</v>
      </c>
      <c r="Y39" s="1603">
        <f t="shared" si="42"/>
        <v>0</v>
      </c>
      <c r="Z39" s="1603">
        <f t="shared" si="42"/>
        <v>0</v>
      </c>
      <c r="AA39" s="1603">
        <f t="shared" si="42"/>
        <v>0</v>
      </c>
      <c r="AB39" s="1603">
        <f t="shared" si="42"/>
        <v>0</v>
      </c>
      <c r="AC39" s="1603">
        <f t="shared" si="42"/>
        <v>0</v>
      </c>
      <c r="AD39" s="1603">
        <f t="shared" si="42"/>
        <v>0</v>
      </c>
      <c r="AE39" s="1603">
        <f t="shared" si="42"/>
        <v>0</v>
      </c>
      <c r="AF39" s="1603">
        <f t="shared" si="42"/>
        <v>0</v>
      </c>
      <c r="AG39" s="1603">
        <f t="shared" si="42"/>
        <v>0</v>
      </c>
      <c r="AH39" s="1603">
        <f t="shared" si="42"/>
        <v>0</v>
      </c>
      <c r="AI39" s="1603">
        <f t="shared" si="42"/>
        <v>0</v>
      </c>
      <c r="AJ39" s="1603">
        <f t="shared" si="42"/>
        <v>0</v>
      </c>
      <c r="AK39" s="1603">
        <f t="shared" si="42"/>
        <v>0</v>
      </c>
      <c r="AL39" s="1603">
        <f t="shared" si="42"/>
        <v>0</v>
      </c>
      <c r="AM39" s="1603">
        <f t="shared" si="42"/>
        <v>0</v>
      </c>
      <c r="AN39" s="1603">
        <f t="shared" si="42"/>
        <v>0</v>
      </c>
      <c r="AO39" s="1603">
        <f t="shared" si="42"/>
        <v>0</v>
      </c>
      <c r="AP39" s="1603">
        <f t="shared" si="42"/>
        <v>0</v>
      </c>
      <c r="AQ39" s="1603">
        <f t="shared" si="42"/>
        <v>0</v>
      </c>
      <c r="AR39" s="1603">
        <f t="shared" si="42"/>
        <v>0</v>
      </c>
      <c r="AS39" s="1603">
        <f t="shared" si="42"/>
        <v>0</v>
      </c>
      <c r="AT39" s="1603">
        <f t="shared" si="42"/>
        <v>0</v>
      </c>
      <c r="AU39" s="1603">
        <f t="shared" si="42"/>
        <v>0</v>
      </c>
      <c r="AV39" s="1603">
        <f t="shared" si="42"/>
        <v>0</v>
      </c>
      <c r="AW39" s="1603">
        <f t="shared" si="42"/>
        <v>0</v>
      </c>
      <c r="AX39" s="1603">
        <f t="shared" si="42"/>
        <v>0</v>
      </c>
      <c r="AZ39" s="1586">
        <f t="shared" si="19"/>
        <v>0</v>
      </c>
      <c r="BA39" s="1586">
        <f t="shared" si="20"/>
        <v>0</v>
      </c>
      <c r="BB39" s="1586">
        <f t="shared" si="21"/>
        <v>0</v>
      </c>
      <c r="BC39" s="1586">
        <f t="shared" si="22"/>
        <v>0</v>
      </c>
      <c r="BD39" s="1586"/>
      <c r="BE39" s="1586">
        <f t="shared" si="23"/>
        <v>0</v>
      </c>
      <c r="BF39" s="1586">
        <f t="shared" si="24"/>
        <v>0</v>
      </c>
      <c r="BG39" s="1586">
        <f t="shared" si="25"/>
        <v>0</v>
      </c>
      <c r="BH39" s="1586">
        <f t="shared" si="26"/>
        <v>0</v>
      </c>
      <c r="BI39" s="1586">
        <f t="shared" si="27"/>
        <v>0</v>
      </c>
      <c r="BJ39" s="1586">
        <f t="shared" si="28"/>
        <v>0</v>
      </c>
      <c r="BK39" s="1586">
        <f t="shared" si="29"/>
        <v>0</v>
      </c>
      <c r="BL39" s="1586">
        <f t="shared" si="30"/>
        <v>0</v>
      </c>
      <c r="BM39" s="1586">
        <f t="shared" si="31"/>
        <v>0</v>
      </c>
      <c r="BN39" s="1586">
        <f t="shared" si="32"/>
        <v>0</v>
      </c>
      <c r="BO39" s="1586">
        <f t="shared" si="33"/>
        <v>0</v>
      </c>
      <c r="BP39" s="1586">
        <f t="shared" si="34"/>
        <v>0</v>
      </c>
      <c r="BQ39" s="1586">
        <f t="shared" si="35"/>
        <v>0</v>
      </c>
      <c r="BR39" s="1586">
        <f t="shared" si="36"/>
        <v>0</v>
      </c>
      <c r="BS39" s="1586">
        <f t="shared" si="37"/>
        <v>0</v>
      </c>
      <c r="BT39" s="1586">
        <f t="shared" si="38"/>
        <v>0</v>
      </c>
    </row>
    <row r="40" spans="1:72">
      <c r="A40" s="1601" t="s">
        <v>3439</v>
      </c>
      <c r="B40" s="1643"/>
      <c r="C40" s="1643">
        <f t="shared" ref="C40:L40" si="43">B40</f>
        <v>0</v>
      </c>
      <c r="D40" s="1643">
        <f t="shared" si="43"/>
        <v>0</v>
      </c>
      <c r="E40" s="1643">
        <f t="shared" si="43"/>
        <v>0</v>
      </c>
      <c r="F40" s="1643">
        <f t="shared" si="43"/>
        <v>0</v>
      </c>
      <c r="G40" s="1643">
        <f t="shared" si="43"/>
        <v>0</v>
      </c>
      <c r="H40" s="1643">
        <f t="shared" si="43"/>
        <v>0</v>
      </c>
      <c r="I40" s="1643">
        <f t="shared" si="43"/>
        <v>0</v>
      </c>
      <c r="J40" s="1643">
        <f t="shared" si="43"/>
        <v>0</v>
      </c>
      <c r="K40" s="1643">
        <f t="shared" si="43"/>
        <v>0</v>
      </c>
      <c r="L40" s="1643">
        <f t="shared" si="43"/>
        <v>0</v>
      </c>
      <c r="M40" s="1603">
        <f t="shared" ref="M40:AX40" si="44">L40</f>
        <v>0</v>
      </c>
      <c r="N40" s="1603">
        <f t="shared" si="44"/>
        <v>0</v>
      </c>
      <c r="O40" s="1603">
        <f t="shared" si="44"/>
        <v>0</v>
      </c>
      <c r="P40" s="1603">
        <f t="shared" si="44"/>
        <v>0</v>
      </c>
      <c r="Q40" s="1603">
        <f t="shared" si="44"/>
        <v>0</v>
      </c>
      <c r="R40" s="1603">
        <f t="shared" si="44"/>
        <v>0</v>
      </c>
      <c r="S40" s="1603">
        <f t="shared" si="44"/>
        <v>0</v>
      </c>
      <c r="T40" s="1603">
        <f t="shared" si="44"/>
        <v>0</v>
      </c>
      <c r="U40" s="1603">
        <f t="shared" si="44"/>
        <v>0</v>
      </c>
      <c r="V40" s="1603">
        <f t="shared" si="44"/>
        <v>0</v>
      </c>
      <c r="W40" s="1603">
        <f t="shared" si="44"/>
        <v>0</v>
      </c>
      <c r="X40" s="1603">
        <f t="shared" si="44"/>
        <v>0</v>
      </c>
      <c r="Y40" s="1603">
        <f t="shared" si="44"/>
        <v>0</v>
      </c>
      <c r="Z40" s="1603">
        <f t="shared" si="44"/>
        <v>0</v>
      </c>
      <c r="AA40" s="1603">
        <f t="shared" si="44"/>
        <v>0</v>
      </c>
      <c r="AB40" s="1603">
        <f t="shared" si="44"/>
        <v>0</v>
      </c>
      <c r="AC40" s="1603">
        <f t="shared" si="44"/>
        <v>0</v>
      </c>
      <c r="AD40" s="1603">
        <f t="shared" si="44"/>
        <v>0</v>
      </c>
      <c r="AE40" s="1603">
        <f t="shared" si="44"/>
        <v>0</v>
      </c>
      <c r="AF40" s="1603">
        <f t="shared" si="44"/>
        <v>0</v>
      </c>
      <c r="AG40" s="1603">
        <f t="shared" si="44"/>
        <v>0</v>
      </c>
      <c r="AH40" s="1603">
        <f t="shared" si="44"/>
        <v>0</v>
      </c>
      <c r="AI40" s="1603">
        <f t="shared" si="44"/>
        <v>0</v>
      </c>
      <c r="AJ40" s="1603">
        <f t="shared" si="44"/>
        <v>0</v>
      </c>
      <c r="AK40" s="1603">
        <f t="shared" si="44"/>
        <v>0</v>
      </c>
      <c r="AL40" s="1603">
        <f t="shared" si="44"/>
        <v>0</v>
      </c>
      <c r="AM40" s="1603">
        <f t="shared" si="44"/>
        <v>0</v>
      </c>
      <c r="AN40" s="1603">
        <f t="shared" si="44"/>
        <v>0</v>
      </c>
      <c r="AO40" s="1603">
        <f t="shared" si="44"/>
        <v>0</v>
      </c>
      <c r="AP40" s="1603">
        <f t="shared" si="44"/>
        <v>0</v>
      </c>
      <c r="AQ40" s="1603">
        <f t="shared" si="44"/>
        <v>0</v>
      </c>
      <c r="AR40" s="1603">
        <f t="shared" si="44"/>
        <v>0</v>
      </c>
      <c r="AS40" s="1603">
        <f t="shared" si="44"/>
        <v>0</v>
      </c>
      <c r="AT40" s="1603">
        <f t="shared" si="44"/>
        <v>0</v>
      </c>
      <c r="AU40" s="1603">
        <f t="shared" si="44"/>
        <v>0</v>
      </c>
      <c r="AV40" s="1603">
        <f t="shared" si="44"/>
        <v>0</v>
      </c>
      <c r="AW40" s="1603">
        <f t="shared" si="44"/>
        <v>0</v>
      </c>
      <c r="AX40" s="1603">
        <f t="shared" si="44"/>
        <v>0</v>
      </c>
      <c r="AZ40" s="1586">
        <f t="shared" si="19"/>
        <v>0</v>
      </c>
      <c r="BA40" s="1586">
        <f t="shared" si="20"/>
        <v>0</v>
      </c>
      <c r="BB40" s="1586">
        <f t="shared" si="21"/>
        <v>0</v>
      </c>
      <c r="BC40" s="1586">
        <f t="shared" si="22"/>
        <v>0</v>
      </c>
      <c r="BD40" s="1586"/>
      <c r="BE40" s="1586">
        <f t="shared" si="23"/>
        <v>0</v>
      </c>
      <c r="BF40" s="1586">
        <f t="shared" si="24"/>
        <v>0</v>
      </c>
      <c r="BG40" s="1586">
        <f t="shared" si="25"/>
        <v>0</v>
      </c>
      <c r="BH40" s="1586">
        <f t="shared" si="26"/>
        <v>0</v>
      </c>
      <c r="BI40" s="1586">
        <f t="shared" si="27"/>
        <v>0</v>
      </c>
      <c r="BJ40" s="1586">
        <f t="shared" si="28"/>
        <v>0</v>
      </c>
      <c r="BK40" s="1586">
        <f t="shared" si="29"/>
        <v>0</v>
      </c>
      <c r="BL40" s="1586">
        <f t="shared" si="30"/>
        <v>0</v>
      </c>
      <c r="BM40" s="1586">
        <f t="shared" si="31"/>
        <v>0</v>
      </c>
      <c r="BN40" s="1586">
        <f t="shared" si="32"/>
        <v>0</v>
      </c>
      <c r="BO40" s="1586">
        <f t="shared" si="33"/>
        <v>0</v>
      </c>
      <c r="BP40" s="1586">
        <f t="shared" si="34"/>
        <v>0</v>
      </c>
      <c r="BQ40" s="1586">
        <f t="shared" si="35"/>
        <v>0</v>
      </c>
      <c r="BR40" s="1586">
        <f t="shared" si="36"/>
        <v>0</v>
      </c>
      <c r="BS40" s="1586">
        <f t="shared" si="37"/>
        <v>0</v>
      </c>
      <c r="BT40" s="1586">
        <f t="shared" si="38"/>
        <v>0</v>
      </c>
    </row>
    <row r="41" spans="1:72">
      <c r="A41" s="1601" t="s">
        <v>3438</v>
      </c>
      <c r="B41" s="1643"/>
      <c r="C41" s="1643">
        <f t="shared" ref="C41:L41" si="45">B41</f>
        <v>0</v>
      </c>
      <c r="D41" s="1643">
        <f t="shared" si="45"/>
        <v>0</v>
      </c>
      <c r="E41" s="1643">
        <f t="shared" si="45"/>
        <v>0</v>
      </c>
      <c r="F41" s="1643">
        <f t="shared" si="45"/>
        <v>0</v>
      </c>
      <c r="G41" s="1643">
        <f t="shared" si="45"/>
        <v>0</v>
      </c>
      <c r="H41" s="1643">
        <f t="shared" si="45"/>
        <v>0</v>
      </c>
      <c r="I41" s="1643">
        <f t="shared" si="45"/>
        <v>0</v>
      </c>
      <c r="J41" s="1643">
        <f t="shared" si="45"/>
        <v>0</v>
      </c>
      <c r="K41" s="1643">
        <f t="shared" si="45"/>
        <v>0</v>
      </c>
      <c r="L41" s="1643">
        <f t="shared" si="45"/>
        <v>0</v>
      </c>
      <c r="M41" s="1603">
        <f t="shared" ref="M41:AX41" si="46">L41</f>
        <v>0</v>
      </c>
      <c r="N41" s="1603">
        <f t="shared" si="46"/>
        <v>0</v>
      </c>
      <c r="O41" s="1603">
        <f t="shared" si="46"/>
        <v>0</v>
      </c>
      <c r="P41" s="1603">
        <f t="shared" si="46"/>
        <v>0</v>
      </c>
      <c r="Q41" s="1603">
        <f t="shared" si="46"/>
        <v>0</v>
      </c>
      <c r="R41" s="1603">
        <f t="shared" si="46"/>
        <v>0</v>
      </c>
      <c r="S41" s="1603">
        <f t="shared" si="46"/>
        <v>0</v>
      </c>
      <c r="T41" s="1603">
        <f t="shared" si="46"/>
        <v>0</v>
      </c>
      <c r="U41" s="1603">
        <f t="shared" si="46"/>
        <v>0</v>
      </c>
      <c r="V41" s="1603">
        <f t="shared" si="46"/>
        <v>0</v>
      </c>
      <c r="W41" s="1603">
        <f t="shared" si="46"/>
        <v>0</v>
      </c>
      <c r="X41" s="1603">
        <f t="shared" si="46"/>
        <v>0</v>
      </c>
      <c r="Y41" s="1603">
        <f t="shared" si="46"/>
        <v>0</v>
      </c>
      <c r="Z41" s="1603">
        <f t="shared" si="46"/>
        <v>0</v>
      </c>
      <c r="AA41" s="1603">
        <f t="shared" si="46"/>
        <v>0</v>
      </c>
      <c r="AB41" s="1603">
        <f t="shared" si="46"/>
        <v>0</v>
      </c>
      <c r="AC41" s="1603">
        <f t="shared" si="46"/>
        <v>0</v>
      </c>
      <c r="AD41" s="1603">
        <f t="shared" si="46"/>
        <v>0</v>
      </c>
      <c r="AE41" s="1603">
        <f t="shared" si="46"/>
        <v>0</v>
      </c>
      <c r="AF41" s="1603">
        <f t="shared" si="46"/>
        <v>0</v>
      </c>
      <c r="AG41" s="1603">
        <f t="shared" si="46"/>
        <v>0</v>
      </c>
      <c r="AH41" s="1603">
        <f t="shared" si="46"/>
        <v>0</v>
      </c>
      <c r="AI41" s="1603">
        <f t="shared" si="46"/>
        <v>0</v>
      </c>
      <c r="AJ41" s="1603">
        <f t="shared" si="46"/>
        <v>0</v>
      </c>
      <c r="AK41" s="1603">
        <f t="shared" si="46"/>
        <v>0</v>
      </c>
      <c r="AL41" s="1603">
        <f t="shared" si="46"/>
        <v>0</v>
      </c>
      <c r="AM41" s="1603">
        <f t="shared" si="46"/>
        <v>0</v>
      </c>
      <c r="AN41" s="1603">
        <f t="shared" si="46"/>
        <v>0</v>
      </c>
      <c r="AO41" s="1603">
        <f t="shared" si="46"/>
        <v>0</v>
      </c>
      <c r="AP41" s="1603">
        <f t="shared" si="46"/>
        <v>0</v>
      </c>
      <c r="AQ41" s="1603">
        <f t="shared" si="46"/>
        <v>0</v>
      </c>
      <c r="AR41" s="1603">
        <f t="shared" si="46"/>
        <v>0</v>
      </c>
      <c r="AS41" s="1603">
        <f t="shared" si="46"/>
        <v>0</v>
      </c>
      <c r="AT41" s="1603">
        <f t="shared" si="46"/>
        <v>0</v>
      </c>
      <c r="AU41" s="1603">
        <f t="shared" si="46"/>
        <v>0</v>
      </c>
      <c r="AV41" s="1603">
        <f t="shared" si="46"/>
        <v>0</v>
      </c>
      <c r="AW41" s="1603">
        <f t="shared" si="46"/>
        <v>0</v>
      </c>
      <c r="AX41" s="1603">
        <f t="shared" si="46"/>
        <v>0</v>
      </c>
      <c r="AZ41" s="1586">
        <f t="shared" si="19"/>
        <v>0</v>
      </c>
      <c r="BA41" s="1586">
        <f t="shared" si="20"/>
        <v>0</v>
      </c>
      <c r="BB41" s="1586">
        <f t="shared" si="21"/>
        <v>0</v>
      </c>
      <c r="BC41" s="1586">
        <f t="shared" si="22"/>
        <v>0</v>
      </c>
      <c r="BD41" s="1586"/>
      <c r="BE41" s="1586">
        <f t="shared" si="23"/>
        <v>0</v>
      </c>
      <c r="BF41" s="1586">
        <f t="shared" si="24"/>
        <v>0</v>
      </c>
      <c r="BG41" s="1586">
        <f t="shared" si="25"/>
        <v>0</v>
      </c>
      <c r="BH41" s="1586">
        <f t="shared" si="26"/>
        <v>0</v>
      </c>
      <c r="BI41" s="1586">
        <f t="shared" si="27"/>
        <v>0</v>
      </c>
      <c r="BJ41" s="1586">
        <f t="shared" si="28"/>
        <v>0</v>
      </c>
      <c r="BK41" s="1586">
        <f t="shared" si="29"/>
        <v>0</v>
      </c>
      <c r="BL41" s="1586">
        <f t="shared" si="30"/>
        <v>0</v>
      </c>
      <c r="BM41" s="1586">
        <f t="shared" si="31"/>
        <v>0</v>
      </c>
      <c r="BN41" s="1586">
        <f t="shared" si="32"/>
        <v>0</v>
      </c>
      <c r="BO41" s="1586">
        <f t="shared" si="33"/>
        <v>0</v>
      </c>
      <c r="BP41" s="1586">
        <f t="shared" si="34"/>
        <v>0</v>
      </c>
      <c r="BQ41" s="1586">
        <f t="shared" si="35"/>
        <v>0</v>
      </c>
      <c r="BR41" s="1586">
        <f t="shared" si="36"/>
        <v>0</v>
      </c>
      <c r="BS41" s="1586">
        <f t="shared" si="37"/>
        <v>0</v>
      </c>
      <c r="BT41" s="1586">
        <f t="shared" si="38"/>
        <v>0</v>
      </c>
    </row>
    <row r="42" spans="1:72">
      <c r="A42" s="1601" t="s">
        <v>3437</v>
      </c>
      <c r="B42" s="1643"/>
      <c r="C42" s="1643">
        <f t="shared" ref="C42:L42" si="47">B42</f>
        <v>0</v>
      </c>
      <c r="D42" s="1643">
        <f t="shared" si="47"/>
        <v>0</v>
      </c>
      <c r="E42" s="1643">
        <f t="shared" si="47"/>
        <v>0</v>
      </c>
      <c r="F42" s="1643">
        <f t="shared" si="47"/>
        <v>0</v>
      </c>
      <c r="G42" s="1643">
        <f t="shared" si="47"/>
        <v>0</v>
      </c>
      <c r="H42" s="1643">
        <f t="shared" si="47"/>
        <v>0</v>
      </c>
      <c r="I42" s="1643">
        <f t="shared" si="47"/>
        <v>0</v>
      </c>
      <c r="J42" s="1643">
        <f t="shared" si="47"/>
        <v>0</v>
      </c>
      <c r="K42" s="1643">
        <f t="shared" si="47"/>
        <v>0</v>
      </c>
      <c r="L42" s="1643">
        <f t="shared" si="47"/>
        <v>0</v>
      </c>
      <c r="M42" s="1603">
        <f t="shared" ref="M42:AX42" si="48">L42</f>
        <v>0</v>
      </c>
      <c r="N42" s="1603">
        <f t="shared" si="48"/>
        <v>0</v>
      </c>
      <c r="O42" s="1603">
        <f t="shared" si="48"/>
        <v>0</v>
      </c>
      <c r="P42" s="1603">
        <f t="shared" si="48"/>
        <v>0</v>
      </c>
      <c r="Q42" s="1603">
        <f t="shared" si="48"/>
        <v>0</v>
      </c>
      <c r="R42" s="1603">
        <f t="shared" si="48"/>
        <v>0</v>
      </c>
      <c r="S42" s="1603">
        <f t="shared" si="48"/>
        <v>0</v>
      </c>
      <c r="T42" s="1603">
        <f t="shared" si="48"/>
        <v>0</v>
      </c>
      <c r="U42" s="1603">
        <f t="shared" si="48"/>
        <v>0</v>
      </c>
      <c r="V42" s="1603">
        <f t="shared" si="48"/>
        <v>0</v>
      </c>
      <c r="W42" s="1603">
        <f t="shared" si="48"/>
        <v>0</v>
      </c>
      <c r="X42" s="1603">
        <f t="shared" si="48"/>
        <v>0</v>
      </c>
      <c r="Y42" s="1603">
        <f t="shared" si="48"/>
        <v>0</v>
      </c>
      <c r="Z42" s="1603">
        <f t="shared" si="48"/>
        <v>0</v>
      </c>
      <c r="AA42" s="1603">
        <f t="shared" si="48"/>
        <v>0</v>
      </c>
      <c r="AB42" s="1603">
        <f t="shared" si="48"/>
        <v>0</v>
      </c>
      <c r="AC42" s="1603">
        <f t="shared" si="48"/>
        <v>0</v>
      </c>
      <c r="AD42" s="1603">
        <f t="shared" si="48"/>
        <v>0</v>
      </c>
      <c r="AE42" s="1603">
        <f t="shared" si="48"/>
        <v>0</v>
      </c>
      <c r="AF42" s="1603">
        <f t="shared" si="48"/>
        <v>0</v>
      </c>
      <c r="AG42" s="1603">
        <f t="shared" si="48"/>
        <v>0</v>
      </c>
      <c r="AH42" s="1603">
        <f t="shared" si="48"/>
        <v>0</v>
      </c>
      <c r="AI42" s="1603">
        <f t="shared" si="48"/>
        <v>0</v>
      </c>
      <c r="AJ42" s="1603">
        <f t="shared" si="48"/>
        <v>0</v>
      </c>
      <c r="AK42" s="1603">
        <f t="shared" si="48"/>
        <v>0</v>
      </c>
      <c r="AL42" s="1603">
        <f t="shared" si="48"/>
        <v>0</v>
      </c>
      <c r="AM42" s="1603">
        <f t="shared" si="48"/>
        <v>0</v>
      </c>
      <c r="AN42" s="1603">
        <f t="shared" si="48"/>
        <v>0</v>
      </c>
      <c r="AO42" s="1603">
        <f t="shared" si="48"/>
        <v>0</v>
      </c>
      <c r="AP42" s="1603">
        <f t="shared" si="48"/>
        <v>0</v>
      </c>
      <c r="AQ42" s="1603">
        <f t="shared" si="48"/>
        <v>0</v>
      </c>
      <c r="AR42" s="1603">
        <f t="shared" si="48"/>
        <v>0</v>
      </c>
      <c r="AS42" s="1603">
        <f t="shared" si="48"/>
        <v>0</v>
      </c>
      <c r="AT42" s="1603">
        <f t="shared" si="48"/>
        <v>0</v>
      </c>
      <c r="AU42" s="1603">
        <f t="shared" si="48"/>
        <v>0</v>
      </c>
      <c r="AV42" s="1603">
        <f t="shared" si="48"/>
        <v>0</v>
      </c>
      <c r="AW42" s="1603">
        <f t="shared" si="48"/>
        <v>0</v>
      </c>
      <c r="AX42" s="1603">
        <f t="shared" si="48"/>
        <v>0</v>
      </c>
      <c r="AZ42" s="1586">
        <f t="shared" si="19"/>
        <v>0</v>
      </c>
      <c r="BA42" s="1586">
        <f t="shared" si="20"/>
        <v>0</v>
      </c>
      <c r="BB42" s="1586">
        <f t="shared" si="21"/>
        <v>0</v>
      </c>
      <c r="BC42" s="1586">
        <f t="shared" si="22"/>
        <v>0</v>
      </c>
      <c r="BD42" s="1586"/>
      <c r="BE42" s="1586">
        <f t="shared" si="23"/>
        <v>0</v>
      </c>
      <c r="BF42" s="1586">
        <f t="shared" si="24"/>
        <v>0</v>
      </c>
      <c r="BG42" s="1586">
        <f t="shared" si="25"/>
        <v>0</v>
      </c>
      <c r="BH42" s="1586">
        <f t="shared" si="26"/>
        <v>0</v>
      </c>
      <c r="BI42" s="1586">
        <f t="shared" si="27"/>
        <v>0</v>
      </c>
      <c r="BJ42" s="1586">
        <f t="shared" si="28"/>
        <v>0</v>
      </c>
      <c r="BK42" s="1586">
        <f t="shared" si="29"/>
        <v>0</v>
      </c>
      <c r="BL42" s="1586">
        <f t="shared" si="30"/>
        <v>0</v>
      </c>
      <c r="BM42" s="1586">
        <f t="shared" si="31"/>
        <v>0</v>
      </c>
      <c r="BN42" s="1586">
        <f t="shared" si="32"/>
        <v>0</v>
      </c>
      <c r="BO42" s="1586">
        <f t="shared" si="33"/>
        <v>0</v>
      </c>
      <c r="BP42" s="1586">
        <f t="shared" si="34"/>
        <v>0</v>
      </c>
      <c r="BQ42" s="1586">
        <f t="shared" si="35"/>
        <v>0</v>
      </c>
      <c r="BR42" s="1586">
        <f t="shared" si="36"/>
        <v>0</v>
      </c>
      <c r="BS42" s="1586">
        <f t="shared" si="37"/>
        <v>0</v>
      </c>
      <c r="BT42" s="1586">
        <f t="shared" si="38"/>
        <v>0</v>
      </c>
    </row>
    <row r="43" spans="1:72">
      <c r="A43" s="1601" t="s">
        <v>3436</v>
      </c>
      <c r="B43" s="1643"/>
      <c r="C43" s="1643">
        <v>0</v>
      </c>
      <c r="D43" s="1643">
        <v>0</v>
      </c>
      <c r="E43" s="1643">
        <v>0</v>
      </c>
      <c r="F43" s="1643">
        <v>0</v>
      </c>
      <c r="G43" s="1643">
        <v>0</v>
      </c>
      <c r="H43" s="1643">
        <v>0</v>
      </c>
      <c r="I43" s="1643">
        <v>0</v>
      </c>
      <c r="J43" s="1643">
        <v>0</v>
      </c>
      <c r="K43" s="1643">
        <v>0</v>
      </c>
      <c r="L43" s="1643">
        <v>0</v>
      </c>
      <c r="M43" s="1603">
        <v>0</v>
      </c>
      <c r="N43" s="1603">
        <v>0</v>
      </c>
      <c r="O43" s="1603">
        <v>0</v>
      </c>
      <c r="P43" s="1603">
        <v>0</v>
      </c>
      <c r="Q43" s="1603">
        <v>0</v>
      </c>
      <c r="R43" s="1603">
        <v>0</v>
      </c>
      <c r="S43" s="1603">
        <v>0</v>
      </c>
      <c r="T43" s="1603">
        <v>0</v>
      </c>
      <c r="U43" s="1603">
        <v>0</v>
      </c>
      <c r="V43" s="1603">
        <v>0</v>
      </c>
      <c r="W43" s="1603">
        <v>0</v>
      </c>
      <c r="X43" s="1603">
        <v>0</v>
      </c>
      <c r="Y43" s="1603">
        <v>0</v>
      </c>
      <c r="Z43" s="1603">
        <v>0</v>
      </c>
      <c r="AA43" s="1603">
        <v>0</v>
      </c>
      <c r="AB43" s="1603">
        <v>0</v>
      </c>
      <c r="AC43" s="1603">
        <v>0</v>
      </c>
      <c r="AD43" s="1603">
        <v>0</v>
      </c>
      <c r="AE43" s="1603">
        <v>0</v>
      </c>
      <c r="AF43" s="1603">
        <v>0</v>
      </c>
      <c r="AG43" s="1603">
        <v>0</v>
      </c>
      <c r="AH43" s="1603">
        <v>0</v>
      </c>
      <c r="AI43" s="1603">
        <v>0</v>
      </c>
      <c r="AJ43" s="1603">
        <v>0</v>
      </c>
      <c r="AK43" s="1603">
        <v>0</v>
      </c>
      <c r="AL43" s="1603">
        <v>0</v>
      </c>
      <c r="AM43" s="1603">
        <v>0</v>
      </c>
      <c r="AN43" s="1603">
        <v>0</v>
      </c>
      <c r="AO43" s="1603">
        <v>0</v>
      </c>
      <c r="AP43" s="1603">
        <v>0</v>
      </c>
      <c r="AQ43" s="1603">
        <v>0</v>
      </c>
      <c r="AR43" s="1603">
        <v>0</v>
      </c>
      <c r="AS43" s="1603">
        <v>0</v>
      </c>
      <c r="AT43" s="1603">
        <v>0</v>
      </c>
      <c r="AU43" s="1603">
        <v>0</v>
      </c>
      <c r="AV43" s="1603">
        <v>0</v>
      </c>
      <c r="AW43" s="1603">
        <v>0</v>
      </c>
      <c r="AX43" s="1603">
        <v>0</v>
      </c>
      <c r="AZ43" s="1586">
        <f t="shared" si="19"/>
        <v>0</v>
      </c>
      <c r="BA43" s="1586">
        <f t="shared" si="20"/>
        <v>0</v>
      </c>
      <c r="BB43" s="1586">
        <f t="shared" si="21"/>
        <v>0</v>
      </c>
      <c r="BC43" s="1586">
        <f t="shared" si="22"/>
        <v>0</v>
      </c>
      <c r="BD43" s="1586"/>
      <c r="BE43" s="1586">
        <f t="shared" si="23"/>
        <v>0</v>
      </c>
      <c r="BF43" s="1586">
        <f t="shared" si="24"/>
        <v>0</v>
      </c>
      <c r="BG43" s="1586">
        <f t="shared" si="25"/>
        <v>0</v>
      </c>
      <c r="BH43" s="1586">
        <f t="shared" si="26"/>
        <v>0</v>
      </c>
      <c r="BI43" s="1586">
        <f t="shared" si="27"/>
        <v>0</v>
      </c>
      <c r="BJ43" s="1586">
        <f t="shared" si="28"/>
        <v>0</v>
      </c>
      <c r="BK43" s="1586">
        <f t="shared" si="29"/>
        <v>0</v>
      </c>
      <c r="BL43" s="1586">
        <f t="shared" si="30"/>
        <v>0</v>
      </c>
      <c r="BM43" s="1586">
        <f t="shared" si="31"/>
        <v>0</v>
      </c>
      <c r="BN43" s="1586">
        <f t="shared" si="32"/>
        <v>0</v>
      </c>
      <c r="BO43" s="1586">
        <f t="shared" si="33"/>
        <v>0</v>
      </c>
      <c r="BP43" s="1586">
        <f t="shared" si="34"/>
        <v>0</v>
      </c>
      <c r="BQ43" s="1586">
        <f t="shared" si="35"/>
        <v>0</v>
      </c>
      <c r="BR43" s="1586">
        <f t="shared" si="36"/>
        <v>0</v>
      </c>
      <c r="BS43" s="1586">
        <f t="shared" si="37"/>
        <v>0</v>
      </c>
      <c r="BT43" s="1586">
        <f t="shared" si="38"/>
        <v>0</v>
      </c>
    </row>
    <row r="44" spans="1:72">
      <c r="A44" s="1601" t="s">
        <v>3435</v>
      </c>
      <c r="B44" s="1643"/>
      <c r="C44" s="1643">
        <f t="shared" ref="C44:AX44" si="49">B44</f>
        <v>0</v>
      </c>
      <c r="D44" s="1643">
        <f t="shared" si="49"/>
        <v>0</v>
      </c>
      <c r="E44" s="1643">
        <f t="shared" si="49"/>
        <v>0</v>
      </c>
      <c r="F44" s="1643">
        <f t="shared" si="49"/>
        <v>0</v>
      </c>
      <c r="G44" s="1643">
        <f t="shared" si="49"/>
        <v>0</v>
      </c>
      <c r="H44" s="1643">
        <f t="shared" si="49"/>
        <v>0</v>
      </c>
      <c r="I44" s="1643">
        <f t="shared" si="49"/>
        <v>0</v>
      </c>
      <c r="J44" s="1643">
        <f t="shared" si="49"/>
        <v>0</v>
      </c>
      <c r="K44" s="1643">
        <f t="shared" si="49"/>
        <v>0</v>
      </c>
      <c r="L44" s="1643">
        <f t="shared" si="49"/>
        <v>0</v>
      </c>
      <c r="M44" s="1603">
        <f t="shared" si="49"/>
        <v>0</v>
      </c>
      <c r="N44" s="1603">
        <f t="shared" si="49"/>
        <v>0</v>
      </c>
      <c r="O44" s="1603">
        <f t="shared" si="49"/>
        <v>0</v>
      </c>
      <c r="P44" s="1603">
        <f t="shared" si="49"/>
        <v>0</v>
      </c>
      <c r="Q44" s="1603">
        <f t="shared" si="49"/>
        <v>0</v>
      </c>
      <c r="R44" s="1603">
        <f t="shared" si="49"/>
        <v>0</v>
      </c>
      <c r="S44" s="1603">
        <f t="shared" si="49"/>
        <v>0</v>
      </c>
      <c r="T44" s="1603">
        <f t="shared" si="49"/>
        <v>0</v>
      </c>
      <c r="U44" s="1603">
        <f t="shared" si="49"/>
        <v>0</v>
      </c>
      <c r="V44" s="1603">
        <f t="shared" si="49"/>
        <v>0</v>
      </c>
      <c r="W44" s="1603">
        <f t="shared" si="49"/>
        <v>0</v>
      </c>
      <c r="X44" s="1603">
        <f t="shared" si="49"/>
        <v>0</v>
      </c>
      <c r="Y44" s="1603">
        <f t="shared" si="49"/>
        <v>0</v>
      </c>
      <c r="Z44" s="1603">
        <f t="shared" si="49"/>
        <v>0</v>
      </c>
      <c r="AA44" s="1603">
        <f t="shared" si="49"/>
        <v>0</v>
      </c>
      <c r="AB44" s="1603">
        <f t="shared" si="49"/>
        <v>0</v>
      </c>
      <c r="AC44" s="1603">
        <f t="shared" si="49"/>
        <v>0</v>
      </c>
      <c r="AD44" s="1603">
        <f t="shared" si="49"/>
        <v>0</v>
      </c>
      <c r="AE44" s="1603">
        <f t="shared" si="49"/>
        <v>0</v>
      </c>
      <c r="AF44" s="1603">
        <f t="shared" si="49"/>
        <v>0</v>
      </c>
      <c r="AG44" s="1603">
        <f t="shared" si="49"/>
        <v>0</v>
      </c>
      <c r="AH44" s="1603">
        <f t="shared" si="49"/>
        <v>0</v>
      </c>
      <c r="AI44" s="1603">
        <f t="shared" si="49"/>
        <v>0</v>
      </c>
      <c r="AJ44" s="1603">
        <f t="shared" si="49"/>
        <v>0</v>
      </c>
      <c r="AK44" s="1603">
        <f t="shared" si="49"/>
        <v>0</v>
      </c>
      <c r="AL44" s="1603">
        <f t="shared" si="49"/>
        <v>0</v>
      </c>
      <c r="AM44" s="1603">
        <f t="shared" si="49"/>
        <v>0</v>
      </c>
      <c r="AN44" s="1603">
        <f t="shared" si="49"/>
        <v>0</v>
      </c>
      <c r="AO44" s="1603">
        <f t="shared" si="49"/>
        <v>0</v>
      </c>
      <c r="AP44" s="1603">
        <f t="shared" si="49"/>
        <v>0</v>
      </c>
      <c r="AQ44" s="1603">
        <f t="shared" si="49"/>
        <v>0</v>
      </c>
      <c r="AR44" s="1603">
        <f t="shared" si="49"/>
        <v>0</v>
      </c>
      <c r="AS44" s="1603">
        <f t="shared" si="49"/>
        <v>0</v>
      </c>
      <c r="AT44" s="1603">
        <f t="shared" si="49"/>
        <v>0</v>
      </c>
      <c r="AU44" s="1603">
        <f t="shared" si="49"/>
        <v>0</v>
      </c>
      <c r="AV44" s="1603">
        <f t="shared" si="49"/>
        <v>0</v>
      </c>
      <c r="AW44" s="1603">
        <f t="shared" si="49"/>
        <v>0</v>
      </c>
      <c r="AX44" s="1603">
        <f t="shared" si="49"/>
        <v>0</v>
      </c>
      <c r="AZ44" s="1586">
        <f t="shared" si="19"/>
        <v>0</v>
      </c>
      <c r="BA44" s="1586">
        <f t="shared" si="20"/>
        <v>0</v>
      </c>
      <c r="BB44" s="1586">
        <f t="shared" si="21"/>
        <v>0</v>
      </c>
      <c r="BC44" s="1586">
        <f t="shared" si="22"/>
        <v>0</v>
      </c>
      <c r="BD44" s="1586"/>
      <c r="BE44" s="1586">
        <f t="shared" si="23"/>
        <v>0</v>
      </c>
      <c r="BF44" s="1586">
        <f t="shared" si="24"/>
        <v>0</v>
      </c>
      <c r="BG44" s="1586">
        <f t="shared" si="25"/>
        <v>0</v>
      </c>
      <c r="BH44" s="1586">
        <f t="shared" si="26"/>
        <v>0</v>
      </c>
      <c r="BI44" s="1586">
        <f t="shared" si="27"/>
        <v>0</v>
      </c>
      <c r="BJ44" s="1586">
        <f t="shared" si="28"/>
        <v>0</v>
      </c>
      <c r="BK44" s="1586">
        <f t="shared" si="29"/>
        <v>0</v>
      </c>
      <c r="BL44" s="1586">
        <f t="shared" si="30"/>
        <v>0</v>
      </c>
      <c r="BM44" s="1586">
        <f t="shared" si="31"/>
        <v>0</v>
      </c>
      <c r="BN44" s="1586">
        <f t="shared" si="32"/>
        <v>0</v>
      </c>
      <c r="BO44" s="1586">
        <f t="shared" si="33"/>
        <v>0</v>
      </c>
      <c r="BP44" s="1586">
        <f t="shared" si="34"/>
        <v>0</v>
      </c>
      <c r="BQ44" s="1586">
        <f t="shared" si="35"/>
        <v>0</v>
      </c>
      <c r="BR44" s="1586">
        <f t="shared" si="36"/>
        <v>0</v>
      </c>
      <c r="BS44" s="1586">
        <f t="shared" si="37"/>
        <v>0</v>
      </c>
      <c r="BT44" s="1586">
        <f t="shared" si="38"/>
        <v>0</v>
      </c>
    </row>
    <row r="45" spans="1:72">
      <c r="A45" s="1601" t="s">
        <v>3406</v>
      </c>
      <c r="B45" s="1647">
        <v>-13456476.310000001</v>
      </c>
      <c r="C45" s="1647">
        <v>-13456476.310000001</v>
      </c>
      <c r="D45" s="1647">
        <v>-13456476.310000001</v>
      </c>
      <c r="E45" s="1647">
        <v>-13456476.310000001</v>
      </c>
      <c r="F45" s="1647">
        <v>-13456476.310000001</v>
      </c>
      <c r="G45" s="1647">
        <v>-13456476.310000001</v>
      </c>
      <c r="H45" s="1647">
        <v>-13456476.310000001</v>
      </c>
      <c r="I45" s="1647">
        <v>-13456476.310000001</v>
      </c>
      <c r="J45" s="1647">
        <v>-13456476.310000001</v>
      </c>
      <c r="K45" s="1643">
        <f>J45</f>
        <v>-13456476.310000001</v>
      </c>
      <c r="L45" s="1643">
        <f>K45</f>
        <v>-13456476.310000001</v>
      </c>
      <c r="M45" s="1603">
        <f>L45</f>
        <v>-13456476.310000001</v>
      </c>
      <c r="N45" s="1603">
        <f>M45</f>
        <v>-13456476.310000001</v>
      </c>
      <c r="O45" s="1603">
        <f>N45+N46</f>
        <v>-27708152.391741678</v>
      </c>
      <c r="P45" s="1603">
        <f t="shared" ref="P45:Z45" si="50">O45</f>
        <v>-27708152.391741678</v>
      </c>
      <c r="Q45" s="1603">
        <f t="shared" si="50"/>
        <v>-27708152.391741678</v>
      </c>
      <c r="R45" s="1603">
        <f t="shared" si="50"/>
        <v>-27708152.391741678</v>
      </c>
      <c r="S45" s="1603">
        <f t="shared" si="50"/>
        <v>-27708152.391741678</v>
      </c>
      <c r="T45" s="1603">
        <f t="shared" si="50"/>
        <v>-27708152.391741678</v>
      </c>
      <c r="U45" s="1603">
        <f t="shared" si="50"/>
        <v>-27708152.391741678</v>
      </c>
      <c r="V45" s="1603">
        <f t="shared" si="50"/>
        <v>-27708152.391741678</v>
      </c>
      <c r="W45" s="1603">
        <f t="shared" si="50"/>
        <v>-27708152.391741678</v>
      </c>
      <c r="X45" s="1603">
        <f t="shared" si="50"/>
        <v>-27708152.391741678</v>
      </c>
      <c r="Y45" s="1603">
        <f t="shared" si="50"/>
        <v>-27708152.391741678</v>
      </c>
      <c r="Z45" s="1603">
        <f t="shared" si="50"/>
        <v>-27708152.391741678</v>
      </c>
      <c r="AA45" s="1603">
        <f>Z45+Z46</f>
        <v>-42560292.984309033</v>
      </c>
      <c r="AB45" s="1603">
        <f t="shared" ref="AB45:AL45" si="51">AA45</f>
        <v>-42560292.984309033</v>
      </c>
      <c r="AC45" s="1603">
        <f t="shared" si="51"/>
        <v>-42560292.984309033</v>
      </c>
      <c r="AD45" s="1603">
        <f t="shared" si="51"/>
        <v>-42560292.984309033</v>
      </c>
      <c r="AE45" s="1603">
        <f t="shared" si="51"/>
        <v>-42560292.984309033</v>
      </c>
      <c r="AF45" s="1603">
        <f t="shared" si="51"/>
        <v>-42560292.984309033</v>
      </c>
      <c r="AG45" s="1603">
        <f t="shared" si="51"/>
        <v>-42560292.984309033</v>
      </c>
      <c r="AH45" s="1603">
        <f t="shared" si="51"/>
        <v>-42560292.984309033</v>
      </c>
      <c r="AI45" s="1603">
        <f t="shared" si="51"/>
        <v>-42560292.984309033</v>
      </c>
      <c r="AJ45" s="1603">
        <f t="shared" si="51"/>
        <v>-42560292.984309033</v>
      </c>
      <c r="AK45" s="1603">
        <f t="shared" si="51"/>
        <v>-42560292.984309033</v>
      </c>
      <c r="AL45" s="1603">
        <f t="shared" si="51"/>
        <v>-42560292.984309033</v>
      </c>
      <c r="AM45" s="1603">
        <f>AL45+AL46</f>
        <v>-61942571.538856968</v>
      </c>
      <c r="AN45" s="1603">
        <f t="shared" ref="AN45:AX45" si="52">AM45</f>
        <v>-61942571.538856968</v>
      </c>
      <c r="AO45" s="1603">
        <f t="shared" si="52"/>
        <v>-61942571.538856968</v>
      </c>
      <c r="AP45" s="1603">
        <f t="shared" si="52"/>
        <v>-61942571.538856968</v>
      </c>
      <c r="AQ45" s="1603">
        <f t="shared" si="52"/>
        <v>-61942571.538856968</v>
      </c>
      <c r="AR45" s="1603">
        <f t="shared" si="52"/>
        <v>-61942571.538856968</v>
      </c>
      <c r="AS45" s="1603">
        <f t="shared" si="52"/>
        <v>-61942571.538856968</v>
      </c>
      <c r="AT45" s="1603">
        <f t="shared" si="52"/>
        <v>-61942571.538856968</v>
      </c>
      <c r="AU45" s="1603">
        <f t="shared" si="52"/>
        <v>-61942571.538856968</v>
      </c>
      <c r="AV45" s="1603">
        <f t="shared" si="52"/>
        <v>-61942571.538856968</v>
      </c>
      <c r="AW45" s="1603">
        <f t="shared" si="52"/>
        <v>-61942571.538856968</v>
      </c>
      <c r="AX45" s="1603">
        <f t="shared" si="52"/>
        <v>-61942571.538856968</v>
      </c>
      <c r="AZ45" s="1586">
        <f t="shared" si="19"/>
        <v>-13456476.310000001</v>
      </c>
      <c r="BA45" s="1586">
        <f t="shared" si="20"/>
        <v>-27708152.391741678</v>
      </c>
      <c r="BB45" s="1586">
        <f t="shared" si="21"/>
        <v>-42560292.984309033</v>
      </c>
      <c r="BC45" s="1586">
        <f t="shared" si="22"/>
        <v>-61942571.538856968</v>
      </c>
      <c r="BD45" s="1586"/>
      <c r="BE45" s="1586">
        <f t="shared" si="23"/>
        <v>-13456476.310000001</v>
      </c>
      <c r="BF45" s="1586">
        <f t="shared" si="24"/>
        <v>-13456476.310000001</v>
      </c>
      <c r="BG45" s="1586">
        <f t="shared" si="25"/>
        <v>-13456476.310000001</v>
      </c>
      <c r="BH45" s="1586">
        <f t="shared" si="26"/>
        <v>-13456476.310000001</v>
      </c>
      <c r="BI45" s="1586">
        <f t="shared" si="27"/>
        <v>-27708152.391741678</v>
      </c>
      <c r="BJ45" s="1586">
        <f t="shared" si="28"/>
        <v>-27708152.391741678</v>
      </c>
      <c r="BK45" s="1586">
        <f t="shared" si="29"/>
        <v>-27708152.391741678</v>
      </c>
      <c r="BL45" s="1586">
        <f t="shared" si="30"/>
        <v>-27708152.391741678</v>
      </c>
      <c r="BM45" s="1586">
        <f t="shared" si="31"/>
        <v>-42560292.984309033</v>
      </c>
      <c r="BN45" s="1586">
        <f t="shared" si="32"/>
        <v>-42560292.984309033</v>
      </c>
      <c r="BO45" s="1586">
        <f t="shared" si="33"/>
        <v>-42560292.984309033</v>
      </c>
      <c r="BP45" s="1586">
        <f t="shared" si="34"/>
        <v>-42560292.984309033</v>
      </c>
      <c r="BQ45" s="1586">
        <f t="shared" si="35"/>
        <v>-61942571.538856968</v>
      </c>
      <c r="BR45" s="1586">
        <f t="shared" si="36"/>
        <v>-61942571.538856968</v>
      </c>
      <c r="BS45" s="1586">
        <f t="shared" si="37"/>
        <v>-61942571.538856968</v>
      </c>
      <c r="BT45" s="1586">
        <f t="shared" si="38"/>
        <v>-61942571.538856968</v>
      </c>
    </row>
    <row r="46" spans="1:72">
      <c r="A46" s="1601" t="s">
        <v>3358</v>
      </c>
      <c r="B46" s="1643">
        <v>0</v>
      </c>
      <c r="C46" s="1646">
        <v>-586572.19999999995</v>
      </c>
      <c r="D46" s="1646">
        <v>-1554271.91</v>
      </c>
      <c r="E46" s="1646">
        <v>-2368939.34</v>
      </c>
      <c r="F46" s="1646">
        <v>-2978278.39</v>
      </c>
      <c r="G46" s="1646">
        <v>-4235968.43</v>
      </c>
      <c r="H46" s="1646">
        <v>-5057241.9000000004</v>
      </c>
      <c r="I46" s="1646">
        <v>-6259113.5899999999</v>
      </c>
      <c r="J46" s="1646">
        <v>-7775531.9199999999</v>
      </c>
      <c r="K46" s="1645">
        <f>J46+'Operating Income Statement'!J32</f>
        <v>-9002894.9600000009</v>
      </c>
      <c r="L46" s="1645">
        <f>K46+'Operating Income Statement'!K32</f>
        <v>-10728235.83</v>
      </c>
      <c r="M46" s="1627">
        <f>L46+'Operating Income Statement'!L32</f>
        <v>-12275655.862530306</v>
      </c>
      <c r="N46" s="1627">
        <f>M46+'Operating Income Statement'!M32</f>
        <v>-14251676.081741679</v>
      </c>
      <c r="O46" s="1627">
        <f>'Operating Income Statement'!N32</f>
        <v>-1132069.0921468176</v>
      </c>
      <c r="P46" s="1627">
        <f>O46+'Operating Income Statement'!O32</f>
        <v>-2286303.0205484675</v>
      </c>
      <c r="Q46" s="1627">
        <f>P46+'Operating Income Statement'!P32</f>
        <v>-3670415.9913501712</v>
      </c>
      <c r="R46" s="1627">
        <f>Q46+'Operating Income Statement'!Q32</f>
        <v>-5349157.5573670696</v>
      </c>
      <c r="S46" s="1627">
        <f>R46+'Operating Income Statement'!R32</f>
        <v>-6247744.6171504557</v>
      </c>
      <c r="T46" s="1627">
        <f>S46+'Operating Income Statement'!S32</f>
        <v>-7160636.8741094954</v>
      </c>
      <c r="U46" s="1627">
        <f>T46+'Operating Income Statement'!T32</f>
        <v>-8080863.7975495365</v>
      </c>
      <c r="V46" s="1627">
        <f>U46+'Operating Income Statement'!U32</f>
        <v>-8952662.1526603494</v>
      </c>
      <c r="W46" s="1627">
        <f>V46+'Operating Income Statement'!V32</f>
        <v>-10027116.748282073</v>
      </c>
      <c r="X46" s="1627">
        <f>W46+'Operating Income Statement'!W32</f>
        <v>-11931617.734671079</v>
      </c>
      <c r="Y46" s="1627">
        <f>X46+'Operating Income Statement'!X32</f>
        <v>-12858475.240154658</v>
      </c>
      <c r="Z46" s="1627">
        <f>Y46+'Operating Income Statement'!Y32</f>
        <v>-14852140.592567356</v>
      </c>
      <c r="AA46" s="1627">
        <f>'Operating Income Statement'!Z32</f>
        <v>-1095110.4485271429</v>
      </c>
      <c r="AB46" s="1627">
        <f>AA46+'Operating Income Statement'!AA32</f>
        <v>-2348966.6026098412</v>
      </c>
      <c r="AC46" s="1627">
        <f>AB46+'Operating Income Statement'!AB32</f>
        <v>-3541411.4144703173</v>
      </c>
      <c r="AD46" s="1627">
        <f>AC46+'Operating Income Statement'!AC32</f>
        <v>-5838454.8374419045</v>
      </c>
      <c r="AE46" s="1627">
        <f>AD46+'Operating Income Statement'!AD32</f>
        <v>-7260398.2604134921</v>
      </c>
      <c r="AF46" s="1627">
        <f>AE46+'Operating Income Statement'!AE32</f>
        <v>-8840566.6833850797</v>
      </c>
      <c r="AG46" s="1627">
        <f>AF46+'Operating Income Statement'!AF32</f>
        <v>-10658131.606356667</v>
      </c>
      <c r="AH46" s="1627">
        <f>AG46+'Operating Income Statement'!AG32</f>
        <v>-12397654.195994921</v>
      </c>
      <c r="AI46" s="1627">
        <f>AH46+'Operating Income Statement'!AH32</f>
        <v>-13584718.785633175</v>
      </c>
      <c r="AJ46" s="1627">
        <f>AI46+'Operating Income Statement'!AI32</f>
        <v>-16597358.375271428</v>
      </c>
      <c r="AK46" s="1627">
        <f>AJ46+'Operating Income Statement'!AJ32</f>
        <v>-18004963.964909684</v>
      </c>
      <c r="AL46" s="1627">
        <f>AK46+'Operating Income Statement'!AK32</f>
        <v>-19382278.554547939</v>
      </c>
      <c r="AM46" s="1627">
        <f>'Operating Income Statement'!AL32</f>
        <v>-2291367.3725250205</v>
      </c>
      <c r="AN46" s="1627">
        <f>AM46+'Operating Income Statement'!AM32</f>
        <v>-4555597.745050041</v>
      </c>
      <c r="AO46" s="1627">
        <f>AN46+'Operating Income Statement'!AN32</f>
        <v>-7667515.1175750615</v>
      </c>
      <c r="AP46" s="1627">
        <f>AO46+'Operating Income Statement'!AO32</f>
        <v>-10020657.490100082</v>
      </c>
      <c r="AQ46" s="1627">
        <f>AP46+'Operating Income Statement'!AP32</f>
        <v>-11451099.862625103</v>
      </c>
      <c r="AR46" s="1627">
        <f>AQ46+'Operating Income Statement'!AQ32</f>
        <v>-12604077.235150125</v>
      </c>
      <c r="AS46" s="1627">
        <f>AR46+'Operating Income Statement'!AR32</f>
        <v>-13776652.941008478</v>
      </c>
      <c r="AT46" s="1627">
        <f>AS46+'Operating Income Statement'!AS32</f>
        <v>-14797109.966311276</v>
      </c>
      <c r="AU46" s="1627">
        <f>AT46+'Operating Income Statement'!AT32</f>
        <v>-15970651.713836297</v>
      </c>
      <c r="AV46" s="1627">
        <f>AU46+'Operating Income Statement'!AU32</f>
        <v>-17742801.794694651</v>
      </c>
      <c r="AW46" s="1627">
        <f>AV46+'Operating Income Statement'!AV32</f>
        <v>-18741990.097775228</v>
      </c>
      <c r="AX46" s="1627">
        <f>AW46+'Operating Income Statement'!AW32</f>
        <v>-19855997.123078026</v>
      </c>
      <c r="AZ46" s="1586">
        <f t="shared" si="19"/>
        <v>-14251676.081741679</v>
      </c>
      <c r="BA46" s="1586">
        <f t="shared" si="20"/>
        <v>-14852140.592567356</v>
      </c>
      <c r="BB46" s="1586">
        <f t="shared" si="21"/>
        <v>-19382278.554547939</v>
      </c>
      <c r="BC46" s="1586">
        <f t="shared" si="22"/>
        <v>-19855997.123078026</v>
      </c>
      <c r="BD46" s="1586"/>
      <c r="BE46" s="1586">
        <f t="shared" si="23"/>
        <v>-2368939.34</v>
      </c>
      <c r="BF46" s="1586">
        <f t="shared" si="24"/>
        <v>-5057241.9000000004</v>
      </c>
      <c r="BG46" s="1586">
        <f t="shared" si="25"/>
        <v>-9002894.9600000009</v>
      </c>
      <c r="BH46" s="1586">
        <f t="shared" si="26"/>
        <v>-14251676.081741679</v>
      </c>
      <c r="BI46" s="1586">
        <f t="shared" si="27"/>
        <v>-3670415.9913501712</v>
      </c>
      <c r="BJ46" s="1586">
        <f t="shared" si="28"/>
        <v>-7160636.8741094954</v>
      </c>
      <c r="BK46" s="1586">
        <f t="shared" si="29"/>
        <v>-10027116.748282073</v>
      </c>
      <c r="BL46" s="1586">
        <f t="shared" si="30"/>
        <v>-14852140.592567356</v>
      </c>
      <c r="BM46" s="1586">
        <f t="shared" si="31"/>
        <v>-3541411.4144703173</v>
      </c>
      <c r="BN46" s="1586">
        <f t="shared" si="32"/>
        <v>-8840566.6833850797</v>
      </c>
      <c r="BO46" s="1586">
        <f t="shared" si="33"/>
        <v>-13584718.785633175</v>
      </c>
      <c r="BP46" s="1586">
        <f t="shared" si="34"/>
        <v>-19382278.554547939</v>
      </c>
      <c r="BQ46" s="1586">
        <f t="shared" si="35"/>
        <v>-7667515.1175750615</v>
      </c>
      <c r="BR46" s="1586">
        <f t="shared" si="36"/>
        <v>-12604077.235150125</v>
      </c>
      <c r="BS46" s="1586">
        <f t="shared" si="37"/>
        <v>-15970651.713836297</v>
      </c>
      <c r="BT46" s="1586">
        <f t="shared" si="38"/>
        <v>-19855997.123078026</v>
      </c>
    </row>
    <row r="47" spans="1:72">
      <c r="A47" s="1601" t="s">
        <v>598</v>
      </c>
      <c r="B47" s="1644">
        <f t="shared" ref="B47:AG47" si="53">SUM(B37:B46)</f>
        <v>27580538.140000001</v>
      </c>
      <c r="C47" s="1643">
        <f t="shared" si="53"/>
        <v>26996154.510000002</v>
      </c>
      <c r="D47" s="1643">
        <f t="shared" si="53"/>
        <v>26028480.580000002</v>
      </c>
      <c r="E47" s="1643">
        <f t="shared" si="53"/>
        <v>25217548.069999997</v>
      </c>
      <c r="F47" s="1643">
        <f t="shared" si="53"/>
        <v>24608529.200000003</v>
      </c>
      <c r="G47" s="1643">
        <f t="shared" si="53"/>
        <v>23357854.399999999</v>
      </c>
      <c r="H47" s="1643">
        <f t="shared" si="53"/>
        <v>22541949.950000003</v>
      </c>
      <c r="I47" s="1643">
        <f t="shared" si="53"/>
        <v>21346438.489999998</v>
      </c>
      <c r="J47" s="1643">
        <f t="shared" si="53"/>
        <v>19822644.329999998</v>
      </c>
      <c r="K47" s="1643">
        <f t="shared" si="53"/>
        <v>18601650.029999994</v>
      </c>
      <c r="L47" s="1643">
        <f t="shared" si="53"/>
        <v>16877320.119999997</v>
      </c>
      <c r="M47" s="1603">
        <f t="shared" si="53"/>
        <v>15329900.08746969</v>
      </c>
      <c r="N47" s="1603">
        <f t="shared" si="53"/>
        <v>13353879.868258316</v>
      </c>
      <c r="O47" s="1603">
        <f t="shared" si="53"/>
        <v>12221810.776111502</v>
      </c>
      <c r="P47" s="1603">
        <f t="shared" si="53"/>
        <v>11067576.847709853</v>
      </c>
      <c r="Q47" s="1603">
        <f t="shared" si="53"/>
        <v>9683463.8769081496</v>
      </c>
      <c r="R47" s="1603">
        <f t="shared" si="53"/>
        <v>8004722.3108912501</v>
      </c>
      <c r="S47" s="1603">
        <f t="shared" si="53"/>
        <v>7106135.2511078641</v>
      </c>
      <c r="T47" s="1603">
        <f t="shared" si="53"/>
        <v>6193242.9941488244</v>
      </c>
      <c r="U47" s="1603">
        <f t="shared" si="53"/>
        <v>5273016.0707087833</v>
      </c>
      <c r="V47" s="1603">
        <f t="shared" si="53"/>
        <v>4401217.7155979704</v>
      </c>
      <c r="W47" s="1603">
        <f t="shared" si="53"/>
        <v>3326763.1199762467</v>
      </c>
      <c r="X47" s="1603">
        <f t="shared" si="53"/>
        <v>1422262.1335872412</v>
      </c>
      <c r="Y47" s="1603">
        <f t="shared" si="53"/>
        <v>495404.62810366228</v>
      </c>
      <c r="Z47" s="1603">
        <f t="shared" si="53"/>
        <v>-1498260.7243090365</v>
      </c>
      <c r="AA47" s="1603">
        <f t="shared" si="53"/>
        <v>-2593371.1728361775</v>
      </c>
      <c r="AB47" s="1603">
        <f t="shared" si="53"/>
        <v>-3847227.3269188758</v>
      </c>
      <c r="AC47" s="1603">
        <f t="shared" si="53"/>
        <v>-5039672.1387793515</v>
      </c>
      <c r="AD47" s="1603">
        <f t="shared" si="53"/>
        <v>-7336715.5617509391</v>
      </c>
      <c r="AE47" s="1603">
        <f t="shared" si="53"/>
        <v>-8758658.9847225267</v>
      </c>
      <c r="AF47" s="1603">
        <f t="shared" si="53"/>
        <v>-10338827.407694114</v>
      </c>
      <c r="AG47" s="1603">
        <f t="shared" si="53"/>
        <v>-12156392.330665702</v>
      </c>
      <c r="AH47" s="1603">
        <f t="shared" ref="AH47:AX47" si="54">SUM(AH37:AH46)</f>
        <v>-13895914.920303956</v>
      </c>
      <c r="AI47" s="1603">
        <f t="shared" si="54"/>
        <v>-15082979.509942209</v>
      </c>
      <c r="AJ47" s="1603">
        <f t="shared" si="54"/>
        <v>-18095619.099580463</v>
      </c>
      <c r="AK47" s="1603">
        <f t="shared" si="54"/>
        <v>-19503224.689218719</v>
      </c>
      <c r="AL47" s="1603">
        <f t="shared" si="54"/>
        <v>-20880539.278856974</v>
      </c>
      <c r="AM47" s="1603">
        <f t="shared" si="54"/>
        <v>-23171906.651381992</v>
      </c>
      <c r="AN47" s="1603">
        <f t="shared" si="54"/>
        <v>-25436137.023907013</v>
      </c>
      <c r="AO47" s="1603">
        <f t="shared" si="54"/>
        <v>-28548054.396432031</v>
      </c>
      <c r="AP47" s="1603">
        <f t="shared" si="54"/>
        <v>-30901196.768957052</v>
      </c>
      <c r="AQ47" s="1603">
        <f t="shared" si="54"/>
        <v>-32331639.141482074</v>
      </c>
      <c r="AR47" s="1603">
        <f t="shared" si="54"/>
        <v>-33484616.514007095</v>
      </c>
      <c r="AS47" s="1603">
        <f t="shared" si="54"/>
        <v>-34657192.219865449</v>
      </c>
      <c r="AT47" s="1603">
        <f t="shared" si="54"/>
        <v>-35677649.245168246</v>
      </c>
      <c r="AU47" s="1603">
        <f t="shared" si="54"/>
        <v>-36851190.992693268</v>
      </c>
      <c r="AV47" s="1603">
        <f t="shared" si="54"/>
        <v>-38623341.073551625</v>
      </c>
      <c r="AW47" s="1603">
        <f t="shared" si="54"/>
        <v>-39622529.376632199</v>
      </c>
      <c r="AX47" s="1603">
        <f t="shared" si="54"/>
        <v>-40736536.401934996</v>
      </c>
      <c r="AZ47" s="1603">
        <f>SUM(AZ37:AZ46)</f>
        <v>13353879.868258316</v>
      </c>
      <c r="BA47" s="1603">
        <f>SUM(BA37:BA46)</f>
        <v>-1498260.7243090365</v>
      </c>
      <c r="BB47" s="1603">
        <f>SUM(BB37:BB46)</f>
        <v>-20880539.278856974</v>
      </c>
      <c r="BC47" s="1586">
        <f t="shared" si="22"/>
        <v>-40736536.401934996</v>
      </c>
      <c r="BE47" s="1603">
        <f t="shared" ref="BE47:BP47" si="55">SUM(BE37:BE46)</f>
        <v>25217548.069999997</v>
      </c>
      <c r="BF47" s="1603">
        <f t="shared" si="55"/>
        <v>22541949.950000003</v>
      </c>
      <c r="BG47" s="1603">
        <f t="shared" si="55"/>
        <v>18601650.029999994</v>
      </c>
      <c r="BH47" s="1603">
        <f t="shared" si="55"/>
        <v>13353879.868258316</v>
      </c>
      <c r="BI47" s="1603">
        <f t="shared" si="55"/>
        <v>9683463.8769081496</v>
      </c>
      <c r="BJ47" s="1603">
        <f t="shared" si="55"/>
        <v>6193242.9941488244</v>
      </c>
      <c r="BK47" s="1603">
        <f t="shared" si="55"/>
        <v>3326763.1199762467</v>
      </c>
      <c r="BL47" s="1603">
        <f t="shared" si="55"/>
        <v>-1498260.7243090365</v>
      </c>
      <c r="BM47" s="1603">
        <f t="shared" si="55"/>
        <v>-5039672.1387793515</v>
      </c>
      <c r="BN47" s="1603">
        <f t="shared" si="55"/>
        <v>-10338827.407694114</v>
      </c>
      <c r="BO47" s="1603">
        <f t="shared" si="55"/>
        <v>-15082979.509942209</v>
      </c>
      <c r="BP47" s="1603">
        <f t="shared" si="55"/>
        <v>-20880539.278856974</v>
      </c>
      <c r="BQ47" s="1586">
        <f t="shared" si="35"/>
        <v>-28548054.396432031</v>
      </c>
      <c r="BR47" s="1586">
        <f t="shared" si="36"/>
        <v>-33484616.514007095</v>
      </c>
      <c r="BS47" s="1586">
        <f t="shared" si="37"/>
        <v>-36851190.992693268</v>
      </c>
      <c r="BT47" s="1586">
        <f t="shared" si="38"/>
        <v>-40736536.401934996</v>
      </c>
    </row>
    <row r="48" spans="1:72">
      <c r="A48" s="1601"/>
      <c r="B48" s="1643"/>
      <c r="C48" s="1643"/>
      <c r="D48" s="1643"/>
      <c r="E48" s="1643"/>
      <c r="F48" s="1643"/>
      <c r="G48" s="1643"/>
      <c r="H48" s="1643"/>
      <c r="I48" s="1643"/>
      <c r="J48" s="1643"/>
      <c r="K48" s="1643"/>
      <c r="L48" s="1643"/>
      <c r="M48" s="1603"/>
      <c r="N48" s="1603"/>
      <c r="O48" s="1603"/>
      <c r="P48" s="1603"/>
      <c r="Q48" s="1603"/>
      <c r="R48" s="1603"/>
      <c r="S48" s="1603"/>
      <c r="T48" s="1603"/>
      <c r="U48" s="1603"/>
      <c r="V48" s="1603"/>
      <c r="W48" s="1603"/>
      <c r="X48" s="1603"/>
      <c r="Y48" s="1603"/>
      <c r="Z48" s="1603"/>
      <c r="AA48" s="1603"/>
      <c r="AB48" s="1603"/>
      <c r="AC48" s="1603"/>
      <c r="AD48" s="1603"/>
      <c r="AE48" s="1603"/>
      <c r="AF48" s="1603"/>
      <c r="AG48" s="1603"/>
      <c r="AH48" s="1603"/>
      <c r="AI48" s="1603"/>
      <c r="AJ48" s="1603"/>
      <c r="AK48" s="1603"/>
      <c r="AL48" s="1603"/>
      <c r="AM48" s="1603"/>
      <c r="AN48" s="1603"/>
      <c r="AO48" s="1603"/>
      <c r="AP48" s="1603"/>
      <c r="AQ48" s="1603"/>
      <c r="AR48" s="1603"/>
      <c r="AS48" s="1603"/>
      <c r="AT48" s="1603"/>
      <c r="AU48" s="1603"/>
      <c r="AV48" s="1603"/>
      <c r="AW48" s="1603"/>
      <c r="AX48" s="1603"/>
      <c r="AZ48" s="1603"/>
      <c r="BA48" s="1603"/>
      <c r="BB48" s="1603"/>
      <c r="BC48" s="1603"/>
      <c r="BE48" s="1603"/>
      <c r="BF48" s="1603"/>
      <c r="BG48" s="1603"/>
      <c r="BH48" s="1603"/>
      <c r="BI48" s="1603"/>
      <c r="BJ48" s="1603"/>
      <c r="BK48" s="1603"/>
      <c r="BL48" s="1603"/>
      <c r="BM48" s="1603"/>
      <c r="BN48" s="1603"/>
      <c r="BO48" s="1603"/>
      <c r="BP48" s="1603"/>
      <c r="BQ48" s="1603"/>
      <c r="BR48" s="1603"/>
      <c r="BS48" s="1603"/>
      <c r="BT48" s="1603"/>
    </row>
    <row r="49" spans="1:79" ht="15.75" thickBot="1">
      <c r="A49" s="1604" t="s">
        <v>3407</v>
      </c>
      <c r="B49" s="1642">
        <f t="shared" ref="B49:AG49" si="56">B34+B47</f>
        <v>29106723.82</v>
      </c>
      <c r="C49" s="1642">
        <f t="shared" si="56"/>
        <v>28354881.300000001</v>
      </c>
      <c r="D49" s="1642">
        <f t="shared" si="56"/>
        <v>27157337.860000003</v>
      </c>
      <c r="E49" s="1642">
        <f t="shared" si="56"/>
        <v>26455553.299999997</v>
      </c>
      <c r="F49" s="1642">
        <f t="shared" si="56"/>
        <v>25917650.910000004</v>
      </c>
      <c r="G49" s="1642">
        <f t="shared" si="56"/>
        <v>24826401.299999997</v>
      </c>
      <c r="H49" s="1642">
        <f t="shared" si="56"/>
        <v>23951577.940000001</v>
      </c>
      <c r="I49" s="1642">
        <f t="shared" si="56"/>
        <v>23002576.82</v>
      </c>
      <c r="J49" s="1642">
        <f t="shared" si="56"/>
        <v>21231024.479999997</v>
      </c>
      <c r="K49" s="1642">
        <f t="shared" si="56"/>
        <v>21106096.809999995</v>
      </c>
      <c r="L49" s="1642">
        <f t="shared" si="56"/>
        <v>19745677.529999997</v>
      </c>
      <c r="M49" s="1607">
        <f t="shared" si="56"/>
        <v>18767330.95188747</v>
      </c>
      <c r="N49" s="1607">
        <f t="shared" si="56"/>
        <v>17027845.264371656</v>
      </c>
      <c r="O49" s="1607">
        <f t="shared" si="56"/>
        <v>15449227.682253733</v>
      </c>
      <c r="P49" s="1607">
        <f t="shared" si="56"/>
        <v>13732573.225436533</v>
      </c>
      <c r="Q49" s="1607">
        <f t="shared" si="56"/>
        <v>12675458.170232054</v>
      </c>
      <c r="R49" s="1607">
        <f t="shared" si="56"/>
        <v>11562991.605453491</v>
      </c>
      <c r="S49" s="1607">
        <f t="shared" si="56"/>
        <v>10145523.459560107</v>
      </c>
      <c r="T49" s="1607">
        <f t="shared" si="56"/>
        <v>9535369.3082688488</v>
      </c>
      <c r="U49" s="1607">
        <f t="shared" si="56"/>
        <v>8576128.7934688125</v>
      </c>
      <c r="V49" s="1607">
        <f t="shared" si="56"/>
        <v>7757916.217831336</v>
      </c>
      <c r="W49" s="1607">
        <f t="shared" si="56"/>
        <v>6905806.9122385038</v>
      </c>
      <c r="X49" s="1607">
        <f t="shared" si="56"/>
        <v>5665799.6631006123</v>
      </c>
      <c r="Y49" s="1607">
        <f t="shared" si="56"/>
        <v>4061075.0233403705</v>
      </c>
      <c r="Z49" s="1607">
        <f t="shared" si="56"/>
        <v>2968555.7324843416</v>
      </c>
      <c r="AA49" s="1607">
        <f t="shared" si="56"/>
        <v>1292400.9975972031</v>
      </c>
      <c r="AB49" s="1607">
        <f t="shared" si="56"/>
        <v>-887185.92340104748</v>
      </c>
      <c r="AC49" s="1607">
        <f t="shared" si="56"/>
        <v>-2001766.6980104088</v>
      </c>
      <c r="AD49" s="1607">
        <f t="shared" si="56"/>
        <v>-3406839.9003975494</v>
      </c>
      <c r="AE49" s="1607">
        <f t="shared" si="56"/>
        <v>-5322689.6305624675</v>
      </c>
      <c r="AF49" s="1607">
        <f t="shared" si="56"/>
        <v>-6668902.4007273847</v>
      </c>
      <c r="AG49" s="1607">
        <f t="shared" si="56"/>
        <v>-8185938.580892303</v>
      </c>
      <c r="AH49" s="1607">
        <f t="shared" ref="AH49:AX49" si="57">AH34+AH47</f>
        <v>-9843027.11105722</v>
      </c>
      <c r="AI49" s="1607">
        <f t="shared" si="57"/>
        <v>-11286959.167888805</v>
      </c>
      <c r="AJ49" s="1607">
        <f t="shared" si="57"/>
        <v>-12888868.124720387</v>
      </c>
      <c r="AK49" s="1607">
        <f t="shared" si="57"/>
        <v>-15288656.881551974</v>
      </c>
      <c r="AL49" s="1607">
        <f t="shared" si="57"/>
        <v>-16559422.038383558</v>
      </c>
      <c r="AM49" s="1607">
        <f t="shared" si="57"/>
        <v>-18256797.407268576</v>
      </c>
      <c r="AN49" s="1607">
        <f t="shared" si="57"/>
        <v>-21870758.534486927</v>
      </c>
      <c r="AO49" s="1607">
        <f t="shared" si="57"/>
        <v>-24239483.540871941</v>
      </c>
      <c r="AP49" s="1607">
        <f t="shared" si="57"/>
        <v>-26973781.94725696</v>
      </c>
      <c r="AQ49" s="1607">
        <f t="shared" si="57"/>
        <v>-28900215.353641979</v>
      </c>
      <c r="AR49" s="1607">
        <f t="shared" si="57"/>
        <v>-30097606.760026999</v>
      </c>
      <c r="AS49" s="1607">
        <f t="shared" si="57"/>
        <v>-31107877.166412015</v>
      </c>
      <c r="AT49" s="1607">
        <f t="shared" si="57"/>
        <v>-32083518.301963698</v>
      </c>
      <c r="AU49" s="1607">
        <f t="shared" si="57"/>
        <v>-33005963.637793161</v>
      </c>
      <c r="AV49" s="1607">
        <f t="shared" si="57"/>
        <v>-34212175.77917818</v>
      </c>
      <c r="AW49" s="1607">
        <f t="shared" si="57"/>
        <v>-35606934.94278542</v>
      </c>
      <c r="AX49" s="1607">
        <f t="shared" si="57"/>
        <v>-36498731.756392658</v>
      </c>
      <c r="AZ49" s="1607">
        <f>AZ34+AZ47</f>
        <v>17027845.264371656</v>
      </c>
      <c r="BA49" s="1607">
        <f>BA34+BA47</f>
        <v>2968555.7324843416</v>
      </c>
      <c r="BB49" s="1607">
        <f>BB34+BB47</f>
        <v>-16559422.038383558</v>
      </c>
      <c r="BC49" s="1607">
        <f>BC34+BC47</f>
        <v>-36498731.756392658</v>
      </c>
      <c r="BE49" s="1607">
        <f t="shared" ref="BE49:BT49" si="58">BE34+BE47</f>
        <v>26455553.299999997</v>
      </c>
      <c r="BF49" s="1607">
        <f t="shared" si="58"/>
        <v>23951577.940000001</v>
      </c>
      <c r="BG49" s="1607">
        <f t="shared" si="58"/>
        <v>21106096.809999995</v>
      </c>
      <c r="BH49" s="1607">
        <f t="shared" si="58"/>
        <v>17027845.264371656</v>
      </c>
      <c r="BI49" s="1607">
        <f t="shared" si="58"/>
        <v>12675458.170232054</v>
      </c>
      <c r="BJ49" s="1607">
        <f t="shared" si="58"/>
        <v>9535369.3082688488</v>
      </c>
      <c r="BK49" s="1607">
        <f t="shared" si="58"/>
        <v>6905806.9122385038</v>
      </c>
      <c r="BL49" s="1607">
        <f t="shared" si="58"/>
        <v>2968555.7324843416</v>
      </c>
      <c r="BM49" s="1607">
        <f t="shared" si="58"/>
        <v>-2001766.6980104088</v>
      </c>
      <c r="BN49" s="1607">
        <f t="shared" si="58"/>
        <v>-6668902.4007273847</v>
      </c>
      <c r="BO49" s="1607">
        <f t="shared" si="58"/>
        <v>-11286959.167888805</v>
      </c>
      <c r="BP49" s="1607">
        <f t="shared" si="58"/>
        <v>-16559422.038383558</v>
      </c>
      <c r="BQ49" s="1607">
        <f t="shared" si="58"/>
        <v>-24239483.540871941</v>
      </c>
      <c r="BR49" s="1607">
        <f t="shared" si="58"/>
        <v>-30097606.760026999</v>
      </c>
      <c r="BS49" s="1607">
        <f t="shared" si="58"/>
        <v>-33005963.637793161</v>
      </c>
      <c r="BT49" s="1607">
        <f t="shared" si="58"/>
        <v>-36498731.756392658</v>
      </c>
    </row>
    <row r="50" spans="1:79" ht="15.75" thickTop="1">
      <c r="B50" s="1641"/>
    </row>
    <row r="51" spans="1:79">
      <c r="B51" s="1640">
        <f t="shared" ref="B51:AG51" si="59">B20-B49</f>
        <v>0</v>
      </c>
      <c r="C51" s="1586">
        <f t="shared" si="59"/>
        <v>0</v>
      </c>
      <c r="D51" s="1586">
        <f t="shared" si="59"/>
        <v>0</v>
      </c>
      <c r="E51" s="1586">
        <f t="shared" si="59"/>
        <v>0</v>
      </c>
      <c r="F51" s="1586">
        <f t="shared" si="59"/>
        <v>0</v>
      </c>
      <c r="G51" s="1586">
        <f t="shared" si="59"/>
        <v>0</v>
      </c>
      <c r="H51" s="1586">
        <f t="shared" si="59"/>
        <v>0</v>
      </c>
      <c r="I51" s="1586">
        <f t="shared" si="59"/>
        <v>0</v>
      </c>
      <c r="J51" s="1586">
        <f t="shared" si="59"/>
        <v>0</v>
      </c>
      <c r="K51" s="1586">
        <f t="shared" si="59"/>
        <v>0</v>
      </c>
      <c r="L51" s="1586">
        <f t="shared" si="59"/>
        <v>0</v>
      </c>
      <c r="M51" s="1586">
        <f t="shared" si="59"/>
        <v>0</v>
      </c>
      <c r="N51" s="1586">
        <f t="shared" si="59"/>
        <v>0</v>
      </c>
      <c r="O51" s="1586">
        <f t="shared" si="59"/>
        <v>0</v>
      </c>
      <c r="P51" s="1586">
        <f t="shared" si="59"/>
        <v>0</v>
      </c>
      <c r="Q51" s="1586">
        <f t="shared" si="59"/>
        <v>0</v>
      </c>
      <c r="R51" s="1586">
        <f t="shared" si="59"/>
        <v>0</v>
      </c>
      <c r="S51" s="1586">
        <f t="shared" si="59"/>
        <v>0</v>
      </c>
      <c r="T51" s="1586">
        <f t="shared" si="59"/>
        <v>0</v>
      </c>
      <c r="U51" s="1586">
        <f t="shared" si="59"/>
        <v>0</v>
      </c>
      <c r="V51" s="1586">
        <f t="shared" si="59"/>
        <v>0</v>
      </c>
      <c r="W51" s="1586">
        <f t="shared" si="59"/>
        <v>0</v>
      </c>
      <c r="X51" s="1586">
        <f t="shared" si="59"/>
        <v>0</v>
      </c>
      <c r="Y51" s="1586">
        <f t="shared" si="59"/>
        <v>0</v>
      </c>
      <c r="Z51" s="1586">
        <f t="shared" si="59"/>
        <v>0</v>
      </c>
      <c r="AA51" s="1586">
        <f t="shared" si="59"/>
        <v>0</v>
      </c>
      <c r="AB51" s="1586">
        <f t="shared" si="59"/>
        <v>0</v>
      </c>
      <c r="AC51" s="1586">
        <f t="shared" si="59"/>
        <v>0</v>
      </c>
      <c r="AD51" s="1586">
        <f t="shared" si="59"/>
        <v>0</v>
      </c>
      <c r="AE51" s="1586">
        <f t="shared" si="59"/>
        <v>0</v>
      </c>
      <c r="AF51" s="1586">
        <f t="shared" si="59"/>
        <v>0</v>
      </c>
      <c r="AG51" s="1586">
        <f t="shared" si="59"/>
        <v>0</v>
      </c>
      <c r="AH51" s="1586">
        <f t="shared" ref="AH51:AX51" si="60">AH20-AH49</f>
        <v>0</v>
      </c>
      <c r="AI51" s="1586">
        <f t="shared" si="60"/>
        <v>0</v>
      </c>
      <c r="AJ51" s="1586">
        <f t="shared" si="60"/>
        <v>0</v>
      </c>
      <c r="AK51" s="1586">
        <f t="shared" si="60"/>
        <v>0</v>
      </c>
      <c r="AL51" s="1586">
        <f t="shared" si="60"/>
        <v>0</v>
      </c>
      <c r="AM51" s="1586">
        <f t="shared" si="60"/>
        <v>0</v>
      </c>
      <c r="AN51" s="1586">
        <f t="shared" si="60"/>
        <v>0</v>
      </c>
      <c r="AO51" s="1586">
        <f t="shared" si="60"/>
        <v>0</v>
      </c>
      <c r="AP51" s="1586">
        <f t="shared" si="60"/>
        <v>0</v>
      </c>
      <c r="AQ51" s="1586">
        <f t="shared" si="60"/>
        <v>0</v>
      </c>
      <c r="AR51" s="1586">
        <f t="shared" si="60"/>
        <v>0</v>
      </c>
      <c r="AS51" s="1586">
        <f t="shared" si="60"/>
        <v>0</v>
      </c>
      <c r="AT51" s="1586">
        <f t="shared" si="60"/>
        <v>0</v>
      </c>
      <c r="AU51" s="1586">
        <f t="shared" si="60"/>
        <v>0</v>
      </c>
      <c r="AV51" s="1586">
        <f t="shared" si="60"/>
        <v>0</v>
      </c>
      <c r="AW51" s="1586">
        <f t="shared" si="60"/>
        <v>0</v>
      </c>
      <c r="AX51" s="1586">
        <f t="shared" si="60"/>
        <v>0</v>
      </c>
      <c r="AY51" s="1593"/>
      <c r="AZ51" s="1586">
        <f>AZ20-AZ49</f>
        <v>0</v>
      </c>
      <c r="BA51" s="1586">
        <f>BA20-BA49</f>
        <v>0</v>
      </c>
      <c r="BB51" s="1586">
        <f>BB20-BB49</f>
        <v>0</v>
      </c>
      <c r="BC51" s="1586">
        <f>BC20-BC49</f>
        <v>0</v>
      </c>
      <c r="BD51" s="1593"/>
      <c r="BE51" s="1586">
        <f t="shared" ref="BE51:BT51" si="61">BE20-BE49</f>
        <v>0</v>
      </c>
      <c r="BF51" s="1586">
        <f t="shared" si="61"/>
        <v>0</v>
      </c>
      <c r="BG51" s="1586">
        <f t="shared" si="61"/>
        <v>0</v>
      </c>
      <c r="BH51" s="1586">
        <f t="shared" si="61"/>
        <v>0</v>
      </c>
      <c r="BI51" s="1586">
        <f t="shared" si="61"/>
        <v>0</v>
      </c>
      <c r="BJ51" s="1586">
        <f t="shared" si="61"/>
        <v>0</v>
      </c>
      <c r="BK51" s="1586">
        <f t="shared" si="61"/>
        <v>0</v>
      </c>
      <c r="BL51" s="1586">
        <f t="shared" si="61"/>
        <v>0</v>
      </c>
      <c r="BM51" s="1586">
        <f t="shared" si="61"/>
        <v>0</v>
      </c>
      <c r="BN51" s="1586">
        <f t="shared" si="61"/>
        <v>0</v>
      </c>
      <c r="BO51" s="1586">
        <f t="shared" si="61"/>
        <v>0</v>
      </c>
      <c r="BP51" s="1586">
        <f t="shared" si="61"/>
        <v>0</v>
      </c>
      <c r="BQ51" s="1586">
        <f t="shared" si="61"/>
        <v>0</v>
      </c>
      <c r="BR51" s="1586">
        <f t="shared" si="61"/>
        <v>0</v>
      </c>
      <c r="BS51" s="1586">
        <f t="shared" si="61"/>
        <v>0</v>
      </c>
      <c r="BT51" s="1586">
        <f t="shared" si="61"/>
        <v>0</v>
      </c>
      <c r="BU51" s="1593"/>
      <c r="BV51" s="1593"/>
      <c r="BW51" s="1593"/>
      <c r="BX51" s="1593"/>
      <c r="BY51" s="1593"/>
      <c r="BZ51" s="1593"/>
      <c r="CA51" s="1593"/>
    </row>
    <row r="52" spans="1:79">
      <c r="B52" s="1586"/>
      <c r="C52" s="1593"/>
      <c r="D52" s="1593"/>
      <c r="E52" s="1593"/>
      <c r="F52" s="1593"/>
      <c r="G52" s="1593"/>
      <c r="H52" s="1593"/>
      <c r="I52" s="1593"/>
      <c r="J52" s="1593"/>
      <c r="K52" s="1593"/>
      <c r="L52" s="1593"/>
      <c r="M52" s="1593"/>
      <c r="N52" s="1593"/>
      <c r="O52" s="1593"/>
      <c r="P52" s="1593"/>
      <c r="Q52" s="1593"/>
      <c r="R52" s="1593"/>
      <c r="S52" s="1593"/>
      <c r="T52" s="1593"/>
      <c r="U52" s="1593"/>
      <c r="V52" s="1593"/>
      <c r="W52" s="1593"/>
      <c r="X52" s="1593"/>
      <c r="Y52" s="1593"/>
      <c r="Z52" s="1593"/>
      <c r="AA52" s="1593"/>
      <c r="AB52" s="1593"/>
      <c r="AC52" s="1593"/>
      <c r="AD52" s="1593"/>
      <c r="AE52" s="1593"/>
      <c r="AF52" s="1593"/>
      <c r="AG52" s="1593"/>
      <c r="AH52" s="1593"/>
      <c r="AI52" s="1593"/>
      <c r="AJ52" s="1593"/>
      <c r="AK52" s="1593"/>
      <c r="AL52" s="1593"/>
      <c r="AM52" s="1593"/>
      <c r="AN52" s="1593"/>
      <c r="AO52" s="1593"/>
      <c r="AP52" s="1593"/>
      <c r="AQ52" s="1593"/>
      <c r="AR52" s="1593"/>
      <c r="AS52" s="1593"/>
      <c r="AT52" s="1593"/>
      <c r="AU52" s="1593"/>
      <c r="AV52" s="1593"/>
      <c r="AW52" s="1593"/>
      <c r="AX52" s="1593"/>
      <c r="AY52" s="1593"/>
      <c r="AZ52" s="1593"/>
      <c r="BA52" s="1593"/>
      <c r="BB52" s="1593"/>
      <c r="BC52" s="1593"/>
      <c r="BD52" s="1593"/>
      <c r="BE52" s="1593"/>
      <c r="BF52" s="1593"/>
      <c r="BG52" s="1593"/>
      <c r="BH52" s="1593"/>
      <c r="BI52" s="1593"/>
      <c r="BJ52" s="1593"/>
      <c r="BK52" s="1593"/>
      <c r="BL52" s="1593"/>
      <c r="BM52" s="1593"/>
      <c r="BN52" s="1593"/>
      <c r="BO52" s="1593"/>
      <c r="BP52" s="1593"/>
      <c r="BQ52" s="1593"/>
      <c r="BR52" s="1593"/>
      <c r="BS52" s="1593"/>
      <c r="BT52" s="1593"/>
      <c r="BU52" s="1593"/>
      <c r="BV52" s="1593"/>
      <c r="BW52" s="1593"/>
      <c r="BX52" s="1593"/>
      <c r="BY52" s="1593"/>
      <c r="BZ52" s="1593"/>
      <c r="CA52" s="1593"/>
    </row>
    <row r="53" spans="1:79">
      <c r="B53" s="1586"/>
      <c r="C53" s="1593"/>
      <c r="D53" s="1593"/>
      <c r="E53" s="1593"/>
      <c r="F53" s="1593"/>
      <c r="G53" s="1593"/>
      <c r="H53" s="1593"/>
      <c r="I53" s="1593"/>
      <c r="J53" s="1593"/>
      <c r="K53" s="1593"/>
      <c r="L53" s="1593"/>
      <c r="M53" s="1593"/>
      <c r="N53" s="1593"/>
      <c r="O53" s="1593"/>
      <c r="P53" s="1593"/>
      <c r="Q53" s="1593"/>
      <c r="R53" s="1593"/>
      <c r="S53" s="1593"/>
      <c r="T53" s="1593"/>
      <c r="U53" s="1593"/>
      <c r="V53" s="1593"/>
      <c r="W53" s="1593"/>
      <c r="X53" s="1593"/>
      <c r="Y53" s="1593"/>
      <c r="Z53" s="1593"/>
      <c r="AA53" s="1593"/>
      <c r="AB53" s="1593"/>
      <c r="AC53" s="1593"/>
      <c r="AD53" s="1593"/>
      <c r="AE53" s="1593"/>
      <c r="AF53" s="1593"/>
      <c r="AG53" s="1593"/>
      <c r="AH53" s="1593"/>
      <c r="AI53" s="1593"/>
      <c r="AJ53" s="1593"/>
      <c r="AK53" s="1593"/>
      <c r="AL53" s="1593"/>
      <c r="AM53" s="1593"/>
      <c r="AN53" s="1593"/>
      <c r="AO53" s="1593"/>
      <c r="AP53" s="1593"/>
      <c r="AQ53" s="1593"/>
      <c r="AR53" s="1593"/>
      <c r="AS53" s="1593"/>
      <c r="AT53" s="1593"/>
      <c r="AU53" s="1593"/>
      <c r="AV53" s="1593"/>
      <c r="AW53" s="1593"/>
      <c r="AX53" s="1593"/>
      <c r="AY53" s="1593"/>
      <c r="AZ53" s="1593"/>
      <c r="BA53" s="1593"/>
      <c r="BB53" s="1593"/>
      <c r="BC53" s="1593"/>
      <c r="BD53" s="1593"/>
      <c r="BE53" s="1593"/>
      <c r="BF53" s="1593"/>
      <c r="BG53" s="1593"/>
      <c r="BH53" s="1593"/>
      <c r="BI53" s="1593"/>
      <c r="BJ53" s="1593"/>
      <c r="BK53" s="1593"/>
      <c r="BL53" s="1593"/>
      <c r="BM53" s="1593"/>
      <c r="BN53" s="1593"/>
      <c r="BO53" s="1593"/>
      <c r="BP53" s="1593"/>
      <c r="BQ53" s="1593"/>
      <c r="BR53" s="1593"/>
      <c r="BS53" s="1593"/>
      <c r="BT53" s="1593"/>
      <c r="BU53" s="1593"/>
      <c r="BV53" s="1593"/>
      <c r="BW53" s="1593"/>
      <c r="BX53" s="1593"/>
      <c r="BY53" s="1593"/>
      <c r="BZ53" s="1593"/>
      <c r="CA53" s="1593"/>
    </row>
    <row r="54" spans="1:79">
      <c r="E54" s="1593"/>
      <c r="M54" s="1549" t="s">
        <v>3434</v>
      </c>
      <c r="N54" s="1589">
        <v>0</v>
      </c>
      <c r="Y54" s="1549" t="s">
        <v>3434</v>
      </c>
      <c r="Z54" s="1589">
        <v>0</v>
      </c>
      <c r="AK54" s="1549" t="s">
        <v>3434</v>
      </c>
      <c r="AL54" s="1589">
        <v>0</v>
      </c>
      <c r="AW54" s="1549" t="s">
        <v>3434</v>
      </c>
      <c r="AX54" s="1589">
        <v>0</v>
      </c>
    </row>
    <row r="55" spans="1:79">
      <c r="C55" s="1589"/>
    </row>
    <row r="58" spans="1:79">
      <c r="B58" s="1639"/>
    </row>
    <row r="59" spans="1:79">
      <c r="B59" s="1639"/>
      <c r="C59" s="1589"/>
    </row>
    <row r="60" spans="1:79">
      <c r="B60" s="1639"/>
      <c r="C60" s="1589"/>
    </row>
    <row r="61" spans="1:79">
      <c r="B61" s="1639"/>
      <c r="C61" s="1589"/>
    </row>
    <row r="62" spans="1:79">
      <c r="B62" s="1639"/>
      <c r="C62" s="1589"/>
    </row>
    <row r="63" spans="1:79">
      <c r="B63" s="1639"/>
      <c r="C63" s="1589"/>
    </row>
    <row r="64" spans="1:79">
      <c r="B64" s="1639"/>
      <c r="C64" s="1589"/>
    </row>
    <row r="65" spans="2:3">
      <c r="B65" s="1639"/>
      <c r="C65" s="1589"/>
    </row>
    <row r="66" spans="2:3">
      <c r="B66" s="1639"/>
      <c r="C66" s="1589"/>
    </row>
    <row r="67" spans="2:3">
      <c r="B67" s="1639"/>
      <c r="C67" s="1589"/>
    </row>
    <row r="68" spans="2:3">
      <c r="B68" s="1639"/>
      <c r="C68" s="1589"/>
    </row>
    <row r="69" spans="2:3">
      <c r="B69" s="1639"/>
      <c r="C69" s="1589"/>
    </row>
    <row r="70" spans="2:3">
      <c r="B70" s="1639"/>
      <c r="C70" s="1589"/>
    </row>
    <row r="72" spans="2:3">
      <c r="B72" s="1639"/>
      <c r="C72" s="1589"/>
    </row>
    <row r="73" spans="2:3">
      <c r="B73" s="1639"/>
      <c r="C73" s="1589"/>
    </row>
    <row r="74" spans="2:3">
      <c r="B74" s="1639"/>
      <c r="C74" s="1589"/>
    </row>
    <row r="75" spans="2:3">
      <c r="B75" s="1639"/>
      <c r="C75" s="1589"/>
    </row>
    <row r="76" spans="2:3">
      <c r="B76" s="1639"/>
      <c r="C76" s="1589"/>
    </row>
    <row r="77" spans="2:3">
      <c r="B77" s="1639"/>
      <c r="C77" s="1589"/>
    </row>
    <row r="79" spans="2:3">
      <c r="B79" s="1639"/>
      <c r="C79" s="1589"/>
    </row>
    <row r="80" spans="2:3">
      <c r="B80" s="1639"/>
      <c r="C80" s="1589"/>
    </row>
    <row r="81" spans="2:3">
      <c r="B81" s="1639"/>
      <c r="C81" s="1589"/>
    </row>
    <row r="82" spans="2:3">
      <c r="B82" s="1639"/>
      <c r="C82" s="1589"/>
    </row>
  </sheetData>
  <mergeCells count="8">
    <mergeCell ref="BQ2:BT2"/>
    <mergeCell ref="BM2:BP2"/>
    <mergeCell ref="C2:N2"/>
    <mergeCell ref="O2:Z2"/>
    <mergeCell ref="AA2:AL2"/>
    <mergeCell ref="BE2:BH2"/>
    <mergeCell ref="BI2:BL2"/>
    <mergeCell ref="AM2:AX2"/>
  </mergeCells>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81">
    <tabColor theme="4"/>
  </sheetPr>
  <dimension ref="A1:BU47"/>
  <sheetViews>
    <sheetView workbookViewId="0">
      <pane xSplit="2" ySplit="3" topLeftCell="C4" activePane="bottomRight" state="frozen"/>
      <selection activeCell="J35" sqref="J35"/>
      <selection pane="topRight" activeCell="J35" sqref="J35"/>
      <selection pane="bottomLeft" activeCell="J35" sqref="J35"/>
      <selection pane="bottomRight" activeCell="C4" sqref="C4"/>
    </sheetView>
  </sheetViews>
  <sheetFormatPr defaultRowHeight="15"/>
  <cols>
    <col min="1" max="1" width="49.5" style="1549" customWidth="1"/>
    <col min="2" max="2" width="10.6640625" style="1549" customWidth="1"/>
    <col min="3" max="41" width="14.83203125" style="1601" customWidth="1"/>
    <col min="42" max="50" width="17.1640625" style="1601" customWidth="1"/>
    <col min="51" max="53" width="14.83203125" style="1601" customWidth="1"/>
    <col min="54" max="55" width="16.6640625" style="1601" customWidth="1"/>
    <col min="56" max="56" width="3.6640625" style="1601" customWidth="1"/>
    <col min="57" max="60" width="14.83203125" style="1601" customWidth="1"/>
    <col min="61" max="69" width="14.83203125" style="1549" customWidth="1"/>
    <col min="70" max="72" width="16" style="1549" customWidth="1"/>
    <col min="73" max="82" width="14.83203125" style="1549" customWidth="1"/>
    <col min="83" max="16384" width="9.33203125" style="1549"/>
  </cols>
  <sheetData>
    <row r="1" spans="1:72">
      <c r="A1" s="1638" t="s">
        <v>3452</v>
      </c>
      <c r="C1" s="1637" t="s">
        <v>690</v>
      </c>
      <c r="D1" s="1637" t="s">
        <v>690</v>
      </c>
      <c r="E1" s="1637" t="s">
        <v>690</v>
      </c>
      <c r="F1" s="1637" t="s">
        <v>690</v>
      </c>
      <c r="G1" s="1637" t="s">
        <v>690</v>
      </c>
      <c r="H1" s="1637" t="s">
        <v>690</v>
      </c>
      <c r="I1" s="1637" t="s">
        <v>690</v>
      </c>
      <c r="J1" s="1637" t="s">
        <v>690</v>
      </c>
      <c r="K1" s="1637" t="s">
        <v>690</v>
      </c>
      <c r="L1" s="1637" t="s">
        <v>690</v>
      </c>
    </row>
    <row r="2" spans="1:72">
      <c r="C2" s="2215">
        <v>2018</v>
      </c>
      <c r="D2" s="2214"/>
      <c r="E2" s="2214"/>
      <c r="F2" s="2214"/>
      <c r="G2" s="2214"/>
      <c r="H2" s="2214"/>
      <c r="I2" s="2214"/>
      <c r="J2" s="2214"/>
      <c r="K2" s="2214"/>
      <c r="L2" s="2214"/>
      <c r="M2" s="2214"/>
      <c r="N2" s="2214"/>
      <c r="O2" s="2215">
        <v>2019</v>
      </c>
      <c r="P2" s="2214"/>
      <c r="Q2" s="2214"/>
      <c r="R2" s="2214"/>
      <c r="S2" s="2214"/>
      <c r="T2" s="2214"/>
      <c r="U2" s="2214"/>
      <c r="V2" s="2214"/>
      <c r="W2" s="2214"/>
      <c r="X2" s="2214"/>
      <c r="Y2" s="2214"/>
      <c r="Z2" s="2216"/>
      <c r="AA2" s="2215">
        <v>2020</v>
      </c>
      <c r="AB2" s="2214"/>
      <c r="AC2" s="2214"/>
      <c r="AD2" s="2214"/>
      <c r="AE2" s="2214"/>
      <c r="AF2" s="2214"/>
      <c r="AG2" s="2214"/>
      <c r="AH2" s="2214"/>
      <c r="AI2" s="2214"/>
      <c r="AJ2" s="2214"/>
      <c r="AK2" s="2214"/>
      <c r="AL2" s="2216"/>
      <c r="AM2" s="2215">
        <v>2021</v>
      </c>
      <c r="AN2" s="2214"/>
      <c r="AO2" s="2214"/>
      <c r="AP2" s="2214"/>
      <c r="AQ2" s="2214"/>
      <c r="AR2" s="2214"/>
      <c r="AS2" s="2214"/>
      <c r="AT2" s="2214"/>
      <c r="AU2" s="2214"/>
      <c r="AV2" s="2214"/>
      <c r="AW2" s="2214"/>
      <c r="AX2" s="2216"/>
      <c r="AZ2" s="1636">
        <v>2018</v>
      </c>
      <c r="BA2" s="1635">
        <v>2019</v>
      </c>
      <c r="BB2" s="1635">
        <v>2020</v>
      </c>
      <c r="BC2" s="1635">
        <v>2021</v>
      </c>
      <c r="BE2" s="2215">
        <v>2018</v>
      </c>
      <c r="BF2" s="2214"/>
      <c r="BG2" s="2214"/>
      <c r="BH2" s="2214"/>
      <c r="BI2" s="2214">
        <v>2019</v>
      </c>
      <c r="BJ2" s="2214"/>
      <c r="BK2" s="2214"/>
      <c r="BL2" s="2214"/>
      <c r="BM2" s="2214">
        <v>2020</v>
      </c>
      <c r="BN2" s="2214"/>
      <c r="BO2" s="2214"/>
      <c r="BP2" s="2214"/>
      <c r="BQ2" s="2214">
        <v>2021</v>
      </c>
      <c r="BR2" s="2214"/>
      <c r="BS2" s="2214"/>
      <c r="BT2" s="2214"/>
    </row>
    <row r="3" spans="1:72">
      <c r="C3" s="1632" t="s">
        <v>3432</v>
      </c>
      <c r="D3" s="1581" t="s">
        <v>3431</v>
      </c>
      <c r="E3" s="1581" t="s">
        <v>3430</v>
      </c>
      <c r="F3" s="1581" t="s">
        <v>3429</v>
      </c>
      <c r="G3" s="1581" t="s">
        <v>3428</v>
      </c>
      <c r="H3" s="1581" t="s">
        <v>3427</v>
      </c>
      <c r="I3" s="1581" t="s">
        <v>3426</v>
      </c>
      <c r="J3" s="1581" t="s">
        <v>3425</v>
      </c>
      <c r="K3" s="1581" t="s">
        <v>3424</v>
      </c>
      <c r="L3" s="1581" t="s">
        <v>3423</v>
      </c>
      <c r="M3" s="1581" t="s">
        <v>3422</v>
      </c>
      <c r="N3" s="1628" t="s">
        <v>3421</v>
      </c>
      <c r="O3" s="1581" t="s">
        <v>3432</v>
      </c>
      <c r="P3" s="1581" t="s">
        <v>3431</v>
      </c>
      <c r="Q3" s="1581" t="s">
        <v>3430</v>
      </c>
      <c r="R3" s="1581" t="s">
        <v>3429</v>
      </c>
      <c r="S3" s="1581" t="s">
        <v>3428</v>
      </c>
      <c r="T3" s="1581" t="s">
        <v>3427</v>
      </c>
      <c r="U3" s="1581" t="s">
        <v>3426</v>
      </c>
      <c r="V3" s="1581" t="s">
        <v>3425</v>
      </c>
      <c r="W3" s="1581" t="s">
        <v>3424</v>
      </c>
      <c r="X3" s="1581" t="s">
        <v>3423</v>
      </c>
      <c r="Y3" s="1581" t="s">
        <v>3422</v>
      </c>
      <c r="Z3" s="1628" t="s">
        <v>3421</v>
      </c>
      <c r="AA3" s="1581" t="s">
        <v>3432</v>
      </c>
      <c r="AB3" s="1581" t="s">
        <v>3431</v>
      </c>
      <c r="AC3" s="1581" t="s">
        <v>3430</v>
      </c>
      <c r="AD3" s="1581" t="s">
        <v>3429</v>
      </c>
      <c r="AE3" s="1581" t="s">
        <v>3428</v>
      </c>
      <c r="AF3" s="1581" t="s">
        <v>3427</v>
      </c>
      <c r="AG3" s="1581" t="s">
        <v>3426</v>
      </c>
      <c r="AH3" s="1581" t="s">
        <v>3425</v>
      </c>
      <c r="AI3" s="1581" t="s">
        <v>3424</v>
      </c>
      <c r="AJ3" s="1581" t="s">
        <v>3423</v>
      </c>
      <c r="AK3" s="1581" t="s">
        <v>3422</v>
      </c>
      <c r="AL3" s="1628" t="s">
        <v>3421</v>
      </c>
      <c r="AM3" s="1581" t="s">
        <v>3432</v>
      </c>
      <c r="AN3" s="1581" t="s">
        <v>3431</v>
      </c>
      <c r="AO3" s="1581" t="s">
        <v>3430</v>
      </c>
      <c r="AP3" s="1581" t="s">
        <v>3429</v>
      </c>
      <c r="AQ3" s="1581" t="s">
        <v>3428</v>
      </c>
      <c r="AR3" s="1581" t="s">
        <v>3427</v>
      </c>
      <c r="AS3" s="1581" t="s">
        <v>3426</v>
      </c>
      <c r="AT3" s="1581" t="s">
        <v>3425</v>
      </c>
      <c r="AU3" s="1581" t="s">
        <v>3424</v>
      </c>
      <c r="AV3" s="1581" t="s">
        <v>3423</v>
      </c>
      <c r="AW3" s="1581" t="s">
        <v>3422</v>
      </c>
      <c r="AX3" s="1628" t="s">
        <v>3421</v>
      </c>
      <c r="AZ3" s="1632"/>
      <c r="BA3" s="1631"/>
      <c r="BB3" s="1631"/>
      <c r="BC3" s="1631"/>
      <c r="BE3" s="1663" t="s">
        <v>3420</v>
      </c>
      <c r="BF3" s="1581" t="s">
        <v>3419</v>
      </c>
      <c r="BG3" s="1581" t="s">
        <v>3418</v>
      </c>
      <c r="BH3" s="1628" t="s">
        <v>3417</v>
      </c>
      <c r="BI3" s="1581" t="s">
        <v>3420</v>
      </c>
      <c r="BJ3" s="1581" t="s">
        <v>3419</v>
      </c>
      <c r="BK3" s="1581" t="s">
        <v>3418</v>
      </c>
      <c r="BL3" s="1628" t="s">
        <v>3417</v>
      </c>
      <c r="BM3" s="1581" t="s">
        <v>3420</v>
      </c>
      <c r="BN3" s="1581" t="s">
        <v>3419</v>
      </c>
      <c r="BO3" s="1581" t="s">
        <v>3418</v>
      </c>
      <c r="BP3" s="1628" t="s">
        <v>3417</v>
      </c>
      <c r="BQ3" s="1581" t="s">
        <v>3420</v>
      </c>
      <c r="BR3" s="1581" t="s">
        <v>3419</v>
      </c>
      <c r="BS3" s="1581" t="s">
        <v>3418</v>
      </c>
      <c r="BT3" s="1628" t="s">
        <v>3417</v>
      </c>
    </row>
    <row r="5" spans="1:72">
      <c r="A5" s="1590" t="s">
        <v>3357</v>
      </c>
    </row>
    <row r="6" spans="1:72">
      <c r="A6" s="1583"/>
    </row>
    <row r="7" spans="1:72">
      <c r="A7" s="1583" t="s">
        <v>3358</v>
      </c>
      <c r="C7" s="1585">
        <f>'Operating Income Statement'!B32</f>
        <v>-586572.19999999995</v>
      </c>
      <c r="D7" s="1585">
        <f>'Operating Income Statement'!C32</f>
        <v>-967699.71000000008</v>
      </c>
      <c r="E7" s="1585">
        <f>'Operating Income Statement'!D32</f>
        <v>-814667.43</v>
      </c>
      <c r="F7" s="1585">
        <f>'Operating Income Statement'!E32</f>
        <v>-609339.05000000005</v>
      </c>
      <c r="G7" s="1585">
        <f>'Operating Income Statement'!F32</f>
        <v>-1257690.04</v>
      </c>
      <c r="H7" s="1585">
        <f>'Operating Income Statement'!G32</f>
        <v>-821273.4700000002</v>
      </c>
      <c r="I7" s="1585">
        <f>'Operating Income Statement'!H32</f>
        <v>-1201871.69</v>
      </c>
      <c r="J7" s="1585">
        <f>'Operating Income Statement'!I32</f>
        <v>-1516418.33</v>
      </c>
      <c r="K7" s="1585">
        <f>'Operating Income Statement'!J32</f>
        <v>-1227363.04</v>
      </c>
      <c r="L7" s="1585">
        <f>'Operating Income Statement'!K32</f>
        <v>-1725340.8699999999</v>
      </c>
      <c r="M7" s="1585">
        <f>'Operating Income Statement'!L32</f>
        <v>-1547420.0325303052</v>
      </c>
      <c r="N7" s="1585">
        <f>'Operating Income Statement'!M32</f>
        <v>-1976020.2192113735</v>
      </c>
      <c r="O7" s="1585">
        <f>'Operating Income Statement'!N32</f>
        <v>-1132069.0921468176</v>
      </c>
      <c r="P7" s="1585">
        <f>'Operating Income Statement'!O32</f>
        <v>-1154233.9284016499</v>
      </c>
      <c r="Q7" s="1585">
        <f>'Operating Income Statement'!P32</f>
        <v>-1384112.9708017036</v>
      </c>
      <c r="R7" s="1585">
        <f>'Operating Income Statement'!Q32</f>
        <v>-1678741.5660168983</v>
      </c>
      <c r="S7" s="1585">
        <f>'Operating Income Statement'!R32</f>
        <v>-898587.05978338653</v>
      </c>
      <c r="T7" s="1585">
        <f>'Operating Income Statement'!S32</f>
        <v>-912892.25695903949</v>
      </c>
      <c r="U7" s="1585">
        <f>'Operating Income Statement'!T32</f>
        <v>-920226.9234400409</v>
      </c>
      <c r="V7" s="1585">
        <f>'Operating Income Statement'!U32</f>
        <v>-871798.35511081328</v>
      </c>
      <c r="W7" s="1585">
        <f>'Operating Income Statement'!V32</f>
        <v>-1074454.595621723</v>
      </c>
      <c r="X7" s="1585">
        <f>'Operating Income Statement'!W32</f>
        <v>-1904500.9863890053</v>
      </c>
      <c r="Y7" s="1585">
        <f>'Operating Income Statement'!X32</f>
        <v>-926857.50548357982</v>
      </c>
      <c r="Z7" s="1585">
        <f>'Operating Income Statement'!Y32</f>
        <v>-1993665.3524126986</v>
      </c>
      <c r="AA7" s="1585">
        <f>'Operating Income Statement'!Z32</f>
        <v>-1095110.4485271429</v>
      </c>
      <c r="AB7" s="1585">
        <f>'Operating Income Statement'!AA32</f>
        <v>-1253856.1540826983</v>
      </c>
      <c r="AC7" s="1585">
        <f>'Operating Income Statement'!AB32</f>
        <v>-1192444.8118604762</v>
      </c>
      <c r="AD7" s="1585">
        <f>'Operating Income Statement'!AC32</f>
        <v>-2297043.4229715867</v>
      </c>
      <c r="AE7" s="1585">
        <f>'Operating Income Statement'!AD32</f>
        <v>-1421943.4229715874</v>
      </c>
      <c r="AF7" s="1585">
        <f>'Operating Income Statement'!AE32</f>
        <v>-1580168.4229715874</v>
      </c>
      <c r="AG7" s="1585">
        <f>'Operating Income Statement'!AF32</f>
        <v>-1817564.9229715874</v>
      </c>
      <c r="AH7" s="1585">
        <f>'Operating Income Statement'!AG32</f>
        <v>-1739522.5896382539</v>
      </c>
      <c r="AI7" s="1585">
        <f>'Operating Income Statement'!AH32</f>
        <v>-1187064.5896382539</v>
      </c>
      <c r="AJ7" s="1585">
        <f>'Operating Income Statement'!AI32</f>
        <v>-3012639.5896382537</v>
      </c>
      <c r="AK7" s="1585">
        <f>'Operating Income Statement'!AJ32</f>
        <v>-1407605.5896382539</v>
      </c>
      <c r="AL7" s="1585">
        <f>'Operating Income Statement'!AK32</f>
        <v>-1377314.5896382539</v>
      </c>
      <c r="AM7" s="1585">
        <f>'Operating Income Statement'!AL32</f>
        <v>-2291367.3725250205</v>
      </c>
      <c r="AN7" s="1585">
        <f>'Operating Income Statement'!AM32</f>
        <v>-2264230.3725250205</v>
      </c>
      <c r="AO7" s="1585">
        <f>'Operating Income Statement'!AN32</f>
        <v>-3111917.3725250205</v>
      </c>
      <c r="AP7" s="1585">
        <f>'Operating Income Statement'!AO32</f>
        <v>-2353142.3725250205</v>
      </c>
      <c r="AQ7" s="1585">
        <f>'Operating Income Statement'!AP32</f>
        <v>-1430442.3725250207</v>
      </c>
      <c r="AR7" s="1585">
        <f>'Operating Income Statement'!AQ32</f>
        <v>-1152977.3725250207</v>
      </c>
      <c r="AS7" s="1585">
        <f>'Operating Income Statement'!AR32</f>
        <v>-1172575.705858354</v>
      </c>
      <c r="AT7" s="1585">
        <f>'Operating Income Statement'!AS32</f>
        <v>-1020457.0253027984</v>
      </c>
      <c r="AU7" s="1585">
        <f>'Operating Income Statement'!AT32</f>
        <v>-1173541.7475250207</v>
      </c>
      <c r="AV7" s="1585">
        <f>'Operating Income Statement'!AU32</f>
        <v>-1772150.080858354</v>
      </c>
      <c r="AW7" s="1585">
        <f>'Operating Income Statement'!AV32</f>
        <v>-999188.30308057624</v>
      </c>
      <c r="AX7" s="1585">
        <f>'Operating Income Statement'!AW32</f>
        <v>-1114007.0253027987</v>
      </c>
      <c r="AZ7" s="1601">
        <f>SUM(C7:N7)</f>
        <v>-14251676.081741679</v>
      </c>
      <c r="BA7" s="1601">
        <f>SUM(O7:Z7)</f>
        <v>-14852140.592567356</v>
      </c>
      <c r="BB7" s="1601">
        <f>SUM(AA7:AL7)</f>
        <v>-19382278.554547939</v>
      </c>
      <c r="BC7" s="1601">
        <f>SUM(AM7:AX7)</f>
        <v>-19855997.123078026</v>
      </c>
      <c r="BE7" s="1601">
        <f>SUM(C7:E7)</f>
        <v>-2368939.3400000003</v>
      </c>
      <c r="BF7" s="1601">
        <f>SUM(F7:H7)</f>
        <v>-2688302.5600000005</v>
      </c>
      <c r="BG7" s="1601">
        <f>SUM(I7:K7)</f>
        <v>-3945653.06</v>
      </c>
      <c r="BH7" s="1601">
        <f>SUM(L7:N7)</f>
        <v>-5248781.1217416786</v>
      </c>
      <c r="BI7" s="1601">
        <f>SUM(O7:Q7)</f>
        <v>-3670415.9913501712</v>
      </c>
      <c r="BJ7" s="1601">
        <f>SUM(R7:T7)</f>
        <v>-3490220.8827593243</v>
      </c>
      <c r="BK7" s="1601">
        <f>SUM(U7:W7)</f>
        <v>-2866479.8741725772</v>
      </c>
      <c r="BL7" s="1601">
        <f>SUM(X7:Z7)</f>
        <v>-4825023.8442852842</v>
      </c>
      <c r="BM7" s="1601">
        <f>SUM(AA7:AC7)</f>
        <v>-3541411.4144703173</v>
      </c>
      <c r="BN7" s="1601">
        <f>SUM(AD7:AF7)</f>
        <v>-5299155.268914762</v>
      </c>
      <c r="BO7" s="1601">
        <f>SUM(AG7:AI7)</f>
        <v>-4744152.102248095</v>
      </c>
      <c r="BP7" s="1601">
        <f>SUM(AJ7:AL7)</f>
        <v>-5797559.768914761</v>
      </c>
      <c r="BQ7" s="1601">
        <f>SUM(AM7:AO7)</f>
        <v>-7667515.1175750615</v>
      </c>
      <c r="BR7" s="1601">
        <f>SUM(AP7:AR7)</f>
        <v>-4936562.1175750615</v>
      </c>
      <c r="BS7" s="1601">
        <f>SUM(AS7:AU7)</f>
        <v>-3366574.4786861734</v>
      </c>
      <c r="BT7" s="1601">
        <f>SUM(AV7:AX7)</f>
        <v>-3885345.4092417285</v>
      </c>
    </row>
    <row r="8" spans="1:72">
      <c r="A8" s="1583"/>
      <c r="S8" s="1601" t="s">
        <v>3451</v>
      </c>
    </row>
    <row r="9" spans="1:72">
      <c r="A9" s="1583" t="s">
        <v>170</v>
      </c>
      <c r="C9" s="1586">
        <f>-'Operating Income Statement'!B29</f>
        <v>15591.82</v>
      </c>
      <c r="D9" s="1586">
        <f>-'Operating Income Statement'!C29</f>
        <v>17508.099999999999</v>
      </c>
      <c r="E9" s="1586">
        <f>-'Operating Income Statement'!D29</f>
        <v>17787.96</v>
      </c>
      <c r="F9" s="1586">
        <f>-'Operating Income Statement'!E29</f>
        <v>19788.41</v>
      </c>
      <c r="G9" s="1586">
        <f>-'Operating Income Statement'!F29</f>
        <v>20111.490000000002</v>
      </c>
      <c r="H9" s="1586">
        <f>-'Operating Income Statement'!G29</f>
        <v>20111.490000000002</v>
      </c>
      <c r="I9" s="1586">
        <f>-'Operating Income Statement'!H29</f>
        <v>81285.77</v>
      </c>
      <c r="J9" s="1586">
        <f>-'Operating Income Statement'!I29</f>
        <v>39349.199999999997</v>
      </c>
      <c r="K9" s="1586">
        <f>-'Operating Income Statement'!J29</f>
        <v>19871.22</v>
      </c>
      <c r="L9" s="1586">
        <f>-'Operating Income Statement'!K29</f>
        <v>38803.81</v>
      </c>
      <c r="M9" s="1586">
        <f>-'Operating Income Statement'!L29</f>
        <v>43573.390634920637</v>
      </c>
      <c r="N9" s="1586">
        <f>-'Operating Income Statement'!M29</f>
        <v>44290.057301587301</v>
      </c>
      <c r="O9" s="1586">
        <f>-'Operating Income Statement'!N29</f>
        <v>44523.390634920637</v>
      </c>
      <c r="P9" s="1586">
        <f>-'Operating Income Statement'!O29</f>
        <v>45245.057301587301</v>
      </c>
      <c r="Q9" s="1586">
        <f>-'Operating Income Statement'!P29</f>
        <v>45578.390634920637</v>
      </c>
      <c r="R9" s="1586">
        <f>-'Operating Income Statement'!Q29</f>
        <v>45911.723968253966</v>
      </c>
      <c r="S9" s="1586">
        <f>-'Operating Income Statement'!R29</f>
        <v>45911.723968253966</v>
      </c>
      <c r="T9" s="1586">
        <f>-'Operating Income Statement'!S29</f>
        <v>45911.723968253966</v>
      </c>
      <c r="U9" s="1586">
        <f>-'Operating Income Statement'!T29</f>
        <v>45911.723968253966</v>
      </c>
      <c r="V9" s="1586">
        <f>-'Operating Income Statement'!U29</f>
        <v>46003.390634920637</v>
      </c>
      <c r="W9" s="1586">
        <f>-'Operating Income Statement'!V29</f>
        <v>46003.390634920637</v>
      </c>
      <c r="X9" s="1586">
        <f>-'Operating Income Statement'!W29</f>
        <v>46003.390634920637</v>
      </c>
      <c r="Y9" s="1586">
        <f>-'Operating Income Statement'!X29</f>
        <v>46003.390634920637</v>
      </c>
      <c r="Z9" s="1586">
        <f>-'Operating Income Statement'!Y29</f>
        <v>46003.390634920637</v>
      </c>
      <c r="AA9" s="1586">
        <f>-'Operating Income Statement'!Z29</f>
        <v>46436.723968253966</v>
      </c>
      <c r="AB9" s="1586">
        <f>-'Operating Income Statement'!AA29</f>
        <v>43213.873968253931</v>
      </c>
      <c r="AC9" s="1586">
        <f>-'Operating Income Statement'!AB29</f>
        <v>39962.753968253965</v>
      </c>
      <c r="AD9" s="1586">
        <f>-'Operating Income Statement'!AC29</f>
        <v>39962.753968253965</v>
      </c>
      <c r="AE9" s="1586">
        <f>-'Operating Income Statement'!AD29</f>
        <v>39962.753968253965</v>
      </c>
      <c r="AF9" s="1586">
        <f>-'Operating Income Statement'!AE29</f>
        <v>39962.753968253965</v>
      </c>
      <c r="AG9" s="1586">
        <f>-'Operating Income Statement'!AF29</f>
        <v>39962.753968253965</v>
      </c>
      <c r="AH9" s="1586">
        <f>-'Operating Income Statement'!AG29</f>
        <v>39962.753968253965</v>
      </c>
      <c r="AI9" s="1586">
        <f>-'Operating Income Statement'!AH29</f>
        <v>39962.753968253965</v>
      </c>
      <c r="AJ9" s="1586">
        <f>-'Operating Income Statement'!AI29</f>
        <v>39962.753968253965</v>
      </c>
      <c r="AK9" s="1586">
        <f>-'Operating Income Statement'!AJ29</f>
        <v>39962.753968253965</v>
      </c>
      <c r="AL9" s="1586">
        <f>-'Operating Income Statement'!AK29</f>
        <v>39962.753968253965</v>
      </c>
      <c r="AM9" s="1586">
        <f>-'Operating Income Statement'!AL29</f>
        <v>39962.753968253965</v>
      </c>
      <c r="AN9" s="1586">
        <f>-'Operating Income Statement'!AM29</f>
        <v>39962.753968253965</v>
      </c>
      <c r="AO9" s="1586">
        <f>-'Operating Income Statement'!AN29</f>
        <v>39962.753968253965</v>
      </c>
      <c r="AP9" s="1586">
        <f>-'Operating Income Statement'!AO29</f>
        <v>39962.753968253965</v>
      </c>
      <c r="AQ9" s="1586">
        <f>-'Operating Income Statement'!AP29</f>
        <v>39962.753968253965</v>
      </c>
      <c r="AR9" s="1586">
        <f>-'Operating Income Statement'!AQ29</f>
        <v>39962.753968253965</v>
      </c>
      <c r="AS9" s="1586">
        <f>-'Operating Income Statement'!AR29</f>
        <v>39962.753968253965</v>
      </c>
      <c r="AT9" s="1586">
        <f>-'Operating Income Statement'!AS29</f>
        <v>39962.753968253965</v>
      </c>
      <c r="AU9" s="1586">
        <f>-'Operating Income Statement'!AT29</f>
        <v>39962.753968253965</v>
      </c>
      <c r="AV9" s="1586">
        <f>-'Operating Income Statement'!AU29</f>
        <v>39962.753968253965</v>
      </c>
      <c r="AW9" s="1586">
        <f>-'Operating Income Statement'!AV29</f>
        <v>39851.642857142855</v>
      </c>
      <c r="AX9" s="1586">
        <f>-'Operating Income Statement'!AW29</f>
        <v>39851.642857142855</v>
      </c>
      <c r="AZ9" s="1586">
        <f>SUM(C9:N9)</f>
        <v>378072.71793650795</v>
      </c>
      <c r="BA9" s="1586">
        <f>SUM(O9:Z9)</f>
        <v>549010.68761904759</v>
      </c>
      <c r="BB9" s="1586">
        <f>SUM(AA9:AL9)</f>
        <v>489278.13761904754</v>
      </c>
      <c r="BC9" s="1586">
        <f>SUM(AM9:AX9)</f>
        <v>479330.82539682533</v>
      </c>
      <c r="BD9" s="1586"/>
      <c r="BE9" s="1586">
        <f>SUM(C9:E9)</f>
        <v>50887.88</v>
      </c>
      <c r="BF9" s="1586">
        <f>SUM(F9:H9)</f>
        <v>60011.39</v>
      </c>
      <c r="BG9" s="1586">
        <f>SUM(I9:K9)</f>
        <v>140506.19</v>
      </c>
      <c r="BH9" s="1586">
        <f>SUM(L9:N9)</f>
        <v>126667.25793650793</v>
      </c>
      <c r="BI9" s="1586">
        <f>SUM(O9:Q9)</f>
        <v>135346.83857142855</v>
      </c>
      <c r="BJ9" s="1586">
        <f>SUM(R9:T9)</f>
        <v>137735.1719047619</v>
      </c>
      <c r="BK9" s="1586">
        <f>SUM(U9:W9)</f>
        <v>137918.50523809524</v>
      </c>
      <c r="BL9" s="1586">
        <f>SUM(X9:Z9)</f>
        <v>138010.17190476193</v>
      </c>
      <c r="BM9" s="1586">
        <f>SUM(AA9:AC9)</f>
        <v>129613.35190476186</v>
      </c>
      <c r="BN9" s="1586">
        <f>SUM(AD9:AF9)</f>
        <v>119888.26190476189</v>
      </c>
      <c r="BO9" s="1586">
        <f>SUM(AG9:AI9)</f>
        <v>119888.26190476189</v>
      </c>
      <c r="BP9" s="1586">
        <f>SUM(AJ9:AL9)</f>
        <v>119888.26190476189</v>
      </c>
      <c r="BQ9" s="1586">
        <f>SUM(AM9:AO9)</f>
        <v>119888.26190476189</v>
      </c>
      <c r="BR9" s="1586">
        <f>SUM(AP9:AR9)</f>
        <v>119888.26190476189</v>
      </c>
      <c r="BS9" s="1586">
        <f>SUM(AS9:AU9)</f>
        <v>119888.26190476189</v>
      </c>
      <c r="BT9" s="1586">
        <f>SUM(AV9:AX9)</f>
        <v>119666.03968253967</v>
      </c>
    </row>
    <row r="10" spans="1:72">
      <c r="A10" s="1583"/>
      <c r="AZ10" s="1586"/>
      <c r="BA10" s="1586"/>
      <c r="BB10" s="1586"/>
      <c r="BC10" s="1586"/>
      <c r="BD10" s="1586"/>
      <c r="BE10" s="1586"/>
      <c r="BF10" s="1586"/>
      <c r="BG10" s="1586"/>
      <c r="BH10" s="1586"/>
      <c r="BI10" s="1593"/>
      <c r="BJ10" s="1593"/>
      <c r="BK10" s="1593"/>
      <c r="BL10" s="1593"/>
      <c r="BM10" s="1593"/>
      <c r="BN10" s="1593"/>
      <c r="BO10" s="1593"/>
      <c r="BP10" s="1593"/>
      <c r="BQ10" s="1593"/>
      <c r="BR10" s="1593"/>
      <c r="BS10" s="1593"/>
      <c r="BT10" s="1593"/>
    </row>
    <row r="11" spans="1:72">
      <c r="A11" s="1596" t="s">
        <v>3359</v>
      </c>
      <c r="AZ11" s="1586"/>
      <c r="BA11" s="1586"/>
      <c r="BB11" s="1586"/>
      <c r="BC11" s="1586"/>
      <c r="BD11" s="1586"/>
      <c r="BE11" s="1586"/>
      <c r="BF11" s="1586"/>
      <c r="BG11" s="1586"/>
      <c r="BH11" s="1586"/>
      <c r="BI11" s="1593"/>
      <c r="BJ11" s="1593"/>
      <c r="BK11" s="1593"/>
      <c r="BL11" s="1593"/>
      <c r="BM11" s="1593"/>
      <c r="BN11" s="1593"/>
      <c r="BO11" s="1593"/>
      <c r="BP11" s="1593"/>
      <c r="BQ11" s="1593"/>
      <c r="BR11" s="1593"/>
      <c r="BS11" s="1593"/>
      <c r="BT11" s="1593"/>
    </row>
    <row r="12" spans="1:72">
      <c r="A12" s="1596" t="s">
        <v>3360</v>
      </c>
      <c r="AZ12" s="1586"/>
      <c r="BA12" s="1586"/>
      <c r="BB12" s="1586"/>
      <c r="BC12" s="1586"/>
      <c r="BD12" s="1586"/>
      <c r="BE12" s="1586"/>
      <c r="BF12" s="1586"/>
      <c r="BG12" s="1586"/>
      <c r="BH12" s="1586"/>
      <c r="BI12" s="1593"/>
      <c r="BJ12" s="1593"/>
      <c r="BK12" s="1593"/>
      <c r="BL12" s="1593"/>
      <c r="BM12" s="1593"/>
      <c r="BN12" s="1593"/>
      <c r="BO12" s="1593"/>
      <c r="BP12" s="1593"/>
      <c r="BQ12" s="1593"/>
      <c r="BR12" s="1593"/>
      <c r="BS12" s="1593"/>
      <c r="BT12" s="1593"/>
    </row>
    <row r="13" spans="1:72">
      <c r="A13" s="1583" t="s">
        <v>3361</v>
      </c>
      <c r="C13" s="1586">
        <v>126843.47</v>
      </c>
      <c r="D13" s="1586">
        <v>0</v>
      </c>
      <c r="E13" s="1586">
        <v>0</v>
      </c>
      <c r="F13" s="1586">
        <v>0</v>
      </c>
      <c r="G13" s="1586">
        <v>0</v>
      </c>
      <c r="H13" s="1586">
        <v>0</v>
      </c>
      <c r="I13" s="1586">
        <v>0</v>
      </c>
      <c r="J13" s="1586">
        <v>0</v>
      </c>
      <c r="K13" s="1586">
        <v>-165299.07999999999</v>
      </c>
      <c r="L13" s="1586">
        <v>0</v>
      </c>
      <c r="M13" s="1586">
        <v>-32587.99</v>
      </c>
      <c r="N13" s="1586">
        <v>0</v>
      </c>
      <c r="O13" s="1586">
        <v>1087.5</v>
      </c>
      <c r="P13" s="1586">
        <v>0</v>
      </c>
      <c r="Q13" s="1586">
        <v>0</v>
      </c>
      <c r="R13" s="1586">
        <v>8482.5</v>
      </c>
      <c r="S13" s="1586">
        <v>0</v>
      </c>
      <c r="T13" s="1586">
        <v>23017.99</v>
      </c>
      <c r="U13" s="1586">
        <v>0</v>
      </c>
      <c r="V13" s="1586">
        <v>0</v>
      </c>
      <c r="W13" s="1586">
        <v>0</v>
      </c>
      <c r="X13" s="1586">
        <v>0</v>
      </c>
      <c r="Y13" s="1586">
        <v>0</v>
      </c>
      <c r="Z13" s="1586">
        <v>0</v>
      </c>
      <c r="AA13" s="1586">
        <v>0</v>
      </c>
      <c r="AB13" s="1586">
        <v>0</v>
      </c>
      <c r="AC13" s="1586">
        <v>0</v>
      </c>
      <c r="AD13" s="1586">
        <v>0</v>
      </c>
      <c r="AE13" s="1586">
        <v>0</v>
      </c>
      <c r="AF13" s="1586">
        <v>0</v>
      </c>
      <c r="AG13" s="1586">
        <v>0</v>
      </c>
      <c r="AH13" s="1586">
        <v>0</v>
      </c>
      <c r="AI13" s="1586">
        <v>0</v>
      </c>
      <c r="AJ13" s="1586">
        <v>0</v>
      </c>
      <c r="AK13" s="1586">
        <v>0</v>
      </c>
      <c r="AL13" s="1586">
        <v>0</v>
      </c>
      <c r="AM13" s="1586">
        <v>0</v>
      </c>
      <c r="AN13" s="1586">
        <v>0</v>
      </c>
      <c r="AO13" s="1586">
        <v>0</v>
      </c>
      <c r="AP13" s="1586">
        <v>0</v>
      </c>
      <c r="AQ13" s="1586">
        <v>0</v>
      </c>
      <c r="AR13" s="1586">
        <v>0</v>
      </c>
      <c r="AS13" s="1586">
        <v>0</v>
      </c>
      <c r="AT13" s="1586">
        <v>0</v>
      </c>
      <c r="AU13" s="1586">
        <v>0</v>
      </c>
      <c r="AV13" s="1586">
        <v>0</v>
      </c>
      <c r="AW13" s="1586">
        <v>0</v>
      </c>
      <c r="AX13" s="1586">
        <v>0</v>
      </c>
      <c r="AZ13" s="1586">
        <f>SUM(C13:N13)</f>
        <v>-71043.599999999991</v>
      </c>
      <c r="BA13" s="1586">
        <f>SUM(O13:Z13)</f>
        <v>32587.99</v>
      </c>
      <c r="BB13" s="1586">
        <f>SUM(AA13:AL13)</f>
        <v>0</v>
      </c>
      <c r="BC13" s="1586">
        <f>SUM(AM13:AX13)</f>
        <v>0</v>
      </c>
      <c r="BD13" s="1586"/>
      <c r="BE13" s="1586">
        <f>SUM(C13:E13)</f>
        <v>126843.47</v>
      </c>
      <c r="BF13" s="1586">
        <f>SUM(F13:H13)</f>
        <v>0</v>
      </c>
      <c r="BG13" s="1586">
        <f>SUM(I13:K13)</f>
        <v>-165299.07999999999</v>
      </c>
      <c r="BH13" s="1586">
        <f>SUM(L13:N13)</f>
        <v>-32587.99</v>
      </c>
      <c r="BI13" s="1586">
        <f>SUM(O13:Q13)</f>
        <v>1087.5</v>
      </c>
      <c r="BJ13" s="1586">
        <f>SUM(R13:T13)</f>
        <v>31500.49</v>
      </c>
      <c r="BK13" s="1586">
        <f>SUM(U13:W13)</f>
        <v>0</v>
      </c>
      <c r="BL13" s="1586">
        <f>SUM(X13:Z13)</f>
        <v>0</v>
      </c>
      <c r="BM13" s="1586">
        <f>SUM(AA13:AC13)</f>
        <v>0</v>
      </c>
      <c r="BN13" s="1586">
        <f>SUM(AD13:AF13)</f>
        <v>0</v>
      </c>
      <c r="BO13" s="1586">
        <f>SUM(AG13:AI13)</f>
        <v>0</v>
      </c>
      <c r="BP13" s="1586">
        <f>SUM(AJ13:AL13)</f>
        <v>0</v>
      </c>
      <c r="BQ13" s="1586">
        <f>SUM(AM13:AO13)</f>
        <v>0</v>
      </c>
      <c r="BR13" s="1586">
        <f>SUM(AP13:AR13)</f>
        <v>0</v>
      </c>
      <c r="BS13" s="1586">
        <f>SUM(AS13:AU13)</f>
        <v>0</v>
      </c>
      <c r="BT13" s="1586">
        <f>SUM(AV13:AX13)</f>
        <v>0</v>
      </c>
    </row>
    <row r="14" spans="1:72">
      <c r="A14" s="1583" t="s">
        <v>3362</v>
      </c>
      <c r="C14" s="1586">
        <v>-195102.83</v>
      </c>
      <c r="D14" s="1586">
        <v>21591.43</v>
      </c>
      <c r="E14" s="1586">
        <v>48225.64</v>
      </c>
      <c r="F14" s="1586">
        <v>24024.880000000001</v>
      </c>
      <c r="G14" s="1586">
        <v>216335.87</v>
      </c>
      <c r="H14" s="1586">
        <v>-113524.89</v>
      </c>
      <c r="I14" s="1586">
        <v>193450.71</v>
      </c>
      <c r="J14" s="1586">
        <v>-326554.08</v>
      </c>
      <c r="K14" s="1586">
        <v>508889.95</v>
      </c>
      <c r="L14" s="1586">
        <v>230421.55</v>
      </c>
      <c r="M14" s="1586">
        <v>625548.81161111104</v>
      </c>
      <c r="N14" s="1586">
        <v>293009.88888888876</v>
      </c>
      <c r="O14" s="1586">
        <v>-532641.80277777766</v>
      </c>
      <c r="P14" s="1586">
        <v>-128142.94122222214</v>
      </c>
      <c r="Q14" s="1586">
        <v>121565.50279055556</v>
      </c>
      <c r="R14" s="1586">
        <v>480181.6884316667</v>
      </c>
      <c r="S14" s="1586">
        <v>-604974.39891666663</v>
      </c>
      <c r="T14" s="1586">
        <v>216644.79286111108</v>
      </c>
      <c r="U14" s="1586">
        <v>-125106.90416666673</v>
      </c>
      <c r="V14" s="1586">
        <v>-32507.533333333267</v>
      </c>
      <c r="W14" s="1586">
        <v>140428.84722222225</v>
      </c>
      <c r="X14" s="1586">
        <v>582577.29444444436</v>
      </c>
      <c r="Y14" s="1586">
        <v>-759783.5770833334</v>
      </c>
      <c r="Z14" s="1586">
        <v>819229.61874999991</v>
      </c>
      <c r="AA14" s="1586">
        <v>-699707.97916666651</v>
      </c>
      <c r="AB14" s="1586">
        <v>179431.54027777776</v>
      </c>
      <c r="AC14" s="1586">
        <v>-40799.655555555481</v>
      </c>
      <c r="AD14" s="1586">
        <v>773306.52777777764</v>
      </c>
      <c r="AE14" s="1586">
        <v>-612569.99999999988</v>
      </c>
      <c r="AF14" s="1586">
        <v>110670.00000000012</v>
      </c>
      <c r="AG14" s="1586">
        <v>164865.04999999981</v>
      </c>
      <c r="AH14" s="1586">
        <v>-53229.633333333302</v>
      </c>
      <c r="AI14" s="1586">
        <v>-388208.1</v>
      </c>
      <c r="AJ14" s="1586">
        <v>1279390</v>
      </c>
      <c r="AK14" s="1586">
        <v>-1123523.7999999998</v>
      </c>
      <c r="AL14" s="1586">
        <v>-24791.199999999953</v>
      </c>
      <c r="AM14" s="1586">
        <v>444093.03749999998</v>
      </c>
      <c r="AN14" s="1586">
        <v>165163.27916666679</v>
      </c>
      <c r="AO14" s="1586">
        <v>593293.39999999991</v>
      </c>
      <c r="AP14" s="1586">
        <v>-531055</v>
      </c>
      <c r="AQ14" s="1586">
        <v>-645890</v>
      </c>
      <c r="AR14" s="1586">
        <v>-194313.00000000006</v>
      </c>
      <c r="AS14" s="1586">
        <v>12406.333333333314</v>
      </c>
      <c r="AT14" s="1586">
        <v>-105083.07638888888</v>
      </c>
      <c r="AU14" s="1586">
        <v>105671.80555555556</v>
      </c>
      <c r="AV14" s="1586">
        <v>420513.3333333332</v>
      </c>
      <c r="AW14" s="1586">
        <v>-540995.46666666644</v>
      </c>
      <c r="AX14" s="1586">
        <v>76785.605555555492</v>
      </c>
      <c r="AZ14" s="1586">
        <f>SUM(C14:N14)</f>
        <v>1526316.9304999998</v>
      </c>
      <c r="BA14" s="1586">
        <f>SUM(O14:Z14)</f>
        <v>177470.58700000006</v>
      </c>
      <c r="BB14" s="1586">
        <f>SUM(AA14:AL14)</f>
        <v>-435167.24999999953</v>
      </c>
      <c r="BC14" s="1586">
        <f>SUM(AM14:AX14)</f>
        <v>-199409.74861111102</v>
      </c>
      <c r="BD14" s="1586"/>
      <c r="BE14" s="1586">
        <f>SUM(C14:E14)</f>
        <v>-125285.75999999999</v>
      </c>
      <c r="BF14" s="1586">
        <f>SUM(F14:H14)</f>
        <v>126835.86</v>
      </c>
      <c r="BG14" s="1586">
        <f>SUM(I14:K14)</f>
        <v>375786.57999999996</v>
      </c>
      <c r="BH14" s="1586">
        <f>SUM(L14:N14)</f>
        <v>1148980.2504999998</v>
      </c>
      <c r="BI14" s="1586">
        <f>SUM(O14:Q14)</f>
        <v>-539219.24120944424</v>
      </c>
      <c r="BJ14" s="1586">
        <f>SUM(R14:T14)</f>
        <v>91852.082376111153</v>
      </c>
      <c r="BK14" s="1586">
        <f>SUM(U14:W14)</f>
        <v>-17185.590277777752</v>
      </c>
      <c r="BL14" s="1586">
        <f>SUM(X14:Z14)</f>
        <v>642023.33611111087</v>
      </c>
      <c r="BM14" s="1586">
        <f>SUM(AA14:AC14)</f>
        <v>-561076.09444444417</v>
      </c>
      <c r="BN14" s="1586">
        <f>SUM(AD14:AF14)</f>
        <v>271406.52777777787</v>
      </c>
      <c r="BO14" s="1586">
        <f>SUM(AG14:AI14)</f>
        <v>-276572.68333333347</v>
      </c>
      <c r="BP14" s="1586">
        <f>SUM(AJ14:AL14)</f>
        <v>131075.00000000023</v>
      </c>
      <c r="BQ14" s="1586">
        <f>SUM(AM14:AO14)</f>
        <v>1202549.7166666668</v>
      </c>
      <c r="BR14" s="1586">
        <f>SUM(AP14:AR14)</f>
        <v>-1371258</v>
      </c>
      <c r="BS14" s="1586">
        <f>SUM(AS14:AU14)</f>
        <v>12995.0625</v>
      </c>
      <c r="BT14" s="1586">
        <f>SUM(AV14:AX14)</f>
        <v>-43696.527777777752</v>
      </c>
    </row>
    <row r="15" spans="1:72">
      <c r="A15" s="1583" t="s">
        <v>3363</v>
      </c>
      <c r="C15" s="1586">
        <v>43018.67</v>
      </c>
      <c r="D15" s="1586">
        <v>-235120.95</v>
      </c>
      <c r="E15" s="1586">
        <v>77335.490000000005</v>
      </c>
      <c r="F15" s="1586">
        <v>-4796.1499999999942</v>
      </c>
      <c r="G15" s="1586">
        <v>-37143.67</v>
      </c>
      <c r="H15" s="1586">
        <v>75281.78</v>
      </c>
      <c r="I15" s="1586">
        <v>72040.790000000008</v>
      </c>
      <c r="J15" s="1586">
        <v>95427.08</v>
      </c>
      <c r="K15" s="1586">
        <v>106050.07</v>
      </c>
      <c r="L15" s="1586">
        <v>149148.5</v>
      </c>
      <c r="M15" s="1586">
        <v>-39475.357193330172</v>
      </c>
      <c r="N15" s="1586">
        <v>-39475.357193330172</v>
      </c>
      <c r="O15" s="1586">
        <v>103093.31280666983</v>
      </c>
      <c r="P15" s="1586">
        <v>-417277.58719333017</v>
      </c>
      <c r="Q15" s="1586">
        <v>222432.41280666983</v>
      </c>
      <c r="R15" s="1586">
        <v>103093.31280666983</v>
      </c>
      <c r="S15" s="1586">
        <v>103093.31280666983</v>
      </c>
      <c r="T15" s="1586">
        <v>103093.31280666983</v>
      </c>
      <c r="U15" s="1586">
        <v>103093.31280666983</v>
      </c>
      <c r="V15" s="1586">
        <v>103093.31280666983</v>
      </c>
      <c r="W15" s="1586">
        <v>98916.442806669831</v>
      </c>
      <c r="X15" s="1586">
        <v>98916.442806669831</v>
      </c>
      <c r="Y15" s="1586">
        <v>98916.442806669831</v>
      </c>
      <c r="Z15" s="1586">
        <v>98916.442806669831</v>
      </c>
      <c r="AA15" s="1586">
        <v>135663.69280666983</v>
      </c>
      <c r="AB15" s="1586">
        <v>-1088162.3071933303</v>
      </c>
      <c r="AC15" s="1586">
        <v>135663.69280666983</v>
      </c>
      <c r="AD15" s="1586">
        <v>135663.69280666983</v>
      </c>
      <c r="AE15" s="1586">
        <v>135663.69280666983</v>
      </c>
      <c r="AF15" s="1586">
        <v>135663.69280666983</v>
      </c>
      <c r="AG15" s="1586">
        <v>135663.69280666983</v>
      </c>
      <c r="AH15" s="1586">
        <v>135663.69280666983</v>
      </c>
      <c r="AI15" s="1586">
        <v>131340.63280666983</v>
      </c>
      <c r="AJ15" s="1586">
        <v>131340.63280666983</v>
      </c>
      <c r="AK15" s="1586">
        <v>131340.63280666983</v>
      </c>
      <c r="AL15" s="1586">
        <v>131340.63280666983</v>
      </c>
      <c r="AM15" s="1586">
        <v>149898.96614000318</v>
      </c>
      <c r="AN15" s="1586">
        <v>-1514894.0338599968</v>
      </c>
      <c r="AO15" s="1586">
        <v>149898.96614000318</v>
      </c>
      <c r="AP15" s="1586">
        <v>149898.96614000318</v>
      </c>
      <c r="AQ15" s="1586">
        <v>149898.96614000318</v>
      </c>
      <c r="AR15" s="1586">
        <v>149898.96614000318</v>
      </c>
      <c r="AS15" s="1586">
        <v>149898.96614000318</v>
      </c>
      <c r="AT15" s="1586">
        <v>149898.96614000318</v>
      </c>
      <c r="AU15" s="1586">
        <v>145424.60614000316</v>
      </c>
      <c r="AV15" s="1586">
        <v>145424.60614000316</v>
      </c>
      <c r="AW15" s="1586">
        <v>145424.60614000316</v>
      </c>
      <c r="AX15" s="1586">
        <v>145424.60614000316</v>
      </c>
      <c r="AZ15" s="1586">
        <f>SUM(C15:N15)</f>
        <v>262290.89561333961</v>
      </c>
      <c r="BA15" s="1586">
        <f>SUM(O15:Z15)</f>
        <v>819380.47368003812</v>
      </c>
      <c r="BB15" s="1586">
        <f>SUM(AA15:AL15)</f>
        <v>386846.0736800381</v>
      </c>
      <c r="BC15" s="1586">
        <f>SUM(AM15:AX15)</f>
        <v>116097.15368003809</v>
      </c>
      <c r="BD15" s="1586"/>
      <c r="BE15" s="1586">
        <f>SUM(C15:E15)</f>
        <v>-114766.79000000002</v>
      </c>
      <c r="BF15" s="1586">
        <f>SUM(F15:H15)</f>
        <v>33341.960000000006</v>
      </c>
      <c r="BG15" s="1586">
        <f>SUM(I15:K15)</f>
        <v>273517.94</v>
      </c>
      <c r="BH15" s="1586">
        <f>SUM(L15:N15)</f>
        <v>70197.785613339656</v>
      </c>
      <c r="BI15" s="1586">
        <f>SUM(O15:Q15)</f>
        <v>-91751.86157999048</v>
      </c>
      <c r="BJ15" s="1586">
        <f>SUM(R15:T15)</f>
        <v>309279.93842000945</v>
      </c>
      <c r="BK15" s="1586">
        <f>SUM(U15:W15)</f>
        <v>305103.06842000945</v>
      </c>
      <c r="BL15" s="1586">
        <f>SUM(X15:Z15)</f>
        <v>296749.32842000946</v>
      </c>
      <c r="BM15" s="1586">
        <f>SUM(AA15:AC15)</f>
        <v>-816834.92157999054</v>
      </c>
      <c r="BN15" s="1586">
        <f>SUM(AD15:AF15)</f>
        <v>406991.07842000946</v>
      </c>
      <c r="BO15" s="1586">
        <f>SUM(AG15:AI15)</f>
        <v>402668.01842000952</v>
      </c>
      <c r="BP15" s="1586">
        <f>SUM(AJ15:AL15)</f>
        <v>394021.89842000953</v>
      </c>
      <c r="BQ15" s="1586">
        <f>SUM(AM15:AO15)</f>
        <v>-1215096.1015799905</v>
      </c>
      <c r="BR15" s="1586">
        <f>SUM(AP15:AR15)</f>
        <v>449696.89842000953</v>
      </c>
      <c r="BS15" s="1586">
        <f>SUM(AS15:AU15)</f>
        <v>445222.53842000954</v>
      </c>
      <c r="BT15" s="1586">
        <f>SUM(AV15:AX15)</f>
        <v>436273.81842000945</v>
      </c>
    </row>
    <row r="16" spans="1:72">
      <c r="A16" s="1583" t="s">
        <v>3364</v>
      </c>
      <c r="C16" s="1586">
        <v>0</v>
      </c>
      <c r="D16" s="1586">
        <v>-293396.44</v>
      </c>
      <c r="E16" s="1586">
        <v>0</v>
      </c>
      <c r="F16" s="1586">
        <v>0</v>
      </c>
      <c r="G16" s="1586">
        <v>0</v>
      </c>
      <c r="H16" s="1586">
        <v>0</v>
      </c>
      <c r="I16" s="1586">
        <v>0</v>
      </c>
      <c r="J16" s="1586">
        <v>0</v>
      </c>
      <c r="K16" s="1586">
        <v>0</v>
      </c>
      <c r="L16" s="1586">
        <v>0</v>
      </c>
      <c r="M16" s="1586">
        <v>0</v>
      </c>
      <c r="N16" s="1586">
        <v>0</v>
      </c>
      <c r="O16" s="1586">
        <v>0</v>
      </c>
      <c r="P16" s="1586">
        <v>0</v>
      </c>
      <c r="Q16" s="1586">
        <v>0</v>
      </c>
      <c r="R16" s="1586">
        <v>0</v>
      </c>
      <c r="S16" s="1586">
        <v>0</v>
      </c>
      <c r="T16" s="1586">
        <v>0</v>
      </c>
      <c r="U16" s="1586">
        <v>0</v>
      </c>
      <c r="V16" s="1586">
        <v>0</v>
      </c>
      <c r="W16" s="1586">
        <v>0</v>
      </c>
      <c r="X16" s="1586">
        <v>0</v>
      </c>
      <c r="Y16" s="1586">
        <v>0</v>
      </c>
      <c r="Z16" s="1586">
        <v>0</v>
      </c>
      <c r="AA16" s="1586">
        <v>0</v>
      </c>
      <c r="AB16" s="1586">
        <v>0</v>
      </c>
      <c r="AC16" s="1586">
        <v>0</v>
      </c>
      <c r="AD16" s="1586">
        <v>0</v>
      </c>
      <c r="AE16" s="1586">
        <v>0</v>
      </c>
      <c r="AF16" s="1586">
        <v>0</v>
      </c>
      <c r="AG16" s="1586">
        <v>0</v>
      </c>
      <c r="AH16" s="1586">
        <v>0</v>
      </c>
      <c r="AI16" s="1586">
        <v>0</v>
      </c>
      <c r="AJ16" s="1586">
        <v>0</v>
      </c>
      <c r="AK16" s="1586">
        <v>0</v>
      </c>
      <c r="AL16" s="1586">
        <v>0</v>
      </c>
      <c r="AM16" s="1586">
        <v>0</v>
      </c>
      <c r="AN16" s="1586">
        <v>0</v>
      </c>
      <c r="AO16" s="1586">
        <v>0</v>
      </c>
      <c r="AP16" s="1586">
        <v>0</v>
      </c>
      <c r="AQ16" s="1586">
        <v>0</v>
      </c>
      <c r="AR16" s="1586">
        <v>0</v>
      </c>
      <c r="AS16" s="1586">
        <v>0</v>
      </c>
      <c r="AT16" s="1586">
        <v>0</v>
      </c>
      <c r="AU16" s="1586">
        <v>0</v>
      </c>
      <c r="AV16" s="1586">
        <v>0</v>
      </c>
      <c r="AW16" s="1586">
        <v>0</v>
      </c>
      <c r="AX16" s="1586">
        <v>0</v>
      </c>
      <c r="AZ16" s="1586">
        <f>SUM(C16:N16)</f>
        <v>-293396.44</v>
      </c>
      <c r="BA16" s="1586">
        <f>SUM(O16:Z16)</f>
        <v>0</v>
      </c>
      <c r="BB16" s="1586">
        <f>SUM(AA16:AL16)</f>
        <v>0</v>
      </c>
      <c r="BC16" s="1586">
        <f>SUM(AM16:AX16)</f>
        <v>0</v>
      </c>
      <c r="BD16" s="1586"/>
      <c r="BE16" s="1586">
        <f>SUM(C16:E16)</f>
        <v>-293396.44</v>
      </c>
      <c r="BF16" s="1586">
        <f>SUM(F16:H16)</f>
        <v>0</v>
      </c>
      <c r="BG16" s="1586">
        <f>SUM(I16:K16)</f>
        <v>0</v>
      </c>
      <c r="BH16" s="1586">
        <f>SUM(L16:N16)</f>
        <v>0</v>
      </c>
      <c r="BI16" s="1586">
        <f>SUM(O16:Q16)</f>
        <v>0</v>
      </c>
      <c r="BJ16" s="1586">
        <f>SUM(R16:T16)</f>
        <v>0</v>
      </c>
      <c r="BK16" s="1586">
        <f>SUM(U16:W16)</f>
        <v>0</v>
      </c>
      <c r="BL16" s="1586">
        <f>SUM(X16:Z16)</f>
        <v>0</v>
      </c>
      <c r="BM16" s="1586">
        <f>SUM(AA16:AC16)</f>
        <v>0</v>
      </c>
      <c r="BN16" s="1586">
        <f>SUM(AD16:AF16)</f>
        <v>0</v>
      </c>
      <c r="BO16" s="1586">
        <f>SUM(AG16:AI16)</f>
        <v>0</v>
      </c>
      <c r="BP16" s="1586">
        <f>SUM(AJ16:AL16)</f>
        <v>0</v>
      </c>
      <c r="BQ16" s="1586">
        <f>SUM(AM16:AO16)</f>
        <v>0</v>
      </c>
      <c r="BR16" s="1586">
        <f>SUM(AP16:AR16)</f>
        <v>0</v>
      </c>
      <c r="BS16" s="1586">
        <f>SUM(AS16:AU16)</f>
        <v>0</v>
      </c>
      <c r="BT16" s="1586">
        <f>SUM(AV16:AX16)</f>
        <v>0</v>
      </c>
    </row>
    <row r="17" spans="1:73">
      <c r="A17" s="1583" t="s">
        <v>3365</v>
      </c>
      <c r="C17" s="1624">
        <v>-16458.739999999998</v>
      </c>
      <c r="D17" s="1624">
        <v>-39092.090000000004</v>
      </c>
      <c r="E17" s="1624">
        <v>-86163.75</v>
      </c>
      <c r="F17" s="1624">
        <v>-14194.489999999998</v>
      </c>
      <c r="G17" s="1624">
        <v>-33476.29</v>
      </c>
      <c r="H17" s="1624">
        <v>-61527.06</v>
      </c>
      <c r="I17" s="1624">
        <v>9438.44</v>
      </c>
      <c r="J17" s="1624">
        <v>50164.81</v>
      </c>
      <c r="K17" s="1624">
        <v>73131.009999999995</v>
      </c>
      <c r="L17" s="1624">
        <f>58053.9+1412.41</f>
        <v>59466.310000000005</v>
      </c>
      <c r="M17" s="1624">
        <v>1444.4444444444453</v>
      </c>
      <c r="N17" s="1624">
        <v>-17666.666666666668</v>
      </c>
      <c r="O17" s="1624">
        <v>-2437.5000000000018</v>
      </c>
      <c r="P17" s="1624">
        <v>11000</v>
      </c>
      <c r="Q17" s="1624">
        <v>-10500</v>
      </c>
      <c r="R17" s="1624">
        <v>11000</v>
      </c>
      <c r="S17" s="1624">
        <v>11000</v>
      </c>
      <c r="T17" s="1624">
        <v>250</v>
      </c>
      <c r="U17" s="1624">
        <v>11000</v>
      </c>
      <c r="V17" s="1624">
        <v>-8409.722222222219</v>
      </c>
      <c r="W17" s="1624">
        <v>-4527.7777777777774</v>
      </c>
      <c r="X17" s="1624">
        <v>-4229.1666666666679</v>
      </c>
      <c r="Y17" s="1624">
        <v>11000</v>
      </c>
      <c r="Z17" s="1624">
        <v>11000</v>
      </c>
      <c r="AA17" s="1624">
        <v>-2388.8888888888887</v>
      </c>
      <c r="AB17" s="1624">
        <v>0</v>
      </c>
      <c r="AC17" s="1624">
        <v>-31652.777777777781</v>
      </c>
      <c r="AD17" s="1624">
        <v>0</v>
      </c>
      <c r="AE17" s="1624">
        <v>0</v>
      </c>
      <c r="AF17" s="1624">
        <v>0</v>
      </c>
      <c r="AG17" s="1624">
        <v>0</v>
      </c>
      <c r="AH17" s="1624">
        <v>0</v>
      </c>
      <c r="AI17" s="1624">
        <v>0</v>
      </c>
      <c r="AJ17" s="1624">
        <v>0</v>
      </c>
      <c r="AK17" s="1624">
        <v>0</v>
      </c>
      <c r="AL17" s="1624">
        <v>0</v>
      </c>
      <c r="AM17" s="1624">
        <v>0</v>
      </c>
      <c r="AN17" s="1624">
        <v>0</v>
      </c>
      <c r="AO17" s="1624">
        <v>0</v>
      </c>
      <c r="AP17" s="1624">
        <v>0</v>
      </c>
      <c r="AQ17" s="1624">
        <v>0</v>
      </c>
      <c r="AR17" s="1624">
        <v>0</v>
      </c>
      <c r="AS17" s="1624">
        <v>0</v>
      </c>
      <c r="AT17" s="1624">
        <v>30458.333333333332</v>
      </c>
      <c r="AU17" s="1624">
        <v>7166.666666666667</v>
      </c>
      <c r="AV17" s="1624">
        <v>0</v>
      </c>
      <c r="AW17" s="1624">
        <v>9555.5555555555547</v>
      </c>
      <c r="AX17" s="1624">
        <v>0</v>
      </c>
      <c r="AZ17" s="1624">
        <f>SUM(C17:N17)</f>
        <v>-74934.072222222239</v>
      </c>
      <c r="BA17" s="1624">
        <f>SUM(O17:Z17)</f>
        <v>36145.833333333336</v>
      </c>
      <c r="BB17" s="1624">
        <f>SUM(AA17:AL17)</f>
        <v>-34041.666666666672</v>
      </c>
      <c r="BC17" s="1624">
        <f>SUM(AM17:AX17)</f>
        <v>47180.555555555555</v>
      </c>
      <c r="BD17" s="1586"/>
      <c r="BE17" s="1624">
        <f>SUM(C17:E17)</f>
        <v>-141714.58000000002</v>
      </c>
      <c r="BF17" s="1624">
        <f>SUM(F17:H17)</f>
        <v>-109197.84</v>
      </c>
      <c r="BG17" s="1624">
        <f>SUM(I17:K17)</f>
        <v>132734.26</v>
      </c>
      <c r="BH17" s="1624">
        <f>SUM(L17:N17)</f>
        <v>43244.087777777779</v>
      </c>
      <c r="BI17" s="1624">
        <f>SUM(O17:Q17)</f>
        <v>-1937.5000000000018</v>
      </c>
      <c r="BJ17" s="1624">
        <f>SUM(R17:T17)</f>
        <v>22250</v>
      </c>
      <c r="BK17" s="1624">
        <f>SUM(U17:W17)</f>
        <v>-1937.4999999999964</v>
      </c>
      <c r="BL17" s="1624">
        <f>SUM(X17:Z17)</f>
        <v>17770.833333333332</v>
      </c>
      <c r="BM17" s="1624">
        <f>SUM(AA17:AC17)</f>
        <v>-34041.666666666672</v>
      </c>
      <c r="BN17" s="1624">
        <f>SUM(AD17:AF17)</f>
        <v>0</v>
      </c>
      <c r="BO17" s="1624">
        <f>SUM(AG17:AI17)</f>
        <v>0</v>
      </c>
      <c r="BP17" s="1624">
        <f>SUM(AJ17:AL17)</f>
        <v>0</v>
      </c>
      <c r="BQ17" s="1624">
        <f>SUM(AM17:AO17)</f>
        <v>0</v>
      </c>
      <c r="BR17" s="1624">
        <f>SUM(AP17:AR17)</f>
        <v>0</v>
      </c>
      <c r="BS17" s="1624">
        <f>SUM(AS17:AU17)</f>
        <v>37625</v>
      </c>
      <c r="BT17" s="1624">
        <f>SUM(AV17:AX17)</f>
        <v>9555.5555555555547</v>
      </c>
      <c r="BU17" s="1601"/>
    </row>
    <row r="18" spans="1:73">
      <c r="A18" s="1583" t="s">
        <v>3366</v>
      </c>
      <c r="C18" s="1586">
        <f t="shared" ref="C18:AX18" si="0">SUM(C7:C17)</f>
        <v>-612679.80999999994</v>
      </c>
      <c r="D18" s="1586">
        <f t="shared" si="0"/>
        <v>-1496209.6600000001</v>
      </c>
      <c r="E18" s="1586">
        <f t="shared" si="0"/>
        <v>-757482.09000000008</v>
      </c>
      <c r="F18" s="1586">
        <f t="shared" si="0"/>
        <v>-584516.4</v>
      </c>
      <c r="G18" s="1586">
        <f t="shared" si="0"/>
        <v>-1091862.6400000001</v>
      </c>
      <c r="H18" s="1586">
        <f t="shared" si="0"/>
        <v>-900932.15000000014</v>
      </c>
      <c r="I18" s="1586">
        <f t="shared" si="0"/>
        <v>-845655.98</v>
      </c>
      <c r="J18" s="1586">
        <f t="shared" si="0"/>
        <v>-1658031.32</v>
      </c>
      <c r="K18" s="1586">
        <f t="shared" si="0"/>
        <v>-684719.87000000011</v>
      </c>
      <c r="L18" s="1586">
        <f t="shared" si="0"/>
        <v>-1247500.6999999997</v>
      </c>
      <c r="M18" s="1586">
        <f t="shared" si="0"/>
        <v>-948916.73303315917</v>
      </c>
      <c r="N18" s="1586">
        <f t="shared" si="0"/>
        <v>-1695862.2968808943</v>
      </c>
      <c r="O18" s="1586">
        <f t="shared" si="0"/>
        <v>-1518444.1914830047</v>
      </c>
      <c r="P18" s="1586">
        <f t="shared" si="0"/>
        <v>-1643409.3995156148</v>
      </c>
      <c r="Q18" s="1586">
        <f t="shared" si="0"/>
        <v>-1005036.6645695575</v>
      </c>
      <c r="R18" s="1586">
        <f t="shared" si="0"/>
        <v>-1030072.3408103078</v>
      </c>
      <c r="S18" s="1586">
        <f t="shared" si="0"/>
        <v>-1343556.4219251294</v>
      </c>
      <c r="T18" s="1586">
        <f t="shared" si="0"/>
        <v>-523974.43732300459</v>
      </c>
      <c r="U18" s="1586">
        <f t="shared" si="0"/>
        <v>-885328.79083178379</v>
      </c>
      <c r="V18" s="1586">
        <f t="shared" si="0"/>
        <v>-763618.90722477832</v>
      </c>
      <c r="W18" s="1586">
        <f t="shared" si="0"/>
        <v>-793633.69273568795</v>
      </c>
      <c r="X18" s="1586">
        <f t="shared" si="0"/>
        <v>-1181233.0251696373</v>
      </c>
      <c r="Y18" s="1586">
        <f t="shared" si="0"/>
        <v>-1530721.2491253228</v>
      </c>
      <c r="Z18" s="1586">
        <f t="shared" si="0"/>
        <v>-1018515.9002211081</v>
      </c>
      <c r="AA18" s="1586">
        <f t="shared" si="0"/>
        <v>-1615106.8998077747</v>
      </c>
      <c r="AB18" s="1586">
        <f t="shared" si="0"/>
        <v>-2119373.0470299972</v>
      </c>
      <c r="AC18" s="1586">
        <f t="shared" si="0"/>
        <v>-1089270.7984188856</v>
      </c>
      <c r="AD18" s="1586">
        <f t="shared" si="0"/>
        <v>-1348110.4484188857</v>
      </c>
      <c r="AE18" s="1586">
        <f t="shared" si="0"/>
        <v>-1858886.9761966637</v>
      </c>
      <c r="AF18" s="1586">
        <f t="shared" si="0"/>
        <v>-1293871.9761966637</v>
      </c>
      <c r="AG18" s="1586">
        <f t="shared" si="0"/>
        <v>-1477073.4261966639</v>
      </c>
      <c r="AH18" s="1586">
        <f t="shared" si="0"/>
        <v>-1617125.7761966635</v>
      </c>
      <c r="AI18" s="1586">
        <f t="shared" si="0"/>
        <v>-1403969.3028633301</v>
      </c>
      <c r="AJ18" s="1586">
        <f t="shared" si="0"/>
        <v>-1561946.20286333</v>
      </c>
      <c r="AK18" s="1586">
        <f t="shared" si="0"/>
        <v>-2359826.0028633298</v>
      </c>
      <c r="AL18" s="1586">
        <f t="shared" si="0"/>
        <v>-1230802.40286333</v>
      </c>
      <c r="AM18" s="1586">
        <f t="shared" si="0"/>
        <v>-1657412.6149167635</v>
      </c>
      <c r="AN18" s="1586">
        <f t="shared" si="0"/>
        <v>-3573998.373250097</v>
      </c>
      <c r="AO18" s="1586">
        <f t="shared" si="0"/>
        <v>-2328762.2524167635</v>
      </c>
      <c r="AP18" s="1586">
        <f t="shared" si="0"/>
        <v>-2694335.6524167638</v>
      </c>
      <c r="AQ18" s="1586">
        <f t="shared" si="0"/>
        <v>-1886470.6524167636</v>
      </c>
      <c r="AR18" s="1586">
        <f t="shared" si="0"/>
        <v>-1157428.6524167636</v>
      </c>
      <c r="AS18" s="1586">
        <f t="shared" si="0"/>
        <v>-970307.65241676359</v>
      </c>
      <c r="AT18" s="1586">
        <f t="shared" si="0"/>
        <v>-905220.04825009673</v>
      </c>
      <c r="AU18" s="1586">
        <f t="shared" si="0"/>
        <v>-875315.91519454145</v>
      </c>
      <c r="AV18" s="1586">
        <f t="shared" si="0"/>
        <v>-1166249.3874167637</v>
      </c>
      <c r="AW18" s="1586">
        <f t="shared" si="0"/>
        <v>-1345351.9651945413</v>
      </c>
      <c r="AX18" s="1586">
        <f t="shared" si="0"/>
        <v>-851945.17075009702</v>
      </c>
      <c r="AZ18" s="1586">
        <f>SUM(AZ7:AZ17)</f>
        <v>-12524369.649914054</v>
      </c>
      <c r="BA18" s="1586">
        <f>SUM(BA7:BA17)</f>
        <v>-13237545.020934938</v>
      </c>
      <c r="BB18" s="1586">
        <f>SUM(BB7:BB17)</f>
        <v>-18975363.25991552</v>
      </c>
      <c r="BC18" s="1586">
        <f>SUM(BC7:BC17)</f>
        <v>-19412798.337056719</v>
      </c>
      <c r="BD18" s="1586"/>
      <c r="BE18" s="1586">
        <f t="shared" ref="BE18:BT18" si="1">SUM(BE7:BE17)</f>
        <v>-2866371.56</v>
      </c>
      <c r="BF18" s="1586">
        <f t="shared" si="1"/>
        <v>-2577311.1900000004</v>
      </c>
      <c r="BG18" s="1586">
        <f t="shared" si="1"/>
        <v>-3188407.17</v>
      </c>
      <c r="BH18" s="1586">
        <f t="shared" si="1"/>
        <v>-3892279.7299140538</v>
      </c>
      <c r="BI18" s="1586">
        <f t="shared" si="1"/>
        <v>-4166890.2555681774</v>
      </c>
      <c r="BJ18" s="1586">
        <f t="shared" si="1"/>
        <v>-2897603.2000584416</v>
      </c>
      <c r="BK18" s="1586">
        <f t="shared" si="1"/>
        <v>-2442581.3907922497</v>
      </c>
      <c r="BL18" s="1586">
        <f t="shared" si="1"/>
        <v>-3730470.1745160683</v>
      </c>
      <c r="BM18" s="1586">
        <f t="shared" si="1"/>
        <v>-4823750.7452566568</v>
      </c>
      <c r="BN18" s="1586">
        <f t="shared" si="1"/>
        <v>-4500869.4008122124</v>
      </c>
      <c r="BO18" s="1586">
        <f t="shared" si="1"/>
        <v>-4498168.5052566566</v>
      </c>
      <c r="BP18" s="1586">
        <f t="shared" si="1"/>
        <v>-5152574.6085899891</v>
      </c>
      <c r="BQ18" s="1586">
        <f t="shared" si="1"/>
        <v>-7560173.2405836228</v>
      </c>
      <c r="BR18" s="1586">
        <f t="shared" si="1"/>
        <v>-5738234.9572502896</v>
      </c>
      <c r="BS18" s="1586">
        <f t="shared" si="1"/>
        <v>-2750843.6158614019</v>
      </c>
      <c r="BT18" s="1586">
        <f t="shared" si="1"/>
        <v>-3363546.5233614012</v>
      </c>
    </row>
    <row r="19" spans="1:73">
      <c r="A19" s="1583"/>
      <c r="C19" s="1586"/>
      <c r="D19" s="1586"/>
      <c r="E19" s="1586"/>
      <c r="F19" s="1586"/>
      <c r="G19" s="1586"/>
      <c r="H19" s="1586"/>
      <c r="I19" s="1586"/>
      <c r="J19" s="1586"/>
      <c r="K19" s="1586"/>
      <c r="L19" s="1586"/>
      <c r="M19" s="1586"/>
      <c r="N19" s="1586"/>
      <c r="O19" s="1586"/>
      <c r="P19" s="1586"/>
      <c r="Q19" s="1586"/>
      <c r="R19" s="1586"/>
      <c r="S19" s="1586"/>
      <c r="T19" s="1586"/>
      <c r="U19" s="1586"/>
      <c r="V19" s="1586"/>
      <c r="W19" s="1586"/>
      <c r="X19" s="1586"/>
      <c r="Y19" s="1586"/>
      <c r="Z19" s="1586"/>
      <c r="AA19" s="1586"/>
      <c r="AB19" s="1586"/>
      <c r="AC19" s="1586"/>
      <c r="AD19" s="1586"/>
      <c r="AE19" s="1586"/>
      <c r="AF19" s="1586"/>
      <c r="AG19" s="1586"/>
      <c r="AH19" s="1586"/>
      <c r="AI19" s="1586"/>
      <c r="AJ19" s="1586"/>
      <c r="AK19" s="1586"/>
      <c r="AL19" s="1586"/>
      <c r="AM19" s="1586"/>
      <c r="AN19" s="1586"/>
      <c r="AO19" s="1586"/>
      <c r="AP19" s="1586"/>
      <c r="AQ19" s="1586"/>
      <c r="AR19" s="1586"/>
      <c r="AS19" s="1586"/>
      <c r="AT19" s="1586"/>
      <c r="AU19" s="1586"/>
      <c r="AV19" s="1586"/>
      <c r="AW19" s="1586"/>
      <c r="AX19" s="1586"/>
      <c r="AZ19" s="1586"/>
      <c r="BA19" s="1586"/>
      <c r="BB19" s="1586"/>
      <c r="BC19" s="1586"/>
      <c r="BD19" s="1586"/>
      <c r="BE19" s="1586"/>
      <c r="BF19" s="1586"/>
      <c r="BG19" s="1586"/>
      <c r="BH19" s="1586"/>
      <c r="BI19" s="1593"/>
      <c r="BJ19" s="1593"/>
      <c r="BK19" s="1593"/>
      <c r="BL19" s="1593"/>
      <c r="BM19" s="1593"/>
      <c r="BN19" s="1593"/>
      <c r="BO19" s="1593"/>
      <c r="BP19" s="1593"/>
      <c r="BQ19" s="1593"/>
      <c r="BR19" s="1593"/>
      <c r="BS19" s="1593"/>
      <c r="BT19" s="1593"/>
    </row>
    <row r="20" spans="1:73">
      <c r="A20" s="1590" t="s">
        <v>3367</v>
      </c>
      <c r="L20" s="1586"/>
      <c r="AZ20" s="1586"/>
      <c r="BA20" s="1586"/>
      <c r="BB20" s="1586"/>
      <c r="BC20" s="1586"/>
      <c r="BD20" s="1586"/>
      <c r="BE20" s="1586"/>
      <c r="BF20" s="1586"/>
      <c r="BG20" s="1586"/>
      <c r="BH20" s="1586"/>
      <c r="BI20" s="1593"/>
      <c r="BJ20" s="1593"/>
      <c r="BK20" s="1593"/>
      <c r="BL20" s="1593"/>
      <c r="BM20" s="1593"/>
      <c r="BN20" s="1593"/>
      <c r="BO20" s="1593"/>
      <c r="BP20" s="1593"/>
      <c r="BQ20" s="1593"/>
      <c r="BR20" s="1593"/>
      <c r="BS20" s="1593"/>
      <c r="BT20" s="1593"/>
    </row>
    <row r="21" spans="1:73">
      <c r="A21" s="1583" t="s">
        <v>3368</v>
      </c>
      <c r="C21" s="1624">
        <v>-4500.6899999999996</v>
      </c>
      <c r="D21" s="1624">
        <v>-6033.75</v>
      </c>
      <c r="E21" s="1624">
        <v>-18762.03</v>
      </c>
      <c r="F21" s="1624">
        <v>-116399.3</v>
      </c>
      <c r="G21" s="1624">
        <v>-19384.57</v>
      </c>
      <c r="H21" s="1624">
        <v>0</v>
      </c>
      <c r="I21" s="1624">
        <v>-43406.55</v>
      </c>
      <c r="J21" s="1624">
        <v>-56445.13</v>
      </c>
      <c r="K21" s="1624">
        <v>-600481.25</v>
      </c>
      <c r="L21" s="1624">
        <v>-128628.07</v>
      </c>
      <c r="M21" s="1624">
        <v>-381750</v>
      </c>
      <c r="N21" s="1624">
        <v>-43000</v>
      </c>
      <c r="O21" s="1624">
        <v>-14000</v>
      </c>
      <c r="P21" s="1624">
        <v>-43300</v>
      </c>
      <c r="Q21" s="1624">
        <v>-20000</v>
      </c>
      <c r="R21" s="1624">
        <v>-20000</v>
      </c>
      <c r="S21" s="1624">
        <v>0</v>
      </c>
      <c r="T21" s="1624">
        <v>0</v>
      </c>
      <c r="U21" s="1624">
        <v>0</v>
      </c>
      <c r="V21" s="1624">
        <v>-5500</v>
      </c>
      <c r="W21" s="1624">
        <v>0</v>
      </c>
      <c r="X21" s="1624">
        <v>0</v>
      </c>
      <c r="Y21" s="1624">
        <v>0</v>
      </c>
      <c r="Z21" s="1624">
        <v>0</v>
      </c>
      <c r="AA21" s="1624">
        <v>-26000</v>
      </c>
      <c r="AB21" s="1624">
        <v>0</v>
      </c>
      <c r="AC21" s="1624">
        <v>0</v>
      </c>
      <c r="AD21" s="1624">
        <v>0</v>
      </c>
      <c r="AE21" s="1624">
        <v>0</v>
      </c>
      <c r="AF21" s="1624">
        <v>0</v>
      </c>
      <c r="AG21" s="1624">
        <v>0</v>
      </c>
      <c r="AH21" s="1624">
        <v>0</v>
      </c>
      <c r="AI21" s="1624">
        <v>0</v>
      </c>
      <c r="AJ21" s="1624">
        <v>0</v>
      </c>
      <c r="AK21" s="1624">
        <v>0</v>
      </c>
      <c r="AL21" s="1624">
        <v>0</v>
      </c>
      <c r="AM21" s="1624">
        <v>0</v>
      </c>
      <c r="AN21" s="1624">
        <v>0</v>
      </c>
      <c r="AO21" s="1624">
        <v>0</v>
      </c>
      <c r="AP21" s="1624">
        <v>0</v>
      </c>
      <c r="AQ21" s="1624">
        <v>0</v>
      </c>
      <c r="AR21" s="1624">
        <v>0</v>
      </c>
      <c r="AS21" s="1624">
        <v>0</v>
      </c>
      <c r="AT21" s="1624">
        <v>0</v>
      </c>
      <c r="AU21" s="1624">
        <v>0</v>
      </c>
      <c r="AV21" s="1624">
        <v>0</v>
      </c>
      <c r="AW21" s="1624">
        <v>0</v>
      </c>
      <c r="AX21" s="1624">
        <v>0</v>
      </c>
      <c r="AZ21" s="1624">
        <f>SUM(C21:N21)</f>
        <v>-1418791.34</v>
      </c>
      <c r="BA21" s="1624">
        <f>SUM(O21:Z21)</f>
        <v>-102800</v>
      </c>
      <c r="BB21" s="1624">
        <f>SUM(AA21:AL21)</f>
        <v>-26000</v>
      </c>
      <c r="BC21" s="1624">
        <f>SUM(AM21:AX21)</f>
        <v>0</v>
      </c>
      <c r="BD21" s="1586"/>
      <c r="BE21" s="1624">
        <f>SUM(C21:E21)</f>
        <v>-29296.469999999998</v>
      </c>
      <c r="BF21" s="1624">
        <f>SUM(F21:H21)</f>
        <v>-135783.87</v>
      </c>
      <c r="BG21" s="1624">
        <f>SUM(I21:K21)</f>
        <v>-700332.92999999993</v>
      </c>
      <c r="BH21" s="1624">
        <f>SUM(L21:N21)</f>
        <v>-553378.07000000007</v>
      </c>
      <c r="BI21" s="1624">
        <f>SUM(O21:Q21)</f>
        <v>-77300</v>
      </c>
      <c r="BJ21" s="1624">
        <f>SUM(R21:T21)</f>
        <v>-20000</v>
      </c>
      <c r="BK21" s="1624">
        <f>SUM(U21:W21)</f>
        <v>-5500</v>
      </c>
      <c r="BL21" s="1624">
        <f>SUM(X21:Z21)</f>
        <v>0</v>
      </c>
      <c r="BM21" s="1624">
        <f>SUM(AA21:AC21)</f>
        <v>-26000</v>
      </c>
      <c r="BN21" s="1624">
        <f>SUM(AD21:AF21)</f>
        <v>0</v>
      </c>
      <c r="BO21" s="1624">
        <f>SUM(AG21:AI21)</f>
        <v>0</v>
      </c>
      <c r="BP21" s="1624">
        <f>SUM(AJ21:AL21)</f>
        <v>0</v>
      </c>
      <c r="BQ21" s="1624">
        <f>SUM(AM21:AO21)</f>
        <v>0</v>
      </c>
      <c r="BR21" s="1624">
        <f>SUM(AP21:AR21)</f>
        <v>0</v>
      </c>
      <c r="BS21" s="1624">
        <f>SUM(AS21:AU21)</f>
        <v>0</v>
      </c>
      <c r="BT21" s="1624">
        <f>SUM(AV21:AX21)</f>
        <v>0</v>
      </c>
    </row>
    <row r="22" spans="1:73">
      <c r="A22" s="1583" t="s">
        <v>3369</v>
      </c>
      <c r="C22" s="1639">
        <f t="shared" ref="C22:AX22" si="2">C21</f>
        <v>-4500.6899999999996</v>
      </c>
      <c r="D22" s="1639">
        <f t="shared" si="2"/>
        <v>-6033.75</v>
      </c>
      <c r="E22" s="1639">
        <f t="shared" si="2"/>
        <v>-18762.03</v>
      </c>
      <c r="F22" s="1639">
        <f t="shared" si="2"/>
        <v>-116399.3</v>
      </c>
      <c r="G22" s="1639">
        <f t="shared" si="2"/>
        <v>-19384.57</v>
      </c>
      <c r="H22" s="1639">
        <f t="shared" si="2"/>
        <v>0</v>
      </c>
      <c r="I22" s="1639">
        <f t="shared" si="2"/>
        <v>-43406.55</v>
      </c>
      <c r="J22" s="1639">
        <f t="shared" si="2"/>
        <v>-56445.13</v>
      </c>
      <c r="K22" s="1639">
        <f t="shared" si="2"/>
        <v>-600481.25</v>
      </c>
      <c r="L22" s="1586">
        <f t="shared" si="2"/>
        <v>-128628.07</v>
      </c>
      <c r="M22" s="1639">
        <f t="shared" si="2"/>
        <v>-381750</v>
      </c>
      <c r="N22" s="1639">
        <f t="shared" si="2"/>
        <v>-43000</v>
      </c>
      <c r="O22" s="1639">
        <f t="shared" si="2"/>
        <v>-14000</v>
      </c>
      <c r="P22" s="1639">
        <f t="shared" si="2"/>
        <v>-43300</v>
      </c>
      <c r="Q22" s="1639">
        <f t="shared" si="2"/>
        <v>-20000</v>
      </c>
      <c r="R22" s="1639">
        <f t="shared" si="2"/>
        <v>-20000</v>
      </c>
      <c r="S22" s="1639">
        <f t="shared" si="2"/>
        <v>0</v>
      </c>
      <c r="T22" s="1639">
        <f t="shared" si="2"/>
        <v>0</v>
      </c>
      <c r="U22" s="1639">
        <f t="shared" si="2"/>
        <v>0</v>
      </c>
      <c r="V22" s="1639">
        <f t="shared" si="2"/>
        <v>-5500</v>
      </c>
      <c r="W22" s="1639">
        <f t="shared" si="2"/>
        <v>0</v>
      </c>
      <c r="X22" s="1639">
        <f t="shared" si="2"/>
        <v>0</v>
      </c>
      <c r="Y22" s="1639">
        <f t="shared" si="2"/>
        <v>0</v>
      </c>
      <c r="Z22" s="1639">
        <f t="shared" si="2"/>
        <v>0</v>
      </c>
      <c r="AA22" s="1639">
        <f t="shared" si="2"/>
        <v>-26000</v>
      </c>
      <c r="AB22" s="1639">
        <f t="shared" si="2"/>
        <v>0</v>
      </c>
      <c r="AC22" s="1639">
        <f t="shared" si="2"/>
        <v>0</v>
      </c>
      <c r="AD22" s="1639">
        <f t="shared" si="2"/>
        <v>0</v>
      </c>
      <c r="AE22" s="1639">
        <f t="shared" si="2"/>
        <v>0</v>
      </c>
      <c r="AF22" s="1639">
        <f t="shared" si="2"/>
        <v>0</v>
      </c>
      <c r="AG22" s="1639">
        <f t="shared" si="2"/>
        <v>0</v>
      </c>
      <c r="AH22" s="1639">
        <f t="shared" si="2"/>
        <v>0</v>
      </c>
      <c r="AI22" s="1639">
        <f t="shared" si="2"/>
        <v>0</v>
      </c>
      <c r="AJ22" s="1639">
        <f t="shared" si="2"/>
        <v>0</v>
      </c>
      <c r="AK22" s="1639">
        <f t="shared" si="2"/>
        <v>0</v>
      </c>
      <c r="AL22" s="1639">
        <f t="shared" si="2"/>
        <v>0</v>
      </c>
      <c r="AM22" s="1639">
        <f t="shared" si="2"/>
        <v>0</v>
      </c>
      <c r="AN22" s="1639">
        <f t="shared" si="2"/>
        <v>0</v>
      </c>
      <c r="AO22" s="1639">
        <f t="shared" si="2"/>
        <v>0</v>
      </c>
      <c r="AP22" s="1639">
        <f t="shared" si="2"/>
        <v>0</v>
      </c>
      <c r="AQ22" s="1639">
        <f t="shared" si="2"/>
        <v>0</v>
      </c>
      <c r="AR22" s="1639">
        <f t="shared" si="2"/>
        <v>0</v>
      </c>
      <c r="AS22" s="1639">
        <f t="shared" si="2"/>
        <v>0</v>
      </c>
      <c r="AT22" s="1639">
        <f t="shared" si="2"/>
        <v>0</v>
      </c>
      <c r="AU22" s="1639">
        <f t="shared" si="2"/>
        <v>0</v>
      </c>
      <c r="AV22" s="1639">
        <f t="shared" si="2"/>
        <v>0</v>
      </c>
      <c r="AW22" s="1639">
        <f t="shared" si="2"/>
        <v>0</v>
      </c>
      <c r="AX22" s="1639">
        <f t="shared" si="2"/>
        <v>0</v>
      </c>
      <c r="AZ22" s="1639">
        <f>AZ21</f>
        <v>-1418791.34</v>
      </c>
      <c r="BA22" s="1639">
        <f>BA21</f>
        <v>-102800</v>
      </c>
      <c r="BB22" s="1639">
        <f>BB21</f>
        <v>-26000</v>
      </c>
      <c r="BC22" s="1639">
        <f>BC21</f>
        <v>0</v>
      </c>
      <c r="BD22" s="1586"/>
      <c r="BE22" s="1639">
        <f t="shared" ref="BE22:BT22" si="3">BE21</f>
        <v>-29296.469999999998</v>
      </c>
      <c r="BF22" s="1639">
        <f t="shared" si="3"/>
        <v>-135783.87</v>
      </c>
      <c r="BG22" s="1639">
        <f t="shared" si="3"/>
        <v>-700332.92999999993</v>
      </c>
      <c r="BH22" s="1639">
        <f t="shared" si="3"/>
        <v>-553378.07000000007</v>
      </c>
      <c r="BI22" s="1639">
        <f t="shared" si="3"/>
        <v>-77300</v>
      </c>
      <c r="BJ22" s="1639">
        <f t="shared" si="3"/>
        <v>-20000</v>
      </c>
      <c r="BK22" s="1639">
        <f t="shared" si="3"/>
        <v>-5500</v>
      </c>
      <c r="BL22" s="1639">
        <f t="shared" si="3"/>
        <v>0</v>
      </c>
      <c r="BM22" s="1639">
        <f t="shared" si="3"/>
        <v>-26000</v>
      </c>
      <c r="BN22" s="1639">
        <f t="shared" si="3"/>
        <v>0</v>
      </c>
      <c r="BO22" s="1639">
        <f t="shared" si="3"/>
        <v>0</v>
      </c>
      <c r="BP22" s="1639">
        <f t="shared" si="3"/>
        <v>0</v>
      </c>
      <c r="BQ22" s="1639">
        <f t="shared" si="3"/>
        <v>0</v>
      </c>
      <c r="BR22" s="1639">
        <f t="shared" si="3"/>
        <v>0</v>
      </c>
      <c r="BS22" s="1639">
        <f t="shared" si="3"/>
        <v>0</v>
      </c>
      <c r="BT22" s="1639">
        <f t="shared" si="3"/>
        <v>0</v>
      </c>
    </row>
    <row r="23" spans="1:73">
      <c r="A23" s="1583"/>
      <c r="AZ23" s="1586"/>
      <c r="BA23" s="1586"/>
      <c r="BB23" s="1586"/>
      <c r="BC23" s="1586"/>
      <c r="BD23" s="1586"/>
      <c r="BE23" s="1586"/>
      <c r="BF23" s="1586"/>
      <c r="BG23" s="1586"/>
      <c r="BH23" s="1586"/>
      <c r="BI23" s="1593"/>
      <c r="BJ23" s="1593"/>
      <c r="BK23" s="1593"/>
      <c r="BL23" s="1593"/>
      <c r="BM23" s="1593"/>
      <c r="BN23" s="1593"/>
      <c r="BO23" s="1593"/>
      <c r="BP23" s="1593"/>
      <c r="BQ23" s="1593"/>
      <c r="BR23" s="1593"/>
      <c r="BS23" s="1593"/>
      <c r="BT23" s="1593"/>
    </row>
    <row r="24" spans="1:73">
      <c r="A24" s="1590" t="s">
        <v>3370</v>
      </c>
      <c r="L24" s="1586"/>
      <c r="AZ24" s="1586"/>
      <c r="BA24" s="1586"/>
      <c r="BB24" s="1586"/>
      <c r="BC24" s="1586"/>
      <c r="BD24" s="1586"/>
      <c r="BE24" s="1586"/>
      <c r="BF24" s="1586"/>
      <c r="BG24" s="1586"/>
      <c r="BH24" s="1586"/>
      <c r="BI24" s="1593"/>
      <c r="BJ24" s="1593"/>
      <c r="BK24" s="1593"/>
      <c r="BL24" s="1593"/>
      <c r="BM24" s="1593"/>
      <c r="BN24" s="1593"/>
      <c r="BO24" s="1593"/>
      <c r="BP24" s="1593"/>
      <c r="BQ24" s="1593"/>
      <c r="BR24" s="1593"/>
      <c r="BS24" s="1593"/>
      <c r="BT24" s="1593"/>
    </row>
    <row r="25" spans="1:73">
      <c r="A25" s="1583" t="s">
        <v>3371</v>
      </c>
      <c r="C25" s="1586">
        <v>2188.5700000000002</v>
      </c>
      <c r="D25" s="1586">
        <v>25.78</v>
      </c>
      <c r="E25" s="1586">
        <v>3734.92</v>
      </c>
      <c r="F25" s="1586">
        <v>320.18</v>
      </c>
      <c r="G25" s="1586">
        <v>7015.24</v>
      </c>
      <c r="H25" s="1586">
        <v>5369.02</v>
      </c>
      <c r="I25" s="1639">
        <v>6360.23</v>
      </c>
      <c r="J25" s="1639">
        <v>-7375.83</v>
      </c>
      <c r="K25" s="1586">
        <v>6368.74</v>
      </c>
      <c r="L25" s="1586">
        <v>1010.96</v>
      </c>
      <c r="AZ25" s="1586">
        <f t="shared" ref="AZ25:AZ30" si="4">SUM(C25:N25)</f>
        <v>25017.809999999998</v>
      </c>
      <c r="BA25" s="1586">
        <f t="shared" ref="BA25:BA30" si="5">SUM(O25:Z25)</f>
        <v>0</v>
      </c>
      <c r="BB25" s="1586">
        <f t="shared" ref="BB25:BB30" si="6">SUM(AA25:AL25)</f>
        <v>0</v>
      </c>
      <c r="BC25" s="1586">
        <f t="shared" ref="BC25:BC30" si="7">SUM(AM25:AX25)</f>
        <v>0</v>
      </c>
      <c r="BD25" s="1586"/>
      <c r="BE25" s="1586">
        <f t="shared" ref="BE25:BE30" si="8">SUM(C25:E25)</f>
        <v>5949.27</v>
      </c>
      <c r="BF25" s="1586">
        <f t="shared" ref="BF25:BF30" si="9">SUM(F25:H25)</f>
        <v>12704.44</v>
      </c>
      <c r="BG25" s="1586">
        <f t="shared" ref="BG25:BG30" si="10">SUM(I25:K25)</f>
        <v>5353.1399999999994</v>
      </c>
      <c r="BH25" s="1586">
        <f t="shared" ref="BH25:BH30" si="11">SUM(L25:N25)</f>
        <v>1010.96</v>
      </c>
      <c r="BI25" s="1586">
        <f t="shared" ref="BI25:BI30" si="12">SUM(O25:Q25)</f>
        <v>0</v>
      </c>
      <c r="BJ25" s="1586">
        <f t="shared" ref="BJ25:BJ30" si="13">SUM(R25:T25)</f>
        <v>0</v>
      </c>
      <c r="BK25" s="1586">
        <f t="shared" ref="BK25:BK30" si="14">SUM(U25:W25)</f>
        <v>0</v>
      </c>
      <c r="BL25" s="1586">
        <f t="shared" ref="BL25:BL30" si="15">SUM(X25:Z25)</f>
        <v>0</v>
      </c>
      <c r="BM25" s="1586">
        <f t="shared" ref="BM25:BM30" si="16">SUM(AA25:AC25)</f>
        <v>0</v>
      </c>
      <c r="BN25" s="1586">
        <f t="shared" ref="BN25:BN30" si="17">SUM(AD25:AF25)</f>
        <v>0</v>
      </c>
      <c r="BO25" s="1586">
        <f t="shared" ref="BO25:BO30" si="18">SUM(AG25:AI25)</f>
        <v>0</v>
      </c>
      <c r="BP25" s="1586">
        <f t="shared" ref="BP25:BP30" si="19">SUM(AJ25:AL25)</f>
        <v>0</v>
      </c>
      <c r="BQ25" s="1586">
        <f t="shared" ref="BQ25:BQ30" si="20">SUM(AM25:AO25)</f>
        <v>0</v>
      </c>
      <c r="BR25" s="1586">
        <f t="shared" ref="BR25:BR30" si="21">SUM(AP25:AR25)</f>
        <v>0</v>
      </c>
      <c r="BS25" s="1586">
        <f t="shared" ref="BS25:BS30" si="22">SUM(AS25:AU25)</f>
        <v>0</v>
      </c>
      <c r="BT25" s="1586">
        <f t="shared" ref="BT25:BT30" si="23">SUM(AV25:AX25)</f>
        <v>0</v>
      </c>
    </row>
    <row r="26" spans="1:73">
      <c r="A26" s="1583" t="s">
        <v>3372</v>
      </c>
      <c r="C26" s="1660">
        <v>0</v>
      </c>
      <c r="L26" s="1586"/>
      <c r="AZ26" s="1586">
        <f t="shared" si="4"/>
        <v>0</v>
      </c>
      <c r="BA26" s="1586">
        <f t="shared" si="5"/>
        <v>0</v>
      </c>
      <c r="BB26" s="1586">
        <f t="shared" si="6"/>
        <v>0</v>
      </c>
      <c r="BC26" s="1586">
        <f t="shared" si="7"/>
        <v>0</v>
      </c>
      <c r="BD26" s="1586"/>
      <c r="BE26" s="1586">
        <f t="shared" si="8"/>
        <v>0</v>
      </c>
      <c r="BF26" s="1586">
        <f t="shared" si="9"/>
        <v>0</v>
      </c>
      <c r="BG26" s="1586">
        <f t="shared" si="10"/>
        <v>0</v>
      </c>
      <c r="BH26" s="1586">
        <f t="shared" si="11"/>
        <v>0</v>
      </c>
      <c r="BI26" s="1586">
        <f t="shared" si="12"/>
        <v>0</v>
      </c>
      <c r="BJ26" s="1586">
        <f t="shared" si="13"/>
        <v>0</v>
      </c>
      <c r="BK26" s="1586">
        <f t="shared" si="14"/>
        <v>0</v>
      </c>
      <c r="BL26" s="1586">
        <f t="shared" si="15"/>
        <v>0</v>
      </c>
      <c r="BM26" s="1586">
        <f t="shared" si="16"/>
        <v>0</v>
      </c>
      <c r="BN26" s="1586">
        <f t="shared" si="17"/>
        <v>0</v>
      </c>
      <c r="BO26" s="1586">
        <f t="shared" si="18"/>
        <v>0</v>
      </c>
      <c r="BP26" s="1586">
        <f t="shared" si="19"/>
        <v>0</v>
      </c>
      <c r="BQ26" s="1586">
        <f t="shared" si="20"/>
        <v>0</v>
      </c>
      <c r="BR26" s="1586">
        <f t="shared" si="21"/>
        <v>0</v>
      </c>
      <c r="BS26" s="1586">
        <f t="shared" si="22"/>
        <v>0</v>
      </c>
      <c r="BT26" s="1586">
        <f t="shared" si="23"/>
        <v>0</v>
      </c>
    </row>
    <row r="27" spans="1:73">
      <c r="A27" s="1583" t="s">
        <v>3373</v>
      </c>
      <c r="C27" s="1586">
        <v>0</v>
      </c>
      <c r="L27" s="1586"/>
      <c r="AZ27" s="1586">
        <f t="shared" si="4"/>
        <v>0</v>
      </c>
      <c r="BA27" s="1586">
        <f t="shared" si="5"/>
        <v>0</v>
      </c>
      <c r="BB27" s="1586">
        <f t="shared" si="6"/>
        <v>0</v>
      </c>
      <c r="BC27" s="1586">
        <f t="shared" si="7"/>
        <v>0</v>
      </c>
      <c r="BD27" s="1586"/>
      <c r="BE27" s="1586">
        <f t="shared" si="8"/>
        <v>0</v>
      </c>
      <c r="BF27" s="1586">
        <f t="shared" si="9"/>
        <v>0</v>
      </c>
      <c r="BG27" s="1586">
        <f t="shared" si="10"/>
        <v>0</v>
      </c>
      <c r="BH27" s="1586">
        <f t="shared" si="11"/>
        <v>0</v>
      </c>
      <c r="BI27" s="1586">
        <f t="shared" si="12"/>
        <v>0</v>
      </c>
      <c r="BJ27" s="1586">
        <f t="shared" si="13"/>
        <v>0</v>
      </c>
      <c r="BK27" s="1586">
        <f t="shared" si="14"/>
        <v>0</v>
      </c>
      <c r="BL27" s="1586">
        <f t="shared" si="15"/>
        <v>0</v>
      </c>
      <c r="BM27" s="1586">
        <f t="shared" si="16"/>
        <v>0</v>
      </c>
      <c r="BN27" s="1586">
        <f t="shared" si="17"/>
        <v>0</v>
      </c>
      <c r="BO27" s="1586">
        <f t="shared" si="18"/>
        <v>0</v>
      </c>
      <c r="BP27" s="1586">
        <f t="shared" si="19"/>
        <v>0</v>
      </c>
      <c r="BQ27" s="1586">
        <f t="shared" si="20"/>
        <v>0</v>
      </c>
      <c r="BR27" s="1586">
        <f t="shared" si="21"/>
        <v>0</v>
      </c>
      <c r="BS27" s="1586">
        <f t="shared" si="22"/>
        <v>0</v>
      </c>
      <c r="BT27" s="1586">
        <f t="shared" si="23"/>
        <v>0</v>
      </c>
    </row>
    <row r="28" spans="1:73">
      <c r="A28" s="1583" t="s">
        <v>3450</v>
      </c>
      <c r="C28" s="1586">
        <v>-4121.62</v>
      </c>
      <c r="D28" s="1586">
        <v>-4121.62</v>
      </c>
      <c r="E28" s="1586">
        <v>-4121.62</v>
      </c>
      <c r="F28" s="1586">
        <v>-4121.62</v>
      </c>
      <c r="G28" s="1586">
        <v>-4121.62</v>
      </c>
      <c r="H28" s="1586">
        <v>-4121.62</v>
      </c>
      <c r="I28" s="1586">
        <v>-4121.62</v>
      </c>
      <c r="J28" s="1586">
        <v>-4121.62</v>
      </c>
      <c r="K28" s="1603">
        <v>492120</v>
      </c>
      <c r="L28" s="1586">
        <v>0</v>
      </c>
      <c r="M28" s="1586">
        <v>0</v>
      </c>
      <c r="N28" s="1586">
        <v>0</v>
      </c>
      <c r="O28" s="1586">
        <v>0</v>
      </c>
      <c r="P28" s="1586">
        <v>0</v>
      </c>
      <c r="Q28" s="1586">
        <v>0</v>
      </c>
      <c r="R28" s="1586">
        <v>0</v>
      </c>
      <c r="S28" s="1586">
        <v>0</v>
      </c>
      <c r="T28" s="1586">
        <v>0</v>
      </c>
      <c r="U28" s="1586">
        <v>0</v>
      </c>
      <c r="V28" s="1586">
        <v>0</v>
      </c>
      <c r="W28" s="1586">
        <v>0</v>
      </c>
      <c r="X28" s="1586">
        <v>0</v>
      </c>
      <c r="Y28" s="1586">
        <v>0</v>
      </c>
      <c r="Z28" s="1586">
        <v>0</v>
      </c>
      <c r="AA28" s="1586">
        <v>0</v>
      </c>
      <c r="AB28" s="1586">
        <v>0</v>
      </c>
      <c r="AC28" s="1586">
        <v>0</v>
      </c>
      <c r="AD28" s="1586">
        <v>0</v>
      </c>
      <c r="AE28" s="1586">
        <v>0</v>
      </c>
      <c r="AF28" s="1586">
        <v>0</v>
      </c>
      <c r="AG28" s="1586">
        <v>0</v>
      </c>
      <c r="AH28" s="1586">
        <v>0</v>
      </c>
      <c r="AI28" s="1586">
        <v>0</v>
      </c>
      <c r="AJ28" s="1586">
        <v>0</v>
      </c>
      <c r="AK28" s="1586">
        <v>0</v>
      </c>
      <c r="AL28" s="1586">
        <v>0</v>
      </c>
      <c r="AM28" s="1586">
        <v>0</v>
      </c>
      <c r="AN28" s="1586">
        <v>0</v>
      </c>
      <c r="AO28" s="1586">
        <v>0</v>
      </c>
      <c r="AP28" s="1586">
        <v>0</v>
      </c>
      <c r="AQ28" s="1586">
        <v>0</v>
      </c>
      <c r="AR28" s="1586">
        <v>0</v>
      </c>
      <c r="AS28" s="1586">
        <v>0</v>
      </c>
      <c r="AT28" s="1586">
        <v>0</v>
      </c>
      <c r="AU28" s="1586">
        <v>0</v>
      </c>
      <c r="AV28" s="1586">
        <v>0</v>
      </c>
      <c r="AW28" s="1586">
        <v>0</v>
      </c>
      <c r="AX28" s="1586">
        <v>0</v>
      </c>
      <c r="AZ28" s="1586">
        <f t="shared" si="4"/>
        <v>459147.04</v>
      </c>
      <c r="BA28" s="1586">
        <f t="shared" si="5"/>
        <v>0</v>
      </c>
      <c r="BB28" s="1586">
        <f t="shared" si="6"/>
        <v>0</v>
      </c>
      <c r="BC28" s="1586">
        <f t="shared" si="7"/>
        <v>0</v>
      </c>
      <c r="BD28" s="1586"/>
      <c r="BE28" s="1586">
        <f t="shared" si="8"/>
        <v>-12364.86</v>
      </c>
      <c r="BF28" s="1586">
        <f t="shared" si="9"/>
        <v>-12364.86</v>
      </c>
      <c r="BG28" s="1586">
        <f t="shared" si="10"/>
        <v>483876.76</v>
      </c>
      <c r="BH28" s="1586">
        <f t="shared" si="11"/>
        <v>0</v>
      </c>
      <c r="BI28" s="1586">
        <f t="shared" si="12"/>
        <v>0</v>
      </c>
      <c r="BJ28" s="1586">
        <f t="shared" si="13"/>
        <v>0</v>
      </c>
      <c r="BK28" s="1586">
        <f t="shared" si="14"/>
        <v>0</v>
      </c>
      <c r="BL28" s="1586">
        <f t="shared" si="15"/>
        <v>0</v>
      </c>
      <c r="BM28" s="1586">
        <f t="shared" si="16"/>
        <v>0</v>
      </c>
      <c r="BN28" s="1586">
        <f t="shared" si="17"/>
        <v>0</v>
      </c>
      <c r="BO28" s="1586">
        <f t="shared" si="18"/>
        <v>0</v>
      </c>
      <c r="BP28" s="1586">
        <f t="shared" si="19"/>
        <v>0</v>
      </c>
      <c r="BQ28" s="1586">
        <f t="shared" si="20"/>
        <v>0</v>
      </c>
      <c r="BR28" s="1586">
        <f t="shared" si="21"/>
        <v>0</v>
      </c>
      <c r="BS28" s="1586">
        <f t="shared" si="22"/>
        <v>0</v>
      </c>
      <c r="BT28" s="1586">
        <f t="shared" si="23"/>
        <v>0</v>
      </c>
    </row>
    <row r="29" spans="1:73">
      <c r="A29" s="1583" t="s">
        <v>3375</v>
      </c>
      <c r="C29" s="1586">
        <v>-11253.11</v>
      </c>
      <c r="D29" s="1586">
        <v>-12218.37</v>
      </c>
      <c r="E29" s="1586">
        <v>-12291.56</v>
      </c>
      <c r="F29" s="1586">
        <v>-14407.139999999992</v>
      </c>
      <c r="G29" s="1586">
        <v>-15645.39</v>
      </c>
      <c r="H29" s="1586">
        <v>-16554.18</v>
      </c>
      <c r="I29" s="1586">
        <v>-14859.54</v>
      </c>
      <c r="J29" s="1586">
        <v>-12509.57</v>
      </c>
      <c r="K29" s="1603">
        <v>-14945.48</v>
      </c>
      <c r="L29" s="1662">
        <v>-15659.42</v>
      </c>
      <c r="M29" s="1586">
        <v>-17000</v>
      </c>
      <c r="N29" s="1586">
        <v>-17000</v>
      </c>
      <c r="O29" s="1586">
        <v>-17000</v>
      </c>
      <c r="P29" s="1586">
        <v>-17000</v>
      </c>
      <c r="Q29" s="1586">
        <v>-17000</v>
      </c>
      <c r="R29" s="1586">
        <v>-17000</v>
      </c>
      <c r="S29" s="1586">
        <v>-17000</v>
      </c>
      <c r="T29" s="1586">
        <v>-17000</v>
      </c>
      <c r="U29" s="1586">
        <v>-17000</v>
      </c>
      <c r="V29" s="1586">
        <v>-17000</v>
      </c>
      <c r="W29" s="1586">
        <v>-17000</v>
      </c>
      <c r="X29" s="1586">
        <v>-17000</v>
      </c>
      <c r="Y29" s="1586">
        <v>-17000</v>
      </c>
      <c r="Z29" s="1586">
        <v>-17000</v>
      </c>
      <c r="AA29" s="1586">
        <v>-17000</v>
      </c>
      <c r="AB29" s="1586">
        <v>-17000</v>
      </c>
      <c r="AC29" s="1586">
        <v>-17000</v>
      </c>
      <c r="AD29" s="1586">
        <v>-17000</v>
      </c>
      <c r="AE29" s="1586">
        <v>-17000</v>
      </c>
      <c r="AF29" s="1586">
        <v>-12378.04</v>
      </c>
      <c r="AG29" s="1586">
        <v>0</v>
      </c>
      <c r="AH29" s="1586">
        <v>0</v>
      </c>
      <c r="AI29" s="1586">
        <v>0</v>
      </c>
      <c r="AJ29" s="1586">
        <v>0</v>
      </c>
      <c r="AK29" s="1586">
        <v>0</v>
      </c>
      <c r="AL29" s="1586">
        <v>0</v>
      </c>
      <c r="AM29" s="1586">
        <v>0</v>
      </c>
      <c r="AN29" s="1586">
        <v>0</v>
      </c>
      <c r="AO29" s="1586">
        <v>0</v>
      </c>
      <c r="AP29" s="1586">
        <v>0</v>
      </c>
      <c r="AQ29" s="1586">
        <v>0</v>
      </c>
      <c r="AR29" s="1586">
        <v>0</v>
      </c>
      <c r="AS29" s="1586">
        <v>0</v>
      </c>
      <c r="AT29" s="1586">
        <v>0</v>
      </c>
      <c r="AU29" s="1586">
        <v>0</v>
      </c>
      <c r="AV29" s="1586">
        <v>0</v>
      </c>
      <c r="AW29" s="1586">
        <v>0</v>
      </c>
      <c r="AX29" s="1586">
        <v>0</v>
      </c>
      <c r="AZ29" s="1586">
        <f t="shared" si="4"/>
        <v>-174343.76</v>
      </c>
      <c r="BA29" s="1586">
        <f t="shared" si="5"/>
        <v>-204000</v>
      </c>
      <c r="BB29" s="1586">
        <f t="shared" si="6"/>
        <v>-97378.040000000008</v>
      </c>
      <c r="BC29" s="1586">
        <f t="shared" si="7"/>
        <v>0</v>
      </c>
      <c r="BD29" s="1586"/>
      <c r="BE29" s="1586">
        <f t="shared" si="8"/>
        <v>-35763.040000000001</v>
      </c>
      <c r="BF29" s="1586">
        <f t="shared" si="9"/>
        <v>-46606.709999999992</v>
      </c>
      <c r="BG29" s="1586">
        <f t="shared" si="10"/>
        <v>-42314.59</v>
      </c>
      <c r="BH29" s="1586">
        <f t="shared" si="11"/>
        <v>-49659.42</v>
      </c>
      <c r="BI29" s="1586">
        <f t="shared" si="12"/>
        <v>-51000</v>
      </c>
      <c r="BJ29" s="1586">
        <f t="shared" si="13"/>
        <v>-51000</v>
      </c>
      <c r="BK29" s="1586">
        <f t="shared" si="14"/>
        <v>-51000</v>
      </c>
      <c r="BL29" s="1586">
        <f t="shared" si="15"/>
        <v>-51000</v>
      </c>
      <c r="BM29" s="1586">
        <f t="shared" si="16"/>
        <v>-51000</v>
      </c>
      <c r="BN29" s="1586">
        <f t="shared" si="17"/>
        <v>-46378.04</v>
      </c>
      <c r="BO29" s="1586">
        <f t="shared" si="18"/>
        <v>0</v>
      </c>
      <c r="BP29" s="1586">
        <f t="shared" si="19"/>
        <v>0</v>
      </c>
      <c r="BQ29" s="1586">
        <f t="shared" si="20"/>
        <v>0</v>
      </c>
      <c r="BR29" s="1586">
        <f t="shared" si="21"/>
        <v>0</v>
      </c>
      <c r="BS29" s="1586">
        <f t="shared" si="22"/>
        <v>0</v>
      </c>
      <c r="BT29" s="1586">
        <f t="shared" si="23"/>
        <v>0</v>
      </c>
    </row>
    <row r="30" spans="1:73">
      <c r="A30" s="1583" t="s">
        <v>3449</v>
      </c>
      <c r="C30" s="1624"/>
      <c r="D30" s="1624"/>
      <c r="E30" s="1624"/>
      <c r="F30" s="1624">
        <v>70416.509999999995</v>
      </c>
      <c r="G30" s="1624"/>
      <c r="H30" s="1624"/>
      <c r="I30" s="1624"/>
      <c r="J30" s="1624"/>
      <c r="K30" s="1624">
        <v>0</v>
      </c>
      <c r="L30" s="1624">
        <v>0</v>
      </c>
      <c r="M30" s="1624">
        <v>0</v>
      </c>
      <c r="N30" s="1624">
        <v>0</v>
      </c>
      <c r="O30" s="1624">
        <v>0</v>
      </c>
      <c r="P30" s="1624">
        <v>0</v>
      </c>
      <c r="Q30" s="1624">
        <v>0</v>
      </c>
      <c r="R30" s="1624">
        <v>0</v>
      </c>
      <c r="S30" s="1624">
        <v>0</v>
      </c>
      <c r="T30" s="1624">
        <v>0</v>
      </c>
      <c r="U30" s="1624">
        <v>0</v>
      </c>
      <c r="V30" s="1624">
        <v>0</v>
      </c>
      <c r="W30" s="1624">
        <v>0</v>
      </c>
      <c r="X30" s="1624">
        <v>0</v>
      </c>
      <c r="Y30" s="1624">
        <v>0</v>
      </c>
      <c r="Z30" s="1624">
        <v>0</v>
      </c>
      <c r="AA30" s="1624">
        <v>0</v>
      </c>
      <c r="AB30" s="1624">
        <v>0</v>
      </c>
      <c r="AC30" s="1624">
        <v>0</v>
      </c>
      <c r="AD30" s="1624">
        <v>0</v>
      </c>
      <c r="AE30" s="1624">
        <v>0</v>
      </c>
      <c r="AF30" s="1624">
        <v>0</v>
      </c>
      <c r="AG30" s="1624">
        <v>0</v>
      </c>
      <c r="AH30" s="1624">
        <v>0</v>
      </c>
      <c r="AI30" s="1624">
        <v>0</v>
      </c>
      <c r="AJ30" s="1624">
        <v>0</v>
      </c>
      <c r="AK30" s="1624">
        <v>0</v>
      </c>
      <c r="AL30" s="1624">
        <v>0</v>
      </c>
      <c r="AM30" s="1624">
        <v>0</v>
      </c>
      <c r="AN30" s="1624">
        <v>0</v>
      </c>
      <c r="AO30" s="1624">
        <v>0</v>
      </c>
      <c r="AP30" s="1624">
        <v>0</v>
      </c>
      <c r="AQ30" s="1624">
        <v>0</v>
      </c>
      <c r="AR30" s="1624">
        <v>0</v>
      </c>
      <c r="AS30" s="1624">
        <v>0</v>
      </c>
      <c r="AT30" s="1624">
        <v>0</v>
      </c>
      <c r="AU30" s="1624">
        <v>0</v>
      </c>
      <c r="AV30" s="1624">
        <v>0</v>
      </c>
      <c r="AW30" s="1624">
        <v>0</v>
      </c>
      <c r="AX30" s="1624">
        <v>0</v>
      </c>
      <c r="AZ30" s="1624">
        <f t="shared" si="4"/>
        <v>70416.509999999995</v>
      </c>
      <c r="BA30" s="1624">
        <f t="shared" si="5"/>
        <v>0</v>
      </c>
      <c r="BB30" s="1624">
        <f t="shared" si="6"/>
        <v>0</v>
      </c>
      <c r="BC30" s="1624">
        <f t="shared" si="7"/>
        <v>0</v>
      </c>
      <c r="BD30" s="1586"/>
      <c r="BE30" s="1624">
        <f t="shared" si="8"/>
        <v>0</v>
      </c>
      <c r="BF30" s="1624">
        <f t="shared" si="9"/>
        <v>70416.509999999995</v>
      </c>
      <c r="BG30" s="1624">
        <f t="shared" si="10"/>
        <v>0</v>
      </c>
      <c r="BH30" s="1624">
        <f t="shared" si="11"/>
        <v>0</v>
      </c>
      <c r="BI30" s="1624">
        <f t="shared" si="12"/>
        <v>0</v>
      </c>
      <c r="BJ30" s="1624">
        <f t="shared" si="13"/>
        <v>0</v>
      </c>
      <c r="BK30" s="1624">
        <f t="shared" si="14"/>
        <v>0</v>
      </c>
      <c r="BL30" s="1624">
        <f t="shared" si="15"/>
        <v>0</v>
      </c>
      <c r="BM30" s="1624">
        <f t="shared" si="16"/>
        <v>0</v>
      </c>
      <c r="BN30" s="1624">
        <f t="shared" si="17"/>
        <v>0</v>
      </c>
      <c r="BO30" s="1624">
        <f t="shared" si="18"/>
        <v>0</v>
      </c>
      <c r="BP30" s="1624">
        <f t="shared" si="19"/>
        <v>0</v>
      </c>
      <c r="BQ30" s="1624">
        <f t="shared" si="20"/>
        <v>0</v>
      </c>
      <c r="BR30" s="1624">
        <f t="shared" si="21"/>
        <v>0</v>
      </c>
      <c r="BS30" s="1624">
        <f t="shared" si="22"/>
        <v>0</v>
      </c>
      <c r="BT30" s="1624">
        <f t="shared" si="23"/>
        <v>0</v>
      </c>
    </row>
    <row r="31" spans="1:73">
      <c r="A31" s="1583" t="s">
        <v>3377</v>
      </c>
      <c r="C31" s="1586">
        <f t="shared" ref="C31:AX31" si="24">SUM(C25:C30)</f>
        <v>-13186.16</v>
      </c>
      <c r="D31" s="1586">
        <f t="shared" si="24"/>
        <v>-16314.210000000001</v>
      </c>
      <c r="E31" s="1586">
        <f t="shared" si="24"/>
        <v>-12678.259999999998</v>
      </c>
      <c r="F31" s="1586">
        <f t="shared" si="24"/>
        <v>52207.930000000008</v>
      </c>
      <c r="G31" s="1586">
        <f t="shared" si="24"/>
        <v>-12751.77</v>
      </c>
      <c r="H31" s="1586">
        <f t="shared" si="24"/>
        <v>-15306.779999999999</v>
      </c>
      <c r="I31" s="1586">
        <f t="shared" si="24"/>
        <v>-12620.93</v>
      </c>
      <c r="J31" s="1586">
        <f t="shared" si="24"/>
        <v>-24007.02</v>
      </c>
      <c r="K31" s="1586">
        <f t="shared" si="24"/>
        <v>483543.26</v>
      </c>
      <c r="L31" s="1586">
        <f t="shared" si="24"/>
        <v>-14648.46</v>
      </c>
      <c r="M31" s="1586">
        <f t="shared" si="24"/>
        <v>-17000</v>
      </c>
      <c r="N31" s="1586">
        <f t="shared" si="24"/>
        <v>-17000</v>
      </c>
      <c r="O31" s="1586">
        <f t="shared" si="24"/>
        <v>-17000</v>
      </c>
      <c r="P31" s="1586">
        <f t="shared" si="24"/>
        <v>-17000</v>
      </c>
      <c r="Q31" s="1586">
        <f t="shared" si="24"/>
        <v>-17000</v>
      </c>
      <c r="R31" s="1586">
        <f t="shared" si="24"/>
        <v>-17000</v>
      </c>
      <c r="S31" s="1586">
        <f t="shared" si="24"/>
        <v>-17000</v>
      </c>
      <c r="T31" s="1586">
        <f t="shared" si="24"/>
        <v>-17000</v>
      </c>
      <c r="U31" s="1586">
        <f t="shared" si="24"/>
        <v>-17000</v>
      </c>
      <c r="V31" s="1586">
        <f t="shared" si="24"/>
        <v>-17000</v>
      </c>
      <c r="W31" s="1586">
        <f t="shared" si="24"/>
        <v>-17000</v>
      </c>
      <c r="X31" s="1586">
        <f t="shared" si="24"/>
        <v>-17000</v>
      </c>
      <c r="Y31" s="1586">
        <f t="shared" si="24"/>
        <v>-17000</v>
      </c>
      <c r="Z31" s="1586">
        <f t="shared" si="24"/>
        <v>-17000</v>
      </c>
      <c r="AA31" s="1586">
        <f t="shared" si="24"/>
        <v>-17000</v>
      </c>
      <c r="AB31" s="1586">
        <f t="shared" si="24"/>
        <v>-17000</v>
      </c>
      <c r="AC31" s="1586">
        <f t="shared" si="24"/>
        <v>-17000</v>
      </c>
      <c r="AD31" s="1586">
        <f t="shared" si="24"/>
        <v>-17000</v>
      </c>
      <c r="AE31" s="1586">
        <f t="shared" si="24"/>
        <v>-17000</v>
      </c>
      <c r="AF31" s="1586">
        <f t="shared" si="24"/>
        <v>-12378.04</v>
      </c>
      <c r="AG31" s="1586">
        <f t="shared" si="24"/>
        <v>0</v>
      </c>
      <c r="AH31" s="1586">
        <f t="shared" si="24"/>
        <v>0</v>
      </c>
      <c r="AI31" s="1586">
        <f t="shared" si="24"/>
        <v>0</v>
      </c>
      <c r="AJ31" s="1586">
        <f t="shared" si="24"/>
        <v>0</v>
      </c>
      <c r="AK31" s="1586">
        <f t="shared" si="24"/>
        <v>0</v>
      </c>
      <c r="AL31" s="1586">
        <f t="shared" si="24"/>
        <v>0</v>
      </c>
      <c r="AM31" s="1586">
        <f t="shared" si="24"/>
        <v>0</v>
      </c>
      <c r="AN31" s="1586">
        <f t="shared" si="24"/>
        <v>0</v>
      </c>
      <c r="AO31" s="1586">
        <f t="shared" si="24"/>
        <v>0</v>
      </c>
      <c r="AP31" s="1586">
        <f t="shared" si="24"/>
        <v>0</v>
      </c>
      <c r="AQ31" s="1586">
        <f t="shared" si="24"/>
        <v>0</v>
      </c>
      <c r="AR31" s="1586">
        <f t="shared" si="24"/>
        <v>0</v>
      </c>
      <c r="AS31" s="1586">
        <f t="shared" si="24"/>
        <v>0</v>
      </c>
      <c r="AT31" s="1586">
        <f t="shared" si="24"/>
        <v>0</v>
      </c>
      <c r="AU31" s="1586">
        <f t="shared" si="24"/>
        <v>0</v>
      </c>
      <c r="AV31" s="1586">
        <f t="shared" si="24"/>
        <v>0</v>
      </c>
      <c r="AW31" s="1586">
        <f t="shared" si="24"/>
        <v>0</v>
      </c>
      <c r="AX31" s="1586">
        <f t="shared" si="24"/>
        <v>0</v>
      </c>
      <c r="AZ31" s="1586">
        <f>SUM(AZ25:AZ30)</f>
        <v>380237.6</v>
      </c>
      <c r="BA31" s="1586">
        <f>SUM(BA25:BA30)</f>
        <v>-204000</v>
      </c>
      <c r="BB31" s="1586">
        <f>SUM(BB25:BB30)</f>
        <v>-97378.040000000008</v>
      </c>
      <c r="BC31" s="1586">
        <f>SUM(BC25:BC30)</f>
        <v>0</v>
      </c>
      <c r="BD31" s="1586"/>
      <c r="BE31" s="1586">
        <f t="shared" ref="BE31:BT31" si="25">SUM(BE25:BE30)</f>
        <v>-42178.630000000005</v>
      </c>
      <c r="BF31" s="1586">
        <f t="shared" si="25"/>
        <v>24149.380000000005</v>
      </c>
      <c r="BG31" s="1586">
        <f t="shared" si="25"/>
        <v>446915.31000000006</v>
      </c>
      <c r="BH31" s="1586">
        <f t="shared" si="25"/>
        <v>-48648.46</v>
      </c>
      <c r="BI31" s="1586">
        <f t="shared" si="25"/>
        <v>-51000</v>
      </c>
      <c r="BJ31" s="1586">
        <f t="shared" si="25"/>
        <v>-51000</v>
      </c>
      <c r="BK31" s="1586">
        <f t="shared" si="25"/>
        <v>-51000</v>
      </c>
      <c r="BL31" s="1586">
        <f t="shared" si="25"/>
        <v>-51000</v>
      </c>
      <c r="BM31" s="1586">
        <f t="shared" si="25"/>
        <v>-51000</v>
      </c>
      <c r="BN31" s="1586">
        <f t="shared" si="25"/>
        <v>-46378.04</v>
      </c>
      <c r="BO31" s="1586">
        <f t="shared" si="25"/>
        <v>0</v>
      </c>
      <c r="BP31" s="1586">
        <f t="shared" si="25"/>
        <v>0</v>
      </c>
      <c r="BQ31" s="1586">
        <f t="shared" si="25"/>
        <v>0</v>
      </c>
      <c r="BR31" s="1586">
        <f t="shared" si="25"/>
        <v>0</v>
      </c>
      <c r="BS31" s="1586">
        <f t="shared" si="25"/>
        <v>0</v>
      </c>
      <c r="BT31" s="1586">
        <f t="shared" si="25"/>
        <v>0</v>
      </c>
    </row>
    <row r="32" spans="1:73">
      <c r="A32" s="1583"/>
    </row>
    <row r="33" spans="1:72">
      <c r="A33" s="1583" t="s">
        <v>3378</v>
      </c>
      <c r="C33" s="1639">
        <f t="shared" ref="C33:AX33" si="26">C18+C22+C31</f>
        <v>-630366.65999999992</v>
      </c>
      <c r="D33" s="1639">
        <f t="shared" si="26"/>
        <v>-1518557.62</v>
      </c>
      <c r="E33" s="1639">
        <f t="shared" si="26"/>
        <v>-788922.38000000012</v>
      </c>
      <c r="F33" s="1639">
        <f t="shared" si="26"/>
        <v>-648707.77</v>
      </c>
      <c r="G33" s="1639">
        <f t="shared" si="26"/>
        <v>-1123998.9800000002</v>
      </c>
      <c r="H33" s="1639">
        <f t="shared" si="26"/>
        <v>-916238.93000000017</v>
      </c>
      <c r="I33" s="1639">
        <f t="shared" si="26"/>
        <v>-901683.46000000008</v>
      </c>
      <c r="J33" s="1639">
        <f t="shared" si="26"/>
        <v>-1738483.47</v>
      </c>
      <c r="K33" s="1639">
        <f t="shared" si="26"/>
        <v>-801657.8600000001</v>
      </c>
      <c r="L33" s="1639">
        <f t="shared" si="26"/>
        <v>-1390777.2299999997</v>
      </c>
      <c r="M33" s="1639">
        <f t="shared" si="26"/>
        <v>-1347666.7330331593</v>
      </c>
      <c r="N33" s="1639">
        <f t="shared" si="26"/>
        <v>-1755862.2968808943</v>
      </c>
      <c r="O33" s="1639">
        <f t="shared" si="26"/>
        <v>-1549444.1914830047</v>
      </c>
      <c r="P33" s="1639">
        <f t="shared" si="26"/>
        <v>-1703709.3995156148</v>
      </c>
      <c r="Q33" s="1639">
        <f t="shared" si="26"/>
        <v>-1042036.6645695575</v>
      </c>
      <c r="R33" s="1639">
        <f t="shared" si="26"/>
        <v>-1067072.3408103078</v>
      </c>
      <c r="S33" s="1639">
        <f t="shared" si="26"/>
        <v>-1360556.4219251294</v>
      </c>
      <c r="T33" s="1639">
        <f t="shared" si="26"/>
        <v>-540974.43732300459</v>
      </c>
      <c r="U33" s="1639">
        <f t="shared" si="26"/>
        <v>-902328.79083178379</v>
      </c>
      <c r="V33" s="1639">
        <f t="shared" si="26"/>
        <v>-786118.90722477832</v>
      </c>
      <c r="W33" s="1639">
        <f t="shared" si="26"/>
        <v>-810633.69273568795</v>
      </c>
      <c r="X33" s="1639">
        <f t="shared" si="26"/>
        <v>-1198233.0251696373</v>
      </c>
      <c r="Y33" s="1639">
        <f t="shared" si="26"/>
        <v>-1547721.2491253228</v>
      </c>
      <c r="Z33" s="1639">
        <f t="shared" si="26"/>
        <v>-1035515.9002211081</v>
      </c>
      <c r="AA33" s="1639">
        <f t="shared" si="26"/>
        <v>-1658106.8998077747</v>
      </c>
      <c r="AB33" s="1639">
        <f t="shared" si="26"/>
        <v>-2136373.0470299972</v>
      </c>
      <c r="AC33" s="1639">
        <f t="shared" si="26"/>
        <v>-1106270.7984188856</v>
      </c>
      <c r="AD33" s="1639">
        <f t="shared" si="26"/>
        <v>-1365110.4484188857</v>
      </c>
      <c r="AE33" s="1639">
        <f t="shared" si="26"/>
        <v>-1875886.9761966637</v>
      </c>
      <c r="AF33" s="1639">
        <f t="shared" si="26"/>
        <v>-1306250.0161966637</v>
      </c>
      <c r="AG33" s="1639">
        <f t="shared" si="26"/>
        <v>-1477073.4261966639</v>
      </c>
      <c r="AH33" s="1639">
        <f t="shared" si="26"/>
        <v>-1617125.7761966635</v>
      </c>
      <c r="AI33" s="1639">
        <f t="shared" si="26"/>
        <v>-1403969.3028633301</v>
      </c>
      <c r="AJ33" s="1639">
        <f t="shared" si="26"/>
        <v>-1561946.20286333</v>
      </c>
      <c r="AK33" s="1639">
        <f t="shared" si="26"/>
        <v>-2359826.0028633298</v>
      </c>
      <c r="AL33" s="1639">
        <f t="shared" si="26"/>
        <v>-1230802.40286333</v>
      </c>
      <c r="AM33" s="1639">
        <f t="shared" si="26"/>
        <v>-1657412.6149167635</v>
      </c>
      <c r="AN33" s="1639">
        <f t="shared" si="26"/>
        <v>-3573998.373250097</v>
      </c>
      <c r="AO33" s="1639">
        <f t="shared" si="26"/>
        <v>-2328762.2524167635</v>
      </c>
      <c r="AP33" s="1639">
        <f t="shared" si="26"/>
        <v>-2694335.6524167638</v>
      </c>
      <c r="AQ33" s="1639">
        <f t="shared" si="26"/>
        <v>-1886470.6524167636</v>
      </c>
      <c r="AR33" s="1639">
        <f t="shared" si="26"/>
        <v>-1157428.6524167636</v>
      </c>
      <c r="AS33" s="1639">
        <f t="shared" si="26"/>
        <v>-970307.65241676359</v>
      </c>
      <c r="AT33" s="1639">
        <f t="shared" si="26"/>
        <v>-905220.04825009673</v>
      </c>
      <c r="AU33" s="1639">
        <f t="shared" si="26"/>
        <v>-875315.91519454145</v>
      </c>
      <c r="AV33" s="1639">
        <f t="shared" si="26"/>
        <v>-1166249.3874167637</v>
      </c>
      <c r="AW33" s="1639">
        <f t="shared" si="26"/>
        <v>-1345351.9651945413</v>
      </c>
      <c r="AX33" s="1639">
        <f t="shared" si="26"/>
        <v>-851945.17075009702</v>
      </c>
      <c r="AZ33" s="1639">
        <f>AZ18+AZ22+AZ31</f>
        <v>-13562923.389914054</v>
      </c>
      <c r="BA33" s="1639">
        <f>BA18+BA22+BA31</f>
        <v>-13544345.020934938</v>
      </c>
      <c r="BB33" s="1639">
        <f>BB18+BB22+BB31</f>
        <v>-19098741.299915519</v>
      </c>
      <c r="BC33" s="1586">
        <f>SUM(AM33:AX33)</f>
        <v>-19412798.337056719</v>
      </c>
      <c r="BE33" s="1639">
        <f t="shared" ref="BE33:BT33" si="27">BE18+BE22+BE31</f>
        <v>-2937846.66</v>
      </c>
      <c r="BF33" s="1639">
        <f t="shared" si="27"/>
        <v>-2688945.6800000006</v>
      </c>
      <c r="BG33" s="1639">
        <f t="shared" si="27"/>
        <v>-3441824.7899999996</v>
      </c>
      <c r="BH33" s="1639">
        <f t="shared" si="27"/>
        <v>-4494306.2599140536</v>
      </c>
      <c r="BI33" s="1639">
        <f t="shared" si="27"/>
        <v>-4295190.2555681774</v>
      </c>
      <c r="BJ33" s="1639">
        <f t="shared" si="27"/>
        <v>-2968603.2000584416</v>
      </c>
      <c r="BK33" s="1639">
        <f t="shared" si="27"/>
        <v>-2499081.3907922497</v>
      </c>
      <c r="BL33" s="1639">
        <f t="shared" si="27"/>
        <v>-3781470.1745160683</v>
      </c>
      <c r="BM33" s="1639">
        <f t="shared" si="27"/>
        <v>-4900750.7452566568</v>
      </c>
      <c r="BN33" s="1639">
        <f t="shared" si="27"/>
        <v>-4547247.4408122124</v>
      </c>
      <c r="BO33" s="1639">
        <f t="shared" si="27"/>
        <v>-4498168.5052566566</v>
      </c>
      <c r="BP33" s="1639">
        <f t="shared" si="27"/>
        <v>-5152574.6085899891</v>
      </c>
      <c r="BQ33" s="1639">
        <f t="shared" si="27"/>
        <v>-7560173.2405836228</v>
      </c>
      <c r="BR33" s="1639">
        <f t="shared" si="27"/>
        <v>-5738234.9572502896</v>
      </c>
      <c r="BS33" s="1639">
        <f t="shared" si="27"/>
        <v>-2750843.6158614019</v>
      </c>
      <c r="BT33" s="1639">
        <f t="shared" si="27"/>
        <v>-3363546.5233614012</v>
      </c>
    </row>
    <row r="34" spans="1:72">
      <c r="A34" s="1583"/>
    </row>
    <row r="35" spans="1:72">
      <c r="A35" s="1583" t="s">
        <v>3379</v>
      </c>
      <c r="C35" s="1586">
        <f>'Balance Sheet'!B7</f>
        <v>27199232.510000002</v>
      </c>
      <c r="D35" s="1586">
        <f t="shared" ref="D35:AX35" si="28">C36</f>
        <v>26568865.850000001</v>
      </c>
      <c r="E35" s="1586">
        <f t="shared" si="28"/>
        <v>25050308.23</v>
      </c>
      <c r="F35" s="1586">
        <f t="shared" si="28"/>
        <v>24261385.850000001</v>
      </c>
      <c r="G35" s="1586">
        <f t="shared" si="28"/>
        <v>23612678.080000002</v>
      </c>
      <c r="H35" s="1586">
        <f t="shared" si="28"/>
        <v>22488679.100000001</v>
      </c>
      <c r="I35" s="1586">
        <f t="shared" si="28"/>
        <v>21572440.170000002</v>
      </c>
      <c r="J35" s="1586">
        <f t="shared" si="28"/>
        <v>20670756.710000001</v>
      </c>
      <c r="K35" s="1586">
        <f t="shared" si="28"/>
        <v>18932273.240000002</v>
      </c>
      <c r="L35" s="1586">
        <f t="shared" si="28"/>
        <v>18130615.380000003</v>
      </c>
      <c r="M35" s="1586">
        <f t="shared" si="28"/>
        <v>16739838.150000002</v>
      </c>
      <c r="N35" s="1586">
        <f t="shared" si="28"/>
        <v>15392171.416966842</v>
      </c>
      <c r="O35" s="1586">
        <f t="shared" si="28"/>
        <v>13636309.120085947</v>
      </c>
      <c r="P35" s="1586">
        <f t="shared" si="28"/>
        <v>12086864.928602943</v>
      </c>
      <c r="Q35" s="1586">
        <f t="shared" si="28"/>
        <v>10383155.529087327</v>
      </c>
      <c r="R35" s="1586">
        <f t="shared" si="28"/>
        <v>9341118.8645177707</v>
      </c>
      <c r="S35" s="1586">
        <f t="shared" si="28"/>
        <v>8274046.5237074625</v>
      </c>
      <c r="T35" s="1586">
        <f t="shared" si="28"/>
        <v>6913490.1017823331</v>
      </c>
      <c r="U35" s="1586">
        <f t="shared" si="28"/>
        <v>6372515.6644593282</v>
      </c>
      <c r="V35" s="1586">
        <f t="shared" si="28"/>
        <v>5470186.8736275444</v>
      </c>
      <c r="W35" s="1586">
        <f t="shared" si="28"/>
        <v>4684067.9664027663</v>
      </c>
      <c r="X35" s="1586">
        <f t="shared" si="28"/>
        <v>3873434.2736670785</v>
      </c>
      <c r="Y35" s="1586">
        <f t="shared" si="28"/>
        <v>2675201.2484974414</v>
      </c>
      <c r="Z35" s="1586">
        <f t="shared" si="28"/>
        <v>1127479.9993721186</v>
      </c>
      <c r="AA35" s="1586">
        <f t="shared" si="28"/>
        <v>91964.099151010509</v>
      </c>
      <c r="AB35" s="1586">
        <f t="shared" si="28"/>
        <v>-1566142.8006567643</v>
      </c>
      <c r="AC35" s="1586">
        <f t="shared" si="28"/>
        <v>-3702515.8476867615</v>
      </c>
      <c r="AD35" s="1586">
        <f t="shared" si="28"/>
        <v>-4808786.6461056471</v>
      </c>
      <c r="AE35" s="1586">
        <f t="shared" si="28"/>
        <v>-6173897.0945245326</v>
      </c>
      <c r="AF35" s="1586">
        <f t="shared" si="28"/>
        <v>-8049784.070721196</v>
      </c>
      <c r="AG35" s="1586">
        <f t="shared" si="28"/>
        <v>-9356034.0869178604</v>
      </c>
      <c r="AH35" s="1586">
        <f t="shared" si="28"/>
        <v>-10833107.513114525</v>
      </c>
      <c r="AI35" s="1586">
        <f t="shared" si="28"/>
        <v>-12450233.289311189</v>
      </c>
      <c r="AJ35" s="1586">
        <f t="shared" si="28"/>
        <v>-13854202.592174519</v>
      </c>
      <c r="AK35" s="1586">
        <f t="shared" si="28"/>
        <v>-15416148.795037849</v>
      </c>
      <c r="AL35" s="1586">
        <f t="shared" si="28"/>
        <v>-17775974.79790118</v>
      </c>
      <c r="AM35" s="1586">
        <f t="shared" si="28"/>
        <v>-19006777.200764511</v>
      </c>
      <c r="AN35" s="1586">
        <f t="shared" si="28"/>
        <v>-20664189.815681275</v>
      </c>
      <c r="AO35" s="1586">
        <f t="shared" si="28"/>
        <v>-24238188.188931372</v>
      </c>
      <c r="AP35" s="1586">
        <f t="shared" si="28"/>
        <v>-26566950.441348135</v>
      </c>
      <c r="AQ35" s="1586">
        <f t="shared" si="28"/>
        <v>-29261286.093764901</v>
      </c>
      <c r="AR35" s="1586">
        <f t="shared" si="28"/>
        <v>-31147756.746181663</v>
      </c>
      <c r="AS35" s="1586">
        <f t="shared" si="28"/>
        <v>-32305185.398598425</v>
      </c>
      <c r="AT35" s="1586">
        <f t="shared" si="28"/>
        <v>-33275493.051015187</v>
      </c>
      <c r="AU35" s="1586">
        <f t="shared" si="28"/>
        <v>-34180713.099265285</v>
      </c>
      <c r="AV35" s="1586">
        <f t="shared" si="28"/>
        <v>-35056029.014459826</v>
      </c>
      <c r="AW35" s="1586">
        <f t="shared" si="28"/>
        <v>-36222278.401876591</v>
      </c>
      <c r="AX35" s="1586">
        <f t="shared" si="28"/>
        <v>-37567630.367071129</v>
      </c>
      <c r="AZ35" s="1639">
        <f>C35</f>
        <v>27199232.510000002</v>
      </c>
      <c r="BA35" s="1639">
        <f>O35</f>
        <v>13636309.120085947</v>
      </c>
      <c r="BB35" s="1639">
        <f>AA35</f>
        <v>91964.099151010509</v>
      </c>
      <c r="BC35" s="1639">
        <f>AM35</f>
        <v>-19006777.200764511</v>
      </c>
      <c r="BE35" s="1639">
        <f>C35</f>
        <v>27199232.510000002</v>
      </c>
      <c r="BF35" s="1639">
        <f t="shared" ref="BF35:BT35" si="29">BE36</f>
        <v>24261385.850000001</v>
      </c>
      <c r="BG35" s="1639">
        <f t="shared" si="29"/>
        <v>21572440.170000002</v>
      </c>
      <c r="BH35" s="1639">
        <f t="shared" si="29"/>
        <v>18130615.380000003</v>
      </c>
      <c r="BI35" s="1639">
        <f t="shared" si="29"/>
        <v>13636309.120085949</v>
      </c>
      <c r="BJ35" s="1639">
        <f t="shared" si="29"/>
        <v>9341118.8645177707</v>
      </c>
      <c r="BK35" s="1639">
        <f t="shared" si="29"/>
        <v>6372515.6644593291</v>
      </c>
      <c r="BL35" s="1639">
        <f t="shared" si="29"/>
        <v>3873434.2736670794</v>
      </c>
      <c r="BM35" s="1639">
        <f t="shared" si="29"/>
        <v>91964.099151011091</v>
      </c>
      <c r="BN35" s="1639">
        <f t="shared" si="29"/>
        <v>-4808786.6461056452</v>
      </c>
      <c r="BO35" s="1639">
        <f t="shared" si="29"/>
        <v>-9356034.0869178586</v>
      </c>
      <c r="BP35" s="1639">
        <f t="shared" si="29"/>
        <v>-13854202.592174515</v>
      </c>
      <c r="BQ35" s="1639">
        <f t="shared" si="29"/>
        <v>-19006777.200764503</v>
      </c>
      <c r="BR35" s="1639">
        <f t="shared" si="29"/>
        <v>-26566950.441348128</v>
      </c>
      <c r="BS35" s="1639">
        <f t="shared" si="29"/>
        <v>-32305185.398598418</v>
      </c>
      <c r="BT35" s="1639">
        <f t="shared" si="29"/>
        <v>-35056029.014459819</v>
      </c>
    </row>
    <row r="36" spans="1:72" ht="15.75" thickBot="1">
      <c r="A36" s="1583" t="s">
        <v>3380</v>
      </c>
      <c r="C36" s="1620">
        <f t="shared" ref="C36:AX36" si="30">C33+C35</f>
        <v>26568865.850000001</v>
      </c>
      <c r="D36" s="1620">
        <f t="shared" si="30"/>
        <v>25050308.23</v>
      </c>
      <c r="E36" s="1620">
        <f t="shared" si="30"/>
        <v>24261385.850000001</v>
      </c>
      <c r="F36" s="1620">
        <f t="shared" si="30"/>
        <v>23612678.080000002</v>
      </c>
      <c r="G36" s="1620">
        <f t="shared" si="30"/>
        <v>22488679.100000001</v>
      </c>
      <c r="H36" s="1620">
        <f t="shared" si="30"/>
        <v>21572440.170000002</v>
      </c>
      <c r="I36" s="1620">
        <f t="shared" si="30"/>
        <v>20670756.710000001</v>
      </c>
      <c r="J36" s="1620">
        <f t="shared" si="30"/>
        <v>18932273.240000002</v>
      </c>
      <c r="K36" s="1620">
        <f t="shared" si="30"/>
        <v>18130615.380000003</v>
      </c>
      <c r="L36" s="1620">
        <f t="shared" si="30"/>
        <v>16739838.150000002</v>
      </c>
      <c r="M36" s="1620">
        <f t="shared" si="30"/>
        <v>15392171.416966842</v>
      </c>
      <c r="N36" s="1620">
        <f t="shared" si="30"/>
        <v>13636309.120085947</v>
      </c>
      <c r="O36" s="1620">
        <f t="shared" si="30"/>
        <v>12086864.928602943</v>
      </c>
      <c r="P36" s="1620">
        <f t="shared" si="30"/>
        <v>10383155.529087327</v>
      </c>
      <c r="Q36" s="1620">
        <f t="shared" si="30"/>
        <v>9341118.8645177707</v>
      </c>
      <c r="R36" s="1620">
        <f t="shared" si="30"/>
        <v>8274046.5237074625</v>
      </c>
      <c r="S36" s="1620">
        <f t="shared" si="30"/>
        <v>6913490.1017823331</v>
      </c>
      <c r="T36" s="1620">
        <f t="shared" si="30"/>
        <v>6372515.6644593282</v>
      </c>
      <c r="U36" s="1620">
        <f t="shared" si="30"/>
        <v>5470186.8736275444</v>
      </c>
      <c r="V36" s="1620">
        <f t="shared" si="30"/>
        <v>4684067.9664027663</v>
      </c>
      <c r="W36" s="1620">
        <f t="shared" si="30"/>
        <v>3873434.2736670785</v>
      </c>
      <c r="X36" s="1620">
        <f t="shared" si="30"/>
        <v>2675201.2484974414</v>
      </c>
      <c r="Y36" s="1620">
        <f t="shared" si="30"/>
        <v>1127479.9993721186</v>
      </c>
      <c r="Z36" s="1620">
        <f t="shared" si="30"/>
        <v>91964.099151010509</v>
      </c>
      <c r="AA36" s="1620">
        <f t="shared" si="30"/>
        <v>-1566142.8006567643</v>
      </c>
      <c r="AB36" s="1620">
        <f t="shared" si="30"/>
        <v>-3702515.8476867615</v>
      </c>
      <c r="AC36" s="1620">
        <f t="shared" si="30"/>
        <v>-4808786.6461056471</v>
      </c>
      <c r="AD36" s="1620">
        <f t="shared" si="30"/>
        <v>-6173897.0945245326</v>
      </c>
      <c r="AE36" s="1620">
        <f t="shared" si="30"/>
        <v>-8049784.070721196</v>
      </c>
      <c r="AF36" s="1620">
        <f t="shared" si="30"/>
        <v>-9356034.0869178604</v>
      </c>
      <c r="AG36" s="1620">
        <f t="shared" si="30"/>
        <v>-10833107.513114525</v>
      </c>
      <c r="AH36" s="1620">
        <f t="shared" si="30"/>
        <v>-12450233.289311189</v>
      </c>
      <c r="AI36" s="1620">
        <f t="shared" si="30"/>
        <v>-13854202.592174519</v>
      </c>
      <c r="AJ36" s="1620">
        <f t="shared" si="30"/>
        <v>-15416148.795037849</v>
      </c>
      <c r="AK36" s="1620">
        <f t="shared" si="30"/>
        <v>-17775974.79790118</v>
      </c>
      <c r="AL36" s="1620">
        <f t="shared" si="30"/>
        <v>-19006777.200764511</v>
      </c>
      <c r="AM36" s="1620">
        <f t="shared" si="30"/>
        <v>-20664189.815681275</v>
      </c>
      <c r="AN36" s="1620">
        <f t="shared" si="30"/>
        <v>-24238188.188931372</v>
      </c>
      <c r="AO36" s="1620">
        <f t="shared" si="30"/>
        <v>-26566950.441348135</v>
      </c>
      <c r="AP36" s="1620">
        <f t="shared" si="30"/>
        <v>-29261286.093764901</v>
      </c>
      <c r="AQ36" s="1620">
        <f t="shared" si="30"/>
        <v>-31147756.746181663</v>
      </c>
      <c r="AR36" s="1620">
        <f t="shared" si="30"/>
        <v>-32305185.398598425</v>
      </c>
      <c r="AS36" s="1620">
        <f t="shared" si="30"/>
        <v>-33275493.051015187</v>
      </c>
      <c r="AT36" s="1620">
        <f t="shared" si="30"/>
        <v>-34180713.099265285</v>
      </c>
      <c r="AU36" s="1620">
        <f t="shared" si="30"/>
        <v>-35056029.014459826</v>
      </c>
      <c r="AV36" s="1620">
        <f t="shared" si="30"/>
        <v>-36222278.401876591</v>
      </c>
      <c r="AW36" s="1620">
        <f t="shared" si="30"/>
        <v>-37567630.367071129</v>
      </c>
      <c r="AX36" s="1620">
        <f t="shared" si="30"/>
        <v>-38419575.537821226</v>
      </c>
      <c r="AZ36" s="1620">
        <f>AZ33+AZ35</f>
        <v>13636309.120085947</v>
      </c>
      <c r="BA36" s="1620">
        <f>BA33+BA35</f>
        <v>91964.099151009694</v>
      </c>
      <c r="BB36" s="1620">
        <f>BB33+BB35</f>
        <v>-19006777.200764507</v>
      </c>
      <c r="BC36" s="1620">
        <f>BC33+BC35</f>
        <v>-38419575.537821233</v>
      </c>
      <c r="BE36" s="1620">
        <f t="shared" ref="BE36:BT36" si="31">BE33+BE35</f>
        <v>24261385.850000001</v>
      </c>
      <c r="BF36" s="1620">
        <f t="shared" si="31"/>
        <v>21572440.170000002</v>
      </c>
      <c r="BG36" s="1620">
        <f t="shared" si="31"/>
        <v>18130615.380000003</v>
      </c>
      <c r="BH36" s="1620">
        <f t="shared" si="31"/>
        <v>13636309.120085949</v>
      </c>
      <c r="BI36" s="1620">
        <f t="shared" si="31"/>
        <v>9341118.8645177707</v>
      </c>
      <c r="BJ36" s="1620">
        <f t="shared" si="31"/>
        <v>6372515.6644593291</v>
      </c>
      <c r="BK36" s="1620">
        <f t="shared" si="31"/>
        <v>3873434.2736670794</v>
      </c>
      <c r="BL36" s="1620">
        <f t="shared" si="31"/>
        <v>91964.099151011091</v>
      </c>
      <c r="BM36" s="1620">
        <f t="shared" si="31"/>
        <v>-4808786.6461056452</v>
      </c>
      <c r="BN36" s="1620">
        <f t="shared" si="31"/>
        <v>-9356034.0869178586</v>
      </c>
      <c r="BO36" s="1620">
        <f t="shared" si="31"/>
        <v>-13854202.592174515</v>
      </c>
      <c r="BP36" s="1620">
        <f t="shared" si="31"/>
        <v>-19006777.200764503</v>
      </c>
      <c r="BQ36" s="1620">
        <f t="shared" si="31"/>
        <v>-26566950.441348128</v>
      </c>
      <c r="BR36" s="1620">
        <f t="shared" si="31"/>
        <v>-32305185.398598418</v>
      </c>
      <c r="BS36" s="1620">
        <f t="shared" si="31"/>
        <v>-35056029.014459819</v>
      </c>
      <c r="BT36" s="1620">
        <f t="shared" si="31"/>
        <v>-38419575.537821218</v>
      </c>
    </row>
    <row r="37" spans="1:72" ht="15.75" thickTop="1"/>
    <row r="38" spans="1:72">
      <c r="C38" s="1661">
        <f>C36-'Balance Sheet'!C7</f>
        <v>0</v>
      </c>
      <c r="D38" s="1586">
        <f>D36-'Balance Sheet'!D7</f>
        <v>0</v>
      </c>
      <c r="E38" s="1586">
        <f>E36-'Balance Sheet'!E7</f>
        <v>0</v>
      </c>
      <c r="F38" s="1586">
        <f>F36-'Balance Sheet'!F7</f>
        <v>0</v>
      </c>
      <c r="G38" s="1586">
        <f>G36-'Balance Sheet'!G7</f>
        <v>0</v>
      </c>
      <c r="H38" s="1586">
        <f>H36-'Balance Sheet'!H7</f>
        <v>0</v>
      </c>
      <c r="I38" s="1586">
        <f>I36-'Balance Sheet'!I7</f>
        <v>0</v>
      </c>
      <c r="J38" s="1586">
        <f>J36-'Balance Sheet'!J7</f>
        <v>-9.9999979138374329E-3</v>
      </c>
      <c r="K38" s="1586">
        <f>K36-'Balance Sheet'!K7</f>
        <v>-9.9999904632568359E-3</v>
      </c>
      <c r="L38" s="1660">
        <f>L36-'Balance Sheet'!L7</f>
        <v>0</v>
      </c>
      <c r="M38" s="1586">
        <f>M36-'Balance Sheet'!M7</f>
        <v>0</v>
      </c>
      <c r="N38" s="1586">
        <f>N36-'Balance Sheet'!N7</f>
        <v>0</v>
      </c>
      <c r="O38" s="1586">
        <f>O36-'Balance Sheet'!O7</f>
        <v>0</v>
      </c>
      <c r="P38" s="1586">
        <f>P36-'Balance Sheet'!P7</f>
        <v>0</v>
      </c>
      <c r="Q38" s="1586">
        <f>Q36-'Balance Sheet'!Q7</f>
        <v>0</v>
      </c>
      <c r="R38" s="1586">
        <f>R36-'Balance Sheet'!R7</f>
        <v>0</v>
      </c>
      <c r="S38" s="1586">
        <f>S36-'Balance Sheet'!S7</f>
        <v>0</v>
      </c>
      <c r="T38" s="1586">
        <f>T36-'Balance Sheet'!T7</f>
        <v>0</v>
      </c>
      <c r="U38" s="1586">
        <f>U36-'Balance Sheet'!U7</f>
        <v>0</v>
      </c>
      <c r="V38" s="1586">
        <f>V36-'Balance Sheet'!V7</f>
        <v>0</v>
      </c>
      <c r="W38" s="1586">
        <f>W36-'Balance Sheet'!W7</f>
        <v>3.7252902984619141E-9</v>
      </c>
      <c r="X38" s="1586">
        <f>X36-'Balance Sheet'!X7</f>
        <v>4.1909515857696533E-9</v>
      </c>
      <c r="Y38" s="1586">
        <f>Y36-'Balance Sheet'!Y7</f>
        <v>2.3283064365386963E-9</v>
      </c>
      <c r="Z38" s="1586">
        <f>Z36-'Balance Sheet'!Z7</f>
        <v>2.3283064365386963E-9</v>
      </c>
      <c r="AA38" s="1586">
        <f>AA36-'Balance Sheet'!AA7</f>
        <v>0</v>
      </c>
      <c r="AB38" s="1586">
        <f>AB36-'Balance Sheet'!AB7</f>
        <v>0</v>
      </c>
      <c r="AC38" s="1586">
        <f>AC36-'Balance Sheet'!AC7</f>
        <v>0</v>
      </c>
      <c r="AD38" s="1586">
        <f>AD36-'Balance Sheet'!AD7</f>
        <v>0</v>
      </c>
      <c r="AE38" s="1586">
        <f>AE36-'Balance Sheet'!AE7</f>
        <v>0</v>
      </c>
      <c r="AF38" s="1586">
        <f>AF36-'Balance Sheet'!AF7</f>
        <v>0</v>
      </c>
      <c r="AG38" s="1586">
        <f>AG36-'Balance Sheet'!AG7</f>
        <v>0</v>
      </c>
      <c r="AH38" s="1586">
        <f>AH36-'Balance Sheet'!AH7</f>
        <v>0</v>
      </c>
      <c r="AI38" s="1586">
        <f>AI36-'Balance Sheet'!AI7</f>
        <v>0</v>
      </c>
      <c r="AJ38" s="1586">
        <f>AJ36-'Balance Sheet'!AJ7</f>
        <v>0</v>
      </c>
      <c r="AK38" s="1586">
        <f>AK36-'Balance Sheet'!AK7</f>
        <v>0</v>
      </c>
      <c r="AL38" s="1586">
        <f>AL36-'Balance Sheet'!AL7</f>
        <v>0</v>
      </c>
      <c r="AM38" s="1586">
        <f>AM36-'Balance Sheet'!AM7</f>
        <v>0</v>
      </c>
      <c r="AN38" s="1586">
        <f>AN36-'Balance Sheet'!AN7</f>
        <v>0</v>
      </c>
      <c r="AO38" s="1586">
        <f>AO36-'Balance Sheet'!AO7</f>
        <v>0</v>
      </c>
      <c r="AP38" s="1586">
        <f>AP36-'Balance Sheet'!AP7</f>
        <v>0</v>
      </c>
      <c r="AQ38" s="1586">
        <f>AQ36-'Balance Sheet'!AQ7</f>
        <v>0</v>
      </c>
      <c r="AR38" s="1586">
        <f>AR36-'Balance Sheet'!AR7</f>
        <v>0</v>
      </c>
      <c r="AS38" s="1586">
        <f>AS36-'Balance Sheet'!AS7</f>
        <v>0</v>
      </c>
      <c r="AT38" s="1586">
        <f>AT36-'Balance Sheet'!AT7</f>
        <v>0</v>
      </c>
      <c r="AU38" s="1586">
        <f>AU36-'Balance Sheet'!AU7</f>
        <v>0</v>
      </c>
      <c r="AV38" s="1586">
        <f>AV36-'Balance Sheet'!AV7</f>
        <v>0</v>
      </c>
      <c r="AW38" s="1586">
        <f>AW36-'Balance Sheet'!AW7</f>
        <v>0</v>
      </c>
      <c r="AX38" s="1586">
        <f>AX36-'Balance Sheet'!AX7</f>
        <v>0</v>
      </c>
      <c r="AY38" s="1660"/>
      <c r="AZ38" s="1586">
        <f>AZ36-'Balance Sheet'!AZ7</f>
        <v>0</v>
      </c>
      <c r="BA38" s="1586">
        <f>BA36-'Balance Sheet'!BA7</f>
        <v>1.5133991837501526E-9</v>
      </c>
      <c r="BB38" s="1586">
        <f>BB36-'Balance Sheet'!BB7</f>
        <v>0</v>
      </c>
      <c r="BC38" s="1586">
        <f>BC36-'Balance Sheet'!BC7</f>
        <v>0</v>
      </c>
      <c r="BD38" s="1660"/>
      <c r="BE38" s="1586">
        <f>BE36-'Balance Sheet'!BE7</f>
        <v>0</v>
      </c>
      <c r="BF38" s="1586">
        <f>BF36-'Balance Sheet'!BF7</f>
        <v>0</v>
      </c>
      <c r="BG38" s="1586">
        <f>BG36-'Balance Sheet'!BG7</f>
        <v>-9.9999904632568359E-3</v>
      </c>
      <c r="BH38" s="1586">
        <f>BH36-'Balance Sheet'!BH7</f>
        <v>0</v>
      </c>
      <c r="BI38" s="1586">
        <f>BI36-'Balance Sheet'!BI7</f>
        <v>0</v>
      </c>
      <c r="BJ38" s="1586">
        <f>BJ36-'Balance Sheet'!BJ7</f>
        <v>0</v>
      </c>
      <c r="BK38" s="1586">
        <f>BK36-'Balance Sheet'!BK7</f>
        <v>4.6566128730773926E-9</v>
      </c>
      <c r="BL38" s="1586">
        <f>BL36-'Balance Sheet'!BL7</f>
        <v>2.9103830456733704E-9</v>
      </c>
      <c r="BM38" s="1586">
        <f>BM36-'Balance Sheet'!BM7</f>
        <v>0</v>
      </c>
      <c r="BN38" s="1586">
        <f>BN36-'Balance Sheet'!BN7</f>
        <v>0</v>
      </c>
      <c r="BO38" s="1586">
        <f>BO36-'Balance Sheet'!BO7</f>
        <v>0</v>
      </c>
      <c r="BP38" s="1586">
        <f>BP36-'Balance Sheet'!BP7</f>
        <v>0</v>
      </c>
      <c r="BQ38" s="1586">
        <f>BQ36-'Balance Sheet'!BQ7</f>
        <v>0</v>
      </c>
      <c r="BR38" s="1586">
        <f>BR36-'Balance Sheet'!BR7</f>
        <v>0</v>
      </c>
      <c r="BS38" s="1586">
        <f>BS36-'Balance Sheet'!BS7</f>
        <v>0</v>
      </c>
      <c r="BT38" s="1586">
        <f>BT36-'Balance Sheet'!BT7</f>
        <v>0</v>
      </c>
    </row>
    <row r="39" spans="1:72">
      <c r="C39" s="1659"/>
      <c r="D39" s="1659"/>
      <c r="E39" s="1659"/>
      <c r="F39" s="1659"/>
      <c r="G39" s="1659"/>
      <c r="H39" s="1659"/>
      <c r="I39" s="1659"/>
      <c r="J39" s="1659"/>
      <c r="K39" s="1659"/>
      <c r="L39" s="1659"/>
      <c r="M39" s="1659"/>
      <c r="N39" s="1659"/>
      <c r="O39" s="1659"/>
      <c r="P39" s="1659"/>
      <c r="Q39" s="1659"/>
      <c r="R39" s="1659"/>
      <c r="S39" s="1659"/>
      <c r="T39" s="1659"/>
      <c r="U39" s="1659"/>
      <c r="V39" s="1659"/>
      <c r="W39" s="1659"/>
      <c r="X39" s="1659"/>
      <c r="Y39" s="1659"/>
      <c r="Z39" s="1659"/>
      <c r="AA39" s="1659"/>
      <c r="AB39" s="1659"/>
      <c r="AC39" s="1659"/>
      <c r="AD39" s="1659"/>
      <c r="AE39" s="1659"/>
      <c r="AF39" s="1659"/>
      <c r="AG39" s="1659"/>
      <c r="AH39" s="1659"/>
      <c r="AI39" s="1659"/>
      <c r="AJ39" s="1659"/>
      <c r="AK39" s="1659"/>
      <c r="AL39" s="1659"/>
      <c r="AM39" s="1659"/>
      <c r="AN39" s="1659"/>
      <c r="AO39" s="1659"/>
      <c r="AP39" s="1659"/>
      <c r="AQ39" s="1659"/>
      <c r="AR39" s="1659"/>
      <c r="AS39" s="1659"/>
      <c r="AT39" s="1659"/>
      <c r="AU39" s="1659"/>
      <c r="AV39" s="1659"/>
      <c r="AW39" s="1659"/>
      <c r="AX39" s="1659"/>
      <c r="AY39" s="1659"/>
      <c r="AZ39" s="1659"/>
      <c r="BA39" s="1659"/>
      <c r="BB39" s="1659"/>
      <c r="BC39" s="1659"/>
      <c r="BD39" s="1659"/>
      <c r="BE39" s="1659"/>
      <c r="BF39" s="1659"/>
      <c r="BG39" s="1659"/>
      <c r="BH39" s="1659"/>
    </row>
    <row r="40" spans="1:72">
      <c r="C40" s="1659"/>
      <c r="D40" s="1659"/>
      <c r="E40" s="1659"/>
      <c r="F40" s="1659"/>
      <c r="G40" s="1659"/>
      <c r="H40" s="1659"/>
      <c r="I40" s="1660"/>
      <c r="J40" s="1659"/>
      <c r="K40" s="1659"/>
      <c r="L40" s="1659"/>
      <c r="M40" s="1659"/>
      <c r="N40" s="1659"/>
      <c r="O40" s="1659"/>
      <c r="P40" s="1659"/>
      <c r="Q40" s="1659"/>
      <c r="R40" s="1659"/>
      <c r="S40" s="1659"/>
      <c r="T40" s="1659"/>
      <c r="U40" s="1659"/>
      <c r="V40" s="1659"/>
      <c r="W40" s="1659"/>
      <c r="X40" s="1659"/>
      <c r="Y40" s="1659"/>
      <c r="Z40" s="1659"/>
      <c r="AA40" s="1659"/>
      <c r="AB40" s="1659"/>
      <c r="AC40" s="1659"/>
      <c r="AD40" s="1659"/>
      <c r="AE40" s="1659"/>
      <c r="AF40" s="1659"/>
      <c r="AG40" s="1659"/>
      <c r="AH40" s="1659"/>
      <c r="AI40" s="1659"/>
      <c r="AJ40" s="1659"/>
      <c r="AK40" s="1659"/>
      <c r="AL40" s="1659"/>
      <c r="AM40" s="1659"/>
      <c r="AN40" s="1659"/>
      <c r="AO40" s="1659"/>
      <c r="AP40" s="1659"/>
      <c r="AQ40" s="1659"/>
      <c r="AR40" s="1659"/>
      <c r="AS40" s="1659"/>
      <c r="AT40" s="1659"/>
      <c r="AU40" s="1659"/>
      <c r="AV40" s="1659"/>
      <c r="AW40" s="1659"/>
      <c r="AX40" s="1659"/>
      <c r="AY40" s="1659"/>
      <c r="AZ40" s="1659"/>
      <c r="BA40" s="1659"/>
      <c r="BB40" s="1659"/>
      <c r="BC40" s="1659"/>
      <c r="BD40" s="1659"/>
      <c r="BE40" s="1659"/>
      <c r="BF40" s="1659"/>
      <c r="BG40" s="1659"/>
      <c r="BH40" s="1659"/>
    </row>
    <row r="41" spans="1:72">
      <c r="C41" s="1639"/>
      <c r="I41" s="1586"/>
      <c r="K41" s="1639"/>
    </row>
    <row r="42" spans="1:72">
      <c r="C42" s="1639"/>
      <c r="D42" s="1639"/>
      <c r="E42" s="1639"/>
      <c r="F42" s="1639"/>
      <c r="G42" s="1639"/>
      <c r="H42" s="1639"/>
      <c r="I42" s="1639"/>
      <c r="J42" s="1639"/>
    </row>
    <row r="43" spans="1:72">
      <c r="D43" s="1639"/>
      <c r="E43" s="1639"/>
      <c r="F43" s="1639"/>
      <c r="G43" s="1639"/>
      <c r="H43" s="1639"/>
      <c r="I43" s="1639"/>
      <c r="J43" s="1639"/>
      <c r="K43" s="1639"/>
    </row>
    <row r="46" spans="1:72">
      <c r="C46" s="1639"/>
      <c r="D46" s="1639"/>
      <c r="E46" s="1639"/>
    </row>
    <row r="47" spans="1:72">
      <c r="E47" s="1639"/>
    </row>
  </sheetData>
  <mergeCells count="8">
    <mergeCell ref="BQ2:BT2"/>
    <mergeCell ref="BM2:BP2"/>
    <mergeCell ref="C2:N2"/>
    <mergeCell ref="O2:Z2"/>
    <mergeCell ref="AA2:AL2"/>
    <mergeCell ref="BE2:BH2"/>
    <mergeCell ref="BI2:BL2"/>
    <mergeCell ref="AM2:AX2"/>
  </mergeCells>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82">
    <tabColor rgb="FFFFFFCC"/>
    <pageSetUpPr fitToPage="1"/>
  </sheetPr>
  <dimension ref="A3:R289"/>
  <sheetViews>
    <sheetView showGridLines="0" workbookViewId="0">
      <selection activeCell="L14" sqref="L14"/>
    </sheetView>
  </sheetViews>
  <sheetFormatPr defaultRowHeight="15"/>
  <cols>
    <col min="1" max="1" width="31.83203125" style="1549" customWidth="1"/>
    <col min="2" max="2" width="0.1640625" style="1549" customWidth="1"/>
    <col min="3" max="5" width="12.83203125" style="1549" customWidth="1"/>
    <col min="6" max="6" width="0.1640625" style="1549" customWidth="1"/>
    <col min="7" max="9" width="12.83203125" style="1549" customWidth="1"/>
    <col min="10" max="10" width="0.1640625" style="1549" customWidth="1"/>
    <col min="11" max="13" width="12.83203125" style="1549" customWidth="1"/>
    <col min="14" max="14" width="0.1640625" style="1549" customWidth="1"/>
    <col min="15" max="15" width="9.33203125" style="1549"/>
    <col min="16" max="16" width="12.83203125" style="1549" bestFit="1" customWidth="1"/>
    <col min="17" max="16384" width="9.33203125" style="1549"/>
  </cols>
  <sheetData>
    <row r="3" spans="1:18">
      <c r="B3" s="1577"/>
      <c r="C3" s="2217" t="s">
        <v>3321</v>
      </c>
      <c r="D3" s="2217"/>
      <c r="E3" s="2217"/>
      <c r="F3" s="2217"/>
      <c r="G3" s="2217"/>
      <c r="H3" s="2217"/>
      <c r="I3" s="2217"/>
      <c r="J3" s="2217"/>
      <c r="K3" s="2217"/>
      <c r="L3" s="2217"/>
      <c r="M3" s="2217"/>
      <c r="N3" s="1577"/>
    </row>
    <row r="4" spans="1:18">
      <c r="B4" s="1577"/>
      <c r="C4" s="2217" t="s">
        <v>3322</v>
      </c>
      <c r="D4" s="2217"/>
      <c r="E4" s="2217"/>
      <c r="F4" s="2217"/>
      <c r="G4" s="2217"/>
      <c r="H4" s="2217"/>
      <c r="I4" s="2217"/>
      <c r="J4" s="2217"/>
      <c r="K4" s="2217"/>
      <c r="L4" s="2217"/>
      <c r="M4" s="2217"/>
      <c r="N4" s="1577"/>
    </row>
    <row r="5" spans="1:18">
      <c r="B5" s="1577"/>
      <c r="C5" s="2217" t="s">
        <v>3323</v>
      </c>
      <c r="D5" s="2217"/>
      <c r="E5" s="2217"/>
      <c r="F5" s="2217"/>
      <c r="G5" s="2217"/>
      <c r="H5" s="2217"/>
      <c r="I5" s="2217"/>
      <c r="J5" s="2217"/>
      <c r="K5" s="2217"/>
      <c r="L5" s="2217"/>
      <c r="M5" s="2217"/>
      <c r="N5" s="1577"/>
    </row>
    <row r="6" spans="1:18">
      <c r="B6" s="1577"/>
      <c r="C6" s="2217" t="s">
        <v>3324</v>
      </c>
      <c r="D6" s="2217"/>
      <c r="E6" s="2217"/>
      <c r="F6" s="2217"/>
      <c r="G6" s="2217"/>
      <c r="H6" s="2217"/>
      <c r="I6" s="2217"/>
      <c r="J6" s="2217"/>
      <c r="K6" s="2217"/>
      <c r="L6" s="2217"/>
      <c r="M6" s="2217"/>
      <c r="N6" s="1577"/>
    </row>
    <row r="7" spans="1:18">
      <c r="A7" s="1578"/>
      <c r="B7" s="1578"/>
      <c r="C7" s="1578"/>
      <c r="D7" s="1578"/>
      <c r="E7" s="1578"/>
      <c r="F7" s="1578"/>
      <c r="G7" s="1578"/>
      <c r="H7" s="1578"/>
      <c r="I7" s="1578"/>
      <c r="J7" s="1578"/>
      <c r="K7" s="1578"/>
      <c r="N7" s="1578"/>
    </row>
    <row r="8" spans="1:18">
      <c r="A8" s="1579"/>
      <c r="B8" s="1579"/>
      <c r="C8" s="2218" t="s">
        <v>3325</v>
      </c>
      <c r="D8" s="2218"/>
      <c r="E8" s="2218"/>
      <c r="F8" s="1579"/>
      <c r="G8" s="2218" t="s">
        <v>3326</v>
      </c>
      <c r="H8" s="2218"/>
      <c r="I8" s="2218"/>
      <c r="J8" s="1579"/>
      <c r="K8" s="2219" t="s">
        <v>3327</v>
      </c>
      <c r="L8" s="2219"/>
      <c r="M8" s="2219"/>
      <c r="N8" s="1579"/>
    </row>
    <row r="9" spans="1:18">
      <c r="A9" s="1580"/>
      <c r="B9" s="1580"/>
      <c r="C9" s="1581" t="s">
        <v>3328</v>
      </c>
      <c r="D9" s="1581" t="s">
        <v>690</v>
      </c>
      <c r="E9" s="1581" t="s">
        <v>104</v>
      </c>
      <c r="F9" s="1580"/>
      <c r="G9" s="1581" t="s">
        <v>3328</v>
      </c>
      <c r="H9" s="1581" t="s">
        <v>690</v>
      </c>
      <c r="I9" s="1581" t="s">
        <v>104</v>
      </c>
      <c r="J9" s="1580"/>
      <c r="K9" s="1582" t="s">
        <v>3328</v>
      </c>
      <c r="L9" s="1582" t="s">
        <v>690</v>
      </c>
      <c r="M9" s="1582" t="s">
        <v>104</v>
      </c>
      <c r="N9" s="1580"/>
    </row>
    <row r="10" spans="1:18">
      <c r="A10" s="1583" t="s">
        <v>3329</v>
      </c>
      <c r="B10" s="1584"/>
      <c r="C10" s="1585">
        <v>32.587990000000005</v>
      </c>
      <c r="D10" s="1585">
        <v>50.927900000000001</v>
      </c>
      <c r="E10" s="1585">
        <f>D10-C10</f>
        <v>18.339909999999996</v>
      </c>
      <c r="F10" s="1584"/>
      <c r="G10" s="1585">
        <v>112.76397000000001</v>
      </c>
      <c r="H10" s="1585">
        <v>50.927900000000001</v>
      </c>
      <c r="I10" s="1585">
        <f>H10-G10</f>
        <v>-61.836070000000014</v>
      </c>
      <c r="J10" s="1584"/>
      <c r="K10" s="1585">
        <v>386.03695999999997</v>
      </c>
      <c r="L10" s="1585">
        <v>278.07702</v>
      </c>
      <c r="M10" s="1585">
        <f>L10-K10</f>
        <v>-107.95993999999996</v>
      </c>
      <c r="N10" s="1584"/>
      <c r="O10" s="1586"/>
      <c r="P10" s="1586"/>
      <c r="Q10" s="1586"/>
    </row>
    <row r="11" spans="1:18">
      <c r="A11" s="1583" t="s">
        <v>3330</v>
      </c>
      <c r="B11" s="1584"/>
      <c r="C11" s="1587">
        <v>26.882159999999999</v>
      </c>
      <c r="D11" s="1587">
        <v>0</v>
      </c>
      <c r="E11" s="1587">
        <f>C11-D11</f>
        <v>26.882159999999999</v>
      </c>
      <c r="F11" s="1584"/>
      <c r="G11" s="1587">
        <v>90.646480000000011</v>
      </c>
      <c r="H11" s="1587">
        <v>0</v>
      </c>
      <c r="I11" s="1587">
        <f>G11-H11</f>
        <v>90.646480000000011</v>
      </c>
      <c r="J11" s="1584"/>
      <c r="K11" s="1587">
        <v>117.52864000000001</v>
      </c>
      <c r="L11" s="1587">
        <v>55.111739999999998</v>
      </c>
      <c r="M11" s="1587">
        <f>K11-L11</f>
        <v>62.416900000000012</v>
      </c>
      <c r="N11" s="1584"/>
      <c r="O11" s="1586"/>
      <c r="P11" s="1586"/>
      <c r="Q11" s="1586"/>
    </row>
    <row r="12" spans="1:18">
      <c r="A12" s="1583" t="s">
        <v>3331</v>
      </c>
      <c r="B12" s="1584"/>
      <c r="C12" s="1588">
        <f>C10-C11</f>
        <v>5.705830000000006</v>
      </c>
      <c r="D12" s="1588">
        <f>D10-D11</f>
        <v>50.927900000000001</v>
      </c>
      <c r="E12" s="1588">
        <f>-E10-E11</f>
        <v>-45.222069999999995</v>
      </c>
      <c r="F12" s="1584"/>
      <c r="G12" s="1588">
        <f>G10-G11</f>
        <v>22.117490000000004</v>
      </c>
      <c r="H12" s="1588">
        <f>H10-H11</f>
        <v>50.927900000000001</v>
      </c>
      <c r="I12" s="1588">
        <f>-I10-I11</f>
        <v>-28.810409999999997</v>
      </c>
      <c r="J12" s="1584"/>
      <c r="K12" s="1588">
        <f>K10-K11</f>
        <v>268.50831999999997</v>
      </c>
      <c r="L12" s="1588">
        <f>L10-L11</f>
        <v>222.96528000000001</v>
      </c>
      <c r="M12" s="1588">
        <f>-M10-M11</f>
        <v>45.543039999999948</v>
      </c>
      <c r="N12" s="1584"/>
      <c r="O12" s="1586"/>
      <c r="P12" s="1586"/>
      <c r="Q12" s="1586"/>
      <c r="R12" s="1589"/>
    </row>
    <row r="13" spans="1:18">
      <c r="A13" s="1583" t="s">
        <v>3332</v>
      </c>
      <c r="B13" s="1584"/>
      <c r="C13" s="1586"/>
      <c r="D13" s="1586"/>
      <c r="E13" s="1586"/>
      <c r="F13" s="1584"/>
      <c r="G13" s="1586"/>
      <c r="H13" s="1586"/>
      <c r="I13" s="1586"/>
      <c r="J13" s="1584"/>
      <c r="K13" s="1586"/>
      <c r="L13" s="1586"/>
      <c r="M13" s="1586"/>
      <c r="N13" s="1584"/>
      <c r="O13" s="1586"/>
      <c r="P13" s="1586"/>
      <c r="Q13" s="1586"/>
    </row>
    <row r="14" spans="1:18">
      <c r="A14" s="1583" t="s">
        <v>3333</v>
      </c>
      <c r="B14" s="1584"/>
      <c r="C14" s="1586">
        <v>518.41755038888891</v>
      </c>
      <c r="D14" s="1586">
        <v>397.24579999999997</v>
      </c>
      <c r="E14" s="1586">
        <f>C14-D14</f>
        <v>121.17175038888894</v>
      </c>
      <c r="F14" s="1584"/>
      <c r="G14" s="1586">
        <v>1511.8526511666669</v>
      </c>
      <c r="H14" s="1586">
        <v>1228.6856699999998</v>
      </c>
      <c r="I14" s="1586">
        <f>G14-H14</f>
        <v>283.16698116666703</v>
      </c>
      <c r="J14" s="1584"/>
      <c r="K14" s="1586">
        <v>5038.6342782222218</v>
      </c>
      <c r="L14" s="1586">
        <v>4714.6403599999994</v>
      </c>
      <c r="M14" s="1586">
        <f>K14-L14</f>
        <v>323.99391822222242</v>
      </c>
      <c r="N14" s="1584"/>
      <c r="O14" s="1586"/>
      <c r="P14" s="1586"/>
      <c r="Q14" s="1586"/>
    </row>
    <row r="15" spans="1:18">
      <c r="A15" s="1583" t="s">
        <v>3334</v>
      </c>
      <c r="B15" s="1584"/>
      <c r="C15" s="1586">
        <v>205.07966999999999</v>
      </c>
      <c r="D15" s="1586">
        <v>194.97094000000001</v>
      </c>
      <c r="E15" s="1586">
        <f t="shared" ref="E15:E22" si="0">C15-D15</f>
        <v>10.10872999999998</v>
      </c>
      <c r="F15" s="1584"/>
      <c r="G15" s="1586">
        <v>591.98901000000001</v>
      </c>
      <c r="H15" s="1586">
        <v>630.41075000000001</v>
      </c>
      <c r="I15" s="1586">
        <f t="shared" ref="I15:I22" si="1">G15-H15</f>
        <v>-38.42174</v>
      </c>
      <c r="J15" s="1584"/>
      <c r="K15" s="1586">
        <v>1105.2868099999998</v>
      </c>
      <c r="L15" s="1586">
        <v>968.90239000000008</v>
      </c>
      <c r="M15" s="1586">
        <f t="shared" ref="M15:M22" si="2">K15-L15</f>
        <v>136.38441999999975</v>
      </c>
      <c r="N15" s="1584"/>
      <c r="O15" s="1586"/>
      <c r="P15" s="1586"/>
      <c r="Q15" s="1586"/>
    </row>
    <row r="16" spans="1:18">
      <c r="A16" s="1583" t="s">
        <v>3335</v>
      </c>
      <c r="B16" s="1584"/>
      <c r="C16" s="1586">
        <v>143.27166666666665</v>
      </c>
      <c r="D16" s="1586">
        <v>93.591030000000003</v>
      </c>
      <c r="E16" s="1586">
        <f t="shared" si="0"/>
        <v>49.680636666666643</v>
      </c>
      <c r="F16" s="1584"/>
      <c r="G16" s="1586">
        <v>398.815</v>
      </c>
      <c r="H16" s="1586">
        <v>365.96413999999999</v>
      </c>
      <c r="I16" s="1586">
        <f t="shared" si="1"/>
        <v>32.850860000000011</v>
      </c>
      <c r="J16" s="1584"/>
      <c r="K16" s="1586">
        <v>1340.2395666666669</v>
      </c>
      <c r="L16" s="1586">
        <v>1240.07719</v>
      </c>
      <c r="M16" s="1586">
        <f t="shared" si="2"/>
        <v>100.16237666666689</v>
      </c>
      <c r="N16" s="1584"/>
      <c r="O16" s="1586"/>
      <c r="P16" s="1586"/>
      <c r="Q16" s="1586"/>
    </row>
    <row r="17" spans="1:17">
      <c r="A17" s="1583" t="s">
        <v>3336</v>
      </c>
      <c r="B17" s="1584"/>
      <c r="C17" s="1586">
        <v>73.45</v>
      </c>
      <c r="D17" s="1586">
        <v>24.176159999999999</v>
      </c>
      <c r="E17" s="1586">
        <f t="shared" si="0"/>
        <v>49.273840000000007</v>
      </c>
      <c r="F17" s="1584"/>
      <c r="G17" s="1586">
        <v>183.65</v>
      </c>
      <c r="H17" s="1586">
        <v>64.676389999999998</v>
      </c>
      <c r="I17" s="1586">
        <f t="shared" si="1"/>
        <v>118.97361000000001</v>
      </c>
      <c r="J17" s="1584"/>
      <c r="K17" s="1586">
        <v>331.47663</v>
      </c>
      <c r="L17" s="1586">
        <v>180.67102</v>
      </c>
      <c r="M17" s="1586">
        <f t="shared" si="2"/>
        <v>150.80561</v>
      </c>
      <c r="N17" s="1584"/>
      <c r="O17" s="1586"/>
      <c r="P17" s="1586"/>
      <c r="Q17" s="1586"/>
    </row>
    <row r="18" spans="1:17">
      <c r="A18" s="1583" t="s">
        <v>3337</v>
      </c>
      <c r="B18" s="1584"/>
      <c r="C18" s="1586">
        <v>11.6</v>
      </c>
      <c r="D18" s="1586">
        <v>0</v>
      </c>
      <c r="E18" s="1586">
        <f t="shared" si="0"/>
        <v>11.6</v>
      </c>
      <c r="F18" s="1584"/>
      <c r="G18" s="1586">
        <v>35.700000000000003</v>
      </c>
      <c r="H18" s="1586">
        <v>6.7837500000000004</v>
      </c>
      <c r="I18" s="1586">
        <f t="shared" si="1"/>
        <v>28.916250000000002</v>
      </c>
      <c r="J18" s="1584"/>
      <c r="K18" s="1586">
        <v>101.87523999999999</v>
      </c>
      <c r="L18" s="1586">
        <v>61.358989999999999</v>
      </c>
      <c r="M18" s="1586">
        <f t="shared" si="2"/>
        <v>40.516249999999992</v>
      </c>
      <c r="N18" s="1584"/>
      <c r="O18" s="1586"/>
      <c r="P18" s="1586"/>
      <c r="Q18" s="1586"/>
    </row>
    <row r="19" spans="1:17">
      <c r="A19" s="1583" t="s">
        <v>3338</v>
      </c>
      <c r="B19" s="1584"/>
      <c r="C19" s="1586">
        <v>39</v>
      </c>
      <c r="D19" s="1586">
        <v>0</v>
      </c>
      <c r="E19" s="1586">
        <f t="shared" si="0"/>
        <v>39</v>
      </c>
      <c r="F19" s="1584"/>
      <c r="G19" s="1586">
        <v>57.5</v>
      </c>
      <c r="H19" s="1586">
        <v>1.3065</v>
      </c>
      <c r="I19" s="1586">
        <f t="shared" si="1"/>
        <v>56.1935</v>
      </c>
      <c r="J19" s="1584"/>
      <c r="K19" s="1586">
        <v>125.61341</v>
      </c>
      <c r="L19" s="1586">
        <v>58.919910000000002</v>
      </c>
      <c r="M19" s="1586">
        <f t="shared" si="2"/>
        <v>66.6935</v>
      </c>
      <c r="N19" s="1584"/>
      <c r="O19" s="1586"/>
      <c r="P19" s="1586"/>
      <c r="Q19" s="1586"/>
    </row>
    <row r="20" spans="1:17">
      <c r="A20" s="1583" t="s">
        <v>3339</v>
      </c>
      <c r="B20" s="1584"/>
      <c r="C20" s="1586">
        <v>234.89549277777775</v>
      </c>
      <c r="D20" s="1586">
        <v>189.38129000000001</v>
      </c>
      <c r="E20" s="1586">
        <f t="shared" si="0"/>
        <v>45.51420277777774</v>
      </c>
      <c r="F20" s="1584"/>
      <c r="G20" s="1586">
        <v>982.00175611111115</v>
      </c>
      <c r="H20" s="1586">
        <v>1479.2742800000001</v>
      </c>
      <c r="I20" s="1586">
        <f t="shared" si="1"/>
        <v>-497.27252388888894</v>
      </c>
      <c r="J20" s="1584"/>
      <c r="K20" s="1586">
        <v>3155.1506622222228</v>
      </c>
      <c r="L20" s="1586">
        <v>3576.8153999999995</v>
      </c>
      <c r="M20" s="1586">
        <f t="shared" si="2"/>
        <v>-421.66473777777674</v>
      </c>
      <c r="N20" s="1584"/>
      <c r="O20" s="1586"/>
      <c r="P20" s="1586"/>
      <c r="Q20" s="1586"/>
    </row>
    <row r="21" spans="1:17">
      <c r="A21" s="1583" t="s">
        <v>3340</v>
      </c>
      <c r="B21" s="1584"/>
      <c r="C21" s="1586">
        <v>76.095555555555549</v>
      </c>
      <c r="D21" s="1586">
        <v>25.13523</v>
      </c>
      <c r="E21" s="1586">
        <f t="shared" si="0"/>
        <v>50.960325555555549</v>
      </c>
      <c r="F21" s="1584"/>
      <c r="G21" s="1586">
        <v>245.68111111111114</v>
      </c>
      <c r="H21" s="1586">
        <v>176.09437000000003</v>
      </c>
      <c r="I21" s="1586">
        <f t="shared" si="1"/>
        <v>69.58674111111111</v>
      </c>
      <c r="J21" s="1584"/>
      <c r="K21" s="1586">
        <v>601.34542444444435</v>
      </c>
      <c r="L21" s="1586">
        <v>538.31447000000003</v>
      </c>
      <c r="M21" s="1586">
        <f t="shared" si="2"/>
        <v>63.030954444444319</v>
      </c>
      <c r="N21" s="1584"/>
      <c r="O21" s="1586"/>
      <c r="P21" s="1586"/>
      <c r="Q21" s="1586"/>
    </row>
    <row r="22" spans="1:17">
      <c r="A22" s="1583" t="s">
        <v>3341</v>
      </c>
      <c r="B22" s="1584"/>
      <c r="C22" s="1586">
        <v>2</v>
      </c>
      <c r="D22" s="1586">
        <v>0</v>
      </c>
      <c r="E22" s="1586">
        <f t="shared" si="0"/>
        <v>2</v>
      </c>
      <c r="F22" s="1584"/>
      <c r="G22" s="1586">
        <v>6</v>
      </c>
      <c r="H22" s="1586">
        <v>0</v>
      </c>
      <c r="I22" s="1586">
        <f t="shared" si="1"/>
        <v>6</v>
      </c>
      <c r="J22" s="1584"/>
      <c r="K22" s="1586">
        <v>14.012499999999999</v>
      </c>
      <c r="L22" s="1586">
        <v>6.0125000000000002</v>
      </c>
      <c r="M22" s="1586">
        <f t="shared" si="2"/>
        <v>7.9999999999999991</v>
      </c>
      <c r="N22" s="1584"/>
      <c r="O22" s="1586"/>
      <c r="P22" s="1586"/>
      <c r="Q22" s="1586"/>
    </row>
    <row r="23" spans="1:17">
      <c r="A23" s="1583" t="s">
        <v>3342</v>
      </c>
      <c r="B23" s="1584"/>
      <c r="C23" s="1586">
        <v>0</v>
      </c>
      <c r="D23" s="1586">
        <v>8.9878099999999996</v>
      </c>
      <c r="E23" s="1586">
        <f>C23-D23</f>
        <v>-8.9878099999999996</v>
      </c>
      <c r="F23" s="1584"/>
      <c r="G23" s="1586">
        <v>0</v>
      </c>
      <c r="H23" s="1586">
        <v>37.493900000000004</v>
      </c>
      <c r="I23" s="1586">
        <f>G23-H23</f>
        <v>-37.493900000000004</v>
      </c>
      <c r="J23" s="1584"/>
      <c r="K23" s="1586">
        <v>210.00662</v>
      </c>
      <c r="L23" s="1586">
        <v>211.27327</v>
      </c>
      <c r="M23" s="1586">
        <f>K23-L23</f>
        <v>-1.2666499999999985</v>
      </c>
      <c r="N23" s="1584"/>
      <c r="O23" s="1586"/>
      <c r="P23" s="1586"/>
      <c r="Q23" s="1586"/>
    </row>
    <row r="24" spans="1:17">
      <c r="A24" s="1583" t="s">
        <v>3343</v>
      </c>
      <c r="B24" s="1584"/>
      <c r="C24" s="1586">
        <v>643.221</v>
      </c>
      <c r="D24" s="1586">
        <v>41.836030000000001</v>
      </c>
      <c r="E24" s="1586">
        <f>C24-D24</f>
        <v>601.38496999999995</v>
      </c>
      <c r="F24" s="1584"/>
      <c r="G24" s="1586">
        <v>838.66300000000001</v>
      </c>
      <c r="H24" s="1586">
        <v>192.58213000000001</v>
      </c>
      <c r="I24" s="1586">
        <f>G24-H24</f>
        <v>646.08087</v>
      </c>
      <c r="J24" s="1584"/>
      <c r="K24" s="1586">
        <v>2051.7649999999999</v>
      </c>
      <c r="L24" s="1586">
        <v>1564.0882999999999</v>
      </c>
      <c r="M24" s="1586">
        <f>K24-L24</f>
        <v>487.67669999999998</v>
      </c>
      <c r="N24" s="1584"/>
      <c r="O24" s="1586"/>
      <c r="P24" s="1586"/>
      <c r="Q24" s="1586"/>
    </row>
    <row r="25" spans="1:17" hidden="1">
      <c r="A25" s="1583" t="s">
        <v>3344</v>
      </c>
      <c r="B25" s="1584"/>
      <c r="C25" s="1586">
        <v>0</v>
      </c>
      <c r="D25" s="1586">
        <v>0</v>
      </c>
      <c r="E25" s="1586">
        <f>C25-D25</f>
        <v>0</v>
      </c>
      <c r="F25" s="1584"/>
      <c r="G25" s="1586">
        <v>0</v>
      </c>
      <c r="H25" s="1586">
        <v>0</v>
      </c>
      <c r="I25" s="1586">
        <f>G25-H25</f>
        <v>0</v>
      </c>
      <c r="J25" s="1584"/>
      <c r="K25" s="1586">
        <v>0</v>
      </c>
      <c r="L25" s="1586">
        <v>0</v>
      </c>
      <c r="M25" s="1586">
        <f>K25-L25</f>
        <v>0</v>
      </c>
      <c r="N25" s="1584"/>
      <c r="O25" s="1586"/>
      <c r="P25" s="1586"/>
      <c r="Q25" s="1586"/>
    </row>
    <row r="26" spans="1:17">
      <c r="A26" s="1583" t="s">
        <v>3345</v>
      </c>
      <c r="B26" s="1584"/>
      <c r="C26" s="1586">
        <v>70.45</v>
      </c>
      <c r="D26" s="1586">
        <v>0</v>
      </c>
      <c r="E26" s="1586">
        <f t="shared" ref="E26:E28" si="3">C26-D26</f>
        <v>70.45</v>
      </c>
      <c r="F26" s="1584"/>
      <c r="G26" s="1586">
        <v>221.35</v>
      </c>
      <c r="H26" s="1586">
        <v>0</v>
      </c>
      <c r="I26" s="1586">
        <f t="shared" ref="I26:I28" si="4">G26-H26</f>
        <v>221.35</v>
      </c>
      <c r="J26" s="1584"/>
      <c r="K26" s="1586">
        <v>241.35</v>
      </c>
      <c r="L26" s="1586">
        <v>0</v>
      </c>
      <c r="M26" s="1586">
        <f t="shared" ref="M26:M28" si="5">K26-L26</f>
        <v>241.35</v>
      </c>
      <c r="N26" s="1584"/>
      <c r="O26" s="1586"/>
      <c r="P26" s="1586"/>
      <c r="Q26" s="1586"/>
    </row>
    <row r="27" spans="1:17" hidden="1">
      <c r="A27" s="1583" t="s">
        <v>3346</v>
      </c>
      <c r="B27" s="1584"/>
      <c r="C27" s="1586">
        <v>0</v>
      </c>
      <c r="D27" s="1586">
        <v>0</v>
      </c>
      <c r="E27" s="1586">
        <f t="shared" si="3"/>
        <v>0</v>
      </c>
      <c r="F27" s="1584"/>
      <c r="G27" s="1586">
        <v>0</v>
      </c>
      <c r="H27" s="1586">
        <v>0</v>
      </c>
      <c r="I27" s="1586">
        <f t="shared" si="4"/>
        <v>0</v>
      </c>
      <c r="J27" s="1584"/>
      <c r="K27" s="1586">
        <v>0</v>
      </c>
      <c r="L27" s="1586">
        <v>0</v>
      </c>
      <c r="M27" s="1586">
        <f t="shared" si="5"/>
        <v>0</v>
      </c>
      <c r="N27" s="1584"/>
      <c r="O27" s="1586"/>
      <c r="P27" s="1586"/>
      <c r="Q27" s="1586"/>
    </row>
    <row r="28" spans="1:17" hidden="1">
      <c r="A28" s="1583" t="s">
        <v>3347</v>
      </c>
      <c r="B28" s="1584"/>
      <c r="C28" s="1586">
        <v>0</v>
      </c>
      <c r="D28" s="1586"/>
      <c r="E28" s="1586">
        <f t="shared" si="3"/>
        <v>0</v>
      </c>
      <c r="F28" s="1584"/>
      <c r="G28" s="1586">
        <v>0</v>
      </c>
      <c r="H28" s="1586">
        <v>0</v>
      </c>
      <c r="I28" s="1586">
        <f t="shared" si="4"/>
        <v>0</v>
      </c>
      <c r="J28" s="1584"/>
      <c r="K28" s="1586">
        <v>0</v>
      </c>
      <c r="L28" s="1586">
        <v>0</v>
      </c>
      <c r="M28" s="1586">
        <f t="shared" si="5"/>
        <v>0</v>
      </c>
      <c r="N28" s="1584"/>
      <c r="O28" s="1586"/>
      <c r="P28" s="1586"/>
      <c r="Q28" s="1586"/>
    </row>
    <row r="29" spans="1:17">
      <c r="A29" s="1583" t="s">
        <v>3348</v>
      </c>
      <c r="B29" s="1584"/>
      <c r="C29" s="1587">
        <v>28.05</v>
      </c>
      <c r="D29" s="1587">
        <v>3.3005</v>
      </c>
      <c r="E29" s="1587">
        <f>C29-D29</f>
        <v>24.749500000000001</v>
      </c>
      <c r="F29" s="1584"/>
      <c r="G29" s="1587">
        <v>71.45</v>
      </c>
      <c r="H29" s="1587">
        <v>15.227939999999998</v>
      </c>
      <c r="I29" s="1587">
        <f>G29-H29</f>
        <v>56.222060000000006</v>
      </c>
      <c r="J29" s="1584"/>
      <c r="K29" s="1587">
        <v>242.73656</v>
      </c>
      <c r="L29" s="1587">
        <v>77.75509000000001</v>
      </c>
      <c r="M29" s="1587">
        <f>K29-L29</f>
        <v>164.98147</v>
      </c>
      <c r="N29" s="1584"/>
      <c r="O29" s="1586"/>
      <c r="P29" s="1586"/>
      <c r="Q29" s="1586"/>
    </row>
    <row r="30" spans="1:17">
      <c r="A30" s="1583" t="s">
        <v>3349</v>
      </c>
      <c r="B30" s="1584"/>
      <c r="C30" s="1588">
        <f>SUM(C14:C29)</f>
        <v>2045.530935388889</v>
      </c>
      <c r="D30" s="1588">
        <f>SUM(D14:D29)</f>
        <v>978.62479000000008</v>
      </c>
      <c r="E30" s="1588">
        <f>SUM(E14:E29)</f>
        <v>1066.9061453888887</v>
      </c>
      <c r="F30" s="1584"/>
      <c r="G30" s="1588">
        <f>SUM(G14:G29)</f>
        <v>5144.6525283888896</v>
      </c>
      <c r="H30" s="1588">
        <f>SUM(H14:H29)</f>
        <v>4198.49982</v>
      </c>
      <c r="I30" s="1588">
        <f>SUM(I14:I29)</f>
        <v>946.15270838888921</v>
      </c>
      <c r="J30" s="1584"/>
      <c r="K30" s="1588">
        <f>SUM(K14:K29)</f>
        <v>14559.492701555555</v>
      </c>
      <c r="L30" s="1588">
        <f>SUM(L14:L29)</f>
        <v>13198.828889999999</v>
      </c>
      <c r="M30" s="1588">
        <f>SUM(M14:M29)</f>
        <v>1360.6638115555565</v>
      </c>
      <c r="N30" s="1584"/>
      <c r="O30" s="1586"/>
      <c r="P30" s="1586"/>
      <c r="Q30" s="1586"/>
    </row>
    <row r="31" spans="1:17">
      <c r="A31" s="1583" t="s">
        <v>173</v>
      </c>
      <c r="B31" s="1584"/>
      <c r="C31" s="1586">
        <f>C12-C30</f>
        <v>-2039.8251053888889</v>
      </c>
      <c r="D31" s="1586">
        <f>D12-D30</f>
        <v>-927.69689000000005</v>
      </c>
      <c r="E31" s="1586">
        <f>E12-E30</f>
        <v>-1112.1282153888887</v>
      </c>
      <c r="F31" s="1584"/>
      <c r="G31" s="1586">
        <f>G12-G30</f>
        <v>-5122.5350383888899</v>
      </c>
      <c r="H31" s="1586">
        <f>H12-H30</f>
        <v>-4147.5719200000003</v>
      </c>
      <c r="I31" s="1586">
        <f>I12-I30</f>
        <v>-974.96311838888926</v>
      </c>
      <c r="J31" s="1584"/>
      <c r="K31" s="1586">
        <f>K12-K30</f>
        <v>-14290.984381555554</v>
      </c>
      <c r="L31" s="1586">
        <f>L12-L30</f>
        <v>-12975.863609999999</v>
      </c>
      <c r="M31" s="1586">
        <f>M12-M30</f>
        <v>-1315.1207715555565</v>
      </c>
      <c r="N31" s="1584"/>
      <c r="O31" s="1586"/>
      <c r="P31" s="1586"/>
      <c r="Q31" s="1586"/>
    </row>
    <row r="32" spans="1:17">
      <c r="A32" s="1583" t="s">
        <v>3350</v>
      </c>
      <c r="B32" s="1584"/>
      <c r="C32" s="1586"/>
      <c r="D32" s="1586"/>
      <c r="E32" s="1586"/>
      <c r="F32" s="1584"/>
      <c r="G32" s="1586"/>
      <c r="H32" s="1586"/>
      <c r="I32" s="1586"/>
      <c r="J32" s="1584"/>
      <c r="K32" s="1586"/>
      <c r="L32" s="1586"/>
      <c r="M32" s="1586"/>
      <c r="N32" s="1584"/>
      <c r="O32" s="1586"/>
      <c r="P32" s="1586"/>
      <c r="Q32" s="1586"/>
    </row>
    <row r="33" spans="1:17">
      <c r="A33" s="1583" t="s">
        <v>3351</v>
      </c>
      <c r="B33" s="1584"/>
      <c r="C33" s="1586">
        <v>0</v>
      </c>
      <c r="D33" s="1586">
        <v>25.669130000000003</v>
      </c>
      <c r="E33" s="1586">
        <f>C33-D33</f>
        <v>-25.669130000000003</v>
      </c>
      <c r="F33" s="1584"/>
      <c r="G33" s="1586">
        <v>0</v>
      </c>
      <c r="H33" s="1586">
        <v>81.402180000000001</v>
      </c>
      <c r="I33" s="1586">
        <f>G33-H33</f>
        <v>-81.402180000000001</v>
      </c>
      <c r="J33" s="1584"/>
      <c r="K33" s="1586">
        <v>224.36096000000003</v>
      </c>
      <c r="L33" s="1586">
        <v>332.86295000000001</v>
      </c>
      <c r="M33" s="1586">
        <f>K33-L33</f>
        <v>-108.50198999999998</v>
      </c>
      <c r="N33" s="1584"/>
      <c r="O33" s="1586"/>
      <c r="P33" s="1586"/>
      <c r="Q33" s="1586"/>
    </row>
    <row r="34" spans="1:17">
      <c r="A34" s="1583" t="s">
        <v>3352</v>
      </c>
      <c r="B34" s="1584"/>
      <c r="C34" s="1586">
        <v>-49.420390634920636</v>
      </c>
      <c r="D34" s="1586">
        <v>-43.91771</v>
      </c>
      <c r="E34" s="1586">
        <f t="shared" ref="E34:E35" si="6">C34-D34</f>
        <v>-5.5026806349206367</v>
      </c>
      <c r="F34" s="1584"/>
      <c r="G34" s="1586">
        <v>-147.09450523809525</v>
      </c>
      <c r="H34" s="1586">
        <v>-127.14535999999998</v>
      </c>
      <c r="I34" s="1586">
        <f t="shared" ref="I34:I35" si="7">G34-H34</f>
        <v>-19.949145238095269</v>
      </c>
      <c r="J34" s="1584"/>
      <c r="K34" s="1586">
        <v>-419.60849920634922</v>
      </c>
      <c r="L34" s="1586">
        <v>-372.18291000000005</v>
      </c>
      <c r="M34" s="1586">
        <f t="shared" ref="M34:M35" si="8">K34-L34</f>
        <v>-47.425589206349173</v>
      </c>
      <c r="N34" s="1584"/>
      <c r="O34" s="1586"/>
      <c r="P34" s="1586"/>
      <c r="Q34" s="1586"/>
    </row>
    <row r="35" spans="1:17">
      <c r="A35" s="1583" t="s">
        <v>3353</v>
      </c>
      <c r="B35" s="1584"/>
      <c r="C35" s="1587">
        <v>-1.6803898542308406</v>
      </c>
      <c r="D35" s="1587">
        <v>-3.5920100000000001</v>
      </c>
      <c r="E35" s="1587">
        <f t="shared" si="6"/>
        <v>1.9116201457691595</v>
      </c>
      <c r="F35" s="1584"/>
      <c r="G35" s="1587">
        <v>-5.2718061975222783</v>
      </c>
      <c r="H35" s="1587">
        <v>-7.0939700000000006</v>
      </c>
      <c r="I35" s="1587">
        <f t="shared" si="7"/>
        <v>1.8221638024777222</v>
      </c>
      <c r="J35" s="1584"/>
      <c r="K35" s="1587">
        <v>-24.911564510607342</v>
      </c>
      <c r="L35" s="1587">
        <v>-27.295390000000008</v>
      </c>
      <c r="M35" s="1587">
        <f t="shared" si="8"/>
        <v>2.3838254893926667</v>
      </c>
      <c r="N35" s="1584"/>
      <c r="O35" s="1586"/>
      <c r="P35" s="1586"/>
      <c r="Q35" s="1586"/>
    </row>
    <row r="36" spans="1:17">
      <c r="A36" s="1583" t="s">
        <v>3354</v>
      </c>
      <c r="B36" s="1584"/>
      <c r="C36" s="1588">
        <f>SUM(C33:C35)</f>
        <v>-51.100780489151475</v>
      </c>
      <c r="D36" s="1588">
        <f>SUM(D33:D35)</f>
        <v>-21.840589999999999</v>
      </c>
      <c r="E36" s="1588">
        <f>SUM(E33:E35)</f>
        <v>-29.26019048915148</v>
      </c>
      <c r="F36" s="1584"/>
      <c r="G36" s="1588">
        <f>SUM(G33:G35)</f>
        <v>-152.36631143561752</v>
      </c>
      <c r="H36" s="1588">
        <f>SUM(H33:H35)</f>
        <v>-52.83714999999998</v>
      </c>
      <c r="I36" s="1588">
        <f>SUM(I33:I35)</f>
        <v>-99.529161435617553</v>
      </c>
      <c r="J36" s="1584"/>
      <c r="K36" s="1588">
        <f>SUM(K33:K35)</f>
        <v>-220.15910371695654</v>
      </c>
      <c r="L36" s="1588">
        <f>SUM(L33:L35)</f>
        <v>-66.615350000000049</v>
      </c>
      <c r="M36" s="1588">
        <f>SUM(M33:M35)</f>
        <v>-153.54375371695647</v>
      </c>
      <c r="N36" s="1584"/>
      <c r="O36" s="1586"/>
      <c r="P36" s="1586"/>
      <c r="Q36" s="1586"/>
    </row>
    <row r="37" spans="1:17" ht="15.75" thickBot="1">
      <c r="A37" s="1590" t="s">
        <v>212</v>
      </c>
      <c r="B37" s="1584"/>
      <c r="C37" s="1591">
        <f>C31+C36</f>
        <v>-2090.9258858780404</v>
      </c>
      <c r="D37" s="1591">
        <f>D31+D36</f>
        <v>-949.53748000000007</v>
      </c>
      <c r="E37" s="1591">
        <f>E31+E36</f>
        <v>-1141.3884058780402</v>
      </c>
      <c r="F37" s="1592"/>
      <c r="G37" s="1591">
        <f>G31+G36</f>
        <v>-5274.9013498245076</v>
      </c>
      <c r="H37" s="1591">
        <f>H31+H36</f>
        <v>-4200.4090700000006</v>
      </c>
      <c r="I37" s="1591">
        <f>I31+I36</f>
        <v>-1074.4922798245068</v>
      </c>
      <c r="J37" s="1592"/>
      <c r="K37" s="1591">
        <f>K31+K36</f>
        <v>-14511.143485272511</v>
      </c>
      <c r="L37" s="1591">
        <f>L31+L36</f>
        <v>-13042.478959999999</v>
      </c>
      <c r="M37" s="1591">
        <f>M31+M36</f>
        <v>-1468.6645252725129</v>
      </c>
      <c r="N37" s="1584"/>
      <c r="O37" s="1586"/>
      <c r="P37" s="1586"/>
      <c r="Q37" s="1586"/>
    </row>
    <row r="38" spans="1:17" ht="15.75" thickTop="1">
      <c r="C38" s="1586"/>
      <c r="D38" s="1586"/>
      <c r="E38" s="1586"/>
      <c r="G38" s="1586"/>
      <c r="H38" s="1586"/>
      <c r="I38" s="1586"/>
      <c r="K38" s="1586"/>
      <c r="L38" s="1586"/>
      <c r="M38" s="1586"/>
      <c r="O38" s="1586"/>
      <c r="P38" s="1586"/>
      <c r="Q38" s="1586"/>
    </row>
    <row r="39" spans="1:17">
      <c r="C39" s="1586"/>
      <c r="D39" s="1586"/>
      <c r="E39" s="1586"/>
      <c r="G39" s="1586"/>
      <c r="H39" s="1586"/>
      <c r="I39" s="1586"/>
      <c r="K39" s="1586"/>
      <c r="L39" s="1586"/>
      <c r="M39" s="1586"/>
      <c r="O39" s="1586"/>
      <c r="P39" s="1586"/>
      <c r="Q39" s="1586"/>
    </row>
    <row r="40" spans="1:17">
      <c r="C40" s="1586"/>
      <c r="D40" s="1586"/>
      <c r="E40" s="1586"/>
      <c r="G40" s="1586"/>
      <c r="H40" s="1586"/>
      <c r="I40" s="1586"/>
      <c r="K40" s="1586"/>
      <c r="L40" s="1586"/>
      <c r="M40" s="1586"/>
      <c r="O40" s="1586"/>
      <c r="P40" s="1586"/>
      <c r="Q40" s="1586"/>
    </row>
    <row r="41" spans="1:17">
      <c r="C41" s="1586"/>
      <c r="D41" s="1586"/>
      <c r="E41" s="1586"/>
      <c r="G41" s="1586"/>
      <c r="H41" s="1586"/>
      <c r="I41" s="1586"/>
      <c r="K41" s="1586"/>
      <c r="L41" s="1586"/>
      <c r="M41" s="1586"/>
      <c r="O41" s="1586"/>
      <c r="P41" s="1586"/>
      <c r="Q41" s="1586"/>
    </row>
    <row r="42" spans="1:17">
      <c r="C42" s="1586"/>
      <c r="D42" s="1586"/>
      <c r="E42" s="1586"/>
      <c r="G42" s="1586"/>
      <c r="H42" s="1586"/>
      <c r="I42" s="1586"/>
      <c r="K42" s="1586"/>
      <c r="L42" s="1586"/>
      <c r="M42" s="1586"/>
      <c r="O42" s="1586"/>
      <c r="P42" s="1586"/>
      <c r="Q42" s="1586"/>
    </row>
    <row r="43" spans="1:17">
      <c r="C43" s="1586"/>
      <c r="D43" s="1586"/>
      <c r="E43" s="1586"/>
      <c r="G43" s="1586"/>
      <c r="H43" s="1586"/>
      <c r="I43" s="1586"/>
      <c r="K43" s="1586"/>
      <c r="L43" s="1586"/>
      <c r="M43" s="1586"/>
      <c r="O43" s="1586"/>
      <c r="P43" s="1586"/>
      <c r="Q43" s="1586"/>
    </row>
    <row r="44" spans="1:17">
      <c r="C44" s="1586"/>
      <c r="D44" s="1586"/>
      <c r="E44" s="1586"/>
      <c r="G44" s="1586"/>
      <c r="H44" s="1586"/>
      <c r="I44" s="1586"/>
      <c r="K44" s="1586"/>
      <c r="L44" s="1586"/>
      <c r="M44" s="1586"/>
      <c r="O44" s="1586"/>
      <c r="P44" s="1586"/>
      <c r="Q44" s="1586"/>
    </row>
    <row r="45" spans="1:17">
      <c r="C45" s="1586"/>
      <c r="D45" s="1586"/>
      <c r="E45" s="1586"/>
      <c r="G45" s="1586"/>
      <c r="H45" s="1586"/>
      <c r="I45" s="1586"/>
      <c r="K45" s="1586"/>
      <c r="L45" s="1586"/>
      <c r="M45" s="1586"/>
      <c r="O45" s="1586"/>
      <c r="P45" s="1586"/>
      <c r="Q45" s="1586"/>
    </row>
    <row r="46" spans="1:17">
      <c r="C46" s="1586"/>
      <c r="D46" s="1586"/>
      <c r="E46" s="1586"/>
      <c r="G46" s="1586"/>
      <c r="H46" s="1586"/>
      <c r="I46" s="1586"/>
      <c r="K46" s="1586"/>
      <c r="L46" s="1586"/>
      <c r="M46" s="1586"/>
      <c r="O46" s="1586"/>
      <c r="P46" s="1586"/>
      <c r="Q46" s="1586"/>
    </row>
    <row r="47" spans="1:17">
      <c r="C47" s="1586"/>
      <c r="D47" s="1586"/>
      <c r="E47" s="1586"/>
      <c r="G47" s="1586"/>
      <c r="H47" s="1586"/>
      <c r="I47" s="1586"/>
      <c r="K47" s="1586"/>
      <c r="L47" s="1586"/>
      <c r="M47" s="1586"/>
      <c r="O47" s="1586"/>
      <c r="P47" s="1586"/>
      <c r="Q47" s="1586"/>
    </row>
    <row r="48" spans="1:17">
      <c r="C48" s="1586"/>
      <c r="D48" s="1586"/>
      <c r="E48" s="1586"/>
      <c r="G48" s="1586"/>
      <c r="H48" s="1586"/>
      <c r="I48" s="1586"/>
      <c r="K48" s="1586"/>
      <c r="L48" s="1586"/>
      <c r="M48" s="1586"/>
      <c r="O48" s="1586"/>
      <c r="P48" s="1586"/>
      <c r="Q48" s="1586"/>
    </row>
    <row r="49" spans="3:17">
      <c r="C49" s="1586"/>
      <c r="D49" s="1586"/>
      <c r="E49" s="1586"/>
      <c r="G49" s="1586"/>
      <c r="H49" s="1586"/>
      <c r="I49" s="1586"/>
      <c r="K49" s="1586"/>
      <c r="L49" s="1586"/>
      <c r="M49" s="1586"/>
      <c r="O49" s="1586"/>
      <c r="P49" s="1586"/>
      <c r="Q49" s="1586"/>
    </row>
    <row r="50" spans="3:17">
      <c r="C50" s="1586"/>
      <c r="D50" s="1586"/>
      <c r="E50" s="1586"/>
      <c r="G50" s="1586"/>
      <c r="H50" s="1586"/>
      <c r="I50" s="1586"/>
      <c r="K50" s="1586"/>
      <c r="L50" s="1586"/>
      <c r="M50" s="1586"/>
      <c r="O50" s="1586"/>
      <c r="P50" s="1586"/>
      <c r="Q50" s="1586"/>
    </row>
    <row r="51" spans="3:17">
      <c r="C51" s="1586"/>
      <c r="D51" s="1586"/>
      <c r="E51" s="1586"/>
      <c r="G51" s="1586"/>
      <c r="H51" s="1586"/>
      <c r="I51" s="1586"/>
      <c r="K51" s="1586"/>
      <c r="L51" s="1586"/>
      <c r="M51" s="1586"/>
      <c r="O51" s="1586"/>
      <c r="P51" s="1586"/>
      <c r="Q51" s="1586"/>
    </row>
    <row r="52" spans="3:17">
      <c r="C52" s="1586"/>
      <c r="D52" s="1586"/>
      <c r="E52" s="1586"/>
      <c r="G52" s="1586"/>
      <c r="H52" s="1586"/>
      <c r="I52" s="1586"/>
      <c r="K52" s="1586"/>
      <c r="L52" s="1586"/>
      <c r="M52" s="1586"/>
      <c r="O52" s="1586"/>
      <c r="P52" s="1586"/>
      <c r="Q52" s="1586"/>
    </row>
    <row r="53" spans="3:17">
      <c r="C53" s="1586"/>
      <c r="D53" s="1586"/>
      <c r="E53" s="1586"/>
      <c r="G53" s="1586"/>
      <c r="H53" s="1586"/>
      <c r="I53" s="1586"/>
      <c r="K53" s="1586"/>
      <c r="L53" s="1586"/>
      <c r="M53" s="1586"/>
      <c r="O53" s="1586"/>
      <c r="P53" s="1586"/>
      <c r="Q53" s="1586"/>
    </row>
    <row r="54" spans="3:17">
      <c r="C54" s="1586"/>
      <c r="D54" s="1586"/>
      <c r="E54" s="1586"/>
      <c r="G54" s="1586"/>
      <c r="H54" s="1586"/>
      <c r="I54" s="1586"/>
      <c r="K54" s="1586"/>
      <c r="L54" s="1586"/>
      <c r="M54" s="1586"/>
      <c r="O54" s="1586"/>
      <c r="P54" s="1586"/>
      <c r="Q54" s="1586"/>
    </row>
    <row r="55" spans="3:17">
      <c r="C55" s="1586"/>
      <c r="D55" s="1586"/>
      <c r="E55" s="1586"/>
      <c r="G55" s="1586"/>
      <c r="H55" s="1586"/>
      <c r="I55" s="1586"/>
      <c r="K55" s="1586"/>
      <c r="L55" s="1586"/>
      <c r="M55" s="1586"/>
      <c r="O55" s="1586"/>
      <c r="P55" s="1586"/>
      <c r="Q55" s="1586"/>
    </row>
    <row r="56" spans="3:17">
      <c r="C56" s="1586"/>
      <c r="D56" s="1586"/>
      <c r="E56" s="1586"/>
      <c r="G56" s="1586"/>
      <c r="H56" s="1586"/>
      <c r="I56" s="1586"/>
      <c r="K56" s="1586"/>
      <c r="L56" s="1586"/>
      <c r="M56" s="1586"/>
      <c r="O56" s="1586"/>
      <c r="P56" s="1586"/>
      <c r="Q56" s="1586"/>
    </row>
    <row r="57" spans="3:17">
      <c r="C57" s="1586"/>
      <c r="D57" s="1586"/>
      <c r="E57" s="1586"/>
      <c r="G57" s="1586"/>
      <c r="H57" s="1586"/>
      <c r="I57" s="1586"/>
      <c r="K57" s="1586"/>
      <c r="L57" s="1586"/>
      <c r="M57" s="1586"/>
      <c r="O57" s="1586"/>
      <c r="P57" s="1586"/>
      <c r="Q57" s="1586"/>
    </row>
    <row r="58" spans="3:17">
      <c r="C58" s="1586"/>
      <c r="D58" s="1586"/>
      <c r="E58" s="1586"/>
      <c r="G58" s="1586"/>
      <c r="H58" s="1586"/>
      <c r="I58" s="1586"/>
      <c r="K58" s="1586"/>
      <c r="L58" s="1586"/>
      <c r="M58" s="1586"/>
      <c r="O58" s="1586"/>
      <c r="P58" s="1586"/>
      <c r="Q58" s="1586"/>
    </row>
    <row r="59" spans="3:17">
      <c r="C59" s="1586"/>
      <c r="D59" s="1586"/>
      <c r="E59" s="1586"/>
      <c r="G59" s="1586"/>
      <c r="H59" s="1586"/>
      <c r="I59" s="1586"/>
      <c r="K59" s="1586"/>
      <c r="L59" s="1586"/>
      <c r="M59" s="1586"/>
      <c r="O59" s="1586"/>
      <c r="P59" s="1586"/>
      <c r="Q59" s="1586"/>
    </row>
    <row r="60" spans="3:17">
      <c r="C60" s="1586"/>
      <c r="D60" s="1586"/>
      <c r="E60" s="1586"/>
      <c r="G60" s="1586"/>
      <c r="H60" s="1586"/>
      <c r="I60" s="1586"/>
      <c r="K60" s="1586"/>
      <c r="L60" s="1586"/>
      <c r="M60" s="1586"/>
      <c r="O60" s="1586"/>
      <c r="P60" s="1586"/>
      <c r="Q60" s="1586"/>
    </row>
    <row r="61" spans="3:17">
      <c r="C61" s="1586"/>
      <c r="D61" s="1586"/>
      <c r="E61" s="1586"/>
      <c r="G61" s="1586"/>
      <c r="H61" s="1586"/>
      <c r="I61" s="1586"/>
      <c r="K61" s="1586"/>
      <c r="L61" s="1586"/>
      <c r="M61" s="1586"/>
      <c r="O61" s="1586"/>
      <c r="P61" s="1586"/>
      <c r="Q61" s="1586"/>
    </row>
    <row r="62" spans="3:17">
      <c r="C62" s="1586"/>
      <c r="D62" s="1586"/>
      <c r="E62" s="1586"/>
      <c r="G62" s="1586"/>
      <c r="H62" s="1586"/>
      <c r="I62" s="1586"/>
      <c r="K62" s="1586"/>
      <c r="L62" s="1586"/>
      <c r="M62" s="1586"/>
      <c r="O62" s="1586"/>
      <c r="P62" s="1586"/>
      <c r="Q62" s="1586"/>
    </row>
    <row r="63" spans="3:17">
      <c r="C63" s="1586"/>
      <c r="D63" s="1586"/>
      <c r="E63" s="1586"/>
      <c r="G63" s="1586"/>
      <c r="H63" s="1586"/>
      <c r="I63" s="1586"/>
      <c r="K63" s="1586"/>
      <c r="L63" s="1586"/>
      <c r="M63" s="1586"/>
      <c r="O63" s="1586"/>
      <c r="P63" s="1586"/>
      <c r="Q63" s="1586"/>
    </row>
    <row r="64" spans="3:17">
      <c r="C64" s="1586"/>
      <c r="D64" s="1586"/>
      <c r="E64" s="1586"/>
      <c r="G64" s="1586"/>
      <c r="H64" s="1586"/>
      <c r="I64" s="1586"/>
      <c r="K64" s="1586"/>
      <c r="L64" s="1586"/>
      <c r="M64" s="1586"/>
      <c r="O64" s="1586"/>
      <c r="P64" s="1586"/>
      <c r="Q64" s="1586"/>
    </row>
    <row r="65" spans="3:17">
      <c r="C65" s="1586"/>
      <c r="D65" s="1586"/>
      <c r="E65" s="1586"/>
      <c r="G65" s="1586"/>
      <c r="H65" s="1586"/>
      <c r="I65" s="1586"/>
      <c r="K65" s="1586"/>
      <c r="L65" s="1586"/>
      <c r="M65" s="1586"/>
      <c r="O65" s="1586"/>
      <c r="P65" s="1586"/>
      <c r="Q65" s="1586"/>
    </row>
    <row r="66" spans="3:17">
      <c r="C66" s="1586"/>
      <c r="D66" s="1586"/>
      <c r="E66" s="1586"/>
      <c r="G66" s="1586"/>
      <c r="H66" s="1586"/>
      <c r="I66" s="1586"/>
      <c r="K66" s="1586"/>
      <c r="L66" s="1586"/>
      <c r="M66" s="1586"/>
      <c r="O66" s="1586"/>
      <c r="P66" s="1586"/>
      <c r="Q66" s="1586"/>
    </row>
    <row r="67" spans="3:17">
      <c r="C67" s="1586"/>
      <c r="D67" s="1586"/>
      <c r="E67" s="1586"/>
      <c r="G67" s="1586"/>
      <c r="H67" s="1586"/>
      <c r="I67" s="1586"/>
      <c r="K67" s="1586"/>
      <c r="L67" s="1586"/>
      <c r="M67" s="1586"/>
      <c r="O67" s="1586"/>
      <c r="P67" s="1586"/>
      <c r="Q67" s="1586"/>
    </row>
    <row r="68" spans="3:17">
      <c r="C68" s="1586"/>
      <c r="D68" s="1586"/>
      <c r="E68" s="1586"/>
      <c r="G68" s="1586"/>
      <c r="H68" s="1586"/>
      <c r="I68" s="1586"/>
      <c r="K68" s="1586"/>
      <c r="L68" s="1586"/>
      <c r="M68" s="1586"/>
      <c r="O68" s="1586"/>
      <c r="P68" s="1586"/>
      <c r="Q68" s="1586"/>
    </row>
    <row r="69" spans="3:17">
      <c r="C69" s="1586"/>
      <c r="D69" s="1586"/>
      <c r="E69" s="1586"/>
      <c r="G69" s="1586"/>
      <c r="H69" s="1586"/>
      <c r="I69" s="1586"/>
      <c r="K69" s="1586"/>
      <c r="L69" s="1586"/>
      <c r="M69" s="1586"/>
      <c r="O69" s="1586"/>
      <c r="P69" s="1586"/>
      <c r="Q69" s="1586"/>
    </row>
    <row r="70" spans="3:17">
      <c r="C70" s="1586"/>
      <c r="D70" s="1586"/>
      <c r="E70" s="1586"/>
      <c r="G70" s="1586"/>
      <c r="H70" s="1586"/>
      <c r="I70" s="1586"/>
      <c r="K70" s="1586"/>
      <c r="L70" s="1586"/>
      <c r="M70" s="1586"/>
      <c r="O70" s="1586"/>
      <c r="P70" s="1586"/>
      <c r="Q70" s="1586"/>
    </row>
    <row r="71" spans="3:17">
      <c r="C71" s="1586"/>
      <c r="D71" s="1586"/>
      <c r="E71" s="1586"/>
      <c r="G71" s="1586"/>
      <c r="H71" s="1586"/>
      <c r="I71" s="1586"/>
      <c r="K71" s="1586"/>
      <c r="L71" s="1586"/>
      <c r="M71" s="1586"/>
      <c r="O71" s="1586"/>
      <c r="P71" s="1586"/>
      <c r="Q71" s="1586"/>
    </row>
    <row r="72" spans="3:17">
      <c r="C72" s="1586"/>
      <c r="D72" s="1586"/>
      <c r="E72" s="1586"/>
      <c r="G72" s="1586"/>
      <c r="H72" s="1586"/>
      <c r="I72" s="1586"/>
      <c r="K72" s="1586"/>
      <c r="L72" s="1586"/>
      <c r="M72" s="1586"/>
      <c r="O72" s="1586"/>
      <c r="P72" s="1586"/>
      <c r="Q72" s="1586"/>
    </row>
    <row r="73" spans="3:17">
      <c r="C73" s="1586"/>
      <c r="D73" s="1586"/>
      <c r="E73" s="1586"/>
      <c r="G73" s="1586"/>
      <c r="H73" s="1586"/>
      <c r="I73" s="1586"/>
      <c r="K73" s="1586"/>
      <c r="L73" s="1586"/>
      <c r="M73" s="1586"/>
      <c r="O73" s="1586"/>
      <c r="P73" s="1586"/>
      <c r="Q73" s="1586"/>
    </row>
    <row r="74" spans="3:17">
      <c r="C74" s="1586"/>
      <c r="D74" s="1586"/>
      <c r="E74" s="1586"/>
      <c r="G74" s="1586"/>
      <c r="H74" s="1586"/>
      <c r="I74" s="1586"/>
      <c r="K74" s="1586"/>
      <c r="L74" s="1586"/>
      <c r="M74" s="1586"/>
      <c r="O74" s="1586"/>
      <c r="P74" s="1586"/>
      <c r="Q74" s="1586"/>
    </row>
    <row r="75" spans="3:17">
      <c r="C75" s="1586"/>
      <c r="D75" s="1586"/>
      <c r="E75" s="1586"/>
      <c r="G75" s="1586"/>
      <c r="H75" s="1586"/>
      <c r="I75" s="1586"/>
      <c r="K75" s="1586"/>
      <c r="L75" s="1586"/>
      <c r="M75" s="1586"/>
      <c r="O75" s="1586"/>
      <c r="P75" s="1586"/>
      <c r="Q75" s="1586"/>
    </row>
    <row r="76" spans="3:17">
      <c r="C76" s="1586"/>
      <c r="D76" s="1586"/>
      <c r="E76" s="1586"/>
      <c r="G76" s="1586"/>
      <c r="H76" s="1586"/>
      <c r="I76" s="1586"/>
      <c r="K76" s="1586"/>
      <c r="L76" s="1586"/>
      <c r="M76" s="1586"/>
      <c r="O76" s="1586"/>
      <c r="P76" s="1586"/>
      <c r="Q76" s="1586"/>
    </row>
    <row r="77" spans="3:17">
      <c r="C77" s="1586"/>
      <c r="D77" s="1586"/>
      <c r="E77" s="1586"/>
      <c r="G77" s="1586"/>
      <c r="H77" s="1586"/>
      <c r="I77" s="1586"/>
      <c r="K77" s="1586"/>
      <c r="L77" s="1586"/>
      <c r="M77" s="1586"/>
      <c r="O77" s="1586"/>
      <c r="P77" s="1586"/>
      <c r="Q77" s="1586"/>
    </row>
    <row r="78" spans="3:17">
      <c r="C78" s="1586"/>
      <c r="D78" s="1586"/>
      <c r="E78" s="1586"/>
      <c r="G78" s="1586"/>
      <c r="H78" s="1586"/>
      <c r="I78" s="1586"/>
      <c r="K78" s="1586"/>
      <c r="L78" s="1586"/>
      <c r="M78" s="1586"/>
      <c r="O78" s="1586"/>
      <c r="P78" s="1586"/>
      <c r="Q78" s="1586"/>
    </row>
    <row r="79" spans="3:17">
      <c r="C79" s="1586"/>
      <c r="D79" s="1586"/>
      <c r="E79" s="1586"/>
      <c r="G79" s="1586"/>
      <c r="H79" s="1586"/>
      <c r="I79" s="1586"/>
      <c r="K79" s="1586"/>
      <c r="L79" s="1586"/>
      <c r="M79" s="1586"/>
      <c r="O79" s="1586"/>
      <c r="P79" s="1586"/>
      <c r="Q79" s="1586"/>
    </row>
    <row r="80" spans="3:17">
      <c r="C80" s="1586"/>
      <c r="D80" s="1586"/>
      <c r="E80" s="1586"/>
      <c r="G80" s="1586"/>
      <c r="H80" s="1586"/>
      <c r="I80" s="1586"/>
      <c r="K80" s="1586"/>
      <c r="L80" s="1586"/>
      <c r="M80" s="1586"/>
      <c r="O80" s="1586"/>
      <c r="P80" s="1586"/>
      <c r="Q80" s="1586"/>
    </row>
    <row r="81" spans="3:17">
      <c r="C81" s="1586"/>
      <c r="D81" s="1586"/>
      <c r="E81" s="1586"/>
      <c r="G81" s="1586"/>
      <c r="H81" s="1586"/>
      <c r="I81" s="1586"/>
      <c r="K81" s="1586"/>
      <c r="L81" s="1586"/>
      <c r="M81" s="1586"/>
      <c r="O81" s="1586"/>
      <c r="P81" s="1586"/>
      <c r="Q81" s="1586"/>
    </row>
    <row r="82" spans="3:17">
      <c r="C82" s="1586"/>
      <c r="D82" s="1586"/>
      <c r="E82" s="1586"/>
      <c r="G82" s="1586"/>
      <c r="H82" s="1586"/>
      <c r="I82" s="1586"/>
      <c r="K82" s="1586"/>
      <c r="L82" s="1586"/>
      <c r="M82" s="1586"/>
      <c r="O82" s="1586"/>
      <c r="P82" s="1586"/>
      <c r="Q82" s="1586"/>
    </row>
    <row r="83" spans="3:17">
      <c r="C83" s="1586"/>
      <c r="D83" s="1586"/>
      <c r="E83" s="1586"/>
      <c r="G83" s="1586"/>
      <c r="H83" s="1586"/>
      <c r="I83" s="1586"/>
      <c r="K83" s="1586"/>
      <c r="L83" s="1586"/>
      <c r="M83" s="1586"/>
      <c r="O83" s="1586"/>
      <c r="P83" s="1586"/>
      <c r="Q83" s="1586"/>
    </row>
    <row r="84" spans="3:17">
      <c r="C84" s="1586"/>
      <c r="D84" s="1586"/>
      <c r="E84" s="1586"/>
      <c r="G84" s="1586"/>
      <c r="H84" s="1586"/>
      <c r="I84" s="1586"/>
      <c r="K84" s="1586"/>
      <c r="L84" s="1586"/>
      <c r="M84" s="1586"/>
      <c r="O84" s="1586"/>
      <c r="P84" s="1586"/>
      <c r="Q84" s="1586"/>
    </row>
    <row r="85" spans="3:17">
      <c r="C85" s="1586"/>
      <c r="D85" s="1586"/>
      <c r="E85" s="1586"/>
      <c r="G85" s="1586"/>
      <c r="H85" s="1586"/>
      <c r="I85" s="1586"/>
      <c r="K85" s="1586"/>
      <c r="L85" s="1586"/>
      <c r="M85" s="1586"/>
      <c r="O85" s="1586"/>
      <c r="P85" s="1586"/>
      <c r="Q85" s="1586"/>
    </row>
    <row r="86" spans="3:17">
      <c r="C86" s="1586"/>
      <c r="D86" s="1586"/>
      <c r="E86" s="1586"/>
      <c r="G86" s="1586"/>
      <c r="H86" s="1586"/>
      <c r="I86" s="1586"/>
      <c r="K86" s="1586"/>
      <c r="L86" s="1586"/>
      <c r="M86" s="1586"/>
      <c r="O86" s="1586"/>
      <c r="P86" s="1586"/>
      <c r="Q86" s="1586"/>
    </row>
    <row r="87" spans="3:17">
      <c r="C87" s="1586"/>
      <c r="D87" s="1586"/>
      <c r="E87" s="1586"/>
      <c r="G87" s="1586"/>
      <c r="H87" s="1586"/>
      <c r="I87" s="1586"/>
      <c r="K87" s="1586"/>
      <c r="L87" s="1586"/>
      <c r="M87" s="1586"/>
      <c r="O87" s="1586"/>
      <c r="P87" s="1586"/>
      <c r="Q87" s="1586"/>
    </row>
    <row r="88" spans="3:17">
      <c r="C88" s="1586"/>
      <c r="D88" s="1586"/>
      <c r="E88" s="1586"/>
      <c r="G88" s="1586"/>
      <c r="H88" s="1586"/>
      <c r="I88" s="1586"/>
      <c r="K88" s="1586"/>
      <c r="L88" s="1586"/>
      <c r="M88" s="1586"/>
      <c r="O88" s="1586"/>
      <c r="P88" s="1586"/>
      <c r="Q88" s="1586"/>
    </row>
    <row r="89" spans="3:17">
      <c r="C89" s="1586"/>
      <c r="D89" s="1586"/>
      <c r="E89" s="1586"/>
      <c r="G89" s="1586"/>
      <c r="H89" s="1586"/>
      <c r="I89" s="1586"/>
      <c r="K89" s="1586"/>
      <c r="L89" s="1586"/>
      <c r="M89" s="1586"/>
      <c r="O89" s="1586"/>
      <c r="P89" s="1586"/>
      <c r="Q89" s="1586"/>
    </row>
    <row r="90" spans="3:17">
      <c r="C90" s="1586"/>
      <c r="D90" s="1586"/>
      <c r="E90" s="1586"/>
      <c r="G90" s="1586"/>
      <c r="H90" s="1586"/>
      <c r="I90" s="1586"/>
      <c r="K90" s="1586"/>
      <c r="L90" s="1586"/>
      <c r="M90" s="1586"/>
      <c r="O90" s="1586"/>
      <c r="P90" s="1586"/>
      <c r="Q90" s="1586"/>
    </row>
    <row r="91" spans="3:17">
      <c r="C91" s="1586"/>
      <c r="D91" s="1586"/>
      <c r="E91" s="1586"/>
      <c r="G91" s="1586"/>
      <c r="H91" s="1586"/>
      <c r="I91" s="1586"/>
      <c r="K91" s="1586"/>
      <c r="L91" s="1586"/>
      <c r="M91" s="1586"/>
      <c r="O91" s="1586"/>
      <c r="P91" s="1586"/>
      <c r="Q91" s="1586"/>
    </row>
    <row r="92" spans="3:17">
      <c r="C92" s="1586"/>
      <c r="D92" s="1586"/>
      <c r="E92" s="1586"/>
      <c r="G92" s="1586"/>
      <c r="H92" s="1586"/>
      <c r="I92" s="1586"/>
      <c r="K92" s="1586"/>
      <c r="L92" s="1586"/>
      <c r="M92" s="1586"/>
      <c r="O92" s="1586"/>
      <c r="P92" s="1586"/>
      <c r="Q92" s="1586"/>
    </row>
    <row r="93" spans="3:17">
      <c r="C93" s="1586"/>
      <c r="D93" s="1586"/>
      <c r="E93" s="1586"/>
      <c r="G93" s="1586"/>
      <c r="H93" s="1586"/>
      <c r="I93" s="1586"/>
      <c r="K93" s="1586"/>
      <c r="L93" s="1586"/>
      <c r="M93" s="1586"/>
      <c r="O93" s="1586"/>
      <c r="P93" s="1586"/>
      <c r="Q93" s="1586"/>
    </row>
    <row r="94" spans="3:17">
      <c r="C94" s="1586"/>
      <c r="D94" s="1586"/>
      <c r="E94" s="1586"/>
      <c r="G94" s="1586"/>
      <c r="H94" s="1586"/>
      <c r="I94" s="1586"/>
      <c r="K94" s="1586"/>
      <c r="L94" s="1586"/>
      <c r="M94" s="1586"/>
      <c r="O94" s="1586"/>
      <c r="P94" s="1586"/>
      <c r="Q94" s="1586"/>
    </row>
    <row r="95" spans="3:17">
      <c r="C95" s="1586"/>
      <c r="D95" s="1586"/>
      <c r="E95" s="1586"/>
      <c r="G95" s="1586"/>
      <c r="H95" s="1586"/>
      <c r="I95" s="1586"/>
      <c r="K95" s="1586"/>
      <c r="L95" s="1586"/>
      <c r="M95" s="1586"/>
      <c r="O95" s="1586"/>
      <c r="P95" s="1586"/>
      <c r="Q95" s="1586"/>
    </row>
    <row r="96" spans="3:17">
      <c r="C96" s="1586"/>
      <c r="D96" s="1586"/>
      <c r="E96" s="1586"/>
      <c r="G96" s="1586"/>
      <c r="H96" s="1586"/>
      <c r="I96" s="1586"/>
      <c r="K96" s="1586"/>
      <c r="L96" s="1586"/>
      <c r="M96" s="1586"/>
      <c r="O96" s="1586"/>
      <c r="P96" s="1586"/>
      <c r="Q96" s="1586"/>
    </row>
    <row r="97" spans="3:17">
      <c r="C97" s="1586"/>
      <c r="D97" s="1586"/>
      <c r="E97" s="1586"/>
      <c r="G97" s="1586"/>
      <c r="H97" s="1586"/>
      <c r="I97" s="1586"/>
      <c r="K97" s="1586"/>
      <c r="L97" s="1586"/>
      <c r="M97" s="1586"/>
      <c r="O97" s="1586"/>
      <c r="P97" s="1586"/>
      <c r="Q97" s="1586"/>
    </row>
    <row r="98" spans="3:17">
      <c r="C98" s="1586"/>
      <c r="D98" s="1586"/>
      <c r="E98" s="1586"/>
      <c r="G98" s="1586"/>
      <c r="H98" s="1586"/>
      <c r="I98" s="1586"/>
      <c r="K98" s="1586"/>
      <c r="L98" s="1586"/>
      <c r="M98" s="1586"/>
      <c r="O98" s="1586"/>
      <c r="P98" s="1586"/>
      <c r="Q98" s="1586"/>
    </row>
    <row r="99" spans="3:17">
      <c r="C99" s="1586"/>
      <c r="D99" s="1586"/>
      <c r="E99" s="1586"/>
      <c r="G99" s="1586"/>
      <c r="H99" s="1586"/>
      <c r="I99" s="1586"/>
      <c r="K99" s="1586"/>
      <c r="L99" s="1586"/>
      <c r="M99" s="1586"/>
      <c r="O99" s="1586"/>
      <c r="P99" s="1586"/>
      <c r="Q99" s="1586"/>
    </row>
    <row r="100" spans="3:17">
      <c r="C100" s="1586"/>
      <c r="D100" s="1586"/>
      <c r="E100" s="1586"/>
      <c r="G100" s="1586"/>
      <c r="H100" s="1586"/>
      <c r="I100" s="1586"/>
      <c r="K100" s="1586"/>
      <c r="L100" s="1586"/>
      <c r="M100" s="1586"/>
      <c r="O100" s="1586"/>
      <c r="P100" s="1586"/>
      <c r="Q100" s="1586"/>
    </row>
    <row r="101" spans="3:17">
      <c r="C101" s="1586"/>
      <c r="D101" s="1586"/>
      <c r="E101" s="1586"/>
      <c r="G101" s="1586"/>
      <c r="H101" s="1586"/>
      <c r="I101" s="1586"/>
      <c r="K101" s="1586"/>
      <c r="L101" s="1586"/>
      <c r="M101" s="1586"/>
      <c r="O101" s="1586"/>
      <c r="P101" s="1586"/>
      <c r="Q101" s="1586"/>
    </row>
    <row r="102" spans="3:17">
      <c r="C102" s="1586"/>
      <c r="D102" s="1586"/>
      <c r="E102" s="1586"/>
      <c r="G102" s="1586"/>
      <c r="H102" s="1586"/>
      <c r="I102" s="1586"/>
      <c r="K102" s="1586"/>
      <c r="L102" s="1586"/>
      <c r="M102" s="1586"/>
      <c r="O102" s="1586"/>
      <c r="P102" s="1586"/>
      <c r="Q102" s="1586"/>
    </row>
    <row r="103" spans="3:17">
      <c r="C103" s="1586"/>
      <c r="D103" s="1586"/>
      <c r="E103" s="1586"/>
      <c r="G103" s="1586"/>
      <c r="H103" s="1586"/>
      <c r="I103" s="1586"/>
      <c r="K103" s="1586"/>
      <c r="L103" s="1586"/>
      <c r="M103" s="1586"/>
      <c r="O103" s="1586"/>
      <c r="P103" s="1586"/>
      <c r="Q103" s="1586"/>
    </row>
    <row r="104" spans="3:17">
      <c r="C104" s="1586"/>
      <c r="D104" s="1586"/>
      <c r="E104" s="1586"/>
      <c r="G104" s="1586"/>
      <c r="H104" s="1586"/>
      <c r="I104" s="1586"/>
      <c r="K104" s="1586"/>
      <c r="L104" s="1586"/>
      <c r="M104" s="1586"/>
      <c r="O104" s="1586"/>
      <c r="P104" s="1586"/>
      <c r="Q104" s="1586"/>
    </row>
    <row r="105" spans="3:17">
      <c r="C105" s="1586"/>
      <c r="D105" s="1586"/>
      <c r="E105" s="1586"/>
      <c r="G105" s="1586"/>
      <c r="H105" s="1586"/>
      <c r="I105" s="1586"/>
      <c r="K105" s="1586"/>
      <c r="L105" s="1586"/>
      <c r="M105" s="1586"/>
      <c r="O105" s="1586"/>
      <c r="P105" s="1586"/>
      <c r="Q105" s="1586"/>
    </row>
    <row r="106" spans="3:17">
      <c r="C106" s="1586"/>
      <c r="D106" s="1586"/>
      <c r="E106" s="1586"/>
      <c r="G106" s="1586"/>
      <c r="H106" s="1586"/>
      <c r="I106" s="1586"/>
      <c r="K106" s="1586"/>
      <c r="L106" s="1586"/>
      <c r="M106" s="1586"/>
      <c r="O106" s="1586"/>
      <c r="P106" s="1586"/>
      <c r="Q106" s="1586"/>
    </row>
    <row r="107" spans="3:17">
      <c r="C107" s="1586"/>
      <c r="D107" s="1586"/>
      <c r="E107" s="1586"/>
      <c r="G107" s="1586"/>
      <c r="H107" s="1586"/>
      <c r="I107" s="1586"/>
      <c r="K107" s="1586"/>
      <c r="L107" s="1586"/>
      <c r="M107" s="1586"/>
      <c r="O107" s="1586"/>
      <c r="P107" s="1586"/>
      <c r="Q107" s="1586"/>
    </row>
    <row r="108" spans="3:17">
      <c r="C108" s="1586"/>
      <c r="D108" s="1586"/>
      <c r="E108" s="1586"/>
      <c r="G108" s="1586"/>
      <c r="H108" s="1586"/>
      <c r="I108" s="1586"/>
      <c r="K108" s="1586"/>
      <c r="L108" s="1586"/>
      <c r="M108" s="1586"/>
      <c r="O108" s="1586"/>
      <c r="P108" s="1586"/>
      <c r="Q108" s="1586"/>
    </row>
    <row r="109" spans="3:17">
      <c r="C109" s="1586"/>
      <c r="D109" s="1586"/>
      <c r="E109" s="1586"/>
      <c r="G109" s="1586"/>
      <c r="H109" s="1586"/>
      <c r="I109" s="1586"/>
      <c r="K109" s="1586"/>
      <c r="L109" s="1586"/>
      <c r="M109" s="1586"/>
      <c r="O109" s="1586"/>
      <c r="P109" s="1586"/>
      <c r="Q109" s="1586"/>
    </row>
    <row r="110" spans="3:17">
      <c r="C110" s="1586"/>
      <c r="D110" s="1586"/>
      <c r="E110" s="1586"/>
      <c r="G110" s="1586"/>
      <c r="H110" s="1586"/>
      <c r="I110" s="1586"/>
      <c r="K110" s="1586"/>
      <c r="L110" s="1586"/>
      <c r="M110" s="1586"/>
      <c r="O110" s="1586"/>
      <c r="P110" s="1586"/>
      <c r="Q110" s="1586"/>
    </row>
    <row r="111" spans="3:17">
      <c r="C111" s="1586"/>
      <c r="D111" s="1586"/>
      <c r="E111" s="1586"/>
      <c r="G111" s="1586"/>
      <c r="H111" s="1586"/>
      <c r="I111" s="1586"/>
      <c r="K111" s="1586"/>
      <c r="L111" s="1586"/>
      <c r="M111" s="1586"/>
      <c r="O111" s="1586"/>
      <c r="P111" s="1586"/>
      <c r="Q111" s="1586"/>
    </row>
    <row r="112" spans="3:17">
      <c r="C112" s="1586"/>
      <c r="D112" s="1586"/>
      <c r="E112" s="1586"/>
      <c r="G112" s="1586"/>
      <c r="H112" s="1586"/>
      <c r="I112" s="1586"/>
      <c r="K112" s="1586"/>
      <c r="L112" s="1586"/>
      <c r="M112" s="1586"/>
      <c r="O112" s="1586"/>
      <c r="P112" s="1586"/>
      <c r="Q112" s="1586"/>
    </row>
    <row r="113" spans="3:17">
      <c r="C113" s="1586"/>
      <c r="D113" s="1586"/>
      <c r="E113" s="1586"/>
      <c r="G113" s="1586"/>
      <c r="H113" s="1586"/>
      <c r="I113" s="1586"/>
      <c r="K113" s="1586"/>
      <c r="L113" s="1586"/>
      <c r="M113" s="1586"/>
      <c r="O113" s="1586"/>
      <c r="P113" s="1586"/>
      <c r="Q113" s="1586"/>
    </row>
    <row r="114" spans="3:17">
      <c r="C114" s="1586"/>
      <c r="D114" s="1586"/>
      <c r="E114" s="1586"/>
      <c r="G114" s="1586"/>
      <c r="H114" s="1586"/>
      <c r="I114" s="1586"/>
      <c r="K114" s="1586"/>
      <c r="L114" s="1586"/>
      <c r="M114" s="1586"/>
      <c r="O114" s="1586"/>
      <c r="P114" s="1586"/>
      <c r="Q114" s="1586"/>
    </row>
    <row r="115" spans="3:17">
      <c r="C115" s="1586"/>
      <c r="D115" s="1586"/>
      <c r="E115" s="1586"/>
      <c r="G115" s="1586"/>
      <c r="H115" s="1586"/>
      <c r="I115" s="1586"/>
      <c r="K115" s="1586"/>
      <c r="L115" s="1586"/>
      <c r="M115" s="1586"/>
      <c r="O115" s="1586"/>
      <c r="P115" s="1586"/>
      <c r="Q115" s="1586"/>
    </row>
    <row r="116" spans="3:17">
      <c r="C116" s="1586"/>
      <c r="D116" s="1586"/>
      <c r="E116" s="1586"/>
      <c r="G116" s="1586"/>
      <c r="H116" s="1586"/>
      <c r="I116" s="1586"/>
      <c r="K116" s="1586"/>
      <c r="L116" s="1586"/>
      <c r="M116" s="1586"/>
      <c r="O116" s="1586"/>
      <c r="P116" s="1586"/>
      <c r="Q116" s="1586"/>
    </row>
    <row r="117" spans="3:17">
      <c r="C117" s="1586"/>
      <c r="D117" s="1586"/>
      <c r="E117" s="1586"/>
      <c r="G117" s="1586"/>
      <c r="H117" s="1586"/>
      <c r="I117" s="1586"/>
      <c r="K117" s="1586"/>
      <c r="L117" s="1586"/>
      <c r="M117" s="1586"/>
      <c r="O117" s="1586"/>
      <c r="P117" s="1586"/>
      <c r="Q117" s="1586"/>
    </row>
    <row r="118" spans="3:17">
      <c r="C118" s="1586"/>
      <c r="D118" s="1586"/>
      <c r="E118" s="1586"/>
      <c r="G118" s="1586"/>
      <c r="H118" s="1586"/>
      <c r="I118" s="1586"/>
      <c r="K118" s="1586"/>
      <c r="L118" s="1586"/>
      <c r="M118" s="1586"/>
      <c r="O118" s="1586"/>
      <c r="P118" s="1586"/>
      <c r="Q118" s="1586"/>
    </row>
    <row r="119" spans="3:17">
      <c r="C119" s="1586"/>
      <c r="D119" s="1586"/>
      <c r="E119" s="1586"/>
      <c r="G119" s="1586"/>
      <c r="H119" s="1586"/>
      <c r="I119" s="1586"/>
      <c r="K119" s="1586"/>
      <c r="L119" s="1586"/>
      <c r="M119" s="1586"/>
      <c r="O119" s="1586"/>
      <c r="P119" s="1586"/>
      <c r="Q119" s="1586"/>
    </row>
    <row r="120" spans="3:17">
      <c r="C120" s="1586"/>
      <c r="D120" s="1586"/>
      <c r="E120" s="1586"/>
      <c r="G120" s="1586"/>
      <c r="H120" s="1586"/>
      <c r="I120" s="1586"/>
      <c r="K120" s="1586"/>
      <c r="L120" s="1586"/>
      <c r="M120" s="1586"/>
      <c r="O120" s="1586"/>
      <c r="P120" s="1586"/>
      <c r="Q120" s="1586"/>
    </row>
    <row r="121" spans="3:17">
      <c r="C121" s="1586"/>
      <c r="D121" s="1586"/>
      <c r="E121" s="1586"/>
      <c r="G121" s="1586"/>
      <c r="H121" s="1586"/>
      <c r="I121" s="1586"/>
      <c r="K121" s="1586"/>
      <c r="L121" s="1586"/>
      <c r="M121" s="1586"/>
      <c r="O121" s="1586"/>
      <c r="P121" s="1586"/>
      <c r="Q121" s="1586"/>
    </row>
    <row r="122" spans="3:17">
      <c r="C122" s="1586"/>
      <c r="D122" s="1586"/>
      <c r="E122" s="1586"/>
      <c r="G122" s="1586"/>
      <c r="H122" s="1586"/>
      <c r="I122" s="1586"/>
      <c r="K122" s="1586"/>
      <c r="L122" s="1586"/>
      <c r="M122" s="1586"/>
      <c r="O122" s="1586"/>
      <c r="P122" s="1586"/>
      <c r="Q122" s="1586"/>
    </row>
    <row r="123" spans="3:17">
      <c r="C123" s="1586"/>
      <c r="D123" s="1586"/>
      <c r="E123" s="1586"/>
      <c r="G123" s="1586"/>
      <c r="H123" s="1586"/>
      <c r="I123" s="1586"/>
      <c r="K123" s="1586"/>
      <c r="L123" s="1586"/>
      <c r="M123" s="1586"/>
      <c r="O123" s="1586"/>
      <c r="P123" s="1586"/>
      <c r="Q123" s="1586"/>
    </row>
    <row r="124" spans="3:17">
      <c r="C124" s="1586"/>
      <c r="D124" s="1586"/>
      <c r="E124" s="1586"/>
      <c r="G124" s="1586"/>
      <c r="H124" s="1586"/>
      <c r="I124" s="1586"/>
      <c r="K124" s="1586"/>
      <c r="L124" s="1586"/>
      <c r="M124" s="1586"/>
      <c r="O124" s="1586"/>
      <c r="P124" s="1586"/>
      <c r="Q124" s="1586"/>
    </row>
    <row r="125" spans="3:17">
      <c r="C125" s="1586"/>
      <c r="D125" s="1586"/>
      <c r="E125" s="1586"/>
      <c r="G125" s="1586"/>
      <c r="H125" s="1586"/>
      <c r="I125" s="1586"/>
      <c r="K125" s="1586"/>
      <c r="L125" s="1586"/>
      <c r="M125" s="1586"/>
      <c r="O125" s="1586"/>
      <c r="P125" s="1586"/>
      <c r="Q125" s="1586"/>
    </row>
    <row r="126" spans="3:17">
      <c r="C126" s="1586"/>
      <c r="D126" s="1586"/>
      <c r="E126" s="1586"/>
      <c r="G126" s="1586"/>
      <c r="H126" s="1586"/>
      <c r="I126" s="1586"/>
      <c r="K126" s="1586"/>
      <c r="L126" s="1586"/>
      <c r="M126" s="1586"/>
      <c r="O126" s="1586"/>
      <c r="P126" s="1586"/>
      <c r="Q126" s="1586"/>
    </row>
    <row r="127" spans="3:17">
      <c r="C127" s="1586"/>
      <c r="D127" s="1586"/>
      <c r="E127" s="1586"/>
      <c r="G127" s="1586"/>
      <c r="H127" s="1586"/>
      <c r="I127" s="1586"/>
      <c r="K127" s="1586"/>
      <c r="L127" s="1586"/>
      <c r="M127" s="1586"/>
      <c r="O127" s="1586"/>
      <c r="P127" s="1586"/>
      <c r="Q127" s="1586"/>
    </row>
    <row r="128" spans="3:17">
      <c r="C128" s="1586"/>
      <c r="D128" s="1586"/>
      <c r="E128" s="1586"/>
      <c r="G128" s="1586"/>
      <c r="H128" s="1586"/>
      <c r="I128" s="1586"/>
      <c r="K128" s="1586"/>
      <c r="L128" s="1586"/>
      <c r="M128" s="1586"/>
      <c r="O128" s="1586"/>
      <c r="P128" s="1586"/>
      <c r="Q128" s="1586"/>
    </row>
    <row r="129" spans="3:17">
      <c r="C129" s="1586"/>
      <c r="D129" s="1586"/>
      <c r="E129" s="1586"/>
      <c r="G129" s="1586"/>
      <c r="H129" s="1586"/>
      <c r="I129" s="1586"/>
      <c r="K129" s="1586"/>
      <c r="L129" s="1586"/>
      <c r="M129" s="1586"/>
      <c r="O129" s="1586"/>
      <c r="P129" s="1586"/>
      <c r="Q129" s="1586"/>
    </row>
    <row r="130" spans="3:17">
      <c r="C130" s="1586"/>
      <c r="D130" s="1586"/>
      <c r="E130" s="1586"/>
      <c r="G130" s="1586"/>
      <c r="H130" s="1586"/>
      <c r="I130" s="1586"/>
      <c r="K130" s="1586"/>
      <c r="L130" s="1586"/>
      <c r="M130" s="1586"/>
      <c r="O130" s="1586"/>
      <c r="P130" s="1586"/>
      <c r="Q130" s="1586"/>
    </row>
    <row r="131" spans="3:17">
      <c r="C131" s="1586"/>
      <c r="D131" s="1586"/>
      <c r="E131" s="1586"/>
      <c r="G131" s="1586"/>
      <c r="H131" s="1586"/>
      <c r="I131" s="1586"/>
      <c r="K131" s="1586"/>
      <c r="L131" s="1586"/>
      <c r="M131" s="1586"/>
      <c r="O131" s="1586"/>
      <c r="P131" s="1586"/>
      <c r="Q131" s="1586"/>
    </row>
    <row r="132" spans="3:17">
      <c r="C132" s="1586"/>
      <c r="D132" s="1586"/>
      <c r="E132" s="1586"/>
      <c r="G132" s="1586"/>
      <c r="H132" s="1586"/>
      <c r="I132" s="1586"/>
      <c r="K132" s="1586"/>
      <c r="L132" s="1586"/>
      <c r="M132" s="1586"/>
      <c r="O132" s="1586"/>
      <c r="P132" s="1586"/>
      <c r="Q132" s="1586"/>
    </row>
    <row r="133" spans="3:17">
      <c r="C133" s="1586"/>
      <c r="D133" s="1586"/>
      <c r="E133" s="1586"/>
      <c r="G133" s="1586"/>
      <c r="H133" s="1586"/>
      <c r="I133" s="1586"/>
      <c r="K133" s="1586"/>
      <c r="L133" s="1586"/>
      <c r="M133" s="1586"/>
      <c r="O133" s="1586"/>
      <c r="P133" s="1586"/>
      <c r="Q133" s="1586"/>
    </row>
    <row r="134" spans="3:17">
      <c r="C134" s="1586"/>
      <c r="D134" s="1586"/>
      <c r="E134" s="1586"/>
      <c r="G134" s="1586"/>
      <c r="H134" s="1586"/>
      <c r="I134" s="1586"/>
      <c r="K134" s="1586"/>
      <c r="L134" s="1586"/>
      <c r="M134" s="1586"/>
      <c r="O134" s="1586"/>
      <c r="P134" s="1586"/>
      <c r="Q134" s="1586"/>
    </row>
    <row r="135" spans="3:17">
      <c r="C135" s="1586"/>
      <c r="D135" s="1586"/>
      <c r="E135" s="1586"/>
      <c r="G135" s="1586"/>
      <c r="H135" s="1586"/>
      <c r="I135" s="1586"/>
      <c r="K135" s="1586"/>
      <c r="L135" s="1586"/>
      <c r="M135" s="1586"/>
      <c r="O135" s="1586"/>
      <c r="P135" s="1586"/>
      <c r="Q135" s="1586"/>
    </row>
    <row r="136" spans="3:17">
      <c r="C136" s="1586"/>
      <c r="D136" s="1586"/>
      <c r="E136" s="1586"/>
      <c r="G136" s="1586"/>
      <c r="H136" s="1586"/>
      <c r="I136" s="1586"/>
      <c r="K136" s="1586"/>
      <c r="L136" s="1586"/>
      <c r="M136" s="1586"/>
      <c r="O136" s="1586"/>
      <c r="P136" s="1586"/>
      <c r="Q136" s="1586"/>
    </row>
    <row r="137" spans="3:17">
      <c r="C137" s="1586"/>
      <c r="D137" s="1586"/>
      <c r="E137" s="1586"/>
      <c r="G137" s="1586"/>
      <c r="H137" s="1586"/>
      <c r="I137" s="1586"/>
      <c r="K137" s="1586"/>
      <c r="L137" s="1586"/>
      <c r="M137" s="1586"/>
      <c r="O137" s="1586"/>
      <c r="P137" s="1586"/>
      <c r="Q137" s="1586"/>
    </row>
    <row r="138" spans="3:17">
      <c r="C138" s="1586"/>
      <c r="D138" s="1586"/>
      <c r="E138" s="1586"/>
      <c r="G138" s="1586"/>
      <c r="H138" s="1586"/>
      <c r="I138" s="1586"/>
      <c r="K138" s="1586"/>
      <c r="L138" s="1586"/>
      <c r="M138" s="1586"/>
      <c r="O138" s="1586"/>
      <c r="P138" s="1586"/>
      <c r="Q138" s="1586"/>
    </row>
    <row r="139" spans="3:17">
      <c r="C139" s="1586"/>
      <c r="D139" s="1586"/>
      <c r="E139" s="1586"/>
      <c r="G139" s="1586"/>
      <c r="H139" s="1586"/>
      <c r="I139" s="1586"/>
      <c r="K139" s="1586"/>
      <c r="L139" s="1586"/>
      <c r="M139" s="1586"/>
      <c r="O139" s="1586"/>
      <c r="P139" s="1586"/>
      <c r="Q139" s="1586"/>
    </row>
    <row r="140" spans="3:17">
      <c r="C140" s="1586"/>
      <c r="D140" s="1586"/>
      <c r="E140" s="1586"/>
      <c r="G140" s="1586"/>
      <c r="H140" s="1586"/>
      <c r="I140" s="1586"/>
      <c r="K140" s="1586"/>
      <c r="L140" s="1586"/>
      <c r="M140" s="1586"/>
      <c r="O140" s="1586"/>
      <c r="P140" s="1586"/>
      <c r="Q140" s="1586"/>
    </row>
    <row r="141" spans="3:17">
      <c r="C141" s="1586"/>
      <c r="D141" s="1586"/>
      <c r="E141" s="1586"/>
      <c r="G141" s="1586"/>
      <c r="H141" s="1586"/>
      <c r="I141" s="1586"/>
      <c r="K141" s="1586"/>
      <c r="L141" s="1586"/>
      <c r="M141" s="1586"/>
      <c r="O141" s="1586"/>
      <c r="P141" s="1586"/>
      <c r="Q141" s="1586"/>
    </row>
    <row r="142" spans="3:17">
      <c r="C142" s="1586"/>
      <c r="D142" s="1586"/>
      <c r="E142" s="1586"/>
      <c r="G142" s="1586"/>
      <c r="H142" s="1586"/>
      <c r="I142" s="1586"/>
      <c r="K142" s="1586"/>
      <c r="L142" s="1586"/>
      <c r="M142" s="1586"/>
      <c r="O142" s="1586"/>
      <c r="P142" s="1586"/>
      <c r="Q142" s="1586"/>
    </row>
    <row r="143" spans="3:17">
      <c r="C143" s="1586"/>
      <c r="D143" s="1586"/>
      <c r="E143" s="1586"/>
      <c r="G143" s="1586"/>
      <c r="H143" s="1586"/>
      <c r="I143" s="1586"/>
      <c r="K143" s="1586"/>
      <c r="L143" s="1586"/>
      <c r="M143" s="1586"/>
      <c r="O143" s="1586"/>
      <c r="P143" s="1586"/>
      <c r="Q143" s="1586"/>
    </row>
    <row r="144" spans="3:17">
      <c r="C144" s="1586"/>
      <c r="D144" s="1586"/>
      <c r="E144" s="1586"/>
      <c r="G144" s="1586"/>
      <c r="H144" s="1586"/>
      <c r="I144" s="1586"/>
      <c r="K144" s="1586"/>
      <c r="L144" s="1586"/>
      <c r="M144" s="1586"/>
      <c r="O144" s="1586"/>
      <c r="P144" s="1586"/>
      <c r="Q144" s="1586"/>
    </row>
    <row r="145" spans="3:17">
      <c r="C145" s="1586"/>
      <c r="D145" s="1586"/>
      <c r="E145" s="1586"/>
      <c r="G145" s="1586"/>
      <c r="H145" s="1586"/>
      <c r="I145" s="1586"/>
      <c r="K145" s="1586"/>
      <c r="L145" s="1586"/>
      <c r="M145" s="1586"/>
      <c r="O145" s="1586"/>
      <c r="P145" s="1586"/>
      <c r="Q145" s="1586"/>
    </row>
    <row r="146" spans="3:17">
      <c r="C146" s="1586"/>
      <c r="D146" s="1586"/>
      <c r="E146" s="1586"/>
      <c r="G146" s="1586"/>
      <c r="H146" s="1586"/>
      <c r="I146" s="1586"/>
      <c r="K146" s="1586"/>
      <c r="L146" s="1586"/>
      <c r="M146" s="1586"/>
      <c r="O146" s="1586"/>
      <c r="P146" s="1586"/>
      <c r="Q146" s="1586"/>
    </row>
    <row r="147" spans="3:17">
      <c r="C147" s="1586"/>
      <c r="D147" s="1586"/>
      <c r="E147" s="1586"/>
      <c r="G147" s="1586"/>
      <c r="H147" s="1586"/>
      <c r="I147" s="1586"/>
      <c r="K147" s="1586"/>
      <c r="L147" s="1586"/>
      <c r="M147" s="1586"/>
      <c r="O147" s="1586"/>
      <c r="P147" s="1586"/>
      <c r="Q147" s="1586"/>
    </row>
    <row r="148" spans="3:17">
      <c r="C148" s="1586"/>
      <c r="D148" s="1586"/>
      <c r="E148" s="1586"/>
      <c r="G148" s="1586"/>
      <c r="H148" s="1586"/>
      <c r="I148" s="1586"/>
      <c r="K148" s="1586"/>
      <c r="L148" s="1586"/>
      <c r="M148" s="1586"/>
      <c r="O148" s="1586"/>
      <c r="P148" s="1586"/>
      <c r="Q148" s="1586"/>
    </row>
    <row r="149" spans="3:17">
      <c r="C149" s="1586"/>
      <c r="D149" s="1586"/>
      <c r="E149" s="1586"/>
      <c r="G149" s="1586"/>
      <c r="H149" s="1586"/>
      <c r="I149" s="1586"/>
      <c r="K149" s="1586"/>
      <c r="L149" s="1586"/>
      <c r="M149" s="1586"/>
      <c r="O149" s="1586"/>
      <c r="P149" s="1586"/>
      <c r="Q149" s="1586"/>
    </row>
    <row r="150" spans="3:17">
      <c r="C150" s="1586"/>
      <c r="D150" s="1586"/>
      <c r="E150" s="1586"/>
      <c r="G150" s="1586"/>
      <c r="H150" s="1586"/>
      <c r="I150" s="1586"/>
      <c r="K150" s="1586"/>
      <c r="L150" s="1586"/>
      <c r="M150" s="1586"/>
      <c r="O150" s="1586"/>
      <c r="P150" s="1586"/>
      <c r="Q150" s="1586"/>
    </row>
    <row r="151" spans="3:17">
      <c r="C151" s="1586"/>
      <c r="D151" s="1586"/>
      <c r="E151" s="1586"/>
      <c r="G151" s="1586"/>
      <c r="H151" s="1586"/>
      <c r="I151" s="1586"/>
      <c r="K151" s="1586"/>
      <c r="L151" s="1586"/>
      <c r="M151" s="1586"/>
      <c r="O151" s="1586"/>
      <c r="P151" s="1586"/>
      <c r="Q151" s="1586"/>
    </row>
    <row r="152" spans="3:17">
      <c r="C152" s="1586"/>
      <c r="D152" s="1586"/>
      <c r="E152" s="1586"/>
      <c r="G152" s="1586"/>
      <c r="H152" s="1586"/>
      <c r="I152" s="1586"/>
      <c r="K152" s="1586"/>
      <c r="L152" s="1586"/>
      <c r="M152" s="1586"/>
      <c r="O152" s="1586"/>
      <c r="P152" s="1586"/>
      <c r="Q152" s="1586"/>
    </row>
    <row r="153" spans="3:17">
      <c r="C153" s="1586"/>
      <c r="D153" s="1586"/>
      <c r="E153" s="1586"/>
      <c r="G153" s="1586"/>
      <c r="H153" s="1586"/>
      <c r="I153" s="1586"/>
      <c r="K153" s="1586"/>
      <c r="L153" s="1586"/>
      <c r="M153" s="1586"/>
      <c r="O153" s="1586"/>
      <c r="P153" s="1586"/>
      <c r="Q153" s="1586"/>
    </row>
    <row r="154" spans="3:17">
      <c r="C154" s="1586"/>
      <c r="D154" s="1586"/>
      <c r="E154" s="1586"/>
      <c r="G154" s="1586"/>
      <c r="H154" s="1586"/>
      <c r="I154" s="1586"/>
      <c r="K154" s="1586"/>
      <c r="L154" s="1586"/>
      <c r="M154" s="1586"/>
      <c r="O154" s="1586"/>
      <c r="P154" s="1586"/>
      <c r="Q154" s="1586"/>
    </row>
    <row r="155" spans="3:17">
      <c r="C155" s="1586"/>
      <c r="D155" s="1586"/>
      <c r="E155" s="1586"/>
      <c r="G155" s="1586"/>
      <c r="H155" s="1586"/>
      <c r="I155" s="1586"/>
      <c r="K155" s="1586"/>
      <c r="L155" s="1586"/>
      <c r="M155" s="1586"/>
      <c r="O155" s="1586"/>
      <c r="P155" s="1586"/>
      <c r="Q155" s="1586"/>
    </row>
    <row r="156" spans="3:17">
      <c r="C156" s="1586"/>
      <c r="D156" s="1586"/>
      <c r="E156" s="1586"/>
      <c r="G156" s="1586"/>
      <c r="H156" s="1586"/>
      <c r="I156" s="1586"/>
      <c r="K156" s="1586"/>
      <c r="L156" s="1586"/>
      <c r="M156" s="1586"/>
      <c r="O156" s="1586"/>
      <c r="P156" s="1586"/>
      <c r="Q156" s="1586"/>
    </row>
    <row r="157" spans="3:17">
      <c r="C157" s="1586"/>
      <c r="D157" s="1586"/>
      <c r="E157" s="1586"/>
      <c r="G157" s="1586"/>
      <c r="H157" s="1586"/>
      <c r="I157" s="1586"/>
      <c r="K157" s="1586"/>
      <c r="L157" s="1586"/>
      <c r="M157" s="1586"/>
      <c r="O157" s="1586"/>
      <c r="P157" s="1586"/>
      <c r="Q157" s="1586"/>
    </row>
    <row r="158" spans="3:17">
      <c r="C158" s="1586"/>
      <c r="D158" s="1586"/>
      <c r="E158" s="1586"/>
      <c r="G158" s="1586"/>
      <c r="H158" s="1586"/>
      <c r="I158" s="1586"/>
      <c r="K158" s="1586"/>
      <c r="L158" s="1586"/>
      <c r="M158" s="1586"/>
      <c r="O158" s="1586"/>
      <c r="P158" s="1586"/>
      <c r="Q158" s="1586"/>
    </row>
    <row r="159" spans="3:17">
      <c r="C159" s="1586"/>
      <c r="D159" s="1586"/>
      <c r="E159" s="1586"/>
      <c r="G159" s="1586"/>
      <c r="H159" s="1586"/>
      <c r="I159" s="1586"/>
      <c r="K159" s="1586"/>
      <c r="L159" s="1586"/>
      <c r="M159" s="1586"/>
      <c r="O159" s="1586"/>
      <c r="P159" s="1586"/>
      <c r="Q159" s="1586"/>
    </row>
    <row r="160" spans="3:17">
      <c r="C160" s="1586"/>
      <c r="D160" s="1586"/>
      <c r="E160" s="1586"/>
      <c r="G160" s="1586"/>
      <c r="H160" s="1586"/>
      <c r="I160" s="1586"/>
      <c r="K160" s="1586"/>
      <c r="L160" s="1586"/>
      <c r="M160" s="1586"/>
      <c r="O160" s="1586"/>
      <c r="P160" s="1586"/>
      <c r="Q160" s="1586"/>
    </row>
    <row r="161" spans="3:17">
      <c r="C161" s="1586"/>
      <c r="D161" s="1586"/>
      <c r="E161" s="1586"/>
      <c r="G161" s="1586"/>
      <c r="H161" s="1586"/>
      <c r="I161" s="1586"/>
      <c r="K161" s="1586"/>
      <c r="L161" s="1586"/>
      <c r="M161" s="1586"/>
      <c r="O161" s="1586"/>
      <c r="P161" s="1586"/>
      <c r="Q161" s="1586"/>
    </row>
    <row r="162" spans="3:17">
      <c r="C162" s="1586"/>
      <c r="D162" s="1586"/>
      <c r="E162" s="1586"/>
      <c r="G162" s="1586"/>
      <c r="H162" s="1586"/>
      <c r="I162" s="1586"/>
      <c r="K162" s="1586"/>
      <c r="L162" s="1586"/>
      <c r="M162" s="1586"/>
      <c r="O162" s="1586"/>
      <c r="P162" s="1586"/>
      <c r="Q162" s="1586"/>
    </row>
    <row r="163" spans="3:17">
      <c r="C163" s="1586"/>
      <c r="D163" s="1586"/>
      <c r="E163" s="1586"/>
      <c r="G163" s="1586"/>
      <c r="H163" s="1586"/>
      <c r="I163" s="1586"/>
      <c r="K163" s="1586"/>
      <c r="L163" s="1586"/>
      <c r="M163" s="1586"/>
      <c r="O163" s="1586"/>
      <c r="P163" s="1586"/>
      <c r="Q163" s="1586"/>
    </row>
    <row r="164" spans="3:17">
      <c r="C164" s="1586"/>
      <c r="D164" s="1586"/>
      <c r="E164" s="1586"/>
      <c r="G164" s="1586"/>
      <c r="H164" s="1586"/>
      <c r="I164" s="1586"/>
      <c r="K164" s="1586"/>
      <c r="L164" s="1586"/>
      <c r="M164" s="1586"/>
      <c r="O164" s="1586"/>
      <c r="P164" s="1586"/>
      <c r="Q164" s="1586"/>
    </row>
    <row r="165" spans="3:17">
      <c r="C165" s="1586"/>
      <c r="D165" s="1586"/>
      <c r="E165" s="1586"/>
      <c r="G165" s="1586"/>
      <c r="H165" s="1586"/>
      <c r="I165" s="1586"/>
      <c r="K165" s="1586"/>
      <c r="L165" s="1586"/>
      <c r="M165" s="1586"/>
      <c r="O165" s="1586"/>
      <c r="P165" s="1586"/>
      <c r="Q165" s="1586"/>
    </row>
    <row r="166" spans="3:17">
      <c r="C166" s="1586"/>
      <c r="D166" s="1586"/>
      <c r="E166" s="1586"/>
      <c r="G166" s="1586"/>
      <c r="H166" s="1586"/>
      <c r="I166" s="1586"/>
      <c r="K166" s="1586"/>
      <c r="L166" s="1586"/>
      <c r="M166" s="1586"/>
      <c r="O166" s="1586"/>
      <c r="P166" s="1586"/>
      <c r="Q166" s="1586"/>
    </row>
    <row r="167" spans="3:17">
      <c r="C167" s="1586"/>
      <c r="D167" s="1586"/>
      <c r="E167" s="1586"/>
      <c r="G167" s="1586"/>
      <c r="H167" s="1586"/>
      <c r="I167" s="1586"/>
      <c r="K167" s="1586"/>
      <c r="L167" s="1586"/>
      <c r="M167" s="1586"/>
      <c r="O167" s="1586"/>
      <c r="P167" s="1586"/>
      <c r="Q167" s="1586"/>
    </row>
    <row r="168" spans="3:17">
      <c r="C168" s="1586"/>
      <c r="D168" s="1586"/>
      <c r="E168" s="1586"/>
      <c r="G168" s="1586"/>
      <c r="H168" s="1586"/>
      <c r="I168" s="1586"/>
      <c r="K168" s="1586"/>
      <c r="L168" s="1586"/>
      <c r="M168" s="1586"/>
      <c r="O168" s="1586"/>
      <c r="P168" s="1586"/>
      <c r="Q168" s="1586"/>
    </row>
    <row r="169" spans="3:17">
      <c r="C169" s="1586"/>
      <c r="D169" s="1586"/>
      <c r="E169" s="1586"/>
      <c r="G169" s="1586"/>
      <c r="H169" s="1586"/>
      <c r="I169" s="1586"/>
      <c r="K169" s="1586"/>
      <c r="L169" s="1586"/>
      <c r="M169" s="1586"/>
      <c r="O169" s="1586"/>
      <c r="P169" s="1586"/>
      <c r="Q169" s="1586"/>
    </row>
    <row r="170" spans="3:17">
      <c r="C170" s="1586"/>
      <c r="D170" s="1586"/>
      <c r="E170" s="1586"/>
      <c r="G170" s="1586"/>
      <c r="H170" s="1586"/>
      <c r="I170" s="1586"/>
      <c r="K170" s="1586"/>
      <c r="L170" s="1586"/>
      <c r="M170" s="1586"/>
      <c r="O170" s="1586"/>
      <c r="P170" s="1586"/>
      <c r="Q170" s="1586"/>
    </row>
    <row r="171" spans="3:17">
      <c r="C171" s="1586"/>
      <c r="D171" s="1586"/>
      <c r="E171" s="1586"/>
      <c r="G171" s="1586"/>
      <c r="H171" s="1586"/>
      <c r="I171" s="1586"/>
      <c r="K171" s="1586"/>
      <c r="L171" s="1586"/>
      <c r="M171" s="1586"/>
      <c r="O171" s="1586"/>
      <c r="P171" s="1586"/>
      <c r="Q171" s="1586"/>
    </row>
    <row r="172" spans="3:17">
      <c r="C172" s="1586"/>
      <c r="D172" s="1586"/>
      <c r="E172" s="1586"/>
      <c r="G172" s="1586"/>
      <c r="H172" s="1586"/>
      <c r="I172" s="1586"/>
      <c r="K172" s="1586"/>
      <c r="L172" s="1586"/>
      <c r="M172" s="1586"/>
      <c r="O172" s="1586"/>
      <c r="P172" s="1586"/>
      <c r="Q172" s="1586"/>
    </row>
    <row r="173" spans="3:17">
      <c r="C173" s="1586"/>
      <c r="D173" s="1586"/>
      <c r="E173" s="1586"/>
      <c r="G173" s="1586"/>
      <c r="H173" s="1586"/>
      <c r="I173" s="1586"/>
      <c r="K173" s="1586"/>
      <c r="L173" s="1586"/>
      <c r="M173" s="1586"/>
      <c r="O173" s="1586"/>
      <c r="P173" s="1586"/>
      <c r="Q173" s="1586"/>
    </row>
    <row r="174" spans="3:17">
      <c r="C174" s="1586"/>
      <c r="D174" s="1586"/>
      <c r="E174" s="1586"/>
      <c r="G174" s="1586"/>
      <c r="H174" s="1586"/>
      <c r="I174" s="1586"/>
      <c r="K174" s="1586"/>
      <c r="L174" s="1586"/>
      <c r="M174" s="1586"/>
      <c r="O174" s="1586"/>
      <c r="P174" s="1586"/>
      <c r="Q174" s="1586"/>
    </row>
    <row r="175" spans="3:17">
      <c r="C175" s="1586"/>
      <c r="D175" s="1586"/>
      <c r="E175" s="1586"/>
      <c r="G175" s="1586"/>
      <c r="H175" s="1586"/>
      <c r="I175" s="1586"/>
      <c r="K175" s="1586"/>
      <c r="L175" s="1586"/>
      <c r="M175" s="1586"/>
      <c r="O175" s="1586"/>
      <c r="P175" s="1586"/>
      <c r="Q175" s="1586"/>
    </row>
    <row r="176" spans="3:17">
      <c r="C176" s="1586"/>
      <c r="D176" s="1586"/>
      <c r="E176" s="1586"/>
      <c r="G176" s="1586"/>
      <c r="H176" s="1586"/>
      <c r="I176" s="1586"/>
      <c r="K176" s="1586"/>
      <c r="L176" s="1586"/>
      <c r="M176" s="1586"/>
      <c r="O176" s="1586"/>
      <c r="P176" s="1586"/>
      <c r="Q176" s="1586"/>
    </row>
    <row r="177" spans="3:17">
      <c r="C177" s="1586"/>
      <c r="D177" s="1586"/>
      <c r="E177" s="1586"/>
      <c r="G177" s="1586"/>
      <c r="H177" s="1586"/>
      <c r="I177" s="1586"/>
      <c r="K177" s="1586"/>
      <c r="L177" s="1586"/>
      <c r="M177" s="1586"/>
      <c r="O177" s="1586"/>
      <c r="P177" s="1586"/>
      <c r="Q177" s="1586"/>
    </row>
    <row r="178" spans="3:17">
      <c r="C178" s="1586"/>
      <c r="D178" s="1586"/>
      <c r="E178" s="1586"/>
      <c r="G178" s="1586"/>
      <c r="H178" s="1586"/>
      <c r="I178" s="1586"/>
      <c r="K178" s="1586"/>
      <c r="L178" s="1586"/>
      <c r="M178" s="1586"/>
      <c r="O178" s="1586"/>
      <c r="P178" s="1586"/>
      <c r="Q178" s="1586"/>
    </row>
    <row r="179" spans="3:17">
      <c r="C179" s="1586"/>
      <c r="D179" s="1586"/>
      <c r="E179" s="1586"/>
      <c r="G179" s="1586"/>
      <c r="H179" s="1586"/>
      <c r="I179" s="1586"/>
      <c r="K179" s="1586"/>
      <c r="L179" s="1586"/>
      <c r="M179" s="1586"/>
      <c r="O179" s="1586"/>
      <c r="P179" s="1586"/>
      <c r="Q179" s="1586"/>
    </row>
    <row r="180" spans="3:17">
      <c r="C180" s="1586"/>
      <c r="D180" s="1586"/>
      <c r="E180" s="1586"/>
      <c r="G180" s="1586"/>
      <c r="H180" s="1586"/>
      <c r="I180" s="1586"/>
      <c r="K180" s="1586"/>
      <c r="L180" s="1586"/>
      <c r="M180" s="1586"/>
      <c r="O180" s="1586"/>
      <c r="P180" s="1586"/>
      <c r="Q180" s="1586"/>
    </row>
    <row r="181" spans="3:17">
      <c r="C181" s="1586"/>
      <c r="D181" s="1586"/>
      <c r="E181" s="1586"/>
      <c r="G181" s="1586"/>
      <c r="H181" s="1586"/>
      <c r="I181" s="1586"/>
      <c r="K181" s="1586"/>
      <c r="L181" s="1586"/>
      <c r="M181" s="1586"/>
      <c r="O181" s="1586"/>
      <c r="P181" s="1586"/>
      <c r="Q181" s="1586"/>
    </row>
    <row r="182" spans="3:17">
      <c r="C182" s="1586"/>
      <c r="D182" s="1586"/>
      <c r="E182" s="1586"/>
      <c r="G182" s="1586"/>
      <c r="H182" s="1586"/>
      <c r="I182" s="1586"/>
      <c r="K182" s="1586"/>
      <c r="L182" s="1586"/>
      <c r="M182" s="1586"/>
      <c r="O182" s="1586"/>
      <c r="P182" s="1586"/>
      <c r="Q182" s="1586"/>
    </row>
    <row r="183" spans="3:17">
      <c r="C183" s="1586"/>
      <c r="D183" s="1586"/>
      <c r="E183" s="1586"/>
      <c r="G183" s="1586"/>
      <c r="H183" s="1586"/>
      <c r="I183" s="1586"/>
      <c r="K183" s="1586"/>
      <c r="L183" s="1586"/>
      <c r="M183" s="1586"/>
      <c r="O183" s="1586"/>
      <c r="P183" s="1586"/>
      <c r="Q183" s="1586"/>
    </row>
    <row r="184" spans="3:17">
      <c r="C184" s="1586"/>
      <c r="D184" s="1586"/>
      <c r="E184" s="1586"/>
      <c r="G184" s="1586"/>
      <c r="H184" s="1586"/>
      <c r="I184" s="1586"/>
      <c r="K184" s="1586"/>
      <c r="L184" s="1586"/>
      <c r="M184" s="1586"/>
      <c r="O184" s="1586"/>
      <c r="P184" s="1586"/>
      <c r="Q184" s="1586"/>
    </row>
    <row r="185" spans="3:17">
      <c r="C185" s="1586"/>
      <c r="D185" s="1586"/>
      <c r="E185" s="1586"/>
      <c r="G185" s="1586"/>
      <c r="H185" s="1586"/>
      <c r="I185" s="1586"/>
      <c r="K185" s="1586"/>
      <c r="L185" s="1586"/>
      <c r="M185" s="1586"/>
      <c r="O185" s="1586"/>
      <c r="P185" s="1586"/>
      <c r="Q185" s="1586"/>
    </row>
    <row r="186" spans="3:17">
      <c r="C186" s="1586"/>
      <c r="D186" s="1586"/>
      <c r="E186" s="1586"/>
      <c r="G186" s="1586"/>
      <c r="H186" s="1586"/>
      <c r="I186" s="1586"/>
      <c r="K186" s="1586"/>
      <c r="L186" s="1586"/>
      <c r="M186" s="1586"/>
      <c r="O186" s="1586"/>
      <c r="P186" s="1586"/>
      <c r="Q186" s="1586"/>
    </row>
    <row r="187" spans="3:17">
      <c r="C187" s="1586"/>
      <c r="D187" s="1586"/>
      <c r="E187" s="1586"/>
      <c r="G187" s="1586"/>
      <c r="H187" s="1586"/>
      <c r="I187" s="1586"/>
      <c r="K187" s="1586"/>
      <c r="L187" s="1586"/>
      <c r="M187" s="1586"/>
      <c r="O187" s="1586"/>
      <c r="P187" s="1586"/>
      <c r="Q187" s="1586"/>
    </row>
    <row r="188" spans="3:17">
      <c r="C188" s="1586"/>
      <c r="D188" s="1586"/>
      <c r="E188" s="1586"/>
      <c r="G188" s="1586"/>
      <c r="H188" s="1586"/>
      <c r="I188" s="1586"/>
      <c r="K188" s="1586"/>
      <c r="L188" s="1586"/>
      <c r="M188" s="1586"/>
      <c r="O188" s="1586"/>
      <c r="P188" s="1586"/>
      <c r="Q188" s="1586"/>
    </row>
    <row r="189" spans="3:17">
      <c r="C189" s="1586"/>
      <c r="D189" s="1586"/>
      <c r="E189" s="1586"/>
      <c r="G189" s="1586"/>
      <c r="H189" s="1586"/>
      <c r="I189" s="1586"/>
      <c r="K189" s="1586"/>
      <c r="L189" s="1586"/>
      <c r="M189" s="1586"/>
      <c r="O189" s="1586"/>
      <c r="P189" s="1586"/>
      <c r="Q189" s="1586"/>
    </row>
    <row r="190" spans="3:17">
      <c r="C190" s="1586"/>
      <c r="D190" s="1586"/>
      <c r="E190" s="1586"/>
      <c r="G190" s="1586"/>
      <c r="H190" s="1586"/>
      <c r="I190" s="1586"/>
      <c r="K190" s="1586"/>
      <c r="L190" s="1586"/>
      <c r="M190" s="1586"/>
      <c r="O190" s="1586"/>
      <c r="P190" s="1586"/>
      <c r="Q190" s="1586"/>
    </row>
    <row r="191" spans="3:17">
      <c r="C191" s="1586"/>
      <c r="D191" s="1586"/>
      <c r="E191" s="1586"/>
      <c r="G191" s="1586"/>
      <c r="H191" s="1586"/>
      <c r="I191" s="1586"/>
      <c r="K191" s="1586"/>
      <c r="L191" s="1586"/>
      <c r="M191" s="1586"/>
      <c r="O191" s="1586"/>
      <c r="P191" s="1586"/>
      <c r="Q191" s="1586"/>
    </row>
    <row r="192" spans="3:17">
      <c r="C192" s="1586"/>
      <c r="D192" s="1586"/>
      <c r="E192" s="1586"/>
      <c r="G192" s="1586"/>
      <c r="H192" s="1586"/>
      <c r="I192" s="1586"/>
      <c r="K192" s="1586"/>
      <c r="L192" s="1586"/>
      <c r="M192" s="1586"/>
      <c r="O192" s="1586"/>
      <c r="P192" s="1586"/>
      <c r="Q192" s="1586"/>
    </row>
    <row r="193" spans="3:17">
      <c r="C193" s="1586"/>
      <c r="D193" s="1586"/>
      <c r="E193" s="1586"/>
      <c r="G193" s="1586"/>
      <c r="H193" s="1586"/>
      <c r="I193" s="1586"/>
      <c r="K193" s="1586"/>
      <c r="L193" s="1586"/>
      <c r="M193" s="1586"/>
      <c r="O193" s="1586"/>
      <c r="P193" s="1586"/>
      <c r="Q193" s="1586"/>
    </row>
    <row r="194" spans="3:17">
      <c r="C194" s="1586"/>
      <c r="D194" s="1586"/>
      <c r="E194" s="1586"/>
      <c r="G194" s="1586"/>
      <c r="H194" s="1586"/>
      <c r="I194" s="1586"/>
      <c r="K194" s="1586"/>
      <c r="L194" s="1586"/>
      <c r="M194" s="1586"/>
      <c r="O194" s="1586"/>
      <c r="P194" s="1586"/>
      <c r="Q194" s="1586"/>
    </row>
    <row r="195" spans="3:17">
      <c r="C195" s="1586"/>
      <c r="D195" s="1586"/>
      <c r="E195" s="1586"/>
      <c r="G195" s="1586"/>
      <c r="H195" s="1586"/>
      <c r="I195" s="1586"/>
      <c r="K195" s="1586"/>
      <c r="L195" s="1586"/>
      <c r="M195" s="1586"/>
      <c r="O195" s="1586"/>
      <c r="P195" s="1586"/>
      <c r="Q195" s="1586"/>
    </row>
    <row r="196" spans="3:17">
      <c r="C196" s="1586"/>
      <c r="D196" s="1586"/>
      <c r="E196" s="1586"/>
      <c r="G196" s="1586"/>
      <c r="H196" s="1586"/>
      <c r="I196" s="1586"/>
      <c r="K196" s="1586"/>
      <c r="L196" s="1586"/>
      <c r="M196" s="1586"/>
      <c r="O196" s="1586"/>
      <c r="P196" s="1586"/>
      <c r="Q196" s="1586"/>
    </row>
    <row r="197" spans="3:17">
      <c r="C197" s="1586"/>
      <c r="D197" s="1586"/>
      <c r="E197" s="1586"/>
      <c r="G197" s="1586"/>
      <c r="H197" s="1586"/>
      <c r="I197" s="1586"/>
      <c r="K197" s="1586"/>
      <c r="L197" s="1586"/>
      <c r="M197" s="1586"/>
      <c r="O197" s="1586"/>
      <c r="P197" s="1586"/>
      <c r="Q197" s="1586"/>
    </row>
    <row r="198" spans="3:17">
      <c r="C198" s="1586"/>
      <c r="D198" s="1586"/>
      <c r="E198" s="1586"/>
      <c r="G198" s="1586"/>
      <c r="H198" s="1586"/>
      <c r="I198" s="1586"/>
      <c r="K198" s="1586"/>
      <c r="L198" s="1586"/>
      <c r="M198" s="1586"/>
      <c r="O198" s="1586"/>
      <c r="P198" s="1586"/>
      <c r="Q198" s="1586"/>
    </row>
    <row r="199" spans="3:17">
      <c r="C199" s="1586"/>
      <c r="D199" s="1586"/>
      <c r="E199" s="1586"/>
      <c r="G199" s="1586"/>
      <c r="H199" s="1586"/>
      <c r="I199" s="1586"/>
      <c r="K199" s="1586"/>
      <c r="L199" s="1586"/>
      <c r="M199" s="1586"/>
      <c r="O199" s="1586"/>
      <c r="P199" s="1586"/>
      <c r="Q199" s="1586"/>
    </row>
    <row r="200" spans="3:17">
      <c r="C200" s="1586"/>
      <c r="D200" s="1586"/>
      <c r="E200" s="1586"/>
      <c r="G200" s="1586"/>
      <c r="H200" s="1586"/>
      <c r="I200" s="1586"/>
      <c r="K200" s="1586"/>
      <c r="L200" s="1586"/>
      <c r="M200" s="1586"/>
      <c r="O200" s="1586"/>
      <c r="P200" s="1586"/>
      <c r="Q200" s="1586"/>
    </row>
    <row r="201" spans="3:17">
      <c r="C201" s="1586"/>
      <c r="D201" s="1586"/>
      <c r="E201" s="1586"/>
      <c r="G201" s="1586"/>
      <c r="H201" s="1586"/>
      <c r="I201" s="1586"/>
      <c r="K201" s="1586"/>
      <c r="L201" s="1586"/>
      <c r="M201" s="1586"/>
      <c r="O201" s="1586"/>
      <c r="P201" s="1586"/>
      <c r="Q201" s="1586"/>
    </row>
    <row r="202" spans="3:17">
      <c r="C202" s="1586"/>
      <c r="D202" s="1586"/>
      <c r="E202" s="1586"/>
      <c r="G202" s="1586"/>
      <c r="H202" s="1586"/>
      <c r="I202" s="1586"/>
      <c r="K202" s="1586"/>
      <c r="L202" s="1586"/>
      <c r="M202" s="1586"/>
      <c r="O202" s="1586"/>
      <c r="P202" s="1586"/>
      <c r="Q202" s="1586"/>
    </row>
    <row r="203" spans="3:17">
      <c r="C203" s="1586"/>
      <c r="D203" s="1586"/>
      <c r="E203" s="1586"/>
      <c r="G203" s="1586"/>
      <c r="H203" s="1586"/>
      <c r="I203" s="1586"/>
      <c r="K203" s="1586"/>
      <c r="L203" s="1586"/>
      <c r="M203" s="1586"/>
      <c r="O203" s="1586"/>
      <c r="P203" s="1586"/>
      <c r="Q203" s="1586"/>
    </row>
    <row r="204" spans="3:17">
      <c r="C204" s="1586"/>
      <c r="D204" s="1586"/>
      <c r="E204" s="1586"/>
      <c r="G204" s="1586"/>
      <c r="H204" s="1586"/>
      <c r="I204" s="1586"/>
      <c r="K204" s="1586"/>
      <c r="L204" s="1586"/>
      <c r="M204" s="1586"/>
      <c r="O204" s="1586"/>
      <c r="P204" s="1586"/>
      <c r="Q204" s="1586"/>
    </row>
    <row r="205" spans="3:17">
      <c r="C205" s="1586"/>
      <c r="D205" s="1586"/>
      <c r="E205" s="1586"/>
      <c r="G205" s="1586"/>
      <c r="H205" s="1586"/>
      <c r="I205" s="1586"/>
      <c r="K205" s="1586"/>
      <c r="L205" s="1586"/>
      <c r="M205" s="1586"/>
      <c r="O205" s="1586"/>
      <c r="P205" s="1586"/>
      <c r="Q205" s="1586"/>
    </row>
    <row r="206" spans="3:17">
      <c r="C206" s="1586"/>
      <c r="D206" s="1586"/>
      <c r="E206" s="1586"/>
      <c r="G206" s="1586"/>
      <c r="H206" s="1586"/>
      <c r="I206" s="1586"/>
      <c r="K206" s="1586"/>
      <c r="L206" s="1586"/>
      <c r="M206" s="1586"/>
      <c r="O206" s="1586"/>
      <c r="P206" s="1586"/>
      <c r="Q206" s="1586"/>
    </row>
    <row r="207" spans="3:17">
      <c r="C207" s="1586"/>
      <c r="D207" s="1586"/>
      <c r="E207" s="1586"/>
      <c r="G207" s="1586"/>
      <c r="H207" s="1586"/>
      <c r="I207" s="1586"/>
      <c r="K207" s="1586"/>
      <c r="L207" s="1586"/>
      <c r="M207" s="1586"/>
      <c r="O207" s="1586"/>
      <c r="P207" s="1586"/>
      <c r="Q207" s="1586"/>
    </row>
    <row r="208" spans="3:17">
      <c r="C208" s="1586"/>
      <c r="D208" s="1586"/>
      <c r="E208" s="1586"/>
      <c r="G208" s="1586"/>
      <c r="H208" s="1586"/>
      <c r="I208" s="1586"/>
      <c r="K208" s="1586"/>
      <c r="L208" s="1586"/>
      <c r="M208" s="1586"/>
      <c r="O208" s="1586"/>
      <c r="P208" s="1586"/>
      <c r="Q208" s="1586"/>
    </row>
    <row r="209" spans="3:17">
      <c r="C209" s="1586"/>
      <c r="D209" s="1586"/>
      <c r="E209" s="1586"/>
      <c r="G209" s="1586"/>
      <c r="H209" s="1586"/>
      <c r="I209" s="1586"/>
      <c r="K209" s="1586"/>
      <c r="L209" s="1586"/>
      <c r="M209" s="1586"/>
      <c r="O209" s="1586"/>
      <c r="P209" s="1586"/>
      <c r="Q209" s="1586"/>
    </row>
    <row r="210" spans="3:17">
      <c r="C210" s="1586"/>
      <c r="D210" s="1586"/>
      <c r="E210" s="1586"/>
      <c r="G210" s="1586"/>
      <c r="H210" s="1586"/>
      <c r="I210" s="1586"/>
      <c r="K210" s="1586"/>
      <c r="L210" s="1586"/>
      <c r="M210" s="1586"/>
      <c r="O210" s="1586"/>
      <c r="P210" s="1586"/>
      <c r="Q210" s="1586"/>
    </row>
    <row r="211" spans="3:17">
      <c r="C211" s="1586"/>
      <c r="D211" s="1586"/>
      <c r="E211" s="1586"/>
      <c r="G211" s="1586"/>
      <c r="H211" s="1586"/>
      <c r="I211" s="1586"/>
      <c r="K211" s="1586"/>
      <c r="L211" s="1586"/>
      <c r="M211" s="1586"/>
      <c r="O211" s="1586"/>
      <c r="P211" s="1586"/>
      <c r="Q211" s="1586"/>
    </row>
    <row r="212" spans="3:17">
      <c r="C212" s="1586"/>
      <c r="D212" s="1586"/>
      <c r="E212" s="1586"/>
      <c r="G212" s="1586"/>
      <c r="H212" s="1586"/>
      <c r="I212" s="1586"/>
      <c r="K212" s="1586"/>
      <c r="L212" s="1586"/>
      <c r="M212" s="1586"/>
      <c r="O212" s="1586"/>
      <c r="P212" s="1586"/>
      <c r="Q212" s="1586"/>
    </row>
    <row r="213" spans="3:17">
      <c r="C213" s="1586"/>
      <c r="D213" s="1586"/>
      <c r="E213" s="1586"/>
      <c r="G213" s="1586"/>
      <c r="H213" s="1586"/>
      <c r="I213" s="1586"/>
      <c r="K213" s="1586"/>
      <c r="L213" s="1586"/>
      <c r="M213" s="1586"/>
      <c r="O213" s="1586"/>
      <c r="P213" s="1586"/>
      <c r="Q213" s="1586"/>
    </row>
    <row r="214" spans="3:17">
      <c r="C214" s="1586"/>
      <c r="D214" s="1586"/>
      <c r="E214" s="1586"/>
      <c r="G214" s="1586"/>
      <c r="H214" s="1586"/>
      <c r="I214" s="1586"/>
      <c r="K214" s="1586"/>
      <c r="L214" s="1586"/>
      <c r="M214" s="1586"/>
      <c r="O214" s="1586"/>
      <c r="P214" s="1586"/>
      <c r="Q214" s="1586"/>
    </row>
    <row r="215" spans="3:17">
      <c r="C215" s="1586"/>
      <c r="D215" s="1586"/>
      <c r="E215" s="1586"/>
      <c r="G215" s="1586"/>
      <c r="H215" s="1586"/>
      <c r="I215" s="1586"/>
      <c r="K215" s="1586"/>
      <c r="L215" s="1586"/>
      <c r="M215" s="1586"/>
      <c r="O215" s="1586"/>
      <c r="P215" s="1586"/>
      <c r="Q215" s="1586"/>
    </row>
    <row r="216" spans="3:17">
      <c r="C216" s="1586"/>
      <c r="D216" s="1586"/>
      <c r="E216" s="1586"/>
      <c r="G216" s="1586"/>
      <c r="H216" s="1586"/>
      <c r="I216" s="1586"/>
      <c r="K216" s="1586"/>
      <c r="L216" s="1586"/>
      <c r="M216" s="1586"/>
      <c r="O216" s="1586"/>
      <c r="P216" s="1586"/>
      <c r="Q216" s="1586"/>
    </row>
    <row r="217" spans="3:17">
      <c r="C217" s="1586"/>
      <c r="D217" s="1586"/>
      <c r="E217" s="1586"/>
      <c r="G217" s="1586"/>
      <c r="H217" s="1586"/>
      <c r="I217" s="1586"/>
      <c r="K217" s="1586"/>
      <c r="L217" s="1586"/>
      <c r="M217" s="1586"/>
      <c r="O217" s="1586"/>
      <c r="P217" s="1586"/>
      <c r="Q217" s="1586"/>
    </row>
    <row r="218" spans="3:17">
      <c r="C218" s="1586"/>
      <c r="D218" s="1586"/>
      <c r="E218" s="1586"/>
      <c r="G218" s="1586"/>
      <c r="H218" s="1586"/>
      <c r="I218" s="1586"/>
      <c r="K218" s="1586"/>
      <c r="L218" s="1586"/>
      <c r="M218" s="1586"/>
      <c r="O218" s="1586"/>
      <c r="P218" s="1586"/>
      <c r="Q218" s="1586"/>
    </row>
    <row r="219" spans="3:17">
      <c r="C219" s="1586"/>
      <c r="D219" s="1586"/>
      <c r="E219" s="1586"/>
      <c r="G219" s="1586"/>
      <c r="H219" s="1586"/>
      <c r="I219" s="1586"/>
      <c r="K219" s="1586"/>
      <c r="L219" s="1586"/>
      <c r="M219" s="1586"/>
      <c r="O219" s="1586"/>
      <c r="P219" s="1586"/>
      <c r="Q219" s="1586"/>
    </row>
    <row r="220" spans="3:17">
      <c r="C220" s="1586"/>
      <c r="D220" s="1586"/>
      <c r="E220" s="1586"/>
      <c r="G220" s="1586"/>
      <c r="H220" s="1586"/>
      <c r="I220" s="1586"/>
      <c r="K220" s="1586"/>
      <c r="L220" s="1586"/>
      <c r="M220" s="1586"/>
      <c r="O220" s="1586"/>
      <c r="P220" s="1586"/>
      <c r="Q220" s="1586"/>
    </row>
    <row r="221" spans="3:17">
      <c r="C221" s="1586"/>
      <c r="D221" s="1586"/>
      <c r="E221" s="1586"/>
      <c r="G221" s="1586"/>
      <c r="H221" s="1586"/>
      <c r="I221" s="1586"/>
      <c r="K221" s="1586"/>
      <c r="L221" s="1586"/>
      <c r="M221" s="1586"/>
      <c r="O221" s="1586"/>
      <c r="P221" s="1586"/>
      <c r="Q221" s="1586"/>
    </row>
    <row r="222" spans="3:17">
      <c r="C222" s="1586"/>
      <c r="D222" s="1586"/>
      <c r="E222" s="1586"/>
      <c r="G222" s="1586"/>
      <c r="H222" s="1586"/>
      <c r="I222" s="1586"/>
      <c r="K222" s="1586"/>
      <c r="L222" s="1586"/>
      <c r="M222" s="1586"/>
      <c r="O222" s="1586"/>
      <c r="P222" s="1586"/>
      <c r="Q222" s="1586"/>
    </row>
    <row r="223" spans="3:17">
      <c r="C223" s="1586"/>
      <c r="D223" s="1586"/>
      <c r="E223" s="1586"/>
      <c r="G223" s="1586"/>
      <c r="H223" s="1586"/>
      <c r="I223" s="1586"/>
      <c r="K223" s="1586"/>
      <c r="L223" s="1586"/>
      <c r="M223" s="1586"/>
      <c r="O223" s="1586"/>
      <c r="P223" s="1586"/>
      <c r="Q223" s="1586"/>
    </row>
    <row r="224" spans="3:17">
      <c r="C224" s="1593"/>
      <c r="D224" s="1593"/>
      <c r="E224" s="1593"/>
      <c r="G224" s="1593"/>
      <c r="H224" s="1593"/>
      <c r="I224" s="1593"/>
      <c r="K224" s="1593"/>
      <c r="L224" s="1593"/>
      <c r="M224" s="1593"/>
      <c r="O224" s="1593"/>
      <c r="P224" s="1593"/>
      <c r="Q224" s="1593"/>
    </row>
    <row r="225" spans="3:17">
      <c r="C225" s="1593"/>
      <c r="D225" s="1593"/>
      <c r="E225" s="1593"/>
      <c r="G225" s="1593"/>
      <c r="H225" s="1593"/>
      <c r="I225" s="1593"/>
      <c r="K225" s="1593"/>
      <c r="L225" s="1593"/>
      <c r="M225" s="1593"/>
      <c r="O225" s="1593"/>
      <c r="P225" s="1593"/>
      <c r="Q225" s="1593"/>
    </row>
    <row r="226" spans="3:17">
      <c r="C226" s="1593"/>
      <c r="D226" s="1593"/>
      <c r="E226" s="1593"/>
      <c r="G226" s="1593"/>
      <c r="H226" s="1593"/>
      <c r="I226" s="1593"/>
      <c r="K226" s="1593"/>
      <c r="L226" s="1593"/>
      <c r="M226" s="1593"/>
      <c r="O226" s="1593"/>
      <c r="P226" s="1593"/>
      <c r="Q226" s="1593"/>
    </row>
    <row r="227" spans="3:17">
      <c r="C227" s="1593"/>
      <c r="D227" s="1593"/>
      <c r="E227" s="1593"/>
      <c r="G227" s="1593"/>
      <c r="H227" s="1593"/>
      <c r="I227" s="1593"/>
      <c r="K227" s="1593"/>
      <c r="L227" s="1593"/>
      <c r="M227" s="1593"/>
      <c r="O227" s="1593"/>
      <c r="P227" s="1593"/>
      <c r="Q227" s="1593"/>
    </row>
    <row r="228" spans="3:17">
      <c r="C228" s="1593"/>
      <c r="D228" s="1593"/>
      <c r="E228" s="1593"/>
      <c r="G228" s="1593"/>
      <c r="H228" s="1593"/>
      <c r="I228" s="1593"/>
      <c r="K228" s="1593"/>
      <c r="L228" s="1593"/>
      <c r="M228" s="1593"/>
      <c r="O228" s="1593"/>
      <c r="P228" s="1593"/>
      <c r="Q228" s="1593"/>
    </row>
    <row r="229" spans="3:17">
      <c r="C229" s="1593"/>
      <c r="D229" s="1593"/>
      <c r="E229" s="1593"/>
      <c r="G229" s="1593"/>
      <c r="H229" s="1593"/>
      <c r="I229" s="1593"/>
      <c r="K229" s="1593"/>
      <c r="L229" s="1593"/>
      <c r="M229" s="1593"/>
      <c r="O229" s="1593"/>
      <c r="P229" s="1593"/>
      <c r="Q229" s="1593"/>
    </row>
    <row r="230" spans="3:17">
      <c r="C230" s="1593"/>
      <c r="D230" s="1593"/>
      <c r="E230" s="1593"/>
      <c r="G230" s="1593"/>
      <c r="H230" s="1593"/>
      <c r="I230" s="1593"/>
      <c r="K230" s="1593"/>
      <c r="L230" s="1593"/>
      <c r="M230" s="1593"/>
      <c r="O230" s="1593"/>
      <c r="P230" s="1593"/>
      <c r="Q230" s="1593"/>
    </row>
    <row r="231" spans="3:17">
      <c r="C231" s="1593"/>
      <c r="D231" s="1593"/>
      <c r="E231" s="1593"/>
      <c r="G231" s="1593"/>
      <c r="H231" s="1593"/>
      <c r="I231" s="1593"/>
      <c r="K231" s="1593"/>
      <c r="L231" s="1593"/>
      <c r="M231" s="1593"/>
      <c r="O231" s="1593"/>
      <c r="P231" s="1593"/>
      <c r="Q231" s="1593"/>
    </row>
    <row r="232" spans="3:17">
      <c r="C232" s="1593"/>
      <c r="D232" s="1593"/>
      <c r="E232" s="1593"/>
      <c r="G232" s="1593"/>
      <c r="H232" s="1593"/>
      <c r="I232" s="1593"/>
      <c r="K232" s="1593"/>
      <c r="L232" s="1593"/>
      <c r="M232" s="1593"/>
      <c r="O232" s="1593"/>
      <c r="P232" s="1593"/>
      <c r="Q232" s="1593"/>
    </row>
    <row r="233" spans="3:17">
      <c r="C233" s="1593"/>
      <c r="D233" s="1593"/>
      <c r="E233" s="1593"/>
      <c r="G233" s="1593"/>
      <c r="H233" s="1593"/>
      <c r="I233" s="1593"/>
      <c r="K233" s="1593"/>
      <c r="L233" s="1593"/>
      <c r="M233" s="1593"/>
      <c r="O233" s="1593"/>
      <c r="P233" s="1593"/>
      <c r="Q233" s="1593"/>
    </row>
    <row r="234" spans="3:17">
      <c r="C234" s="1593"/>
      <c r="D234" s="1593"/>
      <c r="E234" s="1593"/>
      <c r="G234" s="1593"/>
      <c r="H234" s="1593"/>
      <c r="I234" s="1593"/>
      <c r="K234" s="1593"/>
      <c r="L234" s="1593"/>
      <c r="M234" s="1593"/>
      <c r="O234" s="1593"/>
      <c r="P234" s="1593"/>
      <c r="Q234" s="1593"/>
    </row>
    <row r="235" spans="3:17">
      <c r="C235" s="1593"/>
      <c r="D235" s="1593"/>
      <c r="E235" s="1593"/>
      <c r="G235" s="1593"/>
      <c r="H235" s="1593"/>
      <c r="I235" s="1593"/>
      <c r="K235" s="1593"/>
      <c r="L235" s="1593"/>
      <c r="M235" s="1593"/>
      <c r="O235" s="1593"/>
      <c r="P235" s="1593"/>
      <c r="Q235" s="1593"/>
    </row>
    <row r="236" spans="3:17">
      <c r="C236" s="1593"/>
      <c r="D236" s="1593"/>
      <c r="E236" s="1593"/>
      <c r="G236" s="1593"/>
      <c r="H236" s="1593"/>
      <c r="I236" s="1593"/>
      <c r="K236" s="1593"/>
      <c r="L236" s="1593"/>
      <c r="M236" s="1593"/>
      <c r="O236" s="1593"/>
      <c r="P236" s="1593"/>
      <c r="Q236" s="1593"/>
    </row>
    <row r="237" spans="3:17">
      <c r="C237" s="1593"/>
      <c r="D237" s="1593"/>
      <c r="E237" s="1593"/>
      <c r="G237" s="1593"/>
      <c r="H237" s="1593"/>
      <c r="I237" s="1593"/>
      <c r="K237" s="1593"/>
      <c r="L237" s="1593"/>
      <c r="M237" s="1593"/>
      <c r="O237" s="1593"/>
      <c r="P237" s="1593"/>
      <c r="Q237" s="1593"/>
    </row>
    <row r="238" spans="3:17">
      <c r="C238" s="1593"/>
      <c r="D238" s="1593"/>
      <c r="E238" s="1593"/>
      <c r="G238" s="1593"/>
      <c r="H238" s="1593"/>
      <c r="I238" s="1593"/>
      <c r="K238" s="1593"/>
      <c r="L238" s="1593"/>
      <c r="M238" s="1593"/>
      <c r="O238" s="1593"/>
      <c r="P238" s="1593"/>
      <c r="Q238" s="1593"/>
    </row>
    <row r="239" spans="3:17">
      <c r="C239" s="1593"/>
      <c r="D239" s="1593"/>
      <c r="E239" s="1593"/>
      <c r="G239" s="1593"/>
      <c r="H239" s="1593"/>
      <c r="I239" s="1593"/>
      <c r="K239" s="1593"/>
      <c r="L239" s="1593"/>
      <c r="M239" s="1593"/>
      <c r="O239" s="1593"/>
      <c r="P239" s="1593"/>
      <c r="Q239" s="1593"/>
    </row>
    <row r="240" spans="3:17">
      <c r="C240" s="1593"/>
      <c r="D240" s="1593"/>
      <c r="E240" s="1593"/>
      <c r="G240" s="1593"/>
      <c r="H240" s="1593"/>
      <c r="I240" s="1593"/>
      <c r="K240" s="1593"/>
      <c r="L240" s="1593"/>
      <c r="M240" s="1593"/>
      <c r="O240" s="1593"/>
      <c r="P240" s="1593"/>
      <c r="Q240" s="1593"/>
    </row>
    <row r="241" spans="3:17">
      <c r="C241" s="1593"/>
      <c r="D241" s="1593"/>
      <c r="E241" s="1593"/>
      <c r="G241" s="1593"/>
      <c r="H241" s="1593"/>
      <c r="I241" s="1593"/>
      <c r="K241" s="1593"/>
      <c r="L241" s="1593"/>
      <c r="M241" s="1593"/>
      <c r="O241" s="1593"/>
      <c r="P241" s="1593"/>
      <c r="Q241" s="1593"/>
    </row>
    <row r="242" spans="3:17">
      <c r="C242" s="1593"/>
      <c r="D242" s="1593"/>
      <c r="E242" s="1593"/>
      <c r="G242" s="1593"/>
      <c r="H242" s="1593"/>
      <c r="I242" s="1593"/>
      <c r="K242" s="1593"/>
      <c r="L242" s="1593"/>
      <c r="M242" s="1593"/>
      <c r="O242" s="1593"/>
      <c r="P242" s="1593"/>
      <c r="Q242" s="1593"/>
    </row>
    <row r="243" spans="3:17">
      <c r="C243" s="1593"/>
      <c r="D243" s="1593"/>
      <c r="E243" s="1593"/>
      <c r="G243" s="1593"/>
      <c r="H243" s="1593"/>
      <c r="I243" s="1593"/>
      <c r="K243" s="1593"/>
      <c r="L243" s="1593"/>
      <c r="M243" s="1593"/>
      <c r="O243" s="1593"/>
      <c r="P243" s="1593"/>
      <c r="Q243" s="1593"/>
    </row>
    <row r="244" spans="3:17">
      <c r="C244" s="1593"/>
      <c r="D244" s="1593"/>
      <c r="E244" s="1593"/>
      <c r="G244" s="1593"/>
      <c r="H244" s="1593"/>
      <c r="I244" s="1593"/>
      <c r="K244" s="1593"/>
      <c r="L244" s="1593"/>
      <c r="M244" s="1593"/>
      <c r="O244" s="1593"/>
      <c r="P244" s="1593"/>
      <c r="Q244" s="1593"/>
    </row>
    <row r="245" spans="3:17">
      <c r="C245" s="1593"/>
      <c r="D245" s="1593"/>
      <c r="E245" s="1593"/>
      <c r="G245" s="1593"/>
      <c r="H245" s="1593"/>
      <c r="I245" s="1593"/>
      <c r="K245" s="1593"/>
      <c r="L245" s="1593"/>
      <c r="M245" s="1593"/>
      <c r="O245" s="1593"/>
      <c r="P245" s="1593"/>
      <c r="Q245" s="1593"/>
    </row>
    <row r="246" spans="3:17">
      <c r="C246" s="1593"/>
      <c r="D246" s="1593"/>
      <c r="E246" s="1593"/>
      <c r="G246" s="1593"/>
      <c r="H246" s="1593"/>
      <c r="I246" s="1593"/>
      <c r="K246" s="1593"/>
      <c r="L246" s="1593"/>
      <c r="M246" s="1593"/>
      <c r="O246" s="1593"/>
      <c r="P246" s="1593"/>
      <c r="Q246" s="1593"/>
    </row>
    <row r="247" spans="3:17">
      <c r="C247" s="1593"/>
      <c r="D247" s="1593"/>
      <c r="E247" s="1593"/>
      <c r="G247" s="1593"/>
      <c r="H247" s="1593"/>
      <c r="I247" s="1593"/>
      <c r="K247" s="1593"/>
      <c r="L247" s="1593"/>
      <c r="M247" s="1593"/>
      <c r="O247" s="1593"/>
      <c r="P247" s="1593"/>
      <c r="Q247" s="1593"/>
    </row>
    <row r="248" spans="3:17">
      <c r="C248" s="1593"/>
      <c r="D248" s="1593"/>
      <c r="E248" s="1593"/>
      <c r="G248" s="1593"/>
      <c r="H248" s="1593"/>
      <c r="I248" s="1593"/>
      <c r="K248" s="1593"/>
      <c r="L248" s="1593"/>
      <c r="M248" s="1593"/>
      <c r="O248" s="1593"/>
      <c r="P248" s="1593"/>
      <c r="Q248" s="1593"/>
    </row>
    <row r="249" spans="3:17">
      <c r="C249" s="1593"/>
      <c r="D249" s="1593"/>
      <c r="E249" s="1593"/>
      <c r="G249" s="1593"/>
      <c r="H249" s="1593"/>
      <c r="I249" s="1593"/>
      <c r="K249" s="1593"/>
      <c r="L249" s="1593"/>
      <c r="M249" s="1593"/>
      <c r="O249" s="1593"/>
      <c r="P249" s="1593"/>
      <c r="Q249" s="1593"/>
    </row>
    <row r="250" spans="3:17">
      <c r="C250" s="1593"/>
      <c r="D250" s="1593"/>
      <c r="E250" s="1593"/>
      <c r="G250" s="1593"/>
      <c r="H250" s="1593"/>
      <c r="I250" s="1593"/>
      <c r="K250" s="1593"/>
      <c r="L250" s="1593"/>
      <c r="M250" s="1593"/>
      <c r="O250" s="1593"/>
      <c r="P250" s="1593"/>
      <c r="Q250" s="1593"/>
    </row>
    <row r="251" spans="3:17">
      <c r="C251" s="1593"/>
      <c r="D251" s="1593"/>
      <c r="E251" s="1593"/>
      <c r="G251" s="1593"/>
      <c r="H251" s="1593"/>
      <c r="I251" s="1593"/>
      <c r="K251" s="1593"/>
      <c r="L251" s="1593"/>
      <c r="M251" s="1593"/>
      <c r="O251" s="1593"/>
      <c r="P251" s="1593"/>
      <c r="Q251" s="1593"/>
    </row>
    <row r="252" spans="3:17">
      <c r="C252" s="1593"/>
      <c r="D252" s="1593"/>
      <c r="E252" s="1593"/>
      <c r="G252" s="1593"/>
      <c r="H252" s="1593"/>
      <c r="I252" s="1593"/>
      <c r="K252" s="1593"/>
      <c r="L252" s="1593"/>
      <c r="M252" s="1593"/>
      <c r="O252" s="1593"/>
      <c r="P252" s="1593"/>
      <c r="Q252" s="1593"/>
    </row>
    <row r="253" spans="3:17">
      <c r="C253" s="1593"/>
      <c r="D253" s="1593"/>
      <c r="E253" s="1593"/>
      <c r="G253" s="1593"/>
      <c r="H253" s="1593"/>
      <c r="I253" s="1593"/>
      <c r="K253" s="1593"/>
      <c r="L253" s="1593"/>
      <c r="M253" s="1593"/>
      <c r="O253" s="1593"/>
      <c r="P253" s="1593"/>
      <c r="Q253" s="1593"/>
    </row>
    <row r="254" spans="3:17">
      <c r="C254" s="1593"/>
      <c r="D254" s="1593"/>
      <c r="E254" s="1593"/>
      <c r="G254" s="1593"/>
      <c r="H254" s="1593"/>
      <c r="I254" s="1593"/>
      <c r="K254" s="1593"/>
      <c r="L254" s="1593"/>
      <c r="M254" s="1593"/>
      <c r="O254" s="1593"/>
      <c r="P254" s="1593"/>
      <c r="Q254" s="1593"/>
    </row>
    <row r="255" spans="3:17">
      <c r="C255" s="1593"/>
      <c r="D255" s="1593"/>
      <c r="E255" s="1593"/>
      <c r="G255" s="1593"/>
      <c r="H255" s="1593"/>
      <c r="I255" s="1593"/>
      <c r="K255" s="1593"/>
      <c r="L255" s="1593"/>
      <c r="M255" s="1593"/>
      <c r="O255" s="1593"/>
      <c r="P255" s="1593"/>
      <c r="Q255" s="1593"/>
    </row>
    <row r="256" spans="3:17">
      <c r="C256" s="1593"/>
      <c r="D256" s="1593"/>
      <c r="E256" s="1593"/>
      <c r="G256" s="1593"/>
      <c r="H256" s="1593"/>
      <c r="I256" s="1593"/>
      <c r="K256" s="1593"/>
      <c r="L256" s="1593"/>
      <c r="M256" s="1593"/>
      <c r="O256" s="1593"/>
      <c r="P256" s="1593"/>
      <c r="Q256" s="1593"/>
    </row>
    <row r="257" spans="3:17">
      <c r="C257" s="1593"/>
      <c r="D257" s="1593"/>
      <c r="E257" s="1593"/>
      <c r="G257" s="1593"/>
      <c r="H257" s="1593"/>
      <c r="I257" s="1593"/>
      <c r="K257" s="1593"/>
      <c r="L257" s="1593"/>
      <c r="M257" s="1593"/>
      <c r="O257" s="1593"/>
      <c r="P257" s="1593"/>
      <c r="Q257" s="1593"/>
    </row>
    <row r="258" spans="3:17">
      <c r="C258" s="1593"/>
      <c r="D258" s="1593"/>
      <c r="E258" s="1593"/>
      <c r="G258" s="1593"/>
      <c r="H258" s="1593"/>
      <c r="I258" s="1593"/>
      <c r="K258" s="1593"/>
      <c r="L258" s="1593"/>
      <c r="M258" s="1593"/>
      <c r="O258" s="1593"/>
      <c r="P258" s="1593"/>
      <c r="Q258" s="1593"/>
    </row>
    <row r="259" spans="3:17">
      <c r="C259" s="1593"/>
      <c r="D259" s="1593"/>
      <c r="E259" s="1593"/>
      <c r="G259" s="1593"/>
      <c r="H259" s="1593"/>
      <c r="I259" s="1593"/>
      <c r="K259" s="1593"/>
      <c r="L259" s="1593"/>
      <c r="M259" s="1593"/>
      <c r="O259" s="1593"/>
      <c r="P259" s="1593"/>
      <c r="Q259" s="1593"/>
    </row>
    <row r="260" spans="3:17">
      <c r="C260" s="1593"/>
      <c r="D260" s="1593"/>
      <c r="E260" s="1593"/>
      <c r="G260" s="1593"/>
      <c r="H260" s="1593"/>
      <c r="I260" s="1593"/>
      <c r="K260" s="1593"/>
      <c r="L260" s="1593"/>
      <c r="M260" s="1593"/>
      <c r="O260" s="1593"/>
      <c r="P260" s="1593"/>
      <c r="Q260" s="1593"/>
    </row>
    <row r="261" spans="3:17">
      <c r="C261" s="1593"/>
      <c r="D261" s="1593"/>
      <c r="E261" s="1593"/>
      <c r="G261" s="1593"/>
      <c r="H261" s="1593"/>
      <c r="I261" s="1593"/>
      <c r="K261" s="1593"/>
      <c r="L261" s="1593"/>
      <c r="M261" s="1593"/>
      <c r="O261" s="1593"/>
      <c r="P261" s="1593"/>
      <c r="Q261" s="1593"/>
    </row>
    <row r="262" spans="3:17">
      <c r="C262" s="1593"/>
      <c r="D262" s="1593"/>
      <c r="E262" s="1593"/>
      <c r="G262" s="1593"/>
      <c r="H262" s="1593"/>
      <c r="I262" s="1593"/>
      <c r="K262" s="1593"/>
      <c r="L262" s="1593"/>
      <c r="M262" s="1593"/>
      <c r="O262" s="1593"/>
      <c r="P262" s="1593"/>
      <c r="Q262" s="1593"/>
    </row>
    <row r="263" spans="3:17">
      <c r="C263" s="1593"/>
      <c r="D263" s="1593"/>
      <c r="E263" s="1593"/>
      <c r="G263" s="1593"/>
      <c r="H263" s="1593"/>
      <c r="I263" s="1593"/>
      <c r="K263" s="1593"/>
      <c r="L263" s="1593"/>
      <c r="M263" s="1593"/>
      <c r="O263" s="1593"/>
      <c r="P263" s="1593"/>
      <c r="Q263" s="1593"/>
    </row>
    <row r="264" spans="3:17">
      <c r="C264" s="1593"/>
      <c r="D264" s="1593"/>
      <c r="E264" s="1593"/>
      <c r="G264" s="1593"/>
      <c r="H264" s="1593"/>
      <c r="I264" s="1593"/>
      <c r="K264" s="1593"/>
      <c r="L264" s="1593"/>
      <c r="M264" s="1593"/>
      <c r="O264" s="1593"/>
      <c r="P264" s="1593"/>
      <c r="Q264" s="1593"/>
    </row>
    <row r="265" spans="3:17">
      <c r="C265" s="1593"/>
      <c r="D265" s="1593"/>
      <c r="E265" s="1593"/>
      <c r="G265" s="1593"/>
      <c r="H265" s="1593"/>
      <c r="I265" s="1593"/>
      <c r="K265" s="1593"/>
      <c r="L265" s="1593"/>
      <c r="M265" s="1593"/>
      <c r="O265" s="1593"/>
      <c r="P265" s="1593"/>
      <c r="Q265" s="1593"/>
    </row>
    <row r="266" spans="3:17">
      <c r="C266" s="1593"/>
      <c r="D266" s="1593"/>
      <c r="E266" s="1593"/>
      <c r="G266" s="1593"/>
      <c r="H266" s="1593"/>
      <c r="I266" s="1593"/>
      <c r="K266" s="1593"/>
      <c r="L266" s="1593"/>
      <c r="M266" s="1593"/>
      <c r="O266" s="1593"/>
      <c r="P266" s="1593"/>
      <c r="Q266" s="1593"/>
    </row>
    <row r="267" spans="3:17">
      <c r="C267" s="1593"/>
      <c r="D267" s="1593"/>
      <c r="E267" s="1593"/>
      <c r="G267" s="1593"/>
      <c r="H267" s="1593"/>
      <c r="I267" s="1593"/>
      <c r="K267" s="1593"/>
      <c r="L267" s="1593"/>
      <c r="M267" s="1593"/>
      <c r="O267" s="1593"/>
      <c r="P267" s="1593"/>
      <c r="Q267" s="1593"/>
    </row>
    <row r="268" spans="3:17">
      <c r="C268" s="1593"/>
      <c r="D268" s="1593"/>
      <c r="E268" s="1593"/>
      <c r="G268" s="1593"/>
      <c r="H268" s="1593"/>
      <c r="I268" s="1593"/>
      <c r="K268" s="1593"/>
      <c r="L268" s="1593"/>
      <c r="M268" s="1593"/>
      <c r="O268" s="1593"/>
      <c r="P268" s="1593"/>
      <c r="Q268" s="1593"/>
    </row>
    <row r="269" spans="3:17">
      <c r="C269" s="1593"/>
      <c r="D269" s="1593"/>
      <c r="E269" s="1593"/>
      <c r="G269" s="1593"/>
      <c r="H269" s="1593"/>
      <c r="I269" s="1593"/>
      <c r="K269" s="1593"/>
      <c r="L269" s="1593"/>
      <c r="M269" s="1593"/>
      <c r="O269" s="1593"/>
      <c r="P269" s="1593"/>
      <c r="Q269" s="1593"/>
    </row>
    <row r="270" spans="3:17">
      <c r="C270" s="1593"/>
      <c r="D270" s="1593"/>
      <c r="E270" s="1593"/>
      <c r="G270" s="1593"/>
      <c r="H270" s="1593"/>
      <c r="I270" s="1593"/>
      <c r="K270" s="1593"/>
      <c r="L270" s="1593"/>
      <c r="M270" s="1593"/>
      <c r="O270" s="1593"/>
      <c r="P270" s="1593"/>
      <c r="Q270" s="1593"/>
    </row>
    <row r="271" spans="3:17">
      <c r="C271" s="1593"/>
      <c r="D271" s="1593"/>
      <c r="E271" s="1593"/>
      <c r="G271" s="1593"/>
      <c r="H271" s="1593"/>
      <c r="I271" s="1593"/>
      <c r="K271" s="1593"/>
      <c r="L271" s="1593"/>
      <c r="M271" s="1593"/>
      <c r="O271" s="1593"/>
      <c r="P271" s="1593"/>
      <c r="Q271" s="1593"/>
    </row>
    <row r="272" spans="3:17">
      <c r="C272" s="1593"/>
      <c r="D272" s="1593"/>
      <c r="E272" s="1593"/>
      <c r="G272" s="1593"/>
      <c r="H272" s="1593"/>
      <c r="I272" s="1593"/>
      <c r="K272" s="1593"/>
      <c r="L272" s="1593"/>
      <c r="M272" s="1593"/>
      <c r="O272" s="1593"/>
      <c r="P272" s="1593"/>
      <c r="Q272" s="1593"/>
    </row>
    <row r="273" spans="3:17">
      <c r="C273" s="1593"/>
      <c r="D273" s="1593"/>
      <c r="E273" s="1593"/>
      <c r="G273" s="1593"/>
      <c r="H273" s="1593"/>
      <c r="I273" s="1593"/>
      <c r="K273" s="1593"/>
      <c r="L273" s="1593"/>
      <c r="M273" s="1593"/>
      <c r="O273" s="1593"/>
      <c r="P273" s="1593"/>
      <c r="Q273" s="1593"/>
    </row>
    <row r="274" spans="3:17">
      <c r="C274" s="1593"/>
      <c r="D274" s="1593"/>
      <c r="E274" s="1593"/>
      <c r="G274" s="1593"/>
      <c r="H274" s="1593"/>
      <c r="I274" s="1593"/>
      <c r="K274" s="1593"/>
      <c r="L274" s="1593"/>
      <c r="M274" s="1593"/>
      <c r="O274" s="1593"/>
      <c r="P274" s="1593"/>
      <c r="Q274" s="1593"/>
    </row>
    <row r="275" spans="3:17">
      <c r="C275" s="1593"/>
      <c r="D275" s="1593"/>
      <c r="E275" s="1593"/>
      <c r="G275" s="1593"/>
      <c r="H275" s="1593"/>
      <c r="I275" s="1593"/>
      <c r="K275" s="1593"/>
      <c r="L275" s="1593"/>
      <c r="M275" s="1593"/>
      <c r="O275" s="1593"/>
      <c r="P275" s="1593"/>
      <c r="Q275" s="1593"/>
    </row>
    <row r="276" spans="3:17">
      <c r="C276" s="1593"/>
      <c r="D276" s="1593"/>
      <c r="E276" s="1593"/>
      <c r="G276" s="1593"/>
      <c r="H276" s="1593"/>
      <c r="I276" s="1593"/>
      <c r="K276" s="1593"/>
      <c r="L276" s="1593"/>
      <c r="M276" s="1593"/>
      <c r="O276" s="1593"/>
      <c r="P276" s="1593"/>
      <c r="Q276" s="1593"/>
    </row>
    <row r="277" spans="3:17">
      <c r="C277" s="1593"/>
      <c r="D277" s="1593"/>
      <c r="E277" s="1593"/>
      <c r="G277" s="1593"/>
      <c r="H277" s="1593"/>
      <c r="I277" s="1593"/>
      <c r="K277" s="1593"/>
      <c r="L277" s="1593"/>
      <c r="M277" s="1593"/>
      <c r="O277" s="1593"/>
      <c r="P277" s="1593"/>
      <c r="Q277" s="1593"/>
    </row>
    <row r="278" spans="3:17">
      <c r="C278" s="1593"/>
      <c r="D278" s="1593"/>
      <c r="E278" s="1593"/>
      <c r="G278" s="1593"/>
      <c r="H278" s="1593"/>
      <c r="I278" s="1593"/>
      <c r="K278" s="1593"/>
      <c r="L278" s="1593"/>
      <c r="M278" s="1593"/>
      <c r="O278" s="1593"/>
      <c r="P278" s="1593"/>
      <c r="Q278" s="1593"/>
    </row>
    <row r="279" spans="3:17">
      <c r="C279" s="1593"/>
      <c r="D279" s="1593"/>
      <c r="E279" s="1593"/>
      <c r="G279" s="1593"/>
      <c r="H279" s="1593"/>
      <c r="I279" s="1593"/>
      <c r="K279" s="1593"/>
      <c r="L279" s="1593"/>
      <c r="M279" s="1593"/>
      <c r="O279" s="1593"/>
      <c r="P279" s="1593"/>
      <c r="Q279" s="1593"/>
    </row>
    <row r="280" spans="3:17">
      <c r="C280" s="1593"/>
      <c r="D280" s="1593"/>
      <c r="E280" s="1593"/>
      <c r="G280" s="1593"/>
      <c r="H280" s="1593"/>
      <c r="I280" s="1593"/>
      <c r="K280" s="1593"/>
      <c r="L280" s="1593"/>
      <c r="M280" s="1593"/>
      <c r="O280" s="1593"/>
      <c r="P280" s="1593"/>
      <c r="Q280" s="1593"/>
    </row>
    <row r="281" spans="3:17">
      <c r="C281" s="1593"/>
      <c r="D281" s="1593"/>
      <c r="E281" s="1593"/>
      <c r="G281" s="1593"/>
      <c r="H281" s="1593"/>
      <c r="I281" s="1593"/>
      <c r="K281" s="1593"/>
      <c r="L281" s="1593"/>
      <c r="M281" s="1593"/>
      <c r="O281" s="1593"/>
      <c r="P281" s="1593"/>
      <c r="Q281" s="1593"/>
    </row>
    <row r="282" spans="3:17">
      <c r="C282" s="1593"/>
      <c r="D282" s="1593"/>
      <c r="E282" s="1593"/>
      <c r="G282" s="1593"/>
      <c r="H282" s="1593"/>
      <c r="I282" s="1593"/>
      <c r="K282" s="1593"/>
      <c r="L282" s="1593"/>
      <c r="M282" s="1593"/>
      <c r="O282" s="1593"/>
      <c r="P282" s="1593"/>
      <c r="Q282" s="1593"/>
    </row>
    <row r="283" spans="3:17">
      <c r="C283" s="1593"/>
      <c r="D283" s="1593"/>
      <c r="E283" s="1593"/>
      <c r="G283" s="1593"/>
      <c r="H283" s="1593"/>
      <c r="I283" s="1593"/>
      <c r="K283" s="1593"/>
      <c r="L283" s="1593"/>
      <c r="M283" s="1593"/>
      <c r="O283" s="1593"/>
      <c r="P283" s="1593"/>
      <c r="Q283" s="1593"/>
    </row>
    <row r="284" spans="3:17">
      <c r="C284" s="1593"/>
      <c r="D284" s="1593"/>
      <c r="E284" s="1593"/>
      <c r="G284" s="1593"/>
      <c r="H284" s="1593"/>
      <c r="I284" s="1593"/>
      <c r="K284" s="1593"/>
      <c r="L284" s="1593"/>
      <c r="M284" s="1593"/>
      <c r="O284" s="1593"/>
      <c r="P284" s="1593"/>
      <c r="Q284" s="1593"/>
    </row>
    <row r="285" spans="3:17">
      <c r="C285" s="1593"/>
      <c r="D285" s="1593"/>
      <c r="E285" s="1593"/>
      <c r="G285" s="1593"/>
      <c r="H285" s="1593"/>
      <c r="I285" s="1593"/>
      <c r="K285" s="1593"/>
      <c r="L285" s="1593"/>
      <c r="M285" s="1593"/>
      <c r="O285" s="1593"/>
      <c r="P285" s="1593"/>
      <c r="Q285" s="1593"/>
    </row>
    <row r="286" spans="3:17">
      <c r="C286" s="1593"/>
      <c r="D286" s="1593"/>
      <c r="E286" s="1593"/>
      <c r="G286" s="1593"/>
      <c r="H286" s="1593"/>
      <c r="I286" s="1593"/>
      <c r="K286" s="1593"/>
      <c r="L286" s="1593"/>
      <c r="M286" s="1593"/>
      <c r="O286" s="1593"/>
      <c r="P286" s="1593"/>
      <c r="Q286" s="1593"/>
    </row>
    <row r="287" spans="3:17">
      <c r="C287" s="1593"/>
      <c r="D287" s="1593"/>
      <c r="E287" s="1593"/>
      <c r="G287" s="1593"/>
      <c r="H287" s="1593"/>
      <c r="I287" s="1593"/>
      <c r="K287" s="1593"/>
      <c r="L287" s="1593"/>
      <c r="M287" s="1593"/>
      <c r="O287" s="1593"/>
      <c r="P287" s="1593"/>
      <c r="Q287" s="1593"/>
    </row>
    <row r="288" spans="3:17">
      <c r="C288" s="1593"/>
      <c r="D288" s="1593"/>
      <c r="E288" s="1593"/>
      <c r="G288" s="1593"/>
      <c r="H288" s="1593"/>
      <c r="I288" s="1593"/>
      <c r="K288" s="1593"/>
      <c r="L288" s="1593"/>
      <c r="M288" s="1593"/>
      <c r="O288" s="1593"/>
      <c r="P288" s="1593"/>
      <c r="Q288" s="1593"/>
    </row>
    <row r="289" spans="3:17">
      <c r="C289" s="1593"/>
      <c r="D289" s="1593"/>
      <c r="E289" s="1593"/>
      <c r="G289" s="1593"/>
      <c r="H289" s="1593"/>
      <c r="I289" s="1593"/>
      <c r="K289" s="1593"/>
      <c r="L289" s="1593"/>
      <c r="M289" s="1593"/>
      <c r="O289" s="1593"/>
      <c r="P289" s="1593"/>
      <c r="Q289" s="1593"/>
    </row>
  </sheetData>
  <mergeCells count="7">
    <mergeCell ref="C3:M3"/>
    <mergeCell ref="C4:M4"/>
    <mergeCell ref="C5:M5"/>
    <mergeCell ref="C6:M6"/>
    <mergeCell ref="C8:E8"/>
    <mergeCell ref="G8:I8"/>
    <mergeCell ref="K8:M8"/>
  </mergeCells>
  <pageMargins left="0.7" right="0.7" top="0.75" bottom="0.75" header="0.3" footer="0.3"/>
  <pageSetup orientation="landscape"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83">
    <tabColor theme="8" tint="0.39997558519241921"/>
  </sheetPr>
  <dimension ref="A1:V87"/>
  <sheetViews>
    <sheetView topLeftCell="A24" workbookViewId="0">
      <selection activeCell="Q48" sqref="Q48"/>
    </sheetView>
  </sheetViews>
  <sheetFormatPr defaultRowHeight="15" outlineLevelCol="1"/>
  <cols>
    <col min="1" max="4" width="2.1640625" style="1723" customWidth="1"/>
    <col min="5" max="5" width="47" style="1723" customWidth="1"/>
    <col min="6" max="13" width="16.83203125" style="1723" hidden="1" customWidth="1" outlineLevel="1"/>
    <col min="14" max="16" width="19.5" style="1723" hidden="1" customWidth="1" outlineLevel="1"/>
    <col min="17" max="17" width="19.5" style="1723" customWidth="1" collapsed="1"/>
    <col min="18" max="19" width="19.5" style="1723" customWidth="1"/>
    <col min="20" max="20" width="17" style="1723" customWidth="1"/>
    <col min="21" max="21" width="14.33203125" style="1723" customWidth="1"/>
    <col min="22" max="22" width="17.6640625" style="1723" customWidth="1"/>
    <col min="23" max="16384" width="9.33203125" style="1723"/>
  </cols>
  <sheetData>
    <row r="1" spans="1:19" s="1724" customFormat="1" ht="12.75">
      <c r="A1" s="1749" t="s">
        <v>2941</v>
      </c>
      <c r="B1" s="1747"/>
      <c r="C1" s="1747"/>
      <c r="D1" s="1747"/>
      <c r="E1" s="1747"/>
      <c r="F1" s="1747"/>
      <c r="G1" s="1747"/>
      <c r="H1" s="1747"/>
      <c r="I1" s="1747"/>
      <c r="J1" s="1747"/>
      <c r="K1" s="1747"/>
      <c r="L1" s="1747"/>
      <c r="M1" s="1747"/>
      <c r="N1" s="1747"/>
      <c r="O1" s="1746"/>
    </row>
    <row r="2" spans="1:19" s="1724" customFormat="1" ht="12.75">
      <c r="A2" s="1749" t="s">
        <v>3381</v>
      </c>
      <c r="B2" s="1747"/>
      <c r="C2" s="1747"/>
      <c r="D2" s="1747"/>
      <c r="E2" s="1747"/>
      <c r="F2" s="1747"/>
      <c r="G2" s="1747"/>
      <c r="H2" s="1747"/>
      <c r="I2" s="1747"/>
      <c r="J2" s="1747"/>
      <c r="K2" s="1747"/>
      <c r="L2" s="1747"/>
      <c r="M2" s="1747"/>
      <c r="N2" s="1747"/>
      <c r="O2" s="1748"/>
    </row>
    <row r="3" spans="1:19" s="1724" customFormat="1" ht="12.75">
      <c r="A3" s="1747"/>
      <c r="B3" s="1747"/>
      <c r="C3" s="1747"/>
      <c r="D3" s="1747"/>
      <c r="E3" s="1747"/>
      <c r="F3" s="1747"/>
      <c r="G3" s="1747"/>
      <c r="H3" s="1747"/>
      <c r="I3" s="1747"/>
      <c r="J3" s="1747"/>
      <c r="K3" s="1747"/>
      <c r="L3" s="1747"/>
      <c r="M3" s="1747"/>
      <c r="N3" s="1747"/>
      <c r="O3" s="1746"/>
      <c r="S3" s="1745" t="s">
        <v>3560</v>
      </c>
    </row>
    <row r="4" spans="1:19" s="1724" customFormat="1" ht="13.5" thickBot="1">
      <c r="A4" s="1744"/>
      <c r="B4" s="1744"/>
      <c r="C4" s="1744"/>
      <c r="D4" s="1744"/>
      <c r="E4" s="1744"/>
      <c r="F4" s="1743" t="s">
        <v>3559</v>
      </c>
      <c r="G4" s="1743" t="s">
        <v>3558</v>
      </c>
      <c r="H4" s="1743" t="s">
        <v>3557</v>
      </c>
      <c r="I4" s="1743" t="s">
        <v>3556</v>
      </c>
      <c r="J4" s="1743" t="s">
        <v>3555</v>
      </c>
      <c r="K4" s="1743" t="s">
        <v>3554</v>
      </c>
      <c r="L4" s="1743" t="s">
        <v>3553</v>
      </c>
      <c r="M4" s="1743" t="s">
        <v>3552</v>
      </c>
      <c r="N4" s="1743" t="s">
        <v>3551</v>
      </c>
      <c r="O4" s="1743" t="s">
        <v>3550</v>
      </c>
      <c r="P4" s="1743" t="s">
        <v>3549</v>
      </c>
      <c r="Q4" s="1743" t="s">
        <v>3548</v>
      </c>
      <c r="S4" s="1742" t="s">
        <v>3547</v>
      </c>
    </row>
    <row r="5" spans="1:19" s="1724" customFormat="1" ht="13.5" thickTop="1">
      <c r="A5" s="1731" t="s">
        <v>3383</v>
      </c>
      <c r="B5" s="1731"/>
      <c r="C5" s="1731"/>
      <c r="D5" s="1731"/>
      <c r="E5" s="1731"/>
      <c r="F5" s="1731"/>
      <c r="G5" s="1731"/>
      <c r="H5" s="1731"/>
      <c r="I5" s="1731"/>
      <c r="J5" s="1731"/>
      <c r="K5" s="1731"/>
      <c r="L5" s="1731"/>
      <c r="M5" s="1741"/>
      <c r="N5" s="1741"/>
      <c r="O5" s="1741"/>
      <c r="S5" s="1732"/>
    </row>
    <row r="6" spans="1:19" s="1724" customFormat="1" ht="12.75">
      <c r="A6" s="1731"/>
      <c r="B6" s="1731" t="s">
        <v>216</v>
      </c>
      <c r="C6" s="1731"/>
      <c r="D6" s="1731"/>
      <c r="E6" s="1731"/>
      <c r="F6" s="1731"/>
      <c r="G6" s="1731"/>
      <c r="H6" s="1731"/>
      <c r="I6" s="1731"/>
      <c r="J6" s="1731"/>
      <c r="K6" s="1731"/>
      <c r="L6" s="1731"/>
      <c r="M6" s="1741"/>
      <c r="N6" s="1741"/>
      <c r="O6" s="1741"/>
      <c r="S6" s="1732"/>
    </row>
    <row r="7" spans="1:19" s="1724" customFormat="1" ht="12.75">
      <c r="A7" s="1731"/>
      <c r="B7" s="1731"/>
      <c r="C7" s="1731" t="s">
        <v>3546</v>
      </c>
      <c r="D7" s="1731"/>
      <c r="E7" s="1731"/>
      <c r="F7" s="1731"/>
      <c r="G7" s="1731"/>
      <c r="H7" s="1731"/>
      <c r="I7" s="1731"/>
      <c r="J7" s="1731"/>
      <c r="K7" s="1731"/>
      <c r="L7" s="1731"/>
      <c r="M7" s="1741"/>
      <c r="N7" s="1741"/>
      <c r="O7" s="1741"/>
      <c r="S7" s="1732"/>
    </row>
    <row r="8" spans="1:19" s="1724" customFormat="1" ht="12.75">
      <c r="A8" s="1731"/>
      <c r="B8" s="1731"/>
      <c r="C8" s="1731"/>
      <c r="D8" s="1731" t="s">
        <v>3545</v>
      </c>
      <c r="E8" s="1731"/>
      <c r="F8" s="1733">
        <v>63500.68</v>
      </c>
      <c r="G8" s="1733">
        <v>121868.21</v>
      </c>
      <c r="H8" s="1733">
        <v>-94027.55</v>
      </c>
      <c r="I8" s="1733">
        <v>102592.4</v>
      </c>
      <c r="J8" s="1733">
        <v>717149.59</v>
      </c>
      <c r="K8" s="1733">
        <v>373426.62</v>
      </c>
      <c r="L8" s="1733">
        <v>44800.9</v>
      </c>
      <c r="M8" s="1733">
        <v>-122162.51</v>
      </c>
      <c r="N8" s="1733">
        <v>751025.5</v>
      </c>
      <c r="O8" s="1733">
        <v>534759.92000000004</v>
      </c>
      <c r="P8" s="1733">
        <v>982101.32</v>
      </c>
      <c r="Q8" s="1733">
        <v>79159.350000000006</v>
      </c>
      <c r="S8" s="1732">
        <v>250000.85</v>
      </c>
    </row>
    <row r="9" spans="1:19" s="1724" customFormat="1" ht="12.75">
      <c r="A9" s="1731"/>
      <c r="B9" s="1731"/>
      <c r="C9" s="1731"/>
      <c r="D9" s="1731" t="s">
        <v>3544</v>
      </c>
      <c r="E9" s="1731"/>
      <c r="F9" s="1733">
        <v>16777.599999999999</v>
      </c>
      <c r="G9" s="1733">
        <v>8588.81</v>
      </c>
      <c r="H9" s="1733">
        <v>8685</v>
      </c>
      <c r="I9" s="1733">
        <v>5249.82</v>
      </c>
      <c r="J9" s="1733">
        <v>4688.1099999999997</v>
      </c>
      <c r="K9" s="1733">
        <v>4438.45</v>
      </c>
      <c r="L9" s="1733">
        <v>4201.3999999999996</v>
      </c>
      <c r="M9" s="1733">
        <v>3964.84</v>
      </c>
      <c r="N9" s="1733">
        <v>3847.76</v>
      </c>
      <c r="O9" s="1733">
        <v>3801.1</v>
      </c>
      <c r="P9" s="1733">
        <v>3753.95</v>
      </c>
      <c r="Q9" s="1733">
        <v>3706.6</v>
      </c>
      <c r="S9" s="1732">
        <v>130726.28</v>
      </c>
    </row>
    <row r="10" spans="1:19" s="1724" customFormat="1" ht="12.75">
      <c r="A10" s="1731"/>
      <c r="B10" s="1731"/>
      <c r="C10" s="1731"/>
      <c r="D10" s="1731" t="s">
        <v>3543</v>
      </c>
      <c r="E10" s="1731"/>
      <c r="F10" s="1733">
        <v>2151.5500000000002</v>
      </c>
      <c r="G10" s="1733">
        <v>2152.96</v>
      </c>
      <c r="H10" s="1733">
        <v>2152.96</v>
      </c>
      <c r="I10" s="1733">
        <v>2155.0700000000002</v>
      </c>
      <c r="J10" s="1733">
        <v>2155.0700000000002</v>
      </c>
      <c r="K10" s="1733">
        <v>2157.19</v>
      </c>
      <c r="L10" s="1733">
        <v>2157.19</v>
      </c>
      <c r="M10" s="1733">
        <v>2159.4299999999998</v>
      </c>
      <c r="N10" s="1733">
        <v>2160.4899999999998</v>
      </c>
      <c r="O10" s="1733">
        <v>2161.87</v>
      </c>
      <c r="P10" s="1733">
        <v>2163.1999999999998</v>
      </c>
      <c r="Q10" s="1733">
        <v>2164.58</v>
      </c>
      <c r="S10" s="1732">
        <v>2151.5500000000002</v>
      </c>
    </row>
    <row r="11" spans="1:19" s="1724" customFormat="1" ht="12.75">
      <c r="A11" s="1731"/>
      <c r="B11" s="1731"/>
      <c r="C11" s="1731"/>
      <c r="D11" s="1731" t="s">
        <v>3542</v>
      </c>
      <c r="E11" s="1731"/>
      <c r="F11" s="1733">
        <v>0</v>
      </c>
      <c r="G11" s="1733">
        <v>0</v>
      </c>
      <c r="H11" s="1733">
        <v>250000</v>
      </c>
      <c r="I11" s="1733">
        <v>250000</v>
      </c>
      <c r="J11" s="1733">
        <v>250000</v>
      </c>
      <c r="K11" s="1733">
        <v>250000</v>
      </c>
      <c r="L11" s="1733">
        <v>250000</v>
      </c>
      <c r="M11" s="1733">
        <v>250000</v>
      </c>
      <c r="N11" s="1733">
        <v>250000</v>
      </c>
      <c r="O11" s="1733">
        <v>250000</v>
      </c>
      <c r="P11" s="1733">
        <v>250000</v>
      </c>
      <c r="Q11" s="1733">
        <v>250000</v>
      </c>
      <c r="S11" s="1732"/>
    </row>
    <row r="12" spans="1:19" s="1724" customFormat="1" ht="13.5" thickBot="1">
      <c r="A12" s="1731"/>
      <c r="B12" s="1731"/>
      <c r="C12" s="1731"/>
      <c r="D12" s="1731" t="s">
        <v>3541</v>
      </c>
      <c r="E12" s="1731"/>
      <c r="F12" s="1738">
        <v>26486436.02</v>
      </c>
      <c r="G12" s="1738">
        <v>24917698.25</v>
      </c>
      <c r="H12" s="1738">
        <v>24094575.440000001</v>
      </c>
      <c r="I12" s="1738">
        <v>23252680.789999999</v>
      </c>
      <c r="J12" s="1738">
        <v>21514686.329999998</v>
      </c>
      <c r="K12" s="1738">
        <v>20942417.91</v>
      </c>
      <c r="L12" s="1738">
        <v>20369597.219999999</v>
      </c>
      <c r="M12" s="1738">
        <v>18798311.489999998</v>
      </c>
      <c r="N12" s="1738">
        <v>17123581.640000001</v>
      </c>
      <c r="O12" s="1738">
        <v>15949116.65</v>
      </c>
      <c r="P12" s="1738">
        <v>13375768.359999999</v>
      </c>
      <c r="Q12" s="1738">
        <v>13399805.789999999</v>
      </c>
      <c r="S12" s="1737">
        <v>26816353.829999998</v>
      </c>
    </row>
    <row r="13" spans="1:19" s="1724" customFormat="1" ht="12.75">
      <c r="A13" s="1731"/>
      <c r="B13" s="1731"/>
      <c r="C13" s="1731" t="s">
        <v>3540</v>
      </c>
      <c r="D13" s="1731"/>
      <c r="E13" s="1731"/>
      <c r="F13" s="1733">
        <v>26568865.850000001</v>
      </c>
      <c r="G13" s="1733">
        <v>25050308.23</v>
      </c>
      <c r="H13" s="1733">
        <v>24261385.850000001</v>
      </c>
      <c r="I13" s="1733">
        <v>23612678.079999998</v>
      </c>
      <c r="J13" s="1733">
        <v>22488679.100000001</v>
      </c>
      <c r="K13" s="1733">
        <v>21572440.170000002</v>
      </c>
      <c r="L13" s="1733">
        <v>20670756.710000001</v>
      </c>
      <c r="M13" s="1733">
        <v>18932273.25</v>
      </c>
      <c r="N13" s="1733">
        <v>18130615.390000001</v>
      </c>
      <c r="O13" s="1733">
        <v>16739839.539999999</v>
      </c>
      <c r="P13" s="1733">
        <v>14613786.83</v>
      </c>
      <c r="Q13" s="1733">
        <v>13734836.32</v>
      </c>
      <c r="R13" s="1750"/>
      <c r="S13" s="1732">
        <v>27199232.510000002</v>
      </c>
    </row>
    <row r="14" spans="1:19" s="1724" customFormat="1" ht="12.75">
      <c r="A14" s="1731"/>
      <c r="B14" s="1731"/>
      <c r="C14" s="1731" t="s">
        <v>218</v>
      </c>
      <c r="D14" s="1731"/>
      <c r="E14" s="1731"/>
      <c r="F14" s="1733"/>
      <c r="G14" s="1733"/>
      <c r="H14" s="1733"/>
      <c r="I14" s="1733"/>
      <c r="J14" s="1733"/>
      <c r="K14" s="1733"/>
      <c r="L14" s="1733"/>
      <c r="M14" s="1733"/>
      <c r="N14" s="1733"/>
      <c r="O14" s="1733"/>
      <c r="P14" s="1733"/>
      <c r="Q14" s="1733"/>
      <c r="S14" s="1732"/>
    </row>
    <row r="15" spans="1:19" s="1724" customFormat="1" ht="13.5" thickBot="1">
      <c r="A15" s="1731"/>
      <c r="B15" s="1731"/>
      <c r="C15" s="1731"/>
      <c r="D15" s="1731" t="s">
        <v>3539</v>
      </c>
      <c r="E15" s="1731"/>
      <c r="F15" s="1738">
        <v>0</v>
      </c>
      <c r="G15" s="1738">
        <v>0</v>
      </c>
      <c r="H15" s="1738">
        <v>0</v>
      </c>
      <c r="I15" s="1738">
        <v>0</v>
      </c>
      <c r="J15" s="1738">
        <v>0</v>
      </c>
      <c r="K15" s="1738">
        <v>0</v>
      </c>
      <c r="L15" s="1738">
        <v>0</v>
      </c>
      <c r="M15" s="1738">
        <v>0</v>
      </c>
      <c r="N15" s="1738">
        <v>165299.07999999999</v>
      </c>
      <c r="O15" s="1738">
        <v>165299.07999999999</v>
      </c>
      <c r="P15" s="1738">
        <v>67290.210000000006</v>
      </c>
      <c r="Q15" s="1738">
        <v>118218.11</v>
      </c>
      <c r="S15" s="1737">
        <v>126843.47</v>
      </c>
    </row>
    <row r="16" spans="1:19" s="1724" customFormat="1" ht="12.75">
      <c r="A16" s="1731"/>
      <c r="B16" s="1731"/>
      <c r="C16" s="1731" t="s">
        <v>3538</v>
      </c>
      <c r="D16" s="1731"/>
      <c r="E16" s="1731"/>
      <c r="F16" s="1733">
        <v>0</v>
      </c>
      <c r="G16" s="1733">
        <v>0</v>
      </c>
      <c r="H16" s="1733">
        <v>0</v>
      </c>
      <c r="I16" s="1733">
        <v>0</v>
      </c>
      <c r="J16" s="1733">
        <v>0</v>
      </c>
      <c r="K16" s="1733">
        <v>0</v>
      </c>
      <c r="L16" s="1733">
        <v>0</v>
      </c>
      <c r="M16" s="1733">
        <v>0</v>
      </c>
      <c r="N16" s="1733">
        <v>165299.07999999999</v>
      </c>
      <c r="O16" s="1733">
        <v>165299.07999999999</v>
      </c>
      <c r="P16" s="1733">
        <v>67290.210000000006</v>
      </c>
      <c r="Q16" s="1733">
        <v>118218.11</v>
      </c>
      <c r="R16" s="1750"/>
      <c r="S16" s="1732">
        <v>126843.47</v>
      </c>
    </row>
    <row r="17" spans="1:22" s="1724" customFormat="1" ht="12.75">
      <c r="A17" s="1731"/>
      <c r="B17" s="1731"/>
      <c r="C17" s="1731" t="s">
        <v>220</v>
      </c>
      <c r="D17" s="1731"/>
      <c r="E17" s="1731"/>
      <c r="F17" s="1733"/>
      <c r="G17" s="1733"/>
      <c r="H17" s="1733"/>
      <c r="I17" s="1733"/>
      <c r="J17" s="1733"/>
      <c r="K17" s="1733"/>
      <c r="L17" s="1733"/>
      <c r="M17" s="1733"/>
      <c r="N17" s="1733"/>
      <c r="O17" s="1733"/>
      <c r="P17" s="1733"/>
      <c r="Q17" s="1733"/>
      <c r="S17" s="1740"/>
    </row>
    <row r="18" spans="1:22" s="1724" customFormat="1" ht="12.75">
      <c r="A18" s="1731"/>
      <c r="B18" s="1731"/>
      <c r="C18" s="1731"/>
      <c r="D18" s="1731" t="s">
        <v>3537</v>
      </c>
      <c r="E18" s="1731"/>
      <c r="F18" s="1733">
        <v>23008.5</v>
      </c>
      <c r="G18" s="1733">
        <v>23008.5</v>
      </c>
      <c r="H18" s="1733">
        <v>23008.5</v>
      </c>
      <c r="I18" s="1733">
        <v>23008.5</v>
      </c>
      <c r="J18" s="1733">
        <v>23008.5</v>
      </c>
      <c r="K18" s="1733">
        <v>23008.5</v>
      </c>
      <c r="L18" s="1733">
        <v>23008.5</v>
      </c>
      <c r="M18" s="1733">
        <v>23008.5</v>
      </c>
      <c r="N18" s="1733">
        <v>23008.5</v>
      </c>
      <c r="O18" s="1733">
        <v>23008.5</v>
      </c>
      <c r="P18" s="1733">
        <v>23008.5</v>
      </c>
      <c r="Q18" s="1733">
        <v>22997.22</v>
      </c>
      <c r="S18" s="1732">
        <v>23008.5</v>
      </c>
    </row>
    <row r="19" spans="1:22" s="1724" customFormat="1" ht="12.75">
      <c r="A19" s="1731"/>
      <c r="B19" s="1731"/>
      <c r="C19" s="1731"/>
      <c r="D19" s="1731" t="s">
        <v>3536</v>
      </c>
      <c r="E19" s="1731"/>
      <c r="F19" s="1733">
        <v>3.9</v>
      </c>
      <c r="G19" s="1733">
        <v>3.9</v>
      </c>
      <c r="H19" s="1733">
        <v>3.9</v>
      </c>
      <c r="I19" s="1733">
        <v>3.9</v>
      </c>
      <c r="J19" s="1733">
        <v>3.9</v>
      </c>
      <c r="K19" s="1733">
        <v>3.9</v>
      </c>
      <c r="L19" s="1733">
        <v>3.9</v>
      </c>
      <c r="M19" s="1733">
        <v>3.9</v>
      </c>
      <c r="N19" s="1733">
        <v>3.9</v>
      </c>
      <c r="O19" s="1733">
        <v>3.9</v>
      </c>
      <c r="P19" s="1733">
        <v>3.9</v>
      </c>
      <c r="Q19" s="1733">
        <v>3.9</v>
      </c>
      <c r="S19" s="1732">
        <v>3.9</v>
      </c>
    </row>
    <row r="20" spans="1:22" s="1724" customFormat="1" ht="12.75">
      <c r="A20" s="1731"/>
      <c r="B20" s="1731"/>
      <c r="C20" s="1731"/>
      <c r="D20" s="1731" t="s">
        <v>3535</v>
      </c>
      <c r="E20" s="1731"/>
      <c r="F20" s="1733"/>
      <c r="G20" s="1733"/>
      <c r="H20" s="1733"/>
      <c r="I20" s="1733"/>
      <c r="J20" s="1733"/>
      <c r="K20" s="1733"/>
      <c r="L20" s="1733"/>
      <c r="M20" s="1733"/>
      <c r="N20" s="1733"/>
      <c r="O20" s="1733"/>
      <c r="P20" s="1733"/>
      <c r="Q20" s="1733"/>
      <c r="S20" s="1732"/>
    </row>
    <row r="21" spans="1:22" s="1724" customFormat="1" ht="12.75">
      <c r="A21" s="1731"/>
      <c r="B21" s="1731"/>
      <c r="C21" s="1731"/>
      <c r="D21" s="1731"/>
      <c r="E21" s="1731" t="s">
        <v>3534</v>
      </c>
      <c r="F21" s="1733">
        <v>50000</v>
      </c>
      <c r="G21" s="1733">
        <v>50000</v>
      </c>
      <c r="H21" s="1733">
        <v>50000</v>
      </c>
      <c r="I21" s="1733">
        <v>50000</v>
      </c>
      <c r="J21" s="1733">
        <v>50000</v>
      </c>
      <c r="K21" s="1733">
        <v>50000</v>
      </c>
      <c r="L21" s="1733">
        <v>50000</v>
      </c>
      <c r="M21" s="1733">
        <v>50000</v>
      </c>
      <c r="N21" s="1733">
        <v>50000</v>
      </c>
      <c r="O21" s="1733">
        <v>50000</v>
      </c>
      <c r="P21" s="1733">
        <v>50000</v>
      </c>
      <c r="Q21" s="1733">
        <v>50000</v>
      </c>
      <c r="S21" s="1732">
        <v>50000</v>
      </c>
    </row>
    <row r="22" spans="1:22" s="1724" customFormat="1" ht="12.75">
      <c r="A22" s="1731"/>
      <c r="B22" s="1731"/>
      <c r="C22" s="1731"/>
      <c r="D22" s="1731"/>
      <c r="E22" s="1731" t="s">
        <v>3533</v>
      </c>
      <c r="F22" s="1733">
        <v>20000</v>
      </c>
      <c r="G22" s="1733">
        <v>20000</v>
      </c>
      <c r="H22" s="1733">
        <v>20000</v>
      </c>
      <c r="I22" s="1733">
        <v>20000</v>
      </c>
      <c r="J22" s="1733">
        <v>20000</v>
      </c>
      <c r="K22" s="1733">
        <v>20000</v>
      </c>
      <c r="L22" s="1733">
        <v>20000</v>
      </c>
      <c r="M22" s="1733">
        <v>20000</v>
      </c>
      <c r="N22" s="1733">
        <v>20000</v>
      </c>
      <c r="O22" s="1733">
        <v>20000</v>
      </c>
      <c r="P22" s="1733">
        <v>20000</v>
      </c>
      <c r="Q22" s="1733">
        <v>20000</v>
      </c>
      <c r="S22" s="1732">
        <v>20000</v>
      </c>
    </row>
    <row r="23" spans="1:22" s="1724" customFormat="1" ht="13.5" thickBot="1">
      <c r="A23" s="1731"/>
      <c r="B23" s="1731"/>
      <c r="C23" s="1731"/>
      <c r="D23" s="1731"/>
      <c r="E23" s="1731" t="s">
        <v>3532</v>
      </c>
      <c r="F23" s="1738">
        <v>0</v>
      </c>
      <c r="G23" s="1738">
        <v>293396.44</v>
      </c>
      <c r="H23" s="1738">
        <v>293396.44</v>
      </c>
      <c r="I23" s="1738">
        <v>293396.44</v>
      </c>
      <c r="J23" s="1738">
        <v>293396.44</v>
      </c>
      <c r="K23" s="1738">
        <v>293396.44</v>
      </c>
      <c r="L23" s="1738">
        <v>293396.44</v>
      </c>
      <c r="M23" s="1738">
        <v>293396.44</v>
      </c>
      <c r="N23" s="1738">
        <v>293396.44</v>
      </c>
      <c r="O23" s="1738">
        <v>293396.44</v>
      </c>
      <c r="P23" s="1738">
        <v>293396.44</v>
      </c>
      <c r="Q23" s="1738">
        <v>293396.44</v>
      </c>
      <c r="S23" s="1737"/>
    </row>
    <row r="24" spans="1:22" s="1724" customFormat="1" ht="12.75">
      <c r="A24" s="1731"/>
      <c r="B24" s="1731"/>
      <c r="C24" s="1731"/>
      <c r="D24" s="1731" t="s">
        <v>3531</v>
      </c>
      <c r="E24" s="1731"/>
      <c r="F24" s="1733">
        <v>70000</v>
      </c>
      <c r="G24" s="1733">
        <v>363396.44</v>
      </c>
      <c r="H24" s="1733">
        <v>363396.44</v>
      </c>
      <c r="I24" s="1733">
        <v>363396.44</v>
      </c>
      <c r="J24" s="1733">
        <v>363396.44</v>
      </c>
      <c r="K24" s="1733">
        <v>363396.44</v>
      </c>
      <c r="L24" s="1733">
        <v>363396.44</v>
      </c>
      <c r="M24" s="1733">
        <v>363396.44</v>
      </c>
      <c r="N24" s="1733">
        <v>363396.44</v>
      </c>
      <c r="O24" s="1733">
        <v>363396.44</v>
      </c>
      <c r="P24" s="1733">
        <v>363396.44</v>
      </c>
      <c r="Q24" s="1733">
        <v>363396.44</v>
      </c>
      <c r="R24" s="1750"/>
      <c r="S24" s="1732">
        <v>70000</v>
      </c>
    </row>
    <row r="25" spans="1:22" s="1724" customFormat="1" ht="12.75">
      <c r="A25" s="1731"/>
      <c r="B25" s="1731"/>
      <c r="C25" s="1731"/>
      <c r="D25" s="1731" t="s">
        <v>3530</v>
      </c>
      <c r="E25" s="1731"/>
      <c r="F25" s="1733">
        <v>61170.92</v>
      </c>
      <c r="G25" s="1733">
        <v>102511.65</v>
      </c>
      <c r="H25" s="1733">
        <v>106911.65</v>
      </c>
      <c r="I25" s="1733">
        <v>63550</v>
      </c>
      <c r="J25" s="1733">
        <v>63550</v>
      </c>
      <c r="K25" s="1733">
        <v>74550</v>
      </c>
      <c r="L25" s="1733">
        <v>74550</v>
      </c>
      <c r="M25" s="1733">
        <v>74550</v>
      </c>
      <c r="N25" s="1733">
        <v>74550</v>
      </c>
      <c r="O25" s="1733">
        <v>74550</v>
      </c>
      <c r="P25" s="1733">
        <v>34400</v>
      </c>
      <c r="Q25" s="1733">
        <v>34400</v>
      </c>
      <c r="S25" s="1732">
        <v>48900</v>
      </c>
    </row>
    <row r="26" spans="1:22" s="1724" customFormat="1" ht="13.5" thickBot="1">
      <c r="A26" s="1731"/>
      <c r="B26" s="1731"/>
      <c r="C26" s="1731"/>
      <c r="D26" s="1731" t="s">
        <v>3529</v>
      </c>
      <c r="E26" s="1731"/>
      <c r="F26" s="1733">
        <v>549145.18000000005</v>
      </c>
      <c r="G26" s="1733">
        <v>546896.54</v>
      </c>
      <c r="H26" s="1733">
        <v>630696.17000000004</v>
      </c>
      <c r="I26" s="1733">
        <v>688252.31</v>
      </c>
      <c r="J26" s="1733">
        <v>686180.46</v>
      </c>
      <c r="K26" s="1733">
        <v>729781.68</v>
      </c>
      <c r="L26" s="1733">
        <v>719235.66</v>
      </c>
      <c r="M26" s="1733">
        <v>687672.01</v>
      </c>
      <c r="N26" s="1733">
        <v>597676.75</v>
      </c>
      <c r="O26" s="1733">
        <v>538515.22</v>
      </c>
      <c r="P26" s="1733">
        <v>528123.82999999996</v>
      </c>
      <c r="Q26" s="1733">
        <v>634696.25</v>
      </c>
      <c r="R26" s="1750"/>
      <c r="S26" s="1732">
        <v>544957.36</v>
      </c>
    </row>
    <row r="27" spans="1:22" s="1724" customFormat="1" ht="13.5" thickBot="1">
      <c r="A27" s="1731"/>
      <c r="B27" s="1731"/>
      <c r="C27" s="1731" t="s">
        <v>3528</v>
      </c>
      <c r="D27" s="1731"/>
      <c r="E27" s="1731"/>
      <c r="F27" s="1735">
        <v>703328.5</v>
      </c>
      <c r="G27" s="1735">
        <v>1035817.03</v>
      </c>
      <c r="H27" s="1735">
        <v>1124016.6599999999</v>
      </c>
      <c r="I27" s="1735">
        <v>1138211.1499999999</v>
      </c>
      <c r="J27" s="1735">
        <v>1136139.3</v>
      </c>
      <c r="K27" s="1735">
        <v>1190740.52</v>
      </c>
      <c r="L27" s="1735">
        <v>1180194.5</v>
      </c>
      <c r="M27" s="1735">
        <v>1148630.8500000001</v>
      </c>
      <c r="N27" s="1735">
        <v>1058635.5900000001</v>
      </c>
      <c r="O27" s="1735">
        <v>999474.06</v>
      </c>
      <c r="P27" s="1735">
        <v>948932.67</v>
      </c>
      <c r="Q27" s="1735">
        <v>1055493.81</v>
      </c>
      <c r="S27" s="1734">
        <v>686869.76</v>
      </c>
      <c r="U27" s="1725"/>
      <c r="V27" s="1736"/>
    </row>
    <row r="28" spans="1:22" s="1724" customFormat="1" ht="12.75">
      <c r="A28" s="1731"/>
      <c r="B28" s="1731" t="s">
        <v>224</v>
      </c>
      <c r="C28" s="1731"/>
      <c r="D28" s="1731"/>
      <c r="E28" s="1731"/>
      <c r="F28" s="1733">
        <v>27272194.350000001</v>
      </c>
      <c r="G28" s="1733">
        <v>26086125.260000002</v>
      </c>
      <c r="H28" s="1733">
        <v>25385402.510000002</v>
      </c>
      <c r="I28" s="1733">
        <v>24750889.23</v>
      </c>
      <c r="J28" s="1733">
        <v>23624818.399999999</v>
      </c>
      <c r="K28" s="1733">
        <v>22763180.690000001</v>
      </c>
      <c r="L28" s="1733">
        <v>21850951.210000001</v>
      </c>
      <c r="M28" s="1733">
        <v>20080904.100000001</v>
      </c>
      <c r="N28" s="1733">
        <v>19354550.059999999</v>
      </c>
      <c r="O28" s="1733">
        <v>17904612.68</v>
      </c>
      <c r="P28" s="1733">
        <v>15630009.710000001</v>
      </c>
      <c r="Q28" s="1733">
        <v>14908548.24</v>
      </c>
      <c r="S28" s="1732">
        <v>28012945.739999998</v>
      </c>
    </row>
    <row r="29" spans="1:22" s="1724" customFormat="1" ht="12.75">
      <c r="A29" s="1731"/>
      <c r="B29" s="1731" t="s">
        <v>3527</v>
      </c>
      <c r="C29" s="1731"/>
      <c r="D29" s="1731"/>
      <c r="E29" s="1731"/>
      <c r="F29" s="1733"/>
      <c r="G29" s="1733"/>
      <c r="H29" s="1733"/>
      <c r="I29" s="1733"/>
      <c r="J29" s="1733"/>
      <c r="K29" s="1733"/>
      <c r="L29" s="1733"/>
      <c r="M29" s="1733"/>
      <c r="N29" s="1733"/>
      <c r="O29" s="1733"/>
      <c r="P29" s="1733"/>
      <c r="Q29" s="1733"/>
      <c r="S29" s="1732"/>
    </row>
    <row r="30" spans="1:22" s="1724" customFormat="1" ht="12.75">
      <c r="A30" s="1731"/>
      <c r="B30" s="1731"/>
      <c r="C30" s="1731" t="s">
        <v>3526</v>
      </c>
      <c r="D30" s="1731"/>
      <c r="E30" s="1731"/>
      <c r="F30" s="1733">
        <v>0</v>
      </c>
      <c r="G30" s="1733">
        <v>0</v>
      </c>
      <c r="H30" s="1733">
        <v>0</v>
      </c>
      <c r="I30" s="1733">
        <v>0</v>
      </c>
      <c r="J30" s="1733">
        <v>0</v>
      </c>
      <c r="K30" s="1733">
        <v>0</v>
      </c>
      <c r="L30" s="1733">
        <v>0</v>
      </c>
      <c r="M30" s="1733">
        <v>0</v>
      </c>
      <c r="N30" s="1733">
        <v>492120</v>
      </c>
      <c r="O30" s="1733">
        <v>492120</v>
      </c>
      <c r="P30" s="1733">
        <v>492120</v>
      </c>
      <c r="Q30" s="1733">
        <v>492120</v>
      </c>
      <c r="S30" s="1732"/>
    </row>
    <row r="31" spans="1:22" s="1724" customFormat="1" ht="12.75">
      <c r="A31" s="1731"/>
      <c r="B31" s="1731"/>
      <c r="C31" s="1731" t="s">
        <v>3525</v>
      </c>
      <c r="D31" s="1731"/>
      <c r="E31" s="1731"/>
      <c r="F31" s="1733">
        <v>0</v>
      </c>
      <c r="G31" s="1733">
        <v>0</v>
      </c>
      <c r="H31" s="1733">
        <v>0</v>
      </c>
      <c r="I31" s="1733">
        <v>0</v>
      </c>
      <c r="J31" s="1733">
        <v>0</v>
      </c>
      <c r="K31" s="1733">
        <v>0</v>
      </c>
      <c r="L31" s="1733">
        <v>0</v>
      </c>
      <c r="M31" s="1733">
        <v>0</v>
      </c>
      <c r="N31" s="1733">
        <v>0</v>
      </c>
      <c r="O31" s="1733">
        <v>-5858.57</v>
      </c>
      <c r="P31" s="1733">
        <v>-11717.14</v>
      </c>
      <c r="Q31" s="1733">
        <v>-17575.71</v>
      </c>
      <c r="S31" s="1732"/>
    </row>
    <row r="32" spans="1:22" s="1724" customFormat="1" ht="12.75">
      <c r="A32" s="1731"/>
      <c r="B32" s="1731"/>
      <c r="C32" s="1731" t="s">
        <v>3524</v>
      </c>
      <c r="D32" s="1731"/>
      <c r="E32" s="1731"/>
      <c r="F32" s="1733">
        <v>327540.19</v>
      </c>
      <c r="G32" s="1733">
        <v>336004.22</v>
      </c>
      <c r="H32" s="1733">
        <v>354766.25</v>
      </c>
      <c r="I32" s="1733">
        <v>357623.14</v>
      </c>
      <c r="J32" s="1733">
        <v>377007.71</v>
      </c>
      <c r="K32" s="1733">
        <v>377007.71</v>
      </c>
      <c r="L32" s="1733">
        <v>422430.08</v>
      </c>
      <c r="M32" s="1733">
        <v>422430.08</v>
      </c>
      <c r="N32" s="1733">
        <v>510394.11</v>
      </c>
      <c r="O32" s="1733">
        <v>631410.13</v>
      </c>
      <c r="P32" s="1733">
        <v>700096.14</v>
      </c>
      <c r="Q32" s="1733">
        <v>767418.37</v>
      </c>
      <c r="S32" s="1732">
        <v>323039.5</v>
      </c>
    </row>
    <row r="33" spans="1:22" s="1724" customFormat="1" ht="12.75">
      <c r="A33" s="1731"/>
      <c r="B33" s="1731"/>
      <c r="C33" s="1731" t="s">
        <v>3523</v>
      </c>
      <c r="D33" s="1731"/>
      <c r="E33" s="1731"/>
      <c r="F33" s="1733">
        <v>-159928.26</v>
      </c>
      <c r="G33" s="1733">
        <v>-163202.07999999999</v>
      </c>
      <c r="H33" s="1733">
        <v>-166755.76</v>
      </c>
      <c r="I33" s="1733">
        <v>-170417.52</v>
      </c>
      <c r="J33" s="1733">
        <v>-174402.36</v>
      </c>
      <c r="K33" s="1733">
        <v>-178387.20000000001</v>
      </c>
      <c r="L33" s="1733">
        <v>-183793.65</v>
      </c>
      <c r="M33" s="1733">
        <v>-190524.03</v>
      </c>
      <c r="N33" s="1733">
        <v>-196543.83</v>
      </c>
      <c r="O33" s="1733">
        <v>-205139.94</v>
      </c>
      <c r="P33" s="1733">
        <v>-214856.58</v>
      </c>
      <c r="Q33" s="1733">
        <v>-226347.55</v>
      </c>
      <c r="S33" s="1732">
        <v>-156802.38</v>
      </c>
    </row>
    <row r="34" spans="1:22" s="1724" customFormat="1" ht="12.75">
      <c r="A34" s="1731"/>
      <c r="B34" s="1731"/>
      <c r="C34" s="1731" t="s">
        <v>3522</v>
      </c>
      <c r="D34" s="1731"/>
      <c r="E34" s="1731"/>
      <c r="F34" s="1733">
        <v>53890.76</v>
      </c>
      <c r="G34" s="1733">
        <v>53890.76</v>
      </c>
      <c r="H34" s="1733">
        <v>53890.76</v>
      </c>
      <c r="I34" s="1733">
        <v>53890.76</v>
      </c>
      <c r="J34" s="1733">
        <v>53890.76</v>
      </c>
      <c r="K34" s="1733">
        <v>53890.76</v>
      </c>
      <c r="L34" s="1733">
        <v>53890.76</v>
      </c>
      <c r="M34" s="1733">
        <v>53890.76</v>
      </c>
      <c r="N34" s="1733">
        <v>59825.5</v>
      </c>
      <c r="O34" s="1733">
        <v>59825.5</v>
      </c>
      <c r="P34" s="1733">
        <v>59825.5</v>
      </c>
      <c r="Q34" s="1733">
        <v>59825.5</v>
      </c>
      <c r="S34" s="1732">
        <v>53890.76</v>
      </c>
    </row>
    <row r="35" spans="1:22" s="1724" customFormat="1" ht="12.75">
      <c r="A35" s="1731"/>
      <c r="B35" s="1731"/>
      <c r="C35" s="1731" t="s">
        <v>3521</v>
      </c>
      <c r="D35" s="1731"/>
      <c r="E35" s="1731"/>
      <c r="F35" s="1733">
        <v>-8085.24</v>
      </c>
      <c r="G35" s="1733">
        <v>-8163.37</v>
      </c>
      <c r="H35" s="1733">
        <v>-8241.5</v>
      </c>
      <c r="I35" s="1733">
        <v>-8319.6299999999992</v>
      </c>
      <c r="J35" s="1733">
        <v>-8397.76</v>
      </c>
      <c r="K35" s="1733">
        <v>-8475.89</v>
      </c>
      <c r="L35" s="1733">
        <v>-14294.37</v>
      </c>
      <c r="M35" s="1733">
        <v>-15192.55</v>
      </c>
      <c r="N35" s="1733">
        <v>-16090.73</v>
      </c>
      <c r="O35" s="1733">
        <v>-16988.91</v>
      </c>
      <c r="P35" s="1733">
        <v>-18183.830000000002</v>
      </c>
      <c r="Q35" s="1733">
        <v>-19180.919999999998</v>
      </c>
      <c r="S35" s="1732">
        <v>-8007.11</v>
      </c>
    </row>
    <row r="36" spans="1:22" s="1724" customFormat="1" ht="12.75">
      <c r="A36" s="1731"/>
      <c r="B36" s="1731"/>
      <c r="C36" s="1731" t="s">
        <v>3520</v>
      </c>
      <c r="D36" s="1731"/>
      <c r="E36" s="1731"/>
      <c r="F36" s="1733">
        <v>67548.13</v>
      </c>
      <c r="G36" s="1733">
        <v>67548.13</v>
      </c>
      <c r="H36" s="1733">
        <v>67548.13</v>
      </c>
      <c r="I36" s="1733">
        <v>67548.13</v>
      </c>
      <c r="J36" s="1733">
        <v>67548.13</v>
      </c>
      <c r="K36" s="1733">
        <v>68848.13</v>
      </c>
      <c r="L36" s="1733">
        <v>68848.13</v>
      </c>
      <c r="M36" s="1733">
        <v>128635.34</v>
      </c>
      <c r="N36" s="1733">
        <v>161834.62</v>
      </c>
      <c r="O36" s="1733">
        <v>245516.46</v>
      </c>
      <c r="P36" s="1733">
        <v>249338.77</v>
      </c>
      <c r="Q36" s="1733">
        <v>250463.77</v>
      </c>
      <c r="S36" s="1732">
        <v>67548.13</v>
      </c>
    </row>
    <row r="37" spans="1:22" s="1724" customFormat="1" ht="12.75">
      <c r="A37" s="1731"/>
      <c r="B37" s="1731"/>
      <c r="C37" s="1731" t="s">
        <v>3519</v>
      </c>
      <c r="D37" s="1731"/>
      <c r="E37" s="1731"/>
      <c r="F37" s="1733">
        <v>-39152.550000000003</v>
      </c>
      <c r="G37" s="1733">
        <v>-39861.69</v>
      </c>
      <c r="H37" s="1733">
        <v>-40570.83</v>
      </c>
      <c r="I37" s="1733">
        <v>-41279.97</v>
      </c>
      <c r="J37" s="1733">
        <v>-41989.11</v>
      </c>
      <c r="K37" s="1733">
        <v>-42709.08</v>
      </c>
      <c r="L37" s="1733">
        <v>-43439.88</v>
      </c>
      <c r="M37" s="1733">
        <v>-44226.38</v>
      </c>
      <c r="N37" s="1733">
        <v>-45012.88</v>
      </c>
      <c r="O37" s="1733">
        <v>-48751.86</v>
      </c>
      <c r="P37" s="1733">
        <v>-52490.84</v>
      </c>
      <c r="Q37" s="1733">
        <v>-56248.57</v>
      </c>
      <c r="S37" s="1732">
        <v>-38443.410000000003</v>
      </c>
    </row>
    <row r="38" spans="1:22" s="1724" customFormat="1" ht="12.75">
      <c r="A38" s="1731"/>
      <c r="B38" s="1731"/>
      <c r="C38" s="1731" t="s">
        <v>3518</v>
      </c>
      <c r="D38" s="1731"/>
      <c r="E38" s="1731"/>
      <c r="F38" s="1733">
        <v>806820.44</v>
      </c>
      <c r="G38" s="1733">
        <v>806820.44</v>
      </c>
      <c r="H38" s="1733">
        <v>806820.44</v>
      </c>
      <c r="I38" s="1733">
        <v>920362.85</v>
      </c>
      <c r="J38" s="1733">
        <v>920362.85</v>
      </c>
      <c r="K38" s="1733">
        <v>920362.85</v>
      </c>
      <c r="L38" s="1733">
        <v>920362.85</v>
      </c>
      <c r="M38" s="1733">
        <v>920362.85</v>
      </c>
      <c r="N38" s="1733">
        <v>920362.85</v>
      </c>
      <c r="O38" s="1733">
        <v>920362.85</v>
      </c>
      <c r="P38" s="1733">
        <v>920362.85</v>
      </c>
      <c r="Q38" s="1733">
        <v>920362.85</v>
      </c>
      <c r="S38" s="1732">
        <v>806820.44</v>
      </c>
      <c r="V38" s="1739"/>
    </row>
    <row r="39" spans="1:22" s="1724" customFormat="1" ht="13.5" thickBot="1">
      <c r="A39" s="1731"/>
      <c r="B39" s="1731"/>
      <c r="C39" s="1731" t="s">
        <v>3517</v>
      </c>
      <c r="D39" s="1731"/>
      <c r="E39" s="1731"/>
      <c r="F39" s="1738">
        <v>-131046.87</v>
      </c>
      <c r="G39" s="1738">
        <v>-144493.88</v>
      </c>
      <c r="H39" s="1738">
        <v>-157940.89000000001</v>
      </c>
      <c r="I39" s="1738">
        <v>-173280.27</v>
      </c>
      <c r="J39" s="1738">
        <v>-188619.65</v>
      </c>
      <c r="K39" s="1738">
        <v>-203959.03</v>
      </c>
      <c r="L39" s="1738">
        <v>-221066.74</v>
      </c>
      <c r="M39" s="1738">
        <v>-236406.12</v>
      </c>
      <c r="N39" s="1738">
        <v>-251745.5</v>
      </c>
      <c r="O39" s="1738">
        <v>-267084.88</v>
      </c>
      <c r="P39" s="1738">
        <v>-282424.26</v>
      </c>
      <c r="Q39" s="1738">
        <v>-297763.64</v>
      </c>
      <c r="S39" s="1737">
        <v>-119368.2</v>
      </c>
      <c r="V39" s="1739"/>
    </row>
    <row r="40" spans="1:22" s="1724" customFormat="1" ht="12.75">
      <c r="A40" s="1731"/>
      <c r="B40" s="1731" t="s">
        <v>3516</v>
      </c>
      <c r="C40" s="1731"/>
      <c r="D40" s="1731"/>
      <c r="E40" s="1731"/>
      <c r="F40" s="1733">
        <v>917586.6</v>
      </c>
      <c r="G40" s="1733">
        <v>908542.53</v>
      </c>
      <c r="H40" s="1733">
        <v>909516.6</v>
      </c>
      <c r="I40" s="1733">
        <v>1006127.49</v>
      </c>
      <c r="J40" s="1733">
        <v>1005400.57</v>
      </c>
      <c r="K40" s="1733">
        <v>986578.25</v>
      </c>
      <c r="L40" s="1733">
        <v>1002937.18</v>
      </c>
      <c r="M40" s="1733">
        <v>1038969.95</v>
      </c>
      <c r="N40" s="1733">
        <v>1635144.14</v>
      </c>
      <c r="O40" s="1733">
        <v>1805410.78</v>
      </c>
      <c r="P40" s="1733">
        <v>1842070.61</v>
      </c>
      <c r="Q40" s="1733">
        <v>1873074.1</v>
      </c>
      <c r="S40" s="1732">
        <v>928677.73</v>
      </c>
      <c r="U40" s="1725"/>
    </row>
    <row r="41" spans="1:22" s="1724" customFormat="1" ht="12.75">
      <c r="A41" s="1731"/>
      <c r="B41" s="1731" t="s">
        <v>223</v>
      </c>
      <c r="C41" s="1731"/>
      <c r="D41" s="1731"/>
      <c r="E41" s="1731"/>
      <c r="F41" s="1733"/>
      <c r="G41" s="1733"/>
      <c r="H41" s="1733"/>
      <c r="I41" s="1733"/>
      <c r="J41" s="1733"/>
      <c r="K41" s="1733"/>
      <c r="L41" s="1733"/>
      <c r="M41" s="1733"/>
      <c r="N41" s="1733"/>
      <c r="O41" s="1733"/>
      <c r="P41" s="1733"/>
      <c r="Q41" s="1733"/>
      <c r="S41" s="1732"/>
    </row>
    <row r="42" spans="1:22" s="1724" customFormat="1" ht="12.75">
      <c r="A42" s="1731"/>
      <c r="B42" s="1731"/>
      <c r="C42" s="1731" t="s">
        <v>3515</v>
      </c>
      <c r="D42" s="1731"/>
      <c r="E42" s="1731"/>
      <c r="F42" s="1733">
        <v>0</v>
      </c>
      <c r="G42" s="1733">
        <v>0</v>
      </c>
      <c r="H42" s="1733">
        <v>0</v>
      </c>
      <c r="I42" s="1733">
        <v>0</v>
      </c>
      <c r="J42" s="1733">
        <v>19058</v>
      </c>
      <c r="K42" s="1733">
        <v>25622</v>
      </c>
      <c r="L42" s="1733">
        <v>25622</v>
      </c>
      <c r="M42" s="1733">
        <v>25622</v>
      </c>
      <c r="N42" s="1733">
        <v>25622</v>
      </c>
      <c r="O42" s="1733">
        <v>25622</v>
      </c>
      <c r="P42" s="1733">
        <v>39826</v>
      </c>
      <c r="Q42" s="1733">
        <v>39826</v>
      </c>
      <c r="S42" s="1732"/>
    </row>
    <row r="43" spans="1:22" s="1724" customFormat="1" ht="12.75">
      <c r="A43" s="1731"/>
      <c r="B43" s="1731"/>
      <c r="C43" s="1731" t="s">
        <v>3514</v>
      </c>
      <c r="D43" s="1731"/>
      <c r="E43" s="1731"/>
      <c r="F43" s="1733">
        <v>233082.84</v>
      </c>
      <c r="G43" s="1733">
        <v>233082.84</v>
      </c>
      <c r="H43" s="1733">
        <v>233082.84</v>
      </c>
      <c r="I43" s="1733">
        <v>233082.84</v>
      </c>
      <c r="J43" s="1733">
        <v>233082.84</v>
      </c>
      <c r="K43" s="1733">
        <v>233082.84</v>
      </c>
      <c r="L43" s="1733">
        <v>233082.84</v>
      </c>
      <c r="M43" s="1733">
        <v>233082.84</v>
      </c>
      <c r="N43" s="1733">
        <v>233082.84</v>
      </c>
      <c r="O43" s="1733">
        <v>233082.84</v>
      </c>
      <c r="P43" s="1733">
        <v>233082.84</v>
      </c>
      <c r="Q43" s="1733">
        <v>233082.84</v>
      </c>
      <c r="S43" s="1732">
        <v>233082.84</v>
      </c>
    </row>
    <row r="44" spans="1:22" s="1724" customFormat="1" ht="13.5" thickBot="1">
      <c r="A44" s="1731"/>
      <c r="B44" s="1731"/>
      <c r="C44" s="1731" t="s">
        <v>3513</v>
      </c>
      <c r="D44" s="1731"/>
      <c r="E44" s="1731"/>
      <c r="F44" s="1733">
        <v>-67982.490000000005</v>
      </c>
      <c r="G44" s="1733">
        <v>-67982.490000000005</v>
      </c>
      <c r="H44" s="1733">
        <v>-67982.490000000005</v>
      </c>
      <c r="I44" s="1733">
        <v>-67982.490000000005</v>
      </c>
      <c r="J44" s="1733">
        <v>-67982.490000000005</v>
      </c>
      <c r="K44" s="1733">
        <v>-67982.490000000005</v>
      </c>
      <c r="L44" s="1733">
        <v>-111757.18</v>
      </c>
      <c r="M44" s="1733">
        <v>-126248.2</v>
      </c>
      <c r="N44" s="1733">
        <v>-126248.2</v>
      </c>
      <c r="O44" s="1733">
        <v>-132722.17000000001</v>
      </c>
      <c r="P44" s="1733">
        <v>-139196.14000000001</v>
      </c>
      <c r="Q44" s="1733">
        <v>-145670.10999999999</v>
      </c>
      <c r="S44" s="1732">
        <v>-67982.490000000005</v>
      </c>
    </row>
    <row r="45" spans="1:22" s="1724" customFormat="1" ht="13.5" thickBot="1">
      <c r="A45" s="1731"/>
      <c r="B45" s="1731" t="s">
        <v>3512</v>
      </c>
      <c r="C45" s="1731"/>
      <c r="D45" s="1731"/>
      <c r="E45" s="1731"/>
      <c r="F45" s="1730">
        <v>165100.35</v>
      </c>
      <c r="G45" s="1730">
        <v>165100.35</v>
      </c>
      <c r="H45" s="1730">
        <v>165100.35</v>
      </c>
      <c r="I45" s="1730">
        <v>165100.35</v>
      </c>
      <c r="J45" s="1730">
        <v>184158.35</v>
      </c>
      <c r="K45" s="1730">
        <v>190722.35</v>
      </c>
      <c r="L45" s="1730">
        <v>146947.66</v>
      </c>
      <c r="M45" s="1730">
        <v>132456.64000000001</v>
      </c>
      <c r="N45" s="1730">
        <v>132456.64000000001</v>
      </c>
      <c r="O45" s="1730">
        <v>125982.67</v>
      </c>
      <c r="P45" s="1730">
        <v>133712.70000000001</v>
      </c>
      <c r="Q45" s="1730">
        <v>127238.73</v>
      </c>
      <c r="S45" s="1729">
        <v>165100.35</v>
      </c>
    </row>
    <row r="46" spans="1:22" s="1724" customFormat="1" ht="13.5" thickBot="1">
      <c r="A46" s="1728" t="s">
        <v>3393</v>
      </c>
      <c r="B46" s="1728"/>
      <c r="C46" s="1728"/>
      <c r="D46" s="1728"/>
      <c r="E46" s="1728"/>
      <c r="F46" s="1727">
        <v>28354881.300000001</v>
      </c>
      <c r="G46" s="1727">
        <v>27159768.140000001</v>
      </c>
      <c r="H46" s="1727">
        <v>26460019.460000001</v>
      </c>
      <c r="I46" s="1727">
        <v>25922117.07</v>
      </c>
      <c r="J46" s="1727">
        <v>24814377.32</v>
      </c>
      <c r="K46" s="1727">
        <v>23940481.289999999</v>
      </c>
      <c r="L46" s="1727">
        <v>23000836.050000001</v>
      </c>
      <c r="M46" s="1727">
        <v>21252330.690000001</v>
      </c>
      <c r="N46" s="1727">
        <v>21122150.84</v>
      </c>
      <c r="O46" s="1727">
        <v>19836006.129999999</v>
      </c>
      <c r="P46" s="1727">
        <v>17605793.02</v>
      </c>
      <c r="Q46" s="1727">
        <v>16908861.07</v>
      </c>
      <c r="S46" s="1726">
        <v>29106723.82</v>
      </c>
    </row>
    <row r="47" spans="1:22" s="1724" customFormat="1" ht="13.5" thickTop="1">
      <c r="A47" s="1731" t="s">
        <v>3394</v>
      </c>
      <c r="B47" s="1731"/>
      <c r="C47" s="1731"/>
      <c r="D47" s="1731"/>
      <c r="E47" s="1731"/>
      <c r="F47" s="1733"/>
      <c r="G47" s="1733"/>
      <c r="H47" s="1733"/>
      <c r="I47" s="1733"/>
      <c r="J47" s="1733"/>
      <c r="K47" s="1733"/>
      <c r="L47" s="1733"/>
      <c r="M47" s="1733"/>
      <c r="N47" s="1733"/>
      <c r="O47" s="1733"/>
      <c r="P47" s="1733"/>
      <c r="Q47" s="1733"/>
      <c r="S47" s="1732"/>
    </row>
    <row r="48" spans="1:22" s="1724" customFormat="1" ht="12.75">
      <c r="A48" s="1731"/>
      <c r="B48" s="1731" t="s">
        <v>3511</v>
      </c>
      <c r="C48" s="1731"/>
      <c r="D48" s="1731"/>
      <c r="E48" s="1731"/>
      <c r="F48" s="1733"/>
      <c r="G48" s="1733"/>
      <c r="H48" s="1733"/>
      <c r="I48" s="1733"/>
      <c r="J48" s="1733"/>
      <c r="K48" s="1733"/>
      <c r="L48" s="1733"/>
      <c r="M48" s="1733"/>
      <c r="N48" s="1733"/>
      <c r="O48" s="1733"/>
      <c r="P48" s="1733"/>
      <c r="Q48" s="1733"/>
      <c r="S48" s="1732"/>
    </row>
    <row r="49" spans="1:21" s="1724" customFormat="1" ht="12.75">
      <c r="A49" s="1731"/>
      <c r="B49" s="1731"/>
      <c r="C49" s="1731" t="s">
        <v>227</v>
      </c>
      <c r="D49" s="1731"/>
      <c r="E49" s="1731"/>
      <c r="F49" s="1733"/>
      <c r="G49" s="1733"/>
      <c r="H49" s="1733"/>
      <c r="I49" s="1733"/>
      <c r="J49" s="1733"/>
      <c r="K49" s="1733"/>
      <c r="L49" s="1733"/>
      <c r="M49" s="1733"/>
      <c r="N49" s="1733"/>
      <c r="O49" s="1733"/>
      <c r="P49" s="1733"/>
      <c r="Q49" s="1733"/>
      <c r="S49" s="1732"/>
    </row>
    <row r="50" spans="1:21" s="1724" customFormat="1" ht="12.75">
      <c r="A50" s="1731"/>
      <c r="B50" s="1731"/>
      <c r="C50" s="1731"/>
      <c r="D50" s="1731" t="s">
        <v>228</v>
      </c>
      <c r="E50" s="1731"/>
      <c r="F50" s="1733"/>
      <c r="G50" s="1733"/>
      <c r="H50" s="1733"/>
      <c r="I50" s="1733"/>
      <c r="J50" s="1733"/>
      <c r="K50" s="1733"/>
      <c r="L50" s="1733"/>
      <c r="M50" s="1733"/>
      <c r="N50" s="1733"/>
      <c r="O50" s="1733"/>
      <c r="P50" s="1733"/>
      <c r="Q50" s="1733"/>
      <c r="S50" s="1732"/>
    </row>
    <row r="51" spans="1:21" s="1724" customFormat="1" ht="13.5" thickBot="1">
      <c r="A51" s="1731"/>
      <c r="B51" s="1731"/>
      <c r="C51" s="1731"/>
      <c r="D51" s="1731"/>
      <c r="E51" s="1731" t="s">
        <v>3510</v>
      </c>
      <c r="F51" s="1738">
        <v>204738.68</v>
      </c>
      <c r="G51" s="1738">
        <v>238268.78</v>
      </c>
      <c r="H51" s="1738">
        <v>274555.75</v>
      </c>
      <c r="I51" s="1738">
        <v>307650.69</v>
      </c>
      <c r="J51" s="1738">
        <v>501891.47</v>
      </c>
      <c r="K51" s="1738">
        <v>382690.9</v>
      </c>
      <c r="L51" s="1738">
        <v>588062.38</v>
      </c>
      <c r="M51" s="1738">
        <v>255683.69</v>
      </c>
      <c r="N51" s="1738">
        <v>766667.27</v>
      </c>
      <c r="O51" s="1738">
        <v>1064591.8700000001</v>
      </c>
      <c r="P51" s="1738">
        <v>312596.87</v>
      </c>
      <c r="Q51" s="1738">
        <v>552974.54</v>
      </c>
      <c r="S51" s="1737">
        <v>399841.51</v>
      </c>
    </row>
    <row r="52" spans="1:21" s="1724" customFormat="1" ht="12.75">
      <c r="A52" s="1731"/>
      <c r="B52" s="1731"/>
      <c r="C52" s="1731"/>
      <c r="D52" s="1731" t="s">
        <v>3509</v>
      </c>
      <c r="E52" s="1731"/>
      <c r="F52" s="1733">
        <v>204738.68</v>
      </c>
      <c r="G52" s="1733">
        <v>238268.78</v>
      </c>
      <c r="H52" s="1733">
        <v>274555.75</v>
      </c>
      <c r="I52" s="1733">
        <v>307650.69</v>
      </c>
      <c r="J52" s="1733">
        <v>501891.47</v>
      </c>
      <c r="K52" s="1733">
        <v>382690.9</v>
      </c>
      <c r="L52" s="1733">
        <v>588062.38</v>
      </c>
      <c r="M52" s="1733">
        <v>255683.69</v>
      </c>
      <c r="N52" s="1733">
        <v>766667.27</v>
      </c>
      <c r="O52" s="1733">
        <v>1064591.8700000001</v>
      </c>
      <c r="P52" s="1733">
        <v>312596.87</v>
      </c>
      <c r="Q52" s="1733">
        <v>552974.54</v>
      </c>
      <c r="S52" s="1732">
        <v>399841.51</v>
      </c>
    </row>
    <row r="53" spans="1:21" s="1724" customFormat="1" ht="12.75">
      <c r="A53" s="1731"/>
      <c r="B53" s="1731"/>
      <c r="C53" s="1731"/>
      <c r="D53" s="1731" t="s">
        <v>231</v>
      </c>
      <c r="E53" s="1731"/>
      <c r="F53" s="1733"/>
      <c r="G53" s="1733"/>
      <c r="H53" s="1733"/>
      <c r="I53" s="1733"/>
      <c r="J53" s="1733"/>
      <c r="K53" s="1733"/>
      <c r="L53" s="1733"/>
      <c r="M53" s="1733"/>
      <c r="N53" s="1733"/>
      <c r="O53" s="1733"/>
      <c r="P53" s="1733"/>
      <c r="Q53" s="1733"/>
      <c r="S53" s="1732"/>
      <c r="U53" s="1725"/>
    </row>
    <row r="54" spans="1:21" s="1724" customFormat="1" ht="12.75">
      <c r="A54" s="1731"/>
      <c r="B54" s="1731"/>
      <c r="C54" s="1731"/>
      <c r="D54" s="1731"/>
      <c r="E54" s="1731" t="s">
        <v>3508</v>
      </c>
      <c r="F54" s="1733">
        <v>276531.86</v>
      </c>
      <c r="G54" s="1733">
        <v>282348.63</v>
      </c>
      <c r="H54" s="1733">
        <v>286290.12</v>
      </c>
      <c r="I54" s="1733">
        <v>206551.48</v>
      </c>
      <c r="J54" s="1733">
        <v>95792.97</v>
      </c>
      <c r="K54" s="1733">
        <v>98234.46</v>
      </c>
      <c r="L54" s="1733">
        <v>100798.31</v>
      </c>
      <c r="M54" s="1733">
        <v>105506.64</v>
      </c>
      <c r="N54" s="1733">
        <v>110214.97</v>
      </c>
      <c r="O54" s="1733">
        <v>114923.3</v>
      </c>
      <c r="P54" s="1733">
        <v>107631.63</v>
      </c>
      <c r="Q54" s="1733">
        <v>104157.96</v>
      </c>
      <c r="S54" s="1732">
        <v>265489.24</v>
      </c>
      <c r="U54" s="1736"/>
    </row>
    <row r="55" spans="1:21" s="1724" customFormat="1" ht="12.75">
      <c r="A55" s="1731"/>
      <c r="B55" s="1731"/>
      <c r="C55" s="1731"/>
      <c r="D55" s="1731"/>
      <c r="E55" s="1731" t="s">
        <v>3507</v>
      </c>
      <c r="F55" s="1733">
        <v>387725.71</v>
      </c>
      <c r="G55" s="1733">
        <v>146787.99</v>
      </c>
      <c r="H55" s="1733">
        <v>220181.99</v>
      </c>
      <c r="I55" s="1733">
        <v>295124.47999999998</v>
      </c>
      <c r="J55" s="1733">
        <v>368739.32</v>
      </c>
      <c r="K55" s="1733">
        <v>441579.61</v>
      </c>
      <c r="L55" s="1733">
        <v>514090.18</v>
      </c>
      <c r="M55" s="1733">
        <v>604808.93000000005</v>
      </c>
      <c r="N55" s="1733">
        <v>639636.04</v>
      </c>
      <c r="O55" s="1733">
        <v>655747.29</v>
      </c>
      <c r="P55" s="1733">
        <v>722182.03</v>
      </c>
      <c r="Q55" s="1733">
        <v>741274.94</v>
      </c>
      <c r="S55" s="1732">
        <v>355749.66</v>
      </c>
    </row>
    <row r="56" spans="1:21" s="1724" customFormat="1" ht="12.75">
      <c r="A56" s="1731"/>
      <c r="B56" s="1731"/>
      <c r="C56" s="1731"/>
      <c r="D56" s="1731"/>
      <c r="E56" s="1731" t="s">
        <v>3506</v>
      </c>
      <c r="F56" s="1733">
        <v>61850.04</v>
      </c>
      <c r="G56" s="1733">
        <v>61850.04</v>
      </c>
      <c r="H56" s="1733">
        <v>61850.04</v>
      </c>
      <c r="I56" s="1733">
        <v>61850.04</v>
      </c>
      <c r="J56" s="1733">
        <v>61850.04</v>
      </c>
      <c r="K56" s="1733">
        <v>61850.04</v>
      </c>
      <c r="L56" s="1733">
        <v>61850.04</v>
      </c>
      <c r="M56" s="1733">
        <v>61850.04</v>
      </c>
      <c r="N56" s="1733">
        <v>0</v>
      </c>
      <c r="O56" s="1733">
        <v>0</v>
      </c>
      <c r="P56" s="1733">
        <v>0</v>
      </c>
      <c r="Q56" s="1733">
        <v>0</v>
      </c>
      <c r="S56" s="1732">
        <v>61850.04</v>
      </c>
    </row>
    <row r="57" spans="1:21" s="1724" customFormat="1" ht="12.75">
      <c r="A57" s="1731"/>
      <c r="B57" s="1731"/>
      <c r="C57" s="1731"/>
      <c r="D57" s="1731"/>
      <c r="E57" s="1731" t="s">
        <v>3505</v>
      </c>
      <c r="F57" s="1733">
        <v>28851.33</v>
      </c>
      <c r="G57" s="1733">
        <v>24729.71</v>
      </c>
      <c r="H57" s="1733">
        <v>20608.09</v>
      </c>
      <c r="I57" s="1733">
        <v>16486.47</v>
      </c>
      <c r="J57" s="1733">
        <v>12364.85</v>
      </c>
      <c r="K57" s="1733">
        <v>8243.23</v>
      </c>
      <c r="L57" s="1733">
        <v>4121.6099999999997</v>
      </c>
      <c r="M57" s="1733">
        <v>0</v>
      </c>
      <c r="N57" s="1733">
        <v>0</v>
      </c>
      <c r="O57" s="1733">
        <v>0</v>
      </c>
      <c r="P57" s="1733">
        <v>0</v>
      </c>
      <c r="Q57" s="1733">
        <v>0</v>
      </c>
      <c r="S57" s="1732">
        <v>32972.949999999997</v>
      </c>
    </row>
    <row r="58" spans="1:21" s="1724" customFormat="1" ht="12.75">
      <c r="A58" s="1731"/>
      <c r="B58" s="1731"/>
      <c r="C58" s="1731"/>
      <c r="D58" s="1731"/>
      <c r="E58" s="1731" t="s">
        <v>3504</v>
      </c>
      <c r="F58" s="1733">
        <v>149755.15</v>
      </c>
      <c r="G58" s="1733">
        <v>149755.15</v>
      </c>
      <c r="H58" s="1733">
        <v>149755.15</v>
      </c>
      <c r="I58" s="1733">
        <v>149755.15</v>
      </c>
      <c r="J58" s="1733">
        <v>149755.15</v>
      </c>
      <c r="K58" s="1733">
        <v>149755.15</v>
      </c>
      <c r="L58" s="1733">
        <v>149755.15</v>
      </c>
      <c r="M58" s="1733">
        <v>149755.15</v>
      </c>
      <c r="N58" s="1733">
        <v>149755.15</v>
      </c>
      <c r="O58" s="1733">
        <v>149755.15</v>
      </c>
      <c r="P58" s="1733">
        <v>149755.15</v>
      </c>
      <c r="Q58" s="1733">
        <v>149755.15</v>
      </c>
      <c r="S58" s="1732">
        <v>149755.15</v>
      </c>
    </row>
    <row r="59" spans="1:21" s="1724" customFormat="1" ht="13.5" thickBot="1">
      <c r="A59" s="1731"/>
      <c r="B59" s="1731"/>
      <c r="C59" s="1731"/>
      <c r="D59" s="1731"/>
      <c r="E59" s="1731" t="s">
        <v>3503</v>
      </c>
      <c r="F59" s="1733">
        <v>3033.63</v>
      </c>
      <c r="G59" s="1733">
        <v>3033.63</v>
      </c>
      <c r="H59" s="1733">
        <v>3033.63</v>
      </c>
      <c r="I59" s="1733">
        <v>3033.63</v>
      </c>
      <c r="J59" s="1733">
        <v>3033.63</v>
      </c>
      <c r="K59" s="1733">
        <v>3033.63</v>
      </c>
      <c r="L59" s="1733">
        <v>0</v>
      </c>
      <c r="M59" s="1733">
        <v>0</v>
      </c>
      <c r="N59" s="1733">
        <v>0</v>
      </c>
      <c r="O59" s="1733">
        <v>128364.67</v>
      </c>
      <c r="P59" s="1733">
        <v>137390.24</v>
      </c>
      <c r="Q59" s="1733">
        <v>146415.81</v>
      </c>
      <c r="S59" s="1732">
        <v>3033.63</v>
      </c>
    </row>
    <row r="60" spans="1:21" s="1724" customFormat="1" ht="13.5" thickBot="1">
      <c r="A60" s="1731"/>
      <c r="B60" s="1731"/>
      <c r="C60" s="1731"/>
      <c r="D60" s="1731" t="s">
        <v>3502</v>
      </c>
      <c r="E60" s="1731"/>
      <c r="F60" s="1735">
        <v>907747.72</v>
      </c>
      <c r="G60" s="1735">
        <v>668505.15</v>
      </c>
      <c r="H60" s="1735">
        <v>741719.02</v>
      </c>
      <c r="I60" s="1735">
        <v>732801.25</v>
      </c>
      <c r="J60" s="1735">
        <v>691535.96</v>
      </c>
      <c r="K60" s="1735">
        <v>762696.12</v>
      </c>
      <c r="L60" s="1735">
        <v>830615.29</v>
      </c>
      <c r="M60" s="1735">
        <v>921920.76</v>
      </c>
      <c r="N60" s="1735">
        <v>899606.16</v>
      </c>
      <c r="O60" s="1735">
        <v>1048790.4099999999</v>
      </c>
      <c r="P60" s="1735">
        <v>1116959.05</v>
      </c>
      <c r="Q60" s="1735">
        <v>1141603.8600000001</v>
      </c>
      <c r="S60" s="1734">
        <v>868850.67</v>
      </c>
    </row>
    <row r="61" spans="1:21" s="1724" customFormat="1" ht="12.75">
      <c r="A61" s="1731"/>
      <c r="B61" s="1731"/>
      <c r="C61" s="1731" t="s">
        <v>232</v>
      </c>
      <c r="D61" s="1731"/>
      <c r="E61" s="1731"/>
      <c r="F61" s="1733">
        <v>1112486.3999999999</v>
      </c>
      <c r="G61" s="1733">
        <v>906773.93</v>
      </c>
      <c r="H61" s="1733">
        <v>1016274.77</v>
      </c>
      <c r="I61" s="1733">
        <v>1040451.94</v>
      </c>
      <c r="J61" s="1733">
        <v>1193427.43</v>
      </c>
      <c r="K61" s="1733">
        <v>1145387.02</v>
      </c>
      <c r="L61" s="1733">
        <v>1418677.67</v>
      </c>
      <c r="M61" s="1733">
        <v>1177604.45</v>
      </c>
      <c r="N61" s="1733">
        <v>1666273.43</v>
      </c>
      <c r="O61" s="1733">
        <v>2113382.2799999998</v>
      </c>
      <c r="P61" s="1733">
        <v>1429555.92</v>
      </c>
      <c r="Q61" s="1733">
        <v>1694578.4</v>
      </c>
      <c r="S61" s="1732">
        <v>1268185.68</v>
      </c>
    </row>
    <row r="62" spans="1:21" s="1724" customFormat="1" ht="12.75">
      <c r="A62" s="1731"/>
      <c r="B62" s="1731"/>
      <c r="C62" s="1731" t="s">
        <v>3501</v>
      </c>
      <c r="D62" s="1731"/>
      <c r="E62" s="1731"/>
      <c r="F62" s="1733"/>
      <c r="G62" s="1733"/>
      <c r="H62" s="1733"/>
      <c r="I62" s="1733"/>
      <c r="J62" s="1733"/>
      <c r="K62" s="1733"/>
      <c r="L62" s="1733"/>
      <c r="M62" s="1733"/>
      <c r="N62" s="1733"/>
      <c r="O62" s="1733"/>
      <c r="P62" s="1733"/>
      <c r="Q62" s="1733"/>
      <c r="S62" s="1732"/>
    </row>
    <row r="63" spans="1:21" s="1724" customFormat="1" ht="12.75">
      <c r="A63" s="1731"/>
      <c r="B63" s="1731"/>
      <c r="C63" s="1731"/>
      <c r="D63" s="1731" t="s">
        <v>3500</v>
      </c>
      <c r="E63" s="1731"/>
      <c r="F63" s="1733">
        <v>0</v>
      </c>
      <c r="G63" s="1733">
        <v>0</v>
      </c>
      <c r="H63" s="1733">
        <v>0</v>
      </c>
      <c r="I63" s="1733">
        <v>0</v>
      </c>
      <c r="J63" s="1733">
        <v>0</v>
      </c>
      <c r="K63" s="1733">
        <v>0</v>
      </c>
      <c r="L63" s="1733">
        <v>0</v>
      </c>
      <c r="M63" s="1733">
        <v>0</v>
      </c>
      <c r="N63" s="1733">
        <v>492120</v>
      </c>
      <c r="O63" s="1733">
        <v>492120</v>
      </c>
      <c r="P63" s="1733">
        <v>492120</v>
      </c>
      <c r="Q63" s="1733">
        <v>492120</v>
      </c>
      <c r="S63" s="1732"/>
    </row>
    <row r="64" spans="1:21" s="1724" customFormat="1" ht="13.5" thickBot="1">
      <c r="A64" s="1731"/>
      <c r="B64" s="1731"/>
      <c r="C64" s="1731"/>
      <c r="D64" s="1731" t="s">
        <v>3499</v>
      </c>
      <c r="E64" s="1731"/>
      <c r="F64" s="1733">
        <v>246240.39</v>
      </c>
      <c r="G64" s="1733">
        <v>234022.02</v>
      </c>
      <c r="H64" s="1733">
        <v>221730.46</v>
      </c>
      <c r="I64" s="1733">
        <v>277739.83</v>
      </c>
      <c r="J64" s="1733">
        <v>262094.44</v>
      </c>
      <c r="K64" s="1733">
        <v>245540.26</v>
      </c>
      <c r="L64" s="1733">
        <v>230680.72</v>
      </c>
      <c r="M64" s="1733">
        <v>216227.79</v>
      </c>
      <c r="N64" s="1733">
        <v>201282.31</v>
      </c>
      <c r="O64" s="1733">
        <v>186260.46</v>
      </c>
      <c r="P64" s="1733">
        <v>171161.77</v>
      </c>
      <c r="Q64" s="1733">
        <v>157765.01999999999</v>
      </c>
      <c r="S64" s="1732">
        <v>257493.5</v>
      </c>
      <c r="U64" s="1725"/>
    </row>
    <row r="65" spans="1:21" s="1724" customFormat="1" ht="13.5" thickBot="1">
      <c r="A65" s="1731"/>
      <c r="B65" s="1731"/>
      <c r="C65" s="1731" t="s">
        <v>3498</v>
      </c>
      <c r="D65" s="1731"/>
      <c r="E65" s="1731"/>
      <c r="F65" s="1735">
        <v>246240.39</v>
      </c>
      <c r="G65" s="1735">
        <v>234022.02</v>
      </c>
      <c r="H65" s="1735">
        <v>221730.46</v>
      </c>
      <c r="I65" s="1735">
        <v>277739.83</v>
      </c>
      <c r="J65" s="1735">
        <v>262094.44</v>
      </c>
      <c r="K65" s="1735">
        <v>245540.26</v>
      </c>
      <c r="L65" s="1735">
        <v>230680.72</v>
      </c>
      <c r="M65" s="1735">
        <v>216227.79</v>
      </c>
      <c r="N65" s="1735">
        <v>693402.31</v>
      </c>
      <c r="O65" s="1735">
        <v>678380.46</v>
      </c>
      <c r="P65" s="1735">
        <v>663281.77</v>
      </c>
      <c r="Q65" s="1735">
        <v>649885.02</v>
      </c>
      <c r="S65" s="1734">
        <v>257493.5</v>
      </c>
    </row>
    <row r="66" spans="1:21" s="1724" customFormat="1" ht="12.75">
      <c r="A66" s="1731"/>
      <c r="B66" s="1731" t="s">
        <v>234</v>
      </c>
      <c r="C66" s="1731"/>
      <c r="D66" s="1731"/>
      <c r="E66" s="1731"/>
      <c r="F66" s="1733">
        <v>1358726.79</v>
      </c>
      <c r="G66" s="1733">
        <v>1140795.95</v>
      </c>
      <c r="H66" s="1733">
        <v>1238005.23</v>
      </c>
      <c r="I66" s="1733">
        <v>1318191.77</v>
      </c>
      <c r="J66" s="1733">
        <v>1455521.87</v>
      </c>
      <c r="K66" s="1733">
        <v>1390927.28</v>
      </c>
      <c r="L66" s="1733">
        <v>1649358.39</v>
      </c>
      <c r="M66" s="1733">
        <v>1393832.24</v>
      </c>
      <c r="N66" s="1733">
        <v>2359675.7400000002</v>
      </c>
      <c r="O66" s="1733">
        <v>2791762.74</v>
      </c>
      <c r="P66" s="1733">
        <v>2092837.69</v>
      </c>
      <c r="Q66" s="1733">
        <v>2344463.42</v>
      </c>
      <c r="S66" s="1732">
        <v>1526185.68</v>
      </c>
    </row>
    <row r="67" spans="1:21" s="1724" customFormat="1" ht="12.75">
      <c r="A67" s="1731"/>
      <c r="B67" s="1731" t="s">
        <v>265</v>
      </c>
      <c r="C67" s="1731"/>
      <c r="D67" s="1731"/>
      <c r="E67" s="1731"/>
      <c r="F67" s="1733"/>
      <c r="G67" s="1733"/>
      <c r="H67" s="1733"/>
      <c r="I67" s="1733"/>
      <c r="J67" s="1733"/>
      <c r="K67" s="1733"/>
      <c r="L67" s="1733"/>
      <c r="M67" s="1733"/>
      <c r="N67" s="1733"/>
      <c r="O67" s="1733"/>
      <c r="P67" s="1733"/>
      <c r="Q67" s="1733"/>
      <c r="S67" s="1732"/>
    </row>
    <row r="68" spans="1:21" s="1724" customFormat="1" ht="12.75">
      <c r="A68" s="1731"/>
      <c r="B68" s="1731"/>
      <c r="C68" s="1731" t="s">
        <v>3497</v>
      </c>
      <c r="D68" s="1731"/>
      <c r="E68" s="1731"/>
      <c r="F68" s="1733">
        <v>3279.43</v>
      </c>
      <c r="G68" s="1733">
        <v>3305.21</v>
      </c>
      <c r="H68" s="1733">
        <v>7040.13</v>
      </c>
      <c r="I68" s="1733">
        <v>7360.31</v>
      </c>
      <c r="J68" s="1733">
        <v>14375.55</v>
      </c>
      <c r="K68" s="1733">
        <v>19744.57</v>
      </c>
      <c r="L68" s="1733">
        <v>26104.799999999999</v>
      </c>
      <c r="M68" s="1733">
        <v>18728.97</v>
      </c>
      <c r="N68" s="1733">
        <v>25097.71</v>
      </c>
      <c r="O68" s="1733">
        <v>26108.67</v>
      </c>
      <c r="P68" s="1733">
        <v>26449.53</v>
      </c>
      <c r="Q68" s="1733">
        <v>27429.33</v>
      </c>
      <c r="S68" s="1732">
        <v>3263.14</v>
      </c>
    </row>
    <row r="69" spans="1:21" s="1724" customFormat="1" ht="12.75">
      <c r="A69" s="1731"/>
      <c r="B69" s="1731"/>
      <c r="C69" s="1731" t="s">
        <v>3496</v>
      </c>
      <c r="D69" s="1731"/>
      <c r="E69" s="1731"/>
      <c r="F69" s="1733">
        <v>940833.42</v>
      </c>
      <c r="G69" s="1733">
        <v>940833.42</v>
      </c>
      <c r="H69" s="1733">
        <v>940833.42</v>
      </c>
      <c r="I69" s="1733">
        <v>940833.42</v>
      </c>
      <c r="J69" s="1733">
        <v>940833.42</v>
      </c>
      <c r="K69" s="1733">
        <v>940833.42</v>
      </c>
      <c r="L69" s="1733">
        <v>940833.42</v>
      </c>
      <c r="M69" s="1733">
        <v>940833.42</v>
      </c>
      <c r="N69" s="1733">
        <v>940833.42</v>
      </c>
      <c r="O69" s="1733">
        <v>940833.42</v>
      </c>
      <c r="P69" s="1733">
        <v>940833.42</v>
      </c>
      <c r="Q69" s="1733">
        <v>940833.42</v>
      </c>
      <c r="S69" s="1732">
        <v>938661.14</v>
      </c>
    </row>
    <row r="70" spans="1:21" s="1724" customFormat="1" ht="12.75">
      <c r="A70" s="1731"/>
      <c r="B70" s="1731"/>
      <c r="C70" s="1731" t="s">
        <v>3495</v>
      </c>
      <c r="D70" s="1731"/>
      <c r="E70" s="1731"/>
      <c r="F70" s="1733">
        <v>13135540.699999999</v>
      </c>
      <c r="G70" s="1733">
        <v>13135540.699999999</v>
      </c>
      <c r="H70" s="1733">
        <v>13135540.699999999</v>
      </c>
      <c r="I70" s="1733">
        <v>13135540.699999999</v>
      </c>
      <c r="J70" s="1733">
        <v>13135540.699999999</v>
      </c>
      <c r="K70" s="1733">
        <v>13135540.699999999</v>
      </c>
      <c r="L70" s="1733">
        <v>13135540.699999999</v>
      </c>
      <c r="M70" s="1733">
        <v>13135540.699999999</v>
      </c>
      <c r="N70" s="1733">
        <v>13135540.699999999</v>
      </c>
      <c r="O70" s="1733">
        <v>13135540.699999999</v>
      </c>
      <c r="P70" s="1733">
        <v>13135540.699999999</v>
      </c>
      <c r="Q70" s="1733">
        <v>13135540.699999999</v>
      </c>
      <c r="S70" s="1732">
        <v>13135540.699999999</v>
      </c>
    </row>
    <row r="71" spans="1:21" s="1724" customFormat="1" ht="12.75">
      <c r="A71" s="1731"/>
      <c r="B71" s="1731"/>
      <c r="C71" s="1731" t="s">
        <v>3494</v>
      </c>
      <c r="D71" s="1731"/>
      <c r="E71" s="1731"/>
      <c r="F71" s="1733">
        <v>3718291.2</v>
      </c>
      <c r="G71" s="1733">
        <v>3718291.2</v>
      </c>
      <c r="H71" s="1733">
        <v>3718291.2</v>
      </c>
      <c r="I71" s="1733">
        <v>3718291.2</v>
      </c>
      <c r="J71" s="1733">
        <v>3718291.2</v>
      </c>
      <c r="K71" s="1733">
        <v>3718291.2</v>
      </c>
      <c r="L71" s="1733">
        <v>3718291.2</v>
      </c>
      <c r="M71" s="1733">
        <v>3718291.2</v>
      </c>
      <c r="N71" s="1733">
        <v>3718291.2</v>
      </c>
      <c r="O71" s="1733">
        <v>3718291.2</v>
      </c>
      <c r="P71" s="1733">
        <v>3718291.2</v>
      </c>
      <c r="Q71" s="1733">
        <v>3718291.2</v>
      </c>
      <c r="S71" s="1732">
        <v>3718291.2</v>
      </c>
    </row>
    <row r="72" spans="1:21" s="1724" customFormat="1" ht="12.75">
      <c r="A72" s="1731"/>
      <c r="B72" s="1731"/>
      <c r="C72" s="1731" t="s">
        <v>3493</v>
      </c>
      <c r="D72" s="1731"/>
      <c r="E72" s="1731"/>
      <c r="F72" s="1733">
        <v>1788507.12</v>
      </c>
      <c r="G72" s="1733">
        <v>1788507.12</v>
      </c>
      <c r="H72" s="1733">
        <v>1788507.12</v>
      </c>
      <c r="I72" s="1733">
        <v>1788507.12</v>
      </c>
      <c r="J72" s="1733">
        <v>1788507.12</v>
      </c>
      <c r="K72" s="1733">
        <v>1788507.12</v>
      </c>
      <c r="L72" s="1733">
        <v>1788507.12</v>
      </c>
      <c r="M72" s="1733">
        <v>1788507.12</v>
      </c>
      <c r="N72" s="1733">
        <v>1788507.12</v>
      </c>
      <c r="O72" s="1733">
        <v>1788507.12</v>
      </c>
      <c r="P72" s="1733">
        <v>1788507.12</v>
      </c>
      <c r="Q72" s="1733">
        <v>1788507.12</v>
      </c>
      <c r="S72" s="1732">
        <v>1788507.12</v>
      </c>
    </row>
    <row r="73" spans="1:21" s="1724" customFormat="1" ht="12.75">
      <c r="A73" s="1731"/>
      <c r="B73" s="1731"/>
      <c r="C73" s="1731" t="s">
        <v>3492</v>
      </c>
      <c r="D73" s="1731"/>
      <c r="E73" s="1731"/>
      <c r="F73" s="1733">
        <v>21881811.870000001</v>
      </c>
      <c r="G73" s="1733">
        <v>21881811.870000001</v>
      </c>
      <c r="H73" s="1733">
        <v>21881811.870000001</v>
      </c>
      <c r="I73" s="1733">
        <v>21881811.870000001</v>
      </c>
      <c r="J73" s="1733">
        <v>21881811.870000001</v>
      </c>
      <c r="K73" s="1733">
        <v>21881811.870000001</v>
      </c>
      <c r="L73" s="1733">
        <v>21881811.870000001</v>
      </c>
      <c r="M73" s="1733">
        <v>21881811.870000001</v>
      </c>
      <c r="N73" s="1733">
        <v>21881811.870000001</v>
      </c>
      <c r="O73" s="1733">
        <v>21881811.870000001</v>
      </c>
      <c r="P73" s="1733">
        <v>21881811.870000001</v>
      </c>
      <c r="Q73" s="1733">
        <v>21881811.870000001</v>
      </c>
      <c r="S73" s="1732">
        <v>21881811.870000001</v>
      </c>
    </row>
    <row r="74" spans="1:21" s="1724" customFormat="1" ht="12.75">
      <c r="A74" s="1731"/>
      <c r="B74" s="1731"/>
      <c r="C74" s="1731" t="s">
        <v>3491</v>
      </c>
      <c r="D74" s="1731"/>
      <c r="E74" s="1731"/>
      <c r="F74" s="1733">
        <v>-429060.72</v>
      </c>
      <c r="G74" s="1733">
        <v>-429060.72</v>
      </c>
      <c r="H74" s="1733">
        <v>-429060.72</v>
      </c>
      <c r="I74" s="1733">
        <v>-429060.72</v>
      </c>
      <c r="J74" s="1733">
        <v>-429060.72</v>
      </c>
      <c r="K74" s="1733">
        <v>-429060.72</v>
      </c>
      <c r="L74" s="1733">
        <v>-429060.72</v>
      </c>
      <c r="M74" s="1733">
        <v>-429060.72</v>
      </c>
      <c r="N74" s="1733">
        <v>-429060.72</v>
      </c>
      <c r="O74" s="1733">
        <v>-429060.72</v>
      </c>
      <c r="P74" s="1733">
        <v>-429060.72</v>
      </c>
      <c r="Q74" s="1733">
        <v>-429060.72</v>
      </c>
      <c r="S74" s="1732">
        <v>-429060.72</v>
      </c>
    </row>
    <row r="75" spans="1:21" s="1724" customFormat="1" ht="12.75">
      <c r="A75" s="1731"/>
      <c r="B75" s="1731"/>
      <c r="C75" s="1731" t="s">
        <v>3490</v>
      </c>
      <c r="D75" s="1731"/>
      <c r="E75" s="1731"/>
      <c r="F75" s="1733">
        <v>-5768797.7800000003</v>
      </c>
      <c r="G75" s="1733">
        <v>-5768797.7800000003</v>
      </c>
      <c r="H75" s="1733">
        <v>-5768797.7800000003</v>
      </c>
      <c r="I75" s="1733">
        <v>-5768797.7800000003</v>
      </c>
      <c r="J75" s="1733">
        <v>-5768797.7800000003</v>
      </c>
      <c r="K75" s="1733">
        <v>-5768797.7800000003</v>
      </c>
      <c r="L75" s="1733">
        <v>-5768797.7800000003</v>
      </c>
      <c r="M75" s="1733">
        <v>-5768797.7800000003</v>
      </c>
      <c r="N75" s="1733">
        <v>-5768797.7800000003</v>
      </c>
      <c r="O75" s="1733">
        <v>-5768797.7800000003</v>
      </c>
      <c r="P75" s="1733">
        <v>-5768797.7800000003</v>
      </c>
      <c r="Q75" s="1733">
        <v>-5768797.7800000003</v>
      </c>
      <c r="S75" s="1732"/>
    </row>
    <row r="76" spans="1:21" s="1724" customFormat="1" ht="12.75">
      <c r="A76" s="1731"/>
      <c r="B76" s="1731"/>
      <c r="C76" s="1731" t="s">
        <v>3489</v>
      </c>
      <c r="D76" s="1731"/>
      <c r="E76" s="1731"/>
      <c r="F76" s="1733">
        <v>-7687678.5300000003</v>
      </c>
      <c r="G76" s="1733">
        <v>-7687678.5300000003</v>
      </c>
      <c r="H76" s="1733">
        <v>-7687678.5300000003</v>
      </c>
      <c r="I76" s="1733">
        <v>-7687678.5300000003</v>
      </c>
      <c r="J76" s="1733">
        <v>-7687678.5300000003</v>
      </c>
      <c r="K76" s="1733">
        <v>-7687678.5300000003</v>
      </c>
      <c r="L76" s="1733">
        <v>-7687678.5300000003</v>
      </c>
      <c r="M76" s="1733">
        <v>-7687678.5300000003</v>
      </c>
      <c r="N76" s="1733">
        <v>-7687678.5300000003</v>
      </c>
      <c r="O76" s="1733">
        <v>-7687678.5300000003</v>
      </c>
      <c r="P76" s="1733">
        <v>-7687678.5300000003</v>
      </c>
      <c r="Q76" s="1733">
        <v>-7687678.5300000003</v>
      </c>
      <c r="S76" s="1732">
        <v>-7687678.5300000003</v>
      </c>
    </row>
    <row r="77" spans="1:21" s="1724" customFormat="1" ht="13.5" thickBot="1">
      <c r="A77" s="1731"/>
      <c r="B77" s="1731"/>
      <c r="C77" s="1731" t="s">
        <v>338</v>
      </c>
      <c r="D77" s="1731"/>
      <c r="E77" s="1731"/>
      <c r="F77" s="1733">
        <v>-586572.19999999995</v>
      </c>
      <c r="G77" s="1733">
        <v>-1563780.3</v>
      </c>
      <c r="H77" s="1733">
        <v>-2364473.1800000002</v>
      </c>
      <c r="I77" s="1733">
        <v>-2982882.29</v>
      </c>
      <c r="J77" s="1733">
        <v>-4234967.38</v>
      </c>
      <c r="K77" s="1733">
        <v>-5049637.84</v>
      </c>
      <c r="L77" s="1733">
        <v>-6254074.4199999999</v>
      </c>
      <c r="M77" s="1733">
        <v>-7739677.7999999998</v>
      </c>
      <c r="N77" s="1733">
        <v>-8842069.8900000006</v>
      </c>
      <c r="O77" s="1733">
        <v>-10561312.560000001</v>
      </c>
      <c r="P77" s="1733">
        <v>-12092941.48</v>
      </c>
      <c r="Q77" s="1733">
        <v>-13042478.960000001</v>
      </c>
      <c r="S77" s="1732">
        <v>-5768797.7800000003</v>
      </c>
    </row>
    <row r="78" spans="1:21" s="1724" customFormat="1" ht="13.5" thickBot="1">
      <c r="A78" s="1731"/>
      <c r="B78" s="1731" t="s">
        <v>598</v>
      </c>
      <c r="C78" s="1731"/>
      <c r="D78" s="1731"/>
      <c r="E78" s="1731"/>
      <c r="F78" s="1730">
        <v>26996154.510000002</v>
      </c>
      <c r="G78" s="1730">
        <v>26018972.190000001</v>
      </c>
      <c r="H78" s="1730">
        <v>25222014.23</v>
      </c>
      <c r="I78" s="1730">
        <v>24603925.300000001</v>
      </c>
      <c r="J78" s="1730">
        <v>23358855.449999999</v>
      </c>
      <c r="K78" s="1730">
        <v>22549554.010000002</v>
      </c>
      <c r="L78" s="1730">
        <v>21351477.66</v>
      </c>
      <c r="M78" s="1730">
        <v>19858498.449999999</v>
      </c>
      <c r="N78" s="1730">
        <v>18762475.100000001</v>
      </c>
      <c r="O78" s="1730">
        <v>17044243.390000001</v>
      </c>
      <c r="P78" s="1730">
        <v>15512955.33</v>
      </c>
      <c r="Q78" s="1730">
        <v>14564397.65</v>
      </c>
      <c r="S78" s="1729">
        <v>27580538.140000001</v>
      </c>
      <c r="U78" s="1725"/>
    </row>
    <row r="79" spans="1:21" s="1724" customFormat="1" ht="13.5" thickBot="1">
      <c r="A79" s="1728" t="s">
        <v>3488</v>
      </c>
      <c r="B79" s="1728"/>
      <c r="C79" s="1728"/>
      <c r="D79" s="1728"/>
      <c r="E79" s="1728"/>
      <c r="F79" s="1727">
        <v>28354881.300000001</v>
      </c>
      <c r="G79" s="1727">
        <v>27159768.140000001</v>
      </c>
      <c r="H79" s="1727">
        <v>26460019.460000001</v>
      </c>
      <c r="I79" s="1727">
        <v>25922117.07</v>
      </c>
      <c r="J79" s="1727">
        <v>24814377.32</v>
      </c>
      <c r="K79" s="1727">
        <v>23940481.289999999</v>
      </c>
      <c r="L79" s="1727">
        <v>23000836.050000001</v>
      </c>
      <c r="M79" s="1727">
        <v>21252330.690000001</v>
      </c>
      <c r="N79" s="1727">
        <v>21122150.84</v>
      </c>
      <c r="O79" s="1727">
        <v>19836006.129999999</v>
      </c>
      <c r="P79" s="1727">
        <v>17605793.02</v>
      </c>
      <c r="Q79" s="1727">
        <v>16908861.07</v>
      </c>
      <c r="S79" s="1726">
        <v>29106723.82</v>
      </c>
    </row>
    <row r="80" spans="1:21" s="1724" customFormat="1" ht="13.5" thickTop="1">
      <c r="F80" s="1725"/>
      <c r="G80" s="1725"/>
      <c r="H80" s="1725"/>
      <c r="I80" s="1725"/>
      <c r="J80" s="1725"/>
      <c r="K80" s="1725"/>
      <c r="L80" s="1725"/>
      <c r="M80" s="1725"/>
      <c r="N80" s="1725"/>
      <c r="O80" s="1725"/>
      <c r="P80" s="1725"/>
      <c r="Q80" s="1725"/>
    </row>
    <row r="81" spans="1:19" s="1724" customFormat="1" ht="12.75">
      <c r="F81" s="1725"/>
      <c r="G81" s="1725"/>
      <c r="H81" s="1725"/>
      <c r="I81" s="1725"/>
      <c r="J81" s="1725"/>
      <c r="K81" s="1725"/>
      <c r="L81" s="1725"/>
      <c r="M81" s="1725">
        <f>M79-M46</f>
        <v>0</v>
      </c>
      <c r="N81" s="1725">
        <f>N79-N46</f>
        <v>0</v>
      </c>
      <c r="O81" s="1725">
        <f>O79-O46</f>
        <v>0</v>
      </c>
      <c r="P81" s="1725">
        <f>P79-P46</f>
        <v>0</v>
      </c>
      <c r="Q81" s="1725"/>
      <c r="S81" s="1725">
        <f>S79-S46</f>
        <v>0</v>
      </c>
    </row>
    <row r="82" spans="1:19" s="1724" customFormat="1" ht="12.75">
      <c r="F82" s="1725"/>
      <c r="G82" s="1725"/>
      <c r="H82" s="1725"/>
      <c r="I82" s="1725"/>
      <c r="J82" s="1725"/>
      <c r="K82" s="1725"/>
      <c r="L82" s="1725"/>
      <c r="M82" s="1725"/>
      <c r="N82" s="1725"/>
      <c r="O82" s="1725"/>
      <c r="P82" s="1725"/>
      <c r="Q82" s="1725"/>
    </row>
    <row r="83" spans="1:19" s="1724" customFormat="1" ht="12.75">
      <c r="F83" s="1725"/>
      <c r="G83" s="1725"/>
      <c r="H83" s="1725"/>
      <c r="I83" s="1725"/>
      <c r="J83" s="1725"/>
      <c r="K83" s="1725"/>
      <c r="L83" s="1725"/>
      <c r="M83" s="1725"/>
      <c r="N83" s="1725"/>
      <c r="O83" s="1725"/>
      <c r="P83" s="1725"/>
      <c r="Q83" s="1725"/>
    </row>
    <row r="84" spans="1:19" s="1724" customFormat="1" ht="12.75">
      <c r="F84" s="1725"/>
      <c r="G84" s="1725"/>
      <c r="H84" s="1725"/>
      <c r="I84" s="1725"/>
      <c r="J84" s="1725"/>
      <c r="K84" s="1725"/>
      <c r="L84" s="1725"/>
      <c r="M84" s="1725"/>
      <c r="N84" s="1725"/>
      <c r="O84" s="1725"/>
      <c r="P84" s="1725"/>
      <c r="Q84" s="1725"/>
    </row>
    <row r="85" spans="1:19" s="1724" customFormat="1" ht="12.75"/>
    <row r="86" spans="1:19" s="1724" customFormat="1" ht="12.75"/>
    <row r="87" spans="1:19">
      <c r="A87" s="1724"/>
      <c r="B87" s="1724"/>
      <c r="C87" s="1724"/>
      <c r="D87" s="1724"/>
      <c r="E87" s="1724"/>
      <c r="F87" s="1724"/>
      <c r="G87" s="1724"/>
      <c r="H87" s="1724"/>
      <c r="I87" s="1724"/>
      <c r="J87" s="1724"/>
      <c r="K87" s="1724"/>
      <c r="L87" s="1724"/>
      <c r="M87" s="1724"/>
      <c r="N87" s="1724"/>
      <c r="O87" s="1724"/>
      <c r="P87" s="1724"/>
      <c r="Q87" s="1724"/>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4">
    <tabColor rgb="FFFFFFCC"/>
    <pageSetUpPr fitToPage="1"/>
  </sheetPr>
  <dimension ref="A4:G60"/>
  <sheetViews>
    <sheetView showGridLines="0" topLeftCell="A3" workbookViewId="0">
      <selection activeCell="D12" sqref="D12"/>
    </sheetView>
  </sheetViews>
  <sheetFormatPr defaultRowHeight="15"/>
  <cols>
    <col min="1" max="1" width="40.6640625" style="1681" customWidth="1"/>
    <col min="2" max="2" width="0" style="1681" hidden="1" customWidth="1"/>
    <col min="3" max="5" width="14.1640625" style="1681" customWidth="1"/>
    <col min="6" max="6" width="9.33203125" style="1681"/>
    <col min="7" max="7" width="19.33203125" style="1681" bestFit="1" customWidth="1"/>
    <col min="8" max="8" width="16.5" style="1681" bestFit="1" customWidth="1"/>
    <col min="9" max="16384" width="9.33203125" style="1681"/>
  </cols>
  <sheetData>
    <row r="4" spans="1:7">
      <c r="B4" s="1682"/>
      <c r="C4" s="2220" t="s">
        <v>3321</v>
      </c>
      <c r="D4" s="2220"/>
      <c r="E4" s="2220"/>
    </row>
    <row r="5" spans="1:7">
      <c r="B5" s="1682"/>
      <c r="C5" s="2220" t="s">
        <v>3381</v>
      </c>
      <c r="D5" s="2220"/>
      <c r="E5" s="2220"/>
    </row>
    <row r="6" spans="1:7">
      <c r="B6" s="1683"/>
      <c r="C6" s="2221" t="s">
        <v>3382</v>
      </c>
      <c r="D6" s="2221"/>
      <c r="E6" s="2221"/>
    </row>
    <row r="7" spans="1:7">
      <c r="B7" s="1684"/>
      <c r="C7" s="2222" t="s">
        <v>3324</v>
      </c>
      <c r="D7" s="2222"/>
      <c r="E7" s="2222"/>
    </row>
    <row r="8" spans="1:7">
      <c r="A8" s="1685"/>
      <c r="B8" s="1686"/>
      <c r="C8" s="1686"/>
      <c r="D8" s="1686"/>
    </row>
    <row r="9" spans="1:7">
      <c r="A9" s="1687"/>
      <c r="B9" s="1688">
        <v>42735</v>
      </c>
      <c r="C9" s="1688" t="s">
        <v>3328</v>
      </c>
      <c r="D9" s="1688" t="s">
        <v>690</v>
      </c>
      <c r="E9" s="1688" t="s">
        <v>104</v>
      </c>
    </row>
    <row r="10" spans="1:7">
      <c r="A10" s="1689" t="s">
        <v>3383</v>
      </c>
      <c r="B10" s="1690"/>
      <c r="C10" s="1690"/>
      <c r="D10" s="1690"/>
      <c r="E10" s="1690"/>
    </row>
    <row r="11" spans="1:7">
      <c r="A11" s="1686" t="s">
        <v>3384</v>
      </c>
      <c r="B11" s="1690"/>
      <c r="C11" s="1690"/>
      <c r="D11" s="1690"/>
      <c r="E11" s="1690"/>
    </row>
    <row r="12" spans="1:7">
      <c r="A12" s="1686" t="s">
        <v>3385</v>
      </c>
      <c r="B12" s="1691">
        <v>693038.64</v>
      </c>
      <c r="C12" s="1692">
        <v>12717.817532327186</v>
      </c>
      <c r="D12" s="1692">
        <v>13734.83632</v>
      </c>
      <c r="E12" s="1692">
        <f>C12-D12</f>
        <v>-1017.0187876728141</v>
      </c>
      <c r="G12" s="1693"/>
    </row>
    <row r="13" spans="1:7">
      <c r="A13" s="1686" t="s">
        <v>3386</v>
      </c>
      <c r="B13" s="1694">
        <f>ROUND(SUM(B12:B12),5)</f>
        <v>693038.64</v>
      </c>
      <c r="C13" s="1694">
        <f>C12</f>
        <v>12717.817532327186</v>
      </c>
      <c r="D13" s="1694">
        <f>D12</f>
        <v>13734.83632</v>
      </c>
      <c r="E13" s="1694">
        <f>E12</f>
        <v>-1017.0187876728141</v>
      </c>
      <c r="G13" s="1693"/>
    </row>
    <row r="14" spans="1:7" ht="5.0999999999999996" customHeight="1">
      <c r="A14" s="1686"/>
      <c r="B14" s="1694"/>
      <c r="C14" s="1694"/>
      <c r="D14" s="1694"/>
      <c r="E14" s="1694"/>
    </row>
    <row r="15" spans="1:7">
      <c r="A15" s="1686" t="s">
        <v>3387</v>
      </c>
      <c r="B15" s="1694"/>
      <c r="C15" s="1694">
        <v>32.587989999999998</v>
      </c>
      <c r="D15" s="1694">
        <v>118.21811</v>
      </c>
      <c r="E15" s="1694">
        <f>C15-D15</f>
        <v>-85.630120000000005</v>
      </c>
      <c r="G15" s="1693"/>
    </row>
    <row r="16" spans="1:7">
      <c r="A16" s="1686" t="s">
        <v>3388</v>
      </c>
      <c r="B16" s="1694">
        <v>0</v>
      </c>
      <c r="C16" s="1694">
        <v>737.57444666666674</v>
      </c>
      <c r="D16" s="1694">
        <v>692.10127</v>
      </c>
      <c r="E16" s="1694">
        <f t="shared" ref="E16:E17" si="0">C16-D16</f>
        <v>45.473176666666745</v>
      </c>
      <c r="G16" s="1693"/>
    </row>
    <row r="17" spans="1:7">
      <c r="A17" s="1686" t="s">
        <v>3389</v>
      </c>
      <c r="B17" s="1694">
        <v>0</v>
      </c>
      <c r="C17" s="1695">
        <v>363.39643999999998</v>
      </c>
      <c r="D17" s="1695">
        <v>363.39643999999998</v>
      </c>
      <c r="E17" s="1695">
        <f t="shared" si="0"/>
        <v>0</v>
      </c>
      <c r="G17" s="1693"/>
    </row>
    <row r="18" spans="1:7">
      <c r="A18" s="1686" t="s">
        <v>224</v>
      </c>
      <c r="B18" s="1696">
        <f>B13+B16+B17</f>
        <v>693038.64</v>
      </c>
      <c r="C18" s="1694">
        <f t="shared" ref="C18:D18" si="1">SUM(C13:C17)</f>
        <v>13851.376408993854</v>
      </c>
      <c r="D18" s="1694">
        <f t="shared" si="1"/>
        <v>14908.55214</v>
      </c>
      <c r="E18" s="1694">
        <f t="shared" ref="E18" si="2">SUM(E13:E17)</f>
        <v>-1057.1757310061475</v>
      </c>
      <c r="G18" s="1693"/>
    </row>
    <row r="19" spans="1:7" ht="5.0999999999999996" customHeight="1">
      <c r="A19" s="1686"/>
      <c r="B19" s="1694"/>
      <c r="C19" s="1694"/>
      <c r="D19" s="1694"/>
      <c r="E19" s="1694"/>
    </row>
    <row r="20" spans="1:7" ht="15" customHeight="1">
      <c r="A20" s="1686" t="s">
        <v>3390</v>
      </c>
      <c r="B20" s="1694"/>
      <c r="C20" s="1694">
        <f>27034.41/1000</f>
        <v>27.034410000000001</v>
      </c>
      <c r="D20" s="1694">
        <v>39.826000000000001</v>
      </c>
      <c r="E20" s="1694">
        <f t="shared" ref="E20:E22" si="3">C20-D20</f>
        <v>-12.791589999999999</v>
      </c>
      <c r="G20" s="1693"/>
    </row>
    <row r="21" spans="1:7" ht="15" customHeight="1">
      <c r="A21" s="1686" t="s">
        <v>3391</v>
      </c>
      <c r="B21" s="1694"/>
      <c r="C21" s="1694">
        <v>2119.2988707936511</v>
      </c>
      <c r="D21" s="1694">
        <v>1873.0741</v>
      </c>
      <c r="E21" s="1694">
        <f t="shared" si="3"/>
        <v>246.22477079365103</v>
      </c>
      <c r="G21" s="1693"/>
    </row>
    <row r="22" spans="1:7">
      <c r="A22" s="1686" t="s">
        <v>3392</v>
      </c>
      <c r="B22" s="1694"/>
      <c r="C22" s="1694">
        <v>87.39273</v>
      </c>
      <c r="D22" s="1694">
        <v>87.41273000000001</v>
      </c>
      <c r="E22" s="1694">
        <f t="shared" si="3"/>
        <v>-2.0000000000010232E-2</v>
      </c>
      <c r="G22" s="1693"/>
    </row>
    <row r="23" spans="1:7" ht="6" customHeight="1">
      <c r="A23" s="1686"/>
      <c r="B23" s="1694"/>
      <c r="C23" s="1694"/>
      <c r="D23" s="1694"/>
      <c r="E23" s="1694"/>
      <c r="G23" s="1693"/>
    </row>
    <row r="24" spans="1:7" ht="15.75" thickBot="1">
      <c r="A24" s="1697" t="s">
        <v>3393</v>
      </c>
      <c r="B24" s="1698">
        <f>ROUND(B10+SUM(B18:B18),5)</f>
        <v>693038.64</v>
      </c>
      <c r="C24" s="1699">
        <f>SUM(C18:C23)</f>
        <v>16085.102419787505</v>
      </c>
      <c r="D24" s="1699">
        <f>SUM(D18:D23)</f>
        <v>16908.864969999999</v>
      </c>
      <c r="E24" s="1699">
        <f>SUM(E18:E23)</f>
        <v>-823.76255021249654</v>
      </c>
      <c r="G24" s="1693"/>
    </row>
    <row r="25" spans="1:7" ht="5.0999999999999996" customHeight="1" thickTop="1">
      <c r="A25" s="1686"/>
      <c r="B25" s="1694"/>
      <c r="C25" s="1694"/>
      <c r="D25" s="1694"/>
      <c r="E25" s="1694"/>
    </row>
    <row r="26" spans="1:7">
      <c r="A26" s="1689" t="s">
        <v>3394</v>
      </c>
      <c r="B26" s="1694"/>
      <c r="C26" s="1694"/>
      <c r="D26" s="1694"/>
      <c r="E26" s="1694"/>
    </row>
    <row r="27" spans="1:7">
      <c r="A27" s="1686" t="s">
        <v>3395</v>
      </c>
      <c r="B27" s="1694"/>
      <c r="C27" s="1694"/>
      <c r="D27" s="1694"/>
      <c r="E27" s="1694"/>
    </row>
    <row r="28" spans="1:7">
      <c r="A28" s="1686" t="s">
        <v>3396</v>
      </c>
      <c r="B28" s="1694">
        <v>8107.5</v>
      </c>
      <c r="C28" s="1694">
        <v>1193.7118404999999</v>
      </c>
      <c r="D28" s="1694">
        <v>552.97454000000005</v>
      </c>
      <c r="E28" s="1694">
        <f t="shared" ref="E28:E31" si="4">C28-D28</f>
        <v>640.73730049999983</v>
      </c>
      <c r="G28" s="1693"/>
    </row>
    <row r="29" spans="1:7">
      <c r="A29" s="1686" t="s">
        <v>3363</v>
      </c>
      <c r="B29" s="1694">
        <v>400</v>
      </c>
      <c r="C29" s="1694">
        <v>1504.4315145600128</v>
      </c>
      <c r="D29" s="1694">
        <v>1483.9687099999999</v>
      </c>
      <c r="E29" s="1694">
        <f t="shared" si="4"/>
        <v>20.462804560012955</v>
      </c>
      <c r="G29" s="1693"/>
    </row>
    <row r="30" spans="1:7">
      <c r="A30" s="1686" t="s">
        <v>3397</v>
      </c>
      <c r="B30" s="1694"/>
      <c r="C30" s="1694">
        <f>(149755.15)/1000</f>
        <v>149.75514999999999</v>
      </c>
      <c r="D30" s="1694">
        <v>149.75514999999999</v>
      </c>
      <c r="E30" s="1694">
        <f t="shared" si="4"/>
        <v>0</v>
      </c>
      <c r="G30" s="1693"/>
    </row>
    <row r="31" spans="1:7">
      <c r="A31" s="1686" t="s">
        <v>3398</v>
      </c>
      <c r="B31" s="1694"/>
      <c r="C31" s="1695">
        <v>0</v>
      </c>
      <c r="D31" s="1695">
        <v>0</v>
      </c>
      <c r="E31" s="1695">
        <f t="shared" si="4"/>
        <v>0</v>
      </c>
      <c r="G31" s="1693"/>
    </row>
    <row r="32" spans="1:7">
      <c r="A32" s="1686" t="s">
        <v>3399</v>
      </c>
      <c r="B32" s="1696">
        <f>SUM(B28:B29)</f>
        <v>8507.5</v>
      </c>
      <c r="C32" s="1694">
        <f>SUM(C28:C31)</f>
        <v>2847.8985050600127</v>
      </c>
      <c r="D32" s="1694">
        <f t="shared" ref="D32:E32" si="5">SUM(D28:D31)</f>
        <v>2186.6983999999998</v>
      </c>
      <c r="E32" s="1694">
        <f t="shared" si="5"/>
        <v>661.20010506001279</v>
      </c>
      <c r="G32" s="1693"/>
    </row>
    <row r="33" spans="1:7" ht="5.0999999999999996" customHeight="1">
      <c r="A33" s="1686"/>
      <c r="B33" s="1694"/>
      <c r="C33" s="1694"/>
      <c r="D33" s="1694"/>
      <c r="E33" s="1694"/>
    </row>
    <row r="34" spans="1:7">
      <c r="A34" s="1686" t="s">
        <v>3400</v>
      </c>
      <c r="B34" s="1694"/>
      <c r="C34" s="1694"/>
      <c r="D34" s="1694"/>
      <c r="E34" s="1694"/>
    </row>
    <row r="35" spans="1:7">
      <c r="A35" s="1686" t="s">
        <v>3401</v>
      </c>
      <c r="B35" s="1694">
        <v>1000000</v>
      </c>
      <c r="C35" s="1694">
        <v>150.17114999999998</v>
      </c>
      <c r="D35" s="1694">
        <v>157.76501999999999</v>
      </c>
      <c r="E35" s="1694">
        <f>C35-D35</f>
        <v>-7.5938700000000097</v>
      </c>
      <c r="G35" s="1693"/>
    </row>
    <row r="36" spans="1:7">
      <c r="A36" s="1686" t="s">
        <v>3402</v>
      </c>
      <c r="B36" s="1700">
        <f>ROUND(SUM(B34:B35),5)</f>
        <v>1000000</v>
      </c>
      <c r="C36" s="1701">
        <f>SUM(C35:C35)</f>
        <v>150.17114999999998</v>
      </c>
      <c r="D36" s="1701">
        <f>SUM(D35:D35)</f>
        <v>157.76501999999999</v>
      </c>
      <c r="E36" s="1701">
        <f>SUM(E35:E35)</f>
        <v>-7.5938700000000097</v>
      </c>
      <c r="G36" s="1693"/>
    </row>
    <row r="37" spans="1:7" ht="5.0999999999999996" customHeight="1">
      <c r="A37" s="1686"/>
      <c r="B37" s="1694"/>
      <c r="C37" s="1694"/>
      <c r="D37" s="1694"/>
      <c r="E37" s="1694"/>
      <c r="G37" s="1693"/>
    </row>
    <row r="38" spans="1:7">
      <c r="A38" s="1686" t="s">
        <v>3403</v>
      </c>
      <c r="B38" s="1694">
        <f>B32+B36</f>
        <v>1008507.5</v>
      </c>
      <c r="C38" s="1694">
        <f>C32+C36</f>
        <v>2998.0696550600128</v>
      </c>
      <c r="D38" s="1694">
        <f>D32+D36</f>
        <v>2344.4634199999996</v>
      </c>
      <c r="E38" s="1694">
        <f>E32+E36</f>
        <v>653.60623506001275</v>
      </c>
      <c r="G38" s="1693"/>
    </row>
    <row r="39" spans="1:7" ht="5.0999999999999996" customHeight="1">
      <c r="A39" s="1686"/>
      <c r="B39" s="1694"/>
      <c r="C39" s="1694"/>
      <c r="D39" s="1694"/>
      <c r="E39" s="1694"/>
    </row>
    <row r="40" spans="1:7">
      <c r="A40" s="1686" t="s">
        <v>265</v>
      </c>
      <c r="B40" s="1694"/>
      <c r="C40" s="1694"/>
      <c r="D40" s="1694"/>
      <c r="E40" s="1694"/>
    </row>
    <row r="41" spans="1:7">
      <c r="A41" s="1686" t="s">
        <v>3404</v>
      </c>
      <c r="B41" s="1694">
        <v>1000</v>
      </c>
      <c r="C41" s="1694">
        <v>41054.652560000002</v>
      </c>
      <c r="D41" s="1694">
        <v>41063.352920000005</v>
      </c>
      <c r="E41" s="1694">
        <f t="shared" ref="E41:E44" si="6">C41-D41</f>
        <v>-8.7003600000025472</v>
      </c>
      <c r="G41" s="1693"/>
    </row>
    <row r="42" spans="1:7">
      <c r="A42" s="1686" t="s">
        <v>3405</v>
      </c>
      <c r="B42" s="1694">
        <v>0</v>
      </c>
      <c r="C42" s="1694">
        <v>0</v>
      </c>
      <c r="D42" s="1694">
        <v>0</v>
      </c>
      <c r="E42" s="1694">
        <f t="shared" si="6"/>
        <v>0</v>
      </c>
      <c r="G42" s="1693"/>
    </row>
    <row r="43" spans="1:7">
      <c r="A43" s="1686" t="s">
        <v>3406</v>
      </c>
      <c r="B43" s="1694">
        <v>0</v>
      </c>
      <c r="C43" s="1694">
        <v>-13456.47631</v>
      </c>
      <c r="D43" s="1694">
        <v>-13456.47631</v>
      </c>
      <c r="E43" s="1694">
        <f t="shared" si="6"/>
        <v>0</v>
      </c>
      <c r="G43" s="1693"/>
    </row>
    <row r="44" spans="1:7">
      <c r="A44" s="1686" t="s">
        <v>3358</v>
      </c>
      <c r="B44" s="1694">
        <v>-313842.45</v>
      </c>
      <c r="C44" s="1695">
        <v>-14511.143485272511</v>
      </c>
      <c r="D44" s="1695">
        <v>-13042.47896</v>
      </c>
      <c r="E44" s="1695">
        <f t="shared" si="6"/>
        <v>-1468.6645252725102</v>
      </c>
      <c r="G44" s="1693"/>
    </row>
    <row r="45" spans="1:7">
      <c r="A45" s="1686" t="s">
        <v>598</v>
      </c>
      <c r="B45" s="1696">
        <f>ROUND(SUM(B40:B44),5)</f>
        <v>-312842.45</v>
      </c>
      <c r="C45" s="1694">
        <f>ROUND(SUM(C39:C44),5)</f>
        <v>13087.03276</v>
      </c>
      <c r="D45" s="1694">
        <f t="shared" ref="D45:E45" si="7">ROUND(SUM(D39:D44),5)</f>
        <v>14564.397650000001</v>
      </c>
      <c r="E45" s="1694">
        <f t="shared" si="7"/>
        <v>-1477.3648900000001</v>
      </c>
      <c r="G45" s="1693"/>
    </row>
    <row r="46" spans="1:7" ht="6" customHeight="1">
      <c r="A46" s="1686"/>
      <c r="B46" s="1694"/>
      <c r="C46" s="1694"/>
      <c r="D46" s="1694"/>
      <c r="E46" s="1694"/>
      <c r="G46" s="1693"/>
    </row>
    <row r="47" spans="1:7" ht="15.75" thickBot="1">
      <c r="A47" s="1697" t="s">
        <v>3407</v>
      </c>
      <c r="B47" s="1702">
        <f>ROUND(B26+B38+B45,5)</f>
        <v>695665.05</v>
      </c>
      <c r="C47" s="1703">
        <f>ROUND(C26+C38+C45,5)</f>
        <v>16085.102419999999</v>
      </c>
      <c r="D47" s="1703">
        <f>ROUND(D26+D38+D45,5)</f>
        <v>16908.861069999999</v>
      </c>
      <c r="E47" s="1703">
        <f>ROUND(E26+E38+E45,5)</f>
        <v>-823.75864999999999</v>
      </c>
      <c r="G47" s="1693"/>
    </row>
    <row r="48" spans="1:7" ht="15.75" thickTop="1">
      <c r="A48" s="1686"/>
      <c r="B48" s="1704"/>
      <c r="C48" s="1686"/>
      <c r="D48" s="1686"/>
      <c r="E48" s="1686"/>
    </row>
    <row r="60" spans="3:5">
      <c r="C60" s="1693">
        <f>C47-C24</f>
        <v>2.1249434212222695E-7</v>
      </c>
      <c r="D60" s="1693">
        <f>D47-D24</f>
        <v>-3.8999999997031409E-3</v>
      </c>
      <c r="E60" s="1693">
        <f>E47-E24</f>
        <v>3.9002124965463736E-3</v>
      </c>
    </row>
  </sheetData>
  <mergeCells count="4">
    <mergeCell ref="C4:E4"/>
    <mergeCell ref="C5:E5"/>
    <mergeCell ref="C6:E6"/>
    <mergeCell ref="C7:E7"/>
  </mergeCell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85">
    <tabColor rgb="FFFFFFCC"/>
    <pageSetUpPr fitToPage="1"/>
  </sheetPr>
  <dimension ref="A3:P46"/>
  <sheetViews>
    <sheetView showGridLines="0" workbookViewId="0"/>
  </sheetViews>
  <sheetFormatPr defaultRowHeight="15"/>
  <cols>
    <col min="1" max="1" width="50.6640625" style="1549" customWidth="1"/>
    <col min="2" max="2" width="0.1640625" style="1549" customWidth="1"/>
    <col min="3" max="5" width="14.1640625" style="1549" customWidth="1"/>
    <col min="6" max="6" width="0.1640625" style="1549" customWidth="1"/>
    <col min="7" max="9" width="14.1640625" style="1549" customWidth="1"/>
    <col min="10" max="10" width="0.1640625" style="1549" customWidth="1"/>
    <col min="11" max="13" width="14.1640625" style="1549" customWidth="1"/>
    <col min="14" max="14" width="0.1640625" style="1549" customWidth="1"/>
    <col min="15" max="16" width="9.33203125" style="1549"/>
    <col min="17" max="17" width="14.1640625" style="1549" customWidth="1"/>
    <col min="18" max="16384" width="9.33203125" style="1549"/>
  </cols>
  <sheetData>
    <row r="3" spans="1:16">
      <c r="B3" s="1594"/>
      <c r="C3" s="2217" t="s">
        <v>3321</v>
      </c>
      <c r="D3" s="2217"/>
      <c r="E3" s="2217"/>
      <c r="F3" s="2217"/>
      <c r="G3" s="2217"/>
      <c r="H3" s="2217"/>
      <c r="I3" s="2217"/>
      <c r="J3" s="2217"/>
      <c r="K3" s="2217"/>
      <c r="L3" s="2217"/>
      <c r="M3" s="2217"/>
      <c r="N3" s="1594"/>
    </row>
    <row r="4" spans="1:16">
      <c r="B4" s="1594"/>
      <c r="C4" s="2217" t="s">
        <v>3355</v>
      </c>
      <c r="D4" s="2217"/>
      <c r="E4" s="2217"/>
      <c r="F4" s="2217"/>
      <c r="G4" s="2217"/>
      <c r="H4" s="2217"/>
      <c r="I4" s="2217"/>
      <c r="J4" s="2217"/>
      <c r="K4" s="2217"/>
      <c r="L4" s="2217"/>
      <c r="M4" s="2217"/>
      <c r="N4" s="1594"/>
    </row>
    <row r="5" spans="1:16">
      <c r="B5" s="1594"/>
      <c r="C5" s="2217" t="s">
        <v>3323</v>
      </c>
      <c r="D5" s="2217"/>
      <c r="E5" s="2217"/>
      <c r="F5" s="2217"/>
      <c r="G5" s="2217"/>
      <c r="H5" s="2217"/>
      <c r="I5" s="2217"/>
      <c r="J5" s="2217"/>
      <c r="K5" s="2217"/>
      <c r="L5" s="2217"/>
      <c r="M5" s="2217"/>
      <c r="N5" s="1594"/>
    </row>
    <row r="6" spans="1:16">
      <c r="B6" s="1594"/>
      <c r="C6" s="2217" t="s">
        <v>3324</v>
      </c>
      <c r="D6" s="2217"/>
      <c r="E6" s="2217"/>
      <c r="F6" s="2217"/>
      <c r="G6" s="2217"/>
      <c r="H6" s="2217"/>
      <c r="I6" s="2217"/>
      <c r="J6" s="2217"/>
      <c r="K6" s="2217"/>
      <c r="L6" s="2217"/>
      <c r="M6" s="2217"/>
      <c r="N6" s="1594"/>
      <c r="O6" s="1549" t="s">
        <v>3356</v>
      </c>
    </row>
    <row r="7" spans="1:16">
      <c r="A7" s="1577"/>
      <c r="B7" s="1577"/>
      <c r="C7" s="1577"/>
      <c r="D7" s="1577"/>
      <c r="E7" s="1577"/>
      <c r="F7" s="1577"/>
      <c r="G7" s="1577"/>
      <c r="H7" s="1577"/>
      <c r="I7" s="1577"/>
      <c r="J7" s="1577"/>
      <c r="K7" s="1577"/>
      <c r="L7" s="1577"/>
      <c r="M7" s="1577"/>
      <c r="N7" s="1577"/>
    </row>
    <row r="8" spans="1:16">
      <c r="A8" s="1579"/>
      <c r="B8" s="1579"/>
      <c r="C8" s="2223" t="s">
        <v>3325</v>
      </c>
      <c r="D8" s="2223"/>
      <c r="E8" s="2223"/>
      <c r="F8" s="1579"/>
      <c r="G8" s="2223" t="s">
        <v>3326</v>
      </c>
      <c r="H8" s="2223"/>
      <c r="I8" s="2223"/>
      <c r="J8" s="1579"/>
      <c r="K8" s="2224" t="s">
        <v>3327</v>
      </c>
      <c r="L8" s="2224"/>
      <c r="M8" s="2224"/>
      <c r="N8" s="1579"/>
    </row>
    <row r="9" spans="1:16">
      <c r="A9" s="1580"/>
      <c r="B9" s="1580"/>
      <c r="C9" s="1581" t="s">
        <v>3328</v>
      </c>
      <c r="D9" s="1581" t="s">
        <v>690</v>
      </c>
      <c r="E9" s="1581" t="s">
        <v>104</v>
      </c>
      <c r="F9" s="1580"/>
      <c r="G9" s="1581" t="s">
        <v>3328</v>
      </c>
      <c r="H9" s="1581" t="s">
        <v>690</v>
      </c>
      <c r="I9" s="1581" t="s">
        <v>104</v>
      </c>
      <c r="J9" s="1580"/>
      <c r="K9" s="1582" t="s">
        <v>3328</v>
      </c>
      <c r="L9" s="1582" t="s">
        <v>690</v>
      </c>
      <c r="M9" s="1582" t="s">
        <v>104</v>
      </c>
      <c r="N9" s="1580"/>
    </row>
    <row r="10" spans="1:16">
      <c r="A10" s="1590" t="s">
        <v>3357</v>
      </c>
      <c r="B10" s="1590"/>
      <c r="C10" s="1586"/>
      <c r="D10" s="1586"/>
      <c r="E10" s="1586"/>
      <c r="F10" s="1590"/>
      <c r="G10" s="1586"/>
      <c r="H10" s="1586"/>
      <c r="I10" s="1586"/>
      <c r="J10" s="1590"/>
      <c r="K10" s="1586"/>
      <c r="L10" s="1586"/>
      <c r="M10" s="1586"/>
      <c r="N10" s="1590"/>
      <c r="O10" s="1586"/>
      <c r="P10" s="1586"/>
    </row>
    <row r="11" spans="1:16" ht="3.95" customHeight="1">
      <c r="A11" s="1583"/>
      <c r="B11" s="1583"/>
      <c r="C11" s="1586"/>
      <c r="D11" s="1586"/>
      <c r="E11" s="1586"/>
      <c r="F11" s="1583"/>
      <c r="G11" s="1586"/>
      <c r="H11" s="1586"/>
      <c r="I11" s="1586"/>
      <c r="J11" s="1583"/>
      <c r="K11" s="1586"/>
      <c r="L11" s="1586"/>
      <c r="M11" s="1586"/>
      <c r="N11" s="1583"/>
      <c r="O11" s="1586"/>
      <c r="P11" s="1586"/>
    </row>
    <row r="12" spans="1:16">
      <c r="A12" s="1583" t="s">
        <v>3358</v>
      </c>
      <c r="B12" s="1595"/>
      <c r="C12" s="1585">
        <v>-2090.9258858780399</v>
      </c>
      <c r="D12" s="1585">
        <v>-949.53747999999996</v>
      </c>
      <c r="E12" s="1585">
        <f>C12-D12</f>
        <v>-1141.38840587804</v>
      </c>
      <c r="F12" s="1595"/>
      <c r="G12" s="1585">
        <v>-5274.9013498245067</v>
      </c>
      <c r="H12" s="1585">
        <v>-4200.4090700000006</v>
      </c>
      <c r="I12" s="1585">
        <f>G12-H12</f>
        <v>-1074.4922798245061</v>
      </c>
      <c r="J12" s="1595"/>
      <c r="K12" s="1585">
        <v>-14511.143485272511</v>
      </c>
      <c r="L12" s="1585">
        <v>-13042.47896</v>
      </c>
      <c r="M12" s="1585">
        <f>K12-L12</f>
        <v>-1468.6645252725102</v>
      </c>
      <c r="N12" s="1595"/>
      <c r="O12" s="1586"/>
      <c r="P12" s="1586"/>
    </row>
    <row r="13" spans="1:16" ht="5.0999999999999996" customHeight="1">
      <c r="A13" s="1583"/>
      <c r="B13" s="1595"/>
      <c r="C13" s="1586"/>
      <c r="D13" s="1586"/>
      <c r="E13" s="1586"/>
      <c r="F13" s="1595"/>
      <c r="G13" s="1586"/>
      <c r="H13" s="1586"/>
      <c r="I13" s="1586"/>
      <c r="J13" s="1595"/>
      <c r="K13" s="1586"/>
      <c r="L13" s="1586"/>
      <c r="M13" s="1586"/>
      <c r="N13" s="1595"/>
      <c r="O13" s="1586"/>
      <c r="P13" s="1586"/>
    </row>
    <row r="14" spans="1:16">
      <c r="A14" s="1583" t="s">
        <v>170</v>
      </c>
      <c r="B14" s="1595"/>
      <c r="C14" s="1586">
        <v>49.420390634920636</v>
      </c>
      <c r="D14" s="1586">
        <v>43.91771</v>
      </c>
      <c r="E14" s="1586">
        <f>C14-D14</f>
        <v>5.5026806349206367</v>
      </c>
      <c r="F14" s="1595"/>
      <c r="G14" s="1586">
        <v>147.09450523809525</v>
      </c>
      <c r="H14" s="1586">
        <v>127.14535999999998</v>
      </c>
      <c r="I14" s="1586">
        <f>G14-H14</f>
        <v>19.949145238095269</v>
      </c>
      <c r="J14" s="1595"/>
      <c r="K14" s="1586">
        <v>419.60849920634922</v>
      </c>
      <c r="L14" s="1586">
        <v>372.18291000000005</v>
      </c>
      <c r="M14" s="1586">
        <f>K14-L14</f>
        <v>47.425589206349173</v>
      </c>
      <c r="N14" s="1595"/>
      <c r="O14" s="1586"/>
      <c r="P14" s="1586"/>
    </row>
    <row r="15" spans="1:16" ht="5.0999999999999996" customHeight="1">
      <c r="A15" s="1583"/>
      <c r="B15" s="1595"/>
      <c r="C15" s="1586"/>
      <c r="D15" s="1586"/>
      <c r="E15" s="1586"/>
      <c r="F15" s="1595"/>
      <c r="G15" s="1586"/>
      <c r="H15" s="1586"/>
      <c r="I15" s="1586"/>
      <c r="J15" s="1595"/>
      <c r="K15" s="1586"/>
      <c r="L15" s="1586"/>
      <c r="M15" s="1586"/>
      <c r="N15" s="1595"/>
      <c r="O15" s="1586"/>
      <c r="P15" s="1586"/>
    </row>
    <row r="16" spans="1:16">
      <c r="A16" s="1596" t="s">
        <v>3359</v>
      </c>
      <c r="B16" s="1597"/>
      <c r="C16" s="1586"/>
      <c r="D16" s="1586"/>
      <c r="E16" s="1586"/>
      <c r="F16" s="1597"/>
      <c r="G16" s="1586"/>
      <c r="H16" s="1586"/>
      <c r="I16" s="1586"/>
      <c r="J16" s="1597"/>
      <c r="K16" s="1586"/>
      <c r="L16" s="1586"/>
      <c r="M16" s="1586"/>
      <c r="N16" s="1597"/>
      <c r="O16" s="1586"/>
      <c r="P16" s="1586"/>
    </row>
    <row r="17" spans="1:16">
      <c r="A17" s="1596" t="s">
        <v>3360</v>
      </c>
      <c r="B17" s="1597"/>
      <c r="C17" s="1586"/>
      <c r="D17" s="1586"/>
      <c r="E17" s="1586"/>
      <c r="F17" s="1597"/>
      <c r="G17" s="1586"/>
      <c r="H17" s="1586"/>
      <c r="I17" s="1586"/>
      <c r="J17" s="1597"/>
      <c r="K17" s="1586"/>
      <c r="L17" s="1586"/>
      <c r="M17" s="1586"/>
      <c r="N17" s="1597"/>
      <c r="O17" s="1586"/>
      <c r="P17" s="1586"/>
    </row>
    <row r="18" spans="1:16">
      <c r="A18" s="1583" t="s">
        <v>3361</v>
      </c>
      <c r="B18" s="1595"/>
      <c r="C18" s="1586">
        <v>0</v>
      </c>
      <c r="D18" s="1586">
        <v>-50.927900000000001</v>
      </c>
      <c r="E18" s="1586">
        <f>C18-D18</f>
        <v>50.927900000000001</v>
      </c>
      <c r="F18" s="1595"/>
      <c r="G18" s="1586">
        <v>240.685</v>
      </c>
      <c r="H18" s="1586">
        <v>47.080969999999994</v>
      </c>
      <c r="I18" s="1586">
        <f>G18-H18</f>
        <v>193.60403000000002</v>
      </c>
      <c r="J18" s="1595"/>
      <c r="K18" s="1586">
        <v>94.255480000000006</v>
      </c>
      <c r="L18" s="1586">
        <v>8.6253600000000077</v>
      </c>
      <c r="M18" s="1586">
        <f>K18-L18</f>
        <v>85.630120000000005</v>
      </c>
      <c r="N18" s="1595"/>
      <c r="O18" s="1586"/>
      <c r="P18" s="1586"/>
    </row>
    <row r="19" spans="1:16">
      <c r="A19" s="1583" t="s">
        <v>3362</v>
      </c>
      <c r="B19" s="1595"/>
      <c r="C19" s="1586">
        <v>242.61474999999976</v>
      </c>
      <c r="D19" s="1586">
        <v>240.37767000000002</v>
      </c>
      <c r="E19" s="1586">
        <f t="shared" ref="E19:E22" si="0">C19-D19</f>
        <v>2.2370799999997359</v>
      </c>
      <c r="F19" s="1595"/>
      <c r="G19" s="1586">
        <v>226.68547222222202</v>
      </c>
      <c r="H19" s="1586">
        <v>-213.69273000000001</v>
      </c>
      <c r="I19" s="1586">
        <f t="shared" ref="I19:I22" si="1">G19-H19</f>
        <v>440.37820222222206</v>
      </c>
      <c r="J19" s="1595"/>
      <c r="K19" s="1586">
        <v>793.8703304999998</v>
      </c>
      <c r="L19" s="1586">
        <v>153.13302999999999</v>
      </c>
      <c r="M19" s="1586">
        <f t="shared" ref="M19:M22" si="2">K19-L19</f>
        <v>640.73730049999983</v>
      </c>
      <c r="N19" s="1595"/>
      <c r="O19" s="1586"/>
      <c r="P19" s="1586"/>
    </row>
    <row r="20" spans="1:16">
      <c r="A20" s="1583" t="s">
        <v>3363</v>
      </c>
      <c r="B20" s="1595"/>
      <c r="C20" s="1586">
        <v>45.664211140003161</v>
      </c>
      <c r="D20" s="1586">
        <v>24.644809999999996</v>
      </c>
      <c r="E20" s="1586">
        <f t="shared" si="0"/>
        <v>21.019401140003165</v>
      </c>
      <c r="F20" s="1595"/>
      <c r="G20" s="1586">
        <v>75.14259342000949</v>
      </c>
      <c r="H20" s="1586">
        <v>241.99770000000001</v>
      </c>
      <c r="I20" s="1586">
        <f t="shared" si="1"/>
        <v>-166.85510657999052</v>
      </c>
      <c r="J20" s="1595"/>
      <c r="K20" s="1586">
        <v>818.30894456001272</v>
      </c>
      <c r="L20" s="1586">
        <v>797.84613999999988</v>
      </c>
      <c r="M20" s="1586">
        <f t="shared" si="2"/>
        <v>20.462804560012842</v>
      </c>
      <c r="N20" s="1595"/>
      <c r="O20" s="1586"/>
      <c r="P20" s="1586"/>
    </row>
    <row r="21" spans="1:16">
      <c r="A21" s="1583" t="s">
        <v>3364</v>
      </c>
      <c r="B21" s="1595"/>
      <c r="C21" s="1586">
        <v>0</v>
      </c>
      <c r="D21" s="1586">
        <v>0</v>
      </c>
      <c r="E21" s="1586">
        <f t="shared" si="0"/>
        <v>0</v>
      </c>
      <c r="F21" s="1595"/>
      <c r="G21" s="1586">
        <v>0</v>
      </c>
      <c r="H21" s="1586">
        <v>0</v>
      </c>
      <c r="I21" s="1586">
        <f t="shared" si="1"/>
        <v>0</v>
      </c>
      <c r="J21" s="1595"/>
      <c r="K21" s="1586">
        <v>-293.39643999999998</v>
      </c>
      <c r="L21" s="1586">
        <v>-293.39643999999998</v>
      </c>
      <c r="M21" s="1586">
        <f t="shared" si="2"/>
        <v>0</v>
      </c>
      <c r="N21" s="1595"/>
      <c r="O21" s="1586"/>
      <c r="P21" s="1586"/>
    </row>
    <row r="22" spans="1:16">
      <c r="A22" s="1583" t="s">
        <v>3365</v>
      </c>
      <c r="B22" s="1595"/>
      <c r="C22" s="1587">
        <v>11</v>
      </c>
      <c r="D22" s="1587">
        <v>-106.56113999999999</v>
      </c>
      <c r="E22" s="1587">
        <f t="shared" si="0"/>
        <v>117.56113999999999</v>
      </c>
      <c r="F22" s="1595"/>
      <c r="G22" s="1587">
        <v>69.000628888888883</v>
      </c>
      <c r="H22" s="1587">
        <v>-11.062220000000002</v>
      </c>
      <c r="I22" s="1587">
        <f t="shared" si="1"/>
        <v>80.06284888888888</v>
      </c>
      <c r="J22" s="1595"/>
      <c r="K22" s="1587">
        <v>-147.73909666666668</v>
      </c>
      <c r="L22" s="1587">
        <v>-115.05361000000003</v>
      </c>
      <c r="M22" s="1587">
        <f t="shared" si="2"/>
        <v>-32.685486666666648</v>
      </c>
      <c r="N22" s="1595"/>
      <c r="O22" s="1586"/>
      <c r="P22" s="1586"/>
    </row>
    <row r="23" spans="1:16">
      <c r="A23" s="1583" t="s">
        <v>3366</v>
      </c>
      <c r="B23" s="1595"/>
      <c r="C23" s="1588">
        <f>SUM(C12:C22)</f>
        <v>-1742.2265341031164</v>
      </c>
      <c r="D23" s="1588">
        <f>SUM(D12:D22)</f>
        <v>-798.08633000000009</v>
      </c>
      <c r="E23" s="1588">
        <f>SUM(E12:E22)</f>
        <v>-944.14020410311673</v>
      </c>
      <c r="F23" s="1595"/>
      <c r="G23" s="1588">
        <f>SUM(G12:G22)</f>
        <v>-4516.2931500552904</v>
      </c>
      <c r="H23" s="1588">
        <f>SUM(H12:H22)</f>
        <v>-4008.9399900000008</v>
      </c>
      <c r="I23" s="1588">
        <f>SUM(I12:I22)</f>
        <v>-507.35316005529046</v>
      </c>
      <c r="J23" s="1595"/>
      <c r="K23" s="1588">
        <f>SUM(K12:K22)</f>
        <v>-12826.235767672815</v>
      </c>
      <c r="L23" s="1588">
        <f>SUM(L12:L22)</f>
        <v>-12119.141570000002</v>
      </c>
      <c r="M23" s="1588">
        <f>SUM(M12:M22)</f>
        <v>-707.09419767281486</v>
      </c>
      <c r="N23" s="1598"/>
      <c r="O23" s="1586"/>
      <c r="P23" s="1586"/>
    </row>
    <row r="24" spans="1:16" ht="5.0999999999999996" customHeight="1">
      <c r="A24" s="1583"/>
      <c r="B24" s="1595"/>
      <c r="C24" s="1586"/>
      <c r="D24" s="1586"/>
      <c r="E24" s="1586"/>
      <c r="F24" s="1595"/>
      <c r="G24" s="1586"/>
      <c r="H24" s="1586"/>
      <c r="I24" s="1586"/>
      <c r="J24" s="1595"/>
      <c r="K24" s="1586"/>
      <c r="L24" s="1586"/>
      <c r="M24" s="1586"/>
      <c r="N24" s="1595"/>
      <c r="O24" s="1586"/>
      <c r="P24" s="1586"/>
    </row>
    <row r="25" spans="1:16">
      <c r="A25" s="1583" t="s">
        <v>3367</v>
      </c>
      <c r="B25" s="1595"/>
      <c r="C25" s="1586"/>
      <c r="D25" s="1586"/>
      <c r="E25" s="1586"/>
      <c r="F25" s="1595"/>
      <c r="G25" s="1586"/>
      <c r="H25" s="1586"/>
      <c r="I25" s="1586"/>
      <c r="J25" s="1595"/>
      <c r="K25" s="1586"/>
      <c r="L25" s="1586"/>
      <c r="M25" s="1586"/>
      <c r="N25" s="1598"/>
      <c r="O25" s="1586"/>
      <c r="P25" s="1586"/>
    </row>
    <row r="26" spans="1:16">
      <c r="A26" s="1583" t="s">
        <v>3368</v>
      </c>
      <c r="B26" s="1595"/>
      <c r="C26" s="1587">
        <v>-5.5</v>
      </c>
      <c r="D26" s="1587">
        <v>-68.44722999999999</v>
      </c>
      <c r="E26" s="1587">
        <f>C26-D26</f>
        <v>62.94722999999999</v>
      </c>
      <c r="F26" s="1595"/>
      <c r="G26" s="1587">
        <v>-119.2</v>
      </c>
      <c r="H26" s="1587">
        <v>-345.65340999999995</v>
      </c>
      <c r="I26" s="1587">
        <f>G26-H26</f>
        <v>226.45340999999996</v>
      </c>
      <c r="J26" s="1595"/>
      <c r="K26" s="1587">
        <v>-1532.5220200000001</v>
      </c>
      <c r="L26" s="1587">
        <v>-1238.89166</v>
      </c>
      <c r="M26" s="1587">
        <f>K26-L26</f>
        <v>-293.63036000000011</v>
      </c>
      <c r="N26" s="1595"/>
      <c r="O26" s="1586"/>
      <c r="P26" s="1586"/>
    </row>
    <row r="27" spans="1:16">
      <c r="A27" s="1583" t="s">
        <v>3369</v>
      </c>
      <c r="B27" s="1595"/>
      <c r="C27" s="1588">
        <f>C26</f>
        <v>-5.5</v>
      </c>
      <c r="D27" s="1588">
        <f>D26</f>
        <v>-68.44722999999999</v>
      </c>
      <c r="E27" s="1588">
        <f>E26</f>
        <v>62.94722999999999</v>
      </c>
      <c r="F27" s="1588"/>
      <c r="G27" s="1588">
        <f>G26</f>
        <v>-119.2</v>
      </c>
      <c r="H27" s="1588">
        <f>H26</f>
        <v>-345.65340999999995</v>
      </c>
      <c r="I27" s="1588">
        <f>I26</f>
        <v>226.45340999999996</v>
      </c>
      <c r="J27" s="1595"/>
      <c r="K27" s="1588">
        <f>K26</f>
        <v>-1532.5220200000001</v>
      </c>
      <c r="L27" s="1588">
        <f>L26</f>
        <v>-1238.89166</v>
      </c>
      <c r="M27" s="1588">
        <f>M26</f>
        <v>-293.63036000000011</v>
      </c>
      <c r="N27" s="1598"/>
      <c r="O27" s="1586"/>
      <c r="P27" s="1586"/>
    </row>
    <row r="28" spans="1:16" ht="5.0999999999999996" customHeight="1">
      <c r="A28" s="1583"/>
      <c r="B28" s="1595"/>
      <c r="C28" s="1586"/>
      <c r="D28" s="1586"/>
      <c r="E28" s="1586"/>
      <c r="F28" s="1595"/>
      <c r="G28" s="1586"/>
      <c r="H28" s="1586"/>
      <c r="I28" s="1586"/>
      <c r="J28" s="1595"/>
      <c r="K28" s="1586"/>
      <c r="L28" s="1586"/>
      <c r="M28" s="1586"/>
      <c r="N28" s="1595"/>
      <c r="O28" s="1586"/>
      <c r="P28" s="1586"/>
    </row>
    <row r="29" spans="1:16">
      <c r="A29" s="1583" t="s">
        <v>3370</v>
      </c>
      <c r="B29" s="1595"/>
      <c r="C29" s="1586"/>
      <c r="D29" s="1586"/>
      <c r="E29" s="1586"/>
      <c r="F29" s="1595"/>
      <c r="G29" s="1586"/>
      <c r="H29" s="1586"/>
      <c r="I29" s="1586"/>
      <c r="J29" s="1595"/>
      <c r="K29" s="1586"/>
      <c r="L29" s="1586"/>
      <c r="M29" s="1586"/>
      <c r="N29" s="1598"/>
      <c r="O29" s="1586"/>
      <c r="P29" s="1586"/>
    </row>
    <row r="30" spans="1:16">
      <c r="A30" s="1583" t="s">
        <v>3371</v>
      </c>
      <c r="B30" s="1595"/>
      <c r="C30" s="1586">
        <v>0</v>
      </c>
      <c r="D30" s="1586">
        <v>0.9798</v>
      </c>
      <c r="E30" s="1586">
        <f t="shared" ref="E30:E35" si="3">C30-D30</f>
        <v>-0.9798</v>
      </c>
      <c r="F30" s="1595"/>
      <c r="G30" s="1586">
        <v>0</v>
      </c>
      <c r="H30" s="1586">
        <v>2.33162</v>
      </c>
      <c r="I30" s="1586">
        <f t="shared" ref="I30:I35" si="4">G30-H30</f>
        <v>-2.33162</v>
      </c>
      <c r="J30" s="1595"/>
      <c r="K30" s="1586">
        <v>17.638110000000001</v>
      </c>
      <c r="L30" s="1586">
        <v>26.338469999999997</v>
      </c>
      <c r="M30" s="1586">
        <f t="shared" ref="M30:M35" si="5">K30-L30</f>
        <v>-8.7003599999999963</v>
      </c>
      <c r="N30" s="1595"/>
      <c r="O30" s="1586"/>
      <c r="P30" s="1586"/>
    </row>
    <row r="31" spans="1:16">
      <c r="A31" s="1583" t="s">
        <v>3372</v>
      </c>
      <c r="B31" s="1595"/>
      <c r="C31" s="1586">
        <v>0</v>
      </c>
      <c r="D31" s="1586">
        <v>0</v>
      </c>
      <c r="E31" s="1586">
        <f t="shared" si="3"/>
        <v>0</v>
      </c>
      <c r="F31" s="1595"/>
      <c r="G31" s="1586">
        <v>0</v>
      </c>
      <c r="H31" s="1586">
        <v>0</v>
      </c>
      <c r="I31" s="1586">
        <f t="shared" si="4"/>
        <v>0</v>
      </c>
      <c r="J31" s="1595"/>
      <c r="K31" s="1586">
        <v>0</v>
      </c>
      <c r="L31" s="1586">
        <v>0</v>
      </c>
      <c r="M31" s="1586">
        <f t="shared" si="5"/>
        <v>0</v>
      </c>
      <c r="N31" s="1595"/>
      <c r="O31" s="1586"/>
      <c r="P31" s="1586"/>
    </row>
    <row r="32" spans="1:16">
      <c r="A32" s="1583" t="s">
        <v>3373</v>
      </c>
      <c r="B32" s="1595"/>
      <c r="C32" s="1586">
        <v>0</v>
      </c>
      <c r="D32" s="1586">
        <v>0</v>
      </c>
      <c r="E32" s="1586">
        <f t="shared" si="3"/>
        <v>0</v>
      </c>
      <c r="F32" s="1595"/>
      <c r="G32" s="1586">
        <v>0</v>
      </c>
      <c r="H32" s="1586">
        <v>0</v>
      </c>
      <c r="I32" s="1586">
        <f t="shared" si="4"/>
        <v>0</v>
      </c>
      <c r="J32" s="1595"/>
      <c r="K32" s="1586">
        <v>0</v>
      </c>
      <c r="L32" s="1586">
        <v>0</v>
      </c>
      <c r="M32" s="1586">
        <f t="shared" si="5"/>
        <v>0</v>
      </c>
      <c r="N32" s="1595"/>
      <c r="O32" s="1586"/>
      <c r="P32" s="1586"/>
    </row>
    <row r="33" spans="1:16">
      <c r="A33" s="1583" t="s">
        <v>3374</v>
      </c>
      <c r="B33" s="1595"/>
      <c r="C33" s="1586">
        <v>0</v>
      </c>
      <c r="D33" s="1586">
        <v>0</v>
      </c>
      <c r="E33" s="1586">
        <f t="shared" si="3"/>
        <v>0</v>
      </c>
      <c r="F33" s="1595"/>
      <c r="G33" s="1586">
        <v>0</v>
      </c>
      <c r="H33" s="1586">
        <v>0</v>
      </c>
      <c r="I33" s="1586">
        <f t="shared" si="4"/>
        <v>0</v>
      </c>
      <c r="J33" s="1595"/>
      <c r="K33" s="1586">
        <v>70.416509999999988</v>
      </c>
      <c r="L33" s="1586">
        <v>70.416509999999988</v>
      </c>
      <c r="M33" s="1586">
        <f t="shared" si="5"/>
        <v>0</v>
      </c>
      <c r="N33" s="1595"/>
      <c r="O33" s="1586"/>
      <c r="P33" s="1586"/>
    </row>
    <row r="34" spans="1:16">
      <c r="A34" s="1583" t="s">
        <v>3375</v>
      </c>
      <c r="B34" s="1595"/>
      <c r="C34" s="1586">
        <v>-17</v>
      </c>
      <c r="D34" s="1586">
        <v>-13.396750000000001</v>
      </c>
      <c r="E34" s="1586">
        <f t="shared" si="3"/>
        <v>-3.6032499999999992</v>
      </c>
      <c r="F34" s="1595"/>
      <c r="G34" s="1586">
        <v>-51</v>
      </c>
      <c r="H34" s="1586">
        <v>-43.517290000000003</v>
      </c>
      <c r="I34" s="1586">
        <f t="shared" si="4"/>
        <v>-7.4827099999999973</v>
      </c>
      <c r="J34" s="1595"/>
      <c r="K34" s="1586">
        <v>-177.73886000000002</v>
      </c>
      <c r="L34" s="1586">
        <v>-170.14498999999998</v>
      </c>
      <c r="M34" s="1586">
        <f t="shared" si="5"/>
        <v>-7.5938700000000381</v>
      </c>
      <c r="N34" s="1595"/>
      <c r="O34" s="1586"/>
      <c r="P34" s="1586"/>
    </row>
    <row r="35" spans="1:16">
      <c r="A35" s="1583" t="s">
        <v>3376</v>
      </c>
      <c r="B35" s="1595"/>
      <c r="C35" s="1587">
        <v>0</v>
      </c>
      <c r="D35" s="1587">
        <v>0</v>
      </c>
      <c r="E35" s="1587">
        <f t="shared" si="3"/>
        <v>0</v>
      </c>
      <c r="F35" s="1595"/>
      <c r="G35" s="1587">
        <v>0</v>
      </c>
      <c r="H35" s="1587">
        <v>0</v>
      </c>
      <c r="I35" s="1587">
        <f t="shared" si="4"/>
        <v>0</v>
      </c>
      <c r="J35" s="1595"/>
      <c r="K35" s="1587">
        <v>-32.97296</v>
      </c>
      <c r="L35" s="1587">
        <v>-32.972949999999997</v>
      </c>
      <c r="M35" s="1587">
        <f t="shared" si="5"/>
        <v>-1.0000000003174137E-5</v>
      </c>
      <c r="N35" s="1595"/>
      <c r="O35" s="1586"/>
      <c r="P35" s="1586"/>
    </row>
    <row r="36" spans="1:16">
      <c r="A36" s="1583" t="s">
        <v>3377</v>
      </c>
      <c r="B36" s="1595"/>
      <c r="C36" s="1588">
        <f>SUM(C30:C35)</f>
        <v>-17</v>
      </c>
      <c r="D36" s="1588">
        <f>SUM(D30:D35)</f>
        <v>-12.41695</v>
      </c>
      <c r="E36" s="1588">
        <f>SUM(E30:E35)</f>
        <v>-4.5830499999999992</v>
      </c>
      <c r="F36" s="1595"/>
      <c r="G36" s="1588">
        <f>SUM(G30:G35)</f>
        <v>-51</v>
      </c>
      <c r="H36" s="1588">
        <f>SUM(H30:H35)</f>
        <v>-41.185670000000002</v>
      </c>
      <c r="I36" s="1588">
        <f>SUM(I30:I35)</f>
        <v>-9.8143299999999982</v>
      </c>
      <c r="J36" s="1595"/>
      <c r="K36" s="1588">
        <f>SUM(K30:K35)</f>
        <v>-122.65720000000003</v>
      </c>
      <c r="L36" s="1588">
        <f>SUM(L30:L35)</f>
        <v>-106.36295999999999</v>
      </c>
      <c r="M36" s="1588">
        <f>SUM(M30:M35)</f>
        <v>-16.294240000000038</v>
      </c>
      <c r="N36" s="1598"/>
      <c r="O36" s="1586"/>
      <c r="P36" s="1586"/>
    </row>
    <row r="37" spans="1:16" ht="5.0999999999999996" customHeight="1">
      <c r="A37" s="1583"/>
      <c r="B37" s="1595"/>
      <c r="C37" s="1586"/>
      <c r="D37" s="1586"/>
      <c r="E37" s="1586"/>
      <c r="F37" s="1595"/>
      <c r="G37" s="1586"/>
      <c r="H37" s="1586"/>
      <c r="I37" s="1586"/>
      <c r="J37" s="1595"/>
      <c r="K37" s="1586"/>
      <c r="L37" s="1586"/>
      <c r="M37" s="1586"/>
      <c r="N37" s="1595"/>
      <c r="O37" s="1586"/>
      <c r="P37" s="1586"/>
    </row>
    <row r="38" spans="1:16">
      <c r="A38" s="1583" t="s">
        <v>3378</v>
      </c>
      <c r="B38" s="1595"/>
      <c r="C38" s="1588">
        <f>C23+C27+C36</f>
        <v>-1764.7265341031164</v>
      </c>
      <c r="D38" s="1588">
        <f>D23+D27+D36</f>
        <v>-878.95051000000012</v>
      </c>
      <c r="E38" s="1588">
        <f>E23+E27+E36</f>
        <v>-885.7760241031167</v>
      </c>
      <c r="F38" s="1595"/>
      <c r="G38" s="1588">
        <f>G23+G27+G36</f>
        <v>-4686.4931500552902</v>
      </c>
      <c r="H38" s="1588">
        <f>H23+H27+H36</f>
        <v>-4395.7790700000005</v>
      </c>
      <c r="I38" s="1588">
        <f>I23+I27+I36</f>
        <v>-290.71408005529048</v>
      </c>
      <c r="J38" s="1595"/>
      <c r="K38" s="1588">
        <f>K23+K27+K36</f>
        <v>-14481.414987672815</v>
      </c>
      <c r="L38" s="1588">
        <f>L23+L27+L36</f>
        <v>-13464.396190000001</v>
      </c>
      <c r="M38" s="1588">
        <f>M23+M27+M36</f>
        <v>-1017.018797672815</v>
      </c>
      <c r="N38" s="1598"/>
      <c r="O38" s="1586"/>
      <c r="P38" s="1586"/>
    </row>
    <row r="39" spans="1:16" ht="5.0999999999999996" customHeight="1">
      <c r="A39" s="1583"/>
      <c r="B39" s="1595"/>
      <c r="C39" s="1586"/>
      <c r="D39" s="1586"/>
      <c r="E39" s="1586"/>
      <c r="F39" s="1595"/>
      <c r="G39" s="1586"/>
      <c r="H39" s="1586"/>
      <c r="I39" s="1586"/>
      <c r="J39" s="1595"/>
      <c r="K39" s="1586"/>
      <c r="L39" s="1586"/>
      <c r="M39" s="1586"/>
      <c r="N39" s="1595"/>
      <c r="O39" s="1586"/>
      <c r="P39" s="1586"/>
    </row>
    <row r="40" spans="1:16">
      <c r="A40" s="1583" t="s">
        <v>3379</v>
      </c>
      <c r="B40" s="1595"/>
      <c r="C40" s="1586">
        <v>14482.544056430299</v>
      </c>
      <c r="D40" s="1586">
        <v>14613.786830000001</v>
      </c>
      <c r="E40" s="1586">
        <f>C40-D40</f>
        <v>-131.24277356970197</v>
      </c>
      <c r="F40" s="1595"/>
      <c r="G40" s="1586">
        <v>17404.310672382475</v>
      </c>
      <c r="H40" s="1586">
        <v>18130.615389999999</v>
      </c>
      <c r="I40" s="1586">
        <f>G40-H40</f>
        <v>-726.30471761752415</v>
      </c>
      <c r="J40" s="1595"/>
      <c r="K40" s="1586">
        <v>27199.232510000002</v>
      </c>
      <c r="L40" s="1586">
        <v>27199.232510000002</v>
      </c>
      <c r="M40" s="1586">
        <f>K40-L40</f>
        <v>0</v>
      </c>
      <c r="N40" s="1595"/>
      <c r="O40" s="1586"/>
      <c r="P40" s="1586"/>
    </row>
    <row r="41" spans="1:16" ht="15.75" thickBot="1">
      <c r="A41" s="1590" t="s">
        <v>3380</v>
      </c>
      <c r="B41" s="1598"/>
      <c r="C41" s="1599">
        <f>C38+C40</f>
        <v>12717.817522327183</v>
      </c>
      <c r="D41" s="1599">
        <f>D38+D40</f>
        <v>13734.83632</v>
      </c>
      <c r="E41" s="1599">
        <f>E38+E40</f>
        <v>-1017.0187976728187</v>
      </c>
      <c r="F41" s="1598"/>
      <c r="G41" s="1599">
        <f>G38+G40</f>
        <v>12717.817522327185</v>
      </c>
      <c r="H41" s="1599">
        <f>H38+H40</f>
        <v>13734.836319999999</v>
      </c>
      <c r="I41" s="1599">
        <f>I38+I40</f>
        <v>-1017.0187976728146</v>
      </c>
      <c r="J41" s="1598"/>
      <c r="K41" s="1599">
        <f>K38+K40</f>
        <v>12717.817522327186</v>
      </c>
      <c r="L41" s="1599">
        <f>L38+L40</f>
        <v>13734.83632</v>
      </c>
      <c r="M41" s="1599">
        <f>M38+M40</f>
        <v>-1017.018797672815</v>
      </c>
      <c r="N41" s="1598"/>
      <c r="O41" s="1586"/>
      <c r="P41" s="1586"/>
    </row>
    <row r="42" spans="1:16" ht="15.75" thickTop="1">
      <c r="A42" s="1600"/>
      <c r="B42" s="1600"/>
      <c r="C42" s="1586"/>
      <c r="D42" s="1586"/>
      <c r="E42" s="1586"/>
      <c r="F42" s="1600"/>
      <c r="G42" s="1586"/>
      <c r="H42" s="1586"/>
      <c r="I42" s="1586"/>
      <c r="J42" s="1600"/>
      <c r="K42" s="1586"/>
      <c r="L42" s="1586"/>
      <c r="M42" s="1586"/>
      <c r="N42" s="1600"/>
      <c r="O42" s="1586"/>
      <c r="P42" s="1586"/>
    </row>
    <row r="43" spans="1:16">
      <c r="C43" s="1586"/>
      <c r="D43" s="1586"/>
      <c r="E43" s="1586"/>
      <c r="G43" s="1586"/>
      <c r="H43" s="1586"/>
      <c r="I43" s="1586"/>
      <c r="K43" s="1586"/>
      <c r="L43" s="1586"/>
      <c r="M43" s="1586"/>
      <c r="O43" s="1586"/>
      <c r="P43" s="1586"/>
    </row>
    <row r="44" spans="1:16">
      <c r="C44" s="1586"/>
      <c r="D44" s="1586"/>
      <c r="E44" s="1586"/>
      <c r="G44" s="1586"/>
      <c r="H44" s="1586"/>
      <c r="I44" s="1586"/>
      <c r="K44" s="1586"/>
      <c r="L44" s="1586"/>
      <c r="M44" s="1586"/>
      <c r="O44" s="1586"/>
      <c r="P44" s="1586"/>
    </row>
    <row r="45" spans="1:16">
      <c r="C45" s="1589">
        <v>0</v>
      </c>
      <c r="D45" s="1589">
        <v>0</v>
      </c>
      <c r="E45" s="1589"/>
      <c r="G45" s="1589">
        <v>0</v>
      </c>
      <c r="H45" s="1589">
        <v>0</v>
      </c>
      <c r="K45" s="1589">
        <v>0</v>
      </c>
      <c r="L45" s="1589">
        <v>0</v>
      </c>
    </row>
    <row r="46" spans="1:16">
      <c r="E46" s="1589"/>
    </row>
  </sheetData>
  <mergeCells count="7">
    <mergeCell ref="C3:M3"/>
    <mergeCell ref="C4:M4"/>
    <mergeCell ref="C5:M5"/>
    <mergeCell ref="C6:M6"/>
    <mergeCell ref="C8:E8"/>
    <mergeCell ref="G8:I8"/>
    <mergeCell ref="K8:M8"/>
  </mergeCells>
  <pageMargins left="0.7" right="0.7" top="0.75" bottom="0.75" header="0.3" footer="0.3"/>
  <pageSetup scale="91" orientation="landscape"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86"/>
  <dimension ref="A1:P72"/>
  <sheetViews>
    <sheetView showGridLines="0" topLeftCell="A4" zoomScale="85" zoomScaleNormal="85" workbookViewId="0">
      <pane xSplit="1" ySplit="1" topLeftCell="H62" activePane="bottomRight" state="frozen"/>
      <selection activeCell="A4" sqref="A4"/>
      <selection pane="topRight" activeCell="B4" sqref="B4"/>
      <selection pane="bottomLeft" activeCell="A5" sqref="A5"/>
      <selection pane="bottomRight" activeCell="N68" sqref="N68"/>
    </sheetView>
  </sheetViews>
  <sheetFormatPr defaultRowHeight="15"/>
  <cols>
    <col min="1" max="1" width="52.5" style="1549" customWidth="1"/>
    <col min="2" max="12" width="23.33203125" style="1549" customWidth="1"/>
    <col min="13" max="14" width="35" style="1549" customWidth="1"/>
    <col min="15" max="16" width="23.33203125" style="1549" customWidth="1"/>
    <col min="17" max="16384" width="9.33203125" style="1549"/>
  </cols>
  <sheetData>
    <row r="1" spans="1:16" ht="20.100000000000001" customHeight="1">
      <c r="A1" s="1564" t="s">
        <v>3025</v>
      </c>
      <c r="B1" s="1563"/>
      <c r="C1" s="1563"/>
      <c r="D1" s="1563"/>
      <c r="E1" s="1563"/>
      <c r="F1" s="1563"/>
      <c r="G1" s="1563"/>
      <c r="H1" s="1563"/>
      <c r="I1" s="1563"/>
      <c r="J1" s="1563"/>
      <c r="K1" s="1563"/>
      <c r="L1" s="1563"/>
      <c r="M1" s="1563"/>
      <c r="N1" s="1563"/>
      <c r="O1" s="1563"/>
      <c r="P1" s="1563"/>
    </row>
    <row r="2" spans="1:16" ht="20.100000000000001" customHeight="1">
      <c r="A2" s="1563" t="s">
        <v>3024</v>
      </c>
      <c r="B2" s="1563"/>
      <c r="C2" s="1563"/>
      <c r="D2" s="1563"/>
      <c r="E2" s="1563"/>
      <c r="F2" s="1563"/>
      <c r="G2" s="1563"/>
      <c r="H2" s="1563"/>
      <c r="I2" s="1563"/>
      <c r="J2" s="1563"/>
      <c r="K2" s="1563"/>
      <c r="L2" s="1563"/>
      <c r="M2" s="1563"/>
      <c r="N2" s="1563"/>
      <c r="O2" s="1563"/>
      <c r="P2" s="1563"/>
    </row>
    <row r="3" spans="1:16" ht="15.75">
      <c r="A3" s="1563"/>
      <c r="B3" s="1563"/>
      <c r="C3" s="1563"/>
      <c r="D3" s="1563"/>
      <c r="E3" s="1563"/>
      <c r="F3" s="1563"/>
      <c r="G3" s="1563"/>
      <c r="H3" s="1563"/>
      <c r="I3" s="1563"/>
      <c r="J3" s="1563"/>
      <c r="K3" s="1563"/>
      <c r="L3" s="1563"/>
      <c r="M3" s="1563"/>
      <c r="N3" s="1563"/>
      <c r="O3" s="1563"/>
      <c r="P3" s="1563"/>
    </row>
    <row r="4" spans="1:16" ht="95.25" thickBot="1">
      <c r="A4" s="1562" t="s">
        <v>3023</v>
      </c>
      <c r="B4" s="1561" t="s">
        <v>3022</v>
      </c>
      <c r="C4" s="1561" t="s">
        <v>3021</v>
      </c>
      <c r="D4" s="1561" t="s">
        <v>3020</v>
      </c>
      <c r="E4" s="1561" t="s">
        <v>3019</v>
      </c>
      <c r="F4" s="1561" t="s">
        <v>3018</v>
      </c>
      <c r="G4" s="1561" t="s">
        <v>3017</v>
      </c>
      <c r="H4" s="1561" t="s">
        <v>3016</v>
      </c>
      <c r="I4" s="1561" t="s">
        <v>3015</v>
      </c>
      <c r="J4" s="1561" t="s">
        <v>3014</v>
      </c>
      <c r="K4" s="1561" t="s">
        <v>3013</v>
      </c>
      <c r="L4" s="1561" t="s">
        <v>3012</v>
      </c>
      <c r="M4" s="1561" t="s">
        <v>3011</v>
      </c>
      <c r="N4" s="1561" t="s">
        <v>3010</v>
      </c>
      <c r="O4" s="1561" t="s">
        <v>3009</v>
      </c>
      <c r="P4" s="1561" t="s">
        <v>2944</v>
      </c>
    </row>
    <row r="5" spans="1:16" ht="20.100000000000001" customHeight="1">
      <c r="A5" s="1560" t="s">
        <v>3008</v>
      </c>
      <c r="B5" s="1559">
        <v>0</v>
      </c>
      <c r="C5" s="1559">
        <v>0</v>
      </c>
      <c r="D5" s="1559">
        <v>0</v>
      </c>
      <c r="E5" s="1559">
        <v>0</v>
      </c>
      <c r="F5" s="1559">
        <v>0</v>
      </c>
      <c r="G5" s="1559">
        <v>0</v>
      </c>
      <c r="H5" s="1559">
        <v>0</v>
      </c>
      <c r="I5" s="1559">
        <v>0</v>
      </c>
      <c r="J5" s="1559">
        <v>0</v>
      </c>
      <c r="K5" s="1559">
        <v>0</v>
      </c>
      <c r="L5" s="1559">
        <v>12000</v>
      </c>
      <c r="M5" s="1558">
        <f t="shared" ref="M5:M36" si="0">SUM(B5,C5,E5,G5,I5,)</f>
        <v>0</v>
      </c>
      <c r="N5" s="1558">
        <f t="shared" ref="N5:N36" si="1">SUM(B5,D5,F5,H5,J5,K5,L5,)</f>
        <v>12000</v>
      </c>
      <c r="O5" s="1558">
        <f>IFERROR(M5/M70, 0)</f>
        <v>0</v>
      </c>
      <c r="P5" s="1558">
        <f t="shared" ref="P5:P36" si="2">IFERROR(N5 / DetailedCapShares, 0)</f>
        <v>5.721227197512639E-4</v>
      </c>
    </row>
    <row r="6" spans="1:16" ht="20.100000000000001" customHeight="1">
      <c r="A6" s="1560" t="s">
        <v>3007</v>
      </c>
      <c r="B6" s="1559">
        <v>0</v>
      </c>
      <c r="C6" s="1559">
        <v>112712</v>
      </c>
      <c r="D6" s="1559">
        <v>112712</v>
      </c>
      <c r="E6" s="1559">
        <v>2752</v>
      </c>
      <c r="F6" s="1559">
        <v>2752</v>
      </c>
      <c r="G6" s="1559">
        <v>234536</v>
      </c>
      <c r="H6" s="1559">
        <v>234536</v>
      </c>
      <c r="I6" s="1559">
        <v>0</v>
      </c>
      <c r="J6" s="1559">
        <v>0</v>
      </c>
      <c r="K6" s="1559">
        <v>0</v>
      </c>
      <c r="L6" s="1559">
        <v>0</v>
      </c>
      <c r="M6" s="1558">
        <f t="shared" si="0"/>
        <v>350000</v>
      </c>
      <c r="N6" s="1558">
        <f t="shared" si="1"/>
        <v>350000</v>
      </c>
      <c r="O6" s="1558">
        <f>IFERROR(M6/M70, 0)</f>
        <v>1.984796909342303E-2</v>
      </c>
      <c r="P6" s="1558">
        <f t="shared" si="2"/>
        <v>1.6686912659411864E-2</v>
      </c>
    </row>
    <row r="7" spans="1:16" ht="20.100000000000001" customHeight="1">
      <c r="A7" s="1560" t="s">
        <v>3006</v>
      </c>
      <c r="B7" s="1559">
        <v>0</v>
      </c>
      <c r="C7" s="1559">
        <v>0</v>
      </c>
      <c r="D7" s="1559">
        <v>0</v>
      </c>
      <c r="E7" s="1559">
        <v>0</v>
      </c>
      <c r="F7" s="1559">
        <v>0</v>
      </c>
      <c r="G7" s="1559">
        <v>0</v>
      </c>
      <c r="H7" s="1559">
        <v>0</v>
      </c>
      <c r="I7" s="1559">
        <v>0</v>
      </c>
      <c r="J7" s="1559">
        <v>0</v>
      </c>
      <c r="K7" s="1559">
        <v>0</v>
      </c>
      <c r="L7" s="1559">
        <v>375000</v>
      </c>
      <c r="M7" s="1558">
        <f t="shared" si="0"/>
        <v>0</v>
      </c>
      <c r="N7" s="1558">
        <f t="shared" si="1"/>
        <v>375000</v>
      </c>
      <c r="O7" s="1558">
        <f>IFERROR(M7/M70, 0)</f>
        <v>0</v>
      </c>
      <c r="P7" s="1558">
        <f t="shared" si="2"/>
        <v>1.7878834992226998E-2</v>
      </c>
    </row>
    <row r="8" spans="1:16" ht="20.100000000000001" customHeight="1">
      <c r="A8" s="1560" t="s">
        <v>3005</v>
      </c>
      <c r="B8" s="1559">
        <v>0</v>
      </c>
      <c r="C8" s="1559">
        <v>0</v>
      </c>
      <c r="D8" s="1559">
        <v>0</v>
      </c>
      <c r="E8" s="1559">
        <v>0</v>
      </c>
      <c r="F8" s="1559">
        <v>0</v>
      </c>
      <c r="G8" s="1559">
        <v>0</v>
      </c>
      <c r="H8" s="1559">
        <v>0</v>
      </c>
      <c r="I8" s="1559">
        <v>0</v>
      </c>
      <c r="J8" s="1559">
        <v>0</v>
      </c>
      <c r="K8" s="1559">
        <v>0</v>
      </c>
      <c r="L8" s="1559">
        <v>4000</v>
      </c>
      <c r="M8" s="1558">
        <f t="shared" si="0"/>
        <v>0</v>
      </c>
      <c r="N8" s="1558">
        <f t="shared" si="1"/>
        <v>4000</v>
      </c>
      <c r="O8" s="1558">
        <f>IFERROR(M8/M70, 0)</f>
        <v>0</v>
      </c>
      <c r="P8" s="1558">
        <f t="shared" si="2"/>
        <v>1.9070757325042131E-4</v>
      </c>
    </row>
    <row r="9" spans="1:16" ht="20.100000000000001" customHeight="1">
      <c r="A9" s="1560" t="s">
        <v>3004</v>
      </c>
      <c r="B9" s="1559">
        <v>0</v>
      </c>
      <c r="C9" s="1559">
        <v>0</v>
      </c>
      <c r="D9" s="1559">
        <v>0</v>
      </c>
      <c r="E9" s="1559">
        <v>0</v>
      </c>
      <c r="F9" s="1559">
        <v>0</v>
      </c>
      <c r="G9" s="1559">
        <v>0</v>
      </c>
      <c r="H9" s="1559">
        <v>0</v>
      </c>
      <c r="I9" s="1559">
        <v>0</v>
      </c>
      <c r="J9" s="1559">
        <v>0</v>
      </c>
      <c r="K9" s="1559">
        <v>0</v>
      </c>
      <c r="L9" s="1559">
        <v>40000</v>
      </c>
      <c r="M9" s="1558">
        <f t="shared" si="0"/>
        <v>0</v>
      </c>
      <c r="N9" s="1558">
        <f t="shared" si="1"/>
        <v>40000</v>
      </c>
      <c r="O9" s="1558">
        <f>IFERROR(M9/M70, 0)</f>
        <v>0</v>
      </c>
      <c r="P9" s="1558">
        <f t="shared" si="2"/>
        <v>1.9070757325042131E-3</v>
      </c>
    </row>
    <row r="10" spans="1:16" ht="20.100000000000001" customHeight="1">
      <c r="A10" s="1560" t="s">
        <v>3003</v>
      </c>
      <c r="B10" s="1559">
        <v>0</v>
      </c>
      <c r="C10" s="1559">
        <v>0</v>
      </c>
      <c r="D10" s="1559">
        <v>0</v>
      </c>
      <c r="E10" s="1559">
        <v>0</v>
      </c>
      <c r="F10" s="1559">
        <v>0</v>
      </c>
      <c r="G10" s="1559">
        <v>0</v>
      </c>
      <c r="H10" s="1559">
        <v>0</v>
      </c>
      <c r="I10" s="1559">
        <v>0</v>
      </c>
      <c r="J10" s="1559">
        <v>0</v>
      </c>
      <c r="K10" s="1559">
        <v>0</v>
      </c>
      <c r="L10" s="1559">
        <v>4000</v>
      </c>
      <c r="M10" s="1558">
        <f t="shared" si="0"/>
        <v>0</v>
      </c>
      <c r="N10" s="1558">
        <f t="shared" si="1"/>
        <v>4000</v>
      </c>
      <c r="O10" s="1558">
        <f>IFERROR(M10/M70, 0)</f>
        <v>0</v>
      </c>
      <c r="P10" s="1558">
        <f t="shared" si="2"/>
        <v>1.9070757325042131E-4</v>
      </c>
    </row>
    <row r="11" spans="1:16" ht="20.100000000000001" customHeight="1">
      <c r="A11" s="1560" t="s">
        <v>3002</v>
      </c>
      <c r="B11" s="1559">
        <v>150620</v>
      </c>
      <c r="C11" s="1559">
        <v>0</v>
      </c>
      <c r="D11" s="1559">
        <v>0</v>
      </c>
      <c r="E11" s="1559">
        <v>0</v>
      </c>
      <c r="F11" s="1559">
        <v>0</v>
      </c>
      <c r="G11" s="1559">
        <v>0</v>
      </c>
      <c r="H11" s="1559">
        <v>0</v>
      </c>
      <c r="I11" s="1559">
        <v>0</v>
      </c>
      <c r="J11" s="1559">
        <v>0</v>
      </c>
      <c r="K11" s="1559">
        <v>0</v>
      </c>
      <c r="L11" s="1559">
        <v>0</v>
      </c>
      <c r="M11" s="1558">
        <f t="shared" si="0"/>
        <v>150620</v>
      </c>
      <c r="N11" s="1558">
        <f t="shared" si="1"/>
        <v>150620</v>
      </c>
      <c r="O11" s="1558">
        <f>IFERROR(M11/M70, 0)</f>
        <v>8.5414317281467898E-3</v>
      </c>
      <c r="P11" s="1558">
        <f t="shared" si="2"/>
        <v>7.1810936707446147E-3</v>
      </c>
    </row>
    <row r="12" spans="1:16" ht="20.100000000000001" customHeight="1">
      <c r="A12" s="1560" t="s">
        <v>3001</v>
      </c>
      <c r="B12" s="1559">
        <v>0</v>
      </c>
      <c r="C12" s="1559">
        <v>183842</v>
      </c>
      <c r="D12" s="1559">
        <v>183842</v>
      </c>
      <c r="E12" s="1559">
        <v>0</v>
      </c>
      <c r="F12" s="1559">
        <v>0</v>
      </c>
      <c r="G12" s="1559">
        <v>154791</v>
      </c>
      <c r="H12" s="1559">
        <v>154791</v>
      </c>
      <c r="I12" s="1559">
        <v>98073</v>
      </c>
      <c r="J12" s="1559">
        <v>98073</v>
      </c>
      <c r="K12" s="1559">
        <v>0</v>
      </c>
      <c r="L12" s="1559">
        <v>0</v>
      </c>
      <c r="M12" s="1558">
        <f t="shared" si="0"/>
        <v>436706</v>
      </c>
      <c r="N12" s="1558">
        <f t="shared" si="1"/>
        <v>436706</v>
      </c>
      <c r="O12" s="1558">
        <f>IFERROR(M12/M70, 0)</f>
        <v>2.4764934831178278E-2</v>
      </c>
      <c r="P12" s="1558">
        <f t="shared" si="2"/>
        <v>2.082078537097462E-2</v>
      </c>
    </row>
    <row r="13" spans="1:16" ht="20.100000000000001" customHeight="1">
      <c r="A13" s="1560" t="s">
        <v>3000</v>
      </c>
      <c r="B13" s="1559">
        <v>3752</v>
      </c>
      <c r="C13" s="1559">
        <v>0</v>
      </c>
      <c r="D13" s="1559">
        <v>0</v>
      </c>
      <c r="E13" s="1559">
        <v>0</v>
      </c>
      <c r="F13" s="1559">
        <v>0</v>
      </c>
      <c r="G13" s="1559">
        <v>0</v>
      </c>
      <c r="H13" s="1559">
        <v>0</v>
      </c>
      <c r="I13" s="1559">
        <v>0</v>
      </c>
      <c r="J13" s="1559">
        <v>0</v>
      </c>
      <c r="K13" s="1559">
        <v>248</v>
      </c>
      <c r="L13" s="1559">
        <v>5000</v>
      </c>
      <c r="M13" s="1558">
        <f t="shared" si="0"/>
        <v>3752</v>
      </c>
      <c r="N13" s="1558">
        <f t="shared" si="1"/>
        <v>9000</v>
      </c>
      <c r="O13" s="1558">
        <f>IFERROR(M13/M70, 0)</f>
        <v>2.1277022868149487E-4</v>
      </c>
      <c r="P13" s="1558">
        <f t="shared" si="2"/>
        <v>4.2909203981344795E-4</v>
      </c>
    </row>
    <row r="14" spans="1:16" ht="20.100000000000001" customHeight="1">
      <c r="A14" s="1560" t="s">
        <v>2999</v>
      </c>
      <c r="B14" s="1559">
        <v>188632</v>
      </c>
      <c r="C14" s="1559">
        <v>0</v>
      </c>
      <c r="D14" s="1559">
        <v>0</v>
      </c>
      <c r="E14" s="1559">
        <v>0</v>
      </c>
      <c r="F14" s="1559">
        <v>0</v>
      </c>
      <c r="G14" s="1559">
        <v>0</v>
      </c>
      <c r="H14" s="1559">
        <v>0</v>
      </c>
      <c r="I14" s="1559">
        <v>0</v>
      </c>
      <c r="J14" s="1559">
        <v>0</v>
      </c>
      <c r="K14" s="1559">
        <v>0</v>
      </c>
      <c r="L14" s="1559">
        <v>80358</v>
      </c>
      <c r="M14" s="1558">
        <f t="shared" si="0"/>
        <v>188632</v>
      </c>
      <c r="N14" s="1558">
        <f t="shared" si="1"/>
        <v>268990</v>
      </c>
      <c r="O14" s="1558">
        <f>IFERROR(M14/M70, 0)</f>
        <v>1.0697034588658779E-2</v>
      </c>
      <c r="P14" s="1558">
        <f t="shared" si="2"/>
        <v>1.2824607532157707E-2</v>
      </c>
    </row>
    <row r="15" spans="1:16" ht="20.100000000000001" customHeight="1">
      <c r="A15" s="1560" t="s">
        <v>2998</v>
      </c>
      <c r="B15" s="1559">
        <v>176000</v>
      </c>
      <c r="C15" s="1559">
        <v>0</v>
      </c>
      <c r="D15" s="1559">
        <v>0</v>
      </c>
      <c r="E15" s="1559">
        <v>0</v>
      </c>
      <c r="F15" s="1559">
        <v>0</v>
      </c>
      <c r="G15" s="1559">
        <v>0</v>
      </c>
      <c r="H15" s="1559">
        <v>0</v>
      </c>
      <c r="I15" s="1559">
        <v>0</v>
      </c>
      <c r="J15" s="1559">
        <v>0</v>
      </c>
      <c r="K15" s="1559">
        <v>0</v>
      </c>
      <c r="L15" s="1559">
        <v>8000</v>
      </c>
      <c r="M15" s="1558">
        <f t="shared" si="0"/>
        <v>176000</v>
      </c>
      <c r="N15" s="1558">
        <f t="shared" si="1"/>
        <v>184000</v>
      </c>
      <c r="O15" s="1558">
        <f>IFERROR(M15/M70, 0)</f>
        <v>9.9806930298355807E-3</v>
      </c>
      <c r="P15" s="1558">
        <f t="shared" si="2"/>
        <v>8.7725483695193802E-3</v>
      </c>
    </row>
    <row r="16" spans="1:16" ht="20.100000000000001" customHeight="1">
      <c r="A16" s="1560" t="s">
        <v>2997</v>
      </c>
      <c r="B16" s="1559">
        <v>372176</v>
      </c>
      <c r="C16" s="1559">
        <v>0</v>
      </c>
      <c r="D16" s="1559">
        <v>0</v>
      </c>
      <c r="E16" s="1559">
        <v>0</v>
      </c>
      <c r="F16" s="1559">
        <v>0</v>
      </c>
      <c r="G16" s="1559">
        <v>0</v>
      </c>
      <c r="H16" s="1559">
        <v>0</v>
      </c>
      <c r="I16" s="1559">
        <v>0</v>
      </c>
      <c r="J16" s="1559">
        <v>0</v>
      </c>
      <c r="K16" s="1559">
        <v>0</v>
      </c>
      <c r="L16" s="1559">
        <v>0</v>
      </c>
      <c r="M16" s="1558">
        <f t="shared" si="0"/>
        <v>372176</v>
      </c>
      <c r="N16" s="1558">
        <f t="shared" si="1"/>
        <v>372176</v>
      </c>
      <c r="O16" s="1558">
        <f>IFERROR(M16/M70, 0)</f>
        <v>2.1105536415182313E-2</v>
      </c>
      <c r="P16" s="1558">
        <f t="shared" si="2"/>
        <v>1.7744195445512201E-2</v>
      </c>
    </row>
    <row r="17" spans="1:16" ht="20.100000000000001" customHeight="1">
      <c r="A17" s="1560" t="s">
        <v>2996</v>
      </c>
      <c r="B17" s="1559">
        <v>0</v>
      </c>
      <c r="C17" s="1559">
        <v>0</v>
      </c>
      <c r="D17" s="1559">
        <v>0</v>
      </c>
      <c r="E17" s="1559">
        <v>0</v>
      </c>
      <c r="F17" s="1559">
        <v>0</v>
      </c>
      <c r="G17" s="1559">
        <v>52120</v>
      </c>
      <c r="H17" s="1559">
        <v>52120</v>
      </c>
      <c r="I17" s="1559">
        <v>198128</v>
      </c>
      <c r="J17" s="1559">
        <v>198128</v>
      </c>
      <c r="K17" s="1559">
        <v>0</v>
      </c>
      <c r="L17" s="1559">
        <v>0</v>
      </c>
      <c r="M17" s="1558">
        <f t="shared" si="0"/>
        <v>250248</v>
      </c>
      <c r="N17" s="1558">
        <f t="shared" si="1"/>
        <v>250248</v>
      </c>
      <c r="O17" s="1558">
        <f>IFERROR(M17/M70, 0)</f>
        <v>1.4191184484831218E-2</v>
      </c>
      <c r="P17" s="1558">
        <f t="shared" si="2"/>
        <v>1.1931047197692857E-2</v>
      </c>
    </row>
    <row r="18" spans="1:16" ht="20.100000000000001" customHeight="1">
      <c r="A18" s="1560" t="s">
        <v>2995</v>
      </c>
      <c r="B18" s="1559">
        <v>0</v>
      </c>
      <c r="C18" s="1559">
        <v>0</v>
      </c>
      <c r="D18" s="1559">
        <v>0</v>
      </c>
      <c r="E18" s="1559">
        <v>0</v>
      </c>
      <c r="F18" s="1559">
        <v>0</v>
      </c>
      <c r="G18" s="1559">
        <v>52112</v>
      </c>
      <c r="H18" s="1559">
        <v>52112</v>
      </c>
      <c r="I18" s="1559">
        <v>0</v>
      </c>
      <c r="J18" s="1559">
        <v>0</v>
      </c>
      <c r="K18" s="1559">
        <v>0</v>
      </c>
      <c r="L18" s="1559">
        <v>0</v>
      </c>
      <c r="M18" s="1558">
        <f t="shared" si="0"/>
        <v>52112</v>
      </c>
      <c r="N18" s="1558">
        <f t="shared" si="1"/>
        <v>52112</v>
      </c>
      <c r="O18" s="1558">
        <f>IFERROR(M18/M70, 0)</f>
        <v>2.955192472561317E-3</v>
      </c>
      <c r="P18" s="1558">
        <f t="shared" si="2"/>
        <v>2.4845382643064887E-3</v>
      </c>
    </row>
    <row r="19" spans="1:16" ht="20.100000000000001" customHeight="1">
      <c r="A19" s="1560" t="s">
        <v>2994</v>
      </c>
      <c r="B19" s="1559">
        <v>640000</v>
      </c>
      <c r="C19" s="1559">
        <v>0</v>
      </c>
      <c r="D19" s="1559">
        <v>0</v>
      </c>
      <c r="E19" s="1559">
        <v>0</v>
      </c>
      <c r="F19" s="1559">
        <v>0</v>
      </c>
      <c r="G19" s="1559">
        <v>0</v>
      </c>
      <c r="H19" s="1559">
        <v>0</v>
      </c>
      <c r="I19" s="1559">
        <v>0</v>
      </c>
      <c r="J19" s="1559">
        <v>0</v>
      </c>
      <c r="K19" s="1559">
        <v>0</v>
      </c>
      <c r="L19" s="1559">
        <v>0</v>
      </c>
      <c r="M19" s="1558">
        <f t="shared" si="0"/>
        <v>640000</v>
      </c>
      <c r="N19" s="1558">
        <f t="shared" si="1"/>
        <v>640000</v>
      </c>
      <c r="O19" s="1558">
        <f>IFERROR(M19/M70, 0)</f>
        <v>3.6293429199402108E-2</v>
      </c>
      <c r="P19" s="1558">
        <f t="shared" si="2"/>
        <v>3.051321172006741E-2</v>
      </c>
    </row>
    <row r="20" spans="1:16" ht="20.100000000000001" customHeight="1">
      <c r="A20" s="1560" t="s">
        <v>2993</v>
      </c>
      <c r="B20" s="1559">
        <v>0</v>
      </c>
      <c r="C20" s="1559">
        <v>0</v>
      </c>
      <c r="D20" s="1559">
        <v>0</v>
      </c>
      <c r="E20" s="1559">
        <v>0</v>
      </c>
      <c r="F20" s="1559">
        <v>0</v>
      </c>
      <c r="G20" s="1559">
        <v>0</v>
      </c>
      <c r="H20" s="1559">
        <v>0</v>
      </c>
      <c r="I20" s="1559">
        <v>0</v>
      </c>
      <c r="J20" s="1559">
        <v>0</v>
      </c>
      <c r="K20" s="1559">
        <v>0</v>
      </c>
      <c r="L20" s="1559">
        <v>11000</v>
      </c>
      <c r="M20" s="1558">
        <f t="shared" si="0"/>
        <v>0</v>
      </c>
      <c r="N20" s="1558">
        <f t="shared" si="1"/>
        <v>11000</v>
      </c>
      <c r="O20" s="1558">
        <f>IFERROR(M20/M70, 0)</f>
        <v>0</v>
      </c>
      <c r="P20" s="1558">
        <f t="shared" si="2"/>
        <v>5.2444582643865862E-4</v>
      </c>
    </row>
    <row r="21" spans="1:16" ht="20.100000000000001" customHeight="1">
      <c r="A21" s="1560" t="s">
        <v>2992</v>
      </c>
      <c r="B21" s="1559">
        <v>12500</v>
      </c>
      <c r="C21" s="1559">
        <v>0</v>
      </c>
      <c r="D21" s="1559">
        <v>0</v>
      </c>
      <c r="E21" s="1559">
        <v>0</v>
      </c>
      <c r="F21" s="1559">
        <v>0</v>
      </c>
      <c r="G21" s="1559">
        <v>0</v>
      </c>
      <c r="H21" s="1559">
        <v>0</v>
      </c>
      <c r="I21" s="1559">
        <v>0</v>
      </c>
      <c r="J21" s="1559">
        <v>0</v>
      </c>
      <c r="K21" s="1559">
        <v>0</v>
      </c>
      <c r="L21" s="1559">
        <v>67500</v>
      </c>
      <c r="M21" s="1558">
        <f t="shared" si="0"/>
        <v>12500</v>
      </c>
      <c r="N21" s="1558">
        <f t="shared" si="1"/>
        <v>80000</v>
      </c>
      <c r="O21" s="1558">
        <f>IFERROR(M21/M70, 0)</f>
        <v>7.0885603905082248E-4</v>
      </c>
      <c r="P21" s="1558">
        <f t="shared" si="2"/>
        <v>3.8141514650084263E-3</v>
      </c>
    </row>
    <row r="22" spans="1:16" ht="20.100000000000001" customHeight="1">
      <c r="A22" s="1560" t="s">
        <v>2991</v>
      </c>
      <c r="B22" s="1559">
        <v>0</v>
      </c>
      <c r="C22" s="1559">
        <v>94706</v>
      </c>
      <c r="D22" s="1559">
        <v>94706</v>
      </c>
      <c r="E22" s="1559">
        <v>0</v>
      </c>
      <c r="F22" s="1559">
        <v>0</v>
      </c>
      <c r="G22" s="1559">
        <v>79740</v>
      </c>
      <c r="H22" s="1559">
        <v>79740</v>
      </c>
      <c r="I22" s="1559">
        <v>50522</v>
      </c>
      <c r="J22" s="1559">
        <v>50522</v>
      </c>
      <c r="K22" s="1559">
        <v>0</v>
      </c>
      <c r="L22" s="1559">
        <v>0</v>
      </c>
      <c r="M22" s="1558">
        <f t="shared" si="0"/>
        <v>224968</v>
      </c>
      <c r="N22" s="1558">
        <f t="shared" si="1"/>
        <v>224968</v>
      </c>
      <c r="O22" s="1558">
        <f>IFERROR(M22/M70, 0)</f>
        <v>1.2757594031454834E-2</v>
      </c>
      <c r="P22" s="1558">
        <f t="shared" si="2"/>
        <v>1.0725775334750194E-2</v>
      </c>
    </row>
    <row r="23" spans="1:16" ht="20.100000000000001" customHeight="1">
      <c r="A23" s="1560" t="s">
        <v>2990</v>
      </c>
      <c r="B23" s="1559">
        <v>0</v>
      </c>
      <c r="C23" s="1559">
        <v>0</v>
      </c>
      <c r="D23" s="1559">
        <v>0</v>
      </c>
      <c r="E23" s="1559">
        <v>0</v>
      </c>
      <c r="F23" s="1559">
        <v>0</v>
      </c>
      <c r="G23" s="1559">
        <v>0</v>
      </c>
      <c r="H23" s="1559">
        <v>0</v>
      </c>
      <c r="I23" s="1559">
        <v>0</v>
      </c>
      <c r="J23" s="1559">
        <v>0</v>
      </c>
      <c r="K23" s="1559">
        <v>0</v>
      </c>
      <c r="L23" s="1559">
        <v>20000</v>
      </c>
      <c r="M23" s="1558">
        <f t="shared" si="0"/>
        <v>0</v>
      </c>
      <c r="N23" s="1558">
        <f t="shared" si="1"/>
        <v>20000</v>
      </c>
      <c r="O23" s="1558">
        <f>IFERROR(M23/M70, 0)</f>
        <v>0</v>
      </c>
      <c r="P23" s="1558">
        <f t="shared" si="2"/>
        <v>9.5353786625210657E-4</v>
      </c>
    </row>
    <row r="24" spans="1:16" ht="20.100000000000001" customHeight="1">
      <c r="A24" s="1560" t="s">
        <v>2989</v>
      </c>
      <c r="B24" s="1559">
        <v>0</v>
      </c>
      <c r="C24" s="1559">
        <v>0</v>
      </c>
      <c r="D24" s="1559">
        <v>0</v>
      </c>
      <c r="E24" s="1559">
        <v>3494385</v>
      </c>
      <c r="F24" s="1559">
        <v>3494385</v>
      </c>
      <c r="G24" s="1559">
        <v>0</v>
      </c>
      <c r="H24" s="1559">
        <v>0</v>
      </c>
      <c r="I24" s="1559">
        <v>0</v>
      </c>
      <c r="J24" s="1559">
        <v>0</v>
      </c>
      <c r="K24" s="1559">
        <v>0</v>
      </c>
      <c r="L24" s="1559">
        <v>0</v>
      </c>
      <c r="M24" s="1558">
        <f t="shared" si="0"/>
        <v>3494385</v>
      </c>
      <c r="N24" s="1558">
        <f t="shared" si="1"/>
        <v>3494385</v>
      </c>
      <c r="O24" s="1558">
        <f>IFERROR(M24/M70, 0)</f>
        <v>0.19816127280148865</v>
      </c>
      <c r="P24" s="1558">
        <f t="shared" si="2"/>
        <v>0.16660142083816837</v>
      </c>
    </row>
    <row r="25" spans="1:16" ht="20.100000000000001" customHeight="1">
      <c r="A25" s="1560" t="s">
        <v>2988</v>
      </c>
      <c r="B25" s="1559">
        <v>0</v>
      </c>
      <c r="C25" s="1559">
        <v>0</v>
      </c>
      <c r="D25" s="1559">
        <v>0</v>
      </c>
      <c r="E25" s="1559">
        <v>0</v>
      </c>
      <c r="F25" s="1559">
        <v>0</v>
      </c>
      <c r="G25" s="1559">
        <v>78176</v>
      </c>
      <c r="H25" s="1559">
        <v>78176</v>
      </c>
      <c r="I25" s="1559">
        <v>0</v>
      </c>
      <c r="J25" s="1559">
        <v>0</v>
      </c>
      <c r="K25" s="1559">
        <v>0</v>
      </c>
      <c r="L25" s="1559">
        <v>0</v>
      </c>
      <c r="M25" s="1558">
        <f t="shared" si="0"/>
        <v>78176</v>
      </c>
      <c r="N25" s="1558">
        <f t="shared" si="1"/>
        <v>78176</v>
      </c>
      <c r="O25" s="1558">
        <f>IFERROR(M25/M70, 0)</f>
        <v>4.4332423767069681E-3</v>
      </c>
      <c r="P25" s="1558">
        <f t="shared" si="2"/>
        <v>3.7271888116062342E-3</v>
      </c>
    </row>
    <row r="26" spans="1:16" ht="20.100000000000001" customHeight="1">
      <c r="A26" s="1560" t="s">
        <v>2987</v>
      </c>
      <c r="B26" s="1559">
        <v>0</v>
      </c>
      <c r="C26" s="1559">
        <v>46592</v>
      </c>
      <c r="D26" s="1559">
        <v>46592</v>
      </c>
      <c r="E26" s="1559">
        <v>0</v>
      </c>
      <c r="F26" s="1559">
        <v>0</v>
      </c>
      <c r="G26" s="1559">
        <v>0</v>
      </c>
      <c r="H26" s="1559">
        <v>0</v>
      </c>
      <c r="I26" s="1559">
        <v>0</v>
      </c>
      <c r="J26" s="1559">
        <v>0</v>
      </c>
      <c r="K26" s="1559">
        <v>0</v>
      </c>
      <c r="L26" s="1559">
        <v>0</v>
      </c>
      <c r="M26" s="1558">
        <f t="shared" si="0"/>
        <v>46592</v>
      </c>
      <c r="N26" s="1558">
        <f t="shared" si="1"/>
        <v>46592</v>
      </c>
      <c r="O26" s="1558">
        <f>IFERROR(M26/M70, 0)</f>
        <v>2.6421616457164739E-3</v>
      </c>
      <c r="P26" s="1558">
        <f t="shared" si="2"/>
        <v>2.2213618132209075E-3</v>
      </c>
    </row>
    <row r="27" spans="1:16" ht="20.100000000000001" customHeight="1">
      <c r="A27" s="1560" t="s">
        <v>2986</v>
      </c>
      <c r="B27" s="1559">
        <v>110584</v>
      </c>
      <c r="C27" s="1559">
        <v>0</v>
      </c>
      <c r="D27" s="1559">
        <v>0</v>
      </c>
      <c r="E27" s="1559">
        <v>0</v>
      </c>
      <c r="F27" s="1559">
        <v>0</v>
      </c>
      <c r="G27" s="1559">
        <v>0</v>
      </c>
      <c r="H27" s="1559">
        <v>0</v>
      </c>
      <c r="I27" s="1559">
        <v>0</v>
      </c>
      <c r="J27" s="1559">
        <v>0</v>
      </c>
      <c r="K27" s="1559">
        <v>0</v>
      </c>
      <c r="L27" s="1559">
        <v>0</v>
      </c>
      <c r="M27" s="1558">
        <f t="shared" si="0"/>
        <v>110584</v>
      </c>
      <c r="N27" s="1558">
        <f t="shared" si="1"/>
        <v>110584</v>
      </c>
      <c r="O27" s="1558">
        <f>IFERROR(M27/M70, 0)</f>
        <v>6.2710508977916919E-3</v>
      </c>
      <c r="P27" s="1558">
        <f t="shared" si="2"/>
        <v>5.2723015700811473E-3</v>
      </c>
    </row>
    <row r="28" spans="1:16" ht="20.100000000000001" customHeight="1">
      <c r="A28" s="1560" t="s">
        <v>2985</v>
      </c>
      <c r="B28" s="1559">
        <v>0</v>
      </c>
      <c r="C28" s="1559">
        <v>0</v>
      </c>
      <c r="D28" s="1559">
        <v>0</v>
      </c>
      <c r="E28" s="1559">
        <v>0</v>
      </c>
      <c r="F28" s="1559">
        <v>0</v>
      </c>
      <c r="G28" s="1559">
        <v>26056</v>
      </c>
      <c r="H28" s="1559">
        <v>26056</v>
      </c>
      <c r="I28" s="1559">
        <v>0</v>
      </c>
      <c r="J28" s="1559">
        <v>0</v>
      </c>
      <c r="K28" s="1559">
        <v>0</v>
      </c>
      <c r="L28" s="1559">
        <v>0</v>
      </c>
      <c r="M28" s="1558">
        <f t="shared" si="0"/>
        <v>26056</v>
      </c>
      <c r="N28" s="1558">
        <f t="shared" si="1"/>
        <v>26056</v>
      </c>
      <c r="O28" s="1558">
        <f>IFERROR(M28/M70, 0)</f>
        <v>1.4775962362806585E-3</v>
      </c>
      <c r="P28" s="1558">
        <f t="shared" si="2"/>
        <v>1.2422691321532443E-3</v>
      </c>
    </row>
    <row r="29" spans="1:16" ht="20.100000000000001" customHeight="1">
      <c r="A29" s="1560" t="s">
        <v>2984</v>
      </c>
      <c r="B29" s="1559">
        <v>27152</v>
      </c>
      <c r="C29" s="1559">
        <v>0</v>
      </c>
      <c r="D29" s="1559">
        <v>0</v>
      </c>
      <c r="E29" s="1559">
        <v>0</v>
      </c>
      <c r="F29" s="1559">
        <v>0</v>
      </c>
      <c r="G29" s="1559">
        <v>0</v>
      </c>
      <c r="H29" s="1559">
        <v>0</v>
      </c>
      <c r="I29" s="1559">
        <v>0</v>
      </c>
      <c r="J29" s="1559">
        <v>0</v>
      </c>
      <c r="K29" s="1559">
        <v>0</v>
      </c>
      <c r="L29" s="1559">
        <v>48401</v>
      </c>
      <c r="M29" s="1558">
        <f t="shared" si="0"/>
        <v>27152</v>
      </c>
      <c r="N29" s="1558">
        <f t="shared" si="1"/>
        <v>75553</v>
      </c>
      <c r="O29" s="1558">
        <f>IFERROR(M29/M70, 0)</f>
        <v>1.5397487337846345E-3</v>
      </c>
      <c r="P29" s="1558">
        <f t="shared" si="2"/>
        <v>3.6021323204472704E-3</v>
      </c>
    </row>
    <row r="30" spans="1:16" ht="20.100000000000001" customHeight="1">
      <c r="A30" s="1560" t="s">
        <v>2983</v>
      </c>
      <c r="B30" s="1559">
        <v>284961</v>
      </c>
      <c r="C30" s="1559">
        <v>0</v>
      </c>
      <c r="D30" s="1559">
        <v>0</v>
      </c>
      <c r="E30" s="1559">
        <v>23295</v>
      </c>
      <c r="F30" s="1559">
        <v>23295</v>
      </c>
      <c r="G30" s="1559">
        <v>0</v>
      </c>
      <c r="H30" s="1559">
        <v>0</v>
      </c>
      <c r="I30" s="1559">
        <v>0</v>
      </c>
      <c r="J30" s="1559">
        <v>0</v>
      </c>
      <c r="K30" s="1559">
        <v>0</v>
      </c>
      <c r="L30" s="1559">
        <v>94429</v>
      </c>
      <c r="M30" s="1558">
        <f t="shared" si="0"/>
        <v>308256</v>
      </c>
      <c r="N30" s="1558">
        <f t="shared" si="1"/>
        <v>402685</v>
      </c>
      <c r="O30" s="1558">
        <f>IFERROR(M30/M70, 0)</f>
        <v>1.7480730173892026E-2</v>
      </c>
      <c r="P30" s="1558">
        <f t="shared" si="2"/>
        <v>1.9198769783586478E-2</v>
      </c>
    </row>
    <row r="31" spans="1:16" ht="20.100000000000001" customHeight="1">
      <c r="A31" s="1560" t="s">
        <v>2982</v>
      </c>
      <c r="B31" s="1559">
        <v>0</v>
      </c>
      <c r="C31" s="1559">
        <v>34978</v>
      </c>
      <c r="D31" s="1559">
        <v>34978</v>
      </c>
      <c r="E31" s="1559">
        <v>23295</v>
      </c>
      <c r="F31" s="1559">
        <v>23295</v>
      </c>
      <c r="G31" s="1559">
        <v>78176</v>
      </c>
      <c r="H31" s="1559">
        <v>78176</v>
      </c>
      <c r="I31" s="1559">
        <v>0</v>
      </c>
      <c r="J31" s="1559">
        <v>0</v>
      </c>
      <c r="K31" s="1559">
        <v>0</v>
      </c>
      <c r="L31" s="1559">
        <v>0</v>
      </c>
      <c r="M31" s="1558">
        <f t="shared" si="0"/>
        <v>136449</v>
      </c>
      <c r="N31" s="1558">
        <f t="shared" si="1"/>
        <v>136449</v>
      </c>
      <c r="O31" s="1558">
        <f>IFERROR(M31/M70, 0)</f>
        <v>7.7378158137956544E-3</v>
      </c>
      <c r="P31" s="1558">
        <f t="shared" si="2"/>
        <v>6.5054644156116847E-3</v>
      </c>
    </row>
    <row r="32" spans="1:16" ht="20.100000000000001" customHeight="1">
      <c r="A32" s="1560" t="s">
        <v>2981</v>
      </c>
      <c r="B32" s="1559">
        <v>0</v>
      </c>
      <c r="C32" s="1559">
        <v>0</v>
      </c>
      <c r="D32" s="1559">
        <v>0</v>
      </c>
      <c r="E32" s="1559">
        <v>0</v>
      </c>
      <c r="F32" s="1559">
        <v>0</v>
      </c>
      <c r="G32" s="1559">
        <v>0</v>
      </c>
      <c r="H32" s="1559">
        <v>0</v>
      </c>
      <c r="I32" s="1559">
        <v>0</v>
      </c>
      <c r="J32" s="1559">
        <v>0</v>
      </c>
      <c r="K32" s="1559">
        <v>0</v>
      </c>
      <c r="L32" s="1559">
        <v>12000</v>
      </c>
      <c r="M32" s="1558">
        <f t="shared" si="0"/>
        <v>0</v>
      </c>
      <c r="N32" s="1558">
        <f t="shared" si="1"/>
        <v>12000</v>
      </c>
      <c r="O32" s="1558">
        <f>IFERROR(M32/M70, 0)</f>
        <v>0</v>
      </c>
      <c r="P32" s="1558">
        <f t="shared" si="2"/>
        <v>5.721227197512639E-4</v>
      </c>
    </row>
    <row r="33" spans="1:16" ht="20.100000000000001" customHeight="1">
      <c r="A33" s="1560" t="s">
        <v>2980</v>
      </c>
      <c r="B33" s="1559">
        <v>11200</v>
      </c>
      <c r="C33" s="1559">
        <v>0</v>
      </c>
      <c r="D33" s="1559">
        <v>0</v>
      </c>
      <c r="E33" s="1559">
        <v>0</v>
      </c>
      <c r="F33" s="1559">
        <v>0</v>
      </c>
      <c r="G33" s="1559">
        <v>0</v>
      </c>
      <c r="H33" s="1559">
        <v>0</v>
      </c>
      <c r="I33" s="1559">
        <v>0</v>
      </c>
      <c r="J33" s="1559">
        <v>0</v>
      </c>
      <c r="K33" s="1559">
        <v>0</v>
      </c>
      <c r="L33" s="1559">
        <v>0</v>
      </c>
      <c r="M33" s="1558">
        <f t="shared" si="0"/>
        <v>11200</v>
      </c>
      <c r="N33" s="1558">
        <f t="shared" si="1"/>
        <v>11200</v>
      </c>
      <c r="O33" s="1558">
        <f>IFERROR(M33/M70, 0)</f>
        <v>6.3513501098953697E-4</v>
      </c>
      <c r="P33" s="1558">
        <f t="shared" si="2"/>
        <v>5.3398120510117963E-4</v>
      </c>
    </row>
    <row r="34" spans="1:16" ht="20.100000000000001" customHeight="1">
      <c r="A34" s="1560" t="s">
        <v>2979</v>
      </c>
      <c r="B34" s="1559">
        <v>0</v>
      </c>
      <c r="C34" s="1559">
        <v>0</v>
      </c>
      <c r="D34" s="1559">
        <v>0</v>
      </c>
      <c r="E34" s="1559">
        <v>0</v>
      </c>
      <c r="F34" s="1559">
        <v>0</v>
      </c>
      <c r="G34" s="1559">
        <v>0</v>
      </c>
      <c r="H34" s="1559">
        <v>0</v>
      </c>
      <c r="I34" s="1559">
        <v>158504</v>
      </c>
      <c r="J34" s="1559">
        <v>158504</v>
      </c>
      <c r="K34" s="1559">
        <v>0</v>
      </c>
      <c r="L34" s="1559">
        <v>0</v>
      </c>
      <c r="M34" s="1558">
        <f t="shared" si="0"/>
        <v>158504</v>
      </c>
      <c r="N34" s="1558">
        <f t="shared" si="1"/>
        <v>158504</v>
      </c>
      <c r="O34" s="1558">
        <f>IFERROR(M34/M70, 0)</f>
        <v>8.9885214090969258E-3</v>
      </c>
      <c r="P34" s="1558">
        <f t="shared" si="2"/>
        <v>7.5569782976211948E-3</v>
      </c>
    </row>
    <row r="35" spans="1:16" ht="20.100000000000001" customHeight="1">
      <c r="A35" s="1560" t="s">
        <v>2978</v>
      </c>
      <c r="B35" s="1559">
        <v>0</v>
      </c>
      <c r="C35" s="1559">
        <v>0</v>
      </c>
      <c r="D35" s="1559">
        <v>0</v>
      </c>
      <c r="E35" s="1559">
        <v>0</v>
      </c>
      <c r="F35" s="1559">
        <v>0</v>
      </c>
      <c r="G35" s="1559">
        <v>0</v>
      </c>
      <c r="H35" s="1559">
        <v>0</v>
      </c>
      <c r="I35" s="1559">
        <v>0</v>
      </c>
      <c r="J35" s="1559">
        <v>0</v>
      </c>
      <c r="K35" s="1559">
        <v>0</v>
      </c>
      <c r="L35" s="1559">
        <v>4000</v>
      </c>
      <c r="M35" s="1558">
        <f t="shared" si="0"/>
        <v>0</v>
      </c>
      <c r="N35" s="1558">
        <f t="shared" si="1"/>
        <v>4000</v>
      </c>
      <c r="O35" s="1558">
        <f>IFERROR(M35/M70, 0)</f>
        <v>0</v>
      </c>
      <c r="P35" s="1558">
        <f t="shared" si="2"/>
        <v>1.9070757325042131E-4</v>
      </c>
    </row>
    <row r="36" spans="1:16" ht="20.100000000000001" customHeight="1">
      <c r="A36" s="1560" t="s">
        <v>2977</v>
      </c>
      <c r="B36" s="1559">
        <v>11504</v>
      </c>
      <c r="C36" s="1559">
        <v>0</v>
      </c>
      <c r="D36" s="1559">
        <v>0</v>
      </c>
      <c r="E36" s="1559">
        <v>0</v>
      </c>
      <c r="F36" s="1559">
        <v>0</v>
      </c>
      <c r="G36" s="1559">
        <v>0</v>
      </c>
      <c r="H36" s="1559">
        <v>0</v>
      </c>
      <c r="I36" s="1559">
        <v>0</v>
      </c>
      <c r="J36" s="1559">
        <v>0</v>
      </c>
      <c r="K36" s="1559">
        <v>0</v>
      </c>
      <c r="L36" s="1559">
        <v>0</v>
      </c>
      <c r="M36" s="1558">
        <f t="shared" si="0"/>
        <v>11504</v>
      </c>
      <c r="N36" s="1558">
        <f t="shared" si="1"/>
        <v>11504</v>
      </c>
      <c r="O36" s="1558">
        <f>IFERROR(M36/M70, 0)</f>
        <v>6.523743898592529E-4</v>
      </c>
      <c r="P36" s="1558">
        <f t="shared" si="2"/>
        <v>5.4847498066821164E-4</v>
      </c>
    </row>
    <row r="37" spans="1:16" ht="20.100000000000001" customHeight="1">
      <c r="A37" s="1560" t="s">
        <v>2976</v>
      </c>
      <c r="B37" s="1559">
        <v>0</v>
      </c>
      <c r="C37" s="1559">
        <v>4908702</v>
      </c>
      <c r="D37" s="1559">
        <v>4908702</v>
      </c>
      <c r="E37" s="1559">
        <v>1164795</v>
      </c>
      <c r="F37" s="1559">
        <v>1164795</v>
      </c>
      <c r="G37" s="1559">
        <v>0</v>
      </c>
      <c r="H37" s="1559">
        <v>0</v>
      </c>
      <c r="I37" s="1559">
        <v>0</v>
      </c>
      <c r="J37" s="1559">
        <v>0</v>
      </c>
      <c r="K37" s="1559">
        <v>0</v>
      </c>
      <c r="L37" s="1559">
        <v>0</v>
      </c>
      <c r="M37" s="1558">
        <f t="shared" ref="M37:M63" si="3">SUM(B37,C37,E37,G37,I37,)</f>
        <v>6073497</v>
      </c>
      <c r="N37" s="1558">
        <f t="shared" ref="N37:N63" si="4">SUM(B37,D37,F37,H37,J37,K37,L37,)</f>
        <v>6073497</v>
      </c>
      <c r="O37" s="1558">
        <f>IFERROR(M37/M70, 0)</f>
        <v>0.34441880212856424</v>
      </c>
      <c r="P37" s="1558">
        <f t="shared" ref="P37:P63" si="5">IFERROR(N37 / DetailedCapShares, 0)</f>
        <v>0.28956546850342851</v>
      </c>
    </row>
    <row r="38" spans="1:16" ht="20.100000000000001" customHeight="1">
      <c r="A38" s="1560" t="s">
        <v>2975</v>
      </c>
      <c r="B38" s="1559">
        <v>0</v>
      </c>
      <c r="C38" s="1559">
        <v>0</v>
      </c>
      <c r="D38" s="1559">
        <v>0</v>
      </c>
      <c r="E38" s="1559">
        <v>0</v>
      </c>
      <c r="F38" s="1559">
        <v>0</v>
      </c>
      <c r="G38" s="1559">
        <v>0</v>
      </c>
      <c r="H38" s="1559">
        <v>0</v>
      </c>
      <c r="I38" s="1559">
        <v>0</v>
      </c>
      <c r="J38" s="1559">
        <v>0</v>
      </c>
      <c r="K38" s="1559">
        <v>0</v>
      </c>
      <c r="L38" s="1559">
        <v>285000</v>
      </c>
      <c r="M38" s="1558">
        <f t="shared" si="3"/>
        <v>0</v>
      </c>
      <c r="N38" s="1558">
        <f t="shared" si="4"/>
        <v>285000</v>
      </c>
      <c r="O38" s="1558">
        <f>IFERROR(M38/M70, 0)</f>
        <v>0</v>
      </c>
      <c r="P38" s="1558">
        <f t="shared" si="5"/>
        <v>1.3587914594092518E-2</v>
      </c>
    </row>
    <row r="39" spans="1:16" ht="20.100000000000001" customHeight="1">
      <c r="A39" s="1560" t="s">
        <v>2974</v>
      </c>
      <c r="B39" s="1559">
        <v>0</v>
      </c>
      <c r="C39" s="1559">
        <v>278551</v>
      </c>
      <c r="D39" s="1559">
        <v>278551</v>
      </c>
      <c r="E39" s="1559">
        <v>116479</v>
      </c>
      <c r="F39" s="1559">
        <v>116479</v>
      </c>
      <c r="G39" s="1559">
        <v>234533</v>
      </c>
      <c r="H39" s="1559">
        <v>234533</v>
      </c>
      <c r="I39" s="1559">
        <v>148597</v>
      </c>
      <c r="J39" s="1559">
        <v>148597</v>
      </c>
      <c r="K39" s="1559">
        <v>0</v>
      </c>
      <c r="L39" s="1559">
        <v>0</v>
      </c>
      <c r="M39" s="1558">
        <f t="shared" si="3"/>
        <v>778160</v>
      </c>
      <c r="N39" s="1558">
        <f t="shared" si="4"/>
        <v>778160</v>
      </c>
      <c r="O39" s="1558">
        <f>IFERROR(M39/M70, 0)</f>
        <v>4.4128273227823041E-2</v>
      </c>
      <c r="P39" s="1558">
        <f t="shared" si="5"/>
        <v>3.7100251300136965E-2</v>
      </c>
    </row>
    <row r="40" spans="1:16" ht="20.100000000000001" customHeight="1">
      <c r="A40" s="1560" t="s">
        <v>2973</v>
      </c>
      <c r="B40" s="1559">
        <v>0</v>
      </c>
      <c r="C40" s="1559">
        <v>0</v>
      </c>
      <c r="D40" s="1559">
        <v>0</v>
      </c>
      <c r="E40" s="1559">
        <v>0</v>
      </c>
      <c r="F40" s="1559">
        <v>0</v>
      </c>
      <c r="G40" s="1559">
        <v>0</v>
      </c>
      <c r="H40" s="1559">
        <v>0</v>
      </c>
      <c r="I40" s="1559">
        <v>0</v>
      </c>
      <c r="J40" s="1559">
        <v>0</v>
      </c>
      <c r="K40" s="1559">
        <v>16488</v>
      </c>
      <c r="L40" s="1559">
        <v>0</v>
      </c>
      <c r="M40" s="1558">
        <f t="shared" si="3"/>
        <v>0</v>
      </c>
      <c r="N40" s="1558">
        <f t="shared" si="4"/>
        <v>16488</v>
      </c>
      <c r="O40" s="1558">
        <f>IFERROR(M40/M70, 0)</f>
        <v>0</v>
      </c>
      <c r="P40" s="1558">
        <f t="shared" si="5"/>
        <v>7.8609661693823663E-4</v>
      </c>
    </row>
    <row r="41" spans="1:16" ht="20.100000000000001" customHeight="1">
      <c r="A41" s="1560" t="s">
        <v>2972</v>
      </c>
      <c r="B41" s="1559">
        <v>26000</v>
      </c>
      <c r="C41" s="1559">
        <v>0</v>
      </c>
      <c r="D41" s="1559">
        <v>0</v>
      </c>
      <c r="E41" s="1559">
        <v>0</v>
      </c>
      <c r="F41" s="1559">
        <v>0</v>
      </c>
      <c r="G41" s="1559">
        <v>0</v>
      </c>
      <c r="H41" s="1559">
        <v>0</v>
      </c>
      <c r="I41" s="1559">
        <v>0</v>
      </c>
      <c r="J41" s="1559">
        <v>0</v>
      </c>
      <c r="K41" s="1559">
        <v>6000</v>
      </c>
      <c r="L41" s="1559">
        <v>15000</v>
      </c>
      <c r="M41" s="1558">
        <f t="shared" si="3"/>
        <v>26000</v>
      </c>
      <c r="N41" s="1558">
        <f t="shared" si="4"/>
        <v>47000</v>
      </c>
      <c r="O41" s="1558">
        <f>IFERROR(M41/M70, 0)</f>
        <v>1.4744205612257108E-3</v>
      </c>
      <c r="P41" s="1558">
        <f t="shared" si="5"/>
        <v>2.2408139856924503E-3</v>
      </c>
    </row>
    <row r="42" spans="1:16" ht="20.100000000000001" customHeight="1">
      <c r="A42" s="1560" t="s">
        <v>2971</v>
      </c>
      <c r="B42" s="1559">
        <v>0</v>
      </c>
      <c r="C42" s="1559">
        <v>0</v>
      </c>
      <c r="D42" s="1559">
        <v>0</v>
      </c>
      <c r="E42" s="1559">
        <v>0</v>
      </c>
      <c r="F42" s="1559">
        <v>0</v>
      </c>
      <c r="G42" s="1559">
        <v>0</v>
      </c>
      <c r="H42" s="1559">
        <v>0</v>
      </c>
      <c r="I42" s="1559">
        <v>0</v>
      </c>
      <c r="J42" s="1559">
        <v>0</v>
      </c>
      <c r="K42" s="1559">
        <v>0</v>
      </c>
      <c r="L42" s="1559">
        <v>50000</v>
      </c>
      <c r="M42" s="1558">
        <f t="shared" si="3"/>
        <v>0</v>
      </c>
      <c r="N42" s="1558">
        <f t="shared" si="4"/>
        <v>50000</v>
      </c>
      <c r="O42" s="1558">
        <f>IFERROR(M42/M70, 0)</f>
        <v>0</v>
      </c>
      <c r="P42" s="1558">
        <f t="shared" si="5"/>
        <v>2.3838446656302662E-3</v>
      </c>
    </row>
    <row r="43" spans="1:16" ht="20.100000000000001" customHeight="1">
      <c r="A43" s="1560" t="s">
        <v>2970</v>
      </c>
      <c r="B43" s="1559">
        <v>0</v>
      </c>
      <c r="C43" s="1559">
        <v>145259</v>
      </c>
      <c r="D43" s="1559">
        <v>145259</v>
      </c>
      <c r="E43" s="1559">
        <v>0</v>
      </c>
      <c r="F43" s="1559">
        <v>0</v>
      </c>
      <c r="G43" s="1559">
        <v>93816</v>
      </c>
      <c r="H43" s="1559">
        <v>93816</v>
      </c>
      <c r="I43" s="1559">
        <v>0</v>
      </c>
      <c r="J43" s="1559">
        <v>0</v>
      </c>
      <c r="K43" s="1559">
        <v>0</v>
      </c>
      <c r="L43" s="1559">
        <v>0</v>
      </c>
      <c r="M43" s="1558">
        <f t="shared" si="3"/>
        <v>239075</v>
      </c>
      <c r="N43" s="1558">
        <f t="shared" si="4"/>
        <v>239075</v>
      </c>
      <c r="O43" s="1558">
        <f>IFERROR(M43/M70, 0)</f>
        <v>1.3557580602886031E-2</v>
      </c>
      <c r="P43" s="1558">
        <f t="shared" si="5"/>
        <v>1.1398353268711119E-2</v>
      </c>
    </row>
    <row r="44" spans="1:16" ht="20.100000000000001" customHeight="1">
      <c r="A44" s="1560" t="s">
        <v>2969</v>
      </c>
      <c r="B44" s="1559">
        <v>1150264</v>
      </c>
      <c r="C44" s="1559">
        <v>0</v>
      </c>
      <c r="D44" s="1559">
        <v>0</v>
      </c>
      <c r="E44" s="1559">
        <v>0</v>
      </c>
      <c r="F44" s="1559">
        <v>0</v>
      </c>
      <c r="G44" s="1559">
        <v>0</v>
      </c>
      <c r="H44" s="1559">
        <v>0</v>
      </c>
      <c r="I44" s="1559">
        <v>0</v>
      </c>
      <c r="J44" s="1559">
        <v>0</v>
      </c>
      <c r="K44" s="1559">
        <v>0</v>
      </c>
      <c r="L44" s="1559">
        <v>200000</v>
      </c>
      <c r="M44" s="1558">
        <f t="shared" si="3"/>
        <v>1150264</v>
      </c>
      <c r="N44" s="1558">
        <f t="shared" si="4"/>
        <v>1350264</v>
      </c>
      <c r="O44" s="1558">
        <f>IFERROR(M44/M70, 0)</f>
        <v>6.5229726632220417E-2</v>
      </c>
      <c r="P44" s="1558">
        <f t="shared" si="5"/>
        <v>6.4376392671851718E-2</v>
      </c>
    </row>
    <row r="45" spans="1:16" ht="20.100000000000001" customHeight="1">
      <c r="A45" s="1560" t="s">
        <v>2968</v>
      </c>
      <c r="B45" s="1559">
        <v>0</v>
      </c>
      <c r="C45" s="1559">
        <v>69956</v>
      </c>
      <c r="D45" s="1559">
        <v>69956</v>
      </c>
      <c r="E45" s="1559">
        <v>34943</v>
      </c>
      <c r="F45" s="1559">
        <v>34943</v>
      </c>
      <c r="G45" s="1559">
        <v>156352</v>
      </c>
      <c r="H45" s="1559">
        <v>156352</v>
      </c>
      <c r="I45" s="1559">
        <v>0</v>
      </c>
      <c r="J45" s="1559">
        <v>0</v>
      </c>
      <c r="K45" s="1559">
        <v>0</v>
      </c>
      <c r="L45" s="1559">
        <v>0</v>
      </c>
      <c r="M45" s="1558">
        <f t="shared" si="3"/>
        <v>261251</v>
      </c>
      <c r="N45" s="1558">
        <f t="shared" si="4"/>
        <v>261251</v>
      </c>
      <c r="O45" s="1558">
        <f>IFERROR(M45/M70, 0)</f>
        <v>1.4815147924645314E-2</v>
      </c>
      <c r="P45" s="1558">
        <f t="shared" si="5"/>
        <v>1.2455636054811455E-2</v>
      </c>
    </row>
    <row r="46" spans="1:16" ht="20.100000000000001" customHeight="1">
      <c r="A46" s="1560" t="s">
        <v>2967</v>
      </c>
      <c r="B46" s="1559">
        <v>0</v>
      </c>
      <c r="C46" s="1559">
        <v>0</v>
      </c>
      <c r="D46" s="1559">
        <v>0</v>
      </c>
      <c r="E46" s="1559">
        <v>0</v>
      </c>
      <c r="F46" s="1559">
        <v>0</v>
      </c>
      <c r="G46" s="1559">
        <v>0</v>
      </c>
      <c r="H46" s="1559">
        <v>0</v>
      </c>
      <c r="I46" s="1559">
        <v>0</v>
      </c>
      <c r="J46" s="1559">
        <v>0</v>
      </c>
      <c r="K46" s="1559">
        <v>0</v>
      </c>
      <c r="L46" s="1559">
        <v>4000</v>
      </c>
      <c r="M46" s="1558">
        <f t="shared" si="3"/>
        <v>0</v>
      </c>
      <c r="N46" s="1558">
        <f t="shared" si="4"/>
        <v>4000</v>
      </c>
      <c r="O46" s="1558">
        <f>IFERROR(M46/M70, 0)</f>
        <v>0</v>
      </c>
      <c r="P46" s="1558">
        <f t="shared" si="5"/>
        <v>1.9070757325042131E-4</v>
      </c>
    </row>
    <row r="47" spans="1:16" ht="20.100000000000001" customHeight="1">
      <c r="A47" s="1560" t="s">
        <v>2966</v>
      </c>
      <c r="B47" s="1559">
        <v>8000</v>
      </c>
      <c r="C47" s="1559">
        <v>0</v>
      </c>
      <c r="D47" s="1559">
        <v>0</v>
      </c>
      <c r="E47" s="1559">
        <v>0</v>
      </c>
      <c r="F47" s="1559">
        <v>0</v>
      </c>
      <c r="G47" s="1559">
        <v>0</v>
      </c>
      <c r="H47" s="1559">
        <v>0</v>
      </c>
      <c r="I47" s="1559">
        <v>0</v>
      </c>
      <c r="J47" s="1559">
        <v>0</v>
      </c>
      <c r="K47" s="1559">
        <v>16488</v>
      </c>
      <c r="L47" s="1559">
        <v>4000</v>
      </c>
      <c r="M47" s="1558">
        <f t="shared" si="3"/>
        <v>8000</v>
      </c>
      <c r="N47" s="1558">
        <f t="shared" si="4"/>
        <v>28488</v>
      </c>
      <c r="O47" s="1558">
        <f>IFERROR(M47/M70, 0)</f>
        <v>4.5366786499252638E-4</v>
      </c>
      <c r="P47" s="1558">
        <f t="shared" si="5"/>
        <v>1.3582193366895006E-3</v>
      </c>
    </row>
    <row r="48" spans="1:16" ht="20.100000000000001" customHeight="1">
      <c r="A48" s="1560" t="s">
        <v>2965</v>
      </c>
      <c r="B48" s="1559">
        <v>0</v>
      </c>
      <c r="C48" s="1559">
        <v>67617</v>
      </c>
      <c r="D48" s="1559">
        <v>67617</v>
      </c>
      <c r="E48" s="1559">
        <v>144441</v>
      </c>
      <c r="F48" s="1559">
        <v>144441</v>
      </c>
      <c r="G48" s="1559">
        <v>130296</v>
      </c>
      <c r="H48" s="1559">
        <v>130296</v>
      </c>
      <c r="I48" s="1559">
        <v>0</v>
      </c>
      <c r="J48" s="1559">
        <v>0</v>
      </c>
      <c r="K48" s="1559">
        <v>0</v>
      </c>
      <c r="L48" s="1559">
        <v>0</v>
      </c>
      <c r="M48" s="1558">
        <f t="shared" si="3"/>
        <v>342354</v>
      </c>
      <c r="N48" s="1558">
        <f t="shared" si="4"/>
        <v>342354</v>
      </c>
      <c r="O48" s="1558">
        <f>IFERROR(M48/M70, 0)</f>
        <v>1.9414376031456421E-2</v>
      </c>
      <c r="P48" s="1558">
        <f t="shared" si="5"/>
        <v>1.6322375133143684E-2</v>
      </c>
    </row>
    <row r="49" spans="1:16" ht="20.100000000000001" customHeight="1">
      <c r="A49" s="1560" t="s">
        <v>2964</v>
      </c>
      <c r="B49" s="1559">
        <v>1583</v>
      </c>
      <c r="C49" s="1559">
        <v>0</v>
      </c>
      <c r="D49" s="1559">
        <v>0</v>
      </c>
      <c r="E49" s="1559">
        <v>0</v>
      </c>
      <c r="F49" s="1559">
        <v>0</v>
      </c>
      <c r="G49" s="1559">
        <v>0</v>
      </c>
      <c r="H49" s="1559">
        <v>0</v>
      </c>
      <c r="I49" s="1559">
        <v>0</v>
      </c>
      <c r="J49" s="1559">
        <v>0</v>
      </c>
      <c r="K49" s="1559">
        <v>0</v>
      </c>
      <c r="L49" s="1559">
        <v>7417</v>
      </c>
      <c r="M49" s="1558">
        <f t="shared" si="3"/>
        <v>1583</v>
      </c>
      <c r="N49" s="1558">
        <f t="shared" si="4"/>
        <v>9000</v>
      </c>
      <c r="O49" s="1558">
        <f>IFERROR(M49/M70, 0)</f>
        <v>8.9769528785396154E-5</v>
      </c>
      <c r="P49" s="1558">
        <f t="shared" si="5"/>
        <v>4.2909203981344795E-4</v>
      </c>
    </row>
    <row r="50" spans="1:16" ht="20.100000000000001" customHeight="1">
      <c r="A50" s="1560" t="s">
        <v>2963</v>
      </c>
      <c r="B50" s="1559">
        <v>0</v>
      </c>
      <c r="C50" s="1559">
        <v>0</v>
      </c>
      <c r="D50" s="1559">
        <v>0</v>
      </c>
      <c r="E50" s="1559">
        <v>0</v>
      </c>
      <c r="F50" s="1559">
        <v>0</v>
      </c>
      <c r="G50" s="1559">
        <v>0</v>
      </c>
      <c r="H50" s="1559">
        <v>0</v>
      </c>
      <c r="I50" s="1559">
        <v>0</v>
      </c>
      <c r="J50" s="1559">
        <v>0</v>
      </c>
      <c r="K50" s="1559">
        <v>0</v>
      </c>
      <c r="L50" s="1559">
        <v>60000</v>
      </c>
      <c r="M50" s="1558">
        <f t="shared" si="3"/>
        <v>0</v>
      </c>
      <c r="N50" s="1558">
        <f t="shared" si="4"/>
        <v>60000</v>
      </c>
      <c r="O50" s="1558">
        <f>IFERROR(M50/M70, 0)</f>
        <v>0</v>
      </c>
      <c r="P50" s="1558">
        <f t="shared" si="5"/>
        <v>2.8606135987563198E-3</v>
      </c>
    </row>
    <row r="51" spans="1:16" ht="20.100000000000001" customHeight="1">
      <c r="A51" s="1560" t="s">
        <v>2962</v>
      </c>
      <c r="B51" s="1559">
        <v>0</v>
      </c>
      <c r="C51" s="1559">
        <v>0</v>
      </c>
      <c r="D51" s="1559">
        <v>0</v>
      </c>
      <c r="E51" s="1559">
        <v>0</v>
      </c>
      <c r="F51" s="1559">
        <v>0</v>
      </c>
      <c r="G51" s="1559">
        <v>0</v>
      </c>
      <c r="H51" s="1559">
        <v>0</v>
      </c>
      <c r="I51" s="1559">
        <v>0</v>
      </c>
      <c r="J51" s="1559">
        <v>0</v>
      </c>
      <c r="K51" s="1559">
        <v>0</v>
      </c>
      <c r="L51" s="1559">
        <v>20000</v>
      </c>
      <c r="M51" s="1558">
        <f t="shared" si="3"/>
        <v>0</v>
      </c>
      <c r="N51" s="1558">
        <f t="shared" si="4"/>
        <v>20000</v>
      </c>
      <c r="O51" s="1558">
        <f>IFERROR(M51/M70, 0)</f>
        <v>0</v>
      </c>
      <c r="P51" s="1558">
        <f t="shared" si="5"/>
        <v>9.5353786625210657E-4</v>
      </c>
    </row>
    <row r="52" spans="1:16" ht="20.100000000000001" customHeight="1">
      <c r="A52" s="1560" t="s">
        <v>2961</v>
      </c>
      <c r="B52" s="1559">
        <v>175740</v>
      </c>
      <c r="C52" s="1559">
        <v>0</v>
      </c>
      <c r="D52" s="1559">
        <v>0</v>
      </c>
      <c r="E52" s="1559">
        <v>0</v>
      </c>
      <c r="F52" s="1559">
        <v>0</v>
      </c>
      <c r="G52" s="1559">
        <v>0</v>
      </c>
      <c r="H52" s="1559">
        <v>0</v>
      </c>
      <c r="I52" s="1559">
        <v>0</v>
      </c>
      <c r="J52" s="1559">
        <v>0</v>
      </c>
      <c r="K52" s="1559">
        <v>22480</v>
      </c>
      <c r="L52" s="1559">
        <v>101986</v>
      </c>
      <c r="M52" s="1558">
        <f t="shared" si="3"/>
        <v>175740</v>
      </c>
      <c r="N52" s="1558">
        <f t="shared" si="4"/>
        <v>300206</v>
      </c>
      <c r="O52" s="1558">
        <f>IFERROR(M52/M70, 0)</f>
        <v>9.9659488242233238E-3</v>
      </c>
      <c r="P52" s="1558">
        <f t="shared" si="5"/>
        <v>1.4312889433803995E-2</v>
      </c>
    </row>
    <row r="53" spans="1:16" ht="20.100000000000001" customHeight="1">
      <c r="A53" s="1560" t="s">
        <v>2960</v>
      </c>
      <c r="B53" s="1559">
        <v>0</v>
      </c>
      <c r="C53" s="1559">
        <v>0</v>
      </c>
      <c r="D53" s="1559">
        <v>0</v>
      </c>
      <c r="E53" s="1559">
        <v>0</v>
      </c>
      <c r="F53" s="1559">
        <v>0</v>
      </c>
      <c r="G53" s="1559">
        <v>0</v>
      </c>
      <c r="H53" s="1559">
        <v>0</v>
      </c>
      <c r="I53" s="1559">
        <v>0</v>
      </c>
      <c r="J53" s="1559">
        <v>0</v>
      </c>
      <c r="K53" s="1559">
        <v>0</v>
      </c>
      <c r="L53" s="1559">
        <v>4000</v>
      </c>
      <c r="M53" s="1558">
        <f t="shared" si="3"/>
        <v>0</v>
      </c>
      <c r="N53" s="1558">
        <f t="shared" si="4"/>
        <v>4000</v>
      </c>
      <c r="O53" s="1558">
        <f>IFERROR(M53/M70, 0)</f>
        <v>0</v>
      </c>
      <c r="P53" s="1558">
        <f t="shared" si="5"/>
        <v>1.9070757325042131E-4</v>
      </c>
    </row>
    <row r="54" spans="1:16" ht="20.100000000000001" customHeight="1">
      <c r="A54" s="1560" t="s">
        <v>2959</v>
      </c>
      <c r="B54" s="1559">
        <v>0</v>
      </c>
      <c r="C54" s="1559">
        <v>23316</v>
      </c>
      <c r="D54" s="1559">
        <v>23316</v>
      </c>
      <c r="E54" s="1559">
        <v>0</v>
      </c>
      <c r="F54" s="1559">
        <v>0</v>
      </c>
      <c r="G54" s="1559">
        <v>41684</v>
      </c>
      <c r="H54" s="1559">
        <v>41684</v>
      </c>
      <c r="I54" s="1559">
        <v>0</v>
      </c>
      <c r="J54" s="1559">
        <v>0</v>
      </c>
      <c r="K54" s="1559">
        <v>0</v>
      </c>
      <c r="L54" s="1559">
        <v>0</v>
      </c>
      <c r="M54" s="1558">
        <f t="shared" si="3"/>
        <v>65000</v>
      </c>
      <c r="N54" s="1558">
        <f t="shared" si="4"/>
        <v>65000</v>
      </c>
      <c r="O54" s="1558">
        <f>IFERROR(M54/M70, 0)</f>
        <v>3.6860514030642769E-3</v>
      </c>
      <c r="P54" s="1558">
        <f t="shared" si="5"/>
        <v>3.0989980653193462E-3</v>
      </c>
    </row>
    <row r="55" spans="1:16" ht="20.100000000000001" customHeight="1">
      <c r="A55" s="1560" t="s">
        <v>2958</v>
      </c>
      <c r="B55" s="1559">
        <v>0</v>
      </c>
      <c r="C55" s="1559">
        <v>0</v>
      </c>
      <c r="D55" s="1559">
        <v>0</v>
      </c>
      <c r="E55" s="1559">
        <v>34943</v>
      </c>
      <c r="F55" s="1559">
        <v>34943</v>
      </c>
      <c r="G55" s="1559">
        <v>10428</v>
      </c>
      <c r="H55" s="1559">
        <v>10428</v>
      </c>
      <c r="I55" s="1559">
        <v>0</v>
      </c>
      <c r="J55" s="1559">
        <v>0</v>
      </c>
      <c r="K55" s="1559">
        <v>0</v>
      </c>
      <c r="L55" s="1559">
        <v>0</v>
      </c>
      <c r="M55" s="1558">
        <f t="shared" si="3"/>
        <v>45371</v>
      </c>
      <c r="N55" s="1558">
        <f t="shared" si="4"/>
        <v>45371</v>
      </c>
      <c r="O55" s="1558">
        <f>IFERROR(M55/M70, 0)</f>
        <v>2.5729205878219892E-3</v>
      </c>
      <c r="P55" s="1558">
        <f t="shared" si="5"/>
        <v>2.1631483264862163E-3</v>
      </c>
    </row>
    <row r="56" spans="1:16" ht="20.100000000000001" customHeight="1">
      <c r="A56" s="1560" t="s">
        <v>2957</v>
      </c>
      <c r="B56" s="1559">
        <v>0</v>
      </c>
      <c r="C56" s="1559">
        <v>0</v>
      </c>
      <c r="D56" s="1559">
        <v>0</v>
      </c>
      <c r="E56" s="1559">
        <v>0</v>
      </c>
      <c r="F56" s="1559">
        <v>0</v>
      </c>
      <c r="G56" s="1559">
        <v>0</v>
      </c>
      <c r="H56" s="1559">
        <v>0</v>
      </c>
      <c r="I56" s="1559">
        <v>0</v>
      </c>
      <c r="J56" s="1559">
        <v>0</v>
      </c>
      <c r="K56" s="1559">
        <v>0</v>
      </c>
      <c r="L56" s="1559">
        <v>16000</v>
      </c>
      <c r="M56" s="1558">
        <f t="shared" si="3"/>
        <v>0</v>
      </c>
      <c r="N56" s="1558">
        <f t="shared" si="4"/>
        <v>16000</v>
      </c>
      <c r="O56" s="1558">
        <f>IFERROR(M56/M70, 0)</f>
        <v>0</v>
      </c>
      <c r="P56" s="1558">
        <f t="shared" si="5"/>
        <v>7.6283029300168524E-4</v>
      </c>
    </row>
    <row r="57" spans="1:16" ht="20.100000000000001" customHeight="1">
      <c r="A57" s="1560" t="s">
        <v>2956</v>
      </c>
      <c r="B57" s="1559">
        <v>0</v>
      </c>
      <c r="C57" s="1559">
        <v>107288</v>
      </c>
      <c r="D57" s="1559">
        <v>107288</v>
      </c>
      <c r="E57" s="1559">
        <v>46591</v>
      </c>
      <c r="F57" s="1559">
        <v>46591</v>
      </c>
      <c r="G57" s="1559">
        <v>169384</v>
      </c>
      <c r="H57" s="1559">
        <v>169384</v>
      </c>
      <c r="I57" s="1559">
        <v>0</v>
      </c>
      <c r="J57" s="1559">
        <v>0</v>
      </c>
      <c r="K57" s="1559">
        <v>0</v>
      </c>
      <c r="L57" s="1559">
        <v>0</v>
      </c>
      <c r="M57" s="1558">
        <f t="shared" si="3"/>
        <v>323263</v>
      </c>
      <c r="N57" s="1558">
        <f t="shared" si="4"/>
        <v>323263</v>
      </c>
      <c r="O57" s="1558">
        <f>IFERROR(M57/M70, 0)</f>
        <v>1.8331754380134881E-2</v>
      </c>
      <c r="P57" s="1558">
        <f t="shared" si="5"/>
        <v>1.5412175562912736E-2</v>
      </c>
    </row>
    <row r="58" spans="1:16" ht="20.100000000000001" customHeight="1">
      <c r="A58" s="1560" t="s">
        <v>2955</v>
      </c>
      <c r="B58" s="1559">
        <v>3304</v>
      </c>
      <c r="C58" s="1559">
        <v>0</v>
      </c>
      <c r="D58" s="1559">
        <v>0</v>
      </c>
      <c r="E58" s="1559">
        <v>0</v>
      </c>
      <c r="F58" s="1559">
        <v>0</v>
      </c>
      <c r="G58" s="1559">
        <v>0</v>
      </c>
      <c r="H58" s="1559">
        <v>0</v>
      </c>
      <c r="I58" s="1559">
        <v>0</v>
      </c>
      <c r="J58" s="1559">
        <v>0</v>
      </c>
      <c r="K58" s="1559">
        <v>11496</v>
      </c>
      <c r="L58" s="1559">
        <v>35000</v>
      </c>
      <c r="M58" s="1558">
        <f t="shared" si="3"/>
        <v>3304</v>
      </c>
      <c r="N58" s="1558">
        <f t="shared" si="4"/>
        <v>49800</v>
      </c>
      <c r="O58" s="1558">
        <f>IFERROR(M58/M70, 0)</f>
        <v>1.873648282419134E-4</v>
      </c>
      <c r="P58" s="1558">
        <f t="shared" si="5"/>
        <v>2.3743092869677454E-3</v>
      </c>
    </row>
    <row r="59" spans="1:16" ht="20.100000000000001" customHeight="1">
      <c r="A59" s="1560" t="s">
        <v>2954</v>
      </c>
      <c r="B59" s="1559">
        <v>0</v>
      </c>
      <c r="C59" s="1559">
        <v>0</v>
      </c>
      <c r="D59" s="1559">
        <v>0</v>
      </c>
      <c r="E59" s="1559">
        <v>0</v>
      </c>
      <c r="F59" s="1559">
        <v>0</v>
      </c>
      <c r="G59" s="1559">
        <v>0</v>
      </c>
      <c r="H59" s="1559">
        <v>0</v>
      </c>
      <c r="I59" s="1559">
        <v>0</v>
      </c>
      <c r="J59" s="1559">
        <v>0</v>
      </c>
      <c r="K59" s="1559">
        <v>16488</v>
      </c>
      <c r="L59" s="1559">
        <v>0</v>
      </c>
      <c r="M59" s="1558">
        <f t="shared" si="3"/>
        <v>0</v>
      </c>
      <c r="N59" s="1558">
        <f t="shared" si="4"/>
        <v>16488</v>
      </c>
      <c r="O59" s="1558">
        <f>IFERROR(M59/M70, 0)</f>
        <v>0</v>
      </c>
      <c r="P59" s="1558">
        <f t="shared" si="5"/>
        <v>7.8609661693823663E-4</v>
      </c>
    </row>
    <row r="60" spans="1:16" ht="20.100000000000001" customHeight="1">
      <c r="A60" s="1560" t="s">
        <v>2953</v>
      </c>
      <c r="B60" s="1559">
        <v>0</v>
      </c>
      <c r="C60" s="1559">
        <v>46592</v>
      </c>
      <c r="D60" s="1559">
        <v>46592</v>
      </c>
      <c r="E60" s="1559">
        <v>11647</v>
      </c>
      <c r="F60" s="1559">
        <v>11647</v>
      </c>
      <c r="G60" s="1559">
        <v>195440</v>
      </c>
      <c r="H60" s="1559">
        <v>195440</v>
      </c>
      <c r="I60" s="1559">
        <v>356632</v>
      </c>
      <c r="J60" s="1559">
        <v>356632</v>
      </c>
      <c r="K60" s="1559">
        <v>0</v>
      </c>
      <c r="L60" s="1559">
        <v>0</v>
      </c>
      <c r="M60" s="1558">
        <f t="shared" si="3"/>
        <v>610311</v>
      </c>
      <c r="N60" s="1558">
        <f t="shared" si="4"/>
        <v>610311</v>
      </c>
      <c r="O60" s="1558">
        <f>IFERROR(M60/M70, 0)</f>
        <v>3.4609811043931724E-2</v>
      </c>
      <c r="P60" s="1558">
        <f t="shared" si="5"/>
        <v>2.9097732434509471E-2</v>
      </c>
    </row>
    <row r="61" spans="1:16" ht="20.100000000000001" customHeight="1">
      <c r="A61" s="1560" t="s">
        <v>2952</v>
      </c>
      <c r="B61" s="1559">
        <v>0</v>
      </c>
      <c r="C61" s="1559">
        <v>0</v>
      </c>
      <c r="D61" s="1559">
        <v>0</v>
      </c>
      <c r="E61" s="1559">
        <v>0</v>
      </c>
      <c r="F61" s="1559">
        <v>0</v>
      </c>
      <c r="G61" s="1559">
        <v>0</v>
      </c>
      <c r="H61" s="1559">
        <v>0</v>
      </c>
      <c r="I61" s="1559">
        <v>0</v>
      </c>
      <c r="J61" s="1559">
        <v>0</v>
      </c>
      <c r="K61" s="1559">
        <v>0</v>
      </c>
      <c r="L61" s="1559">
        <v>15000</v>
      </c>
      <c r="M61" s="1558">
        <f t="shared" si="3"/>
        <v>0</v>
      </c>
      <c r="N61" s="1558">
        <f t="shared" si="4"/>
        <v>15000</v>
      </c>
      <c r="O61" s="1558">
        <f>IFERROR(M61/M70, 0)</f>
        <v>0</v>
      </c>
      <c r="P61" s="1558">
        <f t="shared" si="5"/>
        <v>7.1515339968907996E-4</v>
      </c>
    </row>
    <row r="62" spans="1:16" ht="20.100000000000001" customHeight="1">
      <c r="A62" s="1560" t="s">
        <v>2951</v>
      </c>
      <c r="B62" s="1559">
        <v>264301</v>
      </c>
      <c r="C62" s="1559">
        <v>0</v>
      </c>
      <c r="D62" s="1559">
        <v>0</v>
      </c>
      <c r="E62" s="1559">
        <v>0</v>
      </c>
      <c r="F62" s="1559">
        <v>0</v>
      </c>
      <c r="G62" s="1559">
        <v>0</v>
      </c>
      <c r="H62" s="1559">
        <v>0</v>
      </c>
      <c r="I62" s="1559">
        <v>0</v>
      </c>
      <c r="J62" s="1559">
        <v>0</v>
      </c>
      <c r="K62" s="1559">
        <v>0</v>
      </c>
      <c r="L62" s="1559">
        <v>0</v>
      </c>
      <c r="M62" s="1558">
        <f t="shared" si="3"/>
        <v>264301</v>
      </c>
      <c r="N62" s="1558">
        <f t="shared" si="4"/>
        <v>264301</v>
      </c>
      <c r="O62" s="1558">
        <f>IFERROR(M62/M70, 0)</f>
        <v>1.4988108798173715E-2</v>
      </c>
      <c r="P62" s="1558">
        <f t="shared" si="5"/>
        <v>1.2601050579414901E-2</v>
      </c>
    </row>
    <row r="63" spans="1:16" ht="20.100000000000001" customHeight="1">
      <c r="A63" s="1560" t="s">
        <v>2950</v>
      </c>
      <c r="B63" s="1559">
        <v>0</v>
      </c>
      <c r="C63" s="1559">
        <v>0</v>
      </c>
      <c r="D63" s="1559">
        <v>0</v>
      </c>
      <c r="E63" s="1559">
        <v>0</v>
      </c>
      <c r="F63" s="1559">
        <v>0</v>
      </c>
      <c r="G63" s="1559">
        <v>0</v>
      </c>
      <c r="H63" s="1559">
        <v>0</v>
      </c>
      <c r="I63" s="1559">
        <v>0</v>
      </c>
      <c r="J63" s="1559">
        <v>0</v>
      </c>
      <c r="K63" s="1559">
        <v>0</v>
      </c>
      <c r="L63" s="1559">
        <v>45095</v>
      </c>
      <c r="M63" s="1558">
        <f t="shared" si="3"/>
        <v>0</v>
      </c>
      <c r="N63" s="1558">
        <f t="shared" si="4"/>
        <v>45095</v>
      </c>
      <c r="O63" s="1558">
        <f>IFERROR(M63/M70, 0)</f>
        <v>0</v>
      </c>
      <c r="P63" s="1558">
        <f t="shared" si="5"/>
        <v>2.1499895039319371E-3</v>
      </c>
    </row>
    <row r="64" spans="1:16" ht="20.100000000000001" customHeight="1">
      <c r="A64" s="1557" t="s">
        <v>2949</v>
      </c>
      <c r="B64" s="1556"/>
      <c r="C64" s="1556"/>
      <c r="D64" s="1556"/>
      <c r="E64" s="1556"/>
      <c r="F64" s="1556"/>
      <c r="G64" s="1556"/>
      <c r="H64" s="1556"/>
      <c r="I64" s="1556"/>
      <c r="J64" s="1556"/>
      <c r="K64" s="1556">
        <v>89688</v>
      </c>
      <c r="L64" s="1556">
        <v>1648186</v>
      </c>
      <c r="M64" s="1556"/>
      <c r="N64" s="1556"/>
      <c r="O64" s="1556"/>
      <c r="P64" s="1556"/>
    </row>
    <row r="65" spans="1:16" ht="20.100000000000001" customHeight="1">
      <c r="A65" s="1555" t="s">
        <v>2948</v>
      </c>
      <c r="B65" s="1554"/>
      <c r="C65" s="1554"/>
      <c r="D65" s="1554"/>
      <c r="E65" s="1554"/>
      <c r="F65" s="1554"/>
      <c r="G65" s="1554"/>
      <c r="H65" s="1554"/>
      <c r="I65" s="1554"/>
      <c r="J65" s="1554"/>
      <c r="K65" s="1554">
        <v>0</v>
      </c>
      <c r="L65" s="1554">
        <v>1602601</v>
      </c>
      <c r="M65" s="1554"/>
      <c r="N65" s="1554">
        <f>SUM(K65,L65,)</f>
        <v>1602601</v>
      </c>
      <c r="O65" s="1554"/>
      <c r="P65" s="1554">
        <f>IFERROR(N65/N68, 0)</f>
        <v>7.640703689967461E-2</v>
      </c>
    </row>
    <row r="66" spans="1:16" ht="20.100000000000001" customHeight="1">
      <c r="A66" s="1555" t="s">
        <v>2947</v>
      </c>
      <c r="B66" s="1554"/>
      <c r="C66" s="1554"/>
      <c r="D66" s="1554"/>
      <c r="E66" s="1554"/>
      <c r="F66" s="1554"/>
      <c r="G66" s="1554"/>
      <c r="H66" s="1554"/>
      <c r="I66" s="1554"/>
      <c r="J66" s="1554"/>
      <c r="K66" s="1554">
        <v>0</v>
      </c>
      <c r="L66" s="1554">
        <v>496</v>
      </c>
      <c r="M66" s="1554"/>
      <c r="N66" s="1554"/>
      <c r="O66" s="1554"/>
      <c r="P66" s="1554"/>
    </row>
    <row r="67" spans="1:16" ht="20.100000000000001" customHeight="1" thickBot="1">
      <c r="A67" s="1555" t="s">
        <v>2946</v>
      </c>
      <c r="B67" s="1554"/>
      <c r="C67" s="1554"/>
      <c r="D67" s="1554"/>
      <c r="E67" s="1554"/>
      <c r="F67" s="1554"/>
      <c r="G67" s="1554"/>
      <c r="H67" s="1554"/>
      <c r="I67" s="1554"/>
      <c r="J67" s="1554"/>
      <c r="K67" s="1554">
        <v>496</v>
      </c>
      <c r="L67" s="1554">
        <v>0</v>
      </c>
      <c r="M67" s="1554"/>
      <c r="N67" s="1554"/>
      <c r="O67" s="1554"/>
      <c r="P67" s="1554"/>
    </row>
    <row r="68" spans="1:16" ht="20.100000000000001" customHeight="1">
      <c r="A68" s="1553" t="s">
        <v>2945</v>
      </c>
      <c r="B68" s="1552">
        <f>SUM(B5:B63)</f>
        <v>3618273</v>
      </c>
      <c r="C68" s="1552"/>
      <c r="D68" s="1552">
        <f>SUM(D5:D63)</f>
        <v>6120111</v>
      </c>
      <c r="E68" s="1552"/>
      <c r="F68" s="1552">
        <f>SUM(F5:F63)</f>
        <v>5097566</v>
      </c>
      <c r="G68" s="1552"/>
      <c r="H68" s="1552">
        <f>SUM(H5:H63)</f>
        <v>1787640</v>
      </c>
      <c r="I68" s="1552"/>
      <c r="J68" s="1552">
        <f>SUM(J5:J63)</f>
        <v>1010456</v>
      </c>
      <c r="K68" s="1552">
        <f>K64+K65</f>
        <v>89688</v>
      </c>
      <c r="L68" s="1552">
        <f>L64+L65</f>
        <v>3250787</v>
      </c>
      <c r="M68" s="1552"/>
      <c r="N68" s="1552">
        <f>SUM(B68,D68,F68,H68,J68,K68,L68,)</f>
        <v>20974521</v>
      </c>
      <c r="O68" s="1552"/>
      <c r="P68" s="1552">
        <f>IFERROR(SUM(B68,D68,F68,H68,J68,K68,L68,)/N68, 0)</f>
        <v>1</v>
      </c>
    </row>
    <row r="69" spans="1:16" ht="20.100000000000001" customHeight="1" thickBot="1">
      <c r="A69" s="1551" t="s">
        <v>2944</v>
      </c>
      <c r="B69" s="1550">
        <f>IFERROR(B68/N68, 0)</f>
        <v>0.17250801579688041</v>
      </c>
      <c r="C69" s="1550"/>
      <c r="D69" s="1550">
        <f>IFERROR(D68/N68, 0)</f>
        <v>0.29178787920830229</v>
      </c>
      <c r="E69" s="1550"/>
      <c r="F69" s="1550">
        <f>IFERROR(F68/N68, 0)</f>
        <v>0.24303611033596428</v>
      </c>
      <c r="G69" s="1550"/>
      <c r="H69" s="1550">
        <f>IFERROR(H68/N68, 0)</f>
        <v>8.522912156134578E-2</v>
      </c>
      <c r="I69" s="1550"/>
      <c r="J69" s="1550">
        <f>IFERROR(J68/N68, 0)</f>
        <v>4.8175402909081927E-2</v>
      </c>
      <c r="K69" s="1550">
        <f>IFERROR(K68/N68, 0)</f>
        <v>4.2760452074209468E-3</v>
      </c>
      <c r="L69" s="1550">
        <f>IFERROR(L68/N68, 0)</f>
        <v>0.15498742498100435</v>
      </c>
      <c r="M69" s="1550"/>
      <c r="N69" s="1550">
        <f>SUM(B69,D69,F69,H69,J69,K69,L69,)</f>
        <v>1</v>
      </c>
      <c r="O69" s="1550"/>
      <c r="P69" s="1550"/>
    </row>
    <row r="70" spans="1:16" ht="20.100000000000001" customHeight="1">
      <c r="A70" s="1553" t="s">
        <v>1340</v>
      </c>
      <c r="B70" s="1552">
        <f>SUM(B5:B63)</f>
        <v>3618273</v>
      </c>
      <c r="C70" s="1552">
        <f>SUM(C5:C63)</f>
        <v>6120111</v>
      </c>
      <c r="D70" s="1552"/>
      <c r="E70" s="1552">
        <f>SUM(E5:E63)</f>
        <v>5097566</v>
      </c>
      <c r="F70" s="1552"/>
      <c r="G70" s="1552">
        <f>SUM(G5:G63)</f>
        <v>1787640</v>
      </c>
      <c r="H70" s="1552"/>
      <c r="I70" s="1552">
        <f>SUM(I5:I63)</f>
        <v>1010456</v>
      </c>
      <c r="J70" s="1552"/>
      <c r="K70" s="1552"/>
      <c r="L70" s="1552"/>
      <c r="M70" s="1552">
        <f>SUM(B70,C70,E70,G70,I70,)</f>
        <v>17634046</v>
      </c>
      <c r="N70" s="1552"/>
      <c r="O70" s="1552">
        <f>SUM(O5:O63)</f>
        <v>1</v>
      </c>
      <c r="P70" s="1552"/>
    </row>
    <row r="71" spans="1:16" ht="20.100000000000001" customHeight="1">
      <c r="A71" s="1551" t="s">
        <v>2943</v>
      </c>
      <c r="B71" s="1550">
        <f>IFERROR(B70/M70, 0)</f>
        <v>0.20518677335876293</v>
      </c>
      <c r="C71" s="1550">
        <f>IFERROR(C70/M70, 0)</f>
        <v>0.34706221136090948</v>
      </c>
      <c r="D71" s="1550"/>
      <c r="E71" s="1550">
        <f>IFERROR(E70/M70, 0)</f>
        <v>0.28907523548481162</v>
      </c>
      <c r="F71" s="1550"/>
      <c r="G71" s="1550">
        <f>IFERROR(G70/M70, 0)</f>
        <v>0.10137435277190499</v>
      </c>
      <c r="H71" s="1550"/>
      <c r="I71" s="1550">
        <f>IFERROR(I70/M70, 0)</f>
        <v>5.7301427023611032E-2</v>
      </c>
      <c r="J71" s="1550"/>
      <c r="K71" s="1550"/>
      <c r="L71" s="1550"/>
      <c r="M71" s="1550">
        <f>SUM(B71,C71,E71,G71,I71,)</f>
        <v>1</v>
      </c>
      <c r="N71" s="1550"/>
      <c r="O71" s="1550"/>
      <c r="P71" s="1550"/>
    </row>
    <row r="72" spans="1:16" ht="20.100000000000001" customHeight="1">
      <c r="A72" s="1551" t="s">
        <v>2942</v>
      </c>
      <c r="B72" s="1550"/>
      <c r="C72" s="1550">
        <v>2.1463000000000001</v>
      </c>
      <c r="D72" s="1550">
        <v>2.1463000000000001</v>
      </c>
      <c r="E72" s="1550">
        <v>4.2926000000000002</v>
      </c>
      <c r="F72" s="1550">
        <v>4.2926000000000002</v>
      </c>
      <c r="G72" s="1550">
        <v>2.08</v>
      </c>
      <c r="H72" s="1550">
        <v>2.08</v>
      </c>
      <c r="I72" s="1550">
        <v>1.77</v>
      </c>
      <c r="J72" s="1550">
        <v>1.77</v>
      </c>
      <c r="K72" s="1550"/>
      <c r="L72" s="1550"/>
      <c r="M72" s="1550"/>
      <c r="N72" s="1550"/>
      <c r="O72" s="1550"/>
      <c r="P72" s="1550"/>
    </row>
  </sheetData>
  <pageMargins left="0.75" right="0.75" top="1" bottom="1" header="0.5" footer="0.5"/>
  <pageSetup orientation="landscape"/>
  <drawing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87"/>
  <dimension ref="A1:R151"/>
  <sheetViews>
    <sheetView showGridLines="0" topLeftCell="F9" zoomScale="70" zoomScaleNormal="70" workbookViewId="0">
      <pane ySplit="1" topLeftCell="A73" activePane="bottomLeft" state="frozen"/>
      <selection activeCell="A2071" activeCellId="4" sqref="A1 B2075 A2075:B2075 B2074 A2071:B2073"/>
      <selection pane="bottomLeft" activeCell="L89" sqref="L89"/>
    </sheetView>
  </sheetViews>
  <sheetFormatPr defaultRowHeight="15"/>
  <cols>
    <col min="1" max="1" width="28" style="1549" customWidth="1"/>
    <col min="2" max="2" width="16.33203125" style="1549" customWidth="1"/>
    <col min="3" max="3" width="43.1640625" style="1549" customWidth="1"/>
    <col min="4" max="5" width="19.83203125" style="1549" customWidth="1"/>
    <col min="6" max="6" width="49" style="1549" customWidth="1"/>
    <col min="7" max="7" width="16.33203125" style="1549" customWidth="1"/>
    <col min="8" max="16" width="19.83203125" style="1549" customWidth="1"/>
    <col min="17" max="17" width="15.1640625" style="1549" customWidth="1"/>
    <col min="18" max="18" width="29.1640625" style="1549" customWidth="1"/>
    <col min="19" max="16384" width="9.33203125" style="1549"/>
  </cols>
  <sheetData>
    <row r="1" spans="1:18" ht="20.100000000000001" customHeight="1">
      <c r="A1" s="1564" t="s">
        <v>3139</v>
      </c>
      <c r="B1" s="1563"/>
      <c r="C1" s="1563"/>
      <c r="D1" s="1563"/>
      <c r="E1" s="1563"/>
      <c r="F1" s="1563"/>
      <c r="G1" s="1563"/>
      <c r="H1" s="1563"/>
      <c r="I1" s="1563"/>
      <c r="J1" s="1563"/>
      <c r="K1" s="1563"/>
      <c r="L1" s="1563"/>
      <c r="M1" s="1563"/>
      <c r="N1" s="1563"/>
      <c r="O1" s="1563"/>
      <c r="P1" s="1563"/>
      <c r="Q1" s="1563"/>
      <c r="R1" s="1563"/>
    </row>
    <row r="2" spans="1:18" ht="20.100000000000001" customHeight="1">
      <c r="A2" s="1563" t="s">
        <v>3138</v>
      </c>
      <c r="B2" s="1563"/>
      <c r="C2" s="1563"/>
      <c r="D2" s="1563"/>
      <c r="E2" s="1563"/>
      <c r="F2" s="1563"/>
      <c r="G2" s="1563"/>
      <c r="H2" s="1563"/>
      <c r="I2" s="1563"/>
      <c r="J2" s="1563"/>
      <c r="K2" s="1563"/>
      <c r="L2" s="1563"/>
      <c r="M2" s="1563"/>
      <c r="N2" s="1563"/>
      <c r="O2" s="1563"/>
      <c r="P2" s="1563"/>
      <c r="Q2" s="1563"/>
      <c r="R2" s="1563"/>
    </row>
    <row r="3" spans="1:18" ht="15.75">
      <c r="A3" s="1563"/>
      <c r="B3" s="1563"/>
      <c r="C3" s="1563"/>
      <c r="D3" s="1563"/>
      <c r="E3" s="1563"/>
      <c r="F3" s="1563"/>
      <c r="G3" s="1563"/>
      <c r="H3" s="1563"/>
      <c r="I3" s="1563"/>
      <c r="J3" s="1563"/>
      <c r="K3" s="1563"/>
      <c r="L3" s="1563"/>
      <c r="M3" s="1563"/>
      <c r="N3" s="1563"/>
      <c r="O3" s="1563"/>
      <c r="P3" s="1563"/>
      <c r="Q3" s="1563"/>
      <c r="R3" s="1563"/>
    </row>
    <row r="4" spans="1:18" ht="20.100000000000001" customHeight="1">
      <c r="A4" s="1571" t="s">
        <v>3137</v>
      </c>
      <c r="B4" s="1573"/>
      <c r="C4" s="1574"/>
      <c r="D4" s="1574"/>
      <c r="E4" s="1574"/>
      <c r="F4" s="1574"/>
      <c r="G4" s="1573"/>
      <c r="H4" s="1572"/>
      <c r="I4" s="1572"/>
      <c r="J4" s="1572"/>
      <c r="K4" s="1572"/>
      <c r="L4" s="1572"/>
      <c r="M4" s="1572"/>
      <c r="N4" s="1572"/>
      <c r="O4" s="1572"/>
      <c r="P4" s="1572"/>
      <c r="Q4" s="1572"/>
      <c r="R4" s="1571"/>
    </row>
    <row r="5" spans="1:18" ht="20.100000000000001" customHeight="1">
      <c r="A5" s="1571"/>
      <c r="B5" s="1573"/>
      <c r="C5" s="1574"/>
      <c r="D5" s="1574"/>
      <c r="E5" s="1574"/>
      <c r="F5" s="1574"/>
      <c r="G5" s="1573"/>
      <c r="H5" s="1572"/>
      <c r="I5" s="1572"/>
      <c r="J5" s="1572"/>
      <c r="K5" s="1572"/>
      <c r="L5" s="1572"/>
      <c r="M5" s="1572"/>
      <c r="N5" s="1572"/>
      <c r="O5" s="1572"/>
      <c r="P5" s="1572"/>
      <c r="Q5" s="1572"/>
      <c r="R5" s="1571"/>
    </row>
    <row r="6" spans="1:18" ht="20.100000000000001" customHeight="1">
      <c r="A6" s="1576" t="s">
        <v>3136</v>
      </c>
      <c r="B6" s="1575" t="s">
        <v>3135</v>
      </c>
      <c r="C6" s="1574"/>
      <c r="D6" s="1574"/>
      <c r="E6" s="1574"/>
      <c r="F6" s="1574"/>
      <c r="G6" s="1573"/>
      <c r="H6" s="1572"/>
      <c r="I6" s="1572"/>
      <c r="J6" s="1572"/>
      <c r="K6" s="1572"/>
      <c r="L6" s="1572"/>
      <c r="M6" s="1572"/>
      <c r="N6" s="1572"/>
      <c r="O6" s="1572"/>
      <c r="P6" s="1572"/>
      <c r="Q6" s="1572"/>
      <c r="R6" s="1571"/>
    </row>
    <row r="7" spans="1:18" ht="20.100000000000001" customHeight="1">
      <c r="A7" s="1576" t="s">
        <v>3134</v>
      </c>
      <c r="B7" s="1575" t="s">
        <v>3133</v>
      </c>
      <c r="C7" s="1574"/>
      <c r="D7" s="1574"/>
      <c r="E7" s="1574"/>
      <c r="F7" s="1574"/>
      <c r="G7" s="1573"/>
      <c r="H7" s="1572"/>
      <c r="I7" s="1572"/>
      <c r="J7" s="1572"/>
      <c r="K7" s="1572"/>
      <c r="L7" s="1572"/>
      <c r="M7" s="1572"/>
      <c r="N7" s="1572"/>
      <c r="O7" s="1572"/>
      <c r="P7" s="1572"/>
      <c r="Q7" s="1572"/>
      <c r="R7" s="1571"/>
    </row>
    <row r="8" spans="1:18" ht="20.100000000000001" customHeight="1">
      <c r="A8" s="1571"/>
      <c r="B8" s="1573"/>
      <c r="C8" s="1574"/>
      <c r="D8" s="1574"/>
      <c r="E8" s="1574"/>
      <c r="F8" s="1574"/>
      <c r="G8" s="1573"/>
      <c r="H8" s="1572"/>
      <c r="I8" s="1572"/>
      <c r="J8" s="1572"/>
      <c r="K8" s="1572"/>
      <c r="L8" s="1572"/>
      <c r="M8" s="1572"/>
      <c r="N8" s="1572"/>
      <c r="O8" s="1572"/>
      <c r="P8" s="1572"/>
      <c r="Q8" s="1572"/>
      <c r="R8" s="1571"/>
    </row>
    <row r="9" spans="1:18" ht="79.5" thickBot="1">
      <c r="A9" s="1562" t="s">
        <v>1743</v>
      </c>
      <c r="B9" s="1569" t="s">
        <v>3132</v>
      </c>
      <c r="C9" s="1570" t="s">
        <v>3131</v>
      </c>
      <c r="D9" s="1570" t="s">
        <v>3130</v>
      </c>
      <c r="E9" s="1570" t="s">
        <v>3129</v>
      </c>
      <c r="F9" s="1570" t="s">
        <v>3128</v>
      </c>
      <c r="G9" s="1569" t="s">
        <v>3127</v>
      </c>
      <c r="H9" s="1561" t="s">
        <v>3126</v>
      </c>
      <c r="I9" s="1561" t="s">
        <v>3125</v>
      </c>
      <c r="J9" s="1561" t="s">
        <v>3124</v>
      </c>
      <c r="K9" s="1561" t="s">
        <v>3123</v>
      </c>
      <c r="L9" s="1561" t="s">
        <v>3122</v>
      </c>
      <c r="M9" s="1561" t="s">
        <v>3121</v>
      </c>
      <c r="N9" s="1561" t="s">
        <v>3120</v>
      </c>
      <c r="O9" s="1561" t="s">
        <v>3119</v>
      </c>
      <c r="P9" s="1561" t="s">
        <v>3118</v>
      </c>
      <c r="Q9" s="1561" t="s">
        <v>3117</v>
      </c>
      <c r="R9" s="1562" t="s">
        <v>3116</v>
      </c>
    </row>
    <row r="10" spans="1:18" ht="20.100000000000001" customHeight="1">
      <c r="A10" s="1565" t="s">
        <v>3115</v>
      </c>
      <c r="B10" s="1665">
        <v>41253</v>
      </c>
      <c r="C10" s="1568" t="s">
        <v>2955</v>
      </c>
      <c r="D10" s="1568" t="s">
        <v>370</v>
      </c>
      <c r="E10" s="1568" t="s">
        <v>3027</v>
      </c>
      <c r="F10" s="1568" t="s">
        <v>3114</v>
      </c>
      <c r="G10" s="1665">
        <v>41253</v>
      </c>
      <c r="H10" s="1566">
        <v>10000</v>
      </c>
      <c r="I10" s="1566">
        <v>10000</v>
      </c>
      <c r="J10" s="1566">
        <f>SUMIFS('Vesting Details'!F:F,'Vesting Details'!A:A,A10,'Vesting Details'!E:E,"&gt;="&amp;$B$6,'Vesting Details'!E:E,"&lt;="&amp;$B$7,'Vesting Details'!K:K,"No")</f>
        <v>10000</v>
      </c>
      <c r="K10" s="1566">
        <v>0.35</v>
      </c>
      <c r="L10" s="1566">
        <f t="shared" ref="L10:L41" si="0">PRODUCT(J10,K10)</f>
        <v>3500</v>
      </c>
      <c r="M10" s="1566">
        <f>SUMIFS('Vesting Details'!G:G,'Vesting Details'!A:A,A10,'Vesting Details'!H:H,"&gt;="&amp;$B$6,'Vesting Details'!H:H,"&lt;="&amp;$B$7)</f>
        <v>0</v>
      </c>
      <c r="N10" s="1566">
        <f>SUMIFS('Vesting Details'!F:F,'Vesting Details'!A:A,A10, 'Vesting Details'!J:J,"&gt;"&amp;$B$7,'Vesting Details'!E:E,"&lt;="&amp;$B$7)</f>
        <v>10000</v>
      </c>
      <c r="O10" s="1566">
        <f>SUMIFS('Vesting Details'!G:G,'Vesting Details'!A:A,A10,'Vesting Details'!H:H,"&lt;="&amp;$B$7)</f>
        <v>0</v>
      </c>
      <c r="P10" s="1566">
        <f t="shared" ref="P10:P41" si="1">IF(N10 - O10&gt;0,N10 - O10,0)</f>
        <v>10000</v>
      </c>
      <c r="Q10" s="1566">
        <f t="shared" ref="Q10:Q41" si="2">N10/H10</f>
        <v>1</v>
      </c>
      <c r="R10" s="1565"/>
    </row>
    <row r="11" spans="1:18" ht="20.100000000000001" customHeight="1">
      <c r="A11" s="1565" t="s">
        <v>3113</v>
      </c>
      <c r="B11" s="1665">
        <v>42300</v>
      </c>
      <c r="C11" s="1568" t="s">
        <v>2980</v>
      </c>
      <c r="D11" s="1568" t="s">
        <v>370</v>
      </c>
      <c r="E11" s="1568" t="s">
        <v>3035</v>
      </c>
      <c r="F11" s="1568" t="s">
        <v>3112</v>
      </c>
      <c r="G11" s="1665">
        <v>42163</v>
      </c>
      <c r="H11" s="1566">
        <v>11200</v>
      </c>
      <c r="I11" s="1566">
        <v>0</v>
      </c>
      <c r="J11" s="1566">
        <f>SUMIFS('Vesting Details'!F:F,'Vesting Details'!A:A,A11,'Vesting Details'!E:E,"&gt;="&amp;$B$6,'Vesting Details'!E:E,"&lt;="&amp;$B$7,'Vesting Details'!K:K,"No")</f>
        <v>11200</v>
      </c>
      <c r="K11" s="1566">
        <v>5.875E-3</v>
      </c>
      <c r="L11" s="1566">
        <f t="shared" si="0"/>
        <v>65.8</v>
      </c>
      <c r="M11" s="1566">
        <f>SUMIFS('Vesting Details'!G:G,'Vesting Details'!A:A,A11,'Vesting Details'!H:H,"&gt;="&amp;$B$6,'Vesting Details'!H:H,"&lt;="&amp;$B$7)</f>
        <v>11200</v>
      </c>
      <c r="N11" s="1566">
        <f>SUMIFS('Vesting Details'!F:F,'Vesting Details'!A:A,A11, 'Vesting Details'!J:J,"&gt;"&amp;$B$7,'Vesting Details'!E:E,"&lt;="&amp;$B$7)</f>
        <v>0</v>
      </c>
      <c r="O11" s="1566">
        <f>SUMIFS('Vesting Details'!G:G,'Vesting Details'!A:A,A11,'Vesting Details'!H:H,"&lt;="&amp;$B$7)</f>
        <v>11200</v>
      </c>
      <c r="P11" s="1566">
        <f t="shared" si="1"/>
        <v>0</v>
      </c>
      <c r="Q11" s="1566">
        <f t="shared" si="2"/>
        <v>0</v>
      </c>
      <c r="R11" s="1565"/>
    </row>
    <row r="12" spans="1:18" ht="20.100000000000001" customHeight="1">
      <c r="A12" s="1565" t="s">
        <v>3111</v>
      </c>
      <c r="B12" s="1665">
        <v>42300</v>
      </c>
      <c r="C12" s="1568" t="s">
        <v>2955</v>
      </c>
      <c r="D12" s="1568" t="s">
        <v>370</v>
      </c>
      <c r="E12" s="1568" t="s">
        <v>3035</v>
      </c>
      <c r="F12" s="1568" t="s">
        <v>3110</v>
      </c>
      <c r="G12" s="1665">
        <v>42125</v>
      </c>
      <c r="H12" s="1566">
        <v>4800</v>
      </c>
      <c r="I12" s="1566">
        <v>1496</v>
      </c>
      <c r="J12" s="1566">
        <f>SUMIFS('Vesting Details'!F:F,'Vesting Details'!A:A,A12,'Vesting Details'!E:E,"&gt;="&amp;$B$6,'Vesting Details'!E:E,"&lt;="&amp;$B$7,'Vesting Details'!K:K,"No")</f>
        <v>4800</v>
      </c>
      <c r="K12" s="1566">
        <v>5.875E-3</v>
      </c>
      <c r="L12" s="1566">
        <f t="shared" si="0"/>
        <v>28.2</v>
      </c>
      <c r="M12" s="1566">
        <f>SUMIFS('Vesting Details'!G:G,'Vesting Details'!A:A,A12,'Vesting Details'!H:H,"&gt;="&amp;$B$6,'Vesting Details'!H:H,"&lt;="&amp;$B$7)</f>
        <v>3304</v>
      </c>
      <c r="N12" s="1566">
        <f>SUMIFS('Vesting Details'!F:F,'Vesting Details'!A:A,A12, 'Vesting Details'!J:J,"&gt;"&amp;$B$7,'Vesting Details'!E:E,"&lt;="&amp;$B$7)</f>
        <v>4800</v>
      </c>
      <c r="O12" s="1566">
        <f>SUMIFS('Vesting Details'!G:G,'Vesting Details'!A:A,A12,'Vesting Details'!H:H,"&lt;="&amp;$B$7)</f>
        <v>3304</v>
      </c>
      <c r="P12" s="1566">
        <f t="shared" si="1"/>
        <v>1496</v>
      </c>
      <c r="Q12" s="1566">
        <f t="shared" si="2"/>
        <v>1</v>
      </c>
      <c r="R12" s="1565"/>
    </row>
    <row r="13" spans="1:18" ht="20.100000000000001" customHeight="1">
      <c r="A13" s="1565" t="s">
        <v>3109</v>
      </c>
      <c r="B13" s="1665">
        <v>42300</v>
      </c>
      <c r="C13" s="1568" t="s">
        <v>2977</v>
      </c>
      <c r="D13" s="1568" t="s">
        <v>370</v>
      </c>
      <c r="E13" s="1568" t="s">
        <v>3035</v>
      </c>
      <c r="F13" s="1568" t="s">
        <v>3108</v>
      </c>
      <c r="G13" s="1665">
        <v>41933</v>
      </c>
      <c r="H13" s="1566">
        <v>8000</v>
      </c>
      <c r="I13" s="1566">
        <v>0</v>
      </c>
      <c r="J13" s="1566">
        <f>SUMIFS('Vesting Details'!F:F,'Vesting Details'!A:A,A13,'Vesting Details'!E:E,"&gt;="&amp;$B$6,'Vesting Details'!E:E,"&lt;="&amp;$B$7,'Vesting Details'!K:K,"No")</f>
        <v>8000</v>
      </c>
      <c r="K13" s="1566">
        <v>5.875E-3</v>
      </c>
      <c r="L13" s="1566">
        <f t="shared" si="0"/>
        <v>47</v>
      </c>
      <c r="M13" s="1566">
        <f>SUMIFS('Vesting Details'!G:G,'Vesting Details'!A:A,A13,'Vesting Details'!H:H,"&gt;="&amp;$B$6,'Vesting Details'!H:H,"&lt;="&amp;$B$7)</f>
        <v>8000</v>
      </c>
      <c r="N13" s="1566">
        <f>SUMIFS('Vesting Details'!F:F,'Vesting Details'!A:A,A13, 'Vesting Details'!J:J,"&gt;"&amp;$B$7,'Vesting Details'!E:E,"&lt;="&amp;$B$7)</f>
        <v>0</v>
      </c>
      <c r="O13" s="1566">
        <f>SUMIFS('Vesting Details'!G:G,'Vesting Details'!A:A,A13,'Vesting Details'!H:H,"&lt;="&amp;$B$7)</f>
        <v>8000</v>
      </c>
      <c r="P13" s="1566">
        <f t="shared" si="1"/>
        <v>0</v>
      </c>
      <c r="Q13" s="1566">
        <f t="shared" si="2"/>
        <v>0</v>
      </c>
      <c r="R13" s="1565"/>
    </row>
    <row r="14" spans="1:18" ht="20.100000000000001" customHeight="1">
      <c r="A14" s="1565" t="s">
        <v>3107</v>
      </c>
      <c r="B14" s="1665">
        <v>42300</v>
      </c>
      <c r="C14" s="1568" t="s">
        <v>2977</v>
      </c>
      <c r="D14" s="1568" t="s">
        <v>370</v>
      </c>
      <c r="E14" s="1568" t="s">
        <v>3035</v>
      </c>
      <c r="F14" s="1568" t="s">
        <v>3106</v>
      </c>
      <c r="G14" s="1665">
        <v>42125</v>
      </c>
      <c r="H14" s="1566">
        <v>4000</v>
      </c>
      <c r="I14" s="1566">
        <v>0</v>
      </c>
      <c r="J14" s="1566">
        <f>SUMIFS('Vesting Details'!F:F,'Vesting Details'!A:A,A14,'Vesting Details'!E:E,"&gt;="&amp;$B$6,'Vesting Details'!E:E,"&lt;="&amp;$B$7,'Vesting Details'!K:K,"No")</f>
        <v>3504</v>
      </c>
      <c r="K14" s="1566">
        <v>5.875E-3</v>
      </c>
      <c r="L14" s="1566">
        <f t="shared" si="0"/>
        <v>20.585999999999999</v>
      </c>
      <c r="M14" s="1566">
        <f>SUMIFS('Vesting Details'!G:G,'Vesting Details'!A:A,A14,'Vesting Details'!H:H,"&gt;="&amp;$B$6,'Vesting Details'!H:H,"&lt;="&amp;$B$7)</f>
        <v>3504</v>
      </c>
      <c r="N14" s="1566">
        <f>SUMIFS('Vesting Details'!F:F,'Vesting Details'!A:A,A14, 'Vesting Details'!J:J,"&gt;"&amp;$B$7,'Vesting Details'!E:E,"&lt;="&amp;$B$7)</f>
        <v>0</v>
      </c>
      <c r="O14" s="1566">
        <f>SUMIFS('Vesting Details'!G:G,'Vesting Details'!A:A,A14,'Vesting Details'!H:H,"&lt;="&amp;$B$7)</f>
        <v>3504</v>
      </c>
      <c r="P14" s="1566">
        <f t="shared" si="1"/>
        <v>0</v>
      </c>
      <c r="Q14" s="1566">
        <f t="shared" si="2"/>
        <v>0</v>
      </c>
      <c r="R14" s="1565"/>
    </row>
    <row r="15" spans="1:18" ht="20.100000000000001" customHeight="1">
      <c r="A15" s="1565" t="s">
        <v>3105</v>
      </c>
      <c r="B15" s="1665">
        <v>42300</v>
      </c>
      <c r="C15" s="1568" t="s">
        <v>2966</v>
      </c>
      <c r="D15" s="1568" t="s">
        <v>370</v>
      </c>
      <c r="E15" s="1568" t="s">
        <v>3035</v>
      </c>
      <c r="F15" s="1568" t="s">
        <v>3059</v>
      </c>
      <c r="G15" s="1665">
        <v>42300</v>
      </c>
      <c r="H15" s="1566">
        <v>4000</v>
      </c>
      <c r="I15" s="1566">
        <v>0</v>
      </c>
      <c r="J15" s="1566">
        <f>SUMIFS('Vesting Details'!F:F,'Vesting Details'!A:A,A15,'Vesting Details'!E:E,"&gt;="&amp;$B$6,'Vesting Details'!E:E,"&lt;="&amp;$B$7,'Vesting Details'!K:K,"No")</f>
        <v>4000</v>
      </c>
      <c r="K15" s="1566">
        <v>5.875E-3</v>
      </c>
      <c r="L15" s="1566">
        <f t="shared" si="0"/>
        <v>23.5</v>
      </c>
      <c r="M15" s="1566">
        <f>SUMIFS('Vesting Details'!G:G,'Vesting Details'!A:A,A15,'Vesting Details'!H:H,"&gt;="&amp;$B$6,'Vesting Details'!H:H,"&lt;="&amp;$B$7)</f>
        <v>4000</v>
      </c>
      <c r="N15" s="1566">
        <f>SUMIFS('Vesting Details'!F:F,'Vesting Details'!A:A,A15, 'Vesting Details'!J:J,"&gt;"&amp;$B$7,'Vesting Details'!E:E,"&lt;="&amp;$B$7)</f>
        <v>4000</v>
      </c>
      <c r="O15" s="1566">
        <f>SUMIFS('Vesting Details'!G:G,'Vesting Details'!A:A,A15,'Vesting Details'!H:H,"&lt;="&amp;$B$7)</f>
        <v>4000</v>
      </c>
      <c r="P15" s="1566">
        <f t="shared" si="1"/>
        <v>0</v>
      </c>
      <c r="Q15" s="1566">
        <f t="shared" si="2"/>
        <v>1</v>
      </c>
      <c r="R15" s="1565"/>
    </row>
    <row r="16" spans="1:18" ht="20.100000000000001" customHeight="1">
      <c r="A16" s="1565" t="s">
        <v>3104</v>
      </c>
      <c r="B16" s="1665">
        <v>42300</v>
      </c>
      <c r="C16" s="1568" t="s">
        <v>2984</v>
      </c>
      <c r="D16" s="1568" t="s">
        <v>370</v>
      </c>
      <c r="E16" s="1568" t="s">
        <v>3035</v>
      </c>
      <c r="F16" s="1568" t="s">
        <v>3059</v>
      </c>
      <c r="G16" s="1665">
        <v>42300</v>
      </c>
      <c r="H16" s="1566">
        <v>10664</v>
      </c>
      <c r="I16" s="1566">
        <v>0</v>
      </c>
      <c r="J16" s="1566">
        <f>SUMIFS('Vesting Details'!F:F,'Vesting Details'!A:A,A16,'Vesting Details'!E:E,"&gt;="&amp;$B$6,'Vesting Details'!E:E,"&lt;="&amp;$B$7,'Vesting Details'!K:K,"No")</f>
        <v>10664</v>
      </c>
      <c r="K16" s="1566">
        <v>5.875E-3</v>
      </c>
      <c r="L16" s="1566">
        <f t="shared" si="0"/>
        <v>62.651000000000003</v>
      </c>
      <c r="M16" s="1566">
        <f>SUMIFS('Vesting Details'!G:G,'Vesting Details'!A:A,A16,'Vesting Details'!H:H,"&gt;="&amp;$B$6,'Vesting Details'!H:H,"&lt;="&amp;$B$7)</f>
        <v>10664</v>
      </c>
      <c r="N16" s="1566">
        <f>SUMIFS('Vesting Details'!F:F,'Vesting Details'!A:A,A16, 'Vesting Details'!J:J,"&gt;"&amp;$B$7,'Vesting Details'!E:E,"&lt;="&amp;$B$7)</f>
        <v>10664</v>
      </c>
      <c r="O16" s="1566">
        <f>SUMIFS('Vesting Details'!G:G,'Vesting Details'!A:A,A16,'Vesting Details'!H:H,"&lt;="&amp;$B$7)</f>
        <v>10664</v>
      </c>
      <c r="P16" s="1566">
        <f t="shared" si="1"/>
        <v>0</v>
      </c>
      <c r="Q16" s="1566">
        <f t="shared" si="2"/>
        <v>1</v>
      </c>
      <c r="R16" s="1565"/>
    </row>
    <row r="17" spans="1:18" ht="20.100000000000001" customHeight="1">
      <c r="A17" s="1565" t="s">
        <v>3103</v>
      </c>
      <c r="B17" s="1665">
        <v>42300</v>
      </c>
      <c r="C17" s="1568" t="s">
        <v>2972</v>
      </c>
      <c r="D17" s="1568" t="s">
        <v>370</v>
      </c>
      <c r="E17" s="1568" t="s">
        <v>3035</v>
      </c>
      <c r="F17" s="1568" t="s">
        <v>3102</v>
      </c>
      <c r="G17" s="1665">
        <v>42290</v>
      </c>
      <c r="H17" s="1566">
        <v>32000</v>
      </c>
      <c r="I17" s="1566">
        <v>6000</v>
      </c>
      <c r="J17" s="1566">
        <f>SUMIFS('Vesting Details'!F:F,'Vesting Details'!A:A,A17,'Vesting Details'!E:E,"&gt;="&amp;$B$6,'Vesting Details'!E:E,"&lt;="&amp;$B$7,'Vesting Details'!K:K,"No")</f>
        <v>32000</v>
      </c>
      <c r="K17" s="1566">
        <v>5.875E-3</v>
      </c>
      <c r="L17" s="1566">
        <f t="shared" si="0"/>
        <v>188</v>
      </c>
      <c r="M17" s="1566">
        <f>SUMIFS('Vesting Details'!G:G,'Vesting Details'!A:A,A17,'Vesting Details'!H:H,"&gt;="&amp;$B$6,'Vesting Details'!H:H,"&lt;="&amp;$B$7)</f>
        <v>26000</v>
      </c>
      <c r="N17" s="1566">
        <f>SUMIFS('Vesting Details'!F:F,'Vesting Details'!A:A,A17, 'Vesting Details'!J:J,"&gt;"&amp;$B$7,'Vesting Details'!E:E,"&lt;="&amp;$B$7)</f>
        <v>32000</v>
      </c>
      <c r="O17" s="1566">
        <f>SUMIFS('Vesting Details'!G:G,'Vesting Details'!A:A,A17,'Vesting Details'!H:H,"&lt;="&amp;$B$7)</f>
        <v>26000</v>
      </c>
      <c r="P17" s="1566">
        <f t="shared" si="1"/>
        <v>6000</v>
      </c>
      <c r="Q17" s="1566">
        <f t="shared" si="2"/>
        <v>1</v>
      </c>
      <c r="R17" s="1565"/>
    </row>
    <row r="18" spans="1:18" ht="20.100000000000001" customHeight="1">
      <c r="A18" s="1565" t="s">
        <v>3101</v>
      </c>
      <c r="B18" s="1665">
        <v>42317</v>
      </c>
      <c r="C18" s="1568" t="s">
        <v>3000</v>
      </c>
      <c r="D18" s="1568" t="s">
        <v>370</v>
      </c>
      <c r="E18" s="1568" t="s">
        <v>3035</v>
      </c>
      <c r="F18" s="1568" t="s">
        <v>3100</v>
      </c>
      <c r="G18" s="1665">
        <v>42317</v>
      </c>
      <c r="H18" s="1566">
        <v>4000</v>
      </c>
      <c r="I18" s="1566">
        <v>248</v>
      </c>
      <c r="J18" s="1566">
        <f>SUMIFS('Vesting Details'!F:F,'Vesting Details'!A:A,A18,'Vesting Details'!E:E,"&gt;="&amp;$B$6,'Vesting Details'!E:E,"&lt;="&amp;$B$7,'Vesting Details'!K:K,"No")</f>
        <v>4000</v>
      </c>
      <c r="K18" s="1566">
        <v>5.875E-3</v>
      </c>
      <c r="L18" s="1566">
        <f t="shared" si="0"/>
        <v>23.5</v>
      </c>
      <c r="M18" s="1566">
        <f>SUMIFS('Vesting Details'!G:G,'Vesting Details'!A:A,A18,'Vesting Details'!H:H,"&gt;="&amp;$B$6,'Vesting Details'!H:H,"&lt;="&amp;$B$7)</f>
        <v>3752</v>
      </c>
      <c r="N18" s="1566">
        <f>SUMIFS('Vesting Details'!F:F,'Vesting Details'!A:A,A18, 'Vesting Details'!J:J,"&gt;"&amp;$B$7,'Vesting Details'!E:E,"&lt;="&amp;$B$7)</f>
        <v>4000</v>
      </c>
      <c r="O18" s="1566">
        <f>SUMIFS('Vesting Details'!G:G,'Vesting Details'!A:A,A18,'Vesting Details'!H:H,"&lt;="&amp;$B$7)</f>
        <v>3752</v>
      </c>
      <c r="P18" s="1566">
        <f t="shared" si="1"/>
        <v>248</v>
      </c>
      <c r="Q18" s="1566">
        <f t="shared" si="2"/>
        <v>1</v>
      </c>
      <c r="R18" s="1565"/>
    </row>
    <row r="19" spans="1:18" ht="20.100000000000001" customHeight="1">
      <c r="A19" s="1565" t="s">
        <v>3099</v>
      </c>
      <c r="B19" s="1665">
        <v>42424</v>
      </c>
      <c r="C19" s="1568" t="s">
        <v>2983</v>
      </c>
      <c r="D19" s="1568" t="s">
        <v>370</v>
      </c>
      <c r="E19" s="1568" t="s">
        <v>3035</v>
      </c>
      <c r="F19" s="1568" t="s">
        <v>3059</v>
      </c>
      <c r="G19" s="1665">
        <v>42424</v>
      </c>
      <c r="H19" s="1566">
        <v>50432</v>
      </c>
      <c r="I19" s="1566">
        <v>0</v>
      </c>
      <c r="J19" s="1566">
        <f>SUMIFS('Vesting Details'!F:F,'Vesting Details'!A:A,A19,'Vesting Details'!E:E,"&gt;="&amp;$B$6,'Vesting Details'!E:E,"&lt;="&amp;$B$7,'Vesting Details'!K:K,"No")</f>
        <v>50432</v>
      </c>
      <c r="K19" s="1566">
        <v>5.875E-3</v>
      </c>
      <c r="L19" s="1566">
        <f t="shared" si="0"/>
        <v>296.28800000000001</v>
      </c>
      <c r="M19" s="1566">
        <f>SUMIFS('Vesting Details'!G:G,'Vesting Details'!A:A,A19,'Vesting Details'!H:H,"&gt;="&amp;$B$6,'Vesting Details'!H:H,"&lt;="&amp;$B$7)</f>
        <v>50432</v>
      </c>
      <c r="N19" s="1566">
        <f>SUMIFS('Vesting Details'!F:F,'Vesting Details'!A:A,A19, 'Vesting Details'!J:J,"&gt;"&amp;$B$7,'Vesting Details'!E:E,"&lt;="&amp;$B$7)</f>
        <v>50432</v>
      </c>
      <c r="O19" s="1566">
        <f>SUMIFS('Vesting Details'!G:G,'Vesting Details'!A:A,A19,'Vesting Details'!H:H,"&lt;="&amp;$B$7)</f>
        <v>50432</v>
      </c>
      <c r="P19" s="1566">
        <f t="shared" si="1"/>
        <v>0</v>
      </c>
      <c r="Q19" s="1566">
        <f t="shared" si="2"/>
        <v>1</v>
      </c>
      <c r="R19" s="1565" t="s">
        <v>3052</v>
      </c>
    </row>
    <row r="20" spans="1:18" ht="20.100000000000001" customHeight="1">
      <c r="A20" s="1565" t="s">
        <v>3098</v>
      </c>
      <c r="B20" s="1665">
        <v>42433</v>
      </c>
      <c r="C20" s="1568" t="s">
        <v>2998</v>
      </c>
      <c r="D20" s="1568" t="s">
        <v>370</v>
      </c>
      <c r="E20" s="1568" t="s">
        <v>3035</v>
      </c>
      <c r="F20" s="1568" t="s">
        <v>3059</v>
      </c>
      <c r="G20" s="1665">
        <v>42433</v>
      </c>
      <c r="H20" s="1566">
        <v>8000</v>
      </c>
      <c r="I20" s="1566">
        <v>0</v>
      </c>
      <c r="J20" s="1566">
        <f>SUMIFS('Vesting Details'!F:F,'Vesting Details'!A:A,A20,'Vesting Details'!E:E,"&gt;="&amp;$B$6,'Vesting Details'!E:E,"&lt;="&amp;$B$7,'Vesting Details'!K:K,"No")</f>
        <v>8000</v>
      </c>
      <c r="K20" s="1566">
        <v>5.875E-3</v>
      </c>
      <c r="L20" s="1566">
        <f t="shared" si="0"/>
        <v>47</v>
      </c>
      <c r="M20" s="1566">
        <f>SUMIFS('Vesting Details'!G:G,'Vesting Details'!A:A,A20,'Vesting Details'!H:H,"&gt;="&amp;$B$6,'Vesting Details'!H:H,"&lt;="&amp;$B$7)</f>
        <v>8000</v>
      </c>
      <c r="N20" s="1566">
        <f>SUMIFS('Vesting Details'!F:F,'Vesting Details'!A:A,A20, 'Vesting Details'!J:J,"&gt;"&amp;$B$7,'Vesting Details'!E:E,"&lt;="&amp;$B$7)</f>
        <v>8000</v>
      </c>
      <c r="O20" s="1566">
        <f>SUMIFS('Vesting Details'!G:G,'Vesting Details'!A:A,A20,'Vesting Details'!H:H,"&lt;="&amp;$B$7)</f>
        <v>8000</v>
      </c>
      <c r="P20" s="1566">
        <f t="shared" si="1"/>
        <v>0</v>
      </c>
      <c r="Q20" s="1566">
        <f t="shared" si="2"/>
        <v>1</v>
      </c>
      <c r="R20" s="1565"/>
    </row>
    <row r="21" spans="1:18" ht="20.100000000000001" customHeight="1">
      <c r="A21" s="1565" t="s">
        <v>3097</v>
      </c>
      <c r="B21" s="1665">
        <v>42586</v>
      </c>
      <c r="C21" s="1568" t="s">
        <v>2961</v>
      </c>
      <c r="D21" s="1568" t="s">
        <v>370</v>
      </c>
      <c r="E21" s="1568" t="s">
        <v>3035</v>
      </c>
      <c r="F21" s="1568" t="s">
        <v>3096</v>
      </c>
      <c r="G21" s="1665">
        <v>42491</v>
      </c>
      <c r="H21" s="1566">
        <v>149912</v>
      </c>
      <c r="I21" s="1566">
        <v>22480</v>
      </c>
      <c r="J21" s="1566">
        <f>SUMIFS('Vesting Details'!F:F,'Vesting Details'!A:A,A21,'Vesting Details'!E:E,"&gt;="&amp;$B$6,'Vesting Details'!E:E,"&lt;="&amp;$B$7,'Vesting Details'!K:K,"No")</f>
        <v>136424</v>
      </c>
      <c r="K21" s="1566">
        <v>5.875E-3</v>
      </c>
      <c r="L21" s="1566">
        <f t="shared" si="0"/>
        <v>801.49099999999999</v>
      </c>
      <c r="M21" s="1566">
        <f>SUMIFS('Vesting Details'!G:G,'Vesting Details'!A:A,A21,'Vesting Details'!H:H,"&gt;="&amp;$B$6,'Vesting Details'!H:H,"&lt;="&amp;$B$7)</f>
        <v>127432</v>
      </c>
      <c r="N21" s="1566">
        <f>SUMIFS('Vesting Details'!F:F,'Vesting Details'!A:A,A21, 'Vesting Details'!J:J,"&gt;"&amp;$B$7,'Vesting Details'!E:E,"&lt;="&amp;$B$7)</f>
        <v>136424</v>
      </c>
      <c r="O21" s="1566">
        <f>SUMIFS('Vesting Details'!G:G,'Vesting Details'!A:A,A21,'Vesting Details'!H:H,"&lt;="&amp;$B$7)</f>
        <v>127432</v>
      </c>
      <c r="P21" s="1566">
        <f t="shared" si="1"/>
        <v>8992</v>
      </c>
      <c r="Q21" s="1566">
        <f t="shared" si="2"/>
        <v>0.91002721596670044</v>
      </c>
      <c r="R21" s="1565"/>
    </row>
    <row r="22" spans="1:18" ht="20.100000000000001" customHeight="1">
      <c r="A22" s="1565" t="s">
        <v>3095</v>
      </c>
      <c r="B22" s="1665">
        <v>42586</v>
      </c>
      <c r="C22" s="1568" t="s">
        <v>3002</v>
      </c>
      <c r="D22" s="1568" t="s">
        <v>370</v>
      </c>
      <c r="E22" s="1568" t="s">
        <v>3035</v>
      </c>
      <c r="F22" s="1568" t="s">
        <v>3094</v>
      </c>
      <c r="G22" s="1665">
        <v>42125</v>
      </c>
      <c r="H22" s="1566">
        <v>144920</v>
      </c>
      <c r="I22" s="1566">
        <v>0</v>
      </c>
      <c r="J22" s="1566">
        <f>SUMIFS('Vesting Details'!F:F,'Vesting Details'!A:A,A22,'Vesting Details'!E:E,"&gt;="&amp;$B$6,'Vesting Details'!E:E,"&lt;="&amp;$B$7,'Vesting Details'!K:K,"No")</f>
        <v>144920</v>
      </c>
      <c r="K22" s="1566">
        <v>5.875E-3</v>
      </c>
      <c r="L22" s="1566">
        <f t="shared" si="0"/>
        <v>851.40499999999997</v>
      </c>
      <c r="M22" s="1566">
        <f>SUMIFS('Vesting Details'!G:G,'Vesting Details'!A:A,A22,'Vesting Details'!H:H,"&gt;="&amp;$B$6,'Vesting Details'!H:H,"&lt;="&amp;$B$7)</f>
        <v>144920</v>
      </c>
      <c r="N22" s="1566">
        <f>SUMIFS('Vesting Details'!F:F,'Vesting Details'!A:A,A22, 'Vesting Details'!J:J,"&gt;"&amp;$B$7,'Vesting Details'!E:E,"&lt;="&amp;$B$7)</f>
        <v>0</v>
      </c>
      <c r="O22" s="1566">
        <f>SUMIFS('Vesting Details'!G:G,'Vesting Details'!A:A,A22,'Vesting Details'!H:H,"&lt;="&amp;$B$7)</f>
        <v>144920</v>
      </c>
      <c r="P22" s="1566">
        <f t="shared" si="1"/>
        <v>0</v>
      </c>
      <c r="Q22" s="1566">
        <f t="shared" si="2"/>
        <v>0</v>
      </c>
      <c r="R22" s="1565"/>
    </row>
    <row r="23" spans="1:18" ht="20.100000000000001" customHeight="1">
      <c r="A23" s="1565" t="s">
        <v>3093</v>
      </c>
      <c r="B23" s="1665">
        <v>42586</v>
      </c>
      <c r="C23" s="1568" t="s">
        <v>2986</v>
      </c>
      <c r="D23" s="1568" t="s">
        <v>370</v>
      </c>
      <c r="E23" s="1568" t="s">
        <v>3035</v>
      </c>
      <c r="F23" s="1568" t="s">
        <v>3059</v>
      </c>
      <c r="G23" s="1665">
        <v>42586</v>
      </c>
      <c r="H23" s="1566">
        <v>49976</v>
      </c>
      <c r="I23" s="1566">
        <v>0</v>
      </c>
      <c r="J23" s="1566">
        <f>SUMIFS('Vesting Details'!F:F,'Vesting Details'!A:A,A23,'Vesting Details'!E:E,"&gt;="&amp;$B$6,'Vesting Details'!E:E,"&lt;="&amp;$B$7,'Vesting Details'!K:K,"No")</f>
        <v>49976</v>
      </c>
      <c r="K23" s="1566">
        <v>5.875E-3</v>
      </c>
      <c r="L23" s="1566">
        <f t="shared" si="0"/>
        <v>293.60899999999998</v>
      </c>
      <c r="M23" s="1566">
        <f>SUMIFS('Vesting Details'!G:G,'Vesting Details'!A:A,A23,'Vesting Details'!H:H,"&gt;="&amp;$B$6,'Vesting Details'!H:H,"&lt;="&amp;$B$7)</f>
        <v>49976</v>
      </c>
      <c r="N23" s="1566">
        <f>SUMIFS('Vesting Details'!F:F,'Vesting Details'!A:A,A23, 'Vesting Details'!J:J,"&gt;"&amp;$B$7,'Vesting Details'!E:E,"&lt;="&amp;$B$7)</f>
        <v>0</v>
      </c>
      <c r="O23" s="1566">
        <f>SUMIFS('Vesting Details'!G:G,'Vesting Details'!A:A,A23,'Vesting Details'!H:H,"&lt;="&amp;$B$7)</f>
        <v>49976</v>
      </c>
      <c r="P23" s="1566">
        <f t="shared" si="1"/>
        <v>0</v>
      </c>
      <c r="Q23" s="1566">
        <f t="shared" si="2"/>
        <v>0</v>
      </c>
      <c r="R23" s="1565"/>
    </row>
    <row r="24" spans="1:18" ht="20.100000000000001" customHeight="1">
      <c r="A24" s="1565" t="s">
        <v>3092</v>
      </c>
      <c r="B24" s="1665">
        <v>42586</v>
      </c>
      <c r="C24" s="1568" t="s">
        <v>2999</v>
      </c>
      <c r="D24" s="1568" t="s">
        <v>370</v>
      </c>
      <c r="E24" s="1568" t="s">
        <v>3035</v>
      </c>
      <c r="F24" s="1568" t="s">
        <v>3091</v>
      </c>
      <c r="G24" s="1665">
        <v>42186</v>
      </c>
      <c r="H24" s="1566">
        <v>169904</v>
      </c>
      <c r="I24" s="1566">
        <v>0</v>
      </c>
      <c r="J24" s="1566">
        <f>SUMIFS('Vesting Details'!F:F,'Vesting Details'!A:A,A24,'Vesting Details'!E:E,"&gt;="&amp;$B$6,'Vesting Details'!E:E,"&lt;="&amp;$B$7,'Vesting Details'!K:K,"No")</f>
        <v>169904</v>
      </c>
      <c r="K24" s="1566">
        <v>5.875E-3</v>
      </c>
      <c r="L24" s="1566">
        <f t="shared" si="0"/>
        <v>998.18600000000004</v>
      </c>
      <c r="M24" s="1566">
        <f>SUMIFS('Vesting Details'!G:G,'Vesting Details'!A:A,A24,'Vesting Details'!H:H,"&gt;="&amp;$B$6,'Vesting Details'!H:H,"&lt;="&amp;$B$7)</f>
        <v>169904</v>
      </c>
      <c r="N24" s="1566">
        <f>SUMIFS('Vesting Details'!F:F,'Vesting Details'!A:A,A24, 'Vesting Details'!J:J,"&gt;"&amp;$B$7,'Vesting Details'!E:E,"&lt;="&amp;$B$7)</f>
        <v>169904</v>
      </c>
      <c r="O24" s="1566">
        <f>SUMIFS('Vesting Details'!G:G,'Vesting Details'!A:A,A24,'Vesting Details'!H:H,"&lt;="&amp;$B$7)</f>
        <v>169904</v>
      </c>
      <c r="P24" s="1566">
        <f t="shared" si="1"/>
        <v>0</v>
      </c>
      <c r="Q24" s="1566">
        <f t="shared" si="2"/>
        <v>1</v>
      </c>
      <c r="R24" s="1565"/>
    </row>
    <row r="25" spans="1:18" ht="20.100000000000001" customHeight="1">
      <c r="A25" s="1565" t="s">
        <v>3090</v>
      </c>
      <c r="B25" s="1665">
        <v>42586</v>
      </c>
      <c r="C25" s="1568" t="s">
        <v>2983</v>
      </c>
      <c r="D25" s="1568" t="s">
        <v>370</v>
      </c>
      <c r="E25" s="1568" t="s">
        <v>3035</v>
      </c>
      <c r="F25" s="1568" t="s">
        <v>3089</v>
      </c>
      <c r="G25" s="1665">
        <v>42125</v>
      </c>
      <c r="H25" s="1566">
        <v>219872</v>
      </c>
      <c r="I25" s="1566">
        <v>0</v>
      </c>
      <c r="J25" s="1566">
        <f>SUMIFS('Vesting Details'!F:F,'Vesting Details'!A:A,A25,'Vesting Details'!E:E,"&gt;="&amp;$B$6,'Vesting Details'!E:E,"&lt;="&amp;$B$7,'Vesting Details'!K:K,"No")</f>
        <v>219872</v>
      </c>
      <c r="K25" s="1566">
        <v>5.875E-3</v>
      </c>
      <c r="L25" s="1566">
        <f t="shared" si="0"/>
        <v>1291.748</v>
      </c>
      <c r="M25" s="1566">
        <f>SUMIFS('Vesting Details'!G:G,'Vesting Details'!A:A,A25,'Vesting Details'!H:H,"&gt;="&amp;$B$6,'Vesting Details'!H:H,"&lt;="&amp;$B$7)</f>
        <v>219872</v>
      </c>
      <c r="N25" s="1566">
        <f>SUMIFS('Vesting Details'!F:F,'Vesting Details'!A:A,A25, 'Vesting Details'!J:J,"&gt;"&amp;$B$7,'Vesting Details'!E:E,"&lt;="&amp;$B$7)</f>
        <v>219872</v>
      </c>
      <c r="O25" s="1566">
        <f>SUMIFS('Vesting Details'!G:G,'Vesting Details'!A:A,A25,'Vesting Details'!H:H,"&lt;="&amp;$B$7)</f>
        <v>219872</v>
      </c>
      <c r="P25" s="1566">
        <f t="shared" si="1"/>
        <v>0</v>
      </c>
      <c r="Q25" s="1566">
        <f t="shared" si="2"/>
        <v>1</v>
      </c>
      <c r="R25" s="1565" t="s">
        <v>3052</v>
      </c>
    </row>
    <row r="26" spans="1:18" ht="20.100000000000001" customHeight="1">
      <c r="A26" s="1565" t="s">
        <v>3088</v>
      </c>
      <c r="B26" s="1665">
        <v>42644</v>
      </c>
      <c r="C26" s="1568" t="s">
        <v>2954</v>
      </c>
      <c r="D26" s="1568" t="s">
        <v>370</v>
      </c>
      <c r="E26" s="1568" t="s">
        <v>3035</v>
      </c>
      <c r="F26" s="1568" t="s">
        <v>3087</v>
      </c>
      <c r="G26" s="1665">
        <v>42735</v>
      </c>
      <c r="H26" s="1566">
        <v>16488</v>
      </c>
      <c r="I26" s="1566">
        <v>16488</v>
      </c>
      <c r="J26" s="1566">
        <f>SUMIFS('Vesting Details'!F:F,'Vesting Details'!A:A,A26,'Vesting Details'!E:E,"&gt;="&amp;$B$6,'Vesting Details'!E:E,"&lt;="&amp;$B$7,'Vesting Details'!K:K,"No")</f>
        <v>16488</v>
      </c>
      <c r="K26" s="1566">
        <v>5.875E-3</v>
      </c>
      <c r="L26" s="1566">
        <f t="shared" si="0"/>
        <v>96.867000000000004</v>
      </c>
      <c r="M26" s="1566">
        <f>SUMIFS('Vesting Details'!G:G,'Vesting Details'!A:A,A26,'Vesting Details'!H:H,"&gt;="&amp;$B$6,'Vesting Details'!H:H,"&lt;="&amp;$B$7)</f>
        <v>0</v>
      </c>
      <c r="N26" s="1566">
        <f>SUMIFS('Vesting Details'!F:F,'Vesting Details'!A:A,A26, 'Vesting Details'!J:J,"&gt;"&amp;$B$7,'Vesting Details'!E:E,"&lt;="&amp;$B$7)</f>
        <v>16488</v>
      </c>
      <c r="O26" s="1566">
        <f>SUMIFS('Vesting Details'!G:G,'Vesting Details'!A:A,A26,'Vesting Details'!H:H,"&lt;="&amp;$B$7)</f>
        <v>0</v>
      </c>
      <c r="P26" s="1566">
        <f t="shared" si="1"/>
        <v>16488</v>
      </c>
      <c r="Q26" s="1566">
        <f t="shared" si="2"/>
        <v>1</v>
      </c>
      <c r="R26" s="1565"/>
    </row>
    <row r="27" spans="1:18" ht="20.100000000000001" customHeight="1">
      <c r="A27" s="1565" t="s">
        <v>3086</v>
      </c>
      <c r="B27" s="1665">
        <v>42644</v>
      </c>
      <c r="C27" s="1568" t="s">
        <v>2966</v>
      </c>
      <c r="D27" s="1568" t="s">
        <v>370</v>
      </c>
      <c r="E27" s="1568" t="s">
        <v>3035</v>
      </c>
      <c r="F27" s="1568" t="s">
        <v>3085</v>
      </c>
      <c r="G27" s="1665">
        <v>42735</v>
      </c>
      <c r="H27" s="1566">
        <v>16488</v>
      </c>
      <c r="I27" s="1566">
        <v>16488</v>
      </c>
      <c r="J27" s="1566">
        <f>SUMIFS('Vesting Details'!F:F,'Vesting Details'!A:A,A27,'Vesting Details'!E:E,"&gt;="&amp;$B$6,'Vesting Details'!E:E,"&lt;="&amp;$B$7,'Vesting Details'!K:K,"No")</f>
        <v>16488</v>
      </c>
      <c r="K27" s="1566">
        <v>5.875E-3</v>
      </c>
      <c r="L27" s="1566">
        <f t="shared" si="0"/>
        <v>96.867000000000004</v>
      </c>
      <c r="M27" s="1566">
        <f>SUMIFS('Vesting Details'!G:G,'Vesting Details'!A:A,A27,'Vesting Details'!H:H,"&gt;="&amp;$B$6,'Vesting Details'!H:H,"&lt;="&amp;$B$7)</f>
        <v>0</v>
      </c>
      <c r="N27" s="1566">
        <f>SUMIFS('Vesting Details'!F:F,'Vesting Details'!A:A,A27, 'Vesting Details'!J:J,"&gt;"&amp;$B$7,'Vesting Details'!E:E,"&lt;="&amp;$B$7)</f>
        <v>16488</v>
      </c>
      <c r="O27" s="1566">
        <f>SUMIFS('Vesting Details'!G:G,'Vesting Details'!A:A,A27,'Vesting Details'!H:H,"&lt;="&amp;$B$7)</f>
        <v>0</v>
      </c>
      <c r="P27" s="1566">
        <f t="shared" si="1"/>
        <v>16488</v>
      </c>
      <c r="Q27" s="1566">
        <f t="shared" si="2"/>
        <v>1</v>
      </c>
      <c r="R27" s="1565"/>
    </row>
    <row r="28" spans="1:18" ht="20.100000000000001" customHeight="1">
      <c r="A28" s="1565" t="s">
        <v>3084</v>
      </c>
      <c r="B28" s="1665">
        <v>42644</v>
      </c>
      <c r="C28" s="1568" t="s">
        <v>2973</v>
      </c>
      <c r="D28" s="1568" t="s">
        <v>370</v>
      </c>
      <c r="E28" s="1568" t="s">
        <v>3035</v>
      </c>
      <c r="F28" s="1568" t="s">
        <v>3083</v>
      </c>
      <c r="G28" s="1665">
        <v>42735</v>
      </c>
      <c r="H28" s="1566">
        <v>16488</v>
      </c>
      <c r="I28" s="1566">
        <v>16488</v>
      </c>
      <c r="J28" s="1566">
        <f>SUMIFS('Vesting Details'!F:F,'Vesting Details'!A:A,A28,'Vesting Details'!E:E,"&gt;="&amp;$B$6,'Vesting Details'!E:E,"&lt;="&amp;$B$7,'Vesting Details'!K:K,"No")</f>
        <v>16488</v>
      </c>
      <c r="K28" s="1566">
        <v>5.875E-3</v>
      </c>
      <c r="L28" s="1566">
        <f t="shared" si="0"/>
        <v>96.867000000000004</v>
      </c>
      <c r="M28" s="1566">
        <f>SUMIFS('Vesting Details'!G:G,'Vesting Details'!A:A,A28,'Vesting Details'!H:H,"&gt;="&amp;$B$6,'Vesting Details'!H:H,"&lt;="&amp;$B$7)</f>
        <v>0</v>
      </c>
      <c r="N28" s="1566">
        <f>SUMIFS('Vesting Details'!F:F,'Vesting Details'!A:A,A28, 'Vesting Details'!J:J,"&gt;"&amp;$B$7,'Vesting Details'!E:E,"&lt;="&amp;$B$7)</f>
        <v>16488</v>
      </c>
      <c r="O28" s="1566">
        <f>SUMIFS('Vesting Details'!G:G,'Vesting Details'!A:A,A28,'Vesting Details'!H:H,"&lt;="&amp;$B$7)</f>
        <v>0</v>
      </c>
      <c r="P28" s="1566">
        <f t="shared" si="1"/>
        <v>16488</v>
      </c>
      <c r="Q28" s="1566">
        <f t="shared" si="2"/>
        <v>1</v>
      </c>
      <c r="R28" s="1565"/>
    </row>
    <row r="29" spans="1:18" ht="20.100000000000001" customHeight="1">
      <c r="A29" s="1565" t="s">
        <v>3082</v>
      </c>
      <c r="B29" s="1665">
        <v>42649</v>
      </c>
      <c r="C29" s="1568" t="s">
        <v>2984</v>
      </c>
      <c r="D29" s="1568" t="s">
        <v>370</v>
      </c>
      <c r="E29" s="1568" t="s">
        <v>3035</v>
      </c>
      <c r="F29" s="1568" t="s">
        <v>3059</v>
      </c>
      <c r="G29" s="1665">
        <v>42649</v>
      </c>
      <c r="H29" s="1566">
        <v>16488</v>
      </c>
      <c r="I29" s="1566">
        <v>0</v>
      </c>
      <c r="J29" s="1566">
        <f>SUMIFS('Vesting Details'!F:F,'Vesting Details'!A:A,A29,'Vesting Details'!E:E,"&gt;="&amp;$B$6,'Vesting Details'!E:E,"&lt;="&amp;$B$7,'Vesting Details'!K:K,"No")</f>
        <v>16488</v>
      </c>
      <c r="K29" s="1566">
        <v>5.875E-3</v>
      </c>
      <c r="L29" s="1566">
        <f t="shared" si="0"/>
        <v>96.867000000000004</v>
      </c>
      <c r="M29" s="1566">
        <f>SUMIFS('Vesting Details'!G:G,'Vesting Details'!A:A,A29,'Vesting Details'!H:H,"&gt;="&amp;$B$6,'Vesting Details'!H:H,"&lt;="&amp;$B$7)</f>
        <v>16488</v>
      </c>
      <c r="N29" s="1566">
        <f>SUMIFS('Vesting Details'!F:F,'Vesting Details'!A:A,A29, 'Vesting Details'!J:J,"&gt;"&amp;$B$7,'Vesting Details'!E:E,"&lt;="&amp;$B$7)</f>
        <v>16488</v>
      </c>
      <c r="O29" s="1566">
        <f>SUMIFS('Vesting Details'!G:G,'Vesting Details'!A:A,A29,'Vesting Details'!H:H,"&lt;="&amp;$B$7)</f>
        <v>16488</v>
      </c>
      <c r="P29" s="1566">
        <f t="shared" si="1"/>
        <v>0</v>
      </c>
      <c r="Q29" s="1566">
        <f t="shared" si="2"/>
        <v>1</v>
      </c>
      <c r="R29" s="1565"/>
    </row>
    <row r="30" spans="1:18" ht="20.100000000000001" customHeight="1">
      <c r="A30" s="1565" t="s">
        <v>3081</v>
      </c>
      <c r="B30" s="1665">
        <v>42649</v>
      </c>
      <c r="C30" s="1568" t="s">
        <v>2966</v>
      </c>
      <c r="D30" s="1568" t="s">
        <v>370</v>
      </c>
      <c r="E30" s="1568" t="s">
        <v>3035</v>
      </c>
      <c r="F30" s="1568" t="s">
        <v>3059</v>
      </c>
      <c r="G30" s="1665">
        <v>42649</v>
      </c>
      <c r="H30" s="1566">
        <v>4000</v>
      </c>
      <c r="I30" s="1566">
        <v>0</v>
      </c>
      <c r="J30" s="1566">
        <f>SUMIFS('Vesting Details'!F:F,'Vesting Details'!A:A,A30,'Vesting Details'!E:E,"&gt;="&amp;$B$6,'Vesting Details'!E:E,"&lt;="&amp;$B$7,'Vesting Details'!K:K,"No")</f>
        <v>4000</v>
      </c>
      <c r="K30" s="1566">
        <v>5.875E-3</v>
      </c>
      <c r="L30" s="1566">
        <f t="shared" si="0"/>
        <v>23.5</v>
      </c>
      <c r="M30" s="1566">
        <f>SUMIFS('Vesting Details'!G:G,'Vesting Details'!A:A,A30,'Vesting Details'!H:H,"&gt;="&amp;$B$6,'Vesting Details'!H:H,"&lt;="&amp;$B$7)</f>
        <v>4000</v>
      </c>
      <c r="N30" s="1566">
        <f>SUMIFS('Vesting Details'!F:F,'Vesting Details'!A:A,A30, 'Vesting Details'!J:J,"&gt;"&amp;$B$7,'Vesting Details'!E:E,"&lt;="&amp;$B$7)</f>
        <v>4000</v>
      </c>
      <c r="O30" s="1566">
        <f>SUMIFS('Vesting Details'!G:G,'Vesting Details'!A:A,A30,'Vesting Details'!H:H,"&lt;="&amp;$B$7)</f>
        <v>4000</v>
      </c>
      <c r="P30" s="1566">
        <f t="shared" si="1"/>
        <v>0</v>
      </c>
      <c r="Q30" s="1566">
        <f t="shared" si="2"/>
        <v>1</v>
      </c>
      <c r="R30" s="1565"/>
    </row>
    <row r="31" spans="1:18" ht="20.100000000000001" customHeight="1">
      <c r="A31" s="1565" t="s">
        <v>3080</v>
      </c>
      <c r="B31" s="1665">
        <v>42675</v>
      </c>
      <c r="C31" s="1568" t="s">
        <v>2998</v>
      </c>
      <c r="D31" s="1568" t="s">
        <v>370</v>
      </c>
      <c r="E31" s="1568" t="s">
        <v>3035</v>
      </c>
      <c r="F31" s="1568" t="s">
        <v>3059</v>
      </c>
      <c r="G31" s="1665">
        <v>42675</v>
      </c>
      <c r="H31" s="1566">
        <v>8000</v>
      </c>
      <c r="I31" s="1566">
        <v>0</v>
      </c>
      <c r="J31" s="1566">
        <f>SUMIFS('Vesting Details'!F:F,'Vesting Details'!A:A,A31,'Vesting Details'!E:E,"&gt;="&amp;$B$6,'Vesting Details'!E:E,"&lt;="&amp;$B$7,'Vesting Details'!K:K,"No")</f>
        <v>8000</v>
      </c>
      <c r="K31" s="1566">
        <v>5.875E-3</v>
      </c>
      <c r="L31" s="1566">
        <f t="shared" si="0"/>
        <v>47</v>
      </c>
      <c r="M31" s="1566">
        <f>SUMIFS('Vesting Details'!G:G,'Vesting Details'!A:A,A31,'Vesting Details'!H:H,"&gt;="&amp;$B$6,'Vesting Details'!H:H,"&lt;="&amp;$B$7)</f>
        <v>8000</v>
      </c>
      <c r="N31" s="1566">
        <f>SUMIFS('Vesting Details'!F:F,'Vesting Details'!A:A,A31, 'Vesting Details'!J:J,"&gt;"&amp;$B$7,'Vesting Details'!E:E,"&lt;="&amp;$B$7)</f>
        <v>8000</v>
      </c>
      <c r="O31" s="1566">
        <f>SUMIFS('Vesting Details'!G:G,'Vesting Details'!A:A,A31,'Vesting Details'!H:H,"&lt;="&amp;$B$7)</f>
        <v>8000</v>
      </c>
      <c r="P31" s="1566">
        <f t="shared" si="1"/>
        <v>0</v>
      </c>
      <c r="Q31" s="1566">
        <f t="shared" si="2"/>
        <v>1</v>
      </c>
      <c r="R31" s="1565"/>
    </row>
    <row r="32" spans="1:18" ht="20.100000000000001" customHeight="1">
      <c r="A32" s="1565" t="s">
        <v>3079</v>
      </c>
      <c r="B32" s="1665">
        <v>42963</v>
      </c>
      <c r="C32" s="1568" t="s">
        <v>2999</v>
      </c>
      <c r="D32" s="1568" t="s">
        <v>370</v>
      </c>
      <c r="E32" s="1568" t="s">
        <v>3027</v>
      </c>
      <c r="F32" s="1568" t="s">
        <v>3026</v>
      </c>
      <c r="G32" s="1665">
        <v>42795</v>
      </c>
      <c r="H32" s="1566">
        <v>39086</v>
      </c>
      <c r="I32" s="1566">
        <v>20358</v>
      </c>
      <c r="J32" s="1566">
        <f>SUMIFS('Vesting Details'!F:F,'Vesting Details'!A:A,A32,'Vesting Details'!E:E,"&gt;="&amp;$B$6,'Vesting Details'!E:E,"&lt;="&amp;$B$7,'Vesting Details'!K:K,"No")</f>
        <v>18728</v>
      </c>
      <c r="K32" s="1566">
        <v>0.38</v>
      </c>
      <c r="L32" s="1566">
        <f t="shared" si="0"/>
        <v>7116.64</v>
      </c>
      <c r="M32" s="1566">
        <f>SUMIFS('Vesting Details'!G:G,'Vesting Details'!A:A,A32,'Vesting Details'!H:H,"&gt;="&amp;$B$6,'Vesting Details'!H:H,"&lt;="&amp;$B$7)</f>
        <v>18728</v>
      </c>
      <c r="N32" s="1566">
        <f>SUMIFS('Vesting Details'!F:F,'Vesting Details'!A:A,A32, 'Vesting Details'!J:J,"&gt;"&amp;$B$7,'Vesting Details'!E:E,"&lt;="&amp;$B$7)</f>
        <v>18728</v>
      </c>
      <c r="O32" s="1566">
        <f>SUMIFS('Vesting Details'!G:G,'Vesting Details'!A:A,A32,'Vesting Details'!H:H,"&lt;="&amp;$B$7)</f>
        <v>18728</v>
      </c>
      <c r="P32" s="1566">
        <f t="shared" si="1"/>
        <v>0</v>
      </c>
      <c r="Q32" s="1566">
        <f t="shared" si="2"/>
        <v>0.47914854423578773</v>
      </c>
      <c r="R32" s="1565"/>
    </row>
    <row r="33" spans="1:18" ht="20.100000000000001" customHeight="1">
      <c r="A33" s="1565" t="s">
        <v>3078</v>
      </c>
      <c r="B33" s="1665">
        <v>42963</v>
      </c>
      <c r="C33" s="1568" t="s">
        <v>3056</v>
      </c>
      <c r="D33" s="1568" t="s">
        <v>370</v>
      </c>
      <c r="E33" s="1568" t="s">
        <v>3027</v>
      </c>
      <c r="F33" s="1568" t="s">
        <v>3026</v>
      </c>
      <c r="G33" s="1665">
        <v>42849</v>
      </c>
      <c r="H33" s="1566">
        <v>30000</v>
      </c>
      <c r="I33" s="1566">
        <v>0</v>
      </c>
      <c r="J33" s="1566">
        <f>SUMIFS('Vesting Details'!F:F,'Vesting Details'!A:A,A33,'Vesting Details'!E:E,"&gt;="&amp;$B$6,'Vesting Details'!E:E,"&lt;="&amp;$B$7,'Vesting Details'!K:K,"No")</f>
        <v>10625</v>
      </c>
      <c r="K33" s="1566">
        <v>0.38</v>
      </c>
      <c r="L33" s="1566">
        <f t="shared" si="0"/>
        <v>4037.5</v>
      </c>
      <c r="M33" s="1566">
        <f>SUMIFS('Vesting Details'!G:G,'Vesting Details'!A:A,A33,'Vesting Details'!H:H,"&gt;="&amp;$B$6,'Vesting Details'!H:H,"&lt;="&amp;$B$7)</f>
        <v>0</v>
      </c>
      <c r="N33" s="1566">
        <f>SUMIFS('Vesting Details'!F:F,'Vesting Details'!A:A,A33, 'Vesting Details'!J:J,"&gt;"&amp;$B$7,'Vesting Details'!E:E,"&lt;="&amp;$B$7)</f>
        <v>0</v>
      </c>
      <c r="O33" s="1566">
        <f>SUMIFS('Vesting Details'!G:G,'Vesting Details'!A:A,A33,'Vesting Details'!H:H,"&lt;="&amp;$B$7)</f>
        <v>0</v>
      </c>
      <c r="P33" s="1566">
        <f t="shared" si="1"/>
        <v>0</v>
      </c>
      <c r="Q33" s="1566">
        <f t="shared" si="2"/>
        <v>0</v>
      </c>
      <c r="R33" s="1565"/>
    </row>
    <row r="34" spans="1:18" ht="20.100000000000001" customHeight="1">
      <c r="A34" s="1565" t="s">
        <v>3077</v>
      </c>
      <c r="B34" s="1665">
        <v>42963</v>
      </c>
      <c r="C34" s="1568" t="s">
        <v>3002</v>
      </c>
      <c r="D34" s="1568" t="s">
        <v>370</v>
      </c>
      <c r="E34" s="1568" t="s">
        <v>3027</v>
      </c>
      <c r="F34" s="1568" t="s">
        <v>3076</v>
      </c>
      <c r="G34" s="1665">
        <v>42795</v>
      </c>
      <c r="H34" s="1566">
        <v>39086</v>
      </c>
      <c r="I34" s="1566">
        <v>0</v>
      </c>
      <c r="J34" s="1566">
        <f>SUMIFS('Vesting Details'!F:F,'Vesting Details'!A:A,A34,'Vesting Details'!E:E,"&gt;="&amp;$B$6,'Vesting Details'!E:E,"&lt;="&amp;$B$7,'Vesting Details'!K:K,"No")</f>
        <v>5700</v>
      </c>
      <c r="K34" s="1566">
        <v>0.38</v>
      </c>
      <c r="L34" s="1566">
        <f t="shared" si="0"/>
        <v>2166</v>
      </c>
      <c r="M34" s="1566">
        <f>SUMIFS('Vesting Details'!G:G,'Vesting Details'!A:A,A34,'Vesting Details'!H:H,"&gt;="&amp;$B$6,'Vesting Details'!H:H,"&lt;="&amp;$B$7)</f>
        <v>5700</v>
      </c>
      <c r="N34" s="1566">
        <f>SUMIFS('Vesting Details'!F:F,'Vesting Details'!A:A,A34, 'Vesting Details'!J:J,"&gt;"&amp;$B$7,'Vesting Details'!E:E,"&lt;="&amp;$B$7)</f>
        <v>0</v>
      </c>
      <c r="O34" s="1566">
        <f>SUMIFS('Vesting Details'!G:G,'Vesting Details'!A:A,A34,'Vesting Details'!H:H,"&lt;="&amp;$B$7)</f>
        <v>5700</v>
      </c>
      <c r="P34" s="1566">
        <f t="shared" si="1"/>
        <v>0</v>
      </c>
      <c r="Q34" s="1566">
        <f t="shared" si="2"/>
        <v>0</v>
      </c>
      <c r="R34" s="1565"/>
    </row>
    <row r="35" spans="1:18" ht="20.100000000000001" customHeight="1">
      <c r="A35" s="1565" t="s">
        <v>3075</v>
      </c>
      <c r="B35" s="1665">
        <v>42963</v>
      </c>
      <c r="C35" s="1568" t="s">
        <v>2993</v>
      </c>
      <c r="D35" s="1568" t="s">
        <v>370</v>
      </c>
      <c r="E35" s="1568" t="s">
        <v>3027</v>
      </c>
      <c r="F35" s="1568" t="s">
        <v>3026</v>
      </c>
      <c r="G35" s="1665">
        <v>42947</v>
      </c>
      <c r="H35" s="1566">
        <v>6000</v>
      </c>
      <c r="I35" s="1566">
        <v>6000</v>
      </c>
      <c r="J35" s="1566">
        <f>SUMIFS('Vesting Details'!F:F,'Vesting Details'!A:A,A35,'Vesting Details'!E:E,"&gt;="&amp;$B$6,'Vesting Details'!E:E,"&lt;="&amp;$B$7,'Vesting Details'!K:K,"No")</f>
        <v>2250</v>
      </c>
      <c r="K35" s="1566">
        <v>0.38</v>
      </c>
      <c r="L35" s="1566">
        <f t="shared" si="0"/>
        <v>855</v>
      </c>
      <c r="M35" s="1566">
        <f>SUMIFS('Vesting Details'!G:G,'Vesting Details'!A:A,A35,'Vesting Details'!H:H,"&gt;="&amp;$B$6,'Vesting Details'!H:H,"&lt;="&amp;$B$7)</f>
        <v>0</v>
      </c>
      <c r="N35" s="1566">
        <f>SUMIFS('Vesting Details'!F:F,'Vesting Details'!A:A,A35, 'Vesting Details'!J:J,"&gt;"&amp;$B$7,'Vesting Details'!E:E,"&lt;="&amp;$B$7)</f>
        <v>2250</v>
      </c>
      <c r="O35" s="1566">
        <f>SUMIFS('Vesting Details'!G:G,'Vesting Details'!A:A,A35,'Vesting Details'!H:H,"&lt;="&amp;$B$7)</f>
        <v>0</v>
      </c>
      <c r="P35" s="1566">
        <f t="shared" si="1"/>
        <v>2250</v>
      </c>
      <c r="Q35" s="1566">
        <f t="shared" si="2"/>
        <v>0.375</v>
      </c>
      <c r="R35" s="1565"/>
    </row>
    <row r="36" spans="1:18" ht="20.100000000000001" customHeight="1">
      <c r="A36" s="1565" t="s">
        <v>3074</v>
      </c>
      <c r="B36" s="1665">
        <v>42963</v>
      </c>
      <c r="C36" s="1568" t="s">
        <v>2975</v>
      </c>
      <c r="D36" s="1568" t="s">
        <v>370</v>
      </c>
      <c r="E36" s="1568" t="s">
        <v>3027</v>
      </c>
      <c r="F36" s="1568" t="s">
        <v>3026</v>
      </c>
      <c r="G36" s="1665">
        <v>42947</v>
      </c>
      <c r="H36" s="1566">
        <v>165000</v>
      </c>
      <c r="I36" s="1566">
        <v>165000</v>
      </c>
      <c r="J36" s="1566">
        <f>SUMIFS('Vesting Details'!F:F,'Vesting Details'!A:A,A36,'Vesting Details'!E:E,"&gt;="&amp;$B$6,'Vesting Details'!E:E,"&lt;="&amp;$B$7,'Vesting Details'!K:K,"No")</f>
        <v>61875</v>
      </c>
      <c r="K36" s="1566">
        <v>0.38</v>
      </c>
      <c r="L36" s="1566">
        <f t="shared" si="0"/>
        <v>23512.5</v>
      </c>
      <c r="M36" s="1566">
        <f>SUMIFS('Vesting Details'!G:G,'Vesting Details'!A:A,A36,'Vesting Details'!H:H,"&gt;="&amp;$B$6,'Vesting Details'!H:H,"&lt;="&amp;$B$7)</f>
        <v>0</v>
      </c>
      <c r="N36" s="1566">
        <f>SUMIFS('Vesting Details'!F:F,'Vesting Details'!A:A,A36, 'Vesting Details'!J:J,"&gt;"&amp;$B$7,'Vesting Details'!E:E,"&lt;="&amp;$B$7)</f>
        <v>61875</v>
      </c>
      <c r="O36" s="1566">
        <f>SUMIFS('Vesting Details'!G:G,'Vesting Details'!A:A,A36,'Vesting Details'!H:H,"&lt;="&amp;$B$7)</f>
        <v>0</v>
      </c>
      <c r="P36" s="1566">
        <f t="shared" si="1"/>
        <v>61875</v>
      </c>
      <c r="Q36" s="1566">
        <f t="shared" si="2"/>
        <v>0.375</v>
      </c>
      <c r="R36" s="1565"/>
    </row>
    <row r="37" spans="1:18" ht="20.100000000000001" customHeight="1">
      <c r="A37" s="1565" t="s">
        <v>3073</v>
      </c>
      <c r="B37" s="1665">
        <v>42963</v>
      </c>
      <c r="C37" s="1568" t="s">
        <v>2957</v>
      </c>
      <c r="D37" s="1568" t="s">
        <v>370</v>
      </c>
      <c r="E37" s="1568" t="s">
        <v>3027</v>
      </c>
      <c r="F37" s="1568" t="s">
        <v>3026</v>
      </c>
      <c r="G37" s="1665">
        <v>42942</v>
      </c>
      <c r="H37" s="1566">
        <v>11000</v>
      </c>
      <c r="I37" s="1566">
        <v>11000</v>
      </c>
      <c r="J37" s="1566">
        <f>SUMIFS('Vesting Details'!F:F,'Vesting Details'!A:A,A37,'Vesting Details'!E:E,"&gt;="&amp;$B$6,'Vesting Details'!E:E,"&lt;="&amp;$B$7,'Vesting Details'!K:K,"No")</f>
        <v>4125</v>
      </c>
      <c r="K37" s="1566">
        <v>0.38</v>
      </c>
      <c r="L37" s="1566">
        <f t="shared" si="0"/>
        <v>1567.5</v>
      </c>
      <c r="M37" s="1566">
        <f>SUMIFS('Vesting Details'!G:G,'Vesting Details'!A:A,A37,'Vesting Details'!H:H,"&gt;="&amp;$B$6,'Vesting Details'!H:H,"&lt;="&amp;$B$7)</f>
        <v>0</v>
      </c>
      <c r="N37" s="1566">
        <f>SUMIFS('Vesting Details'!F:F,'Vesting Details'!A:A,A37, 'Vesting Details'!J:J,"&gt;"&amp;$B$7,'Vesting Details'!E:E,"&lt;="&amp;$B$7)</f>
        <v>4125</v>
      </c>
      <c r="O37" s="1566">
        <f>SUMIFS('Vesting Details'!G:G,'Vesting Details'!A:A,A37,'Vesting Details'!H:H,"&lt;="&amp;$B$7)</f>
        <v>0</v>
      </c>
      <c r="P37" s="1566">
        <f t="shared" si="1"/>
        <v>4125</v>
      </c>
      <c r="Q37" s="1566">
        <f t="shared" si="2"/>
        <v>0.375</v>
      </c>
      <c r="R37" s="1565"/>
    </row>
    <row r="38" spans="1:18" ht="20.100000000000001" customHeight="1">
      <c r="A38" s="1565" t="s">
        <v>3072</v>
      </c>
      <c r="B38" s="1665">
        <v>42963</v>
      </c>
      <c r="C38" s="1568" t="s">
        <v>2983</v>
      </c>
      <c r="D38" s="1568" t="s">
        <v>370</v>
      </c>
      <c r="E38" s="1568" t="s">
        <v>3027</v>
      </c>
      <c r="F38" s="1568" t="s">
        <v>3026</v>
      </c>
      <c r="G38" s="1665">
        <v>42795</v>
      </c>
      <c r="H38" s="1566">
        <v>39086</v>
      </c>
      <c r="I38" s="1566">
        <v>24429</v>
      </c>
      <c r="J38" s="1566">
        <f>SUMIFS('Vesting Details'!F:F,'Vesting Details'!A:A,A38,'Vesting Details'!E:E,"&gt;="&amp;$B$6,'Vesting Details'!E:E,"&lt;="&amp;$B$7,'Vesting Details'!K:K,"No")</f>
        <v>18728</v>
      </c>
      <c r="K38" s="1566">
        <v>0.38</v>
      </c>
      <c r="L38" s="1566">
        <f t="shared" si="0"/>
        <v>7116.64</v>
      </c>
      <c r="M38" s="1566">
        <f>SUMIFS('Vesting Details'!G:G,'Vesting Details'!A:A,A38,'Vesting Details'!H:H,"&gt;="&amp;$B$6,'Vesting Details'!H:H,"&lt;="&amp;$B$7)</f>
        <v>14657</v>
      </c>
      <c r="N38" s="1566">
        <f>SUMIFS('Vesting Details'!F:F,'Vesting Details'!A:A,A38, 'Vesting Details'!J:J,"&gt;"&amp;$B$7,'Vesting Details'!E:E,"&lt;="&amp;$B$7)</f>
        <v>18728</v>
      </c>
      <c r="O38" s="1566">
        <f>SUMIFS('Vesting Details'!G:G,'Vesting Details'!A:A,A38,'Vesting Details'!H:H,"&lt;="&amp;$B$7)</f>
        <v>14657</v>
      </c>
      <c r="P38" s="1566">
        <f t="shared" si="1"/>
        <v>4071</v>
      </c>
      <c r="Q38" s="1566">
        <f t="shared" si="2"/>
        <v>0.47914854423578773</v>
      </c>
      <c r="R38" s="1565" t="s">
        <v>3052</v>
      </c>
    </row>
    <row r="39" spans="1:18" ht="20.100000000000001" customHeight="1">
      <c r="A39" s="1565" t="s">
        <v>3071</v>
      </c>
      <c r="B39" s="1665">
        <v>42963</v>
      </c>
      <c r="C39" s="1568" t="s">
        <v>3004</v>
      </c>
      <c r="D39" s="1568" t="s">
        <v>370</v>
      </c>
      <c r="E39" s="1568" t="s">
        <v>3035</v>
      </c>
      <c r="F39" s="1568" t="s">
        <v>3066</v>
      </c>
      <c r="G39" s="1665">
        <v>42894</v>
      </c>
      <c r="H39" s="1566">
        <v>40000</v>
      </c>
      <c r="I39" s="1566">
        <v>40000</v>
      </c>
      <c r="J39" s="1566">
        <f>SUMIFS('Vesting Details'!F:F,'Vesting Details'!A:A,A39,'Vesting Details'!E:E,"&gt;="&amp;$B$6,'Vesting Details'!E:E,"&lt;="&amp;$B$7,'Vesting Details'!K:K,"No")</f>
        <v>16666</v>
      </c>
      <c r="K39" s="1566">
        <v>0.38</v>
      </c>
      <c r="L39" s="1566">
        <f t="shared" si="0"/>
        <v>6333.08</v>
      </c>
      <c r="M39" s="1566">
        <f>SUMIFS('Vesting Details'!G:G,'Vesting Details'!A:A,A39,'Vesting Details'!H:H,"&gt;="&amp;$B$6,'Vesting Details'!H:H,"&lt;="&amp;$B$7)</f>
        <v>0</v>
      </c>
      <c r="N39" s="1566">
        <f>SUMIFS('Vesting Details'!F:F,'Vesting Details'!A:A,A39, 'Vesting Details'!J:J,"&gt;"&amp;$B$7,'Vesting Details'!E:E,"&lt;="&amp;$B$7)</f>
        <v>16666</v>
      </c>
      <c r="O39" s="1566">
        <f>SUMIFS('Vesting Details'!G:G,'Vesting Details'!A:A,A39,'Vesting Details'!H:H,"&lt;="&amp;$B$7)</f>
        <v>0</v>
      </c>
      <c r="P39" s="1566">
        <f t="shared" si="1"/>
        <v>16666</v>
      </c>
      <c r="Q39" s="1566">
        <f t="shared" si="2"/>
        <v>0.41665000000000002</v>
      </c>
      <c r="R39" s="1565"/>
    </row>
    <row r="40" spans="1:18" ht="20.100000000000001" customHeight="1">
      <c r="A40" s="1565" t="s">
        <v>3070</v>
      </c>
      <c r="B40" s="1665">
        <v>42963</v>
      </c>
      <c r="C40" s="1568" t="s">
        <v>2964</v>
      </c>
      <c r="D40" s="1568" t="s">
        <v>370</v>
      </c>
      <c r="E40" s="1568" t="s">
        <v>3027</v>
      </c>
      <c r="F40" s="1568" t="s">
        <v>3026</v>
      </c>
      <c r="G40" s="1665">
        <v>42901</v>
      </c>
      <c r="H40" s="1566">
        <v>4000</v>
      </c>
      <c r="I40" s="1566">
        <v>2417</v>
      </c>
      <c r="J40" s="1566">
        <f>SUMIFS('Vesting Details'!F:F,'Vesting Details'!A:A,A40,'Vesting Details'!E:E,"&gt;="&amp;$B$6,'Vesting Details'!E:E,"&lt;="&amp;$B$7,'Vesting Details'!K:K,"No")</f>
        <v>1666</v>
      </c>
      <c r="K40" s="1566">
        <v>0.38</v>
      </c>
      <c r="L40" s="1566">
        <f t="shared" si="0"/>
        <v>633.08000000000004</v>
      </c>
      <c r="M40" s="1566">
        <f>SUMIFS('Vesting Details'!G:G,'Vesting Details'!A:A,A40,'Vesting Details'!H:H,"&gt;="&amp;$B$6,'Vesting Details'!H:H,"&lt;="&amp;$B$7)</f>
        <v>1583</v>
      </c>
      <c r="N40" s="1566">
        <f>SUMIFS('Vesting Details'!F:F,'Vesting Details'!A:A,A40, 'Vesting Details'!J:J,"&gt;"&amp;$B$7,'Vesting Details'!E:E,"&lt;="&amp;$B$7)</f>
        <v>1666</v>
      </c>
      <c r="O40" s="1566">
        <f>SUMIFS('Vesting Details'!G:G,'Vesting Details'!A:A,A40,'Vesting Details'!H:H,"&lt;="&amp;$B$7)</f>
        <v>1583</v>
      </c>
      <c r="P40" s="1566">
        <f t="shared" si="1"/>
        <v>83</v>
      </c>
      <c r="Q40" s="1566">
        <f t="shared" si="2"/>
        <v>0.41649999999999998</v>
      </c>
      <c r="R40" s="1565"/>
    </row>
    <row r="41" spans="1:18" ht="20.100000000000001" customHeight="1">
      <c r="A41" s="1565" t="s">
        <v>3069</v>
      </c>
      <c r="B41" s="1665">
        <v>42963</v>
      </c>
      <c r="C41" s="1568" t="s">
        <v>2961</v>
      </c>
      <c r="D41" s="1568" t="s">
        <v>370</v>
      </c>
      <c r="E41" s="1568" t="s">
        <v>3027</v>
      </c>
      <c r="F41" s="1568" t="s">
        <v>3026</v>
      </c>
      <c r="G41" s="1665">
        <v>42795</v>
      </c>
      <c r="H41" s="1566">
        <v>39086</v>
      </c>
      <c r="I41" s="1566">
        <v>21986</v>
      </c>
      <c r="J41" s="1566">
        <f>SUMIFS('Vesting Details'!F:F,'Vesting Details'!A:A,A41,'Vesting Details'!E:E,"&gt;="&amp;$B$6,'Vesting Details'!E:E,"&lt;="&amp;$B$7,'Vesting Details'!K:K,"No")</f>
        <v>18728</v>
      </c>
      <c r="K41" s="1566">
        <v>0.38</v>
      </c>
      <c r="L41" s="1566">
        <f t="shared" si="0"/>
        <v>7116.64</v>
      </c>
      <c r="M41" s="1566">
        <f>SUMIFS('Vesting Details'!G:G,'Vesting Details'!A:A,A41,'Vesting Details'!H:H,"&gt;="&amp;$B$6,'Vesting Details'!H:H,"&lt;="&amp;$B$7)</f>
        <v>17100</v>
      </c>
      <c r="N41" s="1566">
        <f>SUMIFS('Vesting Details'!F:F,'Vesting Details'!A:A,A41, 'Vesting Details'!J:J,"&gt;"&amp;$B$7,'Vesting Details'!E:E,"&lt;="&amp;$B$7)</f>
        <v>18728</v>
      </c>
      <c r="O41" s="1566">
        <f>SUMIFS('Vesting Details'!G:G,'Vesting Details'!A:A,A41,'Vesting Details'!H:H,"&lt;="&amp;$B$7)</f>
        <v>17100</v>
      </c>
      <c r="P41" s="1566">
        <f t="shared" si="1"/>
        <v>1628</v>
      </c>
      <c r="Q41" s="1566">
        <f t="shared" si="2"/>
        <v>0.47914854423578773</v>
      </c>
      <c r="R41" s="1565"/>
    </row>
    <row r="42" spans="1:18" ht="20.100000000000001" customHeight="1">
      <c r="A42" s="1565" t="s">
        <v>3068</v>
      </c>
      <c r="B42" s="1665">
        <v>42963</v>
      </c>
      <c r="C42" s="1568" t="s">
        <v>2992</v>
      </c>
      <c r="D42" s="1568" t="s">
        <v>370</v>
      </c>
      <c r="E42" s="1568" t="s">
        <v>3027</v>
      </c>
      <c r="F42" s="1568" t="s">
        <v>3026</v>
      </c>
      <c r="G42" s="1665">
        <v>42863</v>
      </c>
      <c r="H42" s="1566">
        <v>50000</v>
      </c>
      <c r="I42" s="1566">
        <v>37500</v>
      </c>
      <c r="J42" s="1566">
        <f>SUMIFS('Vesting Details'!F:F,'Vesting Details'!A:A,A42,'Vesting Details'!E:E,"&gt;="&amp;$B$6,'Vesting Details'!E:E,"&lt;="&amp;$B$7,'Vesting Details'!K:K,"No")</f>
        <v>21875</v>
      </c>
      <c r="K42" s="1566">
        <v>0.38</v>
      </c>
      <c r="L42" s="1566">
        <f t="shared" ref="L42:L73" si="3">PRODUCT(J42,K42)</f>
        <v>8312.5</v>
      </c>
      <c r="M42" s="1566">
        <f>SUMIFS('Vesting Details'!G:G,'Vesting Details'!A:A,A42,'Vesting Details'!H:H,"&gt;="&amp;$B$6,'Vesting Details'!H:H,"&lt;="&amp;$B$7)</f>
        <v>12500</v>
      </c>
      <c r="N42" s="1566">
        <f>SUMIFS('Vesting Details'!F:F,'Vesting Details'!A:A,A42, 'Vesting Details'!J:J,"&gt;"&amp;$B$7,'Vesting Details'!E:E,"&lt;="&amp;$B$7)</f>
        <v>21875</v>
      </c>
      <c r="O42" s="1566">
        <f>SUMIFS('Vesting Details'!G:G,'Vesting Details'!A:A,A42,'Vesting Details'!H:H,"&lt;="&amp;$B$7)</f>
        <v>12500</v>
      </c>
      <c r="P42" s="1566">
        <f t="shared" ref="P42:P73" si="4">IF(N42 - O42&gt;0,N42 - O42,0)</f>
        <v>9375</v>
      </c>
      <c r="Q42" s="1566">
        <f t="shared" ref="Q42:Q75" si="5">N42/H42</f>
        <v>0.4375</v>
      </c>
      <c r="R42" s="1565"/>
    </row>
    <row r="43" spans="1:18" ht="20.100000000000001" customHeight="1">
      <c r="A43" s="1565" t="s">
        <v>3067</v>
      </c>
      <c r="B43" s="1665">
        <v>43081</v>
      </c>
      <c r="C43" s="1568" t="s">
        <v>2990</v>
      </c>
      <c r="D43" s="1568" t="s">
        <v>370</v>
      </c>
      <c r="E43" s="1568" t="s">
        <v>3035</v>
      </c>
      <c r="F43" s="1568" t="s">
        <v>3066</v>
      </c>
      <c r="G43" s="1665">
        <v>42780</v>
      </c>
      <c r="H43" s="1566">
        <v>20000</v>
      </c>
      <c r="I43" s="1566">
        <v>20000</v>
      </c>
      <c r="J43" s="1566">
        <f>SUMIFS('Vesting Details'!F:F,'Vesting Details'!A:A,A43,'Vesting Details'!E:E,"&gt;="&amp;$B$6,'Vesting Details'!E:E,"&lt;="&amp;$B$7,'Vesting Details'!K:K,"No")</f>
        <v>10000</v>
      </c>
      <c r="K43" s="1566">
        <v>0.81</v>
      </c>
      <c r="L43" s="1566">
        <f t="shared" si="3"/>
        <v>8100.0000000000009</v>
      </c>
      <c r="M43" s="1566">
        <f>SUMIFS('Vesting Details'!G:G,'Vesting Details'!A:A,A43,'Vesting Details'!H:H,"&gt;="&amp;$B$6,'Vesting Details'!H:H,"&lt;="&amp;$B$7)</f>
        <v>0</v>
      </c>
      <c r="N43" s="1566">
        <f>SUMIFS('Vesting Details'!F:F,'Vesting Details'!A:A,A43, 'Vesting Details'!J:J,"&gt;"&amp;$B$7,'Vesting Details'!E:E,"&lt;="&amp;$B$7)</f>
        <v>10000</v>
      </c>
      <c r="O43" s="1566">
        <f>SUMIFS('Vesting Details'!G:G,'Vesting Details'!A:A,A43,'Vesting Details'!H:H,"&lt;="&amp;$B$7)</f>
        <v>0</v>
      </c>
      <c r="P43" s="1566">
        <f t="shared" si="4"/>
        <v>10000</v>
      </c>
      <c r="Q43" s="1566">
        <f t="shared" si="5"/>
        <v>0.5</v>
      </c>
      <c r="R43" s="1565"/>
    </row>
    <row r="44" spans="1:18" ht="20.100000000000001" customHeight="1">
      <c r="A44" s="1565" t="s">
        <v>3065</v>
      </c>
      <c r="B44" s="1665">
        <v>43081</v>
      </c>
      <c r="C44" s="1568" t="s">
        <v>2967</v>
      </c>
      <c r="D44" s="1568" t="s">
        <v>370</v>
      </c>
      <c r="E44" s="1568" t="s">
        <v>3027</v>
      </c>
      <c r="F44" s="1568" t="s">
        <v>3026</v>
      </c>
      <c r="G44" s="1665">
        <v>43003</v>
      </c>
      <c r="H44" s="1566">
        <v>4000</v>
      </c>
      <c r="I44" s="1566">
        <v>4000</v>
      </c>
      <c r="J44" s="1566">
        <f>SUMIFS('Vesting Details'!F:F,'Vesting Details'!A:A,A44,'Vesting Details'!E:E,"&gt;="&amp;$B$6,'Vesting Details'!E:E,"&lt;="&amp;$B$7,'Vesting Details'!K:K,"No")</f>
        <v>1333</v>
      </c>
      <c r="K44" s="1566">
        <v>0.81</v>
      </c>
      <c r="L44" s="1566">
        <f t="shared" si="3"/>
        <v>1079.73</v>
      </c>
      <c r="M44" s="1566">
        <f>SUMIFS('Vesting Details'!G:G,'Vesting Details'!A:A,A44,'Vesting Details'!H:H,"&gt;="&amp;$B$6,'Vesting Details'!H:H,"&lt;="&amp;$B$7)</f>
        <v>0</v>
      </c>
      <c r="N44" s="1566">
        <f>SUMIFS('Vesting Details'!F:F,'Vesting Details'!A:A,A44, 'Vesting Details'!J:J,"&gt;"&amp;$B$7,'Vesting Details'!E:E,"&lt;="&amp;$B$7)</f>
        <v>1333</v>
      </c>
      <c r="O44" s="1566">
        <f>SUMIFS('Vesting Details'!G:G,'Vesting Details'!A:A,A44,'Vesting Details'!H:H,"&lt;="&amp;$B$7)</f>
        <v>0</v>
      </c>
      <c r="P44" s="1566">
        <f t="shared" si="4"/>
        <v>1333</v>
      </c>
      <c r="Q44" s="1566">
        <f t="shared" si="5"/>
        <v>0.33324999999999999</v>
      </c>
      <c r="R44" s="1565"/>
    </row>
    <row r="45" spans="1:18" ht="20.100000000000001" customHeight="1">
      <c r="A45" s="1565" t="s">
        <v>3064</v>
      </c>
      <c r="B45" s="1665">
        <v>43081</v>
      </c>
      <c r="C45" s="1568" t="s">
        <v>2952</v>
      </c>
      <c r="D45" s="1568" t="s">
        <v>370</v>
      </c>
      <c r="E45" s="1568" t="s">
        <v>3027</v>
      </c>
      <c r="F45" s="1568" t="s">
        <v>3026</v>
      </c>
      <c r="G45" s="1665">
        <v>42982</v>
      </c>
      <c r="H45" s="1566">
        <v>10000</v>
      </c>
      <c r="I45" s="1566">
        <v>10000</v>
      </c>
      <c r="J45" s="1566">
        <f>SUMIFS('Vesting Details'!F:F,'Vesting Details'!A:A,A45,'Vesting Details'!E:E,"&gt;="&amp;$B$6,'Vesting Details'!E:E,"&lt;="&amp;$B$7,'Vesting Details'!K:K,"No")</f>
        <v>3541</v>
      </c>
      <c r="K45" s="1566">
        <v>0.81</v>
      </c>
      <c r="L45" s="1566">
        <f t="shared" si="3"/>
        <v>2868.21</v>
      </c>
      <c r="M45" s="1566">
        <f>SUMIFS('Vesting Details'!G:G,'Vesting Details'!A:A,A45,'Vesting Details'!H:H,"&gt;="&amp;$B$6,'Vesting Details'!H:H,"&lt;="&amp;$B$7)</f>
        <v>0</v>
      </c>
      <c r="N45" s="1566">
        <f>SUMIFS('Vesting Details'!F:F,'Vesting Details'!A:A,A45, 'Vesting Details'!J:J,"&gt;"&amp;$B$7,'Vesting Details'!E:E,"&lt;="&amp;$B$7)</f>
        <v>3541</v>
      </c>
      <c r="O45" s="1566">
        <f>SUMIFS('Vesting Details'!G:G,'Vesting Details'!A:A,A45,'Vesting Details'!H:H,"&lt;="&amp;$B$7)</f>
        <v>0</v>
      </c>
      <c r="P45" s="1566">
        <f t="shared" si="4"/>
        <v>3541</v>
      </c>
      <c r="Q45" s="1566">
        <f t="shared" si="5"/>
        <v>0.35410000000000003</v>
      </c>
      <c r="R45" s="1565"/>
    </row>
    <row r="46" spans="1:18" ht="20.100000000000001" customHeight="1">
      <c r="A46" s="1565" t="s">
        <v>3063</v>
      </c>
      <c r="B46" s="1665">
        <v>43088</v>
      </c>
      <c r="C46" s="1568" t="s">
        <v>2960</v>
      </c>
      <c r="D46" s="1568" t="s">
        <v>370</v>
      </c>
      <c r="E46" s="1568" t="s">
        <v>3027</v>
      </c>
      <c r="F46" s="1568" t="s">
        <v>3026</v>
      </c>
      <c r="G46" s="1665">
        <v>43045</v>
      </c>
      <c r="H46" s="1566">
        <v>4000</v>
      </c>
      <c r="I46" s="1566">
        <v>4000</v>
      </c>
      <c r="J46" s="1566">
        <f>SUMIFS('Vesting Details'!F:F,'Vesting Details'!A:A,A46,'Vesting Details'!E:E,"&gt;="&amp;$B$6,'Vesting Details'!E:E,"&lt;="&amp;$B$7,'Vesting Details'!K:K,"No")</f>
        <v>1250</v>
      </c>
      <c r="K46" s="1566">
        <v>0.81</v>
      </c>
      <c r="L46" s="1566">
        <f t="shared" si="3"/>
        <v>1012.5000000000001</v>
      </c>
      <c r="M46" s="1566">
        <f>SUMIFS('Vesting Details'!G:G,'Vesting Details'!A:A,A46,'Vesting Details'!H:H,"&gt;="&amp;$B$6,'Vesting Details'!H:H,"&lt;="&amp;$B$7)</f>
        <v>0</v>
      </c>
      <c r="N46" s="1566">
        <f>SUMIFS('Vesting Details'!F:F,'Vesting Details'!A:A,A46, 'Vesting Details'!J:J,"&gt;"&amp;$B$7,'Vesting Details'!E:E,"&lt;="&amp;$B$7)</f>
        <v>1250</v>
      </c>
      <c r="O46" s="1566">
        <f>SUMIFS('Vesting Details'!G:G,'Vesting Details'!A:A,A46,'Vesting Details'!H:H,"&lt;="&amp;$B$7)</f>
        <v>0</v>
      </c>
      <c r="P46" s="1566">
        <f t="shared" si="4"/>
        <v>1250</v>
      </c>
      <c r="Q46" s="1566">
        <f t="shared" si="5"/>
        <v>0.3125</v>
      </c>
      <c r="R46" s="1565"/>
    </row>
    <row r="47" spans="1:18" ht="20.100000000000001" customHeight="1">
      <c r="A47" s="1565" t="s">
        <v>3062</v>
      </c>
      <c r="B47" s="1665">
        <v>43088</v>
      </c>
      <c r="C47" s="1568" t="s">
        <v>2998</v>
      </c>
      <c r="D47" s="1568" t="s">
        <v>370</v>
      </c>
      <c r="E47" s="1568" t="s">
        <v>3035</v>
      </c>
      <c r="F47" s="1568" t="s">
        <v>3059</v>
      </c>
      <c r="G47" s="1665">
        <v>43088</v>
      </c>
      <c r="H47" s="1566">
        <v>8000</v>
      </c>
      <c r="I47" s="1566">
        <v>8000</v>
      </c>
      <c r="J47" s="1566">
        <f>SUMIFS('Vesting Details'!F:F,'Vesting Details'!A:A,A47,'Vesting Details'!E:E,"&gt;="&amp;$B$6,'Vesting Details'!E:E,"&lt;="&amp;$B$7,'Vesting Details'!K:K,"No")</f>
        <v>8000</v>
      </c>
      <c r="K47" s="1566">
        <v>0.81</v>
      </c>
      <c r="L47" s="1566">
        <f t="shared" si="3"/>
        <v>6480</v>
      </c>
      <c r="M47" s="1566">
        <f>SUMIFS('Vesting Details'!G:G,'Vesting Details'!A:A,A47,'Vesting Details'!H:H,"&gt;="&amp;$B$6,'Vesting Details'!H:H,"&lt;="&amp;$B$7)</f>
        <v>0</v>
      </c>
      <c r="N47" s="1566">
        <f>SUMIFS('Vesting Details'!F:F,'Vesting Details'!A:A,A47, 'Vesting Details'!J:J,"&gt;"&amp;$B$7,'Vesting Details'!E:E,"&lt;="&amp;$B$7)</f>
        <v>8000</v>
      </c>
      <c r="O47" s="1566">
        <f>SUMIFS('Vesting Details'!G:G,'Vesting Details'!A:A,A47,'Vesting Details'!H:H,"&lt;="&amp;$B$7)</f>
        <v>0</v>
      </c>
      <c r="P47" s="1566">
        <f t="shared" si="4"/>
        <v>8000</v>
      </c>
      <c r="Q47" s="1566">
        <f t="shared" si="5"/>
        <v>1</v>
      </c>
      <c r="R47" s="1565"/>
    </row>
    <row r="48" spans="1:18" ht="20.100000000000001" customHeight="1">
      <c r="A48" s="1565" t="s">
        <v>3061</v>
      </c>
      <c r="B48" s="1665">
        <v>43088</v>
      </c>
      <c r="C48" s="1568" t="s">
        <v>2984</v>
      </c>
      <c r="D48" s="1568" t="s">
        <v>370</v>
      </c>
      <c r="E48" s="1568" t="s">
        <v>3035</v>
      </c>
      <c r="F48" s="1568" t="s">
        <v>3059</v>
      </c>
      <c r="G48" s="1665">
        <v>43088</v>
      </c>
      <c r="H48" s="1566">
        <v>48401</v>
      </c>
      <c r="I48" s="1566">
        <v>48401</v>
      </c>
      <c r="J48" s="1566">
        <f>SUMIFS('Vesting Details'!F:F,'Vesting Details'!A:A,A48,'Vesting Details'!E:E,"&gt;="&amp;$B$6,'Vesting Details'!E:E,"&lt;="&amp;$B$7,'Vesting Details'!K:K,"No")</f>
        <v>48401</v>
      </c>
      <c r="K48" s="1566">
        <v>0.81</v>
      </c>
      <c r="L48" s="1566">
        <f t="shared" si="3"/>
        <v>39204.810000000005</v>
      </c>
      <c r="M48" s="1566">
        <f>SUMIFS('Vesting Details'!G:G,'Vesting Details'!A:A,A48,'Vesting Details'!H:H,"&gt;="&amp;$B$6,'Vesting Details'!H:H,"&lt;="&amp;$B$7)</f>
        <v>0</v>
      </c>
      <c r="N48" s="1566">
        <f>SUMIFS('Vesting Details'!F:F,'Vesting Details'!A:A,A48, 'Vesting Details'!J:J,"&gt;"&amp;$B$7,'Vesting Details'!E:E,"&lt;="&amp;$B$7)</f>
        <v>48401</v>
      </c>
      <c r="O48" s="1566">
        <f>SUMIFS('Vesting Details'!G:G,'Vesting Details'!A:A,A48,'Vesting Details'!H:H,"&lt;="&amp;$B$7)</f>
        <v>0</v>
      </c>
      <c r="P48" s="1566">
        <f t="shared" si="4"/>
        <v>48401</v>
      </c>
      <c r="Q48" s="1566">
        <f t="shared" si="5"/>
        <v>1</v>
      </c>
      <c r="R48" s="1565"/>
    </row>
    <row r="49" spans="1:18" ht="20.100000000000001" customHeight="1">
      <c r="A49" s="1565" t="s">
        <v>3060</v>
      </c>
      <c r="B49" s="1665">
        <v>43088</v>
      </c>
      <c r="C49" s="1568" t="s">
        <v>2966</v>
      </c>
      <c r="D49" s="1568" t="s">
        <v>370</v>
      </c>
      <c r="E49" s="1568" t="s">
        <v>3035</v>
      </c>
      <c r="F49" s="1568" t="s">
        <v>3059</v>
      </c>
      <c r="G49" s="1665">
        <v>43088</v>
      </c>
      <c r="H49" s="1566">
        <v>4000</v>
      </c>
      <c r="I49" s="1566">
        <v>4000</v>
      </c>
      <c r="J49" s="1566">
        <f>SUMIFS('Vesting Details'!F:F,'Vesting Details'!A:A,A49,'Vesting Details'!E:E,"&gt;="&amp;$B$6,'Vesting Details'!E:E,"&lt;="&amp;$B$7,'Vesting Details'!K:K,"No")</f>
        <v>4000</v>
      </c>
      <c r="K49" s="1566">
        <v>0.81</v>
      </c>
      <c r="L49" s="1566">
        <f t="shared" si="3"/>
        <v>3240</v>
      </c>
      <c r="M49" s="1566">
        <f>SUMIFS('Vesting Details'!G:G,'Vesting Details'!A:A,A49,'Vesting Details'!H:H,"&gt;="&amp;$B$6,'Vesting Details'!H:H,"&lt;="&amp;$B$7)</f>
        <v>0</v>
      </c>
      <c r="N49" s="1566">
        <f>SUMIFS('Vesting Details'!F:F,'Vesting Details'!A:A,A49, 'Vesting Details'!J:J,"&gt;"&amp;$B$7,'Vesting Details'!E:E,"&lt;="&amp;$B$7)</f>
        <v>4000</v>
      </c>
      <c r="O49" s="1566">
        <f>SUMIFS('Vesting Details'!G:G,'Vesting Details'!A:A,A49,'Vesting Details'!H:H,"&lt;="&amp;$B$7)</f>
        <v>0</v>
      </c>
      <c r="P49" s="1566">
        <f t="shared" si="4"/>
        <v>4000</v>
      </c>
      <c r="Q49" s="1566">
        <f t="shared" si="5"/>
        <v>1</v>
      </c>
      <c r="R49" s="1565"/>
    </row>
    <row r="50" spans="1:18" ht="20.100000000000001" customHeight="1">
      <c r="A50" s="1565" t="s">
        <v>3058</v>
      </c>
      <c r="B50" s="1665">
        <v>43159</v>
      </c>
      <c r="C50" s="1568" t="s">
        <v>2993</v>
      </c>
      <c r="D50" s="1568" t="s">
        <v>370</v>
      </c>
      <c r="E50" s="1568" t="s">
        <v>3027</v>
      </c>
      <c r="F50" s="1568" t="s">
        <v>3026</v>
      </c>
      <c r="G50" s="1665">
        <v>43147</v>
      </c>
      <c r="H50" s="1566">
        <v>5000</v>
      </c>
      <c r="I50" s="1566">
        <v>5000</v>
      </c>
      <c r="J50" s="1566">
        <f>SUMIFS('Vesting Details'!F:F,'Vesting Details'!A:A,A50,'Vesting Details'!E:E,"&gt;="&amp;$B$6,'Vesting Details'!E:E,"&lt;="&amp;$B$7,'Vesting Details'!K:K,"No")</f>
        <v>0</v>
      </c>
      <c r="K50" s="1566">
        <v>0.81</v>
      </c>
      <c r="L50" s="1566">
        <f t="shared" si="3"/>
        <v>0</v>
      </c>
      <c r="M50" s="1566">
        <f>SUMIFS('Vesting Details'!G:G,'Vesting Details'!A:A,A50,'Vesting Details'!H:H,"&gt;="&amp;$B$6,'Vesting Details'!H:H,"&lt;="&amp;$B$7)</f>
        <v>0</v>
      </c>
      <c r="N50" s="1566">
        <f>SUMIFS('Vesting Details'!F:F,'Vesting Details'!A:A,A50, 'Vesting Details'!J:J,"&gt;"&amp;$B$7,'Vesting Details'!E:E,"&lt;="&amp;$B$7)</f>
        <v>0</v>
      </c>
      <c r="O50" s="1566">
        <f>SUMIFS('Vesting Details'!G:G,'Vesting Details'!A:A,A50,'Vesting Details'!H:H,"&lt;="&amp;$B$7)</f>
        <v>0</v>
      </c>
      <c r="P50" s="1566">
        <f t="shared" si="4"/>
        <v>0</v>
      </c>
      <c r="Q50" s="1566">
        <f t="shared" si="5"/>
        <v>0</v>
      </c>
      <c r="R50" s="1565"/>
    </row>
    <row r="51" spans="1:18" ht="20.100000000000001" customHeight="1">
      <c r="A51" s="1565" t="s">
        <v>3057</v>
      </c>
      <c r="B51" s="1665">
        <v>43159</v>
      </c>
      <c r="C51" s="1568" t="s">
        <v>3056</v>
      </c>
      <c r="D51" s="1568" t="s">
        <v>370</v>
      </c>
      <c r="E51" s="1568" t="s">
        <v>3027</v>
      </c>
      <c r="F51" s="1568" t="s">
        <v>3026</v>
      </c>
      <c r="G51" s="1665">
        <v>43147</v>
      </c>
      <c r="H51" s="1566">
        <v>35000</v>
      </c>
      <c r="I51" s="1566">
        <v>0</v>
      </c>
      <c r="J51" s="1566">
        <f>SUMIFS('Vesting Details'!F:F,'Vesting Details'!A:A,A51,'Vesting Details'!E:E,"&gt;="&amp;$B$6,'Vesting Details'!E:E,"&lt;="&amp;$B$7,'Vesting Details'!K:K,"No")</f>
        <v>0</v>
      </c>
      <c r="K51" s="1566">
        <v>0.81</v>
      </c>
      <c r="L51" s="1566">
        <f t="shared" si="3"/>
        <v>0</v>
      </c>
      <c r="M51" s="1566">
        <f>SUMIFS('Vesting Details'!G:G,'Vesting Details'!A:A,A51,'Vesting Details'!H:H,"&gt;="&amp;$B$6,'Vesting Details'!H:H,"&lt;="&amp;$B$7)</f>
        <v>0</v>
      </c>
      <c r="N51" s="1566">
        <f>SUMIFS('Vesting Details'!F:F,'Vesting Details'!A:A,A51, 'Vesting Details'!J:J,"&gt;"&amp;$B$7,'Vesting Details'!E:E,"&lt;="&amp;$B$7)</f>
        <v>0</v>
      </c>
      <c r="O51" s="1566">
        <f>SUMIFS('Vesting Details'!G:G,'Vesting Details'!A:A,A51,'Vesting Details'!H:H,"&lt;="&amp;$B$7)</f>
        <v>0</v>
      </c>
      <c r="P51" s="1566">
        <f t="shared" si="4"/>
        <v>0</v>
      </c>
      <c r="Q51" s="1566">
        <f t="shared" si="5"/>
        <v>0</v>
      </c>
      <c r="R51" s="1565"/>
    </row>
    <row r="52" spans="1:18" ht="20.100000000000001" customHeight="1">
      <c r="A52" s="1565" t="s">
        <v>3055</v>
      </c>
      <c r="B52" s="1665">
        <v>43159</v>
      </c>
      <c r="C52" s="1568" t="s">
        <v>2980</v>
      </c>
      <c r="D52" s="1568" t="s">
        <v>370</v>
      </c>
      <c r="E52" s="1568" t="s">
        <v>3027</v>
      </c>
      <c r="F52" s="1568" t="s">
        <v>3026</v>
      </c>
      <c r="G52" s="1665">
        <v>43147</v>
      </c>
      <c r="H52" s="1566">
        <v>4000</v>
      </c>
      <c r="I52" s="1566">
        <v>0</v>
      </c>
      <c r="J52" s="1566">
        <f>SUMIFS('Vesting Details'!F:F,'Vesting Details'!A:A,A52,'Vesting Details'!E:E,"&gt;="&amp;$B$6,'Vesting Details'!E:E,"&lt;="&amp;$B$7,'Vesting Details'!K:K,"No")</f>
        <v>0</v>
      </c>
      <c r="K52" s="1566">
        <v>0.81</v>
      </c>
      <c r="L52" s="1566">
        <f t="shared" si="3"/>
        <v>0</v>
      </c>
      <c r="M52" s="1566">
        <f>SUMIFS('Vesting Details'!G:G,'Vesting Details'!A:A,A52,'Vesting Details'!H:H,"&gt;="&amp;$B$6,'Vesting Details'!H:H,"&lt;="&amp;$B$7)</f>
        <v>0</v>
      </c>
      <c r="N52" s="1566">
        <f>SUMIFS('Vesting Details'!F:F,'Vesting Details'!A:A,A52, 'Vesting Details'!J:J,"&gt;"&amp;$B$7,'Vesting Details'!E:E,"&lt;="&amp;$B$7)</f>
        <v>0</v>
      </c>
      <c r="O52" s="1566">
        <f>SUMIFS('Vesting Details'!G:G,'Vesting Details'!A:A,A52,'Vesting Details'!H:H,"&lt;="&amp;$B$7)</f>
        <v>0</v>
      </c>
      <c r="P52" s="1566">
        <f t="shared" si="4"/>
        <v>0</v>
      </c>
      <c r="Q52" s="1566">
        <f t="shared" si="5"/>
        <v>0</v>
      </c>
      <c r="R52" s="1565"/>
    </row>
    <row r="53" spans="1:18" ht="20.100000000000001" customHeight="1">
      <c r="A53" s="1565" t="s">
        <v>3054</v>
      </c>
      <c r="B53" s="1665">
        <v>43159</v>
      </c>
      <c r="C53" s="1568" t="s">
        <v>3000</v>
      </c>
      <c r="D53" s="1568" t="s">
        <v>370</v>
      </c>
      <c r="E53" s="1568" t="s">
        <v>3027</v>
      </c>
      <c r="F53" s="1568" t="s">
        <v>3026</v>
      </c>
      <c r="G53" s="1665">
        <v>43147</v>
      </c>
      <c r="H53" s="1566">
        <v>5000</v>
      </c>
      <c r="I53" s="1566">
        <v>5000</v>
      </c>
      <c r="J53" s="1566">
        <f>SUMIFS('Vesting Details'!F:F,'Vesting Details'!A:A,A53,'Vesting Details'!E:E,"&gt;="&amp;$B$6,'Vesting Details'!E:E,"&lt;="&amp;$B$7,'Vesting Details'!K:K,"No")</f>
        <v>0</v>
      </c>
      <c r="K53" s="1566">
        <v>0.81</v>
      </c>
      <c r="L53" s="1566">
        <f t="shared" si="3"/>
        <v>0</v>
      </c>
      <c r="M53" s="1566">
        <f>SUMIFS('Vesting Details'!G:G,'Vesting Details'!A:A,A53,'Vesting Details'!H:H,"&gt;="&amp;$B$6,'Vesting Details'!H:H,"&lt;="&amp;$B$7)</f>
        <v>0</v>
      </c>
      <c r="N53" s="1566">
        <f>SUMIFS('Vesting Details'!F:F,'Vesting Details'!A:A,A53, 'Vesting Details'!J:J,"&gt;"&amp;$B$7,'Vesting Details'!E:E,"&lt;="&amp;$B$7)</f>
        <v>0</v>
      </c>
      <c r="O53" s="1566">
        <f>SUMIFS('Vesting Details'!G:G,'Vesting Details'!A:A,A53,'Vesting Details'!H:H,"&lt;="&amp;$B$7)</f>
        <v>0</v>
      </c>
      <c r="P53" s="1566">
        <f t="shared" si="4"/>
        <v>0</v>
      </c>
      <c r="Q53" s="1566">
        <f t="shared" si="5"/>
        <v>0</v>
      </c>
      <c r="R53" s="1565"/>
    </row>
    <row r="54" spans="1:18" ht="20.100000000000001" customHeight="1">
      <c r="A54" s="1565" t="s">
        <v>3053</v>
      </c>
      <c r="B54" s="1665">
        <v>43159</v>
      </c>
      <c r="C54" s="1568" t="s">
        <v>2983</v>
      </c>
      <c r="D54" s="1568" t="s">
        <v>370</v>
      </c>
      <c r="E54" s="1568" t="s">
        <v>3027</v>
      </c>
      <c r="F54" s="1568" t="s">
        <v>3026</v>
      </c>
      <c r="G54" s="1665">
        <v>43147</v>
      </c>
      <c r="H54" s="1566">
        <v>70000</v>
      </c>
      <c r="I54" s="1566">
        <v>70000</v>
      </c>
      <c r="J54" s="1566">
        <f>SUMIFS('Vesting Details'!F:F,'Vesting Details'!A:A,A54,'Vesting Details'!E:E,"&gt;="&amp;$B$6,'Vesting Details'!E:E,"&lt;="&amp;$B$7,'Vesting Details'!K:K,"No")</f>
        <v>0</v>
      </c>
      <c r="K54" s="1566">
        <v>0.81</v>
      </c>
      <c r="L54" s="1566">
        <f t="shared" si="3"/>
        <v>0</v>
      </c>
      <c r="M54" s="1566">
        <f>SUMIFS('Vesting Details'!G:G,'Vesting Details'!A:A,A54,'Vesting Details'!H:H,"&gt;="&amp;$B$6,'Vesting Details'!H:H,"&lt;="&amp;$B$7)</f>
        <v>0</v>
      </c>
      <c r="N54" s="1566">
        <f>SUMIFS('Vesting Details'!F:F,'Vesting Details'!A:A,A54, 'Vesting Details'!J:J,"&gt;"&amp;$B$7,'Vesting Details'!E:E,"&lt;="&amp;$B$7)</f>
        <v>0</v>
      </c>
      <c r="O54" s="1566">
        <f>SUMIFS('Vesting Details'!G:G,'Vesting Details'!A:A,A54,'Vesting Details'!H:H,"&lt;="&amp;$B$7)</f>
        <v>0</v>
      </c>
      <c r="P54" s="1566">
        <f t="shared" si="4"/>
        <v>0</v>
      </c>
      <c r="Q54" s="1566">
        <f t="shared" si="5"/>
        <v>0</v>
      </c>
      <c r="R54" s="1565" t="s">
        <v>3052</v>
      </c>
    </row>
    <row r="55" spans="1:18" ht="20.100000000000001" customHeight="1">
      <c r="A55" s="1565" t="s">
        <v>3051</v>
      </c>
      <c r="B55" s="1665">
        <v>43159</v>
      </c>
      <c r="C55" s="1568" t="s">
        <v>2961</v>
      </c>
      <c r="D55" s="1568" t="s">
        <v>370</v>
      </c>
      <c r="E55" s="1568" t="s">
        <v>3027</v>
      </c>
      <c r="F55" s="1568" t="s">
        <v>3026</v>
      </c>
      <c r="G55" s="1665">
        <v>43147</v>
      </c>
      <c r="H55" s="1566">
        <v>80000</v>
      </c>
      <c r="I55" s="1566">
        <v>80000</v>
      </c>
      <c r="J55" s="1566">
        <f>SUMIFS('Vesting Details'!F:F,'Vesting Details'!A:A,A55,'Vesting Details'!E:E,"&gt;="&amp;$B$6,'Vesting Details'!E:E,"&lt;="&amp;$B$7,'Vesting Details'!K:K,"No")</f>
        <v>0</v>
      </c>
      <c r="K55" s="1566">
        <v>0.81</v>
      </c>
      <c r="L55" s="1566">
        <f t="shared" si="3"/>
        <v>0</v>
      </c>
      <c r="M55" s="1566">
        <f>SUMIFS('Vesting Details'!G:G,'Vesting Details'!A:A,A55,'Vesting Details'!H:H,"&gt;="&amp;$B$6,'Vesting Details'!H:H,"&lt;="&amp;$B$7)</f>
        <v>0</v>
      </c>
      <c r="N55" s="1566">
        <f>SUMIFS('Vesting Details'!F:F,'Vesting Details'!A:A,A55, 'Vesting Details'!J:J,"&gt;"&amp;$B$7,'Vesting Details'!E:E,"&lt;="&amp;$B$7)</f>
        <v>0</v>
      </c>
      <c r="O55" s="1566">
        <f>SUMIFS('Vesting Details'!G:G,'Vesting Details'!A:A,A55,'Vesting Details'!H:H,"&lt;="&amp;$B$7)</f>
        <v>0</v>
      </c>
      <c r="P55" s="1566">
        <f t="shared" si="4"/>
        <v>0</v>
      </c>
      <c r="Q55" s="1566">
        <f t="shared" si="5"/>
        <v>0</v>
      </c>
      <c r="R55" s="1565"/>
    </row>
    <row r="56" spans="1:18" ht="20.100000000000001" customHeight="1">
      <c r="A56" s="1565" t="s">
        <v>3050</v>
      </c>
      <c r="B56" s="1665">
        <v>43159</v>
      </c>
      <c r="C56" s="1568" t="s">
        <v>2955</v>
      </c>
      <c r="D56" s="1568" t="s">
        <v>370</v>
      </c>
      <c r="E56" s="1568" t="s">
        <v>3027</v>
      </c>
      <c r="F56" s="1568" t="s">
        <v>3026</v>
      </c>
      <c r="G56" s="1665">
        <v>43147</v>
      </c>
      <c r="H56" s="1566">
        <v>35000</v>
      </c>
      <c r="I56" s="1566">
        <v>35000</v>
      </c>
      <c r="J56" s="1566">
        <f>SUMIFS('Vesting Details'!F:F,'Vesting Details'!A:A,A56,'Vesting Details'!E:E,"&gt;="&amp;$B$6,'Vesting Details'!E:E,"&lt;="&amp;$B$7,'Vesting Details'!K:K,"No")</f>
        <v>0</v>
      </c>
      <c r="K56" s="1566">
        <v>0.81</v>
      </c>
      <c r="L56" s="1566">
        <f t="shared" si="3"/>
        <v>0</v>
      </c>
      <c r="M56" s="1566">
        <f>SUMIFS('Vesting Details'!G:G,'Vesting Details'!A:A,A56,'Vesting Details'!H:H,"&gt;="&amp;$B$6,'Vesting Details'!H:H,"&lt;="&amp;$B$7)</f>
        <v>0</v>
      </c>
      <c r="N56" s="1566">
        <f>SUMIFS('Vesting Details'!F:F,'Vesting Details'!A:A,A56, 'Vesting Details'!J:J,"&gt;"&amp;$B$7,'Vesting Details'!E:E,"&lt;="&amp;$B$7)</f>
        <v>0</v>
      </c>
      <c r="O56" s="1566">
        <f>SUMIFS('Vesting Details'!G:G,'Vesting Details'!A:A,A56,'Vesting Details'!H:H,"&lt;="&amp;$B$7)</f>
        <v>0</v>
      </c>
      <c r="P56" s="1566">
        <f t="shared" si="4"/>
        <v>0</v>
      </c>
      <c r="Q56" s="1566">
        <f t="shared" si="5"/>
        <v>0</v>
      </c>
      <c r="R56" s="1565"/>
    </row>
    <row r="57" spans="1:18" ht="20.100000000000001" customHeight="1">
      <c r="A57" s="1565" t="s">
        <v>3049</v>
      </c>
      <c r="B57" s="1665">
        <v>43159</v>
      </c>
      <c r="C57" s="1568" t="s">
        <v>2952</v>
      </c>
      <c r="D57" s="1568" t="s">
        <v>370</v>
      </c>
      <c r="E57" s="1568" t="s">
        <v>3027</v>
      </c>
      <c r="F57" s="1568" t="s">
        <v>3026</v>
      </c>
      <c r="G57" s="1665">
        <v>43147</v>
      </c>
      <c r="H57" s="1566">
        <v>5000</v>
      </c>
      <c r="I57" s="1566">
        <v>5000</v>
      </c>
      <c r="J57" s="1566">
        <f>SUMIFS('Vesting Details'!F:F,'Vesting Details'!A:A,A57,'Vesting Details'!E:E,"&gt;="&amp;$B$6,'Vesting Details'!E:E,"&lt;="&amp;$B$7,'Vesting Details'!K:K,"No")</f>
        <v>0</v>
      </c>
      <c r="K57" s="1566">
        <v>0.81</v>
      </c>
      <c r="L57" s="1566">
        <f t="shared" si="3"/>
        <v>0</v>
      </c>
      <c r="M57" s="1566">
        <f>SUMIFS('Vesting Details'!G:G,'Vesting Details'!A:A,A57,'Vesting Details'!H:H,"&gt;="&amp;$B$6,'Vesting Details'!H:H,"&lt;="&amp;$B$7)</f>
        <v>0</v>
      </c>
      <c r="N57" s="1566">
        <f>SUMIFS('Vesting Details'!F:F,'Vesting Details'!A:A,A57, 'Vesting Details'!J:J,"&gt;"&amp;$B$7,'Vesting Details'!E:E,"&lt;="&amp;$B$7)</f>
        <v>0</v>
      </c>
      <c r="O57" s="1566">
        <f>SUMIFS('Vesting Details'!G:G,'Vesting Details'!A:A,A57,'Vesting Details'!H:H,"&lt;="&amp;$B$7)</f>
        <v>0</v>
      </c>
      <c r="P57" s="1566">
        <f t="shared" si="4"/>
        <v>0</v>
      </c>
      <c r="Q57" s="1566">
        <f t="shared" si="5"/>
        <v>0</v>
      </c>
      <c r="R57" s="1565"/>
    </row>
    <row r="58" spans="1:18" ht="20.100000000000001" customHeight="1">
      <c r="A58" s="1565" t="s">
        <v>3048</v>
      </c>
      <c r="B58" s="1665">
        <v>43159</v>
      </c>
      <c r="C58" s="1568" t="s">
        <v>2978</v>
      </c>
      <c r="D58" s="1568" t="s">
        <v>370</v>
      </c>
      <c r="E58" s="1568" t="s">
        <v>3027</v>
      </c>
      <c r="F58" s="1568" t="s">
        <v>3026</v>
      </c>
      <c r="G58" s="1665">
        <v>43147</v>
      </c>
      <c r="H58" s="1566">
        <v>4000</v>
      </c>
      <c r="I58" s="1566">
        <v>4000</v>
      </c>
      <c r="J58" s="1566">
        <f>SUMIFS('Vesting Details'!F:F,'Vesting Details'!A:A,A58,'Vesting Details'!E:E,"&gt;="&amp;$B$6,'Vesting Details'!E:E,"&lt;="&amp;$B$7,'Vesting Details'!K:K,"No")</f>
        <v>0</v>
      </c>
      <c r="K58" s="1566">
        <v>0.81</v>
      </c>
      <c r="L58" s="1566">
        <f t="shared" si="3"/>
        <v>0</v>
      </c>
      <c r="M58" s="1566">
        <f>SUMIFS('Vesting Details'!G:G,'Vesting Details'!A:A,A58,'Vesting Details'!H:H,"&gt;="&amp;$B$6,'Vesting Details'!H:H,"&lt;="&amp;$B$7)</f>
        <v>0</v>
      </c>
      <c r="N58" s="1566">
        <f>SUMIFS('Vesting Details'!F:F,'Vesting Details'!A:A,A58, 'Vesting Details'!J:J,"&gt;"&amp;$B$7,'Vesting Details'!E:E,"&lt;="&amp;$B$7)</f>
        <v>0</v>
      </c>
      <c r="O58" s="1566">
        <f>SUMIFS('Vesting Details'!G:G,'Vesting Details'!A:A,A58,'Vesting Details'!H:H,"&lt;="&amp;$B$7)</f>
        <v>0</v>
      </c>
      <c r="P58" s="1566">
        <f t="shared" si="4"/>
        <v>0</v>
      </c>
      <c r="Q58" s="1566">
        <f t="shared" si="5"/>
        <v>0</v>
      </c>
      <c r="R58" s="1565"/>
    </row>
    <row r="59" spans="1:18" ht="20.100000000000001" customHeight="1">
      <c r="A59" s="1565" t="s">
        <v>3047</v>
      </c>
      <c r="B59" s="1665">
        <v>43159</v>
      </c>
      <c r="C59" s="1568" t="s">
        <v>2999</v>
      </c>
      <c r="D59" s="1568" t="s">
        <v>370</v>
      </c>
      <c r="E59" s="1568" t="s">
        <v>3027</v>
      </c>
      <c r="F59" s="1568" t="s">
        <v>3026</v>
      </c>
      <c r="G59" s="1665">
        <v>43147</v>
      </c>
      <c r="H59" s="1566">
        <v>60000</v>
      </c>
      <c r="I59" s="1566">
        <v>60000</v>
      </c>
      <c r="J59" s="1566">
        <f>SUMIFS('Vesting Details'!F:F,'Vesting Details'!A:A,A59,'Vesting Details'!E:E,"&gt;="&amp;$B$6,'Vesting Details'!E:E,"&lt;="&amp;$B$7,'Vesting Details'!K:K,"No")</f>
        <v>0</v>
      </c>
      <c r="K59" s="1566">
        <v>0.81</v>
      </c>
      <c r="L59" s="1566">
        <f t="shared" si="3"/>
        <v>0</v>
      </c>
      <c r="M59" s="1566">
        <f>SUMIFS('Vesting Details'!G:G,'Vesting Details'!A:A,A59,'Vesting Details'!H:H,"&gt;="&amp;$B$6,'Vesting Details'!H:H,"&lt;="&amp;$B$7)</f>
        <v>0</v>
      </c>
      <c r="N59" s="1566">
        <f>SUMIFS('Vesting Details'!F:F,'Vesting Details'!A:A,A59, 'Vesting Details'!J:J,"&gt;"&amp;$B$7,'Vesting Details'!E:E,"&lt;="&amp;$B$7)</f>
        <v>0</v>
      </c>
      <c r="O59" s="1566">
        <f>SUMIFS('Vesting Details'!G:G,'Vesting Details'!A:A,A59,'Vesting Details'!H:H,"&lt;="&amp;$B$7)</f>
        <v>0</v>
      </c>
      <c r="P59" s="1566">
        <f t="shared" si="4"/>
        <v>0</v>
      </c>
      <c r="Q59" s="1566">
        <f t="shared" si="5"/>
        <v>0</v>
      </c>
      <c r="R59" s="1565"/>
    </row>
    <row r="60" spans="1:18" ht="20.100000000000001" customHeight="1">
      <c r="A60" s="1565" t="s">
        <v>3046</v>
      </c>
      <c r="B60" s="1665">
        <v>43159</v>
      </c>
      <c r="C60" s="1568" t="s">
        <v>2972</v>
      </c>
      <c r="D60" s="1568" t="s">
        <v>370</v>
      </c>
      <c r="E60" s="1568" t="s">
        <v>3027</v>
      </c>
      <c r="F60" s="1568" t="s">
        <v>3026</v>
      </c>
      <c r="G60" s="1665">
        <v>43147</v>
      </c>
      <c r="H60" s="1566">
        <v>15000</v>
      </c>
      <c r="I60" s="1566">
        <v>15000</v>
      </c>
      <c r="J60" s="1566">
        <f>SUMIFS('Vesting Details'!F:F,'Vesting Details'!A:A,A60,'Vesting Details'!E:E,"&gt;="&amp;$B$6,'Vesting Details'!E:E,"&lt;="&amp;$B$7,'Vesting Details'!K:K,"No")</f>
        <v>0</v>
      </c>
      <c r="K60" s="1566">
        <v>0.81</v>
      </c>
      <c r="L60" s="1566">
        <f t="shared" si="3"/>
        <v>0</v>
      </c>
      <c r="M60" s="1566">
        <f>SUMIFS('Vesting Details'!G:G,'Vesting Details'!A:A,A60,'Vesting Details'!H:H,"&gt;="&amp;$B$6,'Vesting Details'!H:H,"&lt;="&amp;$B$7)</f>
        <v>0</v>
      </c>
      <c r="N60" s="1566">
        <f>SUMIFS('Vesting Details'!F:F,'Vesting Details'!A:A,A60, 'Vesting Details'!J:J,"&gt;"&amp;$B$7,'Vesting Details'!E:E,"&lt;="&amp;$B$7)</f>
        <v>0</v>
      </c>
      <c r="O60" s="1566">
        <f>SUMIFS('Vesting Details'!G:G,'Vesting Details'!A:A,A60,'Vesting Details'!H:H,"&lt;="&amp;$B$7)</f>
        <v>0</v>
      </c>
      <c r="P60" s="1566">
        <f t="shared" si="4"/>
        <v>0</v>
      </c>
      <c r="Q60" s="1566">
        <f t="shared" si="5"/>
        <v>0</v>
      </c>
      <c r="R60" s="1565"/>
    </row>
    <row r="61" spans="1:18" ht="20.100000000000001" customHeight="1">
      <c r="A61" s="1565" t="s">
        <v>3045</v>
      </c>
      <c r="B61" s="1665">
        <v>43159</v>
      </c>
      <c r="C61" s="1568" t="s">
        <v>2969</v>
      </c>
      <c r="D61" s="1568" t="s">
        <v>370</v>
      </c>
      <c r="E61" s="1568" t="s">
        <v>3027</v>
      </c>
      <c r="F61" s="1568" t="s">
        <v>3026</v>
      </c>
      <c r="G61" s="1665">
        <v>43147</v>
      </c>
      <c r="H61" s="1566">
        <v>200000</v>
      </c>
      <c r="I61" s="1566">
        <v>200000</v>
      </c>
      <c r="J61" s="1566">
        <f>SUMIFS('Vesting Details'!F:F,'Vesting Details'!A:A,A61,'Vesting Details'!E:E,"&gt;="&amp;$B$6,'Vesting Details'!E:E,"&lt;="&amp;$B$7,'Vesting Details'!K:K,"No")</f>
        <v>0</v>
      </c>
      <c r="K61" s="1566">
        <v>0.81</v>
      </c>
      <c r="L61" s="1566">
        <f t="shared" si="3"/>
        <v>0</v>
      </c>
      <c r="M61" s="1566">
        <f>SUMIFS('Vesting Details'!G:G,'Vesting Details'!A:A,A61,'Vesting Details'!H:H,"&gt;="&amp;$B$6,'Vesting Details'!H:H,"&lt;="&amp;$B$7)</f>
        <v>0</v>
      </c>
      <c r="N61" s="1566">
        <f>SUMIFS('Vesting Details'!F:F,'Vesting Details'!A:A,A61, 'Vesting Details'!J:J,"&gt;"&amp;$B$7,'Vesting Details'!E:E,"&lt;="&amp;$B$7)</f>
        <v>0</v>
      </c>
      <c r="O61" s="1566">
        <f>SUMIFS('Vesting Details'!G:G,'Vesting Details'!A:A,A61,'Vesting Details'!H:H,"&lt;="&amp;$B$7)</f>
        <v>0</v>
      </c>
      <c r="P61" s="1566">
        <f t="shared" si="4"/>
        <v>0</v>
      </c>
      <c r="Q61" s="1566">
        <f t="shared" si="5"/>
        <v>0</v>
      </c>
      <c r="R61" s="1565"/>
    </row>
    <row r="62" spans="1:18" ht="20.100000000000001" customHeight="1">
      <c r="A62" s="1565" t="s">
        <v>3044</v>
      </c>
      <c r="B62" s="1665">
        <v>43159</v>
      </c>
      <c r="C62" s="1568" t="s">
        <v>2964</v>
      </c>
      <c r="D62" s="1568" t="s">
        <v>370</v>
      </c>
      <c r="E62" s="1568" t="s">
        <v>3027</v>
      </c>
      <c r="F62" s="1568" t="s">
        <v>3026</v>
      </c>
      <c r="G62" s="1665">
        <v>43147</v>
      </c>
      <c r="H62" s="1566">
        <v>5000</v>
      </c>
      <c r="I62" s="1566">
        <v>5000</v>
      </c>
      <c r="J62" s="1566">
        <f>SUMIFS('Vesting Details'!F:F,'Vesting Details'!A:A,A62,'Vesting Details'!E:E,"&gt;="&amp;$B$6,'Vesting Details'!E:E,"&lt;="&amp;$B$7,'Vesting Details'!K:K,"No")</f>
        <v>0</v>
      </c>
      <c r="K62" s="1566">
        <v>0.81</v>
      </c>
      <c r="L62" s="1566">
        <f t="shared" si="3"/>
        <v>0</v>
      </c>
      <c r="M62" s="1566">
        <f>SUMIFS('Vesting Details'!G:G,'Vesting Details'!A:A,A62,'Vesting Details'!H:H,"&gt;="&amp;$B$6,'Vesting Details'!H:H,"&lt;="&amp;$B$7)</f>
        <v>0</v>
      </c>
      <c r="N62" s="1566">
        <f>SUMIFS('Vesting Details'!F:F,'Vesting Details'!A:A,A62, 'Vesting Details'!J:J,"&gt;"&amp;$B$7,'Vesting Details'!E:E,"&lt;="&amp;$B$7)</f>
        <v>0</v>
      </c>
      <c r="O62" s="1566">
        <f>SUMIFS('Vesting Details'!G:G,'Vesting Details'!A:A,A62,'Vesting Details'!H:H,"&lt;="&amp;$B$7)</f>
        <v>0</v>
      </c>
      <c r="P62" s="1566">
        <f t="shared" si="4"/>
        <v>0</v>
      </c>
      <c r="Q62" s="1566">
        <f t="shared" si="5"/>
        <v>0</v>
      </c>
      <c r="R62" s="1565"/>
    </row>
    <row r="63" spans="1:18" ht="20.100000000000001" customHeight="1">
      <c r="A63" s="1565" t="s">
        <v>3043</v>
      </c>
      <c r="B63" s="1665">
        <v>43159</v>
      </c>
      <c r="C63" s="1568" t="s">
        <v>2975</v>
      </c>
      <c r="D63" s="1568" t="s">
        <v>370</v>
      </c>
      <c r="E63" s="1568" t="s">
        <v>3027</v>
      </c>
      <c r="F63" s="1568" t="s">
        <v>3026</v>
      </c>
      <c r="G63" s="1665">
        <v>43147</v>
      </c>
      <c r="H63" s="1566">
        <v>120000</v>
      </c>
      <c r="I63" s="1566">
        <v>120000</v>
      </c>
      <c r="J63" s="1566">
        <f>SUMIFS('Vesting Details'!F:F,'Vesting Details'!A:A,A63,'Vesting Details'!E:E,"&gt;="&amp;$B$6,'Vesting Details'!E:E,"&lt;="&amp;$B$7,'Vesting Details'!K:K,"No")</f>
        <v>0</v>
      </c>
      <c r="K63" s="1566">
        <v>0.81</v>
      </c>
      <c r="L63" s="1566">
        <f t="shared" si="3"/>
        <v>0</v>
      </c>
      <c r="M63" s="1566">
        <f>SUMIFS('Vesting Details'!G:G,'Vesting Details'!A:A,A63,'Vesting Details'!H:H,"&gt;="&amp;$B$6,'Vesting Details'!H:H,"&lt;="&amp;$B$7)</f>
        <v>0</v>
      </c>
      <c r="N63" s="1566">
        <f>SUMIFS('Vesting Details'!F:F,'Vesting Details'!A:A,A63, 'Vesting Details'!J:J,"&gt;"&amp;$B$7,'Vesting Details'!E:E,"&lt;="&amp;$B$7)</f>
        <v>0</v>
      </c>
      <c r="O63" s="1566">
        <f>SUMIFS('Vesting Details'!G:G,'Vesting Details'!A:A,A63,'Vesting Details'!H:H,"&lt;="&amp;$B$7)</f>
        <v>0</v>
      </c>
      <c r="P63" s="1566">
        <f t="shared" si="4"/>
        <v>0</v>
      </c>
      <c r="Q63" s="1566">
        <f t="shared" si="5"/>
        <v>0</v>
      </c>
      <c r="R63" s="1565"/>
    </row>
    <row r="64" spans="1:18" ht="20.100000000000001" customHeight="1">
      <c r="A64" s="1565" t="s">
        <v>3042</v>
      </c>
      <c r="B64" s="1665">
        <v>43159</v>
      </c>
      <c r="C64" s="1568" t="s">
        <v>2957</v>
      </c>
      <c r="D64" s="1568" t="s">
        <v>370</v>
      </c>
      <c r="E64" s="1568" t="s">
        <v>3027</v>
      </c>
      <c r="F64" s="1568" t="s">
        <v>3026</v>
      </c>
      <c r="G64" s="1665">
        <v>43147</v>
      </c>
      <c r="H64" s="1566">
        <v>5000</v>
      </c>
      <c r="I64" s="1566">
        <v>5000</v>
      </c>
      <c r="J64" s="1566">
        <f>SUMIFS('Vesting Details'!F:F,'Vesting Details'!A:A,A64,'Vesting Details'!E:E,"&gt;="&amp;$B$6,'Vesting Details'!E:E,"&lt;="&amp;$B$7,'Vesting Details'!K:K,"No")</f>
        <v>0</v>
      </c>
      <c r="K64" s="1566">
        <v>0.81</v>
      </c>
      <c r="L64" s="1566">
        <f t="shared" si="3"/>
        <v>0</v>
      </c>
      <c r="M64" s="1566">
        <f>SUMIFS('Vesting Details'!G:G,'Vesting Details'!A:A,A64,'Vesting Details'!H:H,"&gt;="&amp;$B$6,'Vesting Details'!H:H,"&lt;="&amp;$B$7)</f>
        <v>0</v>
      </c>
      <c r="N64" s="1566">
        <f>SUMIFS('Vesting Details'!F:F,'Vesting Details'!A:A,A64, 'Vesting Details'!J:J,"&gt;"&amp;$B$7,'Vesting Details'!E:E,"&lt;="&amp;$B$7)</f>
        <v>0</v>
      </c>
      <c r="O64" s="1566">
        <f>SUMIFS('Vesting Details'!G:G,'Vesting Details'!A:A,A64,'Vesting Details'!H:H,"&lt;="&amp;$B$7)</f>
        <v>0</v>
      </c>
      <c r="P64" s="1566">
        <f t="shared" si="4"/>
        <v>0</v>
      </c>
      <c r="Q64" s="1566">
        <f t="shared" si="5"/>
        <v>0</v>
      </c>
      <c r="R64" s="1565"/>
    </row>
    <row r="65" spans="1:18" ht="20.100000000000001" customHeight="1">
      <c r="A65" s="1565" t="s">
        <v>3041</v>
      </c>
      <c r="B65" s="1665">
        <v>43159</v>
      </c>
      <c r="C65" s="1568" t="s">
        <v>2992</v>
      </c>
      <c r="D65" s="1568" t="s">
        <v>370</v>
      </c>
      <c r="E65" s="1568" t="s">
        <v>3027</v>
      </c>
      <c r="F65" s="1568" t="s">
        <v>3026</v>
      </c>
      <c r="G65" s="1665">
        <v>43147</v>
      </c>
      <c r="H65" s="1566">
        <v>30000</v>
      </c>
      <c r="I65" s="1566">
        <v>30000</v>
      </c>
      <c r="J65" s="1566">
        <f>SUMIFS('Vesting Details'!F:F,'Vesting Details'!A:A,A65,'Vesting Details'!E:E,"&gt;="&amp;$B$6,'Vesting Details'!E:E,"&lt;="&amp;$B$7,'Vesting Details'!K:K,"No")</f>
        <v>0</v>
      </c>
      <c r="K65" s="1566">
        <v>0.81</v>
      </c>
      <c r="L65" s="1566">
        <f t="shared" si="3"/>
        <v>0</v>
      </c>
      <c r="M65" s="1566">
        <f>SUMIFS('Vesting Details'!G:G,'Vesting Details'!A:A,A65,'Vesting Details'!H:H,"&gt;="&amp;$B$6,'Vesting Details'!H:H,"&lt;="&amp;$B$7)</f>
        <v>0</v>
      </c>
      <c r="N65" s="1566">
        <f>SUMIFS('Vesting Details'!F:F,'Vesting Details'!A:A,A65, 'Vesting Details'!J:J,"&gt;"&amp;$B$7,'Vesting Details'!E:E,"&lt;="&amp;$B$7)</f>
        <v>0</v>
      </c>
      <c r="O65" s="1566">
        <f>SUMIFS('Vesting Details'!G:G,'Vesting Details'!A:A,A65,'Vesting Details'!H:H,"&lt;="&amp;$B$7)</f>
        <v>0</v>
      </c>
      <c r="P65" s="1566">
        <f t="shared" si="4"/>
        <v>0</v>
      </c>
      <c r="Q65" s="1566">
        <f t="shared" si="5"/>
        <v>0</v>
      </c>
      <c r="R65" s="1565"/>
    </row>
    <row r="66" spans="1:18" ht="20.100000000000001" customHeight="1">
      <c r="A66" s="1565" t="s">
        <v>3040</v>
      </c>
      <c r="B66" s="1665">
        <v>43201</v>
      </c>
      <c r="C66" s="1568" t="s">
        <v>2962</v>
      </c>
      <c r="D66" s="1568" t="s">
        <v>370</v>
      </c>
      <c r="E66" s="1568" t="s">
        <v>3027</v>
      </c>
      <c r="F66" s="1568" t="s">
        <v>3026</v>
      </c>
      <c r="G66" s="1665">
        <v>43143</v>
      </c>
      <c r="H66" s="1566">
        <v>20000</v>
      </c>
      <c r="I66" s="1566">
        <v>20000</v>
      </c>
      <c r="J66" s="1566">
        <f>SUMIFS('Vesting Details'!F:F,'Vesting Details'!A:A,A66,'Vesting Details'!E:E,"&gt;="&amp;$B$6,'Vesting Details'!E:E,"&lt;="&amp;$B$7,'Vesting Details'!K:K,"No")</f>
        <v>5000</v>
      </c>
      <c r="K66" s="1566">
        <v>0.81</v>
      </c>
      <c r="L66" s="1566">
        <f t="shared" si="3"/>
        <v>4050.0000000000005</v>
      </c>
      <c r="M66" s="1566">
        <f>SUMIFS('Vesting Details'!G:G,'Vesting Details'!A:A,A66,'Vesting Details'!H:H,"&gt;="&amp;$B$6,'Vesting Details'!H:H,"&lt;="&amp;$B$7)</f>
        <v>0</v>
      </c>
      <c r="N66" s="1566">
        <f>SUMIFS('Vesting Details'!F:F,'Vesting Details'!A:A,A66, 'Vesting Details'!J:J,"&gt;"&amp;$B$7,'Vesting Details'!E:E,"&lt;="&amp;$B$7)</f>
        <v>5000</v>
      </c>
      <c r="O66" s="1566">
        <f>SUMIFS('Vesting Details'!G:G,'Vesting Details'!A:A,A66,'Vesting Details'!H:H,"&lt;="&amp;$B$7)</f>
        <v>0</v>
      </c>
      <c r="P66" s="1566">
        <f t="shared" si="4"/>
        <v>5000</v>
      </c>
      <c r="Q66" s="1566">
        <f t="shared" si="5"/>
        <v>0.25</v>
      </c>
      <c r="R66" s="1565"/>
    </row>
    <row r="67" spans="1:18" ht="20.100000000000001" customHeight="1">
      <c r="A67" s="1565" t="s">
        <v>3039</v>
      </c>
      <c r="B67" s="1665">
        <v>43264</v>
      </c>
      <c r="C67" s="1568" t="s">
        <v>3005</v>
      </c>
      <c r="D67" s="1568" t="s">
        <v>370</v>
      </c>
      <c r="E67" s="1568" t="s">
        <v>3027</v>
      </c>
      <c r="F67" s="1568" t="s">
        <v>3026</v>
      </c>
      <c r="G67" s="1665">
        <v>43257</v>
      </c>
      <c r="H67" s="1566">
        <v>4000</v>
      </c>
      <c r="I67" s="1566">
        <v>4000</v>
      </c>
      <c r="J67" s="1566">
        <f>SUMIFS('Vesting Details'!F:F,'Vesting Details'!A:A,A67,'Vesting Details'!E:E,"&gt;="&amp;$B$6,'Vesting Details'!E:E,"&lt;="&amp;$B$7,'Vesting Details'!K:K,"No")</f>
        <v>0</v>
      </c>
      <c r="K67" s="1566">
        <v>0.81</v>
      </c>
      <c r="L67" s="1566">
        <f t="shared" si="3"/>
        <v>0</v>
      </c>
      <c r="M67" s="1566">
        <f>SUMIFS('Vesting Details'!G:G,'Vesting Details'!A:A,A67,'Vesting Details'!H:H,"&gt;="&amp;$B$6,'Vesting Details'!H:H,"&lt;="&amp;$B$7)</f>
        <v>0</v>
      </c>
      <c r="N67" s="1566">
        <f>SUMIFS('Vesting Details'!F:F,'Vesting Details'!A:A,A67, 'Vesting Details'!J:J,"&gt;"&amp;$B$7,'Vesting Details'!E:E,"&lt;="&amp;$B$7)</f>
        <v>0</v>
      </c>
      <c r="O67" s="1566">
        <f>SUMIFS('Vesting Details'!G:G,'Vesting Details'!A:A,A67,'Vesting Details'!H:H,"&lt;="&amp;$B$7)</f>
        <v>0</v>
      </c>
      <c r="P67" s="1566">
        <f t="shared" si="4"/>
        <v>0</v>
      </c>
      <c r="Q67" s="1566">
        <f t="shared" si="5"/>
        <v>0</v>
      </c>
      <c r="R67" s="1565"/>
    </row>
    <row r="68" spans="1:18" ht="20.100000000000001" customHeight="1">
      <c r="A68" s="1565" t="s">
        <v>3038</v>
      </c>
      <c r="B68" s="1665">
        <v>43368</v>
      </c>
      <c r="C68" s="1568" t="s">
        <v>3037</v>
      </c>
      <c r="D68" s="1568" t="s">
        <v>370</v>
      </c>
      <c r="E68" s="1568" t="s">
        <v>3027</v>
      </c>
      <c r="F68" s="1568" t="s">
        <v>3026</v>
      </c>
      <c r="G68" s="1665">
        <v>43318</v>
      </c>
      <c r="H68" s="1566">
        <v>50000</v>
      </c>
      <c r="I68" s="1566">
        <v>0</v>
      </c>
      <c r="J68" s="1566">
        <f>SUMIFS('Vesting Details'!F:F,'Vesting Details'!A:A,A68,'Vesting Details'!E:E,"&gt;="&amp;$B$6,'Vesting Details'!E:E,"&lt;="&amp;$B$7,'Vesting Details'!K:K,"No")</f>
        <v>0</v>
      </c>
      <c r="K68" s="1566">
        <v>0.81</v>
      </c>
      <c r="L68" s="1566">
        <f t="shared" si="3"/>
        <v>0</v>
      </c>
      <c r="M68" s="1566">
        <f>SUMIFS('Vesting Details'!G:G,'Vesting Details'!A:A,A68,'Vesting Details'!H:H,"&gt;="&amp;$B$6,'Vesting Details'!H:H,"&lt;="&amp;$B$7)</f>
        <v>0</v>
      </c>
      <c r="N68" s="1566">
        <f>SUMIFS('Vesting Details'!F:F,'Vesting Details'!A:A,A68, 'Vesting Details'!J:J,"&gt;"&amp;$B$7,'Vesting Details'!E:E,"&lt;="&amp;$B$7)</f>
        <v>0</v>
      </c>
      <c r="O68" s="1566">
        <f>SUMIFS('Vesting Details'!G:G,'Vesting Details'!A:A,A68,'Vesting Details'!H:H,"&lt;="&amp;$B$7)</f>
        <v>0</v>
      </c>
      <c r="P68" s="1566">
        <f t="shared" si="4"/>
        <v>0</v>
      </c>
      <c r="Q68" s="1566">
        <f t="shared" si="5"/>
        <v>0</v>
      </c>
      <c r="R68" s="1565"/>
    </row>
    <row r="69" spans="1:18" ht="20.100000000000001" customHeight="1">
      <c r="A69" s="1565" t="s">
        <v>3036</v>
      </c>
      <c r="B69" s="1665">
        <v>43368</v>
      </c>
      <c r="C69" s="1568" t="s">
        <v>3008</v>
      </c>
      <c r="D69" s="1568" t="s">
        <v>370</v>
      </c>
      <c r="E69" s="1568" t="s">
        <v>3035</v>
      </c>
      <c r="F69" s="1568" t="s">
        <v>3026</v>
      </c>
      <c r="G69" s="1665">
        <v>43283</v>
      </c>
      <c r="H69" s="1566">
        <v>12000</v>
      </c>
      <c r="I69" s="1566">
        <v>12000</v>
      </c>
      <c r="J69" s="1566">
        <f>SUMIFS('Vesting Details'!F:F,'Vesting Details'!A:A,A69,'Vesting Details'!E:E,"&gt;="&amp;$B$6,'Vesting Details'!E:E,"&lt;="&amp;$B$7,'Vesting Details'!K:K,"No")</f>
        <v>0</v>
      </c>
      <c r="K69" s="1566">
        <v>0.81</v>
      </c>
      <c r="L69" s="1566">
        <f t="shared" si="3"/>
        <v>0</v>
      </c>
      <c r="M69" s="1566">
        <f>SUMIFS('Vesting Details'!G:G,'Vesting Details'!A:A,A69,'Vesting Details'!H:H,"&gt;="&amp;$B$6,'Vesting Details'!H:H,"&lt;="&amp;$B$7)</f>
        <v>0</v>
      </c>
      <c r="N69" s="1566">
        <f>SUMIFS('Vesting Details'!F:F,'Vesting Details'!A:A,A69, 'Vesting Details'!J:J,"&gt;"&amp;$B$7,'Vesting Details'!E:E,"&lt;="&amp;$B$7)</f>
        <v>0</v>
      </c>
      <c r="O69" s="1566">
        <f>SUMIFS('Vesting Details'!G:G,'Vesting Details'!A:A,A69,'Vesting Details'!H:H,"&lt;="&amp;$B$7)</f>
        <v>0</v>
      </c>
      <c r="P69" s="1566">
        <f t="shared" si="4"/>
        <v>0</v>
      </c>
      <c r="Q69" s="1566">
        <f t="shared" si="5"/>
        <v>0</v>
      </c>
      <c r="R69" s="1565"/>
    </row>
    <row r="70" spans="1:18" ht="20.100000000000001" customHeight="1">
      <c r="A70" s="1565" t="s">
        <v>3034</v>
      </c>
      <c r="B70" s="1665">
        <v>43368</v>
      </c>
      <c r="C70" s="1568" t="s">
        <v>3006</v>
      </c>
      <c r="D70" s="1568" t="s">
        <v>370</v>
      </c>
      <c r="E70" s="1568" t="s">
        <v>3033</v>
      </c>
      <c r="F70" s="1568" t="s">
        <v>3026</v>
      </c>
      <c r="G70" s="1665">
        <v>43339</v>
      </c>
      <c r="H70" s="1566">
        <v>375000</v>
      </c>
      <c r="I70" s="1566">
        <v>375000</v>
      </c>
      <c r="J70" s="1566">
        <f>SUMIFS('Vesting Details'!F:F,'Vesting Details'!A:A,A70,'Vesting Details'!E:E,"&gt;="&amp;$B$6,'Vesting Details'!E:E,"&lt;="&amp;$B$7,'Vesting Details'!K:K,"No")</f>
        <v>0</v>
      </c>
      <c r="K70" s="1566">
        <v>0.81</v>
      </c>
      <c r="L70" s="1566">
        <f t="shared" si="3"/>
        <v>0</v>
      </c>
      <c r="M70" s="1566">
        <f>SUMIFS('Vesting Details'!G:G,'Vesting Details'!A:A,A70,'Vesting Details'!H:H,"&gt;="&amp;$B$6,'Vesting Details'!H:H,"&lt;="&amp;$B$7)</f>
        <v>0</v>
      </c>
      <c r="N70" s="1566">
        <f>SUMIFS('Vesting Details'!F:F,'Vesting Details'!A:A,A70, 'Vesting Details'!J:J,"&gt;"&amp;$B$7,'Vesting Details'!E:E,"&lt;="&amp;$B$7)</f>
        <v>0</v>
      </c>
      <c r="O70" s="1566">
        <f>SUMIFS('Vesting Details'!G:G,'Vesting Details'!A:A,A70,'Vesting Details'!H:H,"&lt;="&amp;$B$7)</f>
        <v>0</v>
      </c>
      <c r="P70" s="1566">
        <f t="shared" si="4"/>
        <v>0</v>
      </c>
      <c r="Q70" s="1566">
        <f t="shared" si="5"/>
        <v>0</v>
      </c>
      <c r="R70" s="1565"/>
    </row>
    <row r="71" spans="1:18" ht="20.100000000000001" customHeight="1">
      <c r="A71" s="1565" t="s">
        <v>3032</v>
      </c>
      <c r="B71" s="1665">
        <v>43368</v>
      </c>
      <c r="C71" s="1568" t="s">
        <v>2981</v>
      </c>
      <c r="D71" s="1568" t="s">
        <v>370</v>
      </c>
      <c r="E71" s="1568" t="s">
        <v>3027</v>
      </c>
      <c r="F71" s="1568" t="s">
        <v>3026</v>
      </c>
      <c r="G71" s="1665">
        <v>43283</v>
      </c>
      <c r="H71" s="1566">
        <v>12000</v>
      </c>
      <c r="I71" s="1566">
        <v>12000</v>
      </c>
      <c r="J71" s="1566">
        <f>SUMIFS('Vesting Details'!F:F,'Vesting Details'!A:A,A71,'Vesting Details'!E:E,"&gt;="&amp;$B$6,'Vesting Details'!E:E,"&lt;="&amp;$B$7,'Vesting Details'!K:K,"No")</f>
        <v>0</v>
      </c>
      <c r="K71" s="1566">
        <v>0.81</v>
      </c>
      <c r="L71" s="1566">
        <f t="shared" si="3"/>
        <v>0</v>
      </c>
      <c r="M71" s="1566">
        <f>SUMIFS('Vesting Details'!G:G,'Vesting Details'!A:A,A71,'Vesting Details'!H:H,"&gt;="&amp;$B$6,'Vesting Details'!H:H,"&lt;="&amp;$B$7)</f>
        <v>0</v>
      </c>
      <c r="N71" s="1566">
        <f>SUMIFS('Vesting Details'!F:F,'Vesting Details'!A:A,A71, 'Vesting Details'!J:J,"&gt;"&amp;$B$7,'Vesting Details'!E:E,"&lt;="&amp;$B$7)</f>
        <v>0</v>
      </c>
      <c r="O71" s="1566">
        <f>SUMIFS('Vesting Details'!G:G,'Vesting Details'!A:A,A71,'Vesting Details'!H:H,"&lt;="&amp;$B$7)</f>
        <v>0</v>
      </c>
      <c r="P71" s="1566">
        <f t="shared" si="4"/>
        <v>0</v>
      </c>
      <c r="Q71" s="1566">
        <f t="shared" si="5"/>
        <v>0</v>
      </c>
      <c r="R71" s="1565"/>
    </row>
    <row r="72" spans="1:18" ht="20.100000000000001" customHeight="1">
      <c r="A72" s="1565" t="s">
        <v>3031</v>
      </c>
      <c r="B72" s="1665">
        <v>43368</v>
      </c>
      <c r="C72" s="1568" t="s">
        <v>2963</v>
      </c>
      <c r="D72" s="1568" t="s">
        <v>370</v>
      </c>
      <c r="E72" s="1568" t="s">
        <v>3027</v>
      </c>
      <c r="F72" s="1568" t="s">
        <v>3026</v>
      </c>
      <c r="G72" s="1665">
        <v>43297</v>
      </c>
      <c r="H72" s="1566">
        <v>60000</v>
      </c>
      <c r="I72" s="1566">
        <v>60000</v>
      </c>
      <c r="J72" s="1566">
        <f>SUMIFS('Vesting Details'!F:F,'Vesting Details'!A:A,A72,'Vesting Details'!E:E,"&gt;="&amp;$B$6,'Vesting Details'!E:E,"&lt;="&amp;$B$7,'Vesting Details'!K:K,"No")</f>
        <v>0</v>
      </c>
      <c r="K72" s="1566">
        <v>0.81</v>
      </c>
      <c r="L72" s="1566">
        <f t="shared" si="3"/>
        <v>0</v>
      </c>
      <c r="M72" s="1566">
        <f>SUMIFS('Vesting Details'!G:G,'Vesting Details'!A:A,A72,'Vesting Details'!H:H,"&gt;="&amp;$B$6,'Vesting Details'!H:H,"&lt;="&amp;$B$7)</f>
        <v>0</v>
      </c>
      <c r="N72" s="1566">
        <f>SUMIFS('Vesting Details'!F:F,'Vesting Details'!A:A,A72, 'Vesting Details'!J:J,"&gt;"&amp;$B$7,'Vesting Details'!E:E,"&lt;="&amp;$B$7)</f>
        <v>0</v>
      </c>
      <c r="O72" s="1566">
        <f>SUMIFS('Vesting Details'!G:G,'Vesting Details'!A:A,A72,'Vesting Details'!H:H,"&lt;="&amp;$B$7)</f>
        <v>0</v>
      </c>
      <c r="P72" s="1566">
        <f t="shared" si="4"/>
        <v>0</v>
      </c>
      <c r="Q72" s="1566">
        <f t="shared" si="5"/>
        <v>0</v>
      </c>
      <c r="R72" s="1565"/>
    </row>
    <row r="73" spans="1:18" ht="20.100000000000001" customHeight="1">
      <c r="A73" s="1565" t="s">
        <v>3030</v>
      </c>
      <c r="B73" s="1665">
        <v>43368</v>
      </c>
      <c r="C73" s="1568" t="s">
        <v>3003</v>
      </c>
      <c r="D73" s="1568" t="s">
        <v>370</v>
      </c>
      <c r="E73" s="1568" t="s">
        <v>3027</v>
      </c>
      <c r="F73" s="1568" t="s">
        <v>3026</v>
      </c>
      <c r="G73" s="1665">
        <v>43318</v>
      </c>
      <c r="H73" s="1566">
        <v>4000</v>
      </c>
      <c r="I73" s="1566">
        <v>4000</v>
      </c>
      <c r="J73" s="1566">
        <f>SUMIFS('Vesting Details'!F:F,'Vesting Details'!A:A,A73,'Vesting Details'!E:E,"&gt;="&amp;$B$6,'Vesting Details'!E:E,"&lt;="&amp;$B$7,'Vesting Details'!K:K,"No")</f>
        <v>0</v>
      </c>
      <c r="K73" s="1566">
        <v>0.81</v>
      </c>
      <c r="L73" s="1566">
        <f t="shared" si="3"/>
        <v>0</v>
      </c>
      <c r="M73" s="1566">
        <f>SUMIFS('Vesting Details'!G:G,'Vesting Details'!A:A,A73,'Vesting Details'!H:H,"&gt;="&amp;$B$6,'Vesting Details'!H:H,"&lt;="&amp;$B$7)</f>
        <v>0</v>
      </c>
      <c r="N73" s="1566">
        <f>SUMIFS('Vesting Details'!F:F,'Vesting Details'!A:A,A73, 'Vesting Details'!J:J,"&gt;"&amp;$B$7,'Vesting Details'!E:E,"&lt;="&amp;$B$7)</f>
        <v>0</v>
      </c>
      <c r="O73" s="1566">
        <f>SUMIFS('Vesting Details'!G:G,'Vesting Details'!A:A,A73,'Vesting Details'!H:H,"&lt;="&amp;$B$7)</f>
        <v>0</v>
      </c>
      <c r="P73" s="1566">
        <f t="shared" si="4"/>
        <v>0</v>
      </c>
      <c r="Q73" s="1566">
        <f t="shared" si="5"/>
        <v>0</v>
      </c>
      <c r="R73" s="1565"/>
    </row>
    <row r="74" spans="1:18" ht="20.100000000000001" customHeight="1">
      <c r="A74" s="1565" t="s">
        <v>3029</v>
      </c>
      <c r="B74" s="1665">
        <v>43431</v>
      </c>
      <c r="C74" s="1568" t="s">
        <v>2971</v>
      </c>
      <c r="D74" s="1568" t="s">
        <v>370</v>
      </c>
      <c r="E74" s="1568" t="s">
        <v>3027</v>
      </c>
      <c r="F74" s="1568" t="s">
        <v>3026</v>
      </c>
      <c r="G74" s="1665">
        <v>43388</v>
      </c>
      <c r="H74" s="1566">
        <v>50000</v>
      </c>
      <c r="I74" s="1566">
        <v>50000</v>
      </c>
      <c r="J74" s="1566">
        <f>SUMIFS('Vesting Details'!F:F,'Vesting Details'!A:A,A74,'Vesting Details'!E:E,"&gt;="&amp;$B$6,'Vesting Details'!E:E,"&lt;="&amp;$B$7,'Vesting Details'!K:K,"No")</f>
        <v>0</v>
      </c>
      <c r="K74" s="1566">
        <v>0.91</v>
      </c>
      <c r="L74" s="1566">
        <f t="shared" ref="L74:L75" si="6">PRODUCT(J74,K74)</f>
        <v>0</v>
      </c>
      <c r="M74" s="1566">
        <f>SUMIFS('Vesting Details'!G:G,'Vesting Details'!A:A,A74,'Vesting Details'!H:H,"&gt;="&amp;$B$6,'Vesting Details'!H:H,"&lt;="&amp;$B$7)</f>
        <v>0</v>
      </c>
      <c r="N74" s="1566">
        <f>SUMIFS('Vesting Details'!F:F,'Vesting Details'!A:A,A74, 'Vesting Details'!J:J,"&gt;"&amp;$B$7,'Vesting Details'!E:E,"&lt;="&amp;$B$7)</f>
        <v>0</v>
      </c>
      <c r="O74" s="1566">
        <f>SUMIFS('Vesting Details'!G:G,'Vesting Details'!A:A,A74,'Vesting Details'!H:H,"&lt;="&amp;$B$7)</f>
        <v>0</v>
      </c>
      <c r="P74" s="1566">
        <f t="shared" ref="P74:P75" si="7">IF(N74 - O74&gt;0,N74 - O74,0)</f>
        <v>0</v>
      </c>
      <c r="Q74" s="1566">
        <f t="shared" si="5"/>
        <v>0</v>
      </c>
      <c r="R74" s="1565"/>
    </row>
    <row r="75" spans="1:18" ht="20.100000000000001" customHeight="1">
      <c r="A75" s="1565" t="s">
        <v>3028</v>
      </c>
      <c r="B75" s="1665">
        <v>43431</v>
      </c>
      <c r="C75" s="1568" t="s">
        <v>2950</v>
      </c>
      <c r="D75" s="1568" t="s">
        <v>370</v>
      </c>
      <c r="E75" s="1568" t="s">
        <v>3027</v>
      </c>
      <c r="F75" s="1568" t="s">
        <v>3026</v>
      </c>
      <c r="G75" s="1665">
        <v>43419</v>
      </c>
      <c r="H75" s="1566">
        <v>45095</v>
      </c>
      <c r="I75" s="1566">
        <v>45095</v>
      </c>
      <c r="J75" s="1566">
        <f>SUMIFS('Vesting Details'!F:F,'Vesting Details'!A:A,A75,'Vesting Details'!E:E,"&gt;="&amp;$B$6,'Vesting Details'!E:E,"&lt;="&amp;$B$7,'Vesting Details'!K:K,"No")</f>
        <v>0</v>
      </c>
      <c r="K75" s="1566">
        <v>0.91</v>
      </c>
      <c r="L75" s="1566">
        <f t="shared" si="6"/>
        <v>0</v>
      </c>
      <c r="M75" s="1566">
        <f>SUMIFS('Vesting Details'!G:G,'Vesting Details'!A:A,A75,'Vesting Details'!H:H,"&gt;="&amp;$B$6,'Vesting Details'!H:H,"&lt;="&amp;$B$7)</f>
        <v>0</v>
      </c>
      <c r="N75" s="1566">
        <f>SUMIFS('Vesting Details'!F:F,'Vesting Details'!A:A,A75, 'Vesting Details'!J:J,"&gt;"&amp;$B$7,'Vesting Details'!E:E,"&lt;="&amp;$B$7)</f>
        <v>0</v>
      </c>
      <c r="O75" s="1566">
        <f>SUMIFS('Vesting Details'!G:G,'Vesting Details'!A:A,A75,'Vesting Details'!H:H,"&lt;="&amp;$B$7)</f>
        <v>0</v>
      </c>
      <c r="P75" s="1566">
        <f t="shared" si="7"/>
        <v>0</v>
      </c>
      <c r="Q75" s="1566">
        <f t="shared" si="5"/>
        <v>0</v>
      </c>
      <c r="R75" s="1565"/>
    </row>
    <row r="85" spans="11:12">
      <c r="K85" s="1666" t="s">
        <v>82</v>
      </c>
      <c r="L85" s="1638" t="s">
        <v>3456</v>
      </c>
    </row>
    <row r="86" spans="11:12">
      <c r="K86" s="1968">
        <f>K10</f>
        <v>0.35</v>
      </c>
      <c r="L86" s="1667">
        <f>SUMIF($K$10:$K$75,$K86,$I$10:$I$75)</f>
        <v>10000</v>
      </c>
    </row>
    <row r="87" spans="11:12">
      <c r="K87" s="1968">
        <f>K11</f>
        <v>5.875E-3</v>
      </c>
      <c r="L87" s="1667">
        <f t="shared" ref="L87:L90" si="8">SUMIF($K$10:$K$75,$K87,$I$10:$I$75)</f>
        <v>79688</v>
      </c>
    </row>
    <row r="88" spans="11:12">
      <c r="K88" s="1968">
        <f>K32</f>
        <v>0.38</v>
      </c>
      <c r="L88" s="1667">
        <f t="shared" si="8"/>
        <v>328690</v>
      </c>
    </row>
    <row r="89" spans="11:12">
      <c r="K89" s="1968">
        <f>K43</f>
        <v>0.81</v>
      </c>
      <c r="L89" s="1667">
        <f t="shared" si="8"/>
        <v>1224401</v>
      </c>
    </row>
    <row r="90" spans="11:12">
      <c r="K90" s="1968">
        <f>K74</f>
        <v>0.91</v>
      </c>
      <c r="L90" s="1667">
        <f t="shared" si="8"/>
        <v>95095</v>
      </c>
    </row>
    <row r="91" spans="11:12">
      <c r="K91" s="1664" t="s">
        <v>3457</v>
      </c>
      <c r="L91" s="1668">
        <f>SUM(L86:L90)</f>
        <v>1737874</v>
      </c>
    </row>
    <row r="92" spans="11:12">
      <c r="K92" s="1664" t="s">
        <v>110</v>
      </c>
      <c r="L92" s="1668">
        <f>SUM(I10:I75)</f>
        <v>1737874</v>
      </c>
    </row>
    <row r="93" spans="11:12">
      <c r="K93"/>
    </row>
    <row r="94" spans="11:12">
      <c r="K94"/>
    </row>
    <row r="95" spans="11:12">
      <c r="K95"/>
    </row>
    <row r="96" spans="11:12">
      <c r="K96"/>
    </row>
    <row r="97" spans="11:11">
      <c r="K97"/>
    </row>
    <row r="98" spans="11:11">
      <c r="K98"/>
    </row>
    <row r="99" spans="11:11">
      <c r="K99"/>
    </row>
    <row r="100" spans="11:11">
      <c r="K100"/>
    </row>
    <row r="101" spans="11:11">
      <c r="K101"/>
    </row>
    <row r="102" spans="11:11">
      <c r="K102"/>
    </row>
    <row r="103" spans="11:11">
      <c r="K103"/>
    </row>
    <row r="104" spans="11:11">
      <c r="K104"/>
    </row>
    <row r="105" spans="11:11">
      <c r="K105"/>
    </row>
    <row r="106" spans="11:11">
      <c r="K106"/>
    </row>
    <row r="107" spans="11:11">
      <c r="K107"/>
    </row>
    <row r="108" spans="11:11">
      <c r="K108"/>
    </row>
    <row r="109" spans="11:11">
      <c r="K109"/>
    </row>
    <row r="110" spans="11:11">
      <c r="K110"/>
    </row>
    <row r="111" spans="11:11">
      <c r="K111"/>
    </row>
    <row r="112" spans="11:11">
      <c r="K112"/>
    </row>
    <row r="113" spans="11:11">
      <c r="K113"/>
    </row>
    <row r="114" spans="11:11">
      <c r="K114"/>
    </row>
    <row r="115" spans="11:11">
      <c r="K115"/>
    </row>
    <row r="116" spans="11:11">
      <c r="K116"/>
    </row>
    <row r="117" spans="11:11">
      <c r="K117"/>
    </row>
    <row r="118" spans="11:11">
      <c r="K118"/>
    </row>
    <row r="119" spans="11:11">
      <c r="K119"/>
    </row>
    <row r="120" spans="11:11">
      <c r="K120"/>
    </row>
    <row r="121" spans="11:11">
      <c r="K121"/>
    </row>
    <row r="122" spans="11:11">
      <c r="K122"/>
    </row>
    <row r="123" spans="11:11">
      <c r="K123"/>
    </row>
    <row r="124" spans="11:11">
      <c r="K124"/>
    </row>
    <row r="125" spans="11:11">
      <c r="K125"/>
    </row>
    <row r="126" spans="11:11">
      <c r="K126"/>
    </row>
    <row r="127" spans="11:11">
      <c r="K127"/>
    </row>
    <row r="128" spans="11:11">
      <c r="K128"/>
    </row>
    <row r="129" spans="11:11">
      <c r="K129"/>
    </row>
    <row r="130" spans="11:11">
      <c r="K130"/>
    </row>
    <row r="131" spans="11:11">
      <c r="K131"/>
    </row>
    <row r="132" spans="11:11">
      <c r="K132"/>
    </row>
    <row r="133" spans="11:11">
      <c r="K133"/>
    </row>
    <row r="134" spans="11:11">
      <c r="K134"/>
    </row>
    <row r="135" spans="11:11">
      <c r="K135"/>
    </row>
    <row r="136" spans="11:11">
      <c r="K136"/>
    </row>
    <row r="137" spans="11:11">
      <c r="K137"/>
    </row>
    <row r="138" spans="11:11">
      <c r="K138"/>
    </row>
    <row r="139" spans="11:11">
      <c r="K139"/>
    </row>
    <row r="140" spans="11:11">
      <c r="K140"/>
    </row>
    <row r="141" spans="11:11">
      <c r="K141"/>
    </row>
    <row r="142" spans="11:11">
      <c r="K142"/>
    </row>
    <row r="143" spans="11:11">
      <c r="K143"/>
    </row>
    <row r="144" spans="11:11">
      <c r="K144"/>
    </row>
    <row r="145" spans="11:11">
      <c r="K145"/>
    </row>
    <row r="146" spans="11:11">
      <c r="K146"/>
    </row>
    <row r="147" spans="11:11">
      <c r="K147"/>
    </row>
    <row r="148" spans="11:11">
      <c r="K148"/>
    </row>
    <row r="149" spans="11:11">
      <c r="K149"/>
    </row>
    <row r="150" spans="11:11">
      <c r="K150"/>
    </row>
    <row r="151" spans="11:11">
      <c r="K151"/>
    </row>
  </sheetData>
  <pageMargins left="0.75" right="0.75" top="1" bottom="1" header="0.5" footer="0.5"/>
  <pageSetup orientation="landscape"/>
  <drawing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88"/>
  <dimension ref="A1:L173"/>
  <sheetViews>
    <sheetView showGridLines="0" topLeftCell="C9" zoomScale="85" zoomScaleNormal="85" workbookViewId="0">
      <pane ySplit="1" topLeftCell="A152" activePane="bottomLeft" state="frozen"/>
      <selection activeCell="A2071" activeCellId="4" sqref="A1 B2075 A2075:B2075 B2074 A2071:B2073"/>
      <selection pane="bottomLeft" activeCell="H167" sqref="H167"/>
    </sheetView>
  </sheetViews>
  <sheetFormatPr defaultRowHeight="15"/>
  <cols>
    <col min="1" max="1" width="28" style="1549" customWidth="1"/>
    <col min="2" max="2" width="16.33203125" style="1549" customWidth="1"/>
    <col min="3" max="3" width="43.1640625" style="1549" customWidth="1"/>
    <col min="4" max="4" width="29.1640625" style="1549" customWidth="1"/>
    <col min="5" max="5" width="32.6640625" style="1549" customWidth="1"/>
    <col min="6" max="6" width="16.33203125" style="1549" customWidth="1"/>
    <col min="7" max="10" width="19.83203125" style="1549" customWidth="1"/>
    <col min="11" max="11" width="15.1640625" style="1549" customWidth="1"/>
    <col min="12" max="12" width="29.1640625" style="1549" customWidth="1"/>
    <col min="13" max="16384" width="9.33203125" style="1549"/>
  </cols>
  <sheetData>
    <row r="1" spans="1:12" ht="20.100000000000001" customHeight="1">
      <c r="A1" s="1564" t="s">
        <v>3307</v>
      </c>
      <c r="B1" s="1563"/>
      <c r="C1" s="1563"/>
      <c r="D1" s="1563"/>
      <c r="E1" s="1563"/>
      <c r="F1" s="1563"/>
      <c r="G1" s="1563"/>
      <c r="H1" s="1563"/>
      <c r="I1" s="1563"/>
      <c r="J1" s="1563"/>
      <c r="K1" s="1563"/>
      <c r="L1" s="1563"/>
    </row>
    <row r="2" spans="1:12" ht="20.100000000000001" customHeight="1">
      <c r="A2" s="1563" t="s">
        <v>3138</v>
      </c>
      <c r="B2" s="1563"/>
      <c r="C2" s="1563"/>
      <c r="D2" s="1563"/>
      <c r="E2" s="1563"/>
      <c r="F2" s="1563"/>
      <c r="G2" s="1563"/>
      <c r="H2" s="1563"/>
      <c r="I2" s="1563"/>
      <c r="J2" s="1563"/>
      <c r="K2" s="1563"/>
      <c r="L2" s="1563"/>
    </row>
    <row r="3" spans="1:12" ht="15.75">
      <c r="A3" s="1563"/>
      <c r="B3" s="1563"/>
      <c r="C3" s="1563"/>
      <c r="D3" s="1563"/>
      <c r="E3" s="1563"/>
      <c r="F3" s="1563"/>
      <c r="G3" s="1563"/>
      <c r="H3" s="1563"/>
      <c r="I3" s="1563"/>
      <c r="J3" s="1563"/>
      <c r="K3" s="1563"/>
      <c r="L3" s="1563"/>
    </row>
    <row r="4" spans="1:12" ht="20.100000000000001" customHeight="1">
      <c r="A4" s="1571" t="s">
        <v>3137</v>
      </c>
      <c r="B4" s="1573"/>
      <c r="C4" s="1574"/>
      <c r="D4" s="1574"/>
      <c r="E4" s="1574"/>
      <c r="F4" s="1573"/>
      <c r="G4" s="1572"/>
      <c r="H4" s="1572"/>
      <c r="I4" s="1572"/>
      <c r="J4" s="1572"/>
      <c r="K4" s="1572"/>
      <c r="L4" s="1571"/>
    </row>
    <row r="5" spans="1:12" ht="20.100000000000001" customHeight="1">
      <c r="A5" s="1571"/>
      <c r="B5" s="1573"/>
      <c r="C5" s="1574"/>
      <c r="D5" s="1574"/>
      <c r="E5" s="1574"/>
      <c r="F5" s="1573"/>
      <c r="G5" s="1572"/>
      <c r="H5" s="1572"/>
      <c r="I5" s="1572"/>
      <c r="J5" s="1572"/>
      <c r="K5" s="1572"/>
      <c r="L5" s="1571"/>
    </row>
    <row r="6" spans="1:12" ht="20.100000000000001" customHeight="1">
      <c r="A6" s="1576" t="s">
        <v>3136</v>
      </c>
      <c r="B6" s="1575" t="s">
        <v>3135</v>
      </c>
      <c r="C6" s="1574"/>
      <c r="D6" s="1574"/>
      <c r="E6" s="1574"/>
      <c r="F6" s="1573"/>
      <c r="G6" s="1572"/>
      <c r="H6" s="1572"/>
      <c r="I6" s="1572"/>
      <c r="J6" s="1572"/>
      <c r="K6" s="1572"/>
      <c r="L6" s="1571"/>
    </row>
    <row r="7" spans="1:12" ht="20.100000000000001" customHeight="1">
      <c r="A7" s="1576" t="s">
        <v>3134</v>
      </c>
      <c r="B7" s="1575" t="s">
        <v>3133</v>
      </c>
      <c r="C7" s="1574"/>
      <c r="D7" s="1574"/>
      <c r="E7" s="1574"/>
      <c r="F7" s="1573"/>
      <c r="G7" s="1572"/>
      <c r="H7" s="1572"/>
      <c r="I7" s="1572"/>
      <c r="J7" s="1572"/>
      <c r="K7" s="1572"/>
      <c r="L7" s="1571"/>
    </row>
    <row r="8" spans="1:12" ht="20.100000000000001" customHeight="1">
      <c r="A8" s="1571"/>
      <c r="B8" s="1573"/>
      <c r="C8" s="1574"/>
      <c r="D8" s="1574"/>
      <c r="E8" s="1574"/>
      <c r="F8" s="1573"/>
      <c r="G8" s="1572"/>
      <c r="H8" s="1572"/>
      <c r="I8" s="1572"/>
      <c r="J8" s="1572"/>
      <c r="K8" s="1572"/>
      <c r="L8" s="1571"/>
    </row>
    <row r="9" spans="1:12" ht="79.5" thickBot="1">
      <c r="A9" s="1562" t="s">
        <v>1743</v>
      </c>
      <c r="B9" s="1569" t="s">
        <v>3132</v>
      </c>
      <c r="C9" s="1570" t="s">
        <v>3131</v>
      </c>
      <c r="D9" s="1570" t="s">
        <v>3306</v>
      </c>
      <c r="E9" s="1570" t="s">
        <v>3128</v>
      </c>
      <c r="F9" s="1569" t="s">
        <v>3127</v>
      </c>
      <c r="G9" s="1561" t="s">
        <v>3305</v>
      </c>
      <c r="H9" s="1561" t="s">
        <v>382</v>
      </c>
      <c r="I9" s="1561" t="s">
        <v>3124</v>
      </c>
      <c r="J9" s="1561" t="s">
        <v>3118</v>
      </c>
      <c r="K9" s="1561" t="s">
        <v>3117</v>
      </c>
      <c r="L9" s="1562" t="s">
        <v>3116</v>
      </c>
    </row>
    <row r="10" spans="1:12" ht="20.100000000000001" customHeight="1">
      <c r="A10" s="1565" t="s">
        <v>3304</v>
      </c>
      <c r="B10" s="1567">
        <v>42502</v>
      </c>
      <c r="C10" s="1568" t="s">
        <v>2969</v>
      </c>
      <c r="D10" s="1568" t="s">
        <v>236</v>
      </c>
      <c r="E10" s="1568" t="s">
        <v>3066</v>
      </c>
      <c r="F10" s="1567">
        <v>42491</v>
      </c>
      <c r="G10" s="1566">
        <v>1150264</v>
      </c>
      <c r="H10" s="1566">
        <v>1150264</v>
      </c>
      <c r="I10" s="1566">
        <f>SUMIFS('Vesting Details'!F:F,'Vesting Details'!A:A,A10,'Vesting Details'!E:E,"&gt;="&amp;$B$6,'Vesting Details'!E:E,"&lt;="&amp;$B$7,'Vesting Details'!K:K,"No")</f>
        <v>790806</v>
      </c>
      <c r="J10" s="1566">
        <f>SUMIFS('Vesting Details'!F:F,'Vesting Details'!A:A,A10,'Vesting Details'!E:E,"&lt;="&amp;$B$7,'Vesting Details'!K:K,"No",'Vesting Details'!J:J,"&gt;"&amp;$B$7) + SUMIFS('Vesting Details'!F:F,'Vesting Details'!A:A,A10,'Vesting Details'!E:E,"&lt;="&amp;$B$7,'Vesting Details'!K:K,"No",'Vesting Details'!J:J,"="&amp;"")</f>
        <v>790806</v>
      </c>
      <c r="K10" s="1566">
        <f t="shared" ref="K10:K41" si="0">J10/G10</f>
        <v>0.68749956531717937</v>
      </c>
      <c r="L10" s="1565"/>
    </row>
    <row r="11" spans="1:12" ht="20.100000000000001" customHeight="1">
      <c r="A11" s="1565" t="s">
        <v>3303</v>
      </c>
      <c r="B11" s="1567">
        <v>42783</v>
      </c>
      <c r="C11" s="1568" t="s">
        <v>2994</v>
      </c>
      <c r="D11" s="1568" t="s">
        <v>236</v>
      </c>
      <c r="E11" s="1568"/>
      <c r="F11" s="1567">
        <v>42783</v>
      </c>
      <c r="G11" s="1566">
        <v>640000</v>
      </c>
      <c r="H11" s="1566">
        <v>640000</v>
      </c>
      <c r="I11" s="1566">
        <f>SUMIFS('Vesting Details'!F:F,'Vesting Details'!A:A,A11,'Vesting Details'!E:E,"&gt;="&amp;$B$6,'Vesting Details'!E:E,"&lt;="&amp;$B$7,'Vesting Details'!K:K,"No")</f>
        <v>640000</v>
      </c>
      <c r="J11" s="1566">
        <f>SUMIFS('Vesting Details'!F:F,'Vesting Details'!A:A,A11,'Vesting Details'!E:E,"&lt;="&amp;$B$7,'Vesting Details'!K:K,"No",'Vesting Details'!J:J,"&gt;"&amp;$B$7) + SUMIFS('Vesting Details'!F:F,'Vesting Details'!A:A,A11,'Vesting Details'!E:E,"&lt;="&amp;$B$7,'Vesting Details'!K:K,"No",'Vesting Details'!J:J,"="&amp;"")</f>
        <v>640000</v>
      </c>
      <c r="K11" s="1566">
        <f t="shared" si="0"/>
        <v>1</v>
      </c>
      <c r="L11" s="1565"/>
    </row>
    <row r="12" spans="1:12" ht="20.100000000000001" customHeight="1">
      <c r="A12" s="1565" t="s">
        <v>3302</v>
      </c>
      <c r="B12" s="1567">
        <v>42783</v>
      </c>
      <c r="C12" s="1568" t="s">
        <v>2998</v>
      </c>
      <c r="D12" s="1568" t="s">
        <v>236</v>
      </c>
      <c r="E12" s="1568"/>
      <c r="F12" s="1567">
        <v>42783</v>
      </c>
      <c r="G12" s="1566">
        <v>160000</v>
      </c>
      <c r="H12" s="1566">
        <v>160000</v>
      </c>
      <c r="I12" s="1566">
        <f>SUMIFS('Vesting Details'!F:F,'Vesting Details'!A:A,A12,'Vesting Details'!E:E,"&gt;="&amp;$B$6,'Vesting Details'!E:E,"&lt;="&amp;$B$7,'Vesting Details'!K:K,"No")</f>
        <v>160000</v>
      </c>
      <c r="J12" s="1566">
        <f>SUMIFS('Vesting Details'!F:F,'Vesting Details'!A:A,A12,'Vesting Details'!E:E,"&lt;="&amp;$B$7,'Vesting Details'!K:K,"No",'Vesting Details'!J:J,"&gt;"&amp;$B$7) + SUMIFS('Vesting Details'!F:F,'Vesting Details'!A:A,A12,'Vesting Details'!E:E,"&lt;="&amp;$B$7,'Vesting Details'!K:K,"No",'Vesting Details'!J:J,"="&amp;"")</f>
        <v>160000</v>
      </c>
      <c r="K12" s="1566">
        <f t="shared" si="0"/>
        <v>1</v>
      </c>
      <c r="L12" s="1565"/>
    </row>
    <row r="13" spans="1:12" ht="20.100000000000001" customHeight="1">
      <c r="A13" s="1565" t="s">
        <v>3301</v>
      </c>
      <c r="B13" s="1567">
        <v>42783</v>
      </c>
      <c r="C13" s="1568" t="s">
        <v>2951</v>
      </c>
      <c r="D13" s="1568" t="s">
        <v>236</v>
      </c>
      <c r="E13" s="1568"/>
      <c r="F13" s="1567">
        <v>42783</v>
      </c>
      <c r="G13" s="1566">
        <v>264301</v>
      </c>
      <c r="H13" s="1566">
        <v>264301</v>
      </c>
      <c r="I13" s="1566">
        <f>SUMIFS('Vesting Details'!F:F,'Vesting Details'!A:A,A13,'Vesting Details'!E:E,"&gt;="&amp;$B$6,'Vesting Details'!E:E,"&lt;="&amp;$B$7,'Vesting Details'!K:K,"No")</f>
        <v>264301</v>
      </c>
      <c r="J13" s="1566">
        <f>SUMIFS('Vesting Details'!F:F,'Vesting Details'!A:A,A13,'Vesting Details'!E:E,"&lt;="&amp;$B$7,'Vesting Details'!K:K,"No",'Vesting Details'!J:J,"&gt;"&amp;$B$7) + SUMIFS('Vesting Details'!F:F,'Vesting Details'!A:A,A13,'Vesting Details'!E:E,"&lt;="&amp;$B$7,'Vesting Details'!K:K,"No",'Vesting Details'!J:J,"="&amp;"")</f>
        <v>264301</v>
      </c>
      <c r="K13" s="1566">
        <f t="shared" si="0"/>
        <v>1</v>
      </c>
      <c r="L13" s="1565"/>
    </row>
    <row r="14" spans="1:12" ht="20.100000000000001" customHeight="1">
      <c r="A14" s="1565" t="s">
        <v>3300</v>
      </c>
      <c r="B14" s="1567">
        <v>42783</v>
      </c>
      <c r="C14" s="1568" t="s">
        <v>2961</v>
      </c>
      <c r="D14" s="1568" t="s">
        <v>236</v>
      </c>
      <c r="E14" s="1568"/>
      <c r="F14" s="1567">
        <v>42783</v>
      </c>
      <c r="G14" s="1566">
        <v>37512</v>
      </c>
      <c r="H14" s="1566">
        <v>37512</v>
      </c>
      <c r="I14" s="1566">
        <f>SUMIFS('Vesting Details'!F:F,'Vesting Details'!A:A,A14,'Vesting Details'!E:E,"&gt;="&amp;$B$6,'Vesting Details'!E:E,"&lt;="&amp;$B$7,'Vesting Details'!K:K,"No")</f>
        <v>37512</v>
      </c>
      <c r="J14" s="1566">
        <f>SUMIFS('Vesting Details'!F:F,'Vesting Details'!A:A,A14,'Vesting Details'!E:E,"&lt;="&amp;$B$7,'Vesting Details'!K:K,"No",'Vesting Details'!J:J,"&gt;"&amp;$B$7) + SUMIFS('Vesting Details'!F:F,'Vesting Details'!A:A,A14,'Vesting Details'!E:E,"&lt;="&amp;$B$7,'Vesting Details'!K:K,"No",'Vesting Details'!J:J,"="&amp;"")</f>
        <v>37512</v>
      </c>
      <c r="K14" s="1566">
        <f t="shared" si="0"/>
        <v>1</v>
      </c>
      <c r="L14" s="1565"/>
    </row>
    <row r="15" spans="1:12" ht="20.100000000000001" customHeight="1">
      <c r="A15" s="1565" t="s">
        <v>3299</v>
      </c>
      <c r="B15" s="1567">
        <v>42783</v>
      </c>
      <c r="C15" s="1568" t="s">
        <v>2961</v>
      </c>
      <c r="D15" s="1568" t="s">
        <v>236</v>
      </c>
      <c r="E15" s="1568"/>
      <c r="F15" s="1567">
        <v>42783</v>
      </c>
      <c r="G15" s="1566">
        <v>31208</v>
      </c>
      <c r="H15" s="1566">
        <v>31208</v>
      </c>
      <c r="I15" s="1566">
        <f>SUMIFS('Vesting Details'!F:F,'Vesting Details'!A:A,A15,'Vesting Details'!E:E,"&gt;="&amp;$B$6,'Vesting Details'!E:E,"&lt;="&amp;$B$7,'Vesting Details'!K:K,"No")</f>
        <v>31208</v>
      </c>
      <c r="J15" s="1566">
        <f>SUMIFS('Vesting Details'!F:F,'Vesting Details'!A:A,A15,'Vesting Details'!E:E,"&lt;="&amp;$B$7,'Vesting Details'!K:K,"No",'Vesting Details'!J:J,"&gt;"&amp;$B$7) + SUMIFS('Vesting Details'!F:F,'Vesting Details'!A:A,A15,'Vesting Details'!E:E,"&lt;="&amp;$B$7,'Vesting Details'!K:K,"No",'Vesting Details'!J:J,"="&amp;"")</f>
        <v>31208</v>
      </c>
      <c r="K15" s="1566">
        <f t="shared" si="0"/>
        <v>1</v>
      </c>
      <c r="L15" s="1565"/>
    </row>
    <row r="16" spans="1:12" ht="20.100000000000001" customHeight="1">
      <c r="A16" s="1565" t="s">
        <v>3298</v>
      </c>
      <c r="B16" s="1567">
        <v>42783</v>
      </c>
      <c r="C16" s="1568" t="s">
        <v>2983</v>
      </c>
      <c r="D16" s="1568" t="s">
        <v>236</v>
      </c>
      <c r="E16" s="1568"/>
      <c r="F16" s="1567">
        <v>42783</v>
      </c>
      <c r="G16" s="1566">
        <v>50432</v>
      </c>
      <c r="H16" s="1566">
        <v>50432</v>
      </c>
      <c r="I16" s="1566">
        <f>SUMIFS('Vesting Details'!F:F,'Vesting Details'!A:A,A16,'Vesting Details'!E:E,"&gt;="&amp;$B$6,'Vesting Details'!E:E,"&lt;="&amp;$B$7,'Vesting Details'!K:K,"No")</f>
        <v>50432</v>
      </c>
      <c r="J16" s="1566">
        <f>SUMIFS('Vesting Details'!F:F,'Vesting Details'!A:A,A16,'Vesting Details'!E:E,"&lt;="&amp;$B$7,'Vesting Details'!K:K,"No",'Vesting Details'!J:J,"&gt;"&amp;$B$7) + SUMIFS('Vesting Details'!F:F,'Vesting Details'!A:A,A16,'Vesting Details'!E:E,"&lt;="&amp;$B$7,'Vesting Details'!K:K,"No",'Vesting Details'!J:J,"="&amp;"")</f>
        <v>50432</v>
      </c>
      <c r="K16" s="1566">
        <f t="shared" si="0"/>
        <v>1</v>
      </c>
      <c r="L16" s="1565" t="s">
        <v>3052</v>
      </c>
    </row>
    <row r="17" spans="1:12" ht="20.100000000000001" customHeight="1">
      <c r="A17" s="1565" t="s">
        <v>3297</v>
      </c>
      <c r="B17" s="1567">
        <v>42783</v>
      </c>
      <c r="C17" s="1568" t="s">
        <v>2983</v>
      </c>
      <c r="D17" s="1568" t="s">
        <v>236</v>
      </c>
      <c r="E17" s="1568"/>
      <c r="F17" s="1567">
        <v>42783</v>
      </c>
      <c r="G17" s="1566">
        <v>120928</v>
      </c>
      <c r="H17" s="1566">
        <v>120928</v>
      </c>
      <c r="I17" s="1566">
        <f>SUMIFS('Vesting Details'!F:F,'Vesting Details'!A:A,A17,'Vesting Details'!E:E,"&gt;="&amp;$B$6,'Vesting Details'!E:E,"&lt;="&amp;$B$7,'Vesting Details'!K:K,"No")</f>
        <v>120928</v>
      </c>
      <c r="J17" s="1566">
        <f>SUMIFS('Vesting Details'!F:F,'Vesting Details'!A:A,A17,'Vesting Details'!E:E,"&lt;="&amp;$B$7,'Vesting Details'!K:K,"No",'Vesting Details'!J:J,"&gt;"&amp;$B$7) + SUMIFS('Vesting Details'!F:F,'Vesting Details'!A:A,A17,'Vesting Details'!E:E,"&lt;="&amp;$B$7,'Vesting Details'!K:K,"No",'Vesting Details'!J:J,"="&amp;"")</f>
        <v>120928</v>
      </c>
      <c r="K17" s="1566">
        <f t="shared" si="0"/>
        <v>1</v>
      </c>
      <c r="L17" s="1565" t="s">
        <v>3052</v>
      </c>
    </row>
    <row r="18" spans="1:12" ht="20.100000000000001" customHeight="1">
      <c r="A18" s="1565" t="s">
        <v>3296</v>
      </c>
      <c r="B18" s="1567">
        <v>42783</v>
      </c>
      <c r="C18" s="1568" t="s">
        <v>2999</v>
      </c>
      <c r="D18" s="1568" t="s">
        <v>236</v>
      </c>
      <c r="E18" s="1568"/>
      <c r="F18" s="1567">
        <v>42783</v>
      </c>
      <c r="G18" s="1566">
        <v>83272</v>
      </c>
      <c r="H18" s="1566">
        <v>83272</v>
      </c>
      <c r="I18" s="1566">
        <f>SUMIFS('Vesting Details'!F:F,'Vesting Details'!A:A,A18,'Vesting Details'!E:E,"&gt;="&amp;$B$6,'Vesting Details'!E:E,"&lt;="&amp;$B$7,'Vesting Details'!K:K,"No")</f>
        <v>83272</v>
      </c>
      <c r="J18" s="1566">
        <f>SUMIFS('Vesting Details'!F:F,'Vesting Details'!A:A,A18,'Vesting Details'!E:E,"&lt;="&amp;$B$7,'Vesting Details'!K:K,"No",'Vesting Details'!J:J,"&gt;"&amp;$B$7) + SUMIFS('Vesting Details'!F:F,'Vesting Details'!A:A,A18,'Vesting Details'!E:E,"&lt;="&amp;$B$7,'Vesting Details'!K:K,"No",'Vesting Details'!J:J,"="&amp;"")</f>
        <v>83272</v>
      </c>
      <c r="K18" s="1566">
        <f t="shared" si="0"/>
        <v>1</v>
      </c>
      <c r="L18" s="1565"/>
    </row>
    <row r="19" spans="1:12" ht="20.100000000000001" customHeight="1">
      <c r="A19" s="1565" t="s">
        <v>3295</v>
      </c>
      <c r="B19" s="1567">
        <v>42783</v>
      </c>
      <c r="C19" s="1568" t="s">
        <v>3002</v>
      </c>
      <c r="D19" s="1568" t="s">
        <v>236</v>
      </c>
      <c r="E19" s="1568"/>
      <c r="F19" s="1567">
        <v>42783</v>
      </c>
      <c r="G19" s="1566">
        <v>79712</v>
      </c>
      <c r="H19" s="1566">
        <v>79712</v>
      </c>
      <c r="I19" s="1566">
        <f>SUMIFS('Vesting Details'!F:F,'Vesting Details'!A:A,A19,'Vesting Details'!E:E,"&gt;="&amp;$B$6,'Vesting Details'!E:E,"&lt;="&amp;$B$7,'Vesting Details'!K:K,"No")</f>
        <v>79712</v>
      </c>
      <c r="J19" s="1566">
        <f>SUMIFS('Vesting Details'!F:F,'Vesting Details'!A:A,A19,'Vesting Details'!E:E,"&lt;="&amp;$B$7,'Vesting Details'!K:K,"No",'Vesting Details'!J:J,"&gt;"&amp;$B$7) + SUMIFS('Vesting Details'!F:F,'Vesting Details'!A:A,A19,'Vesting Details'!E:E,"&lt;="&amp;$B$7,'Vesting Details'!K:K,"No",'Vesting Details'!J:J,"="&amp;"")</f>
        <v>79712</v>
      </c>
      <c r="K19" s="1566">
        <f t="shared" si="0"/>
        <v>1</v>
      </c>
      <c r="L19" s="1565"/>
    </row>
    <row r="20" spans="1:12" ht="20.100000000000001" customHeight="1">
      <c r="A20" s="1565" t="s">
        <v>3294</v>
      </c>
      <c r="B20" s="1567">
        <v>42783</v>
      </c>
      <c r="C20" s="1568" t="s">
        <v>2972</v>
      </c>
      <c r="D20" s="1568" t="s">
        <v>236</v>
      </c>
      <c r="E20" s="1568"/>
      <c r="F20" s="1567">
        <v>42783</v>
      </c>
      <c r="G20" s="1566">
        <v>18000</v>
      </c>
      <c r="H20" s="1566">
        <v>18000</v>
      </c>
      <c r="I20" s="1566">
        <f>SUMIFS('Vesting Details'!F:F,'Vesting Details'!A:A,A20,'Vesting Details'!E:E,"&gt;="&amp;$B$6,'Vesting Details'!E:E,"&lt;="&amp;$B$7,'Vesting Details'!K:K,"No")</f>
        <v>18000</v>
      </c>
      <c r="J20" s="1566">
        <f>SUMIFS('Vesting Details'!F:F,'Vesting Details'!A:A,A20,'Vesting Details'!E:E,"&lt;="&amp;$B$7,'Vesting Details'!K:K,"No",'Vesting Details'!J:J,"&gt;"&amp;$B$7) + SUMIFS('Vesting Details'!F:F,'Vesting Details'!A:A,A20,'Vesting Details'!E:E,"&lt;="&amp;$B$7,'Vesting Details'!K:K,"No",'Vesting Details'!J:J,"="&amp;"")</f>
        <v>18000</v>
      </c>
      <c r="K20" s="1566">
        <f t="shared" si="0"/>
        <v>1</v>
      </c>
      <c r="L20" s="1565"/>
    </row>
    <row r="21" spans="1:12" ht="20.100000000000001" customHeight="1">
      <c r="A21" s="1565" t="s">
        <v>3293</v>
      </c>
      <c r="B21" s="1567">
        <v>42783</v>
      </c>
      <c r="C21" s="1568" t="s">
        <v>2980</v>
      </c>
      <c r="D21" s="1568" t="s">
        <v>236</v>
      </c>
      <c r="E21" s="1568"/>
      <c r="F21" s="1567">
        <v>42783</v>
      </c>
      <c r="G21" s="1566">
        <v>7000</v>
      </c>
      <c r="H21" s="1566">
        <v>7000</v>
      </c>
      <c r="I21" s="1566">
        <f>SUMIFS('Vesting Details'!F:F,'Vesting Details'!A:A,A21,'Vesting Details'!E:E,"&gt;="&amp;$B$6,'Vesting Details'!E:E,"&lt;="&amp;$B$7,'Vesting Details'!K:K,"No")</f>
        <v>7000</v>
      </c>
      <c r="J21" s="1566">
        <f>SUMIFS('Vesting Details'!F:F,'Vesting Details'!A:A,A21,'Vesting Details'!E:E,"&lt;="&amp;$B$7,'Vesting Details'!K:K,"No",'Vesting Details'!J:J,"&gt;"&amp;$B$7) + SUMIFS('Vesting Details'!F:F,'Vesting Details'!A:A,A21,'Vesting Details'!E:E,"&lt;="&amp;$B$7,'Vesting Details'!K:K,"No",'Vesting Details'!J:J,"="&amp;"")</f>
        <v>7000</v>
      </c>
      <c r="K21" s="1566">
        <f t="shared" si="0"/>
        <v>1</v>
      </c>
      <c r="L21" s="1565"/>
    </row>
    <row r="22" spans="1:12" ht="20.100000000000001" customHeight="1">
      <c r="A22" s="1565" t="s">
        <v>3292</v>
      </c>
      <c r="B22" s="1567">
        <v>42783</v>
      </c>
      <c r="C22" s="1568" t="s">
        <v>3000</v>
      </c>
      <c r="D22" s="1568" t="s">
        <v>236</v>
      </c>
      <c r="E22" s="1568"/>
      <c r="F22" s="1567">
        <v>42783</v>
      </c>
      <c r="G22" s="1566">
        <v>2000</v>
      </c>
      <c r="H22" s="1566">
        <v>2000</v>
      </c>
      <c r="I22" s="1566">
        <f>SUMIFS('Vesting Details'!F:F,'Vesting Details'!A:A,A22,'Vesting Details'!E:E,"&gt;="&amp;$B$6,'Vesting Details'!E:E,"&lt;="&amp;$B$7,'Vesting Details'!K:K,"No")</f>
        <v>2000</v>
      </c>
      <c r="J22" s="1566">
        <f>SUMIFS('Vesting Details'!F:F,'Vesting Details'!A:A,A22,'Vesting Details'!E:E,"&lt;="&amp;$B$7,'Vesting Details'!K:K,"No",'Vesting Details'!J:J,"&gt;"&amp;$B$7) + SUMIFS('Vesting Details'!F:F,'Vesting Details'!A:A,A22,'Vesting Details'!E:E,"&lt;="&amp;$B$7,'Vesting Details'!K:K,"No",'Vesting Details'!J:J,"="&amp;"")</f>
        <v>2000</v>
      </c>
      <c r="K22" s="1566">
        <f t="shared" si="0"/>
        <v>1</v>
      </c>
      <c r="L22" s="1565"/>
    </row>
    <row r="23" spans="1:12" ht="20.100000000000001" customHeight="1">
      <c r="A23" s="1565" t="s">
        <v>3291</v>
      </c>
      <c r="B23" s="1567">
        <v>42783</v>
      </c>
      <c r="C23" s="1568" t="s">
        <v>2977</v>
      </c>
      <c r="D23" s="1568" t="s">
        <v>236</v>
      </c>
      <c r="E23" s="1568"/>
      <c r="F23" s="1567">
        <v>42783</v>
      </c>
      <c r="G23" s="1566">
        <v>6504</v>
      </c>
      <c r="H23" s="1566">
        <v>6504</v>
      </c>
      <c r="I23" s="1566">
        <f>SUMIFS('Vesting Details'!F:F,'Vesting Details'!A:A,A23,'Vesting Details'!E:E,"&gt;="&amp;$B$6,'Vesting Details'!E:E,"&lt;="&amp;$B$7,'Vesting Details'!K:K,"No")</f>
        <v>6504</v>
      </c>
      <c r="J23" s="1566">
        <f>SUMIFS('Vesting Details'!F:F,'Vesting Details'!A:A,A23,'Vesting Details'!E:E,"&lt;="&amp;$B$7,'Vesting Details'!K:K,"No",'Vesting Details'!J:J,"&gt;"&amp;$B$7) + SUMIFS('Vesting Details'!F:F,'Vesting Details'!A:A,A23,'Vesting Details'!E:E,"&lt;="&amp;$B$7,'Vesting Details'!K:K,"No",'Vesting Details'!J:J,"="&amp;"")</f>
        <v>6504</v>
      </c>
      <c r="K23" s="1566">
        <f t="shared" si="0"/>
        <v>1</v>
      </c>
      <c r="L23" s="1565"/>
    </row>
    <row r="24" spans="1:12" ht="20.100000000000001" customHeight="1">
      <c r="A24" s="1565" t="s">
        <v>3290</v>
      </c>
      <c r="B24" s="1567">
        <v>42783</v>
      </c>
      <c r="C24" s="1568" t="s">
        <v>2986</v>
      </c>
      <c r="D24" s="1568" t="s">
        <v>236</v>
      </c>
      <c r="E24" s="1568"/>
      <c r="F24" s="1567">
        <v>42783</v>
      </c>
      <c r="G24" s="1566">
        <v>60608</v>
      </c>
      <c r="H24" s="1566">
        <v>60608</v>
      </c>
      <c r="I24" s="1566">
        <f>SUMIFS('Vesting Details'!F:F,'Vesting Details'!A:A,A24,'Vesting Details'!E:E,"&gt;="&amp;$B$6,'Vesting Details'!E:E,"&lt;="&amp;$B$7,'Vesting Details'!K:K,"No")</f>
        <v>60608</v>
      </c>
      <c r="J24" s="1566">
        <f>SUMIFS('Vesting Details'!F:F,'Vesting Details'!A:A,A24,'Vesting Details'!E:E,"&lt;="&amp;$B$7,'Vesting Details'!K:K,"No",'Vesting Details'!J:J,"&gt;"&amp;$B$7) + SUMIFS('Vesting Details'!F:F,'Vesting Details'!A:A,A24,'Vesting Details'!E:E,"&lt;="&amp;$B$7,'Vesting Details'!K:K,"No",'Vesting Details'!J:J,"="&amp;"")</f>
        <v>60608</v>
      </c>
      <c r="K24" s="1566">
        <f t="shared" si="0"/>
        <v>1</v>
      </c>
      <c r="L24" s="1565"/>
    </row>
    <row r="25" spans="1:12" ht="20.100000000000001" customHeight="1">
      <c r="A25" s="1565" t="s">
        <v>3289</v>
      </c>
      <c r="B25" s="1567">
        <v>42783</v>
      </c>
      <c r="C25" s="1568" t="s">
        <v>2974</v>
      </c>
      <c r="D25" s="1568" t="s">
        <v>3149</v>
      </c>
      <c r="E25" s="1568"/>
      <c r="F25" s="1567">
        <v>42783</v>
      </c>
      <c r="G25" s="1566">
        <v>469064</v>
      </c>
      <c r="H25" s="1566">
        <v>0</v>
      </c>
      <c r="I25" s="1566">
        <f>SUMIFS('Vesting Details'!F:F,'Vesting Details'!A:A,A25,'Vesting Details'!E:E,"&gt;="&amp;$B$6,'Vesting Details'!E:E,"&lt;="&amp;$B$7,'Vesting Details'!K:K,"No")</f>
        <v>469064</v>
      </c>
      <c r="J25" s="1566">
        <f>SUMIFS('Vesting Details'!F:F,'Vesting Details'!A:A,A25,'Vesting Details'!E:E,"&lt;="&amp;$B$7,'Vesting Details'!K:K,"No",'Vesting Details'!J:J,"&gt;"&amp;$B$7) + SUMIFS('Vesting Details'!F:F,'Vesting Details'!A:A,A25,'Vesting Details'!E:E,"&lt;="&amp;$B$7,'Vesting Details'!K:K,"No",'Vesting Details'!J:J,"="&amp;"")</f>
        <v>0</v>
      </c>
      <c r="K25" s="1566">
        <f t="shared" si="0"/>
        <v>0</v>
      </c>
      <c r="L25" s="1565"/>
    </row>
    <row r="26" spans="1:12" ht="20.100000000000001" customHeight="1">
      <c r="A26" s="1565" t="s">
        <v>3288</v>
      </c>
      <c r="B26" s="1567">
        <v>42783</v>
      </c>
      <c r="C26" s="1568" t="s">
        <v>2982</v>
      </c>
      <c r="D26" s="1568" t="s">
        <v>3149</v>
      </c>
      <c r="E26" s="1568"/>
      <c r="F26" s="1567">
        <v>42783</v>
      </c>
      <c r="G26" s="1566">
        <v>78176</v>
      </c>
      <c r="H26" s="1566">
        <v>78176</v>
      </c>
      <c r="I26" s="1566">
        <f>SUMIFS('Vesting Details'!F:F,'Vesting Details'!A:A,A26,'Vesting Details'!E:E,"&gt;="&amp;$B$6,'Vesting Details'!E:E,"&lt;="&amp;$B$7,'Vesting Details'!K:K,"No")</f>
        <v>78176</v>
      </c>
      <c r="J26" s="1566">
        <f>SUMIFS('Vesting Details'!F:F,'Vesting Details'!A:A,A26,'Vesting Details'!E:E,"&lt;="&amp;$B$7,'Vesting Details'!K:K,"No",'Vesting Details'!J:J,"&gt;"&amp;$B$7) + SUMIFS('Vesting Details'!F:F,'Vesting Details'!A:A,A26,'Vesting Details'!E:E,"&lt;="&amp;$B$7,'Vesting Details'!K:K,"No",'Vesting Details'!J:J,"="&amp;"")</f>
        <v>78176</v>
      </c>
      <c r="K26" s="1566">
        <f t="shared" si="0"/>
        <v>1</v>
      </c>
      <c r="L26" s="1565"/>
    </row>
    <row r="27" spans="1:12" ht="20.100000000000001" customHeight="1">
      <c r="A27" s="1565" t="s">
        <v>3287</v>
      </c>
      <c r="B27" s="1567">
        <v>42783</v>
      </c>
      <c r="C27" s="1568" t="s">
        <v>2988</v>
      </c>
      <c r="D27" s="1568" t="s">
        <v>3149</v>
      </c>
      <c r="E27" s="1568"/>
      <c r="F27" s="1567">
        <v>42783</v>
      </c>
      <c r="G27" s="1566">
        <v>78176</v>
      </c>
      <c r="H27" s="1566">
        <v>78176</v>
      </c>
      <c r="I27" s="1566">
        <f>SUMIFS('Vesting Details'!F:F,'Vesting Details'!A:A,A27,'Vesting Details'!E:E,"&gt;="&amp;$B$6,'Vesting Details'!E:E,"&lt;="&amp;$B$7,'Vesting Details'!K:K,"No")</f>
        <v>78176</v>
      </c>
      <c r="J27" s="1566">
        <f>SUMIFS('Vesting Details'!F:F,'Vesting Details'!A:A,A27,'Vesting Details'!E:E,"&lt;="&amp;$B$7,'Vesting Details'!K:K,"No",'Vesting Details'!J:J,"&gt;"&amp;$B$7) + SUMIFS('Vesting Details'!F:F,'Vesting Details'!A:A,A27,'Vesting Details'!E:E,"&lt;="&amp;$B$7,'Vesting Details'!K:K,"No",'Vesting Details'!J:J,"="&amp;"")</f>
        <v>78176</v>
      </c>
      <c r="K27" s="1566">
        <f t="shared" si="0"/>
        <v>1</v>
      </c>
      <c r="L27" s="1565"/>
    </row>
    <row r="28" spans="1:12" ht="20.100000000000001" customHeight="1">
      <c r="A28" s="1565" t="s">
        <v>3286</v>
      </c>
      <c r="B28" s="1567">
        <v>42783</v>
      </c>
      <c r="C28" s="1568" t="s">
        <v>2996</v>
      </c>
      <c r="D28" s="1568" t="s">
        <v>3149</v>
      </c>
      <c r="E28" s="1568"/>
      <c r="F28" s="1567">
        <v>42783</v>
      </c>
      <c r="G28" s="1566">
        <v>52120</v>
      </c>
      <c r="H28" s="1566">
        <v>52120</v>
      </c>
      <c r="I28" s="1566">
        <f>SUMIFS('Vesting Details'!F:F,'Vesting Details'!A:A,A28,'Vesting Details'!E:E,"&gt;="&amp;$B$6,'Vesting Details'!E:E,"&lt;="&amp;$B$7,'Vesting Details'!K:K,"No")</f>
        <v>52120</v>
      </c>
      <c r="J28" s="1566">
        <f>SUMIFS('Vesting Details'!F:F,'Vesting Details'!A:A,A28,'Vesting Details'!E:E,"&lt;="&amp;$B$7,'Vesting Details'!K:K,"No",'Vesting Details'!J:J,"&gt;"&amp;$B$7) + SUMIFS('Vesting Details'!F:F,'Vesting Details'!A:A,A28,'Vesting Details'!E:E,"&lt;="&amp;$B$7,'Vesting Details'!K:K,"No",'Vesting Details'!J:J,"="&amp;"")</f>
        <v>52120</v>
      </c>
      <c r="K28" s="1566">
        <f t="shared" si="0"/>
        <v>1</v>
      </c>
      <c r="L28" s="1565"/>
    </row>
    <row r="29" spans="1:12" ht="20.100000000000001" customHeight="1">
      <c r="A29" s="1565" t="s">
        <v>3285</v>
      </c>
      <c r="B29" s="1567">
        <v>42783</v>
      </c>
      <c r="C29" s="1568" t="s">
        <v>2985</v>
      </c>
      <c r="D29" s="1568" t="s">
        <v>3149</v>
      </c>
      <c r="E29" s="1568"/>
      <c r="F29" s="1567">
        <v>42783</v>
      </c>
      <c r="G29" s="1566">
        <v>26056</v>
      </c>
      <c r="H29" s="1566">
        <v>26056</v>
      </c>
      <c r="I29" s="1566">
        <f>SUMIFS('Vesting Details'!F:F,'Vesting Details'!A:A,A29,'Vesting Details'!E:E,"&gt;="&amp;$B$6,'Vesting Details'!E:E,"&lt;="&amp;$B$7,'Vesting Details'!K:K,"No")</f>
        <v>26056</v>
      </c>
      <c r="J29" s="1566">
        <f>SUMIFS('Vesting Details'!F:F,'Vesting Details'!A:A,A29,'Vesting Details'!E:E,"&lt;="&amp;$B$7,'Vesting Details'!K:K,"No",'Vesting Details'!J:J,"&gt;"&amp;$B$7) + SUMIFS('Vesting Details'!F:F,'Vesting Details'!A:A,A29,'Vesting Details'!E:E,"&lt;="&amp;$B$7,'Vesting Details'!K:K,"No",'Vesting Details'!J:J,"="&amp;"")</f>
        <v>26056</v>
      </c>
      <c r="K29" s="1566">
        <f t="shared" si="0"/>
        <v>1</v>
      </c>
      <c r="L29" s="1565"/>
    </row>
    <row r="30" spans="1:12" ht="20.100000000000001" customHeight="1">
      <c r="A30" s="1565" t="s">
        <v>3284</v>
      </c>
      <c r="B30" s="1567">
        <v>42783</v>
      </c>
      <c r="C30" s="1568" t="s">
        <v>2953</v>
      </c>
      <c r="D30" s="1568" t="s">
        <v>3149</v>
      </c>
      <c r="E30" s="1568"/>
      <c r="F30" s="1567">
        <v>42783</v>
      </c>
      <c r="G30" s="1566">
        <v>195440</v>
      </c>
      <c r="H30" s="1566">
        <v>195440</v>
      </c>
      <c r="I30" s="1566">
        <f>SUMIFS('Vesting Details'!F:F,'Vesting Details'!A:A,A30,'Vesting Details'!E:E,"&gt;="&amp;$B$6,'Vesting Details'!E:E,"&lt;="&amp;$B$7,'Vesting Details'!K:K,"No")</f>
        <v>195440</v>
      </c>
      <c r="J30" s="1566">
        <f>SUMIFS('Vesting Details'!F:F,'Vesting Details'!A:A,A30,'Vesting Details'!E:E,"&lt;="&amp;$B$7,'Vesting Details'!K:K,"No",'Vesting Details'!J:J,"&gt;"&amp;$B$7) + SUMIFS('Vesting Details'!F:F,'Vesting Details'!A:A,A30,'Vesting Details'!E:E,"&lt;="&amp;$B$7,'Vesting Details'!K:K,"No",'Vesting Details'!J:J,"="&amp;"")</f>
        <v>195440</v>
      </c>
      <c r="K30" s="1566">
        <f t="shared" si="0"/>
        <v>1</v>
      </c>
      <c r="L30" s="1565"/>
    </row>
    <row r="31" spans="1:12" ht="20.100000000000001" customHeight="1">
      <c r="A31" s="1565" t="s">
        <v>3283</v>
      </c>
      <c r="B31" s="1567">
        <v>42783</v>
      </c>
      <c r="C31" s="1568" t="s">
        <v>2970</v>
      </c>
      <c r="D31" s="1568" t="s">
        <v>3149</v>
      </c>
      <c r="E31" s="1568"/>
      <c r="F31" s="1567">
        <v>42783</v>
      </c>
      <c r="G31" s="1566">
        <v>93816</v>
      </c>
      <c r="H31" s="1566">
        <v>93816</v>
      </c>
      <c r="I31" s="1566">
        <f>SUMIFS('Vesting Details'!F:F,'Vesting Details'!A:A,A31,'Vesting Details'!E:E,"&gt;="&amp;$B$6,'Vesting Details'!E:E,"&lt;="&amp;$B$7,'Vesting Details'!K:K,"No")</f>
        <v>93816</v>
      </c>
      <c r="J31" s="1566">
        <f>SUMIFS('Vesting Details'!F:F,'Vesting Details'!A:A,A31,'Vesting Details'!E:E,"&lt;="&amp;$B$7,'Vesting Details'!K:K,"No",'Vesting Details'!J:J,"&gt;"&amp;$B$7) + SUMIFS('Vesting Details'!F:F,'Vesting Details'!A:A,A31,'Vesting Details'!E:E,"&lt;="&amp;$B$7,'Vesting Details'!K:K,"No",'Vesting Details'!J:J,"="&amp;"")</f>
        <v>93816</v>
      </c>
      <c r="K31" s="1566">
        <f t="shared" si="0"/>
        <v>1</v>
      </c>
      <c r="L31" s="1565"/>
    </row>
    <row r="32" spans="1:12" ht="20.100000000000001" customHeight="1">
      <c r="A32" s="1565" t="s">
        <v>3282</v>
      </c>
      <c r="B32" s="1567">
        <v>42783</v>
      </c>
      <c r="C32" s="1568" t="s">
        <v>3007</v>
      </c>
      <c r="D32" s="1568" t="s">
        <v>3149</v>
      </c>
      <c r="E32" s="1568"/>
      <c r="F32" s="1567">
        <v>42783</v>
      </c>
      <c r="G32" s="1566">
        <v>234536</v>
      </c>
      <c r="H32" s="1566">
        <v>234536</v>
      </c>
      <c r="I32" s="1566">
        <f>SUMIFS('Vesting Details'!F:F,'Vesting Details'!A:A,A32,'Vesting Details'!E:E,"&gt;="&amp;$B$6,'Vesting Details'!E:E,"&lt;="&amp;$B$7,'Vesting Details'!K:K,"No")</f>
        <v>234536</v>
      </c>
      <c r="J32" s="1566">
        <f>SUMIFS('Vesting Details'!F:F,'Vesting Details'!A:A,A32,'Vesting Details'!E:E,"&lt;="&amp;$B$7,'Vesting Details'!K:K,"No",'Vesting Details'!J:J,"&gt;"&amp;$B$7) + SUMIFS('Vesting Details'!F:F,'Vesting Details'!A:A,A32,'Vesting Details'!E:E,"&lt;="&amp;$B$7,'Vesting Details'!K:K,"No",'Vesting Details'!J:J,"="&amp;"")</f>
        <v>234536</v>
      </c>
      <c r="K32" s="1566">
        <f t="shared" si="0"/>
        <v>1</v>
      </c>
      <c r="L32" s="1565"/>
    </row>
    <row r="33" spans="1:12" ht="20.100000000000001" customHeight="1">
      <c r="A33" s="1565" t="s">
        <v>3281</v>
      </c>
      <c r="B33" s="1567">
        <v>42783</v>
      </c>
      <c r="C33" s="1568" t="s">
        <v>2995</v>
      </c>
      <c r="D33" s="1568" t="s">
        <v>3149</v>
      </c>
      <c r="E33" s="1568"/>
      <c r="F33" s="1567">
        <v>42783</v>
      </c>
      <c r="G33" s="1566">
        <v>52112</v>
      </c>
      <c r="H33" s="1566">
        <v>52112</v>
      </c>
      <c r="I33" s="1566">
        <f>SUMIFS('Vesting Details'!F:F,'Vesting Details'!A:A,A33,'Vesting Details'!E:E,"&gt;="&amp;$B$6,'Vesting Details'!E:E,"&lt;="&amp;$B$7,'Vesting Details'!K:K,"No")</f>
        <v>52112</v>
      </c>
      <c r="J33" s="1566">
        <f>SUMIFS('Vesting Details'!F:F,'Vesting Details'!A:A,A33,'Vesting Details'!E:E,"&lt;="&amp;$B$7,'Vesting Details'!K:K,"No",'Vesting Details'!J:J,"&gt;"&amp;$B$7) + SUMIFS('Vesting Details'!F:F,'Vesting Details'!A:A,A33,'Vesting Details'!E:E,"&lt;="&amp;$B$7,'Vesting Details'!K:K,"No",'Vesting Details'!J:J,"="&amp;"")</f>
        <v>52112</v>
      </c>
      <c r="K33" s="1566">
        <f t="shared" si="0"/>
        <v>1</v>
      </c>
      <c r="L33" s="1565"/>
    </row>
    <row r="34" spans="1:12" ht="20.100000000000001" customHeight="1">
      <c r="A34" s="1565" t="s">
        <v>3280</v>
      </c>
      <c r="B34" s="1567">
        <v>42783</v>
      </c>
      <c r="C34" s="1568" t="s">
        <v>2968</v>
      </c>
      <c r="D34" s="1568" t="s">
        <v>3149</v>
      </c>
      <c r="E34" s="1568"/>
      <c r="F34" s="1567">
        <v>42783</v>
      </c>
      <c r="G34" s="1566">
        <v>156352</v>
      </c>
      <c r="H34" s="1566">
        <v>156352</v>
      </c>
      <c r="I34" s="1566">
        <f>SUMIFS('Vesting Details'!F:F,'Vesting Details'!A:A,A34,'Vesting Details'!E:E,"&gt;="&amp;$B$6,'Vesting Details'!E:E,"&lt;="&amp;$B$7,'Vesting Details'!K:K,"No")</f>
        <v>156352</v>
      </c>
      <c r="J34" s="1566">
        <f>SUMIFS('Vesting Details'!F:F,'Vesting Details'!A:A,A34,'Vesting Details'!E:E,"&lt;="&amp;$B$7,'Vesting Details'!K:K,"No",'Vesting Details'!J:J,"&gt;"&amp;$B$7) + SUMIFS('Vesting Details'!F:F,'Vesting Details'!A:A,A34,'Vesting Details'!E:E,"&lt;="&amp;$B$7,'Vesting Details'!K:K,"No",'Vesting Details'!J:J,"="&amp;"")</f>
        <v>156352</v>
      </c>
      <c r="K34" s="1566">
        <f t="shared" si="0"/>
        <v>1</v>
      </c>
      <c r="L34" s="1565"/>
    </row>
    <row r="35" spans="1:12" ht="20.100000000000001" customHeight="1">
      <c r="A35" s="1565" t="s">
        <v>3279</v>
      </c>
      <c r="B35" s="1567">
        <v>42783</v>
      </c>
      <c r="C35" s="1568" t="s">
        <v>2965</v>
      </c>
      <c r="D35" s="1568" t="s">
        <v>3149</v>
      </c>
      <c r="E35" s="1568"/>
      <c r="F35" s="1567">
        <v>42783</v>
      </c>
      <c r="G35" s="1566">
        <v>130296</v>
      </c>
      <c r="H35" s="1566">
        <v>130296</v>
      </c>
      <c r="I35" s="1566">
        <f>SUMIFS('Vesting Details'!F:F,'Vesting Details'!A:A,A35,'Vesting Details'!E:E,"&gt;="&amp;$B$6,'Vesting Details'!E:E,"&lt;="&amp;$B$7,'Vesting Details'!K:K,"No")</f>
        <v>130296</v>
      </c>
      <c r="J35" s="1566">
        <f>SUMIFS('Vesting Details'!F:F,'Vesting Details'!A:A,A35,'Vesting Details'!E:E,"&lt;="&amp;$B$7,'Vesting Details'!K:K,"No",'Vesting Details'!J:J,"&gt;"&amp;$B$7) + SUMIFS('Vesting Details'!F:F,'Vesting Details'!A:A,A35,'Vesting Details'!E:E,"&lt;="&amp;$B$7,'Vesting Details'!K:K,"No",'Vesting Details'!J:J,"="&amp;"")</f>
        <v>130296</v>
      </c>
      <c r="K35" s="1566">
        <f t="shared" si="0"/>
        <v>1</v>
      </c>
      <c r="L35" s="1565"/>
    </row>
    <row r="36" spans="1:12" ht="20.100000000000001" customHeight="1">
      <c r="A36" s="1565" t="s">
        <v>3278</v>
      </c>
      <c r="B36" s="1567">
        <v>42783</v>
      </c>
      <c r="C36" s="1568" t="s">
        <v>2956</v>
      </c>
      <c r="D36" s="1568" t="s">
        <v>3149</v>
      </c>
      <c r="E36" s="1568"/>
      <c r="F36" s="1567">
        <v>42783</v>
      </c>
      <c r="G36" s="1566">
        <v>169384</v>
      </c>
      <c r="H36" s="1566">
        <v>169384</v>
      </c>
      <c r="I36" s="1566">
        <f>SUMIFS('Vesting Details'!F:F,'Vesting Details'!A:A,A36,'Vesting Details'!E:E,"&gt;="&amp;$B$6,'Vesting Details'!E:E,"&lt;="&amp;$B$7,'Vesting Details'!K:K,"No")</f>
        <v>169384</v>
      </c>
      <c r="J36" s="1566">
        <f>SUMIFS('Vesting Details'!F:F,'Vesting Details'!A:A,A36,'Vesting Details'!E:E,"&lt;="&amp;$B$7,'Vesting Details'!K:K,"No",'Vesting Details'!J:J,"&gt;"&amp;$B$7) + SUMIFS('Vesting Details'!F:F,'Vesting Details'!A:A,A36,'Vesting Details'!E:E,"&lt;="&amp;$B$7,'Vesting Details'!K:K,"No",'Vesting Details'!J:J,"="&amp;"")</f>
        <v>169384</v>
      </c>
      <c r="K36" s="1566">
        <f t="shared" si="0"/>
        <v>1</v>
      </c>
      <c r="L36" s="1565"/>
    </row>
    <row r="37" spans="1:12" ht="20.100000000000001" customHeight="1">
      <c r="A37" s="1565" t="s">
        <v>3277</v>
      </c>
      <c r="B37" s="1567">
        <v>42783</v>
      </c>
      <c r="C37" s="1568" t="s">
        <v>2961</v>
      </c>
      <c r="D37" s="1568" t="s">
        <v>3149</v>
      </c>
      <c r="E37" s="1568"/>
      <c r="F37" s="1567">
        <v>42783</v>
      </c>
      <c r="G37" s="1566">
        <v>52112</v>
      </c>
      <c r="H37" s="1566">
        <v>0</v>
      </c>
      <c r="I37" s="1566">
        <f>SUMIFS('Vesting Details'!F:F,'Vesting Details'!A:A,A37,'Vesting Details'!E:E,"&gt;="&amp;$B$6,'Vesting Details'!E:E,"&lt;="&amp;$B$7,'Vesting Details'!K:K,"No")</f>
        <v>52112</v>
      </c>
      <c r="J37" s="1566">
        <f>SUMIFS('Vesting Details'!F:F,'Vesting Details'!A:A,A37,'Vesting Details'!E:E,"&lt;="&amp;$B$7,'Vesting Details'!K:K,"No",'Vesting Details'!J:J,"&gt;"&amp;$B$7) + SUMIFS('Vesting Details'!F:F,'Vesting Details'!A:A,A37,'Vesting Details'!E:E,"&lt;="&amp;$B$7,'Vesting Details'!K:K,"No",'Vesting Details'!J:J,"="&amp;"")</f>
        <v>0</v>
      </c>
      <c r="K37" s="1566">
        <f t="shared" si="0"/>
        <v>0</v>
      </c>
      <c r="L37" s="1565"/>
    </row>
    <row r="38" spans="1:12" ht="20.100000000000001" customHeight="1">
      <c r="A38" s="1565" t="s">
        <v>3276</v>
      </c>
      <c r="B38" s="1567">
        <v>42783</v>
      </c>
      <c r="C38" s="1568" t="s">
        <v>2979</v>
      </c>
      <c r="D38" s="1568" t="s">
        <v>3152</v>
      </c>
      <c r="E38" s="1568"/>
      <c r="F38" s="1567">
        <v>42783</v>
      </c>
      <c r="G38" s="1566">
        <v>158504</v>
      </c>
      <c r="H38" s="1566">
        <v>158504</v>
      </c>
      <c r="I38" s="1566">
        <f>SUMIFS('Vesting Details'!F:F,'Vesting Details'!A:A,A38,'Vesting Details'!E:E,"&gt;="&amp;$B$6,'Vesting Details'!E:E,"&lt;="&amp;$B$7,'Vesting Details'!K:K,"No")</f>
        <v>158504</v>
      </c>
      <c r="J38" s="1566">
        <f>SUMIFS('Vesting Details'!F:F,'Vesting Details'!A:A,A38,'Vesting Details'!E:E,"&lt;="&amp;$B$7,'Vesting Details'!K:K,"No",'Vesting Details'!J:J,"&gt;"&amp;$B$7) + SUMIFS('Vesting Details'!F:F,'Vesting Details'!A:A,A38,'Vesting Details'!E:E,"&lt;="&amp;$B$7,'Vesting Details'!K:K,"No",'Vesting Details'!J:J,"="&amp;"")</f>
        <v>158504</v>
      </c>
      <c r="K38" s="1566">
        <f t="shared" si="0"/>
        <v>1</v>
      </c>
      <c r="L38" s="1565"/>
    </row>
    <row r="39" spans="1:12" ht="20.100000000000001" customHeight="1">
      <c r="A39" s="1565" t="s">
        <v>3275</v>
      </c>
      <c r="B39" s="1567">
        <v>42783</v>
      </c>
      <c r="C39" s="1568" t="s">
        <v>2996</v>
      </c>
      <c r="D39" s="1568" t="s">
        <v>3152</v>
      </c>
      <c r="E39" s="1568"/>
      <c r="F39" s="1567">
        <v>42783</v>
      </c>
      <c r="G39" s="1566">
        <v>198128</v>
      </c>
      <c r="H39" s="1566">
        <v>198128</v>
      </c>
      <c r="I39" s="1566">
        <f>SUMIFS('Vesting Details'!F:F,'Vesting Details'!A:A,A39,'Vesting Details'!E:E,"&gt;="&amp;$B$6,'Vesting Details'!E:E,"&lt;="&amp;$B$7,'Vesting Details'!K:K,"No")</f>
        <v>198128</v>
      </c>
      <c r="J39" s="1566">
        <f>SUMIFS('Vesting Details'!F:F,'Vesting Details'!A:A,A39,'Vesting Details'!E:E,"&lt;="&amp;$B$7,'Vesting Details'!K:K,"No",'Vesting Details'!J:J,"&gt;"&amp;$B$7) + SUMIFS('Vesting Details'!F:F,'Vesting Details'!A:A,A39,'Vesting Details'!E:E,"&lt;="&amp;$B$7,'Vesting Details'!K:K,"No",'Vesting Details'!J:J,"="&amp;"")</f>
        <v>198128</v>
      </c>
      <c r="K39" s="1566">
        <f t="shared" si="0"/>
        <v>1</v>
      </c>
      <c r="L39" s="1565"/>
    </row>
    <row r="40" spans="1:12" ht="20.100000000000001" customHeight="1">
      <c r="A40" s="1565" t="s">
        <v>3274</v>
      </c>
      <c r="B40" s="1567">
        <v>42783</v>
      </c>
      <c r="C40" s="1568" t="s">
        <v>2953</v>
      </c>
      <c r="D40" s="1568" t="s">
        <v>3152</v>
      </c>
      <c r="E40" s="1568"/>
      <c r="F40" s="1567">
        <v>42783</v>
      </c>
      <c r="G40" s="1566">
        <v>356632</v>
      </c>
      <c r="H40" s="1566">
        <v>356632</v>
      </c>
      <c r="I40" s="1566">
        <f>SUMIFS('Vesting Details'!F:F,'Vesting Details'!A:A,A40,'Vesting Details'!E:E,"&gt;="&amp;$B$6,'Vesting Details'!E:E,"&lt;="&amp;$B$7,'Vesting Details'!K:K,"No")</f>
        <v>356632</v>
      </c>
      <c r="J40" s="1566">
        <f>SUMIFS('Vesting Details'!F:F,'Vesting Details'!A:A,A40,'Vesting Details'!E:E,"&lt;="&amp;$B$7,'Vesting Details'!K:K,"No",'Vesting Details'!J:J,"&gt;"&amp;$B$7) + SUMIFS('Vesting Details'!F:F,'Vesting Details'!A:A,A40,'Vesting Details'!E:E,"&lt;="&amp;$B$7,'Vesting Details'!K:K,"No",'Vesting Details'!J:J,"="&amp;"")</f>
        <v>356632</v>
      </c>
      <c r="K40" s="1566">
        <f t="shared" si="0"/>
        <v>1</v>
      </c>
      <c r="L40" s="1565"/>
    </row>
    <row r="41" spans="1:12" ht="20.100000000000001" customHeight="1">
      <c r="A41" s="1565" t="s">
        <v>3273</v>
      </c>
      <c r="B41" s="1567">
        <v>42783</v>
      </c>
      <c r="C41" s="1568" t="s">
        <v>2986</v>
      </c>
      <c r="D41" s="1568" t="s">
        <v>236</v>
      </c>
      <c r="E41" s="1568"/>
      <c r="F41" s="1567">
        <v>42783</v>
      </c>
      <c r="G41" s="1566">
        <v>1496</v>
      </c>
      <c r="H41" s="1566">
        <v>1496</v>
      </c>
      <c r="I41" s="1566">
        <f>SUMIFS('Vesting Details'!F:F,'Vesting Details'!A:A,A41,'Vesting Details'!E:E,"&gt;="&amp;$B$6,'Vesting Details'!E:E,"&lt;="&amp;$B$7,'Vesting Details'!K:K,"No")</f>
        <v>1496</v>
      </c>
      <c r="J41" s="1566">
        <f>SUMIFS('Vesting Details'!F:F,'Vesting Details'!A:A,A41,'Vesting Details'!E:E,"&lt;="&amp;$B$7,'Vesting Details'!K:K,"No",'Vesting Details'!J:J,"&gt;"&amp;$B$7) + SUMIFS('Vesting Details'!F:F,'Vesting Details'!A:A,A41,'Vesting Details'!E:E,"&lt;="&amp;$B$7,'Vesting Details'!K:K,"No",'Vesting Details'!J:J,"="&amp;"")</f>
        <v>1496</v>
      </c>
      <c r="K41" s="1566">
        <f t="shared" si="0"/>
        <v>1</v>
      </c>
      <c r="L41" s="1565"/>
    </row>
    <row r="42" spans="1:12" ht="20.100000000000001" customHeight="1">
      <c r="A42" s="1565" t="s">
        <v>3272</v>
      </c>
      <c r="B42" s="1567">
        <v>42783</v>
      </c>
      <c r="C42" s="1568" t="s">
        <v>2986</v>
      </c>
      <c r="D42" s="1568" t="s">
        <v>236</v>
      </c>
      <c r="E42" s="1568"/>
      <c r="F42" s="1567">
        <v>42783</v>
      </c>
      <c r="G42" s="1566">
        <v>1496</v>
      </c>
      <c r="H42" s="1566">
        <v>1496</v>
      </c>
      <c r="I42" s="1566">
        <f>SUMIFS('Vesting Details'!F:F,'Vesting Details'!A:A,A42,'Vesting Details'!E:E,"&gt;="&amp;$B$6,'Vesting Details'!E:E,"&lt;="&amp;$B$7,'Vesting Details'!K:K,"No")</f>
        <v>1496</v>
      </c>
      <c r="J42" s="1566">
        <f>SUMIFS('Vesting Details'!F:F,'Vesting Details'!A:A,A42,'Vesting Details'!E:E,"&lt;="&amp;$B$7,'Vesting Details'!K:K,"No",'Vesting Details'!J:J,"&gt;"&amp;$B$7) + SUMIFS('Vesting Details'!F:F,'Vesting Details'!A:A,A42,'Vesting Details'!E:E,"&lt;="&amp;$B$7,'Vesting Details'!K:K,"No",'Vesting Details'!J:J,"="&amp;"")</f>
        <v>1496</v>
      </c>
      <c r="K42" s="1566">
        <f t="shared" ref="K42:K73" si="1">J42/G42</f>
        <v>1</v>
      </c>
      <c r="L42" s="1565"/>
    </row>
    <row r="43" spans="1:12" ht="20.100000000000001" customHeight="1">
      <c r="A43" s="1565" t="s">
        <v>3271</v>
      </c>
      <c r="B43" s="1567">
        <v>42783</v>
      </c>
      <c r="C43" s="1568" t="s">
        <v>2986</v>
      </c>
      <c r="D43" s="1568" t="s">
        <v>236</v>
      </c>
      <c r="E43" s="1568"/>
      <c r="F43" s="1567">
        <v>42783</v>
      </c>
      <c r="G43" s="1566">
        <v>2992</v>
      </c>
      <c r="H43" s="1566">
        <v>2992</v>
      </c>
      <c r="I43" s="1566">
        <f>SUMIFS('Vesting Details'!F:F,'Vesting Details'!A:A,A43,'Vesting Details'!E:E,"&gt;="&amp;$B$6,'Vesting Details'!E:E,"&lt;="&amp;$B$7,'Vesting Details'!K:K,"No")</f>
        <v>2992</v>
      </c>
      <c r="J43" s="1566">
        <f>SUMIFS('Vesting Details'!F:F,'Vesting Details'!A:A,A43,'Vesting Details'!E:E,"&lt;="&amp;$B$7,'Vesting Details'!K:K,"No",'Vesting Details'!J:J,"&gt;"&amp;$B$7) + SUMIFS('Vesting Details'!F:F,'Vesting Details'!A:A,A43,'Vesting Details'!E:E,"&lt;="&amp;$B$7,'Vesting Details'!K:K,"No",'Vesting Details'!J:J,"="&amp;"")</f>
        <v>2992</v>
      </c>
      <c r="K43" s="1566">
        <f t="shared" si="1"/>
        <v>1</v>
      </c>
      <c r="L43" s="1565"/>
    </row>
    <row r="44" spans="1:12" ht="20.100000000000001" customHeight="1">
      <c r="A44" s="1565" t="s">
        <v>3270</v>
      </c>
      <c r="B44" s="1567">
        <v>42783</v>
      </c>
      <c r="C44" s="1568" t="s">
        <v>2986</v>
      </c>
      <c r="D44" s="1568" t="s">
        <v>236</v>
      </c>
      <c r="E44" s="1568"/>
      <c r="F44" s="1567">
        <v>42783</v>
      </c>
      <c r="G44" s="1566">
        <v>21552</v>
      </c>
      <c r="H44" s="1566">
        <v>21552</v>
      </c>
      <c r="I44" s="1566">
        <f>SUMIFS('Vesting Details'!F:F,'Vesting Details'!A:A,A44,'Vesting Details'!E:E,"&gt;="&amp;$B$6,'Vesting Details'!E:E,"&lt;="&amp;$B$7,'Vesting Details'!K:K,"No")</f>
        <v>21552</v>
      </c>
      <c r="J44" s="1566">
        <f>SUMIFS('Vesting Details'!F:F,'Vesting Details'!A:A,A44,'Vesting Details'!E:E,"&lt;="&amp;$B$7,'Vesting Details'!K:K,"No",'Vesting Details'!J:J,"&gt;"&amp;$B$7) + SUMIFS('Vesting Details'!F:F,'Vesting Details'!A:A,A44,'Vesting Details'!E:E,"&lt;="&amp;$B$7,'Vesting Details'!K:K,"No",'Vesting Details'!J:J,"="&amp;"")</f>
        <v>21552</v>
      </c>
      <c r="K44" s="1566">
        <f t="shared" si="1"/>
        <v>1</v>
      </c>
      <c r="L44" s="1565"/>
    </row>
    <row r="45" spans="1:12" ht="20.100000000000001" customHeight="1">
      <c r="A45" s="1565" t="s">
        <v>3269</v>
      </c>
      <c r="B45" s="1567">
        <v>42783</v>
      </c>
      <c r="C45" s="1568" t="s">
        <v>2955</v>
      </c>
      <c r="D45" s="1568" t="s">
        <v>236</v>
      </c>
      <c r="E45" s="1568"/>
      <c r="F45" s="1567">
        <v>42783</v>
      </c>
      <c r="G45" s="1566">
        <v>3304</v>
      </c>
      <c r="H45" s="1566">
        <v>3304</v>
      </c>
      <c r="I45" s="1566">
        <f>SUMIFS('Vesting Details'!F:F,'Vesting Details'!A:A,A45,'Vesting Details'!E:E,"&gt;="&amp;$B$6,'Vesting Details'!E:E,"&lt;="&amp;$B$7,'Vesting Details'!K:K,"No")</f>
        <v>3304</v>
      </c>
      <c r="J45" s="1566">
        <f>SUMIFS('Vesting Details'!F:F,'Vesting Details'!A:A,A45,'Vesting Details'!E:E,"&lt;="&amp;$B$7,'Vesting Details'!K:K,"No",'Vesting Details'!J:J,"&gt;"&amp;$B$7) + SUMIFS('Vesting Details'!F:F,'Vesting Details'!A:A,A45,'Vesting Details'!E:E,"&lt;="&amp;$B$7,'Vesting Details'!K:K,"No",'Vesting Details'!J:J,"="&amp;"")</f>
        <v>3304</v>
      </c>
      <c r="K45" s="1566">
        <f t="shared" si="1"/>
        <v>1</v>
      </c>
      <c r="L45" s="1565"/>
    </row>
    <row r="46" spans="1:12" ht="20.100000000000001" customHeight="1">
      <c r="A46" s="1565" t="s">
        <v>3268</v>
      </c>
      <c r="B46" s="1567">
        <v>42783</v>
      </c>
      <c r="C46" s="1568" t="s">
        <v>2974</v>
      </c>
      <c r="D46" s="1568" t="s">
        <v>3152</v>
      </c>
      <c r="E46" s="1568"/>
      <c r="F46" s="1567">
        <v>42783</v>
      </c>
      <c r="G46" s="1566">
        <v>297192</v>
      </c>
      <c r="H46" s="1566">
        <v>0</v>
      </c>
      <c r="I46" s="1566">
        <f>SUMIFS('Vesting Details'!F:F,'Vesting Details'!A:A,A46,'Vesting Details'!E:E,"&gt;="&amp;$B$6,'Vesting Details'!E:E,"&lt;="&amp;$B$7,'Vesting Details'!K:K,"No")</f>
        <v>297192</v>
      </c>
      <c r="J46" s="1566">
        <f>SUMIFS('Vesting Details'!F:F,'Vesting Details'!A:A,A46,'Vesting Details'!E:E,"&lt;="&amp;$B$7,'Vesting Details'!K:K,"No",'Vesting Details'!J:J,"&gt;"&amp;$B$7) + SUMIFS('Vesting Details'!F:F,'Vesting Details'!A:A,A46,'Vesting Details'!E:E,"&lt;="&amp;$B$7,'Vesting Details'!K:K,"No",'Vesting Details'!J:J,"="&amp;"")</f>
        <v>0</v>
      </c>
      <c r="K46" s="1566">
        <f t="shared" si="1"/>
        <v>0</v>
      </c>
      <c r="L46" s="1565"/>
    </row>
    <row r="47" spans="1:12" ht="20.100000000000001" customHeight="1">
      <c r="A47" s="1565" t="s">
        <v>3267</v>
      </c>
      <c r="B47" s="1567">
        <v>42783</v>
      </c>
      <c r="C47" s="1568" t="s">
        <v>2997</v>
      </c>
      <c r="D47" s="1568" t="s">
        <v>236</v>
      </c>
      <c r="E47" s="1568"/>
      <c r="F47" s="1567">
        <v>42783</v>
      </c>
      <c r="G47" s="1566">
        <v>372176</v>
      </c>
      <c r="H47" s="1566">
        <v>372176</v>
      </c>
      <c r="I47" s="1566">
        <f>SUMIFS('Vesting Details'!F:F,'Vesting Details'!A:A,A47,'Vesting Details'!E:E,"&gt;="&amp;$B$6,'Vesting Details'!E:E,"&lt;="&amp;$B$7,'Vesting Details'!K:K,"No")</f>
        <v>372176</v>
      </c>
      <c r="J47" s="1566">
        <f>SUMIFS('Vesting Details'!F:F,'Vesting Details'!A:A,A47,'Vesting Details'!E:E,"&lt;="&amp;$B$7,'Vesting Details'!K:K,"No",'Vesting Details'!J:J,"&gt;"&amp;$B$7) + SUMIFS('Vesting Details'!F:F,'Vesting Details'!A:A,A47,'Vesting Details'!E:E,"&lt;="&amp;$B$7,'Vesting Details'!K:K,"No",'Vesting Details'!J:J,"="&amp;"")</f>
        <v>372176</v>
      </c>
      <c r="K47" s="1566">
        <f t="shared" si="1"/>
        <v>1</v>
      </c>
      <c r="L47" s="1565"/>
    </row>
    <row r="48" spans="1:12" ht="20.100000000000001" customHeight="1">
      <c r="A48" s="1565" t="s">
        <v>3266</v>
      </c>
      <c r="B48" s="1567">
        <v>42783</v>
      </c>
      <c r="C48" s="1568" t="s">
        <v>2998</v>
      </c>
      <c r="D48" s="1568" t="s">
        <v>236</v>
      </c>
      <c r="E48" s="1568"/>
      <c r="F48" s="1567">
        <v>42783</v>
      </c>
      <c r="G48" s="1566">
        <v>8000</v>
      </c>
      <c r="H48" s="1566">
        <v>8000</v>
      </c>
      <c r="I48" s="1566">
        <f>SUMIFS('Vesting Details'!F:F,'Vesting Details'!A:A,A48,'Vesting Details'!E:E,"&gt;="&amp;$B$6,'Vesting Details'!E:E,"&lt;="&amp;$B$7,'Vesting Details'!K:K,"No")</f>
        <v>8000</v>
      </c>
      <c r="J48" s="1566">
        <f>SUMIFS('Vesting Details'!F:F,'Vesting Details'!A:A,A48,'Vesting Details'!E:E,"&lt;="&amp;$B$7,'Vesting Details'!K:K,"No",'Vesting Details'!J:J,"&gt;"&amp;$B$7) + SUMIFS('Vesting Details'!F:F,'Vesting Details'!A:A,A48,'Vesting Details'!E:E,"&lt;="&amp;$B$7,'Vesting Details'!K:K,"No",'Vesting Details'!J:J,"="&amp;"")</f>
        <v>8000</v>
      </c>
      <c r="K48" s="1566">
        <f t="shared" si="1"/>
        <v>1</v>
      </c>
      <c r="L48" s="1565"/>
    </row>
    <row r="49" spans="1:12" ht="20.100000000000001" customHeight="1">
      <c r="A49" s="1565" t="s">
        <v>3265</v>
      </c>
      <c r="B49" s="1567">
        <v>42783</v>
      </c>
      <c r="C49" s="1568" t="s">
        <v>2966</v>
      </c>
      <c r="D49" s="1568" t="s">
        <v>236</v>
      </c>
      <c r="E49" s="1568"/>
      <c r="F49" s="1567">
        <v>42783</v>
      </c>
      <c r="G49" s="1566">
        <v>4000</v>
      </c>
      <c r="H49" s="1566">
        <v>4000</v>
      </c>
      <c r="I49" s="1566">
        <f>SUMIFS('Vesting Details'!F:F,'Vesting Details'!A:A,A49,'Vesting Details'!E:E,"&gt;="&amp;$B$6,'Vesting Details'!E:E,"&lt;="&amp;$B$7,'Vesting Details'!K:K,"No")</f>
        <v>4000</v>
      </c>
      <c r="J49" s="1566">
        <f>SUMIFS('Vesting Details'!F:F,'Vesting Details'!A:A,A49,'Vesting Details'!E:E,"&lt;="&amp;$B$7,'Vesting Details'!K:K,"No",'Vesting Details'!J:J,"&gt;"&amp;$B$7) + SUMIFS('Vesting Details'!F:F,'Vesting Details'!A:A,A49,'Vesting Details'!E:E,"&lt;="&amp;$B$7,'Vesting Details'!K:K,"No",'Vesting Details'!J:J,"="&amp;"")</f>
        <v>4000</v>
      </c>
      <c r="K49" s="1566">
        <f t="shared" si="1"/>
        <v>1</v>
      </c>
      <c r="L49" s="1565"/>
    </row>
    <row r="50" spans="1:12" ht="20.100000000000001" customHeight="1">
      <c r="A50" s="1565" t="s">
        <v>3264</v>
      </c>
      <c r="B50" s="1567">
        <v>42783</v>
      </c>
      <c r="C50" s="1568" t="s">
        <v>2977</v>
      </c>
      <c r="D50" s="1568" t="s">
        <v>236</v>
      </c>
      <c r="E50" s="1568"/>
      <c r="F50" s="1567">
        <v>42783</v>
      </c>
      <c r="G50" s="1566">
        <v>2752</v>
      </c>
      <c r="H50" s="1566">
        <v>2752</v>
      </c>
      <c r="I50" s="1566">
        <f>SUMIFS('Vesting Details'!F:F,'Vesting Details'!A:A,A50,'Vesting Details'!E:E,"&gt;="&amp;$B$6,'Vesting Details'!E:E,"&lt;="&amp;$B$7,'Vesting Details'!K:K,"No")</f>
        <v>2752</v>
      </c>
      <c r="J50" s="1566">
        <f>SUMIFS('Vesting Details'!F:F,'Vesting Details'!A:A,A50,'Vesting Details'!E:E,"&lt;="&amp;$B$7,'Vesting Details'!K:K,"No",'Vesting Details'!J:J,"&gt;"&amp;$B$7) + SUMIFS('Vesting Details'!F:F,'Vesting Details'!A:A,A50,'Vesting Details'!E:E,"&lt;="&amp;$B$7,'Vesting Details'!K:K,"No",'Vesting Details'!J:J,"="&amp;"")</f>
        <v>2752</v>
      </c>
      <c r="K50" s="1566">
        <f t="shared" si="1"/>
        <v>1</v>
      </c>
      <c r="L50" s="1565"/>
    </row>
    <row r="51" spans="1:12" ht="20.100000000000001" customHeight="1">
      <c r="A51" s="1565" t="s">
        <v>3263</v>
      </c>
      <c r="B51" s="1567">
        <v>42783</v>
      </c>
      <c r="C51" s="1568" t="s">
        <v>2998</v>
      </c>
      <c r="D51" s="1568" t="s">
        <v>236</v>
      </c>
      <c r="E51" s="1568"/>
      <c r="F51" s="1567">
        <v>42783</v>
      </c>
      <c r="G51" s="1566">
        <v>8000</v>
      </c>
      <c r="H51" s="1566">
        <v>8000</v>
      </c>
      <c r="I51" s="1566">
        <f>SUMIFS('Vesting Details'!F:F,'Vesting Details'!A:A,A51,'Vesting Details'!E:E,"&gt;="&amp;$B$6,'Vesting Details'!E:E,"&lt;="&amp;$B$7,'Vesting Details'!K:K,"No")</f>
        <v>8000</v>
      </c>
      <c r="J51" s="1566">
        <f>SUMIFS('Vesting Details'!F:F,'Vesting Details'!A:A,A51,'Vesting Details'!E:E,"&lt;="&amp;$B$7,'Vesting Details'!K:K,"No",'Vesting Details'!J:J,"&gt;"&amp;$B$7) + SUMIFS('Vesting Details'!F:F,'Vesting Details'!A:A,A51,'Vesting Details'!E:E,"&lt;="&amp;$B$7,'Vesting Details'!K:K,"No",'Vesting Details'!J:J,"="&amp;"")</f>
        <v>8000</v>
      </c>
      <c r="K51" s="1566">
        <f t="shared" si="1"/>
        <v>1</v>
      </c>
      <c r="L51" s="1565"/>
    </row>
    <row r="52" spans="1:12" ht="20.100000000000001" customHeight="1">
      <c r="A52" s="1565" t="s">
        <v>3262</v>
      </c>
      <c r="B52" s="1567">
        <v>42783</v>
      </c>
      <c r="C52" s="1568" t="s">
        <v>2984</v>
      </c>
      <c r="D52" s="1568" t="s">
        <v>236</v>
      </c>
      <c r="E52" s="1568"/>
      <c r="F52" s="1567">
        <v>42783</v>
      </c>
      <c r="G52" s="1566">
        <v>10664</v>
      </c>
      <c r="H52" s="1566">
        <v>10664</v>
      </c>
      <c r="I52" s="1566">
        <f>SUMIFS('Vesting Details'!F:F,'Vesting Details'!A:A,A52,'Vesting Details'!E:E,"&gt;="&amp;$B$6,'Vesting Details'!E:E,"&lt;="&amp;$B$7,'Vesting Details'!K:K,"No")</f>
        <v>10664</v>
      </c>
      <c r="J52" s="1566">
        <f>SUMIFS('Vesting Details'!F:F,'Vesting Details'!A:A,A52,'Vesting Details'!E:E,"&lt;="&amp;$B$7,'Vesting Details'!K:K,"No",'Vesting Details'!J:J,"&gt;"&amp;$B$7) + SUMIFS('Vesting Details'!F:F,'Vesting Details'!A:A,A52,'Vesting Details'!E:E,"&lt;="&amp;$B$7,'Vesting Details'!K:K,"No",'Vesting Details'!J:J,"="&amp;"")</f>
        <v>10664</v>
      </c>
      <c r="K52" s="1566">
        <f t="shared" si="1"/>
        <v>1</v>
      </c>
      <c r="L52" s="1565"/>
    </row>
    <row r="53" spans="1:12" ht="20.100000000000001" customHeight="1">
      <c r="A53" s="1565" t="s">
        <v>3261</v>
      </c>
      <c r="B53" s="1567">
        <v>42783</v>
      </c>
      <c r="C53" s="1568" t="s">
        <v>2966</v>
      </c>
      <c r="D53" s="1568" t="s">
        <v>236</v>
      </c>
      <c r="E53" s="1568"/>
      <c r="F53" s="1567">
        <v>42783</v>
      </c>
      <c r="G53" s="1566">
        <v>4000</v>
      </c>
      <c r="H53" s="1566">
        <v>4000</v>
      </c>
      <c r="I53" s="1566">
        <f>SUMIFS('Vesting Details'!F:F,'Vesting Details'!A:A,A53,'Vesting Details'!E:E,"&gt;="&amp;$B$6,'Vesting Details'!E:E,"&lt;="&amp;$B$7,'Vesting Details'!K:K,"No")</f>
        <v>4000</v>
      </c>
      <c r="J53" s="1566">
        <f>SUMIFS('Vesting Details'!F:F,'Vesting Details'!A:A,A53,'Vesting Details'!E:E,"&lt;="&amp;$B$7,'Vesting Details'!K:K,"No",'Vesting Details'!J:J,"&gt;"&amp;$B$7) + SUMIFS('Vesting Details'!F:F,'Vesting Details'!A:A,A53,'Vesting Details'!E:E,"&lt;="&amp;$B$7,'Vesting Details'!K:K,"No",'Vesting Details'!J:J,"="&amp;"")</f>
        <v>4000</v>
      </c>
      <c r="K53" s="1566">
        <f t="shared" si="1"/>
        <v>1</v>
      </c>
      <c r="L53" s="1565"/>
    </row>
    <row r="54" spans="1:12" ht="20.100000000000001" customHeight="1">
      <c r="A54" s="1565" t="s">
        <v>3260</v>
      </c>
      <c r="B54" s="1567">
        <v>42783</v>
      </c>
      <c r="C54" s="1568" t="s">
        <v>2984</v>
      </c>
      <c r="D54" s="1568" t="s">
        <v>236</v>
      </c>
      <c r="E54" s="1568"/>
      <c r="F54" s="1567">
        <v>42783</v>
      </c>
      <c r="G54" s="1566">
        <v>16488</v>
      </c>
      <c r="H54" s="1566">
        <v>16488</v>
      </c>
      <c r="I54" s="1566">
        <f>SUMIFS('Vesting Details'!F:F,'Vesting Details'!A:A,A54,'Vesting Details'!E:E,"&gt;="&amp;$B$6,'Vesting Details'!E:E,"&lt;="&amp;$B$7,'Vesting Details'!K:K,"No")</f>
        <v>16488</v>
      </c>
      <c r="J54" s="1566">
        <f>SUMIFS('Vesting Details'!F:F,'Vesting Details'!A:A,A54,'Vesting Details'!E:E,"&lt;="&amp;$B$7,'Vesting Details'!K:K,"No",'Vesting Details'!J:J,"&gt;"&amp;$B$7) + SUMIFS('Vesting Details'!F:F,'Vesting Details'!A:A,A54,'Vesting Details'!E:E,"&lt;="&amp;$B$7,'Vesting Details'!K:K,"No",'Vesting Details'!J:J,"="&amp;"")</f>
        <v>16488</v>
      </c>
      <c r="K54" s="1566">
        <f t="shared" si="1"/>
        <v>1</v>
      </c>
      <c r="L54" s="1565"/>
    </row>
    <row r="55" spans="1:12" ht="20.100000000000001" customHeight="1">
      <c r="A55" s="1565" t="s">
        <v>3259</v>
      </c>
      <c r="B55" s="1567">
        <v>42787</v>
      </c>
      <c r="C55" s="1568" t="s">
        <v>2968</v>
      </c>
      <c r="D55" s="1568" t="s">
        <v>3155</v>
      </c>
      <c r="E55" s="1568"/>
      <c r="F55" s="1567">
        <v>42787</v>
      </c>
      <c r="G55" s="1566">
        <v>69956</v>
      </c>
      <c r="H55" s="1566">
        <v>69956</v>
      </c>
      <c r="I55" s="1566">
        <f>SUMIFS('Vesting Details'!F:F,'Vesting Details'!A:A,A55,'Vesting Details'!E:E,"&gt;="&amp;$B$6,'Vesting Details'!E:E,"&lt;="&amp;$B$7,'Vesting Details'!K:K,"No")</f>
        <v>69956</v>
      </c>
      <c r="J55" s="1566">
        <f>SUMIFS('Vesting Details'!F:F,'Vesting Details'!A:A,A55,'Vesting Details'!E:E,"&lt;="&amp;$B$7,'Vesting Details'!K:K,"No",'Vesting Details'!J:J,"&gt;"&amp;$B$7) + SUMIFS('Vesting Details'!F:F,'Vesting Details'!A:A,A55,'Vesting Details'!E:E,"&lt;="&amp;$B$7,'Vesting Details'!K:K,"No",'Vesting Details'!J:J,"="&amp;"")</f>
        <v>69956</v>
      </c>
      <c r="K55" s="1566">
        <f t="shared" si="1"/>
        <v>1</v>
      </c>
      <c r="L55" s="1565"/>
    </row>
    <row r="56" spans="1:12" ht="20.100000000000001" customHeight="1">
      <c r="A56" s="1565" t="s">
        <v>3258</v>
      </c>
      <c r="B56" s="1567">
        <v>42787</v>
      </c>
      <c r="C56" s="1568" t="s">
        <v>2965</v>
      </c>
      <c r="D56" s="1568" t="s">
        <v>3155</v>
      </c>
      <c r="E56" s="1568"/>
      <c r="F56" s="1567">
        <v>42787</v>
      </c>
      <c r="G56" s="1566">
        <v>67617</v>
      </c>
      <c r="H56" s="1566">
        <v>67617</v>
      </c>
      <c r="I56" s="1566">
        <f>SUMIFS('Vesting Details'!F:F,'Vesting Details'!A:A,A56,'Vesting Details'!E:E,"&gt;="&amp;$B$6,'Vesting Details'!E:E,"&lt;="&amp;$B$7,'Vesting Details'!K:K,"No")</f>
        <v>67617</v>
      </c>
      <c r="J56" s="1566">
        <f>SUMIFS('Vesting Details'!F:F,'Vesting Details'!A:A,A56,'Vesting Details'!E:E,"&lt;="&amp;$B$7,'Vesting Details'!K:K,"No",'Vesting Details'!J:J,"&gt;"&amp;$B$7) + SUMIFS('Vesting Details'!F:F,'Vesting Details'!A:A,A56,'Vesting Details'!E:E,"&lt;="&amp;$B$7,'Vesting Details'!K:K,"No",'Vesting Details'!J:J,"="&amp;"")</f>
        <v>67617</v>
      </c>
      <c r="K56" s="1566">
        <f t="shared" si="1"/>
        <v>1</v>
      </c>
      <c r="L56" s="1565"/>
    </row>
    <row r="57" spans="1:12" ht="20.100000000000001" customHeight="1">
      <c r="A57" s="1565" t="s">
        <v>3257</v>
      </c>
      <c r="B57" s="1567">
        <v>42787</v>
      </c>
      <c r="C57" s="1568" t="s">
        <v>2976</v>
      </c>
      <c r="D57" s="1568" t="s">
        <v>3155</v>
      </c>
      <c r="E57" s="1568"/>
      <c r="F57" s="1567">
        <v>42787</v>
      </c>
      <c r="G57" s="1566">
        <v>4908702</v>
      </c>
      <c r="H57" s="1566">
        <v>4908702</v>
      </c>
      <c r="I57" s="1566">
        <f>SUMIFS('Vesting Details'!F:F,'Vesting Details'!A:A,A57,'Vesting Details'!E:E,"&gt;="&amp;$B$6,'Vesting Details'!E:E,"&lt;="&amp;$B$7,'Vesting Details'!K:K,"No")</f>
        <v>4908702</v>
      </c>
      <c r="J57" s="1566">
        <f>SUMIFS('Vesting Details'!F:F,'Vesting Details'!A:A,A57,'Vesting Details'!E:E,"&lt;="&amp;$B$7,'Vesting Details'!K:K,"No",'Vesting Details'!J:J,"&gt;"&amp;$B$7) + SUMIFS('Vesting Details'!F:F,'Vesting Details'!A:A,A57,'Vesting Details'!E:E,"&lt;="&amp;$B$7,'Vesting Details'!K:K,"No",'Vesting Details'!J:J,"="&amp;"")</f>
        <v>4908702</v>
      </c>
      <c r="K57" s="1566">
        <f t="shared" si="1"/>
        <v>1</v>
      </c>
      <c r="L57" s="1565"/>
    </row>
    <row r="58" spans="1:12" ht="20.100000000000001" customHeight="1">
      <c r="A58" s="1565" t="s">
        <v>3256</v>
      </c>
      <c r="B58" s="1567">
        <v>42787</v>
      </c>
      <c r="C58" s="1568" t="s">
        <v>2974</v>
      </c>
      <c r="D58" s="1568" t="s">
        <v>3155</v>
      </c>
      <c r="E58" s="1568"/>
      <c r="F58" s="1567">
        <v>42787</v>
      </c>
      <c r="G58" s="1566">
        <v>557099</v>
      </c>
      <c r="H58" s="1566">
        <v>0</v>
      </c>
      <c r="I58" s="1566">
        <f>SUMIFS('Vesting Details'!F:F,'Vesting Details'!A:A,A58,'Vesting Details'!E:E,"&gt;="&amp;$B$6,'Vesting Details'!E:E,"&lt;="&amp;$B$7,'Vesting Details'!K:K,"No")</f>
        <v>557099</v>
      </c>
      <c r="J58" s="1566">
        <f>SUMIFS('Vesting Details'!F:F,'Vesting Details'!A:A,A58,'Vesting Details'!E:E,"&lt;="&amp;$B$7,'Vesting Details'!K:K,"No",'Vesting Details'!J:J,"&gt;"&amp;$B$7) + SUMIFS('Vesting Details'!F:F,'Vesting Details'!A:A,A58,'Vesting Details'!E:E,"&lt;="&amp;$B$7,'Vesting Details'!K:K,"No",'Vesting Details'!J:J,"="&amp;"")</f>
        <v>0</v>
      </c>
      <c r="K58" s="1566">
        <f t="shared" si="1"/>
        <v>0</v>
      </c>
      <c r="L58" s="1565"/>
    </row>
    <row r="59" spans="1:12" ht="20.100000000000001" customHeight="1">
      <c r="A59" s="1565" t="s">
        <v>3255</v>
      </c>
      <c r="B59" s="1567">
        <v>42787</v>
      </c>
      <c r="C59" s="1568" t="s">
        <v>2953</v>
      </c>
      <c r="D59" s="1568" t="s">
        <v>3155</v>
      </c>
      <c r="E59" s="1568"/>
      <c r="F59" s="1567">
        <v>42787</v>
      </c>
      <c r="G59" s="1566">
        <v>46592</v>
      </c>
      <c r="H59" s="1566">
        <v>46592</v>
      </c>
      <c r="I59" s="1566">
        <f>SUMIFS('Vesting Details'!F:F,'Vesting Details'!A:A,A59,'Vesting Details'!E:E,"&gt;="&amp;$B$6,'Vesting Details'!E:E,"&lt;="&amp;$B$7,'Vesting Details'!K:K,"No")</f>
        <v>46592</v>
      </c>
      <c r="J59" s="1566">
        <f>SUMIFS('Vesting Details'!F:F,'Vesting Details'!A:A,A59,'Vesting Details'!E:E,"&lt;="&amp;$B$7,'Vesting Details'!K:K,"No",'Vesting Details'!J:J,"&gt;"&amp;$B$7) + SUMIFS('Vesting Details'!F:F,'Vesting Details'!A:A,A59,'Vesting Details'!E:E,"&lt;="&amp;$B$7,'Vesting Details'!K:K,"No",'Vesting Details'!J:J,"="&amp;"")</f>
        <v>46592</v>
      </c>
      <c r="K59" s="1566">
        <f t="shared" si="1"/>
        <v>1</v>
      </c>
      <c r="L59" s="1565"/>
    </row>
    <row r="60" spans="1:12" ht="20.100000000000001" customHeight="1">
      <c r="A60" s="1565" t="s">
        <v>3254</v>
      </c>
      <c r="B60" s="1567">
        <v>42787</v>
      </c>
      <c r="C60" s="1568" t="s">
        <v>2961</v>
      </c>
      <c r="D60" s="1568" t="s">
        <v>3155</v>
      </c>
      <c r="E60" s="1568"/>
      <c r="F60" s="1567">
        <v>42787</v>
      </c>
      <c r="G60" s="1566">
        <v>23316</v>
      </c>
      <c r="H60" s="1566">
        <v>0</v>
      </c>
      <c r="I60" s="1566">
        <f>SUMIFS('Vesting Details'!F:F,'Vesting Details'!A:A,A60,'Vesting Details'!E:E,"&gt;="&amp;$B$6,'Vesting Details'!E:E,"&lt;="&amp;$B$7,'Vesting Details'!K:K,"No")</f>
        <v>23316</v>
      </c>
      <c r="J60" s="1566">
        <f>SUMIFS('Vesting Details'!F:F,'Vesting Details'!A:A,A60,'Vesting Details'!E:E,"&lt;="&amp;$B$7,'Vesting Details'!K:K,"No",'Vesting Details'!J:J,"&gt;"&amp;$B$7) + SUMIFS('Vesting Details'!F:F,'Vesting Details'!A:A,A60,'Vesting Details'!E:E,"&lt;="&amp;$B$7,'Vesting Details'!K:K,"No",'Vesting Details'!J:J,"="&amp;"")</f>
        <v>0</v>
      </c>
      <c r="K60" s="1566">
        <f t="shared" si="1"/>
        <v>0</v>
      </c>
      <c r="L60" s="1565"/>
    </row>
    <row r="61" spans="1:12" ht="20.100000000000001" customHeight="1">
      <c r="A61" s="1565" t="s">
        <v>3253</v>
      </c>
      <c r="B61" s="1567">
        <v>42787</v>
      </c>
      <c r="C61" s="1568" t="s">
        <v>2987</v>
      </c>
      <c r="D61" s="1568" t="s">
        <v>3155</v>
      </c>
      <c r="E61" s="1568"/>
      <c r="F61" s="1567">
        <v>42787</v>
      </c>
      <c r="G61" s="1566">
        <v>46592</v>
      </c>
      <c r="H61" s="1566">
        <v>46592</v>
      </c>
      <c r="I61" s="1566">
        <f>SUMIFS('Vesting Details'!F:F,'Vesting Details'!A:A,A61,'Vesting Details'!E:E,"&gt;="&amp;$B$6,'Vesting Details'!E:E,"&lt;="&amp;$B$7,'Vesting Details'!K:K,"No")</f>
        <v>46592</v>
      </c>
      <c r="J61" s="1566">
        <f>SUMIFS('Vesting Details'!F:F,'Vesting Details'!A:A,A61,'Vesting Details'!E:E,"&lt;="&amp;$B$7,'Vesting Details'!K:K,"No",'Vesting Details'!J:J,"&gt;"&amp;$B$7) + SUMIFS('Vesting Details'!F:F,'Vesting Details'!A:A,A61,'Vesting Details'!E:E,"&lt;="&amp;$B$7,'Vesting Details'!K:K,"No",'Vesting Details'!J:J,"="&amp;"")</f>
        <v>46592</v>
      </c>
      <c r="K61" s="1566">
        <f t="shared" si="1"/>
        <v>1</v>
      </c>
      <c r="L61" s="1565"/>
    </row>
    <row r="62" spans="1:12" ht="20.100000000000001" customHeight="1">
      <c r="A62" s="1565" t="s">
        <v>3252</v>
      </c>
      <c r="B62" s="1567">
        <v>42787</v>
      </c>
      <c r="C62" s="1568" t="s">
        <v>3007</v>
      </c>
      <c r="D62" s="1568" t="s">
        <v>3155</v>
      </c>
      <c r="E62" s="1568"/>
      <c r="F62" s="1567">
        <v>42787</v>
      </c>
      <c r="G62" s="1566">
        <v>112712</v>
      </c>
      <c r="H62" s="1566">
        <v>112712</v>
      </c>
      <c r="I62" s="1566">
        <f>SUMIFS('Vesting Details'!F:F,'Vesting Details'!A:A,A62,'Vesting Details'!E:E,"&gt;="&amp;$B$6,'Vesting Details'!E:E,"&lt;="&amp;$B$7,'Vesting Details'!K:K,"No")</f>
        <v>112712</v>
      </c>
      <c r="J62" s="1566">
        <f>SUMIFS('Vesting Details'!F:F,'Vesting Details'!A:A,A62,'Vesting Details'!E:E,"&lt;="&amp;$B$7,'Vesting Details'!K:K,"No",'Vesting Details'!J:J,"&gt;"&amp;$B$7) + SUMIFS('Vesting Details'!F:F,'Vesting Details'!A:A,A62,'Vesting Details'!E:E,"&lt;="&amp;$B$7,'Vesting Details'!K:K,"No",'Vesting Details'!J:J,"="&amp;"")</f>
        <v>112712</v>
      </c>
      <c r="K62" s="1566">
        <f t="shared" si="1"/>
        <v>1</v>
      </c>
      <c r="L62" s="1565"/>
    </row>
    <row r="63" spans="1:12" ht="20.100000000000001" customHeight="1">
      <c r="A63" s="1565" t="s">
        <v>3251</v>
      </c>
      <c r="B63" s="1567">
        <v>42787</v>
      </c>
      <c r="C63" s="1568" t="s">
        <v>2982</v>
      </c>
      <c r="D63" s="1568" t="s">
        <v>3155</v>
      </c>
      <c r="E63" s="1568"/>
      <c r="F63" s="1567">
        <v>42787</v>
      </c>
      <c r="G63" s="1566">
        <v>34978</v>
      </c>
      <c r="H63" s="1566">
        <v>34978</v>
      </c>
      <c r="I63" s="1566">
        <f>SUMIFS('Vesting Details'!F:F,'Vesting Details'!A:A,A63,'Vesting Details'!E:E,"&gt;="&amp;$B$6,'Vesting Details'!E:E,"&lt;="&amp;$B$7,'Vesting Details'!K:K,"No")</f>
        <v>34978</v>
      </c>
      <c r="J63" s="1566">
        <f>SUMIFS('Vesting Details'!F:F,'Vesting Details'!A:A,A63,'Vesting Details'!E:E,"&lt;="&amp;$B$7,'Vesting Details'!K:K,"No",'Vesting Details'!J:J,"&gt;"&amp;$B$7) + SUMIFS('Vesting Details'!F:F,'Vesting Details'!A:A,A63,'Vesting Details'!E:E,"&lt;="&amp;$B$7,'Vesting Details'!K:K,"No",'Vesting Details'!J:J,"="&amp;"")</f>
        <v>34978</v>
      </c>
      <c r="K63" s="1566">
        <f t="shared" si="1"/>
        <v>1</v>
      </c>
      <c r="L63" s="1565"/>
    </row>
    <row r="64" spans="1:12" ht="20.100000000000001" customHeight="1">
      <c r="A64" s="1565" t="s">
        <v>3250</v>
      </c>
      <c r="B64" s="1567">
        <v>42787</v>
      </c>
      <c r="C64" s="1568" t="s">
        <v>2956</v>
      </c>
      <c r="D64" s="1568" t="s">
        <v>3155</v>
      </c>
      <c r="E64" s="1568"/>
      <c r="F64" s="1567">
        <v>42787</v>
      </c>
      <c r="G64" s="1566">
        <v>107288</v>
      </c>
      <c r="H64" s="1566">
        <v>107288</v>
      </c>
      <c r="I64" s="1566">
        <f>SUMIFS('Vesting Details'!F:F,'Vesting Details'!A:A,A64,'Vesting Details'!E:E,"&gt;="&amp;$B$6,'Vesting Details'!E:E,"&lt;="&amp;$B$7,'Vesting Details'!K:K,"No")</f>
        <v>107288</v>
      </c>
      <c r="J64" s="1566">
        <f>SUMIFS('Vesting Details'!F:F,'Vesting Details'!A:A,A64,'Vesting Details'!E:E,"&lt;="&amp;$B$7,'Vesting Details'!K:K,"No",'Vesting Details'!J:J,"&gt;"&amp;$B$7) + SUMIFS('Vesting Details'!F:F,'Vesting Details'!A:A,A64,'Vesting Details'!E:E,"&lt;="&amp;$B$7,'Vesting Details'!K:K,"No",'Vesting Details'!J:J,"="&amp;"")</f>
        <v>107288</v>
      </c>
      <c r="K64" s="1566">
        <f t="shared" si="1"/>
        <v>1</v>
      </c>
      <c r="L64" s="1565"/>
    </row>
    <row r="65" spans="1:12" ht="20.100000000000001" customHeight="1">
      <c r="A65" s="1565" t="s">
        <v>3249</v>
      </c>
      <c r="B65" s="1567">
        <v>42787</v>
      </c>
      <c r="C65" s="1568" t="s">
        <v>2970</v>
      </c>
      <c r="D65" s="1568" t="s">
        <v>3155</v>
      </c>
      <c r="E65" s="1568"/>
      <c r="F65" s="1567">
        <v>42787</v>
      </c>
      <c r="G65" s="1566">
        <v>145259</v>
      </c>
      <c r="H65" s="1566">
        <v>145259</v>
      </c>
      <c r="I65" s="1566">
        <f>SUMIFS('Vesting Details'!F:F,'Vesting Details'!A:A,A65,'Vesting Details'!E:E,"&gt;="&amp;$B$6,'Vesting Details'!E:E,"&lt;="&amp;$B$7,'Vesting Details'!K:K,"No")</f>
        <v>145259</v>
      </c>
      <c r="J65" s="1566">
        <f>SUMIFS('Vesting Details'!F:F,'Vesting Details'!A:A,A65,'Vesting Details'!E:E,"&lt;="&amp;$B$7,'Vesting Details'!K:K,"No",'Vesting Details'!J:J,"&gt;"&amp;$B$7) + SUMIFS('Vesting Details'!F:F,'Vesting Details'!A:A,A65,'Vesting Details'!E:E,"&lt;="&amp;$B$7,'Vesting Details'!K:K,"No",'Vesting Details'!J:J,"="&amp;"")</f>
        <v>145259</v>
      </c>
      <c r="K65" s="1566">
        <f t="shared" si="1"/>
        <v>1</v>
      </c>
      <c r="L65" s="1565"/>
    </row>
    <row r="66" spans="1:12" ht="20.100000000000001" customHeight="1">
      <c r="A66" s="1565" t="s">
        <v>3248</v>
      </c>
      <c r="B66" s="1567">
        <v>42866</v>
      </c>
      <c r="C66" s="1568" t="s">
        <v>2961</v>
      </c>
      <c r="D66" s="1568" t="s">
        <v>236</v>
      </c>
      <c r="E66" s="1568"/>
      <c r="F66" s="1567">
        <v>42866</v>
      </c>
      <c r="G66" s="1566">
        <v>4496</v>
      </c>
      <c r="H66" s="1566">
        <v>4496</v>
      </c>
      <c r="I66" s="1566">
        <f>SUMIFS('Vesting Details'!F:F,'Vesting Details'!A:A,A66,'Vesting Details'!E:E,"&gt;="&amp;$B$6,'Vesting Details'!E:E,"&lt;="&amp;$B$7,'Vesting Details'!K:K,"No")</f>
        <v>4496</v>
      </c>
      <c r="J66" s="1566">
        <f>SUMIFS('Vesting Details'!F:F,'Vesting Details'!A:A,A66,'Vesting Details'!E:E,"&lt;="&amp;$B$7,'Vesting Details'!K:K,"No",'Vesting Details'!J:J,"&gt;"&amp;$B$7) + SUMIFS('Vesting Details'!F:F,'Vesting Details'!A:A,A66,'Vesting Details'!E:E,"&lt;="&amp;$B$7,'Vesting Details'!K:K,"No",'Vesting Details'!J:J,"="&amp;"")</f>
        <v>4496</v>
      </c>
      <c r="K66" s="1566">
        <f t="shared" si="1"/>
        <v>1</v>
      </c>
      <c r="L66" s="1565"/>
    </row>
    <row r="67" spans="1:12" ht="20.100000000000001" customHeight="1">
      <c r="A67" s="1565" t="s">
        <v>3247</v>
      </c>
      <c r="B67" s="1567">
        <v>42868</v>
      </c>
      <c r="C67" s="1568" t="s">
        <v>2959</v>
      </c>
      <c r="D67" s="1568" t="s">
        <v>3155</v>
      </c>
      <c r="E67" s="1568"/>
      <c r="F67" s="1567">
        <v>42868</v>
      </c>
      <c r="G67" s="1566">
        <v>23316</v>
      </c>
      <c r="H67" s="1566">
        <v>23316</v>
      </c>
      <c r="I67" s="1566">
        <f>SUMIFS('Vesting Details'!F:F,'Vesting Details'!A:A,A67,'Vesting Details'!E:E,"&gt;="&amp;$B$6,'Vesting Details'!E:E,"&lt;="&amp;$B$7,'Vesting Details'!K:K,"No")</f>
        <v>23316</v>
      </c>
      <c r="J67" s="1566">
        <f>SUMIFS('Vesting Details'!F:F,'Vesting Details'!A:A,A67,'Vesting Details'!E:E,"&lt;="&amp;$B$7,'Vesting Details'!K:K,"No",'Vesting Details'!J:J,"&gt;"&amp;$B$7) + SUMIFS('Vesting Details'!F:F,'Vesting Details'!A:A,A67,'Vesting Details'!E:E,"&lt;="&amp;$B$7,'Vesting Details'!K:K,"No",'Vesting Details'!J:J,"="&amp;"")</f>
        <v>23316</v>
      </c>
      <c r="K67" s="1566">
        <f t="shared" si="1"/>
        <v>1</v>
      </c>
      <c r="L67" s="1565"/>
    </row>
    <row r="68" spans="1:12" ht="20.100000000000001" customHeight="1">
      <c r="A68" s="1565" t="s">
        <v>3246</v>
      </c>
      <c r="B68" s="1567">
        <v>42868</v>
      </c>
      <c r="C68" s="1568" t="s">
        <v>2959</v>
      </c>
      <c r="D68" s="1568" t="s">
        <v>3149</v>
      </c>
      <c r="E68" s="1568"/>
      <c r="F68" s="1567">
        <v>42868</v>
      </c>
      <c r="G68" s="1566">
        <v>41684</v>
      </c>
      <c r="H68" s="1566">
        <v>41684</v>
      </c>
      <c r="I68" s="1566">
        <f>SUMIFS('Vesting Details'!F:F,'Vesting Details'!A:A,A68,'Vesting Details'!E:E,"&gt;="&amp;$B$6,'Vesting Details'!E:E,"&lt;="&amp;$B$7,'Vesting Details'!K:K,"No")</f>
        <v>41684</v>
      </c>
      <c r="J68" s="1566">
        <f>SUMIFS('Vesting Details'!F:F,'Vesting Details'!A:A,A68,'Vesting Details'!E:E,"&lt;="&amp;$B$7,'Vesting Details'!K:K,"No",'Vesting Details'!J:J,"&gt;"&amp;$B$7) + SUMIFS('Vesting Details'!F:F,'Vesting Details'!A:A,A68,'Vesting Details'!E:E,"&lt;="&amp;$B$7,'Vesting Details'!K:K,"No",'Vesting Details'!J:J,"="&amp;"")</f>
        <v>41684</v>
      </c>
      <c r="K68" s="1566">
        <f t="shared" si="1"/>
        <v>1</v>
      </c>
      <c r="L68" s="1565"/>
    </row>
    <row r="69" spans="1:12" ht="20.100000000000001" customHeight="1">
      <c r="A69" s="1565" t="s">
        <v>3245</v>
      </c>
      <c r="B69" s="1567">
        <v>42868</v>
      </c>
      <c r="C69" s="1568" t="s">
        <v>2958</v>
      </c>
      <c r="D69" s="1568" t="s">
        <v>3149</v>
      </c>
      <c r="E69" s="1568"/>
      <c r="F69" s="1567">
        <v>42868</v>
      </c>
      <c r="G69" s="1566">
        <v>10428</v>
      </c>
      <c r="H69" s="1566">
        <v>10428</v>
      </c>
      <c r="I69" s="1566">
        <f>SUMIFS('Vesting Details'!F:F,'Vesting Details'!A:A,A69,'Vesting Details'!E:E,"&gt;="&amp;$B$6,'Vesting Details'!E:E,"&lt;="&amp;$B$7,'Vesting Details'!K:K,"No")</f>
        <v>10428</v>
      </c>
      <c r="J69" s="1566">
        <f>SUMIFS('Vesting Details'!F:F,'Vesting Details'!A:A,A69,'Vesting Details'!E:E,"&lt;="&amp;$B$7,'Vesting Details'!K:K,"No",'Vesting Details'!J:J,"&gt;"&amp;$B$7) + SUMIFS('Vesting Details'!F:F,'Vesting Details'!A:A,A69,'Vesting Details'!E:E,"&lt;="&amp;$B$7,'Vesting Details'!K:K,"No",'Vesting Details'!J:J,"="&amp;"")</f>
        <v>10428</v>
      </c>
      <c r="K69" s="1566">
        <f t="shared" si="1"/>
        <v>1</v>
      </c>
      <c r="L69" s="1565"/>
    </row>
    <row r="70" spans="1:12" ht="20.100000000000001" customHeight="1">
      <c r="A70" s="1565" t="s">
        <v>3244</v>
      </c>
      <c r="B70" s="1567">
        <v>42871</v>
      </c>
      <c r="C70" s="1568" t="s">
        <v>3002</v>
      </c>
      <c r="D70" s="1568" t="s">
        <v>236</v>
      </c>
      <c r="E70" s="1568"/>
      <c r="F70" s="1567">
        <v>42871</v>
      </c>
      <c r="G70" s="1566">
        <v>13040</v>
      </c>
      <c r="H70" s="1566">
        <v>13040</v>
      </c>
      <c r="I70" s="1566">
        <f>SUMIFS('Vesting Details'!F:F,'Vesting Details'!A:A,A70,'Vesting Details'!E:E,"&gt;="&amp;$B$6,'Vesting Details'!E:E,"&lt;="&amp;$B$7,'Vesting Details'!K:K,"No")</f>
        <v>13040</v>
      </c>
      <c r="J70" s="1566">
        <f>SUMIFS('Vesting Details'!F:F,'Vesting Details'!A:A,A70,'Vesting Details'!E:E,"&lt;="&amp;$B$7,'Vesting Details'!K:K,"No",'Vesting Details'!J:J,"&gt;"&amp;$B$7) + SUMIFS('Vesting Details'!F:F,'Vesting Details'!A:A,A70,'Vesting Details'!E:E,"&lt;="&amp;$B$7,'Vesting Details'!K:K,"No",'Vesting Details'!J:J,"="&amp;"")</f>
        <v>13040</v>
      </c>
      <c r="K70" s="1566">
        <f t="shared" si="1"/>
        <v>1</v>
      </c>
      <c r="L70" s="1565"/>
    </row>
    <row r="71" spans="1:12" ht="20.100000000000001" customHeight="1">
      <c r="A71" s="1565" t="s">
        <v>3243</v>
      </c>
      <c r="B71" s="1567">
        <v>42872</v>
      </c>
      <c r="C71" s="1568" t="s">
        <v>2986</v>
      </c>
      <c r="D71" s="1568" t="s">
        <v>236</v>
      </c>
      <c r="E71" s="1568"/>
      <c r="F71" s="1567">
        <v>42872</v>
      </c>
      <c r="G71" s="1566">
        <v>22440</v>
      </c>
      <c r="H71" s="1566">
        <v>22440</v>
      </c>
      <c r="I71" s="1566">
        <f>SUMIFS('Vesting Details'!F:F,'Vesting Details'!A:A,A71,'Vesting Details'!E:E,"&gt;="&amp;$B$6,'Vesting Details'!E:E,"&lt;="&amp;$B$7,'Vesting Details'!K:K,"No")</f>
        <v>22440</v>
      </c>
      <c r="J71" s="1566">
        <f>SUMIFS('Vesting Details'!F:F,'Vesting Details'!A:A,A71,'Vesting Details'!E:E,"&lt;="&amp;$B$7,'Vesting Details'!K:K,"No",'Vesting Details'!J:J,"&gt;"&amp;$B$7) + SUMIFS('Vesting Details'!F:F,'Vesting Details'!A:A,A71,'Vesting Details'!E:E,"&lt;="&amp;$B$7,'Vesting Details'!K:K,"No",'Vesting Details'!J:J,"="&amp;"")</f>
        <v>22440</v>
      </c>
      <c r="K71" s="1566">
        <f t="shared" si="1"/>
        <v>1</v>
      </c>
      <c r="L71" s="1565"/>
    </row>
    <row r="72" spans="1:12" ht="20.100000000000001" customHeight="1">
      <c r="A72" s="1565" t="s">
        <v>3242</v>
      </c>
      <c r="B72" s="1567">
        <v>42877</v>
      </c>
      <c r="C72" s="1568" t="s">
        <v>2999</v>
      </c>
      <c r="D72" s="1568" t="s">
        <v>236</v>
      </c>
      <c r="E72" s="1568"/>
      <c r="F72" s="1567">
        <v>42877</v>
      </c>
      <c r="G72" s="1566">
        <v>15288</v>
      </c>
      <c r="H72" s="1566">
        <v>15288</v>
      </c>
      <c r="I72" s="1566">
        <f>SUMIFS('Vesting Details'!F:F,'Vesting Details'!A:A,A72,'Vesting Details'!E:E,"&gt;="&amp;$B$6,'Vesting Details'!E:E,"&lt;="&amp;$B$7,'Vesting Details'!K:K,"No")</f>
        <v>15288</v>
      </c>
      <c r="J72" s="1566">
        <f>SUMIFS('Vesting Details'!F:F,'Vesting Details'!A:A,A72,'Vesting Details'!E:E,"&lt;="&amp;$B$7,'Vesting Details'!K:K,"No",'Vesting Details'!J:J,"&gt;"&amp;$B$7) + SUMIFS('Vesting Details'!F:F,'Vesting Details'!A:A,A72,'Vesting Details'!E:E,"&lt;="&amp;$B$7,'Vesting Details'!K:K,"No",'Vesting Details'!J:J,"="&amp;"")</f>
        <v>15288</v>
      </c>
      <c r="K72" s="1566">
        <f t="shared" si="1"/>
        <v>1</v>
      </c>
      <c r="L72" s="1565"/>
    </row>
    <row r="73" spans="1:12" ht="20.100000000000001" customHeight="1">
      <c r="A73" s="1565" t="s">
        <v>3241</v>
      </c>
      <c r="B73" s="1567">
        <v>42887</v>
      </c>
      <c r="C73" s="1568" t="s">
        <v>2961</v>
      </c>
      <c r="D73" s="1568" t="s">
        <v>236</v>
      </c>
      <c r="E73" s="1568"/>
      <c r="F73" s="1567">
        <v>42887</v>
      </c>
      <c r="G73" s="1566">
        <v>4496</v>
      </c>
      <c r="H73" s="1566">
        <v>4496</v>
      </c>
      <c r="I73" s="1566">
        <f>SUMIFS('Vesting Details'!F:F,'Vesting Details'!A:A,A73,'Vesting Details'!E:E,"&gt;="&amp;$B$6,'Vesting Details'!E:E,"&lt;="&amp;$B$7,'Vesting Details'!K:K,"No")</f>
        <v>4496</v>
      </c>
      <c r="J73" s="1566">
        <f>SUMIFS('Vesting Details'!F:F,'Vesting Details'!A:A,A73,'Vesting Details'!E:E,"&lt;="&amp;$B$7,'Vesting Details'!K:K,"No",'Vesting Details'!J:J,"&gt;"&amp;$B$7) + SUMIFS('Vesting Details'!F:F,'Vesting Details'!A:A,A73,'Vesting Details'!E:E,"&lt;="&amp;$B$7,'Vesting Details'!K:K,"No",'Vesting Details'!J:J,"="&amp;"")</f>
        <v>4496</v>
      </c>
      <c r="K73" s="1566">
        <f t="shared" si="1"/>
        <v>1</v>
      </c>
      <c r="L73" s="1565"/>
    </row>
    <row r="74" spans="1:12" ht="20.100000000000001" customHeight="1">
      <c r="A74" s="1565" t="s">
        <v>3240</v>
      </c>
      <c r="B74" s="1567">
        <v>42890</v>
      </c>
      <c r="C74" s="1568" t="s">
        <v>2999</v>
      </c>
      <c r="D74" s="1568" t="s">
        <v>236</v>
      </c>
      <c r="E74" s="1568"/>
      <c r="F74" s="1567">
        <v>42890</v>
      </c>
      <c r="G74" s="1566">
        <v>5096</v>
      </c>
      <c r="H74" s="1566">
        <v>5096</v>
      </c>
      <c r="I74" s="1566">
        <f>SUMIFS('Vesting Details'!F:F,'Vesting Details'!A:A,A74,'Vesting Details'!E:E,"&gt;="&amp;$B$6,'Vesting Details'!E:E,"&lt;="&amp;$B$7,'Vesting Details'!K:K,"No")</f>
        <v>5096</v>
      </c>
      <c r="J74" s="1566">
        <f>SUMIFS('Vesting Details'!F:F,'Vesting Details'!A:A,A74,'Vesting Details'!E:E,"&lt;="&amp;$B$7,'Vesting Details'!K:K,"No",'Vesting Details'!J:J,"&gt;"&amp;$B$7) + SUMIFS('Vesting Details'!F:F,'Vesting Details'!A:A,A74,'Vesting Details'!E:E,"&lt;="&amp;$B$7,'Vesting Details'!K:K,"No",'Vesting Details'!J:J,"="&amp;"")</f>
        <v>5096</v>
      </c>
      <c r="K74" s="1566">
        <f t="shared" ref="K74:K105" si="2">J74/G74</f>
        <v>1</v>
      </c>
      <c r="L74" s="1565"/>
    </row>
    <row r="75" spans="1:12" ht="20.100000000000001" customHeight="1">
      <c r="A75" s="1565" t="s">
        <v>3239</v>
      </c>
      <c r="B75" s="1567">
        <v>42898</v>
      </c>
      <c r="C75" s="1568" t="s">
        <v>2980</v>
      </c>
      <c r="D75" s="1568" t="s">
        <v>236</v>
      </c>
      <c r="E75" s="1568"/>
      <c r="F75" s="1567">
        <v>42898</v>
      </c>
      <c r="G75" s="1566">
        <v>1400</v>
      </c>
      <c r="H75" s="1566">
        <v>1400</v>
      </c>
      <c r="I75" s="1566">
        <f>SUMIFS('Vesting Details'!F:F,'Vesting Details'!A:A,A75,'Vesting Details'!E:E,"&gt;="&amp;$B$6,'Vesting Details'!E:E,"&lt;="&amp;$B$7,'Vesting Details'!K:K,"No")</f>
        <v>1400</v>
      </c>
      <c r="J75" s="1566">
        <f>SUMIFS('Vesting Details'!F:F,'Vesting Details'!A:A,A75,'Vesting Details'!E:E,"&lt;="&amp;$B$7,'Vesting Details'!K:K,"No",'Vesting Details'!J:J,"&gt;"&amp;$B$7) + SUMIFS('Vesting Details'!F:F,'Vesting Details'!A:A,A75,'Vesting Details'!E:E,"&lt;="&amp;$B$7,'Vesting Details'!K:K,"No",'Vesting Details'!J:J,"="&amp;"")</f>
        <v>1400</v>
      </c>
      <c r="K75" s="1566">
        <f t="shared" si="2"/>
        <v>1</v>
      </c>
      <c r="L75" s="1565"/>
    </row>
    <row r="76" spans="1:12" ht="20.100000000000001" customHeight="1">
      <c r="A76" s="1565" t="s">
        <v>3238</v>
      </c>
      <c r="B76" s="1567">
        <v>42903</v>
      </c>
      <c r="C76" s="1568" t="s">
        <v>2983</v>
      </c>
      <c r="D76" s="1568" t="s">
        <v>236</v>
      </c>
      <c r="E76" s="1568"/>
      <c r="F76" s="1567">
        <v>42903</v>
      </c>
      <c r="G76" s="1566">
        <v>26384</v>
      </c>
      <c r="H76" s="1566">
        <v>26384</v>
      </c>
      <c r="I76" s="1566">
        <f>SUMIFS('Vesting Details'!F:F,'Vesting Details'!A:A,A76,'Vesting Details'!E:E,"&gt;="&amp;$B$6,'Vesting Details'!E:E,"&lt;="&amp;$B$7,'Vesting Details'!K:K,"No")</f>
        <v>26384</v>
      </c>
      <c r="J76" s="1566">
        <f>SUMIFS('Vesting Details'!F:F,'Vesting Details'!A:A,A76,'Vesting Details'!E:E,"&lt;="&amp;$B$7,'Vesting Details'!K:K,"No",'Vesting Details'!J:J,"&gt;"&amp;$B$7) + SUMIFS('Vesting Details'!F:F,'Vesting Details'!A:A,A76,'Vesting Details'!E:E,"&lt;="&amp;$B$7,'Vesting Details'!K:K,"No",'Vesting Details'!J:J,"="&amp;"")</f>
        <v>26384</v>
      </c>
      <c r="K76" s="1566">
        <f t="shared" si="2"/>
        <v>1</v>
      </c>
      <c r="L76" s="1565" t="s">
        <v>3052</v>
      </c>
    </row>
    <row r="77" spans="1:12" ht="20.100000000000001" customHeight="1">
      <c r="A77" s="1565" t="s">
        <v>3237</v>
      </c>
      <c r="B77" s="1567">
        <v>42917</v>
      </c>
      <c r="C77" s="1568" t="s">
        <v>2961</v>
      </c>
      <c r="D77" s="1568" t="s">
        <v>236</v>
      </c>
      <c r="E77" s="1568"/>
      <c r="F77" s="1567">
        <v>42917</v>
      </c>
      <c r="G77" s="1566">
        <v>4496</v>
      </c>
      <c r="H77" s="1566">
        <v>4496</v>
      </c>
      <c r="I77" s="1566">
        <f>SUMIFS('Vesting Details'!F:F,'Vesting Details'!A:A,A77,'Vesting Details'!E:E,"&gt;="&amp;$B$6,'Vesting Details'!E:E,"&lt;="&amp;$B$7,'Vesting Details'!K:K,"No")</f>
        <v>4496</v>
      </c>
      <c r="J77" s="1566">
        <f>SUMIFS('Vesting Details'!F:F,'Vesting Details'!A:A,A77,'Vesting Details'!E:E,"&lt;="&amp;$B$7,'Vesting Details'!K:K,"No",'Vesting Details'!J:J,"&gt;"&amp;$B$7) + SUMIFS('Vesting Details'!F:F,'Vesting Details'!A:A,A77,'Vesting Details'!E:E,"&lt;="&amp;$B$7,'Vesting Details'!K:K,"No",'Vesting Details'!J:J,"="&amp;"")</f>
        <v>4496</v>
      </c>
      <c r="K77" s="1566">
        <f t="shared" si="2"/>
        <v>1</v>
      </c>
      <c r="L77" s="1565"/>
    </row>
    <row r="78" spans="1:12" ht="20.100000000000001" customHeight="1">
      <c r="A78" s="1565" t="s">
        <v>3236</v>
      </c>
      <c r="B78" s="1567">
        <v>42918</v>
      </c>
      <c r="C78" s="1568" t="s">
        <v>2999</v>
      </c>
      <c r="D78" s="1568" t="s">
        <v>236</v>
      </c>
      <c r="E78" s="1568"/>
      <c r="F78" s="1567">
        <v>42918</v>
      </c>
      <c r="G78" s="1566">
        <v>5096</v>
      </c>
      <c r="H78" s="1566">
        <v>5096</v>
      </c>
      <c r="I78" s="1566">
        <f>SUMIFS('Vesting Details'!F:F,'Vesting Details'!A:A,A78,'Vesting Details'!E:E,"&gt;="&amp;$B$6,'Vesting Details'!E:E,"&lt;="&amp;$B$7,'Vesting Details'!K:K,"No")</f>
        <v>5096</v>
      </c>
      <c r="J78" s="1566">
        <f>SUMIFS('Vesting Details'!F:F,'Vesting Details'!A:A,A78,'Vesting Details'!E:E,"&lt;="&amp;$B$7,'Vesting Details'!K:K,"No",'Vesting Details'!J:J,"&gt;"&amp;$B$7) + SUMIFS('Vesting Details'!F:F,'Vesting Details'!A:A,A78,'Vesting Details'!E:E,"&lt;="&amp;$B$7,'Vesting Details'!K:K,"No",'Vesting Details'!J:J,"="&amp;"")</f>
        <v>5096</v>
      </c>
      <c r="K78" s="1566">
        <f t="shared" si="2"/>
        <v>1</v>
      </c>
      <c r="L78" s="1565"/>
    </row>
    <row r="79" spans="1:12" ht="20.100000000000001" customHeight="1">
      <c r="A79" s="1565" t="s">
        <v>3235</v>
      </c>
      <c r="B79" s="1567">
        <v>42947</v>
      </c>
      <c r="C79" s="1568" t="s">
        <v>2972</v>
      </c>
      <c r="D79" s="1568" t="s">
        <v>236</v>
      </c>
      <c r="E79" s="1568"/>
      <c r="F79" s="1567">
        <v>42947</v>
      </c>
      <c r="G79" s="1566">
        <v>4000</v>
      </c>
      <c r="H79" s="1566">
        <v>4000</v>
      </c>
      <c r="I79" s="1566">
        <f>SUMIFS('Vesting Details'!F:F,'Vesting Details'!A:A,A79,'Vesting Details'!E:E,"&gt;="&amp;$B$6,'Vesting Details'!E:E,"&lt;="&amp;$B$7,'Vesting Details'!K:K,"No")</f>
        <v>4000</v>
      </c>
      <c r="J79" s="1566">
        <f>SUMIFS('Vesting Details'!F:F,'Vesting Details'!A:A,A79,'Vesting Details'!E:E,"&lt;="&amp;$B$7,'Vesting Details'!K:K,"No",'Vesting Details'!J:J,"&gt;"&amp;$B$7) + SUMIFS('Vesting Details'!F:F,'Vesting Details'!A:A,A79,'Vesting Details'!E:E,"&lt;="&amp;$B$7,'Vesting Details'!K:K,"No",'Vesting Details'!J:J,"="&amp;"")</f>
        <v>4000</v>
      </c>
      <c r="K79" s="1566">
        <f t="shared" si="2"/>
        <v>1</v>
      </c>
      <c r="L79" s="1565"/>
    </row>
    <row r="80" spans="1:12" ht="20.100000000000001" customHeight="1">
      <c r="A80" s="1565" t="s">
        <v>3234</v>
      </c>
      <c r="B80" s="1567">
        <v>42951</v>
      </c>
      <c r="C80" s="1568" t="s">
        <v>2961</v>
      </c>
      <c r="D80" s="1568" t="s">
        <v>236</v>
      </c>
      <c r="E80" s="1568"/>
      <c r="F80" s="1567">
        <v>42951</v>
      </c>
      <c r="G80" s="1566">
        <v>4496</v>
      </c>
      <c r="H80" s="1566">
        <v>4496</v>
      </c>
      <c r="I80" s="1566">
        <f>SUMIFS('Vesting Details'!F:F,'Vesting Details'!A:A,A80,'Vesting Details'!E:E,"&gt;="&amp;$B$6,'Vesting Details'!E:E,"&lt;="&amp;$B$7,'Vesting Details'!K:K,"No")</f>
        <v>4496</v>
      </c>
      <c r="J80" s="1566">
        <f>SUMIFS('Vesting Details'!F:F,'Vesting Details'!A:A,A80,'Vesting Details'!E:E,"&lt;="&amp;$B$7,'Vesting Details'!K:K,"No",'Vesting Details'!J:J,"&gt;"&amp;$B$7) + SUMIFS('Vesting Details'!F:F,'Vesting Details'!A:A,A80,'Vesting Details'!E:E,"&lt;="&amp;$B$7,'Vesting Details'!K:K,"No",'Vesting Details'!J:J,"="&amp;"")</f>
        <v>4496</v>
      </c>
      <c r="K80" s="1566">
        <f t="shared" si="2"/>
        <v>1</v>
      </c>
      <c r="L80" s="1565"/>
    </row>
    <row r="81" spans="1:12" ht="20.100000000000001" customHeight="1">
      <c r="A81" s="1565" t="s">
        <v>3233</v>
      </c>
      <c r="B81" s="1567">
        <v>42955</v>
      </c>
      <c r="C81" s="1568" t="s">
        <v>2999</v>
      </c>
      <c r="D81" s="1568" t="s">
        <v>236</v>
      </c>
      <c r="E81" s="1568"/>
      <c r="F81" s="1567">
        <v>42955</v>
      </c>
      <c r="G81" s="1566">
        <v>5096</v>
      </c>
      <c r="H81" s="1566">
        <v>5096</v>
      </c>
      <c r="I81" s="1566">
        <f>SUMIFS('Vesting Details'!F:F,'Vesting Details'!A:A,A81,'Vesting Details'!E:E,"&gt;="&amp;$B$6,'Vesting Details'!E:E,"&lt;="&amp;$B$7,'Vesting Details'!K:K,"No")</f>
        <v>5096</v>
      </c>
      <c r="J81" s="1566">
        <f>SUMIFS('Vesting Details'!F:F,'Vesting Details'!A:A,A81,'Vesting Details'!E:E,"&lt;="&amp;$B$7,'Vesting Details'!K:K,"No",'Vesting Details'!J:J,"&gt;"&amp;$B$7) + SUMIFS('Vesting Details'!F:F,'Vesting Details'!A:A,A81,'Vesting Details'!E:E,"&lt;="&amp;$B$7,'Vesting Details'!K:K,"No",'Vesting Details'!J:J,"="&amp;"")</f>
        <v>5096</v>
      </c>
      <c r="K81" s="1566">
        <f t="shared" si="2"/>
        <v>1</v>
      </c>
      <c r="L81" s="1565"/>
    </row>
    <row r="82" spans="1:12" ht="20.100000000000001" customHeight="1">
      <c r="A82" s="1565" t="s">
        <v>3232</v>
      </c>
      <c r="B82" s="1567">
        <v>42980</v>
      </c>
      <c r="C82" s="1568" t="s">
        <v>2999</v>
      </c>
      <c r="D82" s="1568" t="s">
        <v>236</v>
      </c>
      <c r="E82" s="1568"/>
      <c r="F82" s="1567">
        <v>42980</v>
      </c>
      <c r="G82" s="1566">
        <v>5096</v>
      </c>
      <c r="H82" s="1566">
        <v>5096</v>
      </c>
      <c r="I82" s="1566">
        <f>SUMIFS('Vesting Details'!F:F,'Vesting Details'!A:A,A82,'Vesting Details'!E:E,"&gt;="&amp;$B$6,'Vesting Details'!E:E,"&lt;="&amp;$B$7,'Vesting Details'!K:K,"No")</f>
        <v>5096</v>
      </c>
      <c r="J82" s="1566">
        <f>SUMIFS('Vesting Details'!F:F,'Vesting Details'!A:A,A82,'Vesting Details'!E:E,"&lt;="&amp;$B$7,'Vesting Details'!K:K,"No",'Vesting Details'!J:J,"&gt;"&amp;$B$7) + SUMIFS('Vesting Details'!F:F,'Vesting Details'!A:A,A82,'Vesting Details'!E:E,"&lt;="&amp;$B$7,'Vesting Details'!K:K,"No",'Vesting Details'!J:J,"="&amp;"")</f>
        <v>5096</v>
      </c>
      <c r="K82" s="1566">
        <f t="shared" si="2"/>
        <v>1</v>
      </c>
      <c r="L82" s="1565"/>
    </row>
    <row r="83" spans="1:12" ht="20.100000000000001" customHeight="1">
      <c r="A83" s="1565" t="s">
        <v>3231</v>
      </c>
      <c r="B83" s="1567">
        <v>42986</v>
      </c>
      <c r="C83" s="1568" t="s">
        <v>2980</v>
      </c>
      <c r="D83" s="1568" t="s">
        <v>236</v>
      </c>
      <c r="E83" s="1568"/>
      <c r="F83" s="1567">
        <v>42986</v>
      </c>
      <c r="G83" s="1566">
        <v>704</v>
      </c>
      <c r="H83" s="1566">
        <v>704</v>
      </c>
      <c r="I83" s="1566">
        <f>SUMIFS('Vesting Details'!F:F,'Vesting Details'!A:A,A83,'Vesting Details'!E:E,"&gt;="&amp;$B$6,'Vesting Details'!E:E,"&lt;="&amp;$B$7,'Vesting Details'!K:K,"No")</f>
        <v>704</v>
      </c>
      <c r="J83" s="1566">
        <f>SUMIFS('Vesting Details'!F:F,'Vesting Details'!A:A,A83,'Vesting Details'!E:E,"&lt;="&amp;$B$7,'Vesting Details'!K:K,"No",'Vesting Details'!J:J,"&gt;"&amp;$B$7) + SUMIFS('Vesting Details'!F:F,'Vesting Details'!A:A,A83,'Vesting Details'!E:E,"&lt;="&amp;$B$7,'Vesting Details'!K:K,"No",'Vesting Details'!J:J,"="&amp;"")</f>
        <v>704</v>
      </c>
      <c r="K83" s="1566">
        <f t="shared" si="2"/>
        <v>1</v>
      </c>
      <c r="L83" s="1565"/>
    </row>
    <row r="84" spans="1:12" ht="20.100000000000001" customHeight="1">
      <c r="A84" s="1565" t="s">
        <v>3230</v>
      </c>
      <c r="B84" s="1567">
        <v>42986</v>
      </c>
      <c r="C84" s="1568" t="s">
        <v>2961</v>
      </c>
      <c r="D84" s="1568" t="s">
        <v>236</v>
      </c>
      <c r="E84" s="1568"/>
      <c r="F84" s="1567">
        <v>42986</v>
      </c>
      <c r="G84" s="1566">
        <v>4496</v>
      </c>
      <c r="H84" s="1566">
        <v>4496</v>
      </c>
      <c r="I84" s="1566">
        <f>SUMIFS('Vesting Details'!F:F,'Vesting Details'!A:A,A84,'Vesting Details'!E:E,"&gt;="&amp;$B$6,'Vesting Details'!E:E,"&lt;="&amp;$B$7,'Vesting Details'!K:K,"No")</f>
        <v>4496</v>
      </c>
      <c r="J84" s="1566">
        <f>SUMIFS('Vesting Details'!F:F,'Vesting Details'!A:A,A84,'Vesting Details'!E:E,"&lt;="&amp;$B$7,'Vesting Details'!K:K,"No",'Vesting Details'!J:J,"&gt;"&amp;$B$7) + SUMIFS('Vesting Details'!F:F,'Vesting Details'!A:A,A84,'Vesting Details'!E:E,"&lt;="&amp;$B$7,'Vesting Details'!K:K,"No",'Vesting Details'!J:J,"="&amp;"")</f>
        <v>4496</v>
      </c>
      <c r="K84" s="1566">
        <f t="shared" si="2"/>
        <v>1</v>
      </c>
      <c r="L84" s="1565"/>
    </row>
    <row r="85" spans="1:12" ht="20.100000000000001" customHeight="1">
      <c r="A85" s="1565" t="s">
        <v>3229</v>
      </c>
      <c r="B85" s="1567">
        <v>42993</v>
      </c>
      <c r="C85" s="1568" t="s">
        <v>2977</v>
      </c>
      <c r="D85" s="1568" t="s">
        <v>236</v>
      </c>
      <c r="E85" s="1568"/>
      <c r="F85" s="1567">
        <v>42993</v>
      </c>
      <c r="G85" s="1566">
        <v>496</v>
      </c>
      <c r="H85" s="1566">
        <v>496</v>
      </c>
      <c r="I85" s="1566">
        <f>SUMIFS('Vesting Details'!F:F,'Vesting Details'!A:A,A85,'Vesting Details'!E:E,"&gt;="&amp;$B$6,'Vesting Details'!E:E,"&lt;="&amp;$B$7,'Vesting Details'!K:K,"No")</f>
        <v>496</v>
      </c>
      <c r="J85" s="1566">
        <f>SUMIFS('Vesting Details'!F:F,'Vesting Details'!A:A,A85,'Vesting Details'!E:E,"&lt;="&amp;$B$7,'Vesting Details'!K:K,"No",'Vesting Details'!J:J,"&gt;"&amp;$B$7) + SUMIFS('Vesting Details'!F:F,'Vesting Details'!A:A,A85,'Vesting Details'!E:E,"&lt;="&amp;$B$7,'Vesting Details'!K:K,"No",'Vesting Details'!J:J,"="&amp;"")</f>
        <v>496</v>
      </c>
      <c r="K85" s="1566">
        <f t="shared" si="2"/>
        <v>1</v>
      </c>
      <c r="L85" s="1565"/>
    </row>
    <row r="86" spans="1:12" ht="20.100000000000001" customHeight="1">
      <c r="A86" s="1565" t="s">
        <v>3228</v>
      </c>
      <c r="B86" s="1567">
        <v>42993</v>
      </c>
      <c r="C86" s="1568" t="s">
        <v>2977</v>
      </c>
      <c r="D86" s="1568" t="s">
        <v>236</v>
      </c>
      <c r="E86" s="1568"/>
      <c r="F86" s="1567">
        <v>42993</v>
      </c>
      <c r="G86" s="1566">
        <v>1000</v>
      </c>
      <c r="H86" s="1566">
        <v>1000</v>
      </c>
      <c r="I86" s="1566">
        <f>SUMIFS('Vesting Details'!F:F,'Vesting Details'!A:A,A86,'Vesting Details'!E:E,"&gt;="&amp;$B$6,'Vesting Details'!E:E,"&lt;="&amp;$B$7,'Vesting Details'!K:K,"No")</f>
        <v>1000</v>
      </c>
      <c r="J86" s="1566">
        <f>SUMIFS('Vesting Details'!F:F,'Vesting Details'!A:A,A86,'Vesting Details'!E:E,"&lt;="&amp;$B$7,'Vesting Details'!K:K,"No",'Vesting Details'!J:J,"&gt;"&amp;$B$7) + SUMIFS('Vesting Details'!F:F,'Vesting Details'!A:A,A86,'Vesting Details'!E:E,"&lt;="&amp;$B$7,'Vesting Details'!K:K,"No",'Vesting Details'!J:J,"="&amp;"")</f>
        <v>1000</v>
      </c>
      <c r="K86" s="1566">
        <f t="shared" si="2"/>
        <v>1</v>
      </c>
      <c r="L86" s="1565"/>
    </row>
    <row r="87" spans="1:12" ht="20.100000000000001" customHeight="1">
      <c r="A87" s="1565" t="s">
        <v>3227</v>
      </c>
      <c r="B87" s="1567">
        <v>43013</v>
      </c>
      <c r="C87" s="1568" t="s">
        <v>2999</v>
      </c>
      <c r="D87" s="1568" t="s">
        <v>236</v>
      </c>
      <c r="E87" s="1568"/>
      <c r="F87" s="1567">
        <v>43013</v>
      </c>
      <c r="G87" s="1566">
        <v>5096</v>
      </c>
      <c r="H87" s="1566">
        <v>5096</v>
      </c>
      <c r="I87" s="1566">
        <f>SUMIFS('Vesting Details'!F:F,'Vesting Details'!A:A,A87,'Vesting Details'!E:E,"&gt;="&amp;$B$6,'Vesting Details'!E:E,"&lt;="&amp;$B$7,'Vesting Details'!K:K,"No")</f>
        <v>5096</v>
      </c>
      <c r="J87" s="1566">
        <f>SUMIFS('Vesting Details'!F:F,'Vesting Details'!A:A,A87,'Vesting Details'!E:E,"&lt;="&amp;$B$7,'Vesting Details'!K:K,"No",'Vesting Details'!J:J,"&gt;"&amp;$B$7) + SUMIFS('Vesting Details'!F:F,'Vesting Details'!A:A,A87,'Vesting Details'!E:E,"&lt;="&amp;$B$7,'Vesting Details'!K:K,"No",'Vesting Details'!J:J,"="&amp;"")</f>
        <v>5096</v>
      </c>
      <c r="K87" s="1566">
        <f t="shared" si="2"/>
        <v>1</v>
      </c>
      <c r="L87" s="1565"/>
    </row>
    <row r="88" spans="1:12" ht="20.100000000000001" customHeight="1">
      <c r="A88" s="1565" t="s">
        <v>3226</v>
      </c>
      <c r="B88" s="1567">
        <v>43013</v>
      </c>
      <c r="C88" s="1568" t="s">
        <v>2961</v>
      </c>
      <c r="D88" s="1568" t="s">
        <v>236</v>
      </c>
      <c r="E88" s="1568"/>
      <c r="F88" s="1567">
        <v>43013</v>
      </c>
      <c r="G88" s="1566">
        <v>4496</v>
      </c>
      <c r="H88" s="1566">
        <v>4496</v>
      </c>
      <c r="I88" s="1566">
        <f>SUMIFS('Vesting Details'!F:F,'Vesting Details'!A:A,A88,'Vesting Details'!E:E,"&gt;="&amp;$B$6,'Vesting Details'!E:E,"&lt;="&amp;$B$7,'Vesting Details'!K:K,"No")</f>
        <v>4496</v>
      </c>
      <c r="J88" s="1566">
        <f>SUMIFS('Vesting Details'!F:F,'Vesting Details'!A:A,A88,'Vesting Details'!E:E,"&lt;="&amp;$B$7,'Vesting Details'!K:K,"No",'Vesting Details'!J:J,"&gt;"&amp;$B$7) + SUMIFS('Vesting Details'!F:F,'Vesting Details'!A:A,A88,'Vesting Details'!E:E,"&lt;="&amp;$B$7,'Vesting Details'!K:K,"No",'Vesting Details'!J:J,"="&amp;"")</f>
        <v>4496</v>
      </c>
      <c r="K88" s="1566">
        <f t="shared" si="2"/>
        <v>1</v>
      </c>
      <c r="L88" s="1565"/>
    </row>
    <row r="89" spans="1:12" ht="20.100000000000001" customHeight="1">
      <c r="A89" s="1565" t="s">
        <v>3225</v>
      </c>
      <c r="B89" s="1567">
        <v>43020</v>
      </c>
      <c r="C89" s="1568" t="s">
        <v>2983</v>
      </c>
      <c r="D89" s="1568" t="s">
        <v>236</v>
      </c>
      <c r="E89" s="1568"/>
      <c r="F89" s="1567">
        <v>43020</v>
      </c>
      <c r="G89" s="1566">
        <v>26384</v>
      </c>
      <c r="H89" s="1566">
        <v>26384</v>
      </c>
      <c r="I89" s="1566">
        <f>SUMIFS('Vesting Details'!F:F,'Vesting Details'!A:A,A89,'Vesting Details'!E:E,"&gt;="&amp;$B$6,'Vesting Details'!E:E,"&lt;="&amp;$B$7,'Vesting Details'!K:K,"No")</f>
        <v>26384</v>
      </c>
      <c r="J89" s="1566">
        <f>SUMIFS('Vesting Details'!F:F,'Vesting Details'!A:A,A89,'Vesting Details'!E:E,"&lt;="&amp;$B$7,'Vesting Details'!K:K,"No",'Vesting Details'!J:J,"&gt;"&amp;$B$7) + SUMIFS('Vesting Details'!F:F,'Vesting Details'!A:A,A89,'Vesting Details'!E:E,"&lt;="&amp;$B$7,'Vesting Details'!K:K,"No",'Vesting Details'!J:J,"="&amp;"")</f>
        <v>26384</v>
      </c>
      <c r="K89" s="1566">
        <f t="shared" si="2"/>
        <v>1</v>
      </c>
      <c r="L89" s="1565" t="s">
        <v>3052</v>
      </c>
    </row>
    <row r="90" spans="1:12" ht="20.100000000000001" customHeight="1">
      <c r="A90" s="1565" t="s">
        <v>3224</v>
      </c>
      <c r="B90" s="1567">
        <v>43020</v>
      </c>
      <c r="C90" s="1568" t="s">
        <v>3002</v>
      </c>
      <c r="D90" s="1568" t="s">
        <v>236</v>
      </c>
      <c r="E90" s="1568"/>
      <c r="F90" s="1567">
        <v>43020</v>
      </c>
      <c r="G90" s="1566">
        <v>21736</v>
      </c>
      <c r="H90" s="1566">
        <v>21736</v>
      </c>
      <c r="I90" s="1566">
        <f>SUMIFS('Vesting Details'!F:F,'Vesting Details'!A:A,A90,'Vesting Details'!E:E,"&gt;="&amp;$B$6,'Vesting Details'!E:E,"&lt;="&amp;$B$7,'Vesting Details'!K:K,"No")</f>
        <v>21736</v>
      </c>
      <c r="J90" s="1566">
        <f>SUMIFS('Vesting Details'!F:F,'Vesting Details'!A:A,A90,'Vesting Details'!E:E,"&lt;="&amp;$B$7,'Vesting Details'!K:K,"No",'Vesting Details'!J:J,"&gt;"&amp;$B$7) + SUMIFS('Vesting Details'!F:F,'Vesting Details'!A:A,A90,'Vesting Details'!E:E,"&lt;="&amp;$B$7,'Vesting Details'!K:K,"No",'Vesting Details'!J:J,"="&amp;"")</f>
        <v>21736</v>
      </c>
      <c r="K90" s="1566">
        <f t="shared" si="2"/>
        <v>1</v>
      </c>
      <c r="L90" s="1565"/>
    </row>
    <row r="91" spans="1:12" ht="20.100000000000001" customHeight="1">
      <c r="A91" s="1565" t="s">
        <v>3223</v>
      </c>
      <c r="B91" s="1567">
        <v>43023</v>
      </c>
      <c r="C91" s="1568" t="s">
        <v>2972</v>
      </c>
      <c r="D91" s="1568" t="s">
        <v>236</v>
      </c>
      <c r="E91" s="1568"/>
      <c r="F91" s="1567">
        <v>43023</v>
      </c>
      <c r="G91" s="1566">
        <v>2000</v>
      </c>
      <c r="H91" s="1566">
        <v>2000</v>
      </c>
      <c r="I91" s="1566">
        <f>SUMIFS('Vesting Details'!F:F,'Vesting Details'!A:A,A91,'Vesting Details'!E:E,"&gt;="&amp;$B$6,'Vesting Details'!E:E,"&lt;="&amp;$B$7,'Vesting Details'!K:K,"No")</f>
        <v>2000</v>
      </c>
      <c r="J91" s="1566">
        <f>SUMIFS('Vesting Details'!F:F,'Vesting Details'!A:A,A91,'Vesting Details'!E:E,"&lt;="&amp;$B$7,'Vesting Details'!K:K,"No",'Vesting Details'!J:J,"&gt;"&amp;$B$7) + SUMIFS('Vesting Details'!F:F,'Vesting Details'!A:A,A91,'Vesting Details'!E:E,"&lt;="&amp;$B$7,'Vesting Details'!K:K,"No",'Vesting Details'!J:J,"="&amp;"")</f>
        <v>2000</v>
      </c>
      <c r="K91" s="1566">
        <f t="shared" si="2"/>
        <v>1</v>
      </c>
      <c r="L91" s="1565"/>
    </row>
    <row r="92" spans="1:12" ht="20.100000000000001" customHeight="1">
      <c r="A92" s="1565" t="s">
        <v>3222</v>
      </c>
      <c r="B92" s="1567">
        <v>43029</v>
      </c>
      <c r="C92" s="1568" t="s">
        <v>2977</v>
      </c>
      <c r="D92" s="1568" t="s">
        <v>236</v>
      </c>
      <c r="E92" s="1568"/>
      <c r="F92" s="1567">
        <v>43029</v>
      </c>
      <c r="G92" s="1566">
        <v>496</v>
      </c>
      <c r="H92" s="1566">
        <v>496</v>
      </c>
      <c r="I92" s="1566">
        <f>SUMIFS('Vesting Details'!F:F,'Vesting Details'!A:A,A92,'Vesting Details'!E:E,"&gt;="&amp;$B$6,'Vesting Details'!E:E,"&lt;="&amp;$B$7,'Vesting Details'!K:K,"No")</f>
        <v>496</v>
      </c>
      <c r="J92" s="1566">
        <f>SUMIFS('Vesting Details'!F:F,'Vesting Details'!A:A,A92,'Vesting Details'!E:E,"&lt;="&amp;$B$7,'Vesting Details'!K:K,"No",'Vesting Details'!J:J,"&gt;"&amp;$B$7) + SUMIFS('Vesting Details'!F:F,'Vesting Details'!A:A,A92,'Vesting Details'!E:E,"&lt;="&amp;$B$7,'Vesting Details'!K:K,"No",'Vesting Details'!J:J,"="&amp;"")</f>
        <v>496</v>
      </c>
      <c r="K92" s="1566">
        <f t="shared" si="2"/>
        <v>1</v>
      </c>
      <c r="L92" s="1565"/>
    </row>
    <row r="93" spans="1:12" ht="20.100000000000001" customHeight="1">
      <c r="A93" s="1565" t="s">
        <v>3221</v>
      </c>
      <c r="B93" s="1567">
        <v>43031</v>
      </c>
      <c r="C93" s="1568" t="s">
        <v>2956</v>
      </c>
      <c r="D93" s="1568" t="s">
        <v>3210</v>
      </c>
      <c r="E93" s="1568"/>
      <c r="F93" s="1567">
        <v>43031</v>
      </c>
      <c r="G93" s="1566">
        <v>46591</v>
      </c>
      <c r="H93" s="1566">
        <v>46591</v>
      </c>
      <c r="I93" s="1566">
        <f>SUMIFS('Vesting Details'!F:F,'Vesting Details'!A:A,A93,'Vesting Details'!E:E,"&gt;="&amp;$B$6,'Vesting Details'!E:E,"&lt;="&amp;$B$7,'Vesting Details'!K:K,"No")</f>
        <v>46591</v>
      </c>
      <c r="J93" s="1566">
        <f>SUMIFS('Vesting Details'!F:F,'Vesting Details'!A:A,A93,'Vesting Details'!E:E,"&lt;="&amp;$B$7,'Vesting Details'!K:K,"No",'Vesting Details'!J:J,"&gt;"&amp;$B$7) + SUMIFS('Vesting Details'!F:F,'Vesting Details'!A:A,A93,'Vesting Details'!E:E,"&lt;="&amp;$B$7,'Vesting Details'!K:K,"No",'Vesting Details'!J:J,"="&amp;"")</f>
        <v>46591</v>
      </c>
      <c r="K93" s="1566">
        <f t="shared" si="2"/>
        <v>1</v>
      </c>
      <c r="L93" s="1565"/>
    </row>
    <row r="94" spans="1:12" ht="20.100000000000001" customHeight="1">
      <c r="A94" s="1565" t="s">
        <v>3220</v>
      </c>
      <c r="B94" s="1567">
        <v>43031</v>
      </c>
      <c r="C94" s="1568" t="s">
        <v>2974</v>
      </c>
      <c r="D94" s="1568" t="s">
        <v>3210</v>
      </c>
      <c r="E94" s="1568"/>
      <c r="F94" s="1567">
        <v>43031</v>
      </c>
      <c r="G94" s="1566">
        <v>116479</v>
      </c>
      <c r="H94" s="1566">
        <v>116479</v>
      </c>
      <c r="I94" s="1566">
        <f>SUMIFS('Vesting Details'!F:F,'Vesting Details'!A:A,A94,'Vesting Details'!E:E,"&gt;="&amp;$B$6,'Vesting Details'!E:E,"&lt;="&amp;$B$7,'Vesting Details'!K:K,"No")</f>
        <v>116479</v>
      </c>
      <c r="J94" s="1566">
        <f>SUMIFS('Vesting Details'!F:F,'Vesting Details'!A:A,A94,'Vesting Details'!E:E,"&lt;="&amp;$B$7,'Vesting Details'!K:K,"No",'Vesting Details'!J:J,"&gt;"&amp;$B$7) + SUMIFS('Vesting Details'!F:F,'Vesting Details'!A:A,A94,'Vesting Details'!E:E,"&lt;="&amp;$B$7,'Vesting Details'!K:K,"No",'Vesting Details'!J:J,"="&amp;"")</f>
        <v>116479</v>
      </c>
      <c r="K94" s="1566">
        <f t="shared" si="2"/>
        <v>1</v>
      </c>
      <c r="L94" s="1565"/>
    </row>
    <row r="95" spans="1:12" ht="20.100000000000001" customHeight="1">
      <c r="A95" s="1565" t="s">
        <v>3219</v>
      </c>
      <c r="B95" s="1567">
        <v>43031</v>
      </c>
      <c r="C95" s="1568" t="s">
        <v>2958</v>
      </c>
      <c r="D95" s="1568" t="s">
        <v>3210</v>
      </c>
      <c r="E95" s="1568"/>
      <c r="F95" s="1567">
        <v>43031</v>
      </c>
      <c r="G95" s="1566">
        <v>34943</v>
      </c>
      <c r="H95" s="1566">
        <v>34943</v>
      </c>
      <c r="I95" s="1566">
        <f>SUMIFS('Vesting Details'!F:F,'Vesting Details'!A:A,A95,'Vesting Details'!E:E,"&gt;="&amp;$B$6,'Vesting Details'!E:E,"&lt;="&amp;$B$7,'Vesting Details'!K:K,"No")</f>
        <v>34943</v>
      </c>
      <c r="J95" s="1566">
        <f>SUMIFS('Vesting Details'!F:F,'Vesting Details'!A:A,A95,'Vesting Details'!E:E,"&lt;="&amp;$B$7,'Vesting Details'!K:K,"No",'Vesting Details'!J:J,"&gt;"&amp;$B$7) + SUMIFS('Vesting Details'!F:F,'Vesting Details'!A:A,A95,'Vesting Details'!E:E,"&lt;="&amp;$B$7,'Vesting Details'!K:K,"No",'Vesting Details'!J:J,"="&amp;"")</f>
        <v>34943</v>
      </c>
      <c r="K95" s="1566">
        <f t="shared" si="2"/>
        <v>1</v>
      </c>
      <c r="L95" s="1565"/>
    </row>
    <row r="96" spans="1:12" ht="20.100000000000001" customHeight="1">
      <c r="A96" s="1565" t="s">
        <v>3218</v>
      </c>
      <c r="B96" s="1567">
        <v>43031</v>
      </c>
      <c r="C96" s="1568" t="s">
        <v>2953</v>
      </c>
      <c r="D96" s="1568" t="s">
        <v>3210</v>
      </c>
      <c r="E96" s="1568"/>
      <c r="F96" s="1567">
        <v>43031</v>
      </c>
      <c r="G96" s="1566">
        <v>11647</v>
      </c>
      <c r="H96" s="1566">
        <v>11647</v>
      </c>
      <c r="I96" s="1566">
        <f>SUMIFS('Vesting Details'!F:F,'Vesting Details'!A:A,A96,'Vesting Details'!E:E,"&gt;="&amp;$B$6,'Vesting Details'!E:E,"&lt;="&amp;$B$7,'Vesting Details'!K:K,"No")</f>
        <v>11647</v>
      </c>
      <c r="J96" s="1566">
        <f>SUMIFS('Vesting Details'!F:F,'Vesting Details'!A:A,A96,'Vesting Details'!E:E,"&lt;="&amp;$B$7,'Vesting Details'!K:K,"No",'Vesting Details'!J:J,"&gt;"&amp;$B$7) + SUMIFS('Vesting Details'!F:F,'Vesting Details'!A:A,A96,'Vesting Details'!E:E,"&lt;="&amp;$B$7,'Vesting Details'!K:K,"No",'Vesting Details'!J:J,"="&amp;"")</f>
        <v>11647</v>
      </c>
      <c r="K96" s="1566">
        <f t="shared" si="2"/>
        <v>1</v>
      </c>
      <c r="L96" s="1565"/>
    </row>
    <row r="97" spans="1:12" ht="20.100000000000001" customHeight="1">
      <c r="A97" s="1565" t="s">
        <v>3217</v>
      </c>
      <c r="B97" s="1567">
        <v>43031</v>
      </c>
      <c r="C97" s="1568" t="s">
        <v>2976</v>
      </c>
      <c r="D97" s="1568" t="s">
        <v>3210</v>
      </c>
      <c r="E97" s="1568"/>
      <c r="F97" s="1567">
        <v>43031</v>
      </c>
      <c r="G97" s="1566">
        <v>1164795</v>
      </c>
      <c r="H97" s="1566">
        <v>1164795</v>
      </c>
      <c r="I97" s="1566">
        <f>SUMIFS('Vesting Details'!F:F,'Vesting Details'!A:A,A97,'Vesting Details'!E:E,"&gt;="&amp;$B$6,'Vesting Details'!E:E,"&lt;="&amp;$B$7,'Vesting Details'!K:K,"No")</f>
        <v>1164795</v>
      </c>
      <c r="J97" s="1566">
        <f>SUMIFS('Vesting Details'!F:F,'Vesting Details'!A:A,A97,'Vesting Details'!E:E,"&lt;="&amp;$B$7,'Vesting Details'!K:K,"No",'Vesting Details'!J:J,"&gt;"&amp;$B$7) + SUMIFS('Vesting Details'!F:F,'Vesting Details'!A:A,A97,'Vesting Details'!E:E,"&lt;="&amp;$B$7,'Vesting Details'!K:K,"No",'Vesting Details'!J:J,"="&amp;"")</f>
        <v>1164795</v>
      </c>
      <c r="K97" s="1566">
        <f t="shared" si="2"/>
        <v>1</v>
      </c>
      <c r="L97" s="1565"/>
    </row>
    <row r="98" spans="1:12" ht="20.100000000000001" customHeight="1">
      <c r="A98" s="1565" t="s">
        <v>3216</v>
      </c>
      <c r="B98" s="1567">
        <v>43031</v>
      </c>
      <c r="C98" s="1568" t="s">
        <v>2965</v>
      </c>
      <c r="D98" s="1568" t="s">
        <v>3210</v>
      </c>
      <c r="E98" s="1568"/>
      <c r="F98" s="1567">
        <v>43031</v>
      </c>
      <c r="G98" s="1566">
        <v>144441</v>
      </c>
      <c r="H98" s="1566">
        <v>144441</v>
      </c>
      <c r="I98" s="1566">
        <f>SUMIFS('Vesting Details'!F:F,'Vesting Details'!A:A,A98,'Vesting Details'!E:E,"&gt;="&amp;$B$6,'Vesting Details'!E:E,"&lt;="&amp;$B$7,'Vesting Details'!K:K,"No")</f>
        <v>144441</v>
      </c>
      <c r="J98" s="1566">
        <f>SUMIFS('Vesting Details'!F:F,'Vesting Details'!A:A,A98,'Vesting Details'!E:E,"&lt;="&amp;$B$7,'Vesting Details'!K:K,"No",'Vesting Details'!J:J,"&gt;"&amp;$B$7) + SUMIFS('Vesting Details'!F:F,'Vesting Details'!A:A,A98,'Vesting Details'!E:E,"&lt;="&amp;$B$7,'Vesting Details'!K:K,"No",'Vesting Details'!J:J,"="&amp;"")</f>
        <v>144441</v>
      </c>
      <c r="K98" s="1566">
        <f t="shared" si="2"/>
        <v>1</v>
      </c>
      <c r="L98" s="1565"/>
    </row>
    <row r="99" spans="1:12" ht="20.100000000000001" customHeight="1">
      <c r="A99" s="1565" t="s">
        <v>3215</v>
      </c>
      <c r="B99" s="1567">
        <v>43031</v>
      </c>
      <c r="C99" s="1568" t="s">
        <v>2982</v>
      </c>
      <c r="D99" s="1568" t="s">
        <v>3210</v>
      </c>
      <c r="E99" s="1568"/>
      <c r="F99" s="1567">
        <v>43031</v>
      </c>
      <c r="G99" s="1566">
        <v>23295</v>
      </c>
      <c r="H99" s="1566">
        <v>23295</v>
      </c>
      <c r="I99" s="1566">
        <f>SUMIFS('Vesting Details'!F:F,'Vesting Details'!A:A,A99,'Vesting Details'!E:E,"&gt;="&amp;$B$6,'Vesting Details'!E:E,"&lt;="&amp;$B$7,'Vesting Details'!K:K,"No")</f>
        <v>23295</v>
      </c>
      <c r="J99" s="1566">
        <f>SUMIFS('Vesting Details'!F:F,'Vesting Details'!A:A,A99,'Vesting Details'!E:E,"&lt;="&amp;$B$7,'Vesting Details'!K:K,"No",'Vesting Details'!J:J,"&gt;"&amp;$B$7) + SUMIFS('Vesting Details'!F:F,'Vesting Details'!A:A,A99,'Vesting Details'!E:E,"&lt;="&amp;$B$7,'Vesting Details'!K:K,"No",'Vesting Details'!J:J,"="&amp;"")</f>
        <v>23295</v>
      </c>
      <c r="K99" s="1566">
        <f t="shared" si="2"/>
        <v>1</v>
      </c>
      <c r="L99" s="1565"/>
    </row>
    <row r="100" spans="1:12" ht="20.100000000000001" customHeight="1">
      <c r="A100" s="1565" t="s">
        <v>3214</v>
      </c>
      <c r="B100" s="1567">
        <v>43031</v>
      </c>
      <c r="C100" s="1568" t="s">
        <v>2989</v>
      </c>
      <c r="D100" s="1568" t="s">
        <v>3210</v>
      </c>
      <c r="E100" s="1568"/>
      <c r="F100" s="1567">
        <v>43031</v>
      </c>
      <c r="G100" s="1566">
        <v>3494385</v>
      </c>
      <c r="H100" s="1566">
        <v>3494385</v>
      </c>
      <c r="I100" s="1566">
        <f>SUMIFS('Vesting Details'!F:F,'Vesting Details'!A:A,A100,'Vesting Details'!E:E,"&gt;="&amp;$B$6,'Vesting Details'!E:E,"&lt;="&amp;$B$7,'Vesting Details'!K:K,"No")</f>
        <v>3494385</v>
      </c>
      <c r="J100" s="1566">
        <f>SUMIFS('Vesting Details'!F:F,'Vesting Details'!A:A,A100,'Vesting Details'!E:E,"&lt;="&amp;$B$7,'Vesting Details'!K:K,"No",'Vesting Details'!J:J,"&gt;"&amp;$B$7) + SUMIFS('Vesting Details'!F:F,'Vesting Details'!A:A,A100,'Vesting Details'!E:E,"&lt;="&amp;$B$7,'Vesting Details'!K:K,"No",'Vesting Details'!J:J,"="&amp;"")</f>
        <v>3494385</v>
      </c>
      <c r="K100" s="1566">
        <f t="shared" si="2"/>
        <v>1</v>
      </c>
      <c r="L100" s="1565"/>
    </row>
    <row r="101" spans="1:12" ht="20.100000000000001" customHeight="1">
      <c r="A101" s="1565" t="s">
        <v>3213</v>
      </c>
      <c r="B101" s="1567">
        <v>43031</v>
      </c>
      <c r="C101" s="1568" t="s">
        <v>3007</v>
      </c>
      <c r="D101" s="1568" t="s">
        <v>3210</v>
      </c>
      <c r="E101" s="1568"/>
      <c r="F101" s="1567">
        <v>43031</v>
      </c>
      <c r="G101" s="1566">
        <v>2752</v>
      </c>
      <c r="H101" s="1566">
        <v>2752</v>
      </c>
      <c r="I101" s="1566">
        <f>SUMIFS('Vesting Details'!F:F,'Vesting Details'!A:A,A101,'Vesting Details'!E:E,"&gt;="&amp;$B$6,'Vesting Details'!E:E,"&lt;="&amp;$B$7,'Vesting Details'!K:K,"No")</f>
        <v>2752</v>
      </c>
      <c r="J101" s="1566">
        <f>SUMIFS('Vesting Details'!F:F,'Vesting Details'!A:A,A101,'Vesting Details'!E:E,"&lt;="&amp;$B$7,'Vesting Details'!K:K,"No",'Vesting Details'!J:J,"&gt;"&amp;$B$7) + SUMIFS('Vesting Details'!F:F,'Vesting Details'!A:A,A101,'Vesting Details'!E:E,"&lt;="&amp;$B$7,'Vesting Details'!K:K,"No",'Vesting Details'!J:J,"="&amp;"")</f>
        <v>2752</v>
      </c>
      <c r="K101" s="1566">
        <f t="shared" si="2"/>
        <v>1</v>
      </c>
      <c r="L101" s="1565"/>
    </row>
    <row r="102" spans="1:12" ht="20.100000000000001" customHeight="1">
      <c r="A102" s="1565" t="s">
        <v>3212</v>
      </c>
      <c r="B102" s="1567">
        <v>43031</v>
      </c>
      <c r="C102" s="1568" t="s">
        <v>2983</v>
      </c>
      <c r="D102" s="1568" t="s">
        <v>3210</v>
      </c>
      <c r="E102" s="1568"/>
      <c r="F102" s="1567">
        <v>43031</v>
      </c>
      <c r="G102" s="1566">
        <v>23295</v>
      </c>
      <c r="H102" s="1566">
        <v>23295</v>
      </c>
      <c r="I102" s="1566">
        <f>SUMIFS('Vesting Details'!F:F,'Vesting Details'!A:A,A102,'Vesting Details'!E:E,"&gt;="&amp;$B$6,'Vesting Details'!E:E,"&lt;="&amp;$B$7,'Vesting Details'!K:K,"No")</f>
        <v>23295</v>
      </c>
      <c r="J102" s="1566">
        <f>SUMIFS('Vesting Details'!F:F,'Vesting Details'!A:A,A102,'Vesting Details'!E:E,"&lt;="&amp;$B$7,'Vesting Details'!K:K,"No",'Vesting Details'!J:J,"&gt;"&amp;$B$7) + SUMIFS('Vesting Details'!F:F,'Vesting Details'!A:A,A102,'Vesting Details'!E:E,"&lt;="&amp;$B$7,'Vesting Details'!K:K,"No",'Vesting Details'!J:J,"="&amp;"")</f>
        <v>23295</v>
      </c>
      <c r="K102" s="1566">
        <f t="shared" si="2"/>
        <v>1</v>
      </c>
      <c r="L102" s="1565" t="s">
        <v>3052</v>
      </c>
    </row>
    <row r="103" spans="1:12" ht="20.100000000000001" customHeight="1">
      <c r="A103" s="1565" t="s">
        <v>3211</v>
      </c>
      <c r="B103" s="1567">
        <v>43031</v>
      </c>
      <c r="C103" s="1568" t="s">
        <v>2968</v>
      </c>
      <c r="D103" s="1568" t="s">
        <v>3210</v>
      </c>
      <c r="E103" s="1568"/>
      <c r="F103" s="1567">
        <v>43031</v>
      </c>
      <c r="G103" s="1566">
        <v>34943</v>
      </c>
      <c r="H103" s="1566">
        <v>34943</v>
      </c>
      <c r="I103" s="1566">
        <f>SUMIFS('Vesting Details'!F:F,'Vesting Details'!A:A,A103,'Vesting Details'!E:E,"&gt;="&amp;$B$6,'Vesting Details'!E:E,"&lt;="&amp;$B$7,'Vesting Details'!K:K,"No")</f>
        <v>34943</v>
      </c>
      <c r="J103" s="1566">
        <f>SUMIFS('Vesting Details'!F:F,'Vesting Details'!A:A,A103,'Vesting Details'!E:E,"&lt;="&amp;$B$7,'Vesting Details'!K:K,"No",'Vesting Details'!J:J,"&gt;"&amp;$B$7) + SUMIFS('Vesting Details'!F:F,'Vesting Details'!A:A,A103,'Vesting Details'!E:E,"&lt;="&amp;$B$7,'Vesting Details'!K:K,"No",'Vesting Details'!J:J,"="&amp;"")</f>
        <v>34943</v>
      </c>
      <c r="K103" s="1566">
        <f t="shared" si="2"/>
        <v>1</v>
      </c>
      <c r="L103" s="1565"/>
    </row>
    <row r="104" spans="1:12" ht="20.100000000000001" customHeight="1">
      <c r="A104" s="1565" t="s">
        <v>3209</v>
      </c>
      <c r="B104" s="1567">
        <v>43040</v>
      </c>
      <c r="C104" s="1568" t="s">
        <v>2983</v>
      </c>
      <c r="D104" s="1568" t="s">
        <v>236</v>
      </c>
      <c r="E104" s="1568"/>
      <c r="F104" s="1567">
        <v>43040</v>
      </c>
      <c r="G104" s="1566">
        <v>6600</v>
      </c>
      <c r="H104" s="1566">
        <v>6600</v>
      </c>
      <c r="I104" s="1566">
        <f>SUMIFS('Vesting Details'!F:F,'Vesting Details'!A:A,A104,'Vesting Details'!E:E,"&gt;="&amp;$B$6,'Vesting Details'!E:E,"&lt;="&amp;$B$7,'Vesting Details'!K:K,"No")</f>
        <v>6600</v>
      </c>
      <c r="J104" s="1566">
        <f>SUMIFS('Vesting Details'!F:F,'Vesting Details'!A:A,A104,'Vesting Details'!E:E,"&lt;="&amp;$B$7,'Vesting Details'!K:K,"No",'Vesting Details'!J:J,"&gt;"&amp;$B$7) + SUMIFS('Vesting Details'!F:F,'Vesting Details'!A:A,A104,'Vesting Details'!E:E,"&lt;="&amp;$B$7,'Vesting Details'!K:K,"No",'Vesting Details'!J:J,"="&amp;"")</f>
        <v>6600</v>
      </c>
      <c r="K104" s="1566">
        <f t="shared" si="2"/>
        <v>1</v>
      </c>
      <c r="L104" s="1565" t="s">
        <v>3052</v>
      </c>
    </row>
    <row r="105" spans="1:12" ht="20.100000000000001" customHeight="1">
      <c r="A105" s="1565" t="s">
        <v>3208</v>
      </c>
      <c r="B105" s="1567">
        <v>43045</v>
      </c>
      <c r="C105" s="1568" t="s">
        <v>2961</v>
      </c>
      <c r="D105" s="1568" t="s">
        <v>236</v>
      </c>
      <c r="E105" s="1568"/>
      <c r="F105" s="1567">
        <v>43045</v>
      </c>
      <c r="G105" s="1566">
        <v>4496</v>
      </c>
      <c r="H105" s="1566">
        <v>4496</v>
      </c>
      <c r="I105" s="1566">
        <f>SUMIFS('Vesting Details'!F:F,'Vesting Details'!A:A,A105,'Vesting Details'!E:E,"&gt;="&amp;$B$6,'Vesting Details'!E:E,"&lt;="&amp;$B$7,'Vesting Details'!K:K,"No")</f>
        <v>4496</v>
      </c>
      <c r="J105" s="1566">
        <f>SUMIFS('Vesting Details'!F:F,'Vesting Details'!A:A,A105,'Vesting Details'!E:E,"&lt;="&amp;$B$7,'Vesting Details'!K:K,"No",'Vesting Details'!J:J,"&gt;"&amp;$B$7) + SUMIFS('Vesting Details'!F:F,'Vesting Details'!A:A,A105,'Vesting Details'!E:E,"&lt;="&amp;$B$7,'Vesting Details'!K:K,"No",'Vesting Details'!J:J,"="&amp;"")</f>
        <v>4496</v>
      </c>
      <c r="K105" s="1566">
        <f t="shared" si="2"/>
        <v>1</v>
      </c>
      <c r="L105" s="1565"/>
    </row>
    <row r="106" spans="1:12" ht="20.100000000000001" customHeight="1">
      <c r="A106" s="1565" t="s">
        <v>3207</v>
      </c>
      <c r="B106" s="1567">
        <v>43067</v>
      </c>
      <c r="C106" s="1568" t="s">
        <v>3002</v>
      </c>
      <c r="D106" s="1568" t="s">
        <v>236</v>
      </c>
      <c r="E106" s="1568"/>
      <c r="F106" s="1567">
        <v>43067</v>
      </c>
      <c r="G106" s="1566">
        <v>30432</v>
      </c>
      <c r="H106" s="1566">
        <v>30432</v>
      </c>
      <c r="I106" s="1566">
        <f>SUMIFS('Vesting Details'!F:F,'Vesting Details'!A:A,A106,'Vesting Details'!E:E,"&gt;="&amp;$B$6,'Vesting Details'!E:E,"&lt;="&amp;$B$7,'Vesting Details'!K:K,"No")</f>
        <v>30432</v>
      </c>
      <c r="J106" s="1566">
        <f>SUMIFS('Vesting Details'!F:F,'Vesting Details'!A:A,A106,'Vesting Details'!E:E,"&lt;="&amp;$B$7,'Vesting Details'!K:K,"No",'Vesting Details'!J:J,"&gt;"&amp;$B$7) + SUMIFS('Vesting Details'!F:F,'Vesting Details'!A:A,A106,'Vesting Details'!E:E,"&lt;="&amp;$B$7,'Vesting Details'!K:K,"No",'Vesting Details'!J:J,"="&amp;"")</f>
        <v>30432</v>
      </c>
      <c r="K106" s="1566">
        <f t="shared" ref="K106:K137" si="3">J106/G106</f>
        <v>1</v>
      </c>
      <c r="L106" s="1565"/>
    </row>
    <row r="107" spans="1:12" ht="20.100000000000001" customHeight="1">
      <c r="A107" s="1565" t="s">
        <v>3206</v>
      </c>
      <c r="B107" s="1567">
        <v>43076</v>
      </c>
      <c r="C107" s="1568" t="s">
        <v>2961</v>
      </c>
      <c r="D107" s="1568" t="s">
        <v>236</v>
      </c>
      <c r="E107" s="1568"/>
      <c r="F107" s="1567">
        <v>43076</v>
      </c>
      <c r="G107" s="1566">
        <v>4496</v>
      </c>
      <c r="H107" s="1566">
        <v>4496</v>
      </c>
      <c r="I107" s="1566">
        <f>SUMIFS('Vesting Details'!F:F,'Vesting Details'!A:A,A107,'Vesting Details'!E:E,"&gt;="&amp;$B$6,'Vesting Details'!E:E,"&lt;="&amp;$B$7,'Vesting Details'!K:K,"No")</f>
        <v>4496</v>
      </c>
      <c r="J107" s="1566">
        <f>SUMIFS('Vesting Details'!F:F,'Vesting Details'!A:A,A107,'Vesting Details'!E:E,"&lt;="&amp;$B$7,'Vesting Details'!K:K,"No",'Vesting Details'!J:J,"&gt;"&amp;$B$7) + SUMIFS('Vesting Details'!F:F,'Vesting Details'!A:A,A107,'Vesting Details'!E:E,"&lt;="&amp;$B$7,'Vesting Details'!K:K,"No",'Vesting Details'!J:J,"="&amp;"")</f>
        <v>4496</v>
      </c>
      <c r="K107" s="1566">
        <f t="shared" si="3"/>
        <v>1</v>
      </c>
      <c r="L107" s="1565"/>
    </row>
    <row r="108" spans="1:12" ht="20.100000000000001" customHeight="1">
      <c r="A108" s="1565" t="s">
        <v>3205</v>
      </c>
      <c r="B108" s="1567">
        <v>43077</v>
      </c>
      <c r="C108" s="1568" t="s">
        <v>2980</v>
      </c>
      <c r="D108" s="1568" t="s">
        <v>236</v>
      </c>
      <c r="E108" s="1568"/>
      <c r="F108" s="1567">
        <v>43077</v>
      </c>
      <c r="G108" s="1566">
        <v>696</v>
      </c>
      <c r="H108" s="1566">
        <v>696</v>
      </c>
      <c r="I108" s="1566">
        <f>SUMIFS('Vesting Details'!F:F,'Vesting Details'!A:A,A108,'Vesting Details'!E:E,"&gt;="&amp;$B$6,'Vesting Details'!E:E,"&lt;="&amp;$B$7,'Vesting Details'!K:K,"No")</f>
        <v>696</v>
      </c>
      <c r="J108" s="1566">
        <f>SUMIFS('Vesting Details'!F:F,'Vesting Details'!A:A,A108,'Vesting Details'!E:E,"&lt;="&amp;$B$7,'Vesting Details'!K:K,"No",'Vesting Details'!J:J,"&gt;"&amp;$B$7) + SUMIFS('Vesting Details'!F:F,'Vesting Details'!A:A,A108,'Vesting Details'!E:E,"&lt;="&amp;$B$7,'Vesting Details'!K:K,"No",'Vesting Details'!J:J,"="&amp;"")</f>
        <v>696</v>
      </c>
      <c r="K108" s="1566">
        <f t="shared" si="3"/>
        <v>1</v>
      </c>
      <c r="L108" s="1565"/>
    </row>
    <row r="109" spans="1:12" ht="20.100000000000001" customHeight="1">
      <c r="A109" s="1565" t="s">
        <v>3204</v>
      </c>
      <c r="B109" s="1567">
        <v>43089</v>
      </c>
      <c r="C109" s="1568" t="s">
        <v>2999</v>
      </c>
      <c r="D109" s="1568" t="s">
        <v>236</v>
      </c>
      <c r="E109" s="1568"/>
      <c r="F109" s="1567">
        <v>43089</v>
      </c>
      <c r="G109" s="1566">
        <v>10192</v>
      </c>
      <c r="H109" s="1566">
        <v>10192</v>
      </c>
      <c r="I109" s="1566">
        <f>SUMIFS('Vesting Details'!F:F,'Vesting Details'!A:A,A109,'Vesting Details'!E:E,"&gt;="&amp;$B$6,'Vesting Details'!E:E,"&lt;="&amp;$B$7,'Vesting Details'!K:K,"No")</f>
        <v>10192</v>
      </c>
      <c r="J109" s="1566">
        <f>SUMIFS('Vesting Details'!F:F,'Vesting Details'!A:A,A109,'Vesting Details'!E:E,"&lt;="&amp;$B$7,'Vesting Details'!K:K,"No",'Vesting Details'!J:J,"&gt;"&amp;$B$7) + SUMIFS('Vesting Details'!F:F,'Vesting Details'!A:A,A109,'Vesting Details'!E:E,"&lt;="&amp;$B$7,'Vesting Details'!K:K,"No",'Vesting Details'!J:J,"="&amp;"")</f>
        <v>10192</v>
      </c>
      <c r="K109" s="1566">
        <f t="shared" si="3"/>
        <v>1</v>
      </c>
      <c r="L109" s="1565"/>
    </row>
    <row r="110" spans="1:12" ht="20.100000000000001" customHeight="1">
      <c r="A110" s="1565" t="s">
        <v>3203</v>
      </c>
      <c r="B110" s="1567">
        <v>43101</v>
      </c>
      <c r="C110" s="1568" t="s">
        <v>2961</v>
      </c>
      <c r="D110" s="1568" t="s">
        <v>236</v>
      </c>
      <c r="E110" s="1568"/>
      <c r="F110" s="1567">
        <v>43101</v>
      </c>
      <c r="G110" s="1566">
        <v>4496</v>
      </c>
      <c r="H110" s="1566">
        <v>4496</v>
      </c>
      <c r="I110" s="1566">
        <f>SUMIFS('Vesting Details'!F:F,'Vesting Details'!A:A,A110,'Vesting Details'!E:E,"&gt;="&amp;$B$6,'Vesting Details'!E:E,"&lt;="&amp;$B$7,'Vesting Details'!K:K,"No")</f>
        <v>4496</v>
      </c>
      <c r="J110" s="1566">
        <f>SUMIFS('Vesting Details'!F:F,'Vesting Details'!A:A,A110,'Vesting Details'!E:E,"&lt;="&amp;$B$7,'Vesting Details'!K:K,"No",'Vesting Details'!J:J,"&gt;"&amp;$B$7) + SUMIFS('Vesting Details'!F:F,'Vesting Details'!A:A,A110,'Vesting Details'!E:E,"&lt;="&amp;$B$7,'Vesting Details'!K:K,"No",'Vesting Details'!J:J,"="&amp;"")</f>
        <v>4496</v>
      </c>
      <c r="K110" s="1566">
        <f t="shared" si="3"/>
        <v>1</v>
      </c>
      <c r="L110" s="1565"/>
    </row>
    <row r="111" spans="1:12" ht="20.100000000000001" customHeight="1">
      <c r="A111" s="1565" t="s">
        <v>3202</v>
      </c>
      <c r="B111" s="1567">
        <v>43101</v>
      </c>
      <c r="C111" s="1568" t="s">
        <v>2999</v>
      </c>
      <c r="D111" s="1568" t="s">
        <v>236</v>
      </c>
      <c r="E111" s="1568"/>
      <c r="F111" s="1567">
        <v>43101</v>
      </c>
      <c r="G111" s="1566">
        <v>5096</v>
      </c>
      <c r="H111" s="1566">
        <v>5096</v>
      </c>
      <c r="I111" s="1566">
        <f>SUMIFS('Vesting Details'!F:F,'Vesting Details'!A:A,A111,'Vesting Details'!E:E,"&gt;="&amp;$B$6,'Vesting Details'!E:E,"&lt;="&amp;$B$7,'Vesting Details'!K:K,"No")</f>
        <v>5096</v>
      </c>
      <c r="J111" s="1566">
        <f>SUMIFS('Vesting Details'!F:F,'Vesting Details'!A:A,A111,'Vesting Details'!E:E,"&lt;="&amp;$B$7,'Vesting Details'!K:K,"No",'Vesting Details'!J:J,"&gt;"&amp;$B$7) + SUMIFS('Vesting Details'!F:F,'Vesting Details'!A:A,A111,'Vesting Details'!E:E,"&lt;="&amp;$B$7,'Vesting Details'!K:K,"No",'Vesting Details'!J:J,"="&amp;"")</f>
        <v>5096</v>
      </c>
      <c r="K111" s="1566">
        <f t="shared" si="3"/>
        <v>1</v>
      </c>
      <c r="L111" s="1565"/>
    </row>
    <row r="112" spans="1:12" ht="20.100000000000001" customHeight="1">
      <c r="A112" s="1565" t="s">
        <v>3201</v>
      </c>
      <c r="B112" s="1567">
        <v>43108</v>
      </c>
      <c r="C112" s="1568" t="s">
        <v>3002</v>
      </c>
      <c r="D112" s="1568" t="s">
        <v>236</v>
      </c>
      <c r="E112" s="1568"/>
      <c r="F112" s="1567">
        <v>43108</v>
      </c>
      <c r="G112" s="1566">
        <v>5700</v>
      </c>
      <c r="H112" s="1566">
        <v>5700</v>
      </c>
      <c r="I112" s="1566">
        <f>SUMIFS('Vesting Details'!F:F,'Vesting Details'!A:A,A112,'Vesting Details'!E:E,"&gt;="&amp;$B$6,'Vesting Details'!E:E,"&lt;="&amp;$B$7,'Vesting Details'!K:K,"No")</f>
        <v>5700</v>
      </c>
      <c r="J112" s="1566">
        <f>SUMIFS('Vesting Details'!F:F,'Vesting Details'!A:A,A112,'Vesting Details'!E:E,"&lt;="&amp;$B$7,'Vesting Details'!K:K,"No",'Vesting Details'!J:J,"&gt;"&amp;$B$7) + SUMIFS('Vesting Details'!F:F,'Vesting Details'!A:A,A112,'Vesting Details'!E:E,"&lt;="&amp;$B$7,'Vesting Details'!K:K,"No",'Vesting Details'!J:J,"="&amp;"")</f>
        <v>5700</v>
      </c>
      <c r="K112" s="1566">
        <f t="shared" si="3"/>
        <v>1</v>
      </c>
      <c r="L112" s="1565"/>
    </row>
    <row r="113" spans="1:12" ht="20.100000000000001" customHeight="1">
      <c r="A113" s="1565" t="s">
        <v>3200</v>
      </c>
      <c r="B113" s="1567">
        <v>43111</v>
      </c>
      <c r="C113" s="1568" t="s">
        <v>3000</v>
      </c>
      <c r="D113" s="1568" t="s">
        <v>236</v>
      </c>
      <c r="E113" s="1568"/>
      <c r="F113" s="1567">
        <v>43111</v>
      </c>
      <c r="G113" s="1566">
        <v>1000</v>
      </c>
      <c r="H113" s="1566">
        <v>1000</v>
      </c>
      <c r="I113" s="1566">
        <f>SUMIFS('Vesting Details'!F:F,'Vesting Details'!A:A,A113,'Vesting Details'!E:E,"&gt;="&amp;$B$6,'Vesting Details'!E:E,"&lt;="&amp;$B$7,'Vesting Details'!K:K,"No")</f>
        <v>1000</v>
      </c>
      <c r="J113" s="1566">
        <f>SUMIFS('Vesting Details'!F:F,'Vesting Details'!A:A,A113,'Vesting Details'!E:E,"&lt;="&amp;$B$7,'Vesting Details'!K:K,"No",'Vesting Details'!J:J,"&gt;"&amp;$B$7) + SUMIFS('Vesting Details'!F:F,'Vesting Details'!A:A,A113,'Vesting Details'!E:E,"&lt;="&amp;$B$7,'Vesting Details'!K:K,"No",'Vesting Details'!J:J,"="&amp;"")</f>
        <v>1000</v>
      </c>
      <c r="K113" s="1566">
        <f t="shared" si="3"/>
        <v>1</v>
      </c>
      <c r="L113" s="1565"/>
    </row>
    <row r="114" spans="1:12" ht="20.100000000000001" customHeight="1">
      <c r="A114" s="1565" t="s">
        <v>3199</v>
      </c>
      <c r="B114" s="1567">
        <v>43124</v>
      </c>
      <c r="C114" s="1568" t="s">
        <v>2977</v>
      </c>
      <c r="D114" s="1568" t="s">
        <v>236</v>
      </c>
      <c r="E114" s="1568"/>
      <c r="F114" s="1567">
        <v>43124</v>
      </c>
      <c r="G114" s="1566">
        <v>256</v>
      </c>
      <c r="H114" s="1566">
        <v>256</v>
      </c>
      <c r="I114" s="1566">
        <f>SUMIFS('Vesting Details'!F:F,'Vesting Details'!A:A,A114,'Vesting Details'!E:E,"&gt;="&amp;$B$6,'Vesting Details'!E:E,"&lt;="&amp;$B$7,'Vesting Details'!K:K,"No")</f>
        <v>256</v>
      </c>
      <c r="J114" s="1566">
        <f>SUMIFS('Vesting Details'!F:F,'Vesting Details'!A:A,A114,'Vesting Details'!E:E,"&lt;="&amp;$B$7,'Vesting Details'!K:K,"No",'Vesting Details'!J:J,"&gt;"&amp;$B$7) + SUMIFS('Vesting Details'!F:F,'Vesting Details'!A:A,A114,'Vesting Details'!E:E,"&lt;="&amp;$B$7,'Vesting Details'!K:K,"No",'Vesting Details'!J:J,"="&amp;"")</f>
        <v>256</v>
      </c>
      <c r="K114" s="1566">
        <f t="shared" si="3"/>
        <v>1</v>
      </c>
      <c r="L114" s="1565"/>
    </row>
    <row r="115" spans="1:12" ht="20.100000000000001" customHeight="1">
      <c r="A115" s="1565" t="s">
        <v>3198</v>
      </c>
      <c r="B115" s="1567">
        <v>43128</v>
      </c>
      <c r="C115" s="1568" t="s">
        <v>2972</v>
      </c>
      <c r="D115" s="1568" t="s">
        <v>236</v>
      </c>
      <c r="E115" s="1568"/>
      <c r="F115" s="1567">
        <v>43128</v>
      </c>
      <c r="G115" s="1566">
        <v>2000</v>
      </c>
      <c r="H115" s="1566">
        <v>2000</v>
      </c>
      <c r="I115" s="1566">
        <f>SUMIFS('Vesting Details'!F:F,'Vesting Details'!A:A,A115,'Vesting Details'!E:E,"&gt;="&amp;$B$6,'Vesting Details'!E:E,"&lt;="&amp;$B$7,'Vesting Details'!K:K,"No")</f>
        <v>2000</v>
      </c>
      <c r="J115" s="1566">
        <f>SUMIFS('Vesting Details'!F:F,'Vesting Details'!A:A,A115,'Vesting Details'!E:E,"&lt;="&amp;$B$7,'Vesting Details'!K:K,"No",'Vesting Details'!J:J,"&gt;"&amp;$B$7) + SUMIFS('Vesting Details'!F:F,'Vesting Details'!A:A,A115,'Vesting Details'!E:E,"&lt;="&amp;$B$7,'Vesting Details'!K:K,"No",'Vesting Details'!J:J,"="&amp;"")</f>
        <v>2000</v>
      </c>
      <c r="K115" s="1566">
        <f t="shared" si="3"/>
        <v>1</v>
      </c>
      <c r="L115" s="1565"/>
    </row>
    <row r="116" spans="1:12" ht="20.100000000000001" customHeight="1">
      <c r="A116" s="1565" t="s">
        <v>3197</v>
      </c>
      <c r="B116" s="1567">
        <v>43132</v>
      </c>
      <c r="C116" s="1568" t="s">
        <v>2999</v>
      </c>
      <c r="D116" s="1568" t="s">
        <v>236</v>
      </c>
      <c r="E116" s="1568"/>
      <c r="F116" s="1567">
        <v>43132</v>
      </c>
      <c r="G116" s="1566">
        <v>5096</v>
      </c>
      <c r="H116" s="1566">
        <v>5096</v>
      </c>
      <c r="I116" s="1566">
        <f>SUMIFS('Vesting Details'!F:F,'Vesting Details'!A:A,A116,'Vesting Details'!E:E,"&gt;="&amp;$B$6,'Vesting Details'!E:E,"&lt;="&amp;$B$7,'Vesting Details'!K:K,"No")</f>
        <v>5096</v>
      </c>
      <c r="J116" s="1566">
        <f>SUMIFS('Vesting Details'!F:F,'Vesting Details'!A:A,A116,'Vesting Details'!E:E,"&lt;="&amp;$B$7,'Vesting Details'!K:K,"No",'Vesting Details'!J:J,"&gt;"&amp;$B$7) + SUMIFS('Vesting Details'!F:F,'Vesting Details'!A:A,A116,'Vesting Details'!E:E,"&lt;="&amp;$B$7,'Vesting Details'!K:K,"No",'Vesting Details'!J:J,"="&amp;"")</f>
        <v>5096</v>
      </c>
      <c r="K116" s="1566">
        <f t="shared" si="3"/>
        <v>1</v>
      </c>
      <c r="L116" s="1565"/>
    </row>
    <row r="117" spans="1:12" ht="20.100000000000001" customHeight="1">
      <c r="A117" s="1565" t="s">
        <v>3196</v>
      </c>
      <c r="B117" s="1567">
        <v>43138</v>
      </c>
      <c r="C117" s="1568" t="s">
        <v>2961</v>
      </c>
      <c r="D117" s="1568" t="s">
        <v>236</v>
      </c>
      <c r="E117" s="1568"/>
      <c r="F117" s="1567">
        <v>43138</v>
      </c>
      <c r="G117" s="1566">
        <v>4496</v>
      </c>
      <c r="H117" s="1566">
        <v>4496</v>
      </c>
      <c r="I117" s="1566">
        <f>SUMIFS('Vesting Details'!F:F,'Vesting Details'!A:A,A117,'Vesting Details'!E:E,"&gt;="&amp;$B$6,'Vesting Details'!E:E,"&lt;="&amp;$B$7,'Vesting Details'!K:K,"No")</f>
        <v>4496</v>
      </c>
      <c r="J117" s="1566">
        <f>SUMIFS('Vesting Details'!F:F,'Vesting Details'!A:A,A117,'Vesting Details'!E:E,"&lt;="&amp;$B$7,'Vesting Details'!K:K,"No",'Vesting Details'!J:J,"&gt;"&amp;$B$7) + SUMIFS('Vesting Details'!F:F,'Vesting Details'!A:A,A117,'Vesting Details'!E:E,"&lt;="&amp;$B$7,'Vesting Details'!K:K,"No",'Vesting Details'!J:J,"="&amp;"")</f>
        <v>4496</v>
      </c>
      <c r="K117" s="1566">
        <f t="shared" si="3"/>
        <v>1</v>
      </c>
      <c r="L117" s="1565"/>
    </row>
    <row r="118" spans="1:12" ht="20.100000000000001" customHeight="1">
      <c r="A118" s="1565" t="s">
        <v>3195</v>
      </c>
      <c r="B118" s="1567">
        <v>43141</v>
      </c>
      <c r="C118" s="1568" t="s">
        <v>3000</v>
      </c>
      <c r="D118" s="1568" t="s">
        <v>236</v>
      </c>
      <c r="E118" s="1568"/>
      <c r="F118" s="1567">
        <v>43141</v>
      </c>
      <c r="G118" s="1566">
        <v>248</v>
      </c>
      <c r="H118" s="1566">
        <v>248</v>
      </c>
      <c r="I118" s="1566">
        <f>SUMIFS('Vesting Details'!F:F,'Vesting Details'!A:A,A118,'Vesting Details'!E:E,"&gt;="&amp;$B$6,'Vesting Details'!E:E,"&lt;="&amp;$B$7,'Vesting Details'!K:K,"No")</f>
        <v>248</v>
      </c>
      <c r="J118" s="1566">
        <f>SUMIFS('Vesting Details'!F:F,'Vesting Details'!A:A,A118,'Vesting Details'!E:E,"&lt;="&amp;$B$7,'Vesting Details'!K:K,"No",'Vesting Details'!J:J,"&gt;"&amp;$B$7) + SUMIFS('Vesting Details'!F:F,'Vesting Details'!A:A,A118,'Vesting Details'!E:E,"&lt;="&amp;$B$7,'Vesting Details'!K:K,"No",'Vesting Details'!J:J,"="&amp;"")</f>
        <v>248</v>
      </c>
      <c r="K118" s="1566">
        <f t="shared" si="3"/>
        <v>1</v>
      </c>
      <c r="L118" s="1565"/>
    </row>
    <row r="119" spans="1:12" ht="20.100000000000001" customHeight="1">
      <c r="A119" s="1565" t="s">
        <v>3194</v>
      </c>
      <c r="B119" s="1567">
        <v>43162</v>
      </c>
      <c r="C119" s="1568" t="s">
        <v>2999</v>
      </c>
      <c r="D119" s="1568" t="s">
        <v>236</v>
      </c>
      <c r="E119" s="1568"/>
      <c r="F119" s="1567">
        <v>43162</v>
      </c>
      <c r="G119" s="1566">
        <v>5096</v>
      </c>
      <c r="H119" s="1566">
        <v>5096</v>
      </c>
      <c r="I119" s="1566">
        <f>SUMIFS('Vesting Details'!F:F,'Vesting Details'!A:A,A119,'Vesting Details'!E:E,"&gt;="&amp;$B$6,'Vesting Details'!E:E,"&lt;="&amp;$B$7,'Vesting Details'!K:K,"No")</f>
        <v>5096</v>
      </c>
      <c r="J119" s="1566">
        <f>SUMIFS('Vesting Details'!F:F,'Vesting Details'!A:A,A119,'Vesting Details'!E:E,"&lt;="&amp;$B$7,'Vesting Details'!K:K,"No",'Vesting Details'!J:J,"&gt;"&amp;$B$7) + SUMIFS('Vesting Details'!F:F,'Vesting Details'!A:A,A119,'Vesting Details'!E:E,"&lt;="&amp;$B$7,'Vesting Details'!K:K,"No",'Vesting Details'!J:J,"="&amp;"")</f>
        <v>5096</v>
      </c>
      <c r="K119" s="1566">
        <f t="shared" si="3"/>
        <v>1</v>
      </c>
      <c r="L119" s="1565"/>
    </row>
    <row r="120" spans="1:12" ht="20.100000000000001" customHeight="1">
      <c r="A120" s="1565" t="s">
        <v>3193</v>
      </c>
      <c r="B120" s="1567">
        <v>43162</v>
      </c>
      <c r="C120" s="1568" t="s">
        <v>2999</v>
      </c>
      <c r="D120" s="1568" t="s">
        <v>236</v>
      </c>
      <c r="E120" s="1568"/>
      <c r="F120" s="1567">
        <v>43162</v>
      </c>
      <c r="G120" s="1566">
        <v>9771</v>
      </c>
      <c r="H120" s="1566">
        <v>9771</v>
      </c>
      <c r="I120" s="1566">
        <f>SUMIFS('Vesting Details'!F:F,'Vesting Details'!A:A,A120,'Vesting Details'!E:E,"&gt;="&amp;$B$6,'Vesting Details'!E:E,"&lt;="&amp;$B$7,'Vesting Details'!K:K,"No")</f>
        <v>9771</v>
      </c>
      <c r="J120" s="1566">
        <f>SUMIFS('Vesting Details'!F:F,'Vesting Details'!A:A,A120,'Vesting Details'!E:E,"&lt;="&amp;$B$7,'Vesting Details'!K:K,"No",'Vesting Details'!J:J,"&gt;"&amp;$B$7) + SUMIFS('Vesting Details'!F:F,'Vesting Details'!A:A,A120,'Vesting Details'!E:E,"&lt;="&amp;$B$7,'Vesting Details'!K:K,"No",'Vesting Details'!J:J,"="&amp;"")</f>
        <v>9771</v>
      </c>
      <c r="K120" s="1566">
        <f t="shared" si="3"/>
        <v>1</v>
      </c>
      <c r="L120" s="1565"/>
    </row>
    <row r="121" spans="1:12" ht="20.100000000000001" customHeight="1">
      <c r="A121" s="1565" t="s">
        <v>3192</v>
      </c>
      <c r="B121" s="1567">
        <v>43168</v>
      </c>
      <c r="C121" s="1568" t="s">
        <v>2980</v>
      </c>
      <c r="D121" s="1568" t="s">
        <v>236</v>
      </c>
      <c r="E121" s="1568"/>
      <c r="F121" s="1567">
        <v>43168</v>
      </c>
      <c r="G121" s="1566">
        <v>704</v>
      </c>
      <c r="H121" s="1566">
        <v>704</v>
      </c>
      <c r="I121" s="1566">
        <f>SUMIFS('Vesting Details'!F:F,'Vesting Details'!A:A,A121,'Vesting Details'!E:E,"&gt;="&amp;$B$6,'Vesting Details'!E:E,"&lt;="&amp;$B$7,'Vesting Details'!K:K,"No")</f>
        <v>704</v>
      </c>
      <c r="J121" s="1566">
        <f>SUMIFS('Vesting Details'!F:F,'Vesting Details'!A:A,A121,'Vesting Details'!E:E,"&lt;="&amp;$B$7,'Vesting Details'!K:K,"No",'Vesting Details'!J:J,"&gt;"&amp;$B$7) + SUMIFS('Vesting Details'!F:F,'Vesting Details'!A:A,A121,'Vesting Details'!E:E,"&lt;="&amp;$B$7,'Vesting Details'!K:K,"No",'Vesting Details'!J:J,"="&amp;"")</f>
        <v>704</v>
      </c>
      <c r="K121" s="1566">
        <f t="shared" si="3"/>
        <v>1</v>
      </c>
      <c r="L121" s="1565"/>
    </row>
    <row r="122" spans="1:12" ht="20.100000000000001" customHeight="1">
      <c r="A122" s="1565" t="s">
        <v>3191</v>
      </c>
      <c r="B122" s="1567">
        <v>43169</v>
      </c>
      <c r="C122" s="1568" t="s">
        <v>2961</v>
      </c>
      <c r="D122" s="1568" t="s">
        <v>236</v>
      </c>
      <c r="E122" s="1568"/>
      <c r="F122" s="1567">
        <v>43169</v>
      </c>
      <c r="G122" s="1566">
        <v>4496</v>
      </c>
      <c r="H122" s="1566">
        <v>4496</v>
      </c>
      <c r="I122" s="1566">
        <f>SUMIFS('Vesting Details'!F:F,'Vesting Details'!A:A,A122,'Vesting Details'!E:E,"&gt;="&amp;$B$6,'Vesting Details'!E:E,"&lt;="&amp;$B$7,'Vesting Details'!K:K,"No")</f>
        <v>4496</v>
      </c>
      <c r="J122" s="1566">
        <f>SUMIFS('Vesting Details'!F:F,'Vesting Details'!A:A,A122,'Vesting Details'!E:E,"&lt;="&amp;$B$7,'Vesting Details'!K:K,"No",'Vesting Details'!J:J,"&gt;"&amp;$B$7) + SUMIFS('Vesting Details'!F:F,'Vesting Details'!A:A,A122,'Vesting Details'!E:E,"&lt;="&amp;$B$7,'Vesting Details'!K:K,"No",'Vesting Details'!J:J,"="&amp;"")</f>
        <v>4496</v>
      </c>
      <c r="K122" s="1566">
        <f t="shared" si="3"/>
        <v>1</v>
      </c>
      <c r="L122" s="1565"/>
    </row>
    <row r="123" spans="1:12" ht="20.100000000000001" customHeight="1">
      <c r="A123" s="1565" t="s">
        <v>3190</v>
      </c>
      <c r="B123" s="1567">
        <v>43198</v>
      </c>
      <c r="C123" s="1568" t="s">
        <v>2999</v>
      </c>
      <c r="D123" s="1568" t="s">
        <v>236</v>
      </c>
      <c r="E123" s="1568"/>
      <c r="F123" s="1567">
        <v>43198</v>
      </c>
      <c r="G123" s="1566">
        <v>5096</v>
      </c>
      <c r="H123" s="1566">
        <v>5096</v>
      </c>
      <c r="I123" s="1566">
        <f>SUMIFS('Vesting Details'!F:F,'Vesting Details'!A:A,A123,'Vesting Details'!E:E,"&gt;="&amp;$B$6,'Vesting Details'!E:E,"&lt;="&amp;$B$7,'Vesting Details'!K:K,"No")</f>
        <v>5096</v>
      </c>
      <c r="J123" s="1566">
        <f>SUMIFS('Vesting Details'!F:F,'Vesting Details'!A:A,A123,'Vesting Details'!E:E,"&lt;="&amp;$B$7,'Vesting Details'!K:K,"No",'Vesting Details'!J:J,"&gt;"&amp;$B$7) + SUMIFS('Vesting Details'!F:F,'Vesting Details'!A:A,A123,'Vesting Details'!E:E,"&lt;="&amp;$B$7,'Vesting Details'!K:K,"No",'Vesting Details'!J:J,"="&amp;"")</f>
        <v>5096</v>
      </c>
      <c r="K123" s="1566">
        <f t="shared" si="3"/>
        <v>1</v>
      </c>
      <c r="L123" s="1565"/>
    </row>
    <row r="124" spans="1:12" ht="20.100000000000001" customHeight="1">
      <c r="A124" s="1565" t="s">
        <v>3189</v>
      </c>
      <c r="B124" s="1567">
        <v>43198</v>
      </c>
      <c r="C124" s="1568" t="s">
        <v>2999</v>
      </c>
      <c r="D124" s="1568" t="s">
        <v>236</v>
      </c>
      <c r="E124" s="1568"/>
      <c r="F124" s="1567">
        <v>43198</v>
      </c>
      <c r="G124" s="1566">
        <v>814</v>
      </c>
      <c r="H124" s="1566">
        <v>814</v>
      </c>
      <c r="I124" s="1566">
        <f>SUMIFS('Vesting Details'!F:F,'Vesting Details'!A:A,A124,'Vesting Details'!E:E,"&gt;="&amp;$B$6,'Vesting Details'!E:E,"&lt;="&amp;$B$7,'Vesting Details'!K:K,"No")</f>
        <v>814</v>
      </c>
      <c r="J124" s="1566">
        <f>SUMIFS('Vesting Details'!F:F,'Vesting Details'!A:A,A124,'Vesting Details'!E:E,"&lt;="&amp;$B$7,'Vesting Details'!K:K,"No",'Vesting Details'!J:J,"&gt;"&amp;$B$7) + SUMIFS('Vesting Details'!F:F,'Vesting Details'!A:A,A124,'Vesting Details'!E:E,"&lt;="&amp;$B$7,'Vesting Details'!K:K,"No",'Vesting Details'!J:J,"="&amp;"")</f>
        <v>814</v>
      </c>
      <c r="K124" s="1566">
        <f t="shared" si="3"/>
        <v>1</v>
      </c>
      <c r="L124" s="1565"/>
    </row>
    <row r="125" spans="1:12" ht="20.100000000000001" customHeight="1">
      <c r="A125" s="1565" t="s">
        <v>3188</v>
      </c>
      <c r="B125" s="1567">
        <v>43222</v>
      </c>
      <c r="C125" s="1568" t="s">
        <v>2961</v>
      </c>
      <c r="D125" s="1568" t="s">
        <v>236</v>
      </c>
      <c r="E125" s="1568"/>
      <c r="F125" s="1567">
        <v>43222</v>
      </c>
      <c r="G125" s="1566">
        <v>11400</v>
      </c>
      <c r="H125" s="1566">
        <v>11400</v>
      </c>
      <c r="I125" s="1566">
        <f>SUMIFS('Vesting Details'!F:F,'Vesting Details'!A:A,A125,'Vesting Details'!E:E,"&gt;="&amp;$B$6,'Vesting Details'!E:E,"&lt;="&amp;$B$7,'Vesting Details'!K:K,"No")</f>
        <v>11400</v>
      </c>
      <c r="J125" s="1566">
        <f>SUMIFS('Vesting Details'!F:F,'Vesting Details'!A:A,A125,'Vesting Details'!E:E,"&lt;="&amp;$B$7,'Vesting Details'!K:K,"No",'Vesting Details'!J:J,"&gt;"&amp;$B$7) + SUMIFS('Vesting Details'!F:F,'Vesting Details'!A:A,A125,'Vesting Details'!E:E,"&lt;="&amp;$B$7,'Vesting Details'!K:K,"No",'Vesting Details'!J:J,"="&amp;"")</f>
        <v>11400</v>
      </c>
      <c r="K125" s="1566">
        <f t="shared" si="3"/>
        <v>1</v>
      </c>
      <c r="L125" s="1565"/>
    </row>
    <row r="126" spans="1:12" ht="20.100000000000001" customHeight="1">
      <c r="A126" s="1565" t="s">
        <v>3187</v>
      </c>
      <c r="B126" s="1567">
        <v>43222</v>
      </c>
      <c r="C126" s="1568" t="s">
        <v>2961</v>
      </c>
      <c r="D126" s="1568" t="s">
        <v>236</v>
      </c>
      <c r="E126" s="1568"/>
      <c r="F126" s="1567">
        <v>43222</v>
      </c>
      <c r="G126" s="1566">
        <v>8992</v>
      </c>
      <c r="H126" s="1566">
        <v>8992</v>
      </c>
      <c r="I126" s="1566">
        <f>SUMIFS('Vesting Details'!F:F,'Vesting Details'!A:A,A126,'Vesting Details'!E:E,"&gt;="&amp;$B$6,'Vesting Details'!E:E,"&lt;="&amp;$B$7,'Vesting Details'!K:K,"No")</f>
        <v>8992</v>
      </c>
      <c r="J126" s="1566">
        <f>SUMIFS('Vesting Details'!F:F,'Vesting Details'!A:A,A126,'Vesting Details'!E:E,"&lt;="&amp;$B$7,'Vesting Details'!K:K,"No",'Vesting Details'!J:J,"&gt;"&amp;$B$7) + SUMIFS('Vesting Details'!F:F,'Vesting Details'!A:A,A126,'Vesting Details'!E:E,"&lt;="&amp;$B$7,'Vesting Details'!K:K,"No",'Vesting Details'!J:J,"="&amp;"")</f>
        <v>8992</v>
      </c>
      <c r="K126" s="1566">
        <f t="shared" si="3"/>
        <v>1</v>
      </c>
      <c r="L126" s="1565"/>
    </row>
    <row r="127" spans="1:12" ht="20.100000000000001" customHeight="1">
      <c r="A127" s="1565" t="s">
        <v>3186</v>
      </c>
      <c r="B127" s="1567">
        <v>43240</v>
      </c>
      <c r="C127" s="1568" t="s">
        <v>3000</v>
      </c>
      <c r="D127" s="1568" t="s">
        <v>236</v>
      </c>
      <c r="E127" s="1568"/>
      <c r="F127" s="1567">
        <v>43240</v>
      </c>
      <c r="G127" s="1566">
        <v>256</v>
      </c>
      <c r="H127" s="1566">
        <v>256</v>
      </c>
      <c r="I127" s="1566">
        <f>SUMIFS('Vesting Details'!F:F,'Vesting Details'!A:A,A127,'Vesting Details'!E:E,"&gt;="&amp;$B$6,'Vesting Details'!E:E,"&lt;="&amp;$B$7,'Vesting Details'!K:K,"No")</f>
        <v>256</v>
      </c>
      <c r="J127" s="1566">
        <f>SUMIFS('Vesting Details'!F:F,'Vesting Details'!A:A,A127,'Vesting Details'!E:E,"&lt;="&amp;$B$7,'Vesting Details'!K:K,"No",'Vesting Details'!J:J,"&gt;"&amp;$B$7) + SUMIFS('Vesting Details'!F:F,'Vesting Details'!A:A,A127,'Vesting Details'!E:E,"&lt;="&amp;$B$7,'Vesting Details'!K:K,"No",'Vesting Details'!J:J,"="&amp;"")</f>
        <v>256</v>
      </c>
      <c r="K127" s="1566">
        <f t="shared" si="3"/>
        <v>1</v>
      </c>
      <c r="L127" s="1565"/>
    </row>
    <row r="128" spans="1:12" ht="20.100000000000001" customHeight="1">
      <c r="A128" s="1565" t="s">
        <v>3185</v>
      </c>
      <c r="B128" s="1567">
        <v>43247</v>
      </c>
      <c r="C128" s="1568" t="s">
        <v>2992</v>
      </c>
      <c r="D128" s="1568" t="s">
        <v>236</v>
      </c>
      <c r="E128" s="1568"/>
      <c r="F128" s="1567">
        <v>43247</v>
      </c>
      <c r="G128" s="1566">
        <v>12500</v>
      </c>
      <c r="H128" s="1566">
        <v>12500</v>
      </c>
      <c r="I128" s="1566">
        <f>SUMIFS('Vesting Details'!F:F,'Vesting Details'!A:A,A128,'Vesting Details'!E:E,"&gt;="&amp;$B$6,'Vesting Details'!E:E,"&lt;="&amp;$B$7,'Vesting Details'!K:K,"No")</f>
        <v>12500</v>
      </c>
      <c r="J128" s="1566">
        <f>SUMIFS('Vesting Details'!F:F,'Vesting Details'!A:A,A128,'Vesting Details'!E:E,"&lt;="&amp;$B$7,'Vesting Details'!K:K,"No",'Vesting Details'!J:J,"&gt;"&amp;$B$7) + SUMIFS('Vesting Details'!F:F,'Vesting Details'!A:A,A128,'Vesting Details'!E:E,"&lt;="&amp;$B$7,'Vesting Details'!K:K,"No",'Vesting Details'!J:J,"="&amp;"")</f>
        <v>12500</v>
      </c>
      <c r="K128" s="1566">
        <f t="shared" si="3"/>
        <v>1</v>
      </c>
      <c r="L128" s="1565"/>
    </row>
    <row r="129" spans="1:12" ht="20.100000000000001" customHeight="1">
      <c r="A129" s="1565" t="s">
        <v>3184</v>
      </c>
      <c r="B129" s="1567">
        <v>43253</v>
      </c>
      <c r="C129" s="1568" t="s">
        <v>2999</v>
      </c>
      <c r="D129" s="1568" t="s">
        <v>236</v>
      </c>
      <c r="E129" s="1568"/>
      <c r="F129" s="1567">
        <v>43253</v>
      </c>
      <c r="G129" s="1566">
        <v>1629</v>
      </c>
      <c r="H129" s="1566">
        <v>1629</v>
      </c>
      <c r="I129" s="1566">
        <f>SUMIFS('Vesting Details'!F:F,'Vesting Details'!A:A,A129,'Vesting Details'!E:E,"&gt;="&amp;$B$6,'Vesting Details'!E:E,"&lt;="&amp;$B$7,'Vesting Details'!K:K,"No")</f>
        <v>1629</v>
      </c>
      <c r="J129" s="1566">
        <f>SUMIFS('Vesting Details'!F:F,'Vesting Details'!A:A,A129,'Vesting Details'!E:E,"&lt;="&amp;$B$7,'Vesting Details'!K:K,"No",'Vesting Details'!J:J,"&gt;"&amp;$B$7) + SUMIFS('Vesting Details'!F:F,'Vesting Details'!A:A,A129,'Vesting Details'!E:E,"&lt;="&amp;$B$7,'Vesting Details'!K:K,"No",'Vesting Details'!J:J,"="&amp;"")</f>
        <v>1629</v>
      </c>
      <c r="K129" s="1566">
        <f t="shared" si="3"/>
        <v>1</v>
      </c>
      <c r="L129" s="1565"/>
    </row>
    <row r="130" spans="1:12" ht="20.100000000000001" customHeight="1">
      <c r="A130" s="1565" t="s">
        <v>3183</v>
      </c>
      <c r="B130" s="1567">
        <v>43280</v>
      </c>
      <c r="C130" s="1568" t="s">
        <v>2961</v>
      </c>
      <c r="D130" s="1568" t="s">
        <v>236</v>
      </c>
      <c r="E130" s="1568"/>
      <c r="F130" s="1567">
        <v>43280</v>
      </c>
      <c r="G130" s="1566">
        <v>4496</v>
      </c>
      <c r="H130" s="1566">
        <v>4496</v>
      </c>
      <c r="I130" s="1566">
        <f>SUMIFS('Vesting Details'!F:F,'Vesting Details'!A:A,A130,'Vesting Details'!E:E,"&gt;="&amp;$B$6,'Vesting Details'!E:E,"&lt;="&amp;$B$7,'Vesting Details'!K:K,"No")</f>
        <v>4496</v>
      </c>
      <c r="J130" s="1566">
        <f>SUMIFS('Vesting Details'!F:F,'Vesting Details'!A:A,A130,'Vesting Details'!E:E,"&lt;="&amp;$B$7,'Vesting Details'!K:K,"No",'Vesting Details'!J:J,"&gt;"&amp;$B$7) + SUMIFS('Vesting Details'!F:F,'Vesting Details'!A:A,A130,'Vesting Details'!E:E,"&lt;="&amp;$B$7,'Vesting Details'!K:K,"No",'Vesting Details'!J:J,"="&amp;"")</f>
        <v>4496</v>
      </c>
      <c r="K130" s="1566">
        <f t="shared" si="3"/>
        <v>1</v>
      </c>
      <c r="L130" s="1565"/>
    </row>
    <row r="131" spans="1:12" ht="20.100000000000001" customHeight="1">
      <c r="A131" s="1565" t="s">
        <v>3182</v>
      </c>
      <c r="B131" s="1567">
        <v>43280</v>
      </c>
      <c r="C131" s="1568" t="s">
        <v>2961</v>
      </c>
      <c r="D131" s="1568" t="s">
        <v>236</v>
      </c>
      <c r="E131" s="1568"/>
      <c r="F131" s="1567">
        <v>43280</v>
      </c>
      <c r="G131" s="1566">
        <v>814</v>
      </c>
      <c r="H131" s="1566">
        <v>814</v>
      </c>
      <c r="I131" s="1566">
        <f>SUMIFS('Vesting Details'!F:F,'Vesting Details'!A:A,A131,'Vesting Details'!E:E,"&gt;="&amp;$B$6,'Vesting Details'!E:E,"&lt;="&amp;$B$7,'Vesting Details'!K:K,"No")</f>
        <v>814</v>
      </c>
      <c r="J131" s="1566">
        <f>SUMIFS('Vesting Details'!F:F,'Vesting Details'!A:A,A131,'Vesting Details'!E:E,"&lt;="&amp;$B$7,'Vesting Details'!K:K,"No",'Vesting Details'!J:J,"&gt;"&amp;$B$7) + SUMIFS('Vesting Details'!F:F,'Vesting Details'!A:A,A131,'Vesting Details'!E:E,"&lt;="&amp;$B$7,'Vesting Details'!K:K,"No",'Vesting Details'!J:J,"="&amp;"")</f>
        <v>814</v>
      </c>
      <c r="K131" s="1566">
        <f t="shared" si="3"/>
        <v>1</v>
      </c>
      <c r="L131" s="1565"/>
    </row>
    <row r="132" spans="1:12" ht="20.100000000000001" customHeight="1">
      <c r="A132" s="1565" t="s">
        <v>3181</v>
      </c>
      <c r="B132" s="1567">
        <v>43282</v>
      </c>
      <c r="C132" s="1568" t="s">
        <v>2999</v>
      </c>
      <c r="D132" s="1568" t="s">
        <v>236</v>
      </c>
      <c r="E132" s="1568"/>
      <c r="F132" s="1567">
        <v>43282</v>
      </c>
      <c r="G132" s="1566">
        <v>15288</v>
      </c>
      <c r="H132" s="1566">
        <v>15288</v>
      </c>
      <c r="I132" s="1566">
        <f>SUMIFS('Vesting Details'!F:F,'Vesting Details'!A:A,A132,'Vesting Details'!E:E,"&gt;="&amp;$B$6,'Vesting Details'!E:E,"&lt;="&amp;$B$7,'Vesting Details'!K:K,"No")</f>
        <v>15288</v>
      </c>
      <c r="J132" s="1566">
        <f>SUMIFS('Vesting Details'!F:F,'Vesting Details'!A:A,A132,'Vesting Details'!E:E,"&lt;="&amp;$B$7,'Vesting Details'!K:K,"No",'Vesting Details'!J:J,"&gt;"&amp;$B$7) + SUMIFS('Vesting Details'!F:F,'Vesting Details'!A:A,A132,'Vesting Details'!E:E,"&lt;="&amp;$B$7,'Vesting Details'!K:K,"No",'Vesting Details'!J:J,"="&amp;"")</f>
        <v>15288</v>
      </c>
      <c r="K132" s="1566">
        <f t="shared" si="3"/>
        <v>1</v>
      </c>
      <c r="L132" s="1565"/>
    </row>
    <row r="133" spans="1:12" ht="20.100000000000001" customHeight="1">
      <c r="A133" s="1565" t="s">
        <v>3180</v>
      </c>
      <c r="B133" s="1567">
        <v>43282</v>
      </c>
      <c r="C133" s="1568" t="s">
        <v>2999</v>
      </c>
      <c r="D133" s="1568" t="s">
        <v>236</v>
      </c>
      <c r="E133" s="1568"/>
      <c r="F133" s="1567">
        <v>43282</v>
      </c>
      <c r="G133" s="1566">
        <v>814</v>
      </c>
      <c r="H133" s="1566">
        <v>814</v>
      </c>
      <c r="I133" s="1566">
        <f>SUMIFS('Vesting Details'!F:F,'Vesting Details'!A:A,A133,'Vesting Details'!E:E,"&gt;="&amp;$B$6,'Vesting Details'!E:E,"&lt;="&amp;$B$7,'Vesting Details'!K:K,"No")</f>
        <v>814</v>
      </c>
      <c r="J133" s="1566">
        <f>SUMIFS('Vesting Details'!F:F,'Vesting Details'!A:A,A133,'Vesting Details'!E:E,"&lt;="&amp;$B$7,'Vesting Details'!K:K,"No",'Vesting Details'!J:J,"&gt;"&amp;$B$7) + SUMIFS('Vesting Details'!F:F,'Vesting Details'!A:A,A133,'Vesting Details'!E:E,"&lt;="&amp;$B$7,'Vesting Details'!K:K,"No",'Vesting Details'!J:J,"="&amp;"")</f>
        <v>814</v>
      </c>
      <c r="K133" s="1566">
        <f t="shared" si="3"/>
        <v>1</v>
      </c>
      <c r="L133" s="1565"/>
    </row>
    <row r="134" spans="1:12" ht="20.100000000000001" customHeight="1">
      <c r="A134" s="1565" t="s">
        <v>3179</v>
      </c>
      <c r="B134" s="1567">
        <v>43284</v>
      </c>
      <c r="C134" s="1568" t="s">
        <v>2980</v>
      </c>
      <c r="D134" s="1568" t="s">
        <v>236</v>
      </c>
      <c r="E134" s="1568"/>
      <c r="F134" s="1567">
        <v>43284</v>
      </c>
      <c r="G134" s="1566">
        <v>696</v>
      </c>
      <c r="H134" s="1566">
        <v>696</v>
      </c>
      <c r="I134" s="1566">
        <f>SUMIFS('Vesting Details'!F:F,'Vesting Details'!A:A,A134,'Vesting Details'!E:E,"&gt;="&amp;$B$6,'Vesting Details'!E:E,"&lt;="&amp;$B$7,'Vesting Details'!K:K,"No")</f>
        <v>696</v>
      </c>
      <c r="J134" s="1566">
        <f>SUMIFS('Vesting Details'!F:F,'Vesting Details'!A:A,A134,'Vesting Details'!E:E,"&lt;="&amp;$B$7,'Vesting Details'!K:K,"No",'Vesting Details'!J:J,"&gt;"&amp;$B$7) + SUMIFS('Vesting Details'!F:F,'Vesting Details'!A:A,A134,'Vesting Details'!E:E,"&lt;="&amp;$B$7,'Vesting Details'!K:K,"No",'Vesting Details'!J:J,"="&amp;"")</f>
        <v>696</v>
      </c>
      <c r="K134" s="1566">
        <f t="shared" si="3"/>
        <v>1</v>
      </c>
      <c r="L134" s="1565"/>
    </row>
    <row r="135" spans="1:12" ht="20.100000000000001" customHeight="1">
      <c r="A135" s="1565" t="s">
        <v>3178</v>
      </c>
      <c r="B135" s="1567">
        <v>43313</v>
      </c>
      <c r="C135" s="1568" t="s">
        <v>2999</v>
      </c>
      <c r="D135" s="1568" t="s">
        <v>236</v>
      </c>
      <c r="E135" s="1568"/>
      <c r="F135" s="1567">
        <v>43313</v>
      </c>
      <c r="G135" s="1566">
        <v>814</v>
      </c>
      <c r="H135" s="1566">
        <v>814</v>
      </c>
      <c r="I135" s="1566">
        <f>SUMIFS('Vesting Details'!F:F,'Vesting Details'!A:A,A135,'Vesting Details'!E:E,"&gt;="&amp;$B$6,'Vesting Details'!E:E,"&lt;="&amp;$B$7,'Vesting Details'!K:K,"No")</f>
        <v>814</v>
      </c>
      <c r="J135" s="1566">
        <f>SUMIFS('Vesting Details'!F:F,'Vesting Details'!A:A,A135,'Vesting Details'!E:E,"&lt;="&amp;$B$7,'Vesting Details'!K:K,"No",'Vesting Details'!J:J,"&gt;"&amp;$B$7) + SUMIFS('Vesting Details'!F:F,'Vesting Details'!A:A,A135,'Vesting Details'!E:E,"&lt;="&amp;$B$7,'Vesting Details'!K:K,"No",'Vesting Details'!J:J,"="&amp;"")</f>
        <v>814</v>
      </c>
      <c r="K135" s="1566">
        <f t="shared" si="3"/>
        <v>1</v>
      </c>
      <c r="L135" s="1565"/>
    </row>
    <row r="136" spans="1:12" ht="20.100000000000001" customHeight="1">
      <c r="A136" s="1565" t="s">
        <v>3177</v>
      </c>
      <c r="B136" s="1567">
        <v>43318</v>
      </c>
      <c r="C136" s="1568" t="s">
        <v>2961</v>
      </c>
      <c r="D136" s="1568" t="s">
        <v>236</v>
      </c>
      <c r="E136" s="1568"/>
      <c r="F136" s="1567">
        <v>43318</v>
      </c>
      <c r="G136" s="1566">
        <v>8992</v>
      </c>
      <c r="H136" s="1566">
        <v>8992</v>
      </c>
      <c r="I136" s="1566">
        <f>SUMIFS('Vesting Details'!F:F,'Vesting Details'!A:A,A136,'Vesting Details'!E:E,"&gt;="&amp;$B$6,'Vesting Details'!E:E,"&lt;="&amp;$B$7,'Vesting Details'!K:K,"No")</f>
        <v>8992</v>
      </c>
      <c r="J136" s="1566">
        <f>SUMIFS('Vesting Details'!F:F,'Vesting Details'!A:A,A136,'Vesting Details'!E:E,"&lt;="&amp;$B$7,'Vesting Details'!K:K,"No",'Vesting Details'!J:J,"&gt;"&amp;$B$7) + SUMIFS('Vesting Details'!F:F,'Vesting Details'!A:A,A136,'Vesting Details'!E:E,"&lt;="&amp;$B$7,'Vesting Details'!K:K,"No",'Vesting Details'!J:J,"="&amp;"")</f>
        <v>8992</v>
      </c>
      <c r="K136" s="1566">
        <f t="shared" si="3"/>
        <v>1</v>
      </c>
      <c r="L136" s="1565"/>
    </row>
    <row r="137" spans="1:12" ht="20.100000000000001" customHeight="1">
      <c r="A137" s="1565" t="s">
        <v>3176</v>
      </c>
      <c r="B137" s="1567">
        <v>43318</v>
      </c>
      <c r="C137" s="1568" t="s">
        <v>2961</v>
      </c>
      <c r="D137" s="1568" t="s">
        <v>236</v>
      </c>
      <c r="E137" s="1568"/>
      <c r="F137" s="1567">
        <v>43318</v>
      </c>
      <c r="G137" s="1566">
        <v>1628</v>
      </c>
      <c r="H137" s="1566">
        <v>1628</v>
      </c>
      <c r="I137" s="1566">
        <f>SUMIFS('Vesting Details'!F:F,'Vesting Details'!A:A,A137,'Vesting Details'!E:E,"&gt;="&amp;$B$6,'Vesting Details'!E:E,"&lt;="&amp;$B$7,'Vesting Details'!K:K,"No")</f>
        <v>1628</v>
      </c>
      <c r="J137" s="1566">
        <f>SUMIFS('Vesting Details'!F:F,'Vesting Details'!A:A,A137,'Vesting Details'!E:E,"&lt;="&amp;$B$7,'Vesting Details'!K:K,"No",'Vesting Details'!J:J,"&gt;"&amp;$B$7) + SUMIFS('Vesting Details'!F:F,'Vesting Details'!A:A,A137,'Vesting Details'!E:E,"&lt;="&amp;$B$7,'Vesting Details'!K:K,"No",'Vesting Details'!J:J,"="&amp;"")</f>
        <v>1628</v>
      </c>
      <c r="K137" s="1566">
        <f t="shared" si="3"/>
        <v>1</v>
      </c>
      <c r="L137" s="1565"/>
    </row>
    <row r="138" spans="1:12" ht="20.100000000000001" customHeight="1">
      <c r="A138" s="1565" t="s">
        <v>3175</v>
      </c>
      <c r="B138" s="1567">
        <v>43321</v>
      </c>
      <c r="C138" s="1568" t="s">
        <v>3000</v>
      </c>
      <c r="D138" s="1568" t="s">
        <v>236</v>
      </c>
      <c r="E138" s="1568"/>
      <c r="F138" s="1567">
        <v>43321</v>
      </c>
      <c r="G138" s="1566">
        <v>248</v>
      </c>
      <c r="H138" s="1566">
        <v>248</v>
      </c>
      <c r="I138" s="1566">
        <f>SUMIFS('Vesting Details'!F:F,'Vesting Details'!A:A,A138,'Vesting Details'!E:E,"&gt;="&amp;$B$6,'Vesting Details'!E:E,"&lt;="&amp;$B$7,'Vesting Details'!K:K,"No")</f>
        <v>248</v>
      </c>
      <c r="J138" s="1566">
        <f>SUMIFS('Vesting Details'!F:F,'Vesting Details'!A:A,A138,'Vesting Details'!E:E,"&lt;="&amp;$B$7,'Vesting Details'!K:K,"No",'Vesting Details'!J:J,"&gt;"&amp;$B$7) + SUMIFS('Vesting Details'!F:F,'Vesting Details'!A:A,A138,'Vesting Details'!E:E,"&lt;="&amp;$B$7,'Vesting Details'!K:K,"No",'Vesting Details'!J:J,"="&amp;"")</f>
        <v>248</v>
      </c>
      <c r="K138" s="1566">
        <f t="shared" ref="K138:K167" si="4">J138/G138</f>
        <v>1</v>
      </c>
      <c r="L138" s="1565"/>
    </row>
    <row r="139" spans="1:12" ht="20.100000000000001" customHeight="1">
      <c r="A139" s="1565" t="s">
        <v>3174</v>
      </c>
      <c r="B139" s="1567">
        <v>43331</v>
      </c>
      <c r="C139" s="1568" t="s">
        <v>2964</v>
      </c>
      <c r="D139" s="1568" t="s">
        <v>236</v>
      </c>
      <c r="E139" s="1568"/>
      <c r="F139" s="1567">
        <v>43331</v>
      </c>
      <c r="G139" s="1566">
        <v>100</v>
      </c>
      <c r="H139" s="1566">
        <v>100</v>
      </c>
      <c r="I139" s="1566">
        <f>SUMIFS('Vesting Details'!F:F,'Vesting Details'!A:A,A139,'Vesting Details'!E:E,"&gt;="&amp;$B$6,'Vesting Details'!E:E,"&lt;="&amp;$B$7,'Vesting Details'!K:K,"No")</f>
        <v>100</v>
      </c>
      <c r="J139" s="1566">
        <f>SUMIFS('Vesting Details'!F:F,'Vesting Details'!A:A,A139,'Vesting Details'!E:E,"&lt;="&amp;$B$7,'Vesting Details'!K:K,"No",'Vesting Details'!J:J,"&gt;"&amp;$B$7) + SUMIFS('Vesting Details'!F:F,'Vesting Details'!A:A,A139,'Vesting Details'!E:E,"&lt;="&amp;$B$7,'Vesting Details'!K:K,"No",'Vesting Details'!J:J,"="&amp;"")</f>
        <v>100</v>
      </c>
      <c r="K139" s="1566">
        <f t="shared" si="4"/>
        <v>1</v>
      </c>
      <c r="L139" s="1565"/>
    </row>
    <row r="140" spans="1:12" ht="20.100000000000001" customHeight="1">
      <c r="A140" s="1565" t="s">
        <v>3173</v>
      </c>
      <c r="B140" s="1567">
        <v>43344</v>
      </c>
      <c r="C140" s="1568" t="s">
        <v>2999</v>
      </c>
      <c r="D140" s="1568" t="s">
        <v>236</v>
      </c>
      <c r="E140" s="1568"/>
      <c r="F140" s="1567">
        <v>43344</v>
      </c>
      <c r="G140" s="1566">
        <v>815</v>
      </c>
      <c r="H140" s="1566">
        <v>815</v>
      </c>
      <c r="I140" s="1566">
        <f>SUMIFS('Vesting Details'!F:F,'Vesting Details'!A:A,A140,'Vesting Details'!E:E,"&gt;="&amp;$B$6,'Vesting Details'!E:E,"&lt;="&amp;$B$7,'Vesting Details'!K:K,"No")</f>
        <v>815</v>
      </c>
      <c r="J140" s="1566">
        <f>SUMIFS('Vesting Details'!F:F,'Vesting Details'!A:A,A140,'Vesting Details'!E:E,"&lt;="&amp;$B$7,'Vesting Details'!K:K,"No",'Vesting Details'!J:J,"&gt;"&amp;$B$7) + SUMIFS('Vesting Details'!F:F,'Vesting Details'!A:A,A140,'Vesting Details'!E:E,"&lt;="&amp;$B$7,'Vesting Details'!K:K,"No",'Vesting Details'!J:J,"="&amp;"")</f>
        <v>815</v>
      </c>
      <c r="K140" s="1566">
        <f t="shared" si="4"/>
        <v>1</v>
      </c>
      <c r="L140" s="1565"/>
    </row>
    <row r="141" spans="1:12" ht="20.100000000000001" customHeight="1">
      <c r="A141" s="1565" t="s">
        <v>3172</v>
      </c>
      <c r="B141" s="1567">
        <v>43348</v>
      </c>
      <c r="C141" s="1568" t="s">
        <v>2964</v>
      </c>
      <c r="D141" s="1568" t="s">
        <v>236</v>
      </c>
      <c r="E141" s="1568"/>
      <c r="F141" s="1567">
        <v>43348</v>
      </c>
      <c r="G141" s="1566">
        <v>800</v>
      </c>
      <c r="H141" s="1566">
        <v>800</v>
      </c>
      <c r="I141" s="1566">
        <f>SUMIFS('Vesting Details'!F:F,'Vesting Details'!A:A,A141,'Vesting Details'!E:E,"&gt;="&amp;$B$6,'Vesting Details'!E:E,"&lt;="&amp;$B$7,'Vesting Details'!K:K,"No")</f>
        <v>800</v>
      </c>
      <c r="J141" s="1566">
        <f>SUMIFS('Vesting Details'!F:F,'Vesting Details'!A:A,A141,'Vesting Details'!E:E,"&lt;="&amp;$B$7,'Vesting Details'!K:K,"No",'Vesting Details'!J:J,"&gt;"&amp;$B$7) + SUMIFS('Vesting Details'!F:F,'Vesting Details'!A:A,A141,'Vesting Details'!E:E,"&lt;="&amp;$B$7,'Vesting Details'!K:K,"No",'Vesting Details'!J:J,"="&amp;"")</f>
        <v>800</v>
      </c>
      <c r="K141" s="1566">
        <f t="shared" si="4"/>
        <v>1</v>
      </c>
      <c r="L141" s="1565"/>
    </row>
    <row r="142" spans="1:12" ht="20.100000000000001" customHeight="1">
      <c r="A142" s="1565" t="s">
        <v>3171</v>
      </c>
      <c r="B142" s="1567">
        <v>43357</v>
      </c>
      <c r="C142" s="1568" t="s">
        <v>2964</v>
      </c>
      <c r="D142" s="1568" t="s">
        <v>236</v>
      </c>
      <c r="E142" s="1568"/>
      <c r="F142" s="1567">
        <v>43357</v>
      </c>
      <c r="G142" s="1566">
        <v>266</v>
      </c>
      <c r="H142" s="1566">
        <v>266</v>
      </c>
      <c r="I142" s="1566">
        <f>SUMIFS('Vesting Details'!F:F,'Vesting Details'!A:A,A142,'Vesting Details'!E:E,"&gt;="&amp;$B$6,'Vesting Details'!E:E,"&lt;="&amp;$B$7,'Vesting Details'!K:K,"No")</f>
        <v>266</v>
      </c>
      <c r="J142" s="1566">
        <f>SUMIFS('Vesting Details'!F:F,'Vesting Details'!A:A,A142,'Vesting Details'!E:E,"&lt;="&amp;$B$7,'Vesting Details'!K:K,"No",'Vesting Details'!J:J,"&gt;"&amp;$B$7) + SUMIFS('Vesting Details'!F:F,'Vesting Details'!A:A,A142,'Vesting Details'!E:E,"&lt;="&amp;$B$7,'Vesting Details'!K:K,"No",'Vesting Details'!J:J,"="&amp;"")</f>
        <v>266</v>
      </c>
      <c r="K142" s="1566">
        <f t="shared" si="4"/>
        <v>1</v>
      </c>
      <c r="L142" s="1565"/>
    </row>
    <row r="143" spans="1:12" ht="20.100000000000001" customHeight="1">
      <c r="A143" s="1565" t="s">
        <v>3170</v>
      </c>
      <c r="B143" s="1567">
        <v>43360</v>
      </c>
      <c r="C143" s="1568" t="s">
        <v>2983</v>
      </c>
      <c r="D143" s="1568" t="s">
        <v>236</v>
      </c>
      <c r="E143" s="1568"/>
      <c r="F143" s="1567">
        <v>43360</v>
      </c>
      <c r="G143" s="1566">
        <v>14657</v>
      </c>
      <c r="H143" s="1566">
        <v>14657</v>
      </c>
      <c r="I143" s="1566">
        <f>SUMIFS('Vesting Details'!F:F,'Vesting Details'!A:A,A143,'Vesting Details'!E:E,"&gt;="&amp;$B$6,'Vesting Details'!E:E,"&lt;="&amp;$B$7,'Vesting Details'!K:K,"No")</f>
        <v>14657</v>
      </c>
      <c r="J143" s="1566">
        <f>SUMIFS('Vesting Details'!F:F,'Vesting Details'!A:A,A143,'Vesting Details'!E:E,"&lt;="&amp;$B$7,'Vesting Details'!K:K,"No",'Vesting Details'!J:J,"&gt;"&amp;$B$7) + SUMIFS('Vesting Details'!F:F,'Vesting Details'!A:A,A143,'Vesting Details'!E:E,"&lt;="&amp;$B$7,'Vesting Details'!K:K,"No",'Vesting Details'!J:J,"="&amp;"")</f>
        <v>14657</v>
      </c>
      <c r="K143" s="1566">
        <f t="shared" si="4"/>
        <v>1</v>
      </c>
      <c r="L143" s="1565" t="s">
        <v>3052</v>
      </c>
    </row>
    <row r="144" spans="1:12" ht="20.100000000000001" customHeight="1">
      <c r="A144" s="1565" t="s">
        <v>3169</v>
      </c>
      <c r="B144" s="1567">
        <v>43360</v>
      </c>
      <c r="C144" s="1568" t="s">
        <v>2983</v>
      </c>
      <c r="D144" s="1568" t="s">
        <v>236</v>
      </c>
      <c r="E144" s="1568"/>
      <c r="F144" s="1567">
        <v>43360</v>
      </c>
      <c r="G144" s="1566">
        <v>39576</v>
      </c>
      <c r="H144" s="1566">
        <v>39576</v>
      </c>
      <c r="I144" s="1566">
        <f>SUMIFS('Vesting Details'!F:F,'Vesting Details'!A:A,A144,'Vesting Details'!E:E,"&gt;="&amp;$B$6,'Vesting Details'!E:E,"&lt;="&amp;$B$7,'Vesting Details'!K:K,"No")</f>
        <v>39576</v>
      </c>
      <c r="J144" s="1566">
        <f>SUMIFS('Vesting Details'!F:F,'Vesting Details'!A:A,A144,'Vesting Details'!E:E,"&lt;="&amp;$B$7,'Vesting Details'!K:K,"No",'Vesting Details'!J:J,"&gt;"&amp;$B$7) + SUMIFS('Vesting Details'!F:F,'Vesting Details'!A:A,A144,'Vesting Details'!E:E,"&lt;="&amp;$B$7,'Vesting Details'!K:K,"No",'Vesting Details'!J:J,"="&amp;"")</f>
        <v>39576</v>
      </c>
      <c r="K144" s="1566">
        <f t="shared" si="4"/>
        <v>1</v>
      </c>
      <c r="L144" s="1565" t="s">
        <v>3052</v>
      </c>
    </row>
    <row r="145" spans="1:12" ht="20.100000000000001" customHeight="1">
      <c r="A145" s="1565" t="s">
        <v>3168</v>
      </c>
      <c r="B145" s="1567">
        <v>43368</v>
      </c>
      <c r="C145" s="1568" t="s">
        <v>2964</v>
      </c>
      <c r="D145" s="1568" t="s">
        <v>236</v>
      </c>
      <c r="E145" s="1568"/>
      <c r="F145" s="1567">
        <v>43368</v>
      </c>
      <c r="G145" s="1566">
        <v>84</v>
      </c>
      <c r="H145" s="1566">
        <v>84</v>
      </c>
      <c r="I145" s="1566">
        <f>SUMIFS('Vesting Details'!F:F,'Vesting Details'!A:A,A145,'Vesting Details'!E:E,"&gt;="&amp;$B$6,'Vesting Details'!E:E,"&lt;="&amp;$B$7,'Vesting Details'!K:K,"No")</f>
        <v>84</v>
      </c>
      <c r="J145" s="1566">
        <f>SUMIFS('Vesting Details'!F:F,'Vesting Details'!A:A,A145,'Vesting Details'!E:E,"&lt;="&amp;$B$7,'Vesting Details'!K:K,"No",'Vesting Details'!J:J,"&gt;"&amp;$B$7) + SUMIFS('Vesting Details'!F:F,'Vesting Details'!A:A,A145,'Vesting Details'!E:E,"&lt;="&amp;$B$7,'Vesting Details'!K:K,"No",'Vesting Details'!J:J,"="&amp;"")</f>
        <v>84</v>
      </c>
      <c r="K145" s="1566">
        <f t="shared" si="4"/>
        <v>1</v>
      </c>
      <c r="L145" s="1565"/>
    </row>
    <row r="146" spans="1:12" ht="20.100000000000001" customHeight="1">
      <c r="A146" s="1565" t="s">
        <v>3167</v>
      </c>
      <c r="B146" s="1567">
        <v>43375</v>
      </c>
      <c r="C146" s="1568" t="s">
        <v>2999</v>
      </c>
      <c r="D146" s="1568" t="s">
        <v>236</v>
      </c>
      <c r="E146" s="1568"/>
      <c r="F146" s="1567">
        <v>43375</v>
      </c>
      <c r="G146" s="1566">
        <v>814</v>
      </c>
      <c r="H146" s="1566">
        <v>814</v>
      </c>
      <c r="I146" s="1566">
        <f>SUMIFS('Vesting Details'!F:F,'Vesting Details'!A:A,A146,'Vesting Details'!E:E,"&gt;="&amp;$B$6,'Vesting Details'!E:E,"&lt;="&amp;$B$7,'Vesting Details'!K:K,"No")</f>
        <v>814</v>
      </c>
      <c r="J146" s="1566">
        <f>SUMIFS('Vesting Details'!F:F,'Vesting Details'!A:A,A146,'Vesting Details'!E:E,"&lt;="&amp;$B$7,'Vesting Details'!K:K,"No",'Vesting Details'!J:J,"&gt;"&amp;$B$7) + SUMIFS('Vesting Details'!F:F,'Vesting Details'!A:A,A146,'Vesting Details'!E:E,"&lt;="&amp;$B$7,'Vesting Details'!K:K,"No",'Vesting Details'!J:J,"="&amp;"")</f>
        <v>814</v>
      </c>
      <c r="K146" s="1566">
        <f t="shared" si="4"/>
        <v>1</v>
      </c>
      <c r="L146" s="1565"/>
    </row>
    <row r="147" spans="1:12" ht="20.100000000000001" customHeight="1">
      <c r="A147" s="1565" t="s">
        <v>3166</v>
      </c>
      <c r="B147" s="1567">
        <v>43376</v>
      </c>
      <c r="C147" s="1568" t="s">
        <v>2961</v>
      </c>
      <c r="D147" s="1568" t="s">
        <v>236</v>
      </c>
      <c r="E147" s="1568"/>
      <c r="F147" s="1567">
        <v>43376</v>
      </c>
      <c r="G147" s="1566">
        <v>8992</v>
      </c>
      <c r="H147" s="1566">
        <v>8992</v>
      </c>
      <c r="I147" s="1566">
        <f>SUMIFS('Vesting Details'!F:F,'Vesting Details'!A:A,A147,'Vesting Details'!E:E,"&gt;="&amp;$B$6,'Vesting Details'!E:E,"&lt;="&amp;$B$7,'Vesting Details'!K:K,"No")</f>
        <v>8992</v>
      </c>
      <c r="J147" s="1566">
        <f>SUMIFS('Vesting Details'!F:F,'Vesting Details'!A:A,A147,'Vesting Details'!E:E,"&lt;="&amp;$B$7,'Vesting Details'!K:K,"No",'Vesting Details'!J:J,"&gt;"&amp;$B$7) + SUMIFS('Vesting Details'!F:F,'Vesting Details'!A:A,A147,'Vesting Details'!E:E,"&lt;="&amp;$B$7,'Vesting Details'!K:K,"No",'Vesting Details'!J:J,"="&amp;"")</f>
        <v>8992</v>
      </c>
      <c r="K147" s="1566">
        <f t="shared" si="4"/>
        <v>1</v>
      </c>
      <c r="L147" s="1565"/>
    </row>
    <row r="148" spans="1:12" ht="20.100000000000001" customHeight="1">
      <c r="A148" s="1565" t="s">
        <v>3165</v>
      </c>
      <c r="B148" s="1567">
        <v>43376</v>
      </c>
      <c r="C148" s="1568" t="s">
        <v>2961</v>
      </c>
      <c r="D148" s="1568" t="s">
        <v>236</v>
      </c>
      <c r="E148" s="1568"/>
      <c r="F148" s="1567">
        <v>43376</v>
      </c>
      <c r="G148" s="1566">
        <v>1629</v>
      </c>
      <c r="H148" s="1566">
        <v>1629</v>
      </c>
      <c r="I148" s="1566">
        <f>SUMIFS('Vesting Details'!F:F,'Vesting Details'!A:A,A148,'Vesting Details'!E:E,"&gt;="&amp;$B$6,'Vesting Details'!E:E,"&lt;="&amp;$B$7,'Vesting Details'!K:K,"No")</f>
        <v>1629</v>
      </c>
      <c r="J148" s="1566">
        <f>SUMIFS('Vesting Details'!F:F,'Vesting Details'!A:A,A148,'Vesting Details'!E:E,"&lt;="&amp;$B$7,'Vesting Details'!K:K,"No",'Vesting Details'!J:J,"&gt;"&amp;$B$7) + SUMIFS('Vesting Details'!F:F,'Vesting Details'!A:A,A148,'Vesting Details'!E:E,"&lt;="&amp;$B$7,'Vesting Details'!K:K,"No",'Vesting Details'!J:J,"="&amp;"")</f>
        <v>1629</v>
      </c>
      <c r="K148" s="1566">
        <f t="shared" si="4"/>
        <v>1</v>
      </c>
      <c r="L148" s="1565"/>
    </row>
    <row r="149" spans="1:12" ht="20.100000000000001" customHeight="1">
      <c r="A149" s="1565" t="s">
        <v>3164</v>
      </c>
      <c r="B149" s="1567">
        <v>43388</v>
      </c>
      <c r="C149" s="1568" t="s">
        <v>2964</v>
      </c>
      <c r="D149" s="1568" t="s">
        <v>236</v>
      </c>
      <c r="E149" s="1568"/>
      <c r="F149" s="1567">
        <v>43388</v>
      </c>
      <c r="G149" s="1566">
        <v>83</v>
      </c>
      <c r="H149" s="1566">
        <v>83</v>
      </c>
      <c r="I149" s="1566">
        <f>SUMIFS('Vesting Details'!F:F,'Vesting Details'!A:A,A149,'Vesting Details'!E:E,"&gt;="&amp;$B$6,'Vesting Details'!E:E,"&lt;="&amp;$B$7,'Vesting Details'!K:K,"No")</f>
        <v>83</v>
      </c>
      <c r="J149" s="1566">
        <f>SUMIFS('Vesting Details'!F:F,'Vesting Details'!A:A,A149,'Vesting Details'!E:E,"&lt;="&amp;$B$7,'Vesting Details'!K:K,"No",'Vesting Details'!J:J,"&gt;"&amp;$B$7) + SUMIFS('Vesting Details'!F:F,'Vesting Details'!A:A,A149,'Vesting Details'!E:E,"&lt;="&amp;$B$7,'Vesting Details'!K:K,"No",'Vesting Details'!J:J,"="&amp;"")</f>
        <v>83</v>
      </c>
      <c r="K149" s="1566">
        <f t="shared" si="4"/>
        <v>1</v>
      </c>
      <c r="L149" s="1565"/>
    </row>
    <row r="150" spans="1:12" ht="20.100000000000001" customHeight="1">
      <c r="A150" s="1565" t="s">
        <v>3163</v>
      </c>
      <c r="B150" s="1567">
        <v>43407</v>
      </c>
      <c r="C150" s="1568" t="s">
        <v>2999</v>
      </c>
      <c r="D150" s="1568" t="s">
        <v>236</v>
      </c>
      <c r="E150" s="1568"/>
      <c r="F150" s="1567">
        <v>43407</v>
      </c>
      <c r="G150" s="1566">
        <v>814</v>
      </c>
      <c r="H150" s="1566">
        <v>814</v>
      </c>
      <c r="I150" s="1566">
        <f>SUMIFS('Vesting Details'!F:F,'Vesting Details'!A:A,A150,'Vesting Details'!E:E,"&gt;="&amp;$B$6,'Vesting Details'!E:E,"&lt;="&amp;$B$7,'Vesting Details'!K:K,"No")</f>
        <v>814</v>
      </c>
      <c r="J150" s="1566">
        <f>SUMIFS('Vesting Details'!F:F,'Vesting Details'!A:A,A150,'Vesting Details'!E:E,"&lt;="&amp;$B$7,'Vesting Details'!K:K,"No",'Vesting Details'!J:J,"&gt;"&amp;$B$7) + SUMIFS('Vesting Details'!F:F,'Vesting Details'!A:A,A150,'Vesting Details'!E:E,"&lt;="&amp;$B$7,'Vesting Details'!K:K,"No",'Vesting Details'!J:J,"="&amp;"")</f>
        <v>814</v>
      </c>
      <c r="K150" s="1566">
        <f t="shared" si="4"/>
        <v>1</v>
      </c>
      <c r="L150" s="1565"/>
    </row>
    <row r="151" spans="1:12" ht="20.100000000000001" customHeight="1">
      <c r="A151" s="1565" t="s">
        <v>3162</v>
      </c>
      <c r="B151" s="1567">
        <v>43419</v>
      </c>
      <c r="C151" s="1568" t="s">
        <v>2964</v>
      </c>
      <c r="D151" s="1568" t="s">
        <v>236</v>
      </c>
      <c r="E151" s="1568"/>
      <c r="F151" s="1567">
        <v>43419</v>
      </c>
      <c r="G151" s="1566">
        <v>83</v>
      </c>
      <c r="H151" s="1566">
        <v>83</v>
      </c>
      <c r="I151" s="1566">
        <f>SUMIFS('Vesting Details'!F:F,'Vesting Details'!A:A,A151,'Vesting Details'!E:E,"&gt;="&amp;$B$6,'Vesting Details'!E:E,"&lt;="&amp;$B$7,'Vesting Details'!K:K,"No")</f>
        <v>83</v>
      </c>
      <c r="J151" s="1566">
        <f>SUMIFS('Vesting Details'!F:F,'Vesting Details'!A:A,A151,'Vesting Details'!E:E,"&lt;="&amp;$B$7,'Vesting Details'!K:K,"No",'Vesting Details'!J:J,"&gt;"&amp;$B$7) + SUMIFS('Vesting Details'!F:F,'Vesting Details'!A:A,A151,'Vesting Details'!E:E,"&lt;="&amp;$B$7,'Vesting Details'!K:K,"No",'Vesting Details'!J:J,"="&amp;"")</f>
        <v>83</v>
      </c>
      <c r="K151" s="1566">
        <f t="shared" si="4"/>
        <v>1</v>
      </c>
      <c r="L151" s="1565"/>
    </row>
    <row r="152" spans="1:12" ht="20.100000000000001" customHeight="1">
      <c r="A152" s="1565" t="s">
        <v>3161</v>
      </c>
      <c r="B152" s="1567">
        <v>43436</v>
      </c>
      <c r="C152" s="1568" t="s">
        <v>2999</v>
      </c>
      <c r="D152" s="1568" t="s">
        <v>236</v>
      </c>
      <c r="E152" s="1568"/>
      <c r="F152" s="1567">
        <v>43436</v>
      </c>
      <c r="G152" s="1566">
        <v>815</v>
      </c>
      <c r="H152" s="1566">
        <v>815</v>
      </c>
      <c r="I152" s="1566">
        <f>SUMIFS('Vesting Details'!F:F,'Vesting Details'!A:A,A152,'Vesting Details'!E:E,"&gt;="&amp;$B$6,'Vesting Details'!E:E,"&lt;="&amp;$B$7,'Vesting Details'!K:K,"No")</f>
        <v>815</v>
      </c>
      <c r="J152" s="1566">
        <f>SUMIFS('Vesting Details'!F:F,'Vesting Details'!A:A,A152,'Vesting Details'!E:E,"&lt;="&amp;$B$7,'Vesting Details'!K:K,"No",'Vesting Details'!J:J,"&gt;"&amp;$B$7) + SUMIFS('Vesting Details'!F:F,'Vesting Details'!A:A,A152,'Vesting Details'!E:E,"&lt;="&amp;$B$7,'Vesting Details'!K:K,"No",'Vesting Details'!J:J,"="&amp;"")</f>
        <v>815</v>
      </c>
      <c r="K152" s="1566">
        <f t="shared" si="4"/>
        <v>1</v>
      </c>
      <c r="L152" s="1565"/>
    </row>
    <row r="153" spans="1:12" ht="20.100000000000001" customHeight="1">
      <c r="A153" s="1565" t="s">
        <v>3160</v>
      </c>
      <c r="B153" s="1567">
        <v>43446</v>
      </c>
      <c r="C153" s="1568" t="s">
        <v>2974</v>
      </c>
      <c r="D153" s="1568" t="s">
        <v>3155</v>
      </c>
      <c r="E153" s="1568"/>
      <c r="F153" s="1567"/>
      <c r="G153" s="1566">
        <v>278551</v>
      </c>
      <c r="H153" s="1566">
        <v>278551</v>
      </c>
      <c r="I153" s="1566">
        <f>SUMIFS('Vesting Details'!F:F,'Vesting Details'!A:A,A153,'Vesting Details'!E:E,"&gt;="&amp;$B$6,'Vesting Details'!E:E,"&lt;="&amp;$B$7,'Vesting Details'!K:K,"No")</f>
        <v>0</v>
      </c>
      <c r="J153" s="1566">
        <f>SUMIFS('Vesting Details'!F:F,'Vesting Details'!A:A,A153,'Vesting Details'!E:E,"&lt;="&amp;$B$7,'Vesting Details'!K:K,"No",'Vesting Details'!J:J,"&gt;"&amp;$B$7) + SUMIFS('Vesting Details'!F:F,'Vesting Details'!A:A,A153,'Vesting Details'!E:E,"&lt;="&amp;$B$7,'Vesting Details'!K:K,"No",'Vesting Details'!J:J,"="&amp;"")</f>
        <v>0</v>
      </c>
      <c r="K153" s="1566">
        <f t="shared" si="4"/>
        <v>0</v>
      </c>
      <c r="L153" s="1565"/>
    </row>
    <row r="154" spans="1:12" ht="20.100000000000001" customHeight="1">
      <c r="A154" s="1565" t="s">
        <v>3159</v>
      </c>
      <c r="B154" s="1567">
        <v>43446</v>
      </c>
      <c r="C154" s="1568" t="s">
        <v>2991</v>
      </c>
      <c r="D154" s="1568" t="s">
        <v>3152</v>
      </c>
      <c r="E154" s="1568"/>
      <c r="F154" s="1567"/>
      <c r="G154" s="1566">
        <v>50522</v>
      </c>
      <c r="H154" s="1566">
        <v>50522</v>
      </c>
      <c r="I154" s="1566">
        <f>SUMIFS('Vesting Details'!F:F,'Vesting Details'!A:A,A154,'Vesting Details'!E:E,"&gt;="&amp;$B$6,'Vesting Details'!E:E,"&lt;="&amp;$B$7,'Vesting Details'!K:K,"No")</f>
        <v>0</v>
      </c>
      <c r="J154" s="1566">
        <f>SUMIFS('Vesting Details'!F:F,'Vesting Details'!A:A,A154,'Vesting Details'!E:E,"&lt;="&amp;$B$7,'Vesting Details'!K:K,"No",'Vesting Details'!J:J,"&gt;"&amp;$B$7) + SUMIFS('Vesting Details'!F:F,'Vesting Details'!A:A,A154,'Vesting Details'!E:E,"&lt;="&amp;$B$7,'Vesting Details'!K:K,"No",'Vesting Details'!J:J,"="&amp;"")</f>
        <v>0</v>
      </c>
      <c r="K154" s="1566">
        <f t="shared" si="4"/>
        <v>0</v>
      </c>
      <c r="L154" s="1565"/>
    </row>
    <row r="155" spans="1:12" ht="20.100000000000001" customHeight="1">
      <c r="A155" s="1565" t="s">
        <v>3158</v>
      </c>
      <c r="B155" s="1567">
        <v>43446</v>
      </c>
      <c r="C155" s="1568" t="s">
        <v>3001</v>
      </c>
      <c r="D155" s="1568" t="s">
        <v>3152</v>
      </c>
      <c r="E155" s="1568"/>
      <c r="F155" s="1567"/>
      <c r="G155" s="1566">
        <v>98073</v>
      </c>
      <c r="H155" s="1566">
        <v>98073</v>
      </c>
      <c r="I155" s="1566">
        <f>SUMIFS('Vesting Details'!F:F,'Vesting Details'!A:A,A155,'Vesting Details'!E:E,"&gt;="&amp;$B$6,'Vesting Details'!E:E,"&lt;="&amp;$B$7,'Vesting Details'!K:K,"No")</f>
        <v>0</v>
      </c>
      <c r="J155" s="1566">
        <f>SUMIFS('Vesting Details'!F:F,'Vesting Details'!A:A,A155,'Vesting Details'!E:E,"&lt;="&amp;$B$7,'Vesting Details'!K:K,"No",'Vesting Details'!J:J,"&gt;"&amp;$B$7) + SUMIFS('Vesting Details'!F:F,'Vesting Details'!A:A,A155,'Vesting Details'!E:E,"&lt;="&amp;$B$7,'Vesting Details'!K:K,"No",'Vesting Details'!J:J,"="&amp;"")</f>
        <v>0</v>
      </c>
      <c r="K155" s="1566">
        <f t="shared" si="4"/>
        <v>0</v>
      </c>
      <c r="L155" s="1565"/>
    </row>
    <row r="156" spans="1:12" ht="20.100000000000001" customHeight="1">
      <c r="A156" s="1565" t="s">
        <v>3157</v>
      </c>
      <c r="B156" s="1567">
        <v>43446</v>
      </c>
      <c r="C156" s="1568" t="s">
        <v>2991</v>
      </c>
      <c r="D156" s="1568" t="s">
        <v>3155</v>
      </c>
      <c r="E156" s="1568"/>
      <c r="F156" s="1567">
        <v>43446</v>
      </c>
      <c r="G156" s="1566">
        <v>94706</v>
      </c>
      <c r="H156" s="1566">
        <v>94706</v>
      </c>
      <c r="I156" s="1566">
        <f>SUMIFS('Vesting Details'!F:F,'Vesting Details'!A:A,A156,'Vesting Details'!E:E,"&gt;="&amp;$B$6,'Vesting Details'!E:E,"&lt;="&amp;$B$7,'Vesting Details'!K:K,"No")</f>
        <v>94706</v>
      </c>
      <c r="J156" s="1566">
        <f>SUMIFS('Vesting Details'!F:F,'Vesting Details'!A:A,A156,'Vesting Details'!E:E,"&lt;="&amp;$B$7,'Vesting Details'!K:K,"No",'Vesting Details'!J:J,"&gt;"&amp;$B$7) + SUMIFS('Vesting Details'!F:F,'Vesting Details'!A:A,A156,'Vesting Details'!E:E,"&lt;="&amp;$B$7,'Vesting Details'!K:K,"No",'Vesting Details'!J:J,"="&amp;"")</f>
        <v>94706</v>
      </c>
      <c r="K156" s="1566">
        <f t="shared" si="4"/>
        <v>1</v>
      </c>
      <c r="L156" s="1565"/>
    </row>
    <row r="157" spans="1:12" ht="20.100000000000001" customHeight="1">
      <c r="A157" s="1565" t="s">
        <v>3156</v>
      </c>
      <c r="B157" s="1567">
        <v>43446</v>
      </c>
      <c r="C157" s="1568" t="s">
        <v>3001</v>
      </c>
      <c r="D157" s="1568" t="s">
        <v>3155</v>
      </c>
      <c r="E157" s="1568"/>
      <c r="F157" s="1567">
        <v>43446</v>
      </c>
      <c r="G157" s="1566">
        <v>183842</v>
      </c>
      <c r="H157" s="1566">
        <v>183842</v>
      </c>
      <c r="I157" s="1566">
        <f>SUMIFS('Vesting Details'!F:F,'Vesting Details'!A:A,A157,'Vesting Details'!E:E,"&gt;="&amp;$B$6,'Vesting Details'!E:E,"&lt;="&amp;$B$7,'Vesting Details'!K:K,"No")</f>
        <v>183842</v>
      </c>
      <c r="J157" s="1566">
        <f>SUMIFS('Vesting Details'!F:F,'Vesting Details'!A:A,A157,'Vesting Details'!E:E,"&lt;="&amp;$B$7,'Vesting Details'!K:K,"No",'Vesting Details'!J:J,"&gt;"&amp;$B$7) + SUMIFS('Vesting Details'!F:F,'Vesting Details'!A:A,A157,'Vesting Details'!E:E,"&lt;="&amp;$B$7,'Vesting Details'!K:K,"No",'Vesting Details'!J:J,"="&amp;"")</f>
        <v>183842</v>
      </c>
      <c r="K157" s="1566">
        <f t="shared" si="4"/>
        <v>1</v>
      </c>
      <c r="L157" s="1565"/>
    </row>
    <row r="158" spans="1:12" ht="20.100000000000001" customHeight="1">
      <c r="A158" s="1565" t="s">
        <v>3154</v>
      </c>
      <c r="B158" s="1567">
        <v>43446</v>
      </c>
      <c r="C158" s="1568" t="s">
        <v>2974</v>
      </c>
      <c r="D158" s="1568" t="s">
        <v>3149</v>
      </c>
      <c r="E158" s="1568"/>
      <c r="F158" s="1567"/>
      <c r="G158" s="1566">
        <v>234533</v>
      </c>
      <c r="H158" s="1566">
        <v>234533</v>
      </c>
      <c r="I158" s="1566">
        <f>SUMIFS('Vesting Details'!F:F,'Vesting Details'!A:A,A158,'Vesting Details'!E:E,"&gt;="&amp;$B$6,'Vesting Details'!E:E,"&lt;="&amp;$B$7,'Vesting Details'!K:K,"No")</f>
        <v>0</v>
      </c>
      <c r="J158" s="1566">
        <f>SUMIFS('Vesting Details'!F:F,'Vesting Details'!A:A,A158,'Vesting Details'!E:E,"&lt;="&amp;$B$7,'Vesting Details'!K:K,"No",'Vesting Details'!J:J,"&gt;"&amp;$B$7) + SUMIFS('Vesting Details'!F:F,'Vesting Details'!A:A,A158,'Vesting Details'!E:E,"&lt;="&amp;$B$7,'Vesting Details'!K:K,"No",'Vesting Details'!J:J,"="&amp;"")</f>
        <v>0</v>
      </c>
      <c r="K158" s="1566">
        <f t="shared" si="4"/>
        <v>0</v>
      </c>
      <c r="L158" s="1565"/>
    </row>
    <row r="159" spans="1:12" ht="20.100000000000001" customHeight="1">
      <c r="A159" s="1565" t="s">
        <v>3153</v>
      </c>
      <c r="B159" s="1567">
        <v>43446</v>
      </c>
      <c r="C159" s="1568" t="s">
        <v>2974</v>
      </c>
      <c r="D159" s="1568" t="s">
        <v>3152</v>
      </c>
      <c r="E159" s="1568"/>
      <c r="F159" s="1567"/>
      <c r="G159" s="1566">
        <v>148597</v>
      </c>
      <c r="H159" s="1566">
        <v>148597</v>
      </c>
      <c r="I159" s="1566">
        <f>SUMIFS('Vesting Details'!F:F,'Vesting Details'!A:A,A159,'Vesting Details'!E:E,"&gt;="&amp;$B$6,'Vesting Details'!E:E,"&lt;="&amp;$B$7,'Vesting Details'!K:K,"No")</f>
        <v>0</v>
      </c>
      <c r="J159" s="1566">
        <f>SUMIFS('Vesting Details'!F:F,'Vesting Details'!A:A,A159,'Vesting Details'!E:E,"&lt;="&amp;$B$7,'Vesting Details'!K:K,"No",'Vesting Details'!J:J,"&gt;"&amp;$B$7) + SUMIFS('Vesting Details'!F:F,'Vesting Details'!A:A,A159,'Vesting Details'!E:E,"&lt;="&amp;$B$7,'Vesting Details'!K:K,"No",'Vesting Details'!J:J,"="&amp;"")</f>
        <v>0</v>
      </c>
      <c r="K159" s="1566">
        <f t="shared" si="4"/>
        <v>0</v>
      </c>
      <c r="L159" s="1565"/>
    </row>
    <row r="160" spans="1:12" ht="20.100000000000001" customHeight="1">
      <c r="A160" s="1565" t="s">
        <v>3151</v>
      </c>
      <c r="B160" s="1567">
        <v>43446</v>
      </c>
      <c r="C160" s="1568" t="s">
        <v>2991</v>
      </c>
      <c r="D160" s="1568" t="s">
        <v>3149</v>
      </c>
      <c r="E160" s="1568"/>
      <c r="F160" s="1567"/>
      <c r="G160" s="1566">
        <v>79740</v>
      </c>
      <c r="H160" s="1566">
        <v>79740</v>
      </c>
      <c r="I160" s="1566">
        <f>SUMIFS('Vesting Details'!F:F,'Vesting Details'!A:A,A160,'Vesting Details'!E:E,"&gt;="&amp;$B$6,'Vesting Details'!E:E,"&lt;="&amp;$B$7,'Vesting Details'!K:K,"No")</f>
        <v>0</v>
      </c>
      <c r="J160" s="1566">
        <f>SUMIFS('Vesting Details'!F:F,'Vesting Details'!A:A,A160,'Vesting Details'!E:E,"&lt;="&amp;$B$7,'Vesting Details'!K:K,"No",'Vesting Details'!J:J,"&gt;"&amp;$B$7) + SUMIFS('Vesting Details'!F:F,'Vesting Details'!A:A,A160,'Vesting Details'!E:E,"&lt;="&amp;$B$7,'Vesting Details'!K:K,"No",'Vesting Details'!J:J,"="&amp;"")</f>
        <v>0</v>
      </c>
      <c r="K160" s="1566">
        <f t="shared" si="4"/>
        <v>0</v>
      </c>
      <c r="L160" s="1565"/>
    </row>
    <row r="161" spans="1:12" ht="20.100000000000001" customHeight="1">
      <c r="A161" s="1565" t="s">
        <v>3150</v>
      </c>
      <c r="B161" s="1567">
        <v>43446</v>
      </c>
      <c r="C161" s="1568" t="s">
        <v>3001</v>
      </c>
      <c r="D161" s="1568" t="s">
        <v>3149</v>
      </c>
      <c r="E161" s="1568"/>
      <c r="F161" s="1567"/>
      <c r="G161" s="1566">
        <v>154791</v>
      </c>
      <c r="H161" s="1566">
        <v>154791</v>
      </c>
      <c r="I161" s="1566">
        <f>SUMIFS('Vesting Details'!F:F,'Vesting Details'!A:A,A161,'Vesting Details'!E:E,"&gt;="&amp;$B$6,'Vesting Details'!E:E,"&lt;="&amp;$B$7,'Vesting Details'!K:K,"No")</f>
        <v>0</v>
      </c>
      <c r="J161" s="1566">
        <f>SUMIFS('Vesting Details'!F:F,'Vesting Details'!A:A,A161,'Vesting Details'!E:E,"&lt;="&amp;$B$7,'Vesting Details'!K:K,"No",'Vesting Details'!J:J,"&gt;"&amp;$B$7) + SUMIFS('Vesting Details'!F:F,'Vesting Details'!A:A,A161,'Vesting Details'!E:E,"&lt;="&amp;$B$7,'Vesting Details'!K:K,"No",'Vesting Details'!J:J,"="&amp;"")</f>
        <v>0</v>
      </c>
      <c r="K161" s="1566">
        <f t="shared" si="4"/>
        <v>0</v>
      </c>
      <c r="L161" s="1565"/>
    </row>
    <row r="162" spans="1:12" ht="20.100000000000001" customHeight="1">
      <c r="A162" s="1565" t="s">
        <v>3148</v>
      </c>
      <c r="B162" s="1567">
        <v>43447</v>
      </c>
      <c r="C162" s="1568" t="s">
        <v>2961</v>
      </c>
      <c r="D162" s="1568" t="s">
        <v>236</v>
      </c>
      <c r="E162" s="1568"/>
      <c r="F162" s="1567">
        <v>43447</v>
      </c>
      <c r="G162" s="1566">
        <v>1629</v>
      </c>
      <c r="H162" s="1566">
        <v>1629</v>
      </c>
      <c r="I162" s="1566">
        <f>SUMIFS('Vesting Details'!F:F,'Vesting Details'!A:A,A162,'Vesting Details'!E:E,"&gt;="&amp;$B$6,'Vesting Details'!E:E,"&lt;="&amp;$B$7,'Vesting Details'!K:K,"No")</f>
        <v>1629</v>
      </c>
      <c r="J162" s="1566">
        <f>SUMIFS('Vesting Details'!F:F,'Vesting Details'!A:A,A162,'Vesting Details'!E:E,"&lt;="&amp;$B$7,'Vesting Details'!K:K,"No",'Vesting Details'!J:J,"&gt;"&amp;$B$7) + SUMIFS('Vesting Details'!F:F,'Vesting Details'!A:A,A162,'Vesting Details'!E:E,"&lt;="&amp;$B$7,'Vesting Details'!K:K,"No",'Vesting Details'!J:J,"="&amp;"")</f>
        <v>1629</v>
      </c>
      <c r="K162" s="1566">
        <f t="shared" si="4"/>
        <v>1</v>
      </c>
      <c r="L162" s="1565"/>
    </row>
    <row r="163" spans="1:12" ht="20.100000000000001" customHeight="1">
      <c r="A163" s="1565" t="s">
        <v>3147</v>
      </c>
      <c r="B163" s="1567">
        <v>43447</v>
      </c>
      <c r="C163" s="1568" t="s">
        <v>2961</v>
      </c>
      <c r="D163" s="1568" t="s">
        <v>236</v>
      </c>
      <c r="E163" s="1568"/>
      <c r="F163" s="1567">
        <v>43447</v>
      </c>
      <c r="G163" s="1566">
        <v>8992</v>
      </c>
      <c r="H163" s="1566">
        <v>8992</v>
      </c>
      <c r="I163" s="1566">
        <f>SUMIFS('Vesting Details'!F:F,'Vesting Details'!A:A,A163,'Vesting Details'!E:E,"&gt;="&amp;$B$6,'Vesting Details'!E:E,"&lt;="&amp;$B$7,'Vesting Details'!K:K,"No")</f>
        <v>8992</v>
      </c>
      <c r="J163" s="1566">
        <f>SUMIFS('Vesting Details'!F:F,'Vesting Details'!A:A,A163,'Vesting Details'!E:E,"&lt;="&amp;$B$7,'Vesting Details'!K:K,"No",'Vesting Details'!J:J,"&gt;"&amp;$B$7) + SUMIFS('Vesting Details'!F:F,'Vesting Details'!A:A,A163,'Vesting Details'!E:E,"&lt;="&amp;$B$7,'Vesting Details'!K:K,"No",'Vesting Details'!J:J,"="&amp;"")</f>
        <v>8992</v>
      </c>
      <c r="K163" s="1566">
        <f t="shared" si="4"/>
        <v>1</v>
      </c>
      <c r="L163" s="1565"/>
    </row>
    <row r="164" spans="1:12" ht="20.100000000000001" customHeight="1">
      <c r="A164" s="1565" t="s">
        <v>3146</v>
      </c>
      <c r="B164" s="1567">
        <v>43449</v>
      </c>
      <c r="C164" s="1568" t="s">
        <v>2964</v>
      </c>
      <c r="D164" s="1568" t="s">
        <v>236</v>
      </c>
      <c r="E164" s="1568"/>
      <c r="F164" s="1567">
        <v>43449</v>
      </c>
      <c r="G164" s="1566">
        <v>84</v>
      </c>
      <c r="H164" s="1566">
        <v>84</v>
      </c>
      <c r="I164" s="1566">
        <f>SUMIFS('Vesting Details'!F:F,'Vesting Details'!A:A,A164,'Vesting Details'!E:E,"&gt;="&amp;$B$6,'Vesting Details'!E:E,"&lt;="&amp;$B$7,'Vesting Details'!K:K,"No")</f>
        <v>84</v>
      </c>
      <c r="J164" s="1566">
        <f>SUMIFS('Vesting Details'!F:F,'Vesting Details'!A:A,A164,'Vesting Details'!E:E,"&lt;="&amp;$B$7,'Vesting Details'!K:K,"No",'Vesting Details'!J:J,"&gt;"&amp;$B$7) + SUMIFS('Vesting Details'!F:F,'Vesting Details'!A:A,A164,'Vesting Details'!E:E,"&lt;="&amp;$B$7,'Vesting Details'!K:K,"No",'Vesting Details'!J:J,"="&amp;"")</f>
        <v>84</v>
      </c>
      <c r="K164" s="1566">
        <f t="shared" si="4"/>
        <v>1</v>
      </c>
      <c r="L164" s="1565"/>
    </row>
    <row r="165" spans="1:12" ht="20.100000000000001" customHeight="1">
      <c r="A165" s="1565" t="s">
        <v>3145</v>
      </c>
      <c r="B165" s="1567">
        <v>43466</v>
      </c>
      <c r="C165" s="1568" t="s">
        <v>2999</v>
      </c>
      <c r="D165" s="1568" t="s">
        <v>236</v>
      </c>
      <c r="E165" s="1568"/>
      <c r="F165" s="1567">
        <v>43466</v>
      </c>
      <c r="G165" s="1566">
        <v>814</v>
      </c>
      <c r="H165" s="1566">
        <v>814</v>
      </c>
      <c r="I165" s="1566">
        <f>SUMIFS('Vesting Details'!F:F,'Vesting Details'!A:A,A165,'Vesting Details'!E:E,"&gt;="&amp;$B$6,'Vesting Details'!E:E,"&lt;="&amp;$B$7,'Vesting Details'!K:K,"No")</f>
        <v>814</v>
      </c>
      <c r="J165" s="1566">
        <f>SUMIFS('Vesting Details'!F:F,'Vesting Details'!A:A,A165,'Vesting Details'!E:E,"&lt;="&amp;$B$7,'Vesting Details'!K:K,"No",'Vesting Details'!J:J,"&gt;"&amp;$B$7) + SUMIFS('Vesting Details'!F:F,'Vesting Details'!A:A,A165,'Vesting Details'!E:E,"&lt;="&amp;$B$7,'Vesting Details'!K:K,"No",'Vesting Details'!J:J,"="&amp;"")</f>
        <v>814</v>
      </c>
      <c r="K165" s="1566">
        <f t="shared" si="4"/>
        <v>1</v>
      </c>
      <c r="L165" s="1565"/>
    </row>
    <row r="166" spans="1:12" ht="20.100000000000001" customHeight="1">
      <c r="A166" s="1565" t="s">
        <v>3144</v>
      </c>
      <c r="B166" s="1567">
        <v>43480</v>
      </c>
      <c r="C166" s="1568" t="s">
        <v>2964</v>
      </c>
      <c r="D166" s="1568" t="s">
        <v>236</v>
      </c>
      <c r="E166" s="1568"/>
      <c r="F166" s="1567">
        <v>43480</v>
      </c>
      <c r="G166" s="1566">
        <v>83</v>
      </c>
      <c r="H166" s="1566">
        <v>83</v>
      </c>
      <c r="I166" s="1566">
        <f>SUMIFS('Vesting Details'!F:F,'Vesting Details'!A:A,A166,'Vesting Details'!E:E,"&gt;="&amp;$B$6,'Vesting Details'!E:E,"&lt;="&amp;$B$7,'Vesting Details'!K:K,"No")</f>
        <v>83</v>
      </c>
      <c r="J166" s="1566">
        <f>SUMIFS('Vesting Details'!F:F,'Vesting Details'!A:A,A166,'Vesting Details'!E:E,"&lt;="&amp;$B$7,'Vesting Details'!K:K,"No",'Vesting Details'!J:J,"&gt;"&amp;$B$7) + SUMIFS('Vesting Details'!F:F,'Vesting Details'!A:A,A166,'Vesting Details'!E:E,"&lt;="&amp;$B$7,'Vesting Details'!K:K,"No",'Vesting Details'!J:J,"="&amp;"")</f>
        <v>83</v>
      </c>
      <c r="K166" s="1566">
        <f t="shared" si="4"/>
        <v>1</v>
      </c>
      <c r="L166" s="1565"/>
    </row>
    <row r="167" spans="1:12" ht="20.100000000000001" customHeight="1">
      <c r="A167" s="1565" t="s">
        <v>3143</v>
      </c>
      <c r="B167" s="1567">
        <v>43497</v>
      </c>
      <c r="C167" s="1568" t="s">
        <v>2999</v>
      </c>
      <c r="D167" s="1568" t="s">
        <v>236</v>
      </c>
      <c r="E167" s="1568"/>
      <c r="F167" s="1567">
        <v>43497</v>
      </c>
      <c r="G167" s="1566">
        <v>814</v>
      </c>
      <c r="H167" s="1566">
        <v>814</v>
      </c>
      <c r="I167" s="1566">
        <f>SUMIFS('Vesting Details'!F:F,'Vesting Details'!A:A,A167,'Vesting Details'!E:E,"&gt;="&amp;$B$6,'Vesting Details'!E:E,"&lt;="&amp;$B$7,'Vesting Details'!K:K,"No")</f>
        <v>814</v>
      </c>
      <c r="J167" s="1566">
        <f>SUMIFS('Vesting Details'!F:F,'Vesting Details'!A:A,A167,'Vesting Details'!E:E,"&lt;="&amp;$B$7,'Vesting Details'!K:K,"No",'Vesting Details'!J:J,"&gt;"&amp;$B$7) + SUMIFS('Vesting Details'!F:F,'Vesting Details'!A:A,A167,'Vesting Details'!E:E,"&lt;="&amp;$B$7,'Vesting Details'!K:K,"No",'Vesting Details'!J:J,"="&amp;"")</f>
        <v>814</v>
      </c>
      <c r="K167" s="1566">
        <f t="shared" si="4"/>
        <v>1</v>
      </c>
      <c r="L167" s="1565"/>
    </row>
    <row r="170" spans="1:12">
      <c r="I170" s="1549" t="s">
        <v>236</v>
      </c>
      <c r="J170" s="1566">
        <f>SUMIF(D9:D167,"Common",H9:H167)</f>
        <v>3618273</v>
      </c>
    </row>
    <row r="171" spans="1:12">
      <c r="I171" s="1549" t="s">
        <v>3142</v>
      </c>
      <c r="J171" s="1549">
        <f>SUMIF(D9:D167,$D$103,H9:H167)</f>
        <v>5097566</v>
      </c>
    </row>
    <row r="172" spans="1:12">
      <c r="I172" s="1549" t="s">
        <v>3141</v>
      </c>
      <c r="J172" s="1549">
        <f>SUMIF(D10:D168,$D$103,H10:H168)</f>
        <v>5097566</v>
      </c>
    </row>
    <row r="173" spans="1:12">
      <c r="I173" s="1549" t="s">
        <v>3140</v>
      </c>
    </row>
  </sheetData>
  <pageMargins left="0.75" right="0.75" top="1" bottom="1" header="0.5" footer="0.5"/>
  <pageSetup orientation="landscape"/>
  <drawing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89"/>
  <dimension ref="A1:L2097"/>
  <sheetViews>
    <sheetView showGridLines="0" zoomScale="70" zoomScaleNormal="70" workbookViewId="0">
      <pane ySplit="4" topLeftCell="A2079" activePane="bottomLeft" state="frozen"/>
      <selection activeCell="A2071" activeCellId="4" sqref="A1 B2075 A2075:B2075 B2074 A2071:B2073"/>
      <selection pane="bottomLeft" activeCell="A2097" sqref="A2097"/>
    </sheetView>
  </sheetViews>
  <sheetFormatPr defaultRowHeight="15"/>
  <cols>
    <col min="1" max="1" width="28" style="1549" customWidth="1"/>
    <col min="2" max="2" width="16.33203125" style="1549" customWidth="1"/>
    <col min="3" max="3" width="29.1640625" style="1549" customWidth="1"/>
    <col min="4" max="4" width="35" style="1549" customWidth="1"/>
    <col min="5" max="5" width="16.33203125" style="1549" customWidth="1"/>
    <col min="6" max="7" width="19.83203125" style="1549" customWidth="1"/>
    <col min="8" max="9" width="16.33203125" style="1549" customWidth="1"/>
    <col min="10" max="12" width="29.1640625" style="1549" customWidth="1"/>
    <col min="13" max="16384" width="9.33203125" style="1549"/>
  </cols>
  <sheetData>
    <row r="1" spans="1:12" ht="20.100000000000001" customHeight="1">
      <c r="A1" s="1564" t="s">
        <v>3320</v>
      </c>
      <c r="B1" s="1563"/>
      <c r="C1" s="1563"/>
      <c r="D1" s="1563"/>
      <c r="E1" s="1563"/>
      <c r="F1" s="1563"/>
      <c r="G1" s="1563"/>
      <c r="H1" s="1563"/>
      <c r="I1" s="1563"/>
      <c r="J1" s="1563"/>
      <c r="K1" s="1563"/>
      <c r="L1" s="1563"/>
    </row>
    <row r="2" spans="1:12" ht="20.100000000000001" customHeight="1">
      <c r="A2" s="1563" t="s">
        <v>3319</v>
      </c>
      <c r="B2" s="1563"/>
      <c r="C2" s="1563"/>
      <c r="D2" s="1563"/>
      <c r="E2" s="1563"/>
      <c r="F2" s="1563"/>
      <c r="G2" s="1563"/>
      <c r="H2" s="1563"/>
      <c r="I2" s="1563"/>
      <c r="J2" s="1563"/>
      <c r="K2" s="1563"/>
      <c r="L2" s="1563"/>
    </row>
    <row r="3" spans="1:12" ht="15.75">
      <c r="A3" s="1563"/>
      <c r="B3" s="1563"/>
      <c r="C3" s="1563"/>
      <c r="D3" s="1563"/>
      <c r="E3" s="1563"/>
      <c r="F3" s="1563"/>
      <c r="G3" s="1563"/>
      <c r="H3" s="1563"/>
      <c r="I3" s="1563"/>
      <c r="J3" s="1563"/>
      <c r="K3" s="1563"/>
      <c r="L3" s="1563"/>
    </row>
    <row r="4" spans="1:12" ht="32.25" thickBot="1">
      <c r="A4" s="1570" t="s">
        <v>1743</v>
      </c>
      <c r="B4" s="1569" t="s">
        <v>3318</v>
      </c>
      <c r="C4" s="1570" t="s">
        <v>518</v>
      </c>
      <c r="D4" s="1570" t="s">
        <v>3131</v>
      </c>
      <c r="E4" s="1569" t="s">
        <v>3317</v>
      </c>
      <c r="F4" s="1561" t="s">
        <v>3316</v>
      </c>
      <c r="G4" s="1561" t="s">
        <v>3315</v>
      </c>
      <c r="H4" s="1569" t="s">
        <v>3314</v>
      </c>
      <c r="I4" s="1569" t="s">
        <v>3313</v>
      </c>
      <c r="J4" s="1569" t="s">
        <v>3312</v>
      </c>
      <c r="K4" s="1570" t="s">
        <v>3311</v>
      </c>
      <c r="L4" s="1562" t="s">
        <v>3116</v>
      </c>
    </row>
    <row r="5" spans="1:12" ht="20.100000000000001" customHeight="1">
      <c r="A5" s="1568" t="s">
        <v>3304</v>
      </c>
      <c r="B5" s="1567">
        <v>42502</v>
      </c>
      <c r="C5" s="1568" t="s">
        <v>3310</v>
      </c>
      <c r="D5" s="1568" t="s">
        <v>2969</v>
      </c>
      <c r="E5" s="1567">
        <v>42522</v>
      </c>
      <c r="F5" s="1566">
        <v>23963</v>
      </c>
      <c r="G5" s="1566">
        <v>0</v>
      </c>
      <c r="H5" s="1567"/>
      <c r="I5" s="1567" t="s">
        <v>3309</v>
      </c>
      <c r="J5" s="1567"/>
      <c r="K5" s="1568" t="str">
        <f t="shared" ref="K5:K68" si="0">IF(I5="N/A","No",IF(E5&lt;=I5,"No","Yes"))</f>
        <v>No</v>
      </c>
      <c r="L5" s="1565"/>
    </row>
    <row r="6" spans="1:12" ht="20.100000000000001" customHeight="1">
      <c r="A6" s="1568" t="s">
        <v>3304</v>
      </c>
      <c r="B6" s="1567">
        <v>42502</v>
      </c>
      <c r="C6" s="1568" t="s">
        <v>3310</v>
      </c>
      <c r="D6" s="1568" t="s">
        <v>2969</v>
      </c>
      <c r="E6" s="1567">
        <v>42552</v>
      </c>
      <c r="F6" s="1566">
        <v>23964</v>
      </c>
      <c r="G6" s="1566">
        <v>0</v>
      </c>
      <c r="H6" s="1567"/>
      <c r="I6" s="1567" t="s">
        <v>3309</v>
      </c>
      <c r="J6" s="1567"/>
      <c r="K6" s="1568" t="str">
        <f t="shared" si="0"/>
        <v>No</v>
      </c>
      <c r="L6" s="1565"/>
    </row>
    <row r="7" spans="1:12" ht="20.100000000000001" customHeight="1">
      <c r="A7" s="1568" t="s">
        <v>3304</v>
      </c>
      <c r="B7" s="1567">
        <v>42502</v>
      </c>
      <c r="C7" s="1568" t="s">
        <v>3310</v>
      </c>
      <c r="D7" s="1568" t="s">
        <v>2969</v>
      </c>
      <c r="E7" s="1567">
        <v>42583</v>
      </c>
      <c r="F7" s="1566">
        <v>23964</v>
      </c>
      <c r="G7" s="1566">
        <v>0</v>
      </c>
      <c r="H7" s="1567"/>
      <c r="I7" s="1567" t="s">
        <v>3309</v>
      </c>
      <c r="J7" s="1567"/>
      <c r="K7" s="1568" t="str">
        <f t="shared" si="0"/>
        <v>No</v>
      </c>
      <c r="L7" s="1565"/>
    </row>
    <row r="8" spans="1:12" ht="20.100000000000001" customHeight="1">
      <c r="A8" s="1568" t="s">
        <v>3304</v>
      </c>
      <c r="B8" s="1567">
        <v>42502</v>
      </c>
      <c r="C8" s="1568" t="s">
        <v>3310</v>
      </c>
      <c r="D8" s="1568" t="s">
        <v>2969</v>
      </c>
      <c r="E8" s="1567">
        <v>42614</v>
      </c>
      <c r="F8" s="1566">
        <v>23964</v>
      </c>
      <c r="G8" s="1566">
        <v>0</v>
      </c>
      <c r="H8" s="1567"/>
      <c r="I8" s="1567" t="s">
        <v>3309</v>
      </c>
      <c r="J8" s="1567"/>
      <c r="K8" s="1568" t="str">
        <f t="shared" si="0"/>
        <v>No</v>
      </c>
      <c r="L8" s="1565"/>
    </row>
    <row r="9" spans="1:12" ht="20.100000000000001" customHeight="1">
      <c r="A9" s="1568" t="s">
        <v>3304</v>
      </c>
      <c r="B9" s="1567">
        <v>42502</v>
      </c>
      <c r="C9" s="1568" t="s">
        <v>3310</v>
      </c>
      <c r="D9" s="1568" t="s">
        <v>2969</v>
      </c>
      <c r="E9" s="1567">
        <v>42644</v>
      </c>
      <c r="F9" s="1566">
        <v>23964</v>
      </c>
      <c r="G9" s="1566">
        <v>0</v>
      </c>
      <c r="H9" s="1567"/>
      <c r="I9" s="1567" t="s">
        <v>3309</v>
      </c>
      <c r="J9" s="1567"/>
      <c r="K9" s="1568" t="str">
        <f t="shared" si="0"/>
        <v>No</v>
      </c>
      <c r="L9" s="1565"/>
    </row>
    <row r="10" spans="1:12" ht="20.100000000000001" customHeight="1">
      <c r="A10" s="1568" t="s">
        <v>3304</v>
      </c>
      <c r="B10" s="1567">
        <v>42502</v>
      </c>
      <c r="C10" s="1568" t="s">
        <v>3310</v>
      </c>
      <c r="D10" s="1568" t="s">
        <v>2969</v>
      </c>
      <c r="E10" s="1567">
        <v>42675</v>
      </c>
      <c r="F10" s="1566">
        <v>23964</v>
      </c>
      <c r="G10" s="1566">
        <v>0</v>
      </c>
      <c r="H10" s="1567"/>
      <c r="I10" s="1567" t="s">
        <v>3309</v>
      </c>
      <c r="J10" s="1567"/>
      <c r="K10" s="1568" t="str">
        <f t="shared" si="0"/>
        <v>No</v>
      </c>
      <c r="L10" s="1565"/>
    </row>
    <row r="11" spans="1:12" ht="20.100000000000001" customHeight="1">
      <c r="A11" s="1568" t="s">
        <v>3304</v>
      </c>
      <c r="B11" s="1567">
        <v>42502</v>
      </c>
      <c r="C11" s="1568" t="s">
        <v>3310</v>
      </c>
      <c r="D11" s="1568" t="s">
        <v>2969</v>
      </c>
      <c r="E11" s="1567">
        <v>42705</v>
      </c>
      <c r="F11" s="1566">
        <v>23963</v>
      </c>
      <c r="G11" s="1566">
        <v>0</v>
      </c>
      <c r="H11" s="1567"/>
      <c r="I11" s="1567" t="s">
        <v>3309</v>
      </c>
      <c r="J11" s="1567"/>
      <c r="K11" s="1568" t="str">
        <f t="shared" si="0"/>
        <v>No</v>
      </c>
      <c r="L11" s="1565"/>
    </row>
    <row r="12" spans="1:12" ht="20.100000000000001" customHeight="1">
      <c r="A12" s="1568" t="s">
        <v>3304</v>
      </c>
      <c r="B12" s="1567">
        <v>42502</v>
      </c>
      <c r="C12" s="1568" t="s">
        <v>3310</v>
      </c>
      <c r="D12" s="1568" t="s">
        <v>2969</v>
      </c>
      <c r="E12" s="1567">
        <v>42736</v>
      </c>
      <c r="F12" s="1566">
        <v>23964</v>
      </c>
      <c r="G12" s="1566">
        <v>0</v>
      </c>
      <c r="H12" s="1567"/>
      <c r="I12" s="1567" t="s">
        <v>3309</v>
      </c>
      <c r="J12" s="1567"/>
      <c r="K12" s="1568" t="str">
        <f t="shared" si="0"/>
        <v>No</v>
      </c>
      <c r="L12" s="1565"/>
    </row>
    <row r="13" spans="1:12" ht="20.100000000000001" customHeight="1">
      <c r="A13" s="1568" t="s">
        <v>3304</v>
      </c>
      <c r="B13" s="1567">
        <v>42502</v>
      </c>
      <c r="C13" s="1568" t="s">
        <v>3310</v>
      </c>
      <c r="D13" s="1568" t="s">
        <v>2969</v>
      </c>
      <c r="E13" s="1567">
        <v>42767</v>
      </c>
      <c r="F13" s="1566">
        <v>23964</v>
      </c>
      <c r="G13" s="1566">
        <v>0</v>
      </c>
      <c r="H13" s="1567"/>
      <c r="I13" s="1567" t="s">
        <v>3309</v>
      </c>
      <c r="J13" s="1567"/>
      <c r="K13" s="1568" t="str">
        <f t="shared" si="0"/>
        <v>No</v>
      </c>
      <c r="L13" s="1565"/>
    </row>
    <row r="14" spans="1:12" ht="20.100000000000001" customHeight="1">
      <c r="A14" s="1568" t="s">
        <v>3304</v>
      </c>
      <c r="B14" s="1567">
        <v>42502</v>
      </c>
      <c r="C14" s="1568" t="s">
        <v>3310</v>
      </c>
      <c r="D14" s="1568" t="s">
        <v>2969</v>
      </c>
      <c r="E14" s="1567">
        <v>42795</v>
      </c>
      <c r="F14" s="1566">
        <v>23964</v>
      </c>
      <c r="G14" s="1566">
        <v>0</v>
      </c>
      <c r="H14" s="1567"/>
      <c r="I14" s="1567" t="s">
        <v>3309</v>
      </c>
      <c r="J14" s="1567"/>
      <c r="K14" s="1568" t="str">
        <f t="shared" si="0"/>
        <v>No</v>
      </c>
      <c r="L14" s="1565"/>
    </row>
    <row r="15" spans="1:12" ht="20.100000000000001" customHeight="1">
      <c r="A15" s="1568" t="s">
        <v>3304</v>
      </c>
      <c r="B15" s="1567">
        <v>42502</v>
      </c>
      <c r="C15" s="1568" t="s">
        <v>3310</v>
      </c>
      <c r="D15" s="1568" t="s">
        <v>2969</v>
      </c>
      <c r="E15" s="1567">
        <v>42826</v>
      </c>
      <c r="F15" s="1566">
        <v>23964</v>
      </c>
      <c r="G15" s="1566">
        <v>0</v>
      </c>
      <c r="H15" s="1567"/>
      <c r="I15" s="1567" t="s">
        <v>3309</v>
      </c>
      <c r="J15" s="1567"/>
      <c r="K15" s="1568" t="str">
        <f t="shared" si="0"/>
        <v>No</v>
      </c>
      <c r="L15" s="1565"/>
    </row>
    <row r="16" spans="1:12" ht="20.100000000000001" customHeight="1">
      <c r="A16" s="1568" t="s">
        <v>3304</v>
      </c>
      <c r="B16" s="1567">
        <v>42502</v>
      </c>
      <c r="C16" s="1568" t="s">
        <v>3310</v>
      </c>
      <c r="D16" s="1568" t="s">
        <v>2969</v>
      </c>
      <c r="E16" s="1567">
        <v>42856</v>
      </c>
      <c r="F16" s="1566">
        <v>23964</v>
      </c>
      <c r="G16" s="1566">
        <v>0</v>
      </c>
      <c r="H16" s="1567"/>
      <c r="I16" s="1567" t="s">
        <v>3309</v>
      </c>
      <c r="J16" s="1567"/>
      <c r="K16" s="1568" t="str">
        <f t="shared" si="0"/>
        <v>No</v>
      </c>
      <c r="L16" s="1565"/>
    </row>
    <row r="17" spans="1:12" ht="20.100000000000001" customHeight="1">
      <c r="A17" s="1568" t="s">
        <v>3304</v>
      </c>
      <c r="B17" s="1567">
        <v>42502</v>
      </c>
      <c r="C17" s="1568" t="s">
        <v>3310</v>
      </c>
      <c r="D17" s="1568" t="s">
        <v>2969</v>
      </c>
      <c r="E17" s="1567">
        <v>42887</v>
      </c>
      <c r="F17" s="1566">
        <v>23963</v>
      </c>
      <c r="G17" s="1566">
        <v>0</v>
      </c>
      <c r="H17" s="1567"/>
      <c r="I17" s="1567" t="s">
        <v>3309</v>
      </c>
      <c r="J17" s="1567"/>
      <c r="K17" s="1568" t="str">
        <f t="shared" si="0"/>
        <v>No</v>
      </c>
      <c r="L17" s="1565"/>
    </row>
    <row r="18" spans="1:12" ht="20.100000000000001" customHeight="1">
      <c r="A18" s="1568" t="s">
        <v>3304</v>
      </c>
      <c r="B18" s="1567">
        <v>42502</v>
      </c>
      <c r="C18" s="1568" t="s">
        <v>3310</v>
      </c>
      <c r="D18" s="1568" t="s">
        <v>2969</v>
      </c>
      <c r="E18" s="1567">
        <v>42917</v>
      </c>
      <c r="F18" s="1566">
        <v>23964</v>
      </c>
      <c r="G18" s="1566">
        <v>0</v>
      </c>
      <c r="H18" s="1567"/>
      <c r="I18" s="1567" t="s">
        <v>3309</v>
      </c>
      <c r="J18" s="1567"/>
      <c r="K18" s="1568" t="str">
        <f t="shared" si="0"/>
        <v>No</v>
      </c>
      <c r="L18" s="1565"/>
    </row>
    <row r="19" spans="1:12" ht="20.100000000000001" customHeight="1">
      <c r="A19" s="1568" t="s">
        <v>3304</v>
      </c>
      <c r="B19" s="1567">
        <v>42502</v>
      </c>
      <c r="C19" s="1568" t="s">
        <v>3310</v>
      </c>
      <c r="D19" s="1568" t="s">
        <v>2969</v>
      </c>
      <c r="E19" s="1567">
        <v>42948</v>
      </c>
      <c r="F19" s="1566">
        <v>23964</v>
      </c>
      <c r="G19" s="1566">
        <v>0</v>
      </c>
      <c r="H19" s="1567"/>
      <c r="I19" s="1567" t="s">
        <v>3309</v>
      </c>
      <c r="J19" s="1567"/>
      <c r="K19" s="1568" t="str">
        <f t="shared" si="0"/>
        <v>No</v>
      </c>
      <c r="L19" s="1565"/>
    </row>
    <row r="20" spans="1:12" ht="20.100000000000001" customHeight="1">
      <c r="A20" s="1568" t="s">
        <v>3304</v>
      </c>
      <c r="B20" s="1567">
        <v>42502</v>
      </c>
      <c r="C20" s="1568" t="s">
        <v>3310</v>
      </c>
      <c r="D20" s="1568" t="s">
        <v>2969</v>
      </c>
      <c r="E20" s="1567">
        <v>42979</v>
      </c>
      <c r="F20" s="1566">
        <v>23964</v>
      </c>
      <c r="G20" s="1566">
        <v>0</v>
      </c>
      <c r="H20" s="1567"/>
      <c r="I20" s="1567" t="s">
        <v>3309</v>
      </c>
      <c r="J20" s="1567"/>
      <c r="K20" s="1568" t="str">
        <f t="shared" si="0"/>
        <v>No</v>
      </c>
      <c r="L20" s="1565"/>
    </row>
    <row r="21" spans="1:12" ht="20.100000000000001" customHeight="1">
      <c r="A21" s="1568" t="s">
        <v>3304</v>
      </c>
      <c r="B21" s="1567">
        <v>42502</v>
      </c>
      <c r="C21" s="1568" t="s">
        <v>3310</v>
      </c>
      <c r="D21" s="1568" t="s">
        <v>2969</v>
      </c>
      <c r="E21" s="1567">
        <v>43009</v>
      </c>
      <c r="F21" s="1566">
        <v>23964</v>
      </c>
      <c r="G21" s="1566">
        <v>0</v>
      </c>
      <c r="H21" s="1567"/>
      <c r="I21" s="1567" t="s">
        <v>3309</v>
      </c>
      <c r="J21" s="1567"/>
      <c r="K21" s="1568" t="str">
        <f t="shared" si="0"/>
        <v>No</v>
      </c>
      <c r="L21" s="1565"/>
    </row>
    <row r="22" spans="1:12" ht="20.100000000000001" customHeight="1">
      <c r="A22" s="1568" t="s">
        <v>3304</v>
      </c>
      <c r="B22" s="1567">
        <v>42502</v>
      </c>
      <c r="C22" s="1568" t="s">
        <v>3310</v>
      </c>
      <c r="D22" s="1568" t="s">
        <v>2969</v>
      </c>
      <c r="E22" s="1567">
        <v>43040</v>
      </c>
      <c r="F22" s="1566">
        <v>23964</v>
      </c>
      <c r="G22" s="1566">
        <v>0</v>
      </c>
      <c r="H22" s="1567"/>
      <c r="I22" s="1567" t="s">
        <v>3309</v>
      </c>
      <c r="J22" s="1567"/>
      <c r="K22" s="1568" t="str">
        <f t="shared" si="0"/>
        <v>No</v>
      </c>
      <c r="L22" s="1565"/>
    </row>
    <row r="23" spans="1:12" ht="20.100000000000001" customHeight="1">
      <c r="A23" s="1568" t="s">
        <v>3304</v>
      </c>
      <c r="B23" s="1567">
        <v>42502</v>
      </c>
      <c r="C23" s="1568" t="s">
        <v>3310</v>
      </c>
      <c r="D23" s="1568" t="s">
        <v>2969</v>
      </c>
      <c r="E23" s="1567">
        <v>43070</v>
      </c>
      <c r="F23" s="1566">
        <v>23963</v>
      </c>
      <c r="G23" s="1566">
        <v>0</v>
      </c>
      <c r="H23" s="1567"/>
      <c r="I23" s="1567" t="s">
        <v>3309</v>
      </c>
      <c r="J23" s="1567"/>
      <c r="K23" s="1568" t="str">
        <f t="shared" si="0"/>
        <v>No</v>
      </c>
      <c r="L23" s="1565"/>
    </row>
    <row r="24" spans="1:12" ht="20.100000000000001" customHeight="1">
      <c r="A24" s="1568" t="s">
        <v>3304</v>
      </c>
      <c r="B24" s="1567">
        <v>42502</v>
      </c>
      <c r="C24" s="1568" t="s">
        <v>3310</v>
      </c>
      <c r="D24" s="1568" t="s">
        <v>2969</v>
      </c>
      <c r="E24" s="1567">
        <v>43101</v>
      </c>
      <c r="F24" s="1566">
        <v>23964</v>
      </c>
      <c r="G24" s="1566">
        <v>0</v>
      </c>
      <c r="H24" s="1567"/>
      <c r="I24" s="1567" t="s">
        <v>3309</v>
      </c>
      <c r="J24" s="1567"/>
      <c r="K24" s="1568" t="str">
        <f t="shared" si="0"/>
        <v>No</v>
      </c>
      <c r="L24" s="1565"/>
    </row>
    <row r="25" spans="1:12" ht="20.100000000000001" customHeight="1">
      <c r="A25" s="1568" t="s">
        <v>3304</v>
      </c>
      <c r="B25" s="1567">
        <v>42502</v>
      </c>
      <c r="C25" s="1568" t="s">
        <v>3310</v>
      </c>
      <c r="D25" s="1568" t="s">
        <v>2969</v>
      </c>
      <c r="E25" s="1567">
        <v>43132</v>
      </c>
      <c r="F25" s="1566">
        <v>23964</v>
      </c>
      <c r="G25" s="1566">
        <v>0</v>
      </c>
      <c r="H25" s="1567"/>
      <c r="I25" s="1567" t="s">
        <v>3309</v>
      </c>
      <c r="J25" s="1567"/>
      <c r="K25" s="1568" t="str">
        <f t="shared" si="0"/>
        <v>No</v>
      </c>
      <c r="L25" s="1565"/>
    </row>
    <row r="26" spans="1:12" ht="20.100000000000001" customHeight="1">
      <c r="A26" s="1568" t="s">
        <v>3304</v>
      </c>
      <c r="B26" s="1567">
        <v>42502</v>
      </c>
      <c r="C26" s="1568" t="s">
        <v>3310</v>
      </c>
      <c r="D26" s="1568" t="s">
        <v>2969</v>
      </c>
      <c r="E26" s="1567">
        <v>43160</v>
      </c>
      <c r="F26" s="1566">
        <v>23964</v>
      </c>
      <c r="G26" s="1566">
        <v>0</v>
      </c>
      <c r="H26" s="1567"/>
      <c r="I26" s="1567" t="s">
        <v>3309</v>
      </c>
      <c r="J26" s="1567"/>
      <c r="K26" s="1568" t="str">
        <f t="shared" si="0"/>
        <v>No</v>
      </c>
      <c r="L26" s="1565"/>
    </row>
    <row r="27" spans="1:12" ht="20.100000000000001" customHeight="1">
      <c r="A27" s="1568" t="s">
        <v>3304</v>
      </c>
      <c r="B27" s="1567">
        <v>42502</v>
      </c>
      <c r="C27" s="1568" t="s">
        <v>3310</v>
      </c>
      <c r="D27" s="1568" t="s">
        <v>2969</v>
      </c>
      <c r="E27" s="1567">
        <v>43191</v>
      </c>
      <c r="F27" s="1566">
        <v>23964</v>
      </c>
      <c r="G27" s="1566">
        <v>0</v>
      </c>
      <c r="H27" s="1567"/>
      <c r="I27" s="1567" t="s">
        <v>3309</v>
      </c>
      <c r="J27" s="1567"/>
      <c r="K27" s="1568" t="str">
        <f t="shared" si="0"/>
        <v>No</v>
      </c>
      <c r="L27" s="1565"/>
    </row>
    <row r="28" spans="1:12" ht="20.100000000000001" customHeight="1">
      <c r="A28" s="1568" t="s">
        <v>3304</v>
      </c>
      <c r="B28" s="1567">
        <v>42502</v>
      </c>
      <c r="C28" s="1568" t="s">
        <v>3310</v>
      </c>
      <c r="D28" s="1568" t="s">
        <v>2969</v>
      </c>
      <c r="E28" s="1567">
        <v>43221</v>
      </c>
      <c r="F28" s="1566">
        <v>23964</v>
      </c>
      <c r="G28" s="1566">
        <v>0</v>
      </c>
      <c r="H28" s="1567"/>
      <c r="I28" s="1567" t="s">
        <v>3309</v>
      </c>
      <c r="J28" s="1567"/>
      <c r="K28" s="1568" t="str">
        <f t="shared" si="0"/>
        <v>No</v>
      </c>
      <c r="L28" s="1565"/>
    </row>
    <row r="29" spans="1:12" ht="20.100000000000001" customHeight="1">
      <c r="A29" s="1568" t="s">
        <v>3304</v>
      </c>
      <c r="B29" s="1567">
        <v>42502</v>
      </c>
      <c r="C29" s="1568" t="s">
        <v>3310</v>
      </c>
      <c r="D29" s="1568" t="s">
        <v>2969</v>
      </c>
      <c r="E29" s="1567">
        <v>43252</v>
      </c>
      <c r="F29" s="1566">
        <v>23963</v>
      </c>
      <c r="G29" s="1566">
        <v>0</v>
      </c>
      <c r="H29" s="1567"/>
      <c r="I29" s="1567" t="s">
        <v>3309</v>
      </c>
      <c r="J29" s="1567"/>
      <c r="K29" s="1568" t="str">
        <f t="shared" si="0"/>
        <v>No</v>
      </c>
      <c r="L29" s="1565"/>
    </row>
    <row r="30" spans="1:12" ht="20.100000000000001" customHeight="1">
      <c r="A30" s="1568" t="s">
        <v>3304</v>
      </c>
      <c r="B30" s="1567">
        <v>42502</v>
      </c>
      <c r="C30" s="1568" t="s">
        <v>3310</v>
      </c>
      <c r="D30" s="1568" t="s">
        <v>2969</v>
      </c>
      <c r="E30" s="1567">
        <v>43282</v>
      </c>
      <c r="F30" s="1566">
        <v>23964</v>
      </c>
      <c r="G30" s="1566">
        <v>0</v>
      </c>
      <c r="H30" s="1567"/>
      <c r="I30" s="1567" t="s">
        <v>3309</v>
      </c>
      <c r="J30" s="1567"/>
      <c r="K30" s="1568" t="str">
        <f t="shared" si="0"/>
        <v>No</v>
      </c>
      <c r="L30" s="1565"/>
    </row>
    <row r="31" spans="1:12" ht="20.100000000000001" customHeight="1">
      <c r="A31" s="1568" t="s">
        <v>3304</v>
      </c>
      <c r="B31" s="1567">
        <v>42502</v>
      </c>
      <c r="C31" s="1568" t="s">
        <v>3310</v>
      </c>
      <c r="D31" s="1568" t="s">
        <v>2969</v>
      </c>
      <c r="E31" s="1567">
        <v>43313</v>
      </c>
      <c r="F31" s="1566">
        <v>23964</v>
      </c>
      <c r="G31" s="1566">
        <v>0</v>
      </c>
      <c r="H31" s="1567"/>
      <c r="I31" s="1567" t="s">
        <v>3309</v>
      </c>
      <c r="J31" s="1567"/>
      <c r="K31" s="1568" t="str">
        <f t="shared" si="0"/>
        <v>No</v>
      </c>
      <c r="L31" s="1565"/>
    </row>
    <row r="32" spans="1:12" ht="20.100000000000001" customHeight="1">
      <c r="A32" s="1568" t="s">
        <v>3304</v>
      </c>
      <c r="B32" s="1567">
        <v>42502</v>
      </c>
      <c r="C32" s="1568" t="s">
        <v>3310</v>
      </c>
      <c r="D32" s="1568" t="s">
        <v>2969</v>
      </c>
      <c r="E32" s="1567">
        <v>43344</v>
      </c>
      <c r="F32" s="1566">
        <v>23964</v>
      </c>
      <c r="G32" s="1566">
        <v>0</v>
      </c>
      <c r="H32" s="1567"/>
      <c r="I32" s="1567" t="s">
        <v>3309</v>
      </c>
      <c r="J32" s="1567"/>
      <c r="K32" s="1568" t="str">
        <f t="shared" si="0"/>
        <v>No</v>
      </c>
      <c r="L32" s="1565"/>
    </row>
    <row r="33" spans="1:12" ht="20.100000000000001" customHeight="1">
      <c r="A33" s="1568" t="s">
        <v>3304</v>
      </c>
      <c r="B33" s="1567">
        <v>42502</v>
      </c>
      <c r="C33" s="1568" t="s">
        <v>3310</v>
      </c>
      <c r="D33" s="1568" t="s">
        <v>2969</v>
      </c>
      <c r="E33" s="1567">
        <v>43374</v>
      </c>
      <c r="F33" s="1566">
        <v>23964</v>
      </c>
      <c r="G33" s="1566">
        <v>0</v>
      </c>
      <c r="H33" s="1567"/>
      <c r="I33" s="1567" t="s">
        <v>3309</v>
      </c>
      <c r="J33" s="1567"/>
      <c r="K33" s="1568" t="str">
        <f t="shared" si="0"/>
        <v>No</v>
      </c>
      <c r="L33" s="1565"/>
    </row>
    <row r="34" spans="1:12" ht="20.100000000000001" customHeight="1">
      <c r="A34" s="1568" t="s">
        <v>3304</v>
      </c>
      <c r="B34" s="1567">
        <v>42502</v>
      </c>
      <c r="C34" s="1568" t="s">
        <v>3310</v>
      </c>
      <c r="D34" s="1568" t="s">
        <v>2969</v>
      </c>
      <c r="E34" s="1567">
        <v>43405</v>
      </c>
      <c r="F34" s="1566">
        <v>23964</v>
      </c>
      <c r="G34" s="1566">
        <v>0</v>
      </c>
      <c r="H34" s="1567"/>
      <c r="I34" s="1567" t="s">
        <v>3309</v>
      </c>
      <c r="J34" s="1567"/>
      <c r="K34" s="1568" t="str">
        <f t="shared" si="0"/>
        <v>No</v>
      </c>
      <c r="L34" s="1565"/>
    </row>
    <row r="35" spans="1:12" ht="20.100000000000001" customHeight="1">
      <c r="A35" s="1568" t="s">
        <v>3304</v>
      </c>
      <c r="B35" s="1567">
        <v>42502</v>
      </c>
      <c r="C35" s="1568" t="s">
        <v>3310</v>
      </c>
      <c r="D35" s="1568" t="s">
        <v>2969</v>
      </c>
      <c r="E35" s="1567">
        <v>43435</v>
      </c>
      <c r="F35" s="1566">
        <v>23963</v>
      </c>
      <c r="G35" s="1566">
        <v>0</v>
      </c>
      <c r="H35" s="1567"/>
      <c r="I35" s="1567" t="s">
        <v>3309</v>
      </c>
      <c r="J35" s="1567"/>
      <c r="K35" s="1568" t="str">
        <f t="shared" si="0"/>
        <v>No</v>
      </c>
      <c r="L35" s="1565"/>
    </row>
    <row r="36" spans="1:12" ht="20.100000000000001" customHeight="1">
      <c r="A36" s="1568" t="s">
        <v>3304</v>
      </c>
      <c r="B36" s="1567">
        <v>42502</v>
      </c>
      <c r="C36" s="1568" t="s">
        <v>3310</v>
      </c>
      <c r="D36" s="1568" t="s">
        <v>2969</v>
      </c>
      <c r="E36" s="1567">
        <v>43466</v>
      </c>
      <c r="F36" s="1566">
        <v>23964</v>
      </c>
      <c r="G36" s="1566">
        <v>0</v>
      </c>
      <c r="H36" s="1567"/>
      <c r="I36" s="1567" t="s">
        <v>3309</v>
      </c>
      <c r="J36" s="1567"/>
      <c r="K36" s="1568" t="str">
        <f t="shared" si="0"/>
        <v>No</v>
      </c>
      <c r="L36" s="1565"/>
    </row>
    <row r="37" spans="1:12" ht="20.100000000000001" customHeight="1">
      <c r="A37" s="1568" t="s">
        <v>3304</v>
      </c>
      <c r="B37" s="1567">
        <v>42502</v>
      </c>
      <c r="C37" s="1568" t="s">
        <v>3310</v>
      </c>
      <c r="D37" s="1568" t="s">
        <v>2969</v>
      </c>
      <c r="E37" s="1567">
        <v>43497</v>
      </c>
      <c r="F37" s="1566">
        <v>23964</v>
      </c>
      <c r="G37" s="1566">
        <v>0</v>
      </c>
      <c r="H37" s="1567"/>
      <c r="I37" s="1567" t="s">
        <v>3309</v>
      </c>
      <c r="J37" s="1567"/>
      <c r="K37" s="1568" t="str">
        <f t="shared" si="0"/>
        <v>No</v>
      </c>
      <c r="L37" s="1565"/>
    </row>
    <row r="38" spans="1:12" ht="20.100000000000001" customHeight="1">
      <c r="A38" s="1568" t="s">
        <v>3304</v>
      </c>
      <c r="B38" s="1567">
        <v>42502</v>
      </c>
      <c r="C38" s="1568" t="s">
        <v>3310</v>
      </c>
      <c r="D38" s="1568" t="s">
        <v>2969</v>
      </c>
      <c r="E38" s="1567">
        <v>43525</v>
      </c>
      <c r="F38" s="1566">
        <v>23964</v>
      </c>
      <c r="G38" s="1566">
        <v>0</v>
      </c>
      <c r="H38" s="1567"/>
      <c r="I38" s="1567" t="s">
        <v>3309</v>
      </c>
      <c r="J38" s="1567"/>
      <c r="K38" s="1568" t="str">
        <f t="shared" si="0"/>
        <v>No</v>
      </c>
      <c r="L38" s="1565"/>
    </row>
    <row r="39" spans="1:12" ht="20.100000000000001" customHeight="1">
      <c r="A39" s="1568" t="s">
        <v>3304</v>
      </c>
      <c r="B39" s="1567">
        <v>42502</v>
      </c>
      <c r="C39" s="1568" t="s">
        <v>3310</v>
      </c>
      <c r="D39" s="1568" t="s">
        <v>2969</v>
      </c>
      <c r="E39" s="1567">
        <v>43556</v>
      </c>
      <c r="F39" s="1566">
        <v>23964</v>
      </c>
      <c r="G39" s="1566">
        <v>0</v>
      </c>
      <c r="H39" s="1567"/>
      <c r="I39" s="1567" t="s">
        <v>3309</v>
      </c>
      <c r="J39" s="1567"/>
      <c r="K39" s="1568" t="str">
        <f t="shared" si="0"/>
        <v>No</v>
      </c>
      <c r="L39" s="1565"/>
    </row>
    <row r="40" spans="1:12" ht="20.100000000000001" customHeight="1">
      <c r="A40" s="1568" t="s">
        <v>3304</v>
      </c>
      <c r="B40" s="1567">
        <v>42502</v>
      </c>
      <c r="C40" s="1568" t="s">
        <v>3310</v>
      </c>
      <c r="D40" s="1568" t="s">
        <v>2969</v>
      </c>
      <c r="E40" s="1567">
        <v>43586</v>
      </c>
      <c r="F40" s="1566">
        <v>23964</v>
      </c>
      <c r="G40" s="1566">
        <v>0</v>
      </c>
      <c r="H40" s="1567"/>
      <c r="I40" s="1567" t="s">
        <v>3309</v>
      </c>
      <c r="J40" s="1567"/>
      <c r="K40" s="1568" t="str">
        <f t="shared" si="0"/>
        <v>No</v>
      </c>
      <c r="L40" s="1565"/>
    </row>
    <row r="41" spans="1:12" ht="20.100000000000001" customHeight="1">
      <c r="A41" s="1568" t="s">
        <v>3304</v>
      </c>
      <c r="B41" s="1567">
        <v>42502</v>
      </c>
      <c r="C41" s="1568" t="s">
        <v>3310</v>
      </c>
      <c r="D41" s="1568" t="s">
        <v>2969</v>
      </c>
      <c r="E41" s="1567">
        <v>43617</v>
      </c>
      <c r="F41" s="1566">
        <v>23963</v>
      </c>
      <c r="G41" s="1566">
        <v>0</v>
      </c>
      <c r="H41" s="1567"/>
      <c r="I41" s="1567" t="s">
        <v>3309</v>
      </c>
      <c r="J41" s="1567"/>
      <c r="K41" s="1568" t="str">
        <f t="shared" si="0"/>
        <v>No</v>
      </c>
      <c r="L41" s="1565"/>
    </row>
    <row r="42" spans="1:12" ht="20.100000000000001" customHeight="1">
      <c r="A42" s="1568" t="s">
        <v>3304</v>
      </c>
      <c r="B42" s="1567">
        <v>42502</v>
      </c>
      <c r="C42" s="1568" t="s">
        <v>3310</v>
      </c>
      <c r="D42" s="1568" t="s">
        <v>2969</v>
      </c>
      <c r="E42" s="1567">
        <v>43647</v>
      </c>
      <c r="F42" s="1566">
        <v>23964</v>
      </c>
      <c r="G42" s="1566">
        <v>0</v>
      </c>
      <c r="H42" s="1567"/>
      <c r="I42" s="1567" t="s">
        <v>3309</v>
      </c>
      <c r="J42" s="1567"/>
      <c r="K42" s="1568" t="str">
        <f t="shared" si="0"/>
        <v>No</v>
      </c>
      <c r="L42" s="1565"/>
    </row>
    <row r="43" spans="1:12" ht="20.100000000000001" customHeight="1">
      <c r="A43" s="1568" t="s">
        <v>3304</v>
      </c>
      <c r="B43" s="1567">
        <v>42502</v>
      </c>
      <c r="C43" s="1568" t="s">
        <v>3310</v>
      </c>
      <c r="D43" s="1568" t="s">
        <v>2969</v>
      </c>
      <c r="E43" s="1567">
        <v>43678</v>
      </c>
      <c r="F43" s="1566">
        <v>23964</v>
      </c>
      <c r="G43" s="1566">
        <v>0</v>
      </c>
      <c r="H43" s="1567"/>
      <c r="I43" s="1567" t="s">
        <v>3309</v>
      </c>
      <c r="J43" s="1567"/>
      <c r="K43" s="1568" t="str">
        <f t="shared" si="0"/>
        <v>No</v>
      </c>
      <c r="L43" s="1565"/>
    </row>
    <row r="44" spans="1:12" ht="20.100000000000001" customHeight="1">
      <c r="A44" s="1568" t="s">
        <v>3304</v>
      </c>
      <c r="B44" s="1567">
        <v>42502</v>
      </c>
      <c r="C44" s="1568" t="s">
        <v>3310</v>
      </c>
      <c r="D44" s="1568" t="s">
        <v>2969</v>
      </c>
      <c r="E44" s="1567">
        <v>43709</v>
      </c>
      <c r="F44" s="1566">
        <v>23964</v>
      </c>
      <c r="G44" s="1566">
        <v>0</v>
      </c>
      <c r="H44" s="1567"/>
      <c r="I44" s="1567" t="s">
        <v>3309</v>
      </c>
      <c r="J44" s="1567"/>
      <c r="K44" s="1568" t="str">
        <f t="shared" si="0"/>
        <v>No</v>
      </c>
      <c r="L44" s="1565"/>
    </row>
    <row r="45" spans="1:12" ht="20.100000000000001" customHeight="1">
      <c r="A45" s="1568" t="s">
        <v>3304</v>
      </c>
      <c r="B45" s="1567">
        <v>42502</v>
      </c>
      <c r="C45" s="1568" t="s">
        <v>3310</v>
      </c>
      <c r="D45" s="1568" t="s">
        <v>2969</v>
      </c>
      <c r="E45" s="1567">
        <v>43739</v>
      </c>
      <c r="F45" s="1566">
        <v>23964</v>
      </c>
      <c r="G45" s="1566">
        <v>0</v>
      </c>
      <c r="H45" s="1567"/>
      <c r="I45" s="1567" t="s">
        <v>3309</v>
      </c>
      <c r="J45" s="1567"/>
      <c r="K45" s="1568" t="str">
        <f t="shared" si="0"/>
        <v>No</v>
      </c>
      <c r="L45" s="1565"/>
    </row>
    <row r="46" spans="1:12" ht="20.100000000000001" customHeight="1">
      <c r="A46" s="1568" t="s">
        <v>3304</v>
      </c>
      <c r="B46" s="1567">
        <v>42502</v>
      </c>
      <c r="C46" s="1568" t="s">
        <v>3310</v>
      </c>
      <c r="D46" s="1568" t="s">
        <v>2969</v>
      </c>
      <c r="E46" s="1567">
        <v>43770</v>
      </c>
      <c r="F46" s="1566">
        <v>23964</v>
      </c>
      <c r="G46" s="1566">
        <v>0</v>
      </c>
      <c r="H46" s="1567"/>
      <c r="I46" s="1567" t="s">
        <v>3309</v>
      </c>
      <c r="J46" s="1567"/>
      <c r="K46" s="1568" t="str">
        <f t="shared" si="0"/>
        <v>No</v>
      </c>
      <c r="L46" s="1565"/>
    </row>
    <row r="47" spans="1:12" ht="20.100000000000001" customHeight="1">
      <c r="A47" s="1568" t="s">
        <v>3304</v>
      </c>
      <c r="B47" s="1567">
        <v>42502</v>
      </c>
      <c r="C47" s="1568" t="s">
        <v>3310</v>
      </c>
      <c r="D47" s="1568" t="s">
        <v>2969</v>
      </c>
      <c r="E47" s="1567">
        <v>43800</v>
      </c>
      <c r="F47" s="1566">
        <v>23963</v>
      </c>
      <c r="G47" s="1566">
        <v>0</v>
      </c>
      <c r="H47" s="1567"/>
      <c r="I47" s="1567" t="s">
        <v>3309</v>
      </c>
      <c r="J47" s="1567"/>
      <c r="K47" s="1568" t="str">
        <f t="shared" si="0"/>
        <v>No</v>
      </c>
      <c r="L47" s="1565"/>
    </row>
    <row r="48" spans="1:12" ht="20.100000000000001" customHeight="1">
      <c r="A48" s="1568" t="s">
        <v>3304</v>
      </c>
      <c r="B48" s="1567">
        <v>42502</v>
      </c>
      <c r="C48" s="1568" t="s">
        <v>3310</v>
      </c>
      <c r="D48" s="1568" t="s">
        <v>2969</v>
      </c>
      <c r="E48" s="1567">
        <v>43831</v>
      </c>
      <c r="F48" s="1566">
        <v>23964</v>
      </c>
      <c r="G48" s="1566">
        <v>0</v>
      </c>
      <c r="H48" s="1567"/>
      <c r="I48" s="1567" t="s">
        <v>3309</v>
      </c>
      <c r="J48" s="1567"/>
      <c r="K48" s="1568" t="str">
        <f t="shared" si="0"/>
        <v>No</v>
      </c>
      <c r="L48" s="1565"/>
    </row>
    <row r="49" spans="1:12" ht="20.100000000000001" customHeight="1">
      <c r="A49" s="1568" t="s">
        <v>3304</v>
      </c>
      <c r="B49" s="1567">
        <v>42502</v>
      </c>
      <c r="C49" s="1568" t="s">
        <v>3310</v>
      </c>
      <c r="D49" s="1568" t="s">
        <v>2969</v>
      </c>
      <c r="E49" s="1567">
        <v>43862</v>
      </c>
      <c r="F49" s="1566">
        <v>23964</v>
      </c>
      <c r="G49" s="1566">
        <v>0</v>
      </c>
      <c r="H49" s="1567"/>
      <c r="I49" s="1567" t="s">
        <v>3309</v>
      </c>
      <c r="J49" s="1567"/>
      <c r="K49" s="1568" t="str">
        <f t="shared" si="0"/>
        <v>No</v>
      </c>
      <c r="L49" s="1565"/>
    </row>
    <row r="50" spans="1:12" ht="20.100000000000001" customHeight="1">
      <c r="A50" s="1568" t="s">
        <v>3304</v>
      </c>
      <c r="B50" s="1567">
        <v>42502</v>
      </c>
      <c r="C50" s="1568" t="s">
        <v>3310</v>
      </c>
      <c r="D50" s="1568" t="s">
        <v>2969</v>
      </c>
      <c r="E50" s="1567">
        <v>43891</v>
      </c>
      <c r="F50" s="1566">
        <v>23964</v>
      </c>
      <c r="G50" s="1566">
        <v>0</v>
      </c>
      <c r="H50" s="1567"/>
      <c r="I50" s="1567" t="s">
        <v>3309</v>
      </c>
      <c r="J50" s="1567"/>
      <c r="K50" s="1568" t="str">
        <f t="shared" si="0"/>
        <v>No</v>
      </c>
      <c r="L50" s="1565"/>
    </row>
    <row r="51" spans="1:12" ht="20.100000000000001" customHeight="1">
      <c r="A51" s="1568" t="s">
        <v>3304</v>
      </c>
      <c r="B51" s="1567">
        <v>42502</v>
      </c>
      <c r="C51" s="1568" t="s">
        <v>3310</v>
      </c>
      <c r="D51" s="1568" t="s">
        <v>2969</v>
      </c>
      <c r="E51" s="1567">
        <v>43922</v>
      </c>
      <c r="F51" s="1566">
        <v>23964</v>
      </c>
      <c r="G51" s="1566">
        <v>0</v>
      </c>
      <c r="H51" s="1567"/>
      <c r="I51" s="1567" t="s">
        <v>3309</v>
      </c>
      <c r="J51" s="1567"/>
      <c r="K51" s="1568" t="str">
        <f t="shared" si="0"/>
        <v>No</v>
      </c>
      <c r="L51" s="1565"/>
    </row>
    <row r="52" spans="1:12" ht="20.100000000000001" customHeight="1">
      <c r="A52" s="1568" t="s">
        <v>3304</v>
      </c>
      <c r="B52" s="1567">
        <v>42502</v>
      </c>
      <c r="C52" s="1568" t="s">
        <v>3310</v>
      </c>
      <c r="D52" s="1568" t="s">
        <v>2969</v>
      </c>
      <c r="E52" s="1567">
        <v>43952</v>
      </c>
      <c r="F52" s="1566">
        <v>23964</v>
      </c>
      <c r="G52" s="1566">
        <v>0</v>
      </c>
      <c r="H52" s="1567"/>
      <c r="I52" s="1567" t="s">
        <v>3309</v>
      </c>
      <c r="J52" s="1567"/>
      <c r="K52" s="1568" t="str">
        <f t="shared" si="0"/>
        <v>No</v>
      </c>
      <c r="L52" s="1565"/>
    </row>
    <row r="53" spans="1:12" ht="20.100000000000001" customHeight="1">
      <c r="A53" s="1568" t="s">
        <v>3303</v>
      </c>
      <c r="B53" s="1567">
        <v>42783</v>
      </c>
      <c r="C53" s="1568" t="s">
        <v>3310</v>
      </c>
      <c r="D53" s="1568" t="s">
        <v>2994</v>
      </c>
      <c r="E53" s="1567">
        <v>42783</v>
      </c>
      <c r="F53" s="1566">
        <v>640000</v>
      </c>
      <c r="G53" s="1566">
        <v>0</v>
      </c>
      <c r="H53" s="1567"/>
      <c r="I53" s="1567" t="s">
        <v>3309</v>
      </c>
      <c r="J53" s="1567"/>
      <c r="K53" s="1568" t="str">
        <f t="shared" si="0"/>
        <v>No</v>
      </c>
      <c r="L53" s="1565"/>
    </row>
    <row r="54" spans="1:12" ht="20.100000000000001" customHeight="1">
      <c r="A54" s="1568" t="s">
        <v>3302</v>
      </c>
      <c r="B54" s="1567">
        <v>42783</v>
      </c>
      <c r="C54" s="1568" t="s">
        <v>3310</v>
      </c>
      <c r="D54" s="1568" t="s">
        <v>2998</v>
      </c>
      <c r="E54" s="1567">
        <v>42783</v>
      </c>
      <c r="F54" s="1566">
        <v>160000</v>
      </c>
      <c r="G54" s="1566">
        <v>0</v>
      </c>
      <c r="H54" s="1567"/>
      <c r="I54" s="1567" t="s">
        <v>3309</v>
      </c>
      <c r="J54" s="1567"/>
      <c r="K54" s="1568" t="str">
        <f t="shared" si="0"/>
        <v>No</v>
      </c>
      <c r="L54" s="1565"/>
    </row>
    <row r="55" spans="1:12" ht="20.100000000000001" customHeight="1">
      <c r="A55" s="1568" t="s">
        <v>3301</v>
      </c>
      <c r="B55" s="1567">
        <v>42783</v>
      </c>
      <c r="C55" s="1568" t="s">
        <v>3310</v>
      </c>
      <c r="D55" s="1568" t="s">
        <v>2951</v>
      </c>
      <c r="E55" s="1567">
        <v>42783</v>
      </c>
      <c r="F55" s="1566">
        <v>264301</v>
      </c>
      <c r="G55" s="1566">
        <v>0</v>
      </c>
      <c r="H55" s="1567"/>
      <c r="I55" s="1567" t="s">
        <v>3309</v>
      </c>
      <c r="J55" s="1567"/>
      <c r="K55" s="1568" t="str">
        <f t="shared" si="0"/>
        <v>No</v>
      </c>
      <c r="L55" s="1565"/>
    </row>
    <row r="56" spans="1:12" ht="20.100000000000001" customHeight="1">
      <c r="A56" s="1568" t="s">
        <v>3300</v>
      </c>
      <c r="B56" s="1567">
        <v>42783</v>
      </c>
      <c r="C56" s="1568" t="s">
        <v>3310</v>
      </c>
      <c r="D56" s="1568" t="s">
        <v>2961</v>
      </c>
      <c r="E56" s="1567">
        <v>42783</v>
      </c>
      <c r="F56" s="1566">
        <v>37512</v>
      </c>
      <c r="G56" s="1566">
        <v>0</v>
      </c>
      <c r="H56" s="1567"/>
      <c r="I56" s="1567" t="s">
        <v>3309</v>
      </c>
      <c r="J56" s="1567"/>
      <c r="K56" s="1568" t="str">
        <f t="shared" si="0"/>
        <v>No</v>
      </c>
      <c r="L56" s="1565"/>
    </row>
    <row r="57" spans="1:12" ht="20.100000000000001" customHeight="1">
      <c r="A57" s="1568" t="s">
        <v>3299</v>
      </c>
      <c r="B57" s="1567">
        <v>42783</v>
      </c>
      <c r="C57" s="1568" t="s">
        <v>3310</v>
      </c>
      <c r="D57" s="1568" t="s">
        <v>2961</v>
      </c>
      <c r="E57" s="1567">
        <v>42783</v>
      </c>
      <c r="F57" s="1566">
        <v>31208</v>
      </c>
      <c r="G57" s="1566">
        <v>0</v>
      </c>
      <c r="H57" s="1567"/>
      <c r="I57" s="1567" t="s">
        <v>3309</v>
      </c>
      <c r="J57" s="1567"/>
      <c r="K57" s="1568" t="str">
        <f t="shared" si="0"/>
        <v>No</v>
      </c>
      <c r="L57" s="1565"/>
    </row>
    <row r="58" spans="1:12" ht="20.100000000000001" customHeight="1">
      <c r="A58" s="1568" t="s">
        <v>3298</v>
      </c>
      <c r="B58" s="1567">
        <v>42783</v>
      </c>
      <c r="C58" s="1568" t="s">
        <v>3310</v>
      </c>
      <c r="D58" s="1568" t="s">
        <v>2983</v>
      </c>
      <c r="E58" s="1567">
        <v>42783</v>
      </c>
      <c r="F58" s="1566">
        <v>50432</v>
      </c>
      <c r="G58" s="1566">
        <v>0</v>
      </c>
      <c r="H58" s="1567"/>
      <c r="I58" s="1567" t="s">
        <v>3309</v>
      </c>
      <c r="J58" s="1567"/>
      <c r="K58" s="1568" t="str">
        <f t="shared" si="0"/>
        <v>No</v>
      </c>
      <c r="L58" s="1565" t="s">
        <v>3052</v>
      </c>
    </row>
    <row r="59" spans="1:12" ht="20.100000000000001" customHeight="1">
      <c r="A59" s="1568" t="s">
        <v>3297</v>
      </c>
      <c r="B59" s="1567">
        <v>42783</v>
      </c>
      <c r="C59" s="1568" t="s">
        <v>3310</v>
      </c>
      <c r="D59" s="1568" t="s">
        <v>2983</v>
      </c>
      <c r="E59" s="1567">
        <v>42783</v>
      </c>
      <c r="F59" s="1566">
        <v>120928</v>
      </c>
      <c r="G59" s="1566">
        <v>0</v>
      </c>
      <c r="H59" s="1567"/>
      <c r="I59" s="1567" t="s">
        <v>3309</v>
      </c>
      <c r="J59" s="1567"/>
      <c r="K59" s="1568" t="str">
        <f t="shared" si="0"/>
        <v>No</v>
      </c>
      <c r="L59" s="1565" t="s">
        <v>3052</v>
      </c>
    </row>
    <row r="60" spans="1:12" ht="20.100000000000001" customHeight="1">
      <c r="A60" s="1568" t="s">
        <v>3296</v>
      </c>
      <c r="B60" s="1567">
        <v>42783</v>
      </c>
      <c r="C60" s="1568" t="s">
        <v>3310</v>
      </c>
      <c r="D60" s="1568" t="s">
        <v>2999</v>
      </c>
      <c r="E60" s="1567">
        <v>42783</v>
      </c>
      <c r="F60" s="1566">
        <v>83272</v>
      </c>
      <c r="G60" s="1566">
        <v>0</v>
      </c>
      <c r="H60" s="1567"/>
      <c r="I60" s="1567" t="s">
        <v>3309</v>
      </c>
      <c r="J60" s="1567"/>
      <c r="K60" s="1568" t="str">
        <f t="shared" si="0"/>
        <v>No</v>
      </c>
      <c r="L60" s="1565"/>
    </row>
    <row r="61" spans="1:12" ht="20.100000000000001" customHeight="1">
      <c r="A61" s="1568" t="s">
        <v>3295</v>
      </c>
      <c r="B61" s="1567">
        <v>42783</v>
      </c>
      <c r="C61" s="1568" t="s">
        <v>3310</v>
      </c>
      <c r="D61" s="1568" t="s">
        <v>3002</v>
      </c>
      <c r="E61" s="1567">
        <v>42783</v>
      </c>
      <c r="F61" s="1566">
        <v>79712</v>
      </c>
      <c r="G61" s="1566">
        <v>0</v>
      </c>
      <c r="H61" s="1567"/>
      <c r="I61" s="1567" t="s">
        <v>3309</v>
      </c>
      <c r="J61" s="1567"/>
      <c r="K61" s="1568" t="str">
        <f t="shared" si="0"/>
        <v>No</v>
      </c>
      <c r="L61" s="1565"/>
    </row>
    <row r="62" spans="1:12" ht="20.100000000000001" customHeight="1">
      <c r="A62" s="1568" t="s">
        <v>3294</v>
      </c>
      <c r="B62" s="1567">
        <v>42783</v>
      </c>
      <c r="C62" s="1568" t="s">
        <v>3310</v>
      </c>
      <c r="D62" s="1568" t="s">
        <v>2972</v>
      </c>
      <c r="E62" s="1567">
        <v>42783</v>
      </c>
      <c r="F62" s="1566">
        <v>18000</v>
      </c>
      <c r="G62" s="1566">
        <v>0</v>
      </c>
      <c r="H62" s="1567"/>
      <c r="I62" s="1567" t="s">
        <v>3309</v>
      </c>
      <c r="J62" s="1567"/>
      <c r="K62" s="1568" t="str">
        <f t="shared" si="0"/>
        <v>No</v>
      </c>
      <c r="L62" s="1565"/>
    </row>
    <row r="63" spans="1:12" ht="20.100000000000001" customHeight="1">
      <c r="A63" s="1568" t="s">
        <v>3293</v>
      </c>
      <c r="B63" s="1567">
        <v>42783</v>
      </c>
      <c r="C63" s="1568" t="s">
        <v>3310</v>
      </c>
      <c r="D63" s="1568" t="s">
        <v>2980</v>
      </c>
      <c r="E63" s="1567">
        <v>42783</v>
      </c>
      <c r="F63" s="1566">
        <v>7000</v>
      </c>
      <c r="G63" s="1566">
        <v>0</v>
      </c>
      <c r="H63" s="1567"/>
      <c r="I63" s="1567" t="s">
        <v>3309</v>
      </c>
      <c r="J63" s="1567"/>
      <c r="K63" s="1568" t="str">
        <f t="shared" si="0"/>
        <v>No</v>
      </c>
      <c r="L63" s="1565"/>
    </row>
    <row r="64" spans="1:12" ht="20.100000000000001" customHeight="1">
      <c r="A64" s="1568" t="s">
        <v>3292</v>
      </c>
      <c r="B64" s="1567">
        <v>42783</v>
      </c>
      <c r="C64" s="1568" t="s">
        <v>3310</v>
      </c>
      <c r="D64" s="1568" t="s">
        <v>3000</v>
      </c>
      <c r="E64" s="1567">
        <v>42783</v>
      </c>
      <c r="F64" s="1566">
        <v>2000</v>
      </c>
      <c r="G64" s="1566">
        <v>0</v>
      </c>
      <c r="H64" s="1567"/>
      <c r="I64" s="1567" t="s">
        <v>3309</v>
      </c>
      <c r="J64" s="1567"/>
      <c r="K64" s="1568" t="str">
        <f t="shared" si="0"/>
        <v>No</v>
      </c>
      <c r="L64" s="1565"/>
    </row>
    <row r="65" spans="1:12" ht="20.100000000000001" customHeight="1">
      <c r="A65" s="1568" t="s">
        <v>3291</v>
      </c>
      <c r="B65" s="1567">
        <v>42783</v>
      </c>
      <c r="C65" s="1568" t="s">
        <v>3310</v>
      </c>
      <c r="D65" s="1568" t="s">
        <v>2977</v>
      </c>
      <c r="E65" s="1567">
        <v>42783</v>
      </c>
      <c r="F65" s="1566">
        <v>6504</v>
      </c>
      <c r="G65" s="1566">
        <v>0</v>
      </c>
      <c r="H65" s="1567"/>
      <c r="I65" s="1567" t="s">
        <v>3309</v>
      </c>
      <c r="J65" s="1567"/>
      <c r="K65" s="1568" t="str">
        <f t="shared" si="0"/>
        <v>No</v>
      </c>
      <c r="L65" s="1565"/>
    </row>
    <row r="66" spans="1:12" ht="20.100000000000001" customHeight="1">
      <c r="A66" s="1568" t="s">
        <v>3290</v>
      </c>
      <c r="B66" s="1567">
        <v>42783</v>
      </c>
      <c r="C66" s="1568" t="s">
        <v>3310</v>
      </c>
      <c r="D66" s="1568" t="s">
        <v>2986</v>
      </c>
      <c r="E66" s="1567">
        <v>42783</v>
      </c>
      <c r="F66" s="1566">
        <v>60608</v>
      </c>
      <c r="G66" s="1566">
        <v>0</v>
      </c>
      <c r="H66" s="1567"/>
      <c r="I66" s="1567" t="s">
        <v>3309</v>
      </c>
      <c r="J66" s="1567"/>
      <c r="K66" s="1568" t="str">
        <f t="shared" si="0"/>
        <v>No</v>
      </c>
      <c r="L66" s="1565"/>
    </row>
    <row r="67" spans="1:12" ht="20.100000000000001" customHeight="1">
      <c r="A67" s="1568" t="s">
        <v>3289</v>
      </c>
      <c r="B67" s="1567">
        <v>42783</v>
      </c>
      <c r="C67" s="1568" t="s">
        <v>3310</v>
      </c>
      <c r="D67" s="1568" t="s">
        <v>2974</v>
      </c>
      <c r="E67" s="1567">
        <v>42783</v>
      </c>
      <c r="F67" s="1566">
        <v>469064</v>
      </c>
      <c r="G67" s="1566">
        <v>0</v>
      </c>
      <c r="H67" s="1567"/>
      <c r="I67" s="1567">
        <v>43446</v>
      </c>
      <c r="J67" s="1567">
        <v>43446</v>
      </c>
      <c r="K67" s="1568" t="str">
        <f t="shared" si="0"/>
        <v>No</v>
      </c>
      <c r="L67" s="1565"/>
    </row>
    <row r="68" spans="1:12" ht="20.100000000000001" customHeight="1">
      <c r="A68" s="1568" t="s">
        <v>3288</v>
      </c>
      <c r="B68" s="1567">
        <v>42783</v>
      </c>
      <c r="C68" s="1568" t="s">
        <v>3310</v>
      </c>
      <c r="D68" s="1568" t="s">
        <v>2982</v>
      </c>
      <c r="E68" s="1567">
        <v>42783</v>
      </c>
      <c r="F68" s="1566">
        <v>78176</v>
      </c>
      <c r="G68" s="1566">
        <v>0</v>
      </c>
      <c r="H68" s="1567"/>
      <c r="I68" s="1567" t="s">
        <v>3309</v>
      </c>
      <c r="J68" s="1567"/>
      <c r="K68" s="1568" t="str">
        <f t="shared" si="0"/>
        <v>No</v>
      </c>
      <c r="L68" s="1565"/>
    </row>
    <row r="69" spans="1:12" ht="20.100000000000001" customHeight="1">
      <c r="A69" s="1568" t="s">
        <v>3287</v>
      </c>
      <c r="B69" s="1567">
        <v>42783</v>
      </c>
      <c r="C69" s="1568" t="s">
        <v>3310</v>
      </c>
      <c r="D69" s="1568" t="s">
        <v>2988</v>
      </c>
      <c r="E69" s="1567">
        <v>42783</v>
      </c>
      <c r="F69" s="1566">
        <v>78176</v>
      </c>
      <c r="G69" s="1566">
        <v>0</v>
      </c>
      <c r="H69" s="1567"/>
      <c r="I69" s="1567" t="s">
        <v>3309</v>
      </c>
      <c r="J69" s="1567"/>
      <c r="K69" s="1568" t="str">
        <f t="shared" ref="K69:K132" si="1">IF(I69="N/A","No",IF(E69&lt;=I69,"No","Yes"))</f>
        <v>No</v>
      </c>
      <c r="L69" s="1565"/>
    </row>
    <row r="70" spans="1:12" ht="20.100000000000001" customHeight="1">
      <c r="A70" s="1568" t="s">
        <v>3286</v>
      </c>
      <c r="B70" s="1567">
        <v>42783</v>
      </c>
      <c r="C70" s="1568" t="s">
        <v>3310</v>
      </c>
      <c r="D70" s="1568" t="s">
        <v>2996</v>
      </c>
      <c r="E70" s="1567">
        <v>42783</v>
      </c>
      <c r="F70" s="1566">
        <v>52120</v>
      </c>
      <c r="G70" s="1566">
        <v>0</v>
      </c>
      <c r="H70" s="1567"/>
      <c r="I70" s="1567" t="s">
        <v>3309</v>
      </c>
      <c r="J70" s="1567"/>
      <c r="K70" s="1568" t="str">
        <f t="shared" si="1"/>
        <v>No</v>
      </c>
      <c r="L70" s="1565"/>
    </row>
    <row r="71" spans="1:12" ht="20.100000000000001" customHeight="1">
      <c r="A71" s="1568" t="s">
        <v>3285</v>
      </c>
      <c r="B71" s="1567">
        <v>42783</v>
      </c>
      <c r="C71" s="1568" t="s">
        <v>3310</v>
      </c>
      <c r="D71" s="1568" t="s">
        <v>2985</v>
      </c>
      <c r="E71" s="1567">
        <v>42783</v>
      </c>
      <c r="F71" s="1566">
        <v>26056</v>
      </c>
      <c r="G71" s="1566">
        <v>0</v>
      </c>
      <c r="H71" s="1567"/>
      <c r="I71" s="1567" t="s">
        <v>3309</v>
      </c>
      <c r="J71" s="1567"/>
      <c r="K71" s="1568" t="str">
        <f t="shared" si="1"/>
        <v>No</v>
      </c>
      <c r="L71" s="1565"/>
    </row>
    <row r="72" spans="1:12" ht="20.100000000000001" customHeight="1">
      <c r="A72" s="1568" t="s">
        <v>3284</v>
      </c>
      <c r="B72" s="1567">
        <v>42783</v>
      </c>
      <c r="C72" s="1568" t="s">
        <v>3310</v>
      </c>
      <c r="D72" s="1568" t="s">
        <v>2953</v>
      </c>
      <c r="E72" s="1567">
        <v>42783</v>
      </c>
      <c r="F72" s="1566">
        <v>195440</v>
      </c>
      <c r="G72" s="1566">
        <v>0</v>
      </c>
      <c r="H72" s="1567"/>
      <c r="I72" s="1567" t="s">
        <v>3309</v>
      </c>
      <c r="J72" s="1567"/>
      <c r="K72" s="1568" t="str">
        <f t="shared" si="1"/>
        <v>No</v>
      </c>
      <c r="L72" s="1565"/>
    </row>
    <row r="73" spans="1:12" ht="20.100000000000001" customHeight="1">
      <c r="A73" s="1568" t="s">
        <v>3283</v>
      </c>
      <c r="B73" s="1567">
        <v>42783</v>
      </c>
      <c r="C73" s="1568" t="s">
        <v>3310</v>
      </c>
      <c r="D73" s="1568" t="s">
        <v>2970</v>
      </c>
      <c r="E73" s="1567">
        <v>42783</v>
      </c>
      <c r="F73" s="1566">
        <v>93816</v>
      </c>
      <c r="G73" s="1566">
        <v>0</v>
      </c>
      <c r="H73" s="1567"/>
      <c r="I73" s="1567" t="s">
        <v>3309</v>
      </c>
      <c r="J73" s="1567"/>
      <c r="K73" s="1568" t="str">
        <f t="shared" si="1"/>
        <v>No</v>
      </c>
      <c r="L73" s="1565"/>
    </row>
    <row r="74" spans="1:12" ht="20.100000000000001" customHeight="1">
      <c r="A74" s="1568" t="s">
        <v>3282</v>
      </c>
      <c r="B74" s="1567">
        <v>42783</v>
      </c>
      <c r="C74" s="1568" t="s">
        <v>3310</v>
      </c>
      <c r="D74" s="1568" t="s">
        <v>3007</v>
      </c>
      <c r="E74" s="1567">
        <v>42783</v>
      </c>
      <c r="F74" s="1566">
        <v>234536</v>
      </c>
      <c r="G74" s="1566">
        <v>0</v>
      </c>
      <c r="H74" s="1567"/>
      <c r="I74" s="1567" t="s">
        <v>3309</v>
      </c>
      <c r="J74" s="1567"/>
      <c r="K74" s="1568" t="str">
        <f t="shared" si="1"/>
        <v>No</v>
      </c>
      <c r="L74" s="1565"/>
    </row>
    <row r="75" spans="1:12" ht="20.100000000000001" customHeight="1">
      <c r="A75" s="1568" t="s">
        <v>3281</v>
      </c>
      <c r="B75" s="1567">
        <v>42783</v>
      </c>
      <c r="C75" s="1568" t="s">
        <v>3310</v>
      </c>
      <c r="D75" s="1568" t="s">
        <v>2995</v>
      </c>
      <c r="E75" s="1567">
        <v>42783</v>
      </c>
      <c r="F75" s="1566">
        <v>52112</v>
      </c>
      <c r="G75" s="1566">
        <v>0</v>
      </c>
      <c r="H75" s="1567"/>
      <c r="I75" s="1567" t="s">
        <v>3309</v>
      </c>
      <c r="J75" s="1567"/>
      <c r="K75" s="1568" t="str">
        <f t="shared" si="1"/>
        <v>No</v>
      </c>
      <c r="L75" s="1565"/>
    </row>
    <row r="76" spans="1:12" ht="20.100000000000001" customHeight="1">
      <c r="A76" s="1568" t="s">
        <v>3280</v>
      </c>
      <c r="B76" s="1567">
        <v>42783</v>
      </c>
      <c r="C76" s="1568" t="s">
        <v>3310</v>
      </c>
      <c r="D76" s="1568" t="s">
        <v>2968</v>
      </c>
      <c r="E76" s="1567">
        <v>42783</v>
      </c>
      <c r="F76" s="1566">
        <v>156352</v>
      </c>
      <c r="G76" s="1566">
        <v>0</v>
      </c>
      <c r="H76" s="1567"/>
      <c r="I76" s="1567" t="s">
        <v>3309</v>
      </c>
      <c r="J76" s="1567"/>
      <c r="K76" s="1568" t="str">
        <f t="shared" si="1"/>
        <v>No</v>
      </c>
      <c r="L76" s="1565"/>
    </row>
    <row r="77" spans="1:12" ht="20.100000000000001" customHeight="1">
      <c r="A77" s="1568" t="s">
        <v>3279</v>
      </c>
      <c r="B77" s="1567">
        <v>42783</v>
      </c>
      <c r="C77" s="1568" t="s">
        <v>3310</v>
      </c>
      <c r="D77" s="1568" t="s">
        <v>2965</v>
      </c>
      <c r="E77" s="1567">
        <v>42783</v>
      </c>
      <c r="F77" s="1566">
        <v>130296</v>
      </c>
      <c r="G77" s="1566">
        <v>0</v>
      </c>
      <c r="H77" s="1567"/>
      <c r="I77" s="1567" t="s">
        <v>3309</v>
      </c>
      <c r="J77" s="1567"/>
      <c r="K77" s="1568" t="str">
        <f t="shared" si="1"/>
        <v>No</v>
      </c>
      <c r="L77" s="1565"/>
    </row>
    <row r="78" spans="1:12" ht="20.100000000000001" customHeight="1">
      <c r="A78" s="1568" t="s">
        <v>3278</v>
      </c>
      <c r="B78" s="1567">
        <v>42783</v>
      </c>
      <c r="C78" s="1568" t="s">
        <v>3310</v>
      </c>
      <c r="D78" s="1568" t="s">
        <v>2956</v>
      </c>
      <c r="E78" s="1567">
        <v>42783</v>
      </c>
      <c r="F78" s="1566">
        <v>169384</v>
      </c>
      <c r="G78" s="1566">
        <v>0</v>
      </c>
      <c r="H78" s="1567"/>
      <c r="I78" s="1567" t="s">
        <v>3309</v>
      </c>
      <c r="J78" s="1567"/>
      <c r="K78" s="1568" t="str">
        <f t="shared" si="1"/>
        <v>No</v>
      </c>
      <c r="L78" s="1565"/>
    </row>
    <row r="79" spans="1:12" ht="20.100000000000001" customHeight="1">
      <c r="A79" s="1568" t="s">
        <v>3277</v>
      </c>
      <c r="B79" s="1567">
        <v>42783</v>
      </c>
      <c r="C79" s="1568" t="s">
        <v>3310</v>
      </c>
      <c r="D79" s="1568" t="s">
        <v>2961</v>
      </c>
      <c r="E79" s="1567">
        <v>42783</v>
      </c>
      <c r="F79" s="1566">
        <v>52112</v>
      </c>
      <c r="G79" s="1566">
        <v>0</v>
      </c>
      <c r="H79" s="1567"/>
      <c r="I79" s="1567">
        <v>42868</v>
      </c>
      <c r="J79" s="1567">
        <v>42868</v>
      </c>
      <c r="K79" s="1568" t="str">
        <f t="shared" si="1"/>
        <v>No</v>
      </c>
      <c r="L79" s="1565"/>
    </row>
    <row r="80" spans="1:12" ht="20.100000000000001" customHeight="1">
      <c r="A80" s="1568" t="s">
        <v>3276</v>
      </c>
      <c r="B80" s="1567">
        <v>42783</v>
      </c>
      <c r="C80" s="1568" t="s">
        <v>3310</v>
      </c>
      <c r="D80" s="1568" t="s">
        <v>2979</v>
      </c>
      <c r="E80" s="1567">
        <v>42783</v>
      </c>
      <c r="F80" s="1566">
        <v>158504</v>
      </c>
      <c r="G80" s="1566">
        <v>0</v>
      </c>
      <c r="H80" s="1567"/>
      <c r="I80" s="1567" t="s">
        <v>3309</v>
      </c>
      <c r="J80" s="1567"/>
      <c r="K80" s="1568" t="str">
        <f t="shared" si="1"/>
        <v>No</v>
      </c>
      <c r="L80" s="1565"/>
    </row>
    <row r="81" spans="1:12" ht="20.100000000000001" customHeight="1">
      <c r="A81" s="1568" t="s">
        <v>3275</v>
      </c>
      <c r="B81" s="1567">
        <v>42783</v>
      </c>
      <c r="C81" s="1568" t="s">
        <v>3310</v>
      </c>
      <c r="D81" s="1568" t="s">
        <v>2996</v>
      </c>
      <c r="E81" s="1567">
        <v>42783</v>
      </c>
      <c r="F81" s="1566">
        <v>198128</v>
      </c>
      <c r="G81" s="1566">
        <v>0</v>
      </c>
      <c r="H81" s="1567"/>
      <c r="I81" s="1567" t="s">
        <v>3309</v>
      </c>
      <c r="J81" s="1567"/>
      <c r="K81" s="1568" t="str">
        <f t="shared" si="1"/>
        <v>No</v>
      </c>
      <c r="L81" s="1565"/>
    </row>
    <row r="82" spans="1:12" ht="20.100000000000001" customHeight="1">
      <c r="A82" s="1568" t="s">
        <v>3274</v>
      </c>
      <c r="B82" s="1567">
        <v>42783</v>
      </c>
      <c r="C82" s="1568" t="s">
        <v>3310</v>
      </c>
      <c r="D82" s="1568" t="s">
        <v>2953</v>
      </c>
      <c r="E82" s="1567">
        <v>42783</v>
      </c>
      <c r="F82" s="1566">
        <v>356632</v>
      </c>
      <c r="G82" s="1566">
        <v>0</v>
      </c>
      <c r="H82" s="1567"/>
      <c r="I82" s="1567" t="s">
        <v>3309</v>
      </c>
      <c r="J82" s="1567"/>
      <c r="K82" s="1568" t="str">
        <f t="shared" si="1"/>
        <v>No</v>
      </c>
      <c r="L82" s="1565"/>
    </row>
    <row r="83" spans="1:12" ht="20.100000000000001" customHeight="1">
      <c r="A83" s="1568" t="s">
        <v>3273</v>
      </c>
      <c r="B83" s="1567">
        <v>42783</v>
      </c>
      <c r="C83" s="1568" t="s">
        <v>3310</v>
      </c>
      <c r="D83" s="1568" t="s">
        <v>2986</v>
      </c>
      <c r="E83" s="1567">
        <v>42783</v>
      </c>
      <c r="F83" s="1566">
        <v>1496</v>
      </c>
      <c r="G83" s="1566">
        <v>0</v>
      </c>
      <c r="H83" s="1567"/>
      <c r="I83" s="1567" t="s">
        <v>3309</v>
      </c>
      <c r="J83" s="1567"/>
      <c r="K83" s="1568" t="str">
        <f t="shared" si="1"/>
        <v>No</v>
      </c>
      <c r="L83" s="1565"/>
    </row>
    <row r="84" spans="1:12" ht="20.100000000000001" customHeight="1">
      <c r="A84" s="1568" t="s">
        <v>3272</v>
      </c>
      <c r="B84" s="1567">
        <v>42783</v>
      </c>
      <c r="C84" s="1568" t="s">
        <v>3310</v>
      </c>
      <c r="D84" s="1568" t="s">
        <v>2986</v>
      </c>
      <c r="E84" s="1567">
        <v>42783</v>
      </c>
      <c r="F84" s="1566">
        <v>1496</v>
      </c>
      <c r="G84" s="1566">
        <v>0</v>
      </c>
      <c r="H84" s="1567"/>
      <c r="I84" s="1567" t="s">
        <v>3309</v>
      </c>
      <c r="J84" s="1567"/>
      <c r="K84" s="1568" t="str">
        <f t="shared" si="1"/>
        <v>No</v>
      </c>
      <c r="L84" s="1565"/>
    </row>
    <row r="85" spans="1:12" ht="20.100000000000001" customHeight="1">
      <c r="A85" s="1568" t="s">
        <v>3271</v>
      </c>
      <c r="B85" s="1567">
        <v>42783</v>
      </c>
      <c r="C85" s="1568" t="s">
        <v>3310</v>
      </c>
      <c r="D85" s="1568" t="s">
        <v>2986</v>
      </c>
      <c r="E85" s="1567">
        <v>42783</v>
      </c>
      <c r="F85" s="1566">
        <v>2992</v>
      </c>
      <c r="G85" s="1566">
        <v>0</v>
      </c>
      <c r="H85" s="1567"/>
      <c r="I85" s="1567" t="s">
        <v>3309</v>
      </c>
      <c r="J85" s="1567"/>
      <c r="K85" s="1568" t="str">
        <f t="shared" si="1"/>
        <v>No</v>
      </c>
      <c r="L85" s="1565"/>
    </row>
    <row r="86" spans="1:12" ht="20.100000000000001" customHeight="1">
      <c r="A86" s="1568" t="s">
        <v>3270</v>
      </c>
      <c r="B86" s="1567">
        <v>42783</v>
      </c>
      <c r="C86" s="1568" t="s">
        <v>3310</v>
      </c>
      <c r="D86" s="1568" t="s">
        <v>2986</v>
      </c>
      <c r="E86" s="1567">
        <v>42783</v>
      </c>
      <c r="F86" s="1566">
        <v>21552</v>
      </c>
      <c r="G86" s="1566">
        <v>0</v>
      </c>
      <c r="H86" s="1567"/>
      <c r="I86" s="1567" t="s">
        <v>3309</v>
      </c>
      <c r="J86" s="1567"/>
      <c r="K86" s="1568" t="str">
        <f t="shared" si="1"/>
        <v>No</v>
      </c>
      <c r="L86" s="1565"/>
    </row>
    <row r="87" spans="1:12" ht="20.100000000000001" customHeight="1">
      <c r="A87" s="1568" t="s">
        <v>3269</v>
      </c>
      <c r="B87" s="1567">
        <v>42783</v>
      </c>
      <c r="C87" s="1568" t="s">
        <v>3310</v>
      </c>
      <c r="D87" s="1568" t="s">
        <v>2955</v>
      </c>
      <c r="E87" s="1567">
        <v>42783</v>
      </c>
      <c r="F87" s="1566">
        <v>3304</v>
      </c>
      <c r="G87" s="1566">
        <v>0</v>
      </c>
      <c r="H87" s="1567"/>
      <c r="I87" s="1567" t="s">
        <v>3309</v>
      </c>
      <c r="J87" s="1567"/>
      <c r="K87" s="1568" t="str">
        <f t="shared" si="1"/>
        <v>No</v>
      </c>
      <c r="L87" s="1565"/>
    </row>
    <row r="88" spans="1:12" ht="20.100000000000001" customHeight="1">
      <c r="A88" s="1568" t="s">
        <v>3268</v>
      </c>
      <c r="B88" s="1567">
        <v>42783</v>
      </c>
      <c r="C88" s="1568" t="s">
        <v>3310</v>
      </c>
      <c r="D88" s="1568" t="s">
        <v>2974</v>
      </c>
      <c r="E88" s="1567">
        <v>42783</v>
      </c>
      <c r="F88" s="1566">
        <v>297192</v>
      </c>
      <c r="G88" s="1566">
        <v>0</v>
      </c>
      <c r="H88" s="1567"/>
      <c r="I88" s="1567">
        <v>43446</v>
      </c>
      <c r="J88" s="1567">
        <v>43446</v>
      </c>
      <c r="K88" s="1568" t="str">
        <f t="shared" si="1"/>
        <v>No</v>
      </c>
      <c r="L88" s="1565"/>
    </row>
    <row r="89" spans="1:12" ht="20.100000000000001" customHeight="1">
      <c r="A89" s="1568" t="s">
        <v>3267</v>
      </c>
      <c r="B89" s="1567">
        <v>42783</v>
      </c>
      <c r="C89" s="1568" t="s">
        <v>3310</v>
      </c>
      <c r="D89" s="1568" t="s">
        <v>2997</v>
      </c>
      <c r="E89" s="1567">
        <v>42783</v>
      </c>
      <c r="F89" s="1566">
        <v>372176</v>
      </c>
      <c r="G89" s="1566">
        <v>0</v>
      </c>
      <c r="H89" s="1567"/>
      <c r="I89" s="1567" t="s">
        <v>3309</v>
      </c>
      <c r="J89" s="1567"/>
      <c r="K89" s="1568" t="str">
        <f t="shared" si="1"/>
        <v>No</v>
      </c>
      <c r="L89" s="1565"/>
    </row>
    <row r="90" spans="1:12" ht="20.100000000000001" customHeight="1">
      <c r="A90" s="1568" t="s">
        <v>3266</v>
      </c>
      <c r="B90" s="1567">
        <v>42783</v>
      </c>
      <c r="C90" s="1568" t="s">
        <v>3310</v>
      </c>
      <c r="D90" s="1568" t="s">
        <v>2998</v>
      </c>
      <c r="E90" s="1567">
        <v>42783</v>
      </c>
      <c r="F90" s="1566">
        <v>8000</v>
      </c>
      <c r="G90" s="1566">
        <v>0</v>
      </c>
      <c r="H90" s="1567"/>
      <c r="I90" s="1567" t="s">
        <v>3309</v>
      </c>
      <c r="J90" s="1567"/>
      <c r="K90" s="1568" t="str">
        <f t="shared" si="1"/>
        <v>No</v>
      </c>
      <c r="L90" s="1565"/>
    </row>
    <row r="91" spans="1:12" ht="20.100000000000001" customHeight="1">
      <c r="A91" s="1568" t="s">
        <v>3265</v>
      </c>
      <c r="B91" s="1567">
        <v>42783</v>
      </c>
      <c r="C91" s="1568" t="s">
        <v>3310</v>
      </c>
      <c r="D91" s="1568" t="s">
        <v>2966</v>
      </c>
      <c r="E91" s="1567">
        <v>42783</v>
      </c>
      <c r="F91" s="1566">
        <v>4000</v>
      </c>
      <c r="G91" s="1566">
        <v>0</v>
      </c>
      <c r="H91" s="1567"/>
      <c r="I91" s="1567" t="s">
        <v>3309</v>
      </c>
      <c r="J91" s="1567"/>
      <c r="K91" s="1568" t="str">
        <f t="shared" si="1"/>
        <v>No</v>
      </c>
      <c r="L91" s="1565"/>
    </row>
    <row r="92" spans="1:12" ht="20.100000000000001" customHeight="1">
      <c r="A92" s="1568" t="s">
        <v>3264</v>
      </c>
      <c r="B92" s="1567">
        <v>42783</v>
      </c>
      <c r="C92" s="1568" t="s">
        <v>3310</v>
      </c>
      <c r="D92" s="1568" t="s">
        <v>2977</v>
      </c>
      <c r="E92" s="1567">
        <v>42783</v>
      </c>
      <c r="F92" s="1566">
        <v>2752</v>
      </c>
      <c r="G92" s="1566">
        <v>0</v>
      </c>
      <c r="H92" s="1567"/>
      <c r="I92" s="1567" t="s">
        <v>3309</v>
      </c>
      <c r="J92" s="1567"/>
      <c r="K92" s="1568" t="str">
        <f t="shared" si="1"/>
        <v>No</v>
      </c>
      <c r="L92" s="1565"/>
    </row>
    <row r="93" spans="1:12" ht="20.100000000000001" customHeight="1">
      <c r="A93" s="1568" t="s">
        <v>3263</v>
      </c>
      <c r="B93" s="1567">
        <v>42783</v>
      </c>
      <c r="C93" s="1568" t="s">
        <v>3310</v>
      </c>
      <c r="D93" s="1568" t="s">
        <v>2998</v>
      </c>
      <c r="E93" s="1567">
        <v>42783</v>
      </c>
      <c r="F93" s="1566">
        <v>8000</v>
      </c>
      <c r="G93" s="1566">
        <v>0</v>
      </c>
      <c r="H93" s="1567"/>
      <c r="I93" s="1567" t="s">
        <v>3309</v>
      </c>
      <c r="J93" s="1567"/>
      <c r="K93" s="1568" t="str">
        <f t="shared" si="1"/>
        <v>No</v>
      </c>
      <c r="L93" s="1565"/>
    </row>
    <row r="94" spans="1:12" ht="20.100000000000001" customHeight="1">
      <c r="A94" s="1568" t="s">
        <v>3262</v>
      </c>
      <c r="B94" s="1567">
        <v>42783</v>
      </c>
      <c r="C94" s="1568" t="s">
        <v>3310</v>
      </c>
      <c r="D94" s="1568" t="s">
        <v>2984</v>
      </c>
      <c r="E94" s="1567">
        <v>42783</v>
      </c>
      <c r="F94" s="1566">
        <v>10664</v>
      </c>
      <c r="G94" s="1566">
        <v>0</v>
      </c>
      <c r="H94" s="1567"/>
      <c r="I94" s="1567" t="s">
        <v>3309</v>
      </c>
      <c r="J94" s="1567"/>
      <c r="K94" s="1568" t="str">
        <f t="shared" si="1"/>
        <v>No</v>
      </c>
      <c r="L94" s="1565"/>
    </row>
    <row r="95" spans="1:12" ht="20.100000000000001" customHeight="1">
      <c r="A95" s="1568" t="s">
        <v>3261</v>
      </c>
      <c r="B95" s="1567">
        <v>42783</v>
      </c>
      <c r="C95" s="1568" t="s">
        <v>3310</v>
      </c>
      <c r="D95" s="1568" t="s">
        <v>2966</v>
      </c>
      <c r="E95" s="1567">
        <v>42783</v>
      </c>
      <c r="F95" s="1566">
        <v>4000</v>
      </c>
      <c r="G95" s="1566">
        <v>0</v>
      </c>
      <c r="H95" s="1567"/>
      <c r="I95" s="1567" t="s">
        <v>3309</v>
      </c>
      <c r="J95" s="1567"/>
      <c r="K95" s="1568" t="str">
        <f t="shared" si="1"/>
        <v>No</v>
      </c>
      <c r="L95" s="1565"/>
    </row>
    <row r="96" spans="1:12" ht="20.100000000000001" customHeight="1">
      <c r="A96" s="1568" t="s">
        <v>3260</v>
      </c>
      <c r="B96" s="1567">
        <v>42783</v>
      </c>
      <c r="C96" s="1568" t="s">
        <v>3310</v>
      </c>
      <c r="D96" s="1568" t="s">
        <v>2984</v>
      </c>
      <c r="E96" s="1567">
        <v>42783</v>
      </c>
      <c r="F96" s="1566">
        <v>16488</v>
      </c>
      <c r="G96" s="1566">
        <v>0</v>
      </c>
      <c r="H96" s="1567"/>
      <c r="I96" s="1567" t="s">
        <v>3309</v>
      </c>
      <c r="J96" s="1567"/>
      <c r="K96" s="1568" t="str">
        <f t="shared" si="1"/>
        <v>No</v>
      </c>
      <c r="L96" s="1565"/>
    </row>
    <row r="97" spans="1:12" ht="20.100000000000001" customHeight="1">
      <c r="A97" s="1568" t="s">
        <v>3259</v>
      </c>
      <c r="B97" s="1567">
        <v>42787</v>
      </c>
      <c r="C97" s="1568" t="s">
        <v>3310</v>
      </c>
      <c r="D97" s="1568" t="s">
        <v>2968</v>
      </c>
      <c r="E97" s="1567">
        <v>42787</v>
      </c>
      <c r="F97" s="1566">
        <v>69956</v>
      </c>
      <c r="G97" s="1566">
        <v>0</v>
      </c>
      <c r="H97" s="1567"/>
      <c r="I97" s="1567" t="s">
        <v>3309</v>
      </c>
      <c r="J97" s="1567"/>
      <c r="K97" s="1568" t="str">
        <f t="shared" si="1"/>
        <v>No</v>
      </c>
      <c r="L97" s="1565"/>
    </row>
    <row r="98" spans="1:12" ht="20.100000000000001" customHeight="1">
      <c r="A98" s="1568" t="s">
        <v>3258</v>
      </c>
      <c r="B98" s="1567">
        <v>42787</v>
      </c>
      <c r="C98" s="1568" t="s">
        <v>3310</v>
      </c>
      <c r="D98" s="1568" t="s">
        <v>2965</v>
      </c>
      <c r="E98" s="1567">
        <v>42787</v>
      </c>
      <c r="F98" s="1566">
        <v>67617</v>
      </c>
      <c r="G98" s="1566">
        <v>0</v>
      </c>
      <c r="H98" s="1567"/>
      <c r="I98" s="1567" t="s">
        <v>3309</v>
      </c>
      <c r="J98" s="1567"/>
      <c r="K98" s="1568" t="str">
        <f t="shared" si="1"/>
        <v>No</v>
      </c>
      <c r="L98" s="1565"/>
    </row>
    <row r="99" spans="1:12" ht="20.100000000000001" customHeight="1">
      <c r="A99" s="1568" t="s">
        <v>3257</v>
      </c>
      <c r="B99" s="1567">
        <v>42787</v>
      </c>
      <c r="C99" s="1568" t="s">
        <v>3310</v>
      </c>
      <c r="D99" s="1568" t="s">
        <v>2976</v>
      </c>
      <c r="E99" s="1567">
        <v>42787</v>
      </c>
      <c r="F99" s="1566">
        <v>4908702</v>
      </c>
      <c r="G99" s="1566">
        <v>0</v>
      </c>
      <c r="H99" s="1567"/>
      <c r="I99" s="1567" t="s">
        <v>3309</v>
      </c>
      <c r="J99" s="1567"/>
      <c r="K99" s="1568" t="str">
        <f t="shared" si="1"/>
        <v>No</v>
      </c>
      <c r="L99" s="1565"/>
    </row>
    <row r="100" spans="1:12" ht="20.100000000000001" customHeight="1">
      <c r="A100" s="1568" t="s">
        <v>3256</v>
      </c>
      <c r="B100" s="1567">
        <v>42787</v>
      </c>
      <c r="C100" s="1568" t="s">
        <v>3310</v>
      </c>
      <c r="D100" s="1568" t="s">
        <v>2974</v>
      </c>
      <c r="E100" s="1567">
        <v>42787</v>
      </c>
      <c r="F100" s="1566">
        <v>557099</v>
      </c>
      <c r="G100" s="1566">
        <v>0</v>
      </c>
      <c r="H100" s="1567"/>
      <c r="I100" s="1567">
        <v>43446</v>
      </c>
      <c r="J100" s="1567">
        <v>43446</v>
      </c>
      <c r="K100" s="1568" t="str">
        <f t="shared" si="1"/>
        <v>No</v>
      </c>
      <c r="L100" s="1565"/>
    </row>
    <row r="101" spans="1:12" ht="20.100000000000001" customHeight="1">
      <c r="A101" s="1568" t="s">
        <v>3255</v>
      </c>
      <c r="B101" s="1567">
        <v>42787</v>
      </c>
      <c r="C101" s="1568" t="s">
        <v>3310</v>
      </c>
      <c r="D101" s="1568" t="s">
        <v>2953</v>
      </c>
      <c r="E101" s="1567">
        <v>42787</v>
      </c>
      <c r="F101" s="1566">
        <v>46592</v>
      </c>
      <c r="G101" s="1566">
        <v>0</v>
      </c>
      <c r="H101" s="1567"/>
      <c r="I101" s="1567" t="s">
        <v>3309</v>
      </c>
      <c r="J101" s="1567"/>
      <c r="K101" s="1568" t="str">
        <f t="shared" si="1"/>
        <v>No</v>
      </c>
      <c r="L101" s="1565"/>
    </row>
    <row r="102" spans="1:12" ht="20.100000000000001" customHeight="1">
      <c r="A102" s="1568" t="s">
        <v>3254</v>
      </c>
      <c r="B102" s="1567">
        <v>42787</v>
      </c>
      <c r="C102" s="1568" t="s">
        <v>3310</v>
      </c>
      <c r="D102" s="1568" t="s">
        <v>2961</v>
      </c>
      <c r="E102" s="1567">
        <v>42787</v>
      </c>
      <c r="F102" s="1566">
        <v>23316</v>
      </c>
      <c r="G102" s="1566">
        <v>0</v>
      </c>
      <c r="H102" s="1567"/>
      <c r="I102" s="1567">
        <v>42868</v>
      </c>
      <c r="J102" s="1567">
        <v>42868</v>
      </c>
      <c r="K102" s="1568" t="str">
        <f t="shared" si="1"/>
        <v>No</v>
      </c>
      <c r="L102" s="1565"/>
    </row>
    <row r="103" spans="1:12" ht="20.100000000000001" customHeight="1">
      <c r="A103" s="1568" t="s">
        <v>3253</v>
      </c>
      <c r="B103" s="1567">
        <v>42787</v>
      </c>
      <c r="C103" s="1568" t="s">
        <v>3310</v>
      </c>
      <c r="D103" s="1568" t="s">
        <v>2987</v>
      </c>
      <c r="E103" s="1567">
        <v>42787</v>
      </c>
      <c r="F103" s="1566">
        <v>46592</v>
      </c>
      <c r="G103" s="1566">
        <v>0</v>
      </c>
      <c r="H103" s="1567"/>
      <c r="I103" s="1567" t="s">
        <v>3309</v>
      </c>
      <c r="J103" s="1567"/>
      <c r="K103" s="1568" t="str">
        <f t="shared" si="1"/>
        <v>No</v>
      </c>
      <c r="L103" s="1565"/>
    </row>
    <row r="104" spans="1:12" ht="20.100000000000001" customHeight="1">
      <c r="A104" s="1568" t="s">
        <v>3252</v>
      </c>
      <c r="B104" s="1567">
        <v>42787</v>
      </c>
      <c r="C104" s="1568" t="s">
        <v>3310</v>
      </c>
      <c r="D104" s="1568" t="s">
        <v>3007</v>
      </c>
      <c r="E104" s="1567">
        <v>42787</v>
      </c>
      <c r="F104" s="1566">
        <v>112712</v>
      </c>
      <c r="G104" s="1566">
        <v>0</v>
      </c>
      <c r="H104" s="1567"/>
      <c r="I104" s="1567" t="s">
        <v>3309</v>
      </c>
      <c r="J104" s="1567"/>
      <c r="K104" s="1568" t="str">
        <f t="shared" si="1"/>
        <v>No</v>
      </c>
      <c r="L104" s="1565"/>
    </row>
    <row r="105" spans="1:12" ht="20.100000000000001" customHeight="1">
      <c r="A105" s="1568" t="s">
        <v>3251</v>
      </c>
      <c r="B105" s="1567">
        <v>42787</v>
      </c>
      <c r="C105" s="1568" t="s">
        <v>3310</v>
      </c>
      <c r="D105" s="1568" t="s">
        <v>2982</v>
      </c>
      <c r="E105" s="1567">
        <v>42787</v>
      </c>
      <c r="F105" s="1566">
        <v>34978</v>
      </c>
      <c r="G105" s="1566">
        <v>0</v>
      </c>
      <c r="H105" s="1567"/>
      <c r="I105" s="1567" t="s">
        <v>3309</v>
      </c>
      <c r="J105" s="1567"/>
      <c r="K105" s="1568" t="str">
        <f t="shared" si="1"/>
        <v>No</v>
      </c>
      <c r="L105" s="1565"/>
    </row>
    <row r="106" spans="1:12" ht="20.100000000000001" customHeight="1">
      <c r="A106" s="1568" t="s">
        <v>3250</v>
      </c>
      <c r="B106" s="1567">
        <v>42787</v>
      </c>
      <c r="C106" s="1568" t="s">
        <v>3310</v>
      </c>
      <c r="D106" s="1568" t="s">
        <v>2956</v>
      </c>
      <c r="E106" s="1567">
        <v>42787</v>
      </c>
      <c r="F106" s="1566">
        <v>107288</v>
      </c>
      <c r="G106" s="1566">
        <v>0</v>
      </c>
      <c r="H106" s="1567"/>
      <c r="I106" s="1567" t="s">
        <v>3309</v>
      </c>
      <c r="J106" s="1567"/>
      <c r="K106" s="1568" t="str">
        <f t="shared" si="1"/>
        <v>No</v>
      </c>
      <c r="L106" s="1565"/>
    </row>
    <row r="107" spans="1:12" ht="20.100000000000001" customHeight="1">
      <c r="A107" s="1568" t="s">
        <v>3249</v>
      </c>
      <c r="B107" s="1567">
        <v>42787</v>
      </c>
      <c r="C107" s="1568" t="s">
        <v>3310</v>
      </c>
      <c r="D107" s="1568" t="s">
        <v>2970</v>
      </c>
      <c r="E107" s="1567">
        <v>42787</v>
      </c>
      <c r="F107" s="1566">
        <v>145259</v>
      </c>
      <c r="G107" s="1566">
        <v>0</v>
      </c>
      <c r="H107" s="1567"/>
      <c r="I107" s="1567" t="s">
        <v>3309</v>
      </c>
      <c r="J107" s="1567"/>
      <c r="K107" s="1568" t="str">
        <f t="shared" si="1"/>
        <v>No</v>
      </c>
      <c r="L107" s="1565"/>
    </row>
    <row r="108" spans="1:12" ht="20.100000000000001" customHeight="1">
      <c r="A108" s="1568" t="s">
        <v>3248</v>
      </c>
      <c r="B108" s="1567">
        <v>42866</v>
      </c>
      <c r="C108" s="1568" t="s">
        <v>3310</v>
      </c>
      <c r="D108" s="1568" t="s">
        <v>2961</v>
      </c>
      <c r="E108" s="1567">
        <v>42866</v>
      </c>
      <c r="F108" s="1566">
        <v>4496</v>
      </c>
      <c r="G108" s="1566">
        <v>0</v>
      </c>
      <c r="H108" s="1567"/>
      <c r="I108" s="1567" t="s">
        <v>3309</v>
      </c>
      <c r="J108" s="1567"/>
      <c r="K108" s="1568" t="str">
        <f t="shared" si="1"/>
        <v>No</v>
      </c>
      <c r="L108" s="1565"/>
    </row>
    <row r="109" spans="1:12" ht="20.100000000000001" customHeight="1">
      <c r="A109" s="1568" t="s">
        <v>3247</v>
      </c>
      <c r="B109" s="1567">
        <v>42868</v>
      </c>
      <c r="C109" s="1568" t="s">
        <v>3310</v>
      </c>
      <c r="D109" s="1568" t="s">
        <v>2959</v>
      </c>
      <c r="E109" s="1567">
        <v>42868</v>
      </c>
      <c r="F109" s="1566">
        <v>23316</v>
      </c>
      <c r="G109" s="1566">
        <v>0</v>
      </c>
      <c r="H109" s="1567"/>
      <c r="I109" s="1567" t="s">
        <v>3309</v>
      </c>
      <c r="J109" s="1567"/>
      <c r="K109" s="1568" t="str">
        <f t="shared" si="1"/>
        <v>No</v>
      </c>
      <c r="L109" s="1565"/>
    </row>
    <row r="110" spans="1:12" ht="20.100000000000001" customHeight="1">
      <c r="A110" s="1568" t="s">
        <v>3246</v>
      </c>
      <c r="B110" s="1567">
        <v>42868</v>
      </c>
      <c r="C110" s="1568" t="s">
        <v>3310</v>
      </c>
      <c r="D110" s="1568" t="s">
        <v>2959</v>
      </c>
      <c r="E110" s="1567">
        <v>42868</v>
      </c>
      <c r="F110" s="1566">
        <v>41684</v>
      </c>
      <c r="G110" s="1566">
        <v>0</v>
      </c>
      <c r="H110" s="1567"/>
      <c r="I110" s="1567" t="s">
        <v>3309</v>
      </c>
      <c r="J110" s="1567"/>
      <c r="K110" s="1568" t="str">
        <f t="shared" si="1"/>
        <v>No</v>
      </c>
      <c r="L110" s="1565"/>
    </row>
    <row r="111" spans="1:12" ht="20.100000000000001" customHeight="1">
      <c r="A111" s="1568" t="s">
        <v>3245</v>
      </c>
      <c r="B111" s="1567">
        <v>42868</v>
      </c>
      <c r="C111" s="1568" t="s">
        <v>3310</v>
      </c>
      <c r="D111" s="1568" t="s">
        <v>2958</v>
      </c>
      <c r="E111" s="1567">
        <v>42868</v>
      </c>
      <c r="F111" s="1566">
        <v>10428</v>
      </c>
      <c r="G111" s="1566">
        <v>0</v>
      </c>
      <c r="H111" s="1567"/>
      <c r="I111" s="1567" t="s">
        <v>3309</v>
      </c>
      <c r="J111" s="1567"/>
      <c r="K111" s="1568" t="str">
        <f t="shared" si="1"/>
        <v>No</v>
      </c>
      <c r="L111" s="1565"/>
    </row>
    <row r="112" spans="1:12" ht="20.100000000000001" customHeight="1">
      <c r="A112" s="1568" t="s">
        <v>3244</v>
      </c>
      <c r="B112" s="1567">
        <v>42871</v>
      </c>
      <c r="C112" s="1568" t="s">
        <v>3310</v>
      </c>
      <c r="D112" s="1568" t="s">
        <v>3002</v>
      </c>
      <c r="E112" s="1567">
        <v>42871</v>
      </c>
      <c r="F112" s="1566">
        <v>13040</v>
      </c>
      <c r="G112" s="1566">
        <v>0</v>
      </c>
      <c r="H112" s="1567"/>
      <c r="I112" s="1567" t="s">
        <v>3309</v>
      </c>
      <c r="J112" s="1567"/>
      <c r="K112" s="1568" t="str">
        <f t="shared" si="1"/>
        <v>No</v>
      </c>
      <c r="L112" s="1565"/>
    </row>
    <row r="113" spans="1:12" ht="20.100000000000001" customHeight="1">
      <c r="A113" s="1568" t="s">
        <v>3243</v>
      </c>
      <c r="B113" s="1567">
        <v>42872</v>
      </c>
      <c r="C113" s="1568" t="s">
        <v>3310</v>
      </c>
      <c r="D113" s="1568" t="s">
        <v>2986</v>
      </c>
      <c r="E113" s="1567">
        <v>42872</v>
      </c>
      <c r="F113" s="1566">
        <v>22440</v>
      </c>
      <c r="G113" s="1566">
        <v>0</v>
      </c>
      <c r="H113" s="1567"/>
      <c r="I113" s="1567" t="s">
        <v>3309</v>
      </c>
      <c r="J113" s="1567"/>
      <c r="K113" s="1568" t="str">
        <f t="shared" si="1"/>
        <v>No</v>
      </c>
      <c r="L113" s="1565"/>
    </row>
    <row r="114" spans="1:12" ht="20.100000000000001" customHeight="1">
      <c r="A114" s="1568" t="s">
        <v>3242</v>
      </c>
      <c r="B114" s="1567">
        <v>42877</v>
      </c>
      <c r="C114" s="1568" t="s">
        <v>3310</v>
      </c>
      <c r="D114" s="1568" t="s">
        <v>2999</v>
      </c>
      <c r="E114" s="1567">
        <v>42877</v>
      </c>
      <c r="F114" s="1566">
        <v>15288</v>
      </c>
      <c r="G114" s="1566">
        <v>0</v>
      </c>
      <c r="H114" s="1567"/>
      <c r="I114" s="1567" t="s">
        <v>3309</v>
      </c>
      <c r="J114" s="1567"/>
      <c r="K114" s="1568" t="str">
        <f t="shared" si="1"/>
        <v>No</v>
      </c>
      <c r="L114" s="1565"/>
    </row>
    <row r="115" spans="1:12" ht="20.100000000000001" customHeight="1">
      <c r="A115" s="1568" t="s">
        <v>3241</v>
      </c>
      <c r="B115" s="1567">
        <v>42887</v>
      </c>
      <c r="C115" s="1568" t="s">
        <v>3310</v>
      </c>
      <c r="D115" s="1568" t="s">
        <v>2961</v>
      </c>
      <c r="E115" s="1567">
        <v>42887</v>
      </c>
      <c r="F115" s="1566">
        <v>4496</v>
      </c>
      <c r="G115" s="1566">
        <v>0</v>
      </c>
      <c r="H115" s="1567"/>
      <c r="I115" s="1567" t="s">
        <v>3309</v>
      </c>
      <c r="J115" s="1567"/>
      <c r="K115" s="1568" t="str">
        <f t="shared" si="1"/>
        <v>No</v>
      </c>
      <c r="L115" s="1565"/>
    </row>
    <row r="116" spans="1:12" ht="20.100000000000001" customHeight="1">
      <c r="A116" s="1568" t="s">
        <v>3240</v>
      </c>
      <c r="B116" s="1567">
        <v>42890</v>
      </c>
      <c r="C116" s="1568" t="s">
        <v>3310</v>
      </c>
      <c r="D116" s="1568" t="s">
        <v>2999</v>
      </c>
      <c r="E116" s="1567">
        <v>42890</v>
      </c>
      <c r="F116" s="1566">
        <v>5096</v>
      </c>
      <c r="G116" s="1566">
        <v>0</v>
      </c>
      <c r="H116" s="1567"/>
      <c r="I116" s="1567" t="s">
        <v>3309</v>
      </c>
      <c r="J116" s="1567"/>
      <c r="K116" s="1568" t="str">
        <f t="shared" si="1"/>
        <v>No</v>
      </c>
      <c r="L116" s="1565"/>
    </row>
    <row r="117" spans="1:12" ht="20.100000000000001" customHeight="1">
      <c r="A117" s="1568" t="s">
        <v>3239</v>
      </c>
      <c r="B117" s="1567">
        <v>42898</v>
      </c>
      <c r="C117" s="1568" t="s">
        <v>3310</v>
      </c>
      <c r="D117" s="1568" t="s">
        <v>2980</v>
      </c>
      <c r="E117" s="1567">
        <v>42898</v>
      </c>
      <c r="F117" s="1566">
        <v>1400</v>
      </c>
      <c r="G117" s="1566">
        <v>0</v>
      </c>
      <c r="H117" s="1567"/>
      <c r="I117" s="1567" t="s">
        <v>3309</v>
      </c>
      <c r="J117" s="1567"/>
      <c r="K117" s="1568" t="str">
        <f t="shared" si="1"/>
        <v>No</v>
      </c>
      <c r="L117" s="1565"/>
    </row>
    <row r="118" spans="1:12" ht="20.100000000000001" customHeight="1">
      <c r="A118" s="1568" t="s">
        <v>3238</v>
      </c>
      <c r="B118" s="1567">
        <v>42903</v>
      </c>
      <c r="C118" s="1568" t="s">
        <v>3310</v>
      </c>
      <c r="D118" s="1568" t="s">
        <v>2983</v>
      </c>
      <c r="E118" s="1567">
        <v>42903</v>
      </c>
      <c r="F118" s="1566">
        <v>26384</v>
      </c>
      <c r="G118" s="1566">
        <v>0</v>
      </c>
      <c r="H118" s="1567"/>
      <c r="I118" s="1567" t="s">
        <v>3309</v>
      </c>
      <c r="J118" s="1567"/>
      <c r="K118" s="1568" t="str">
        <f t="shared" si="1"/>
        <v>No</v>
      </c>
      <c r="L118" s="1565" t="s">
        <v>3052</v>
      </c>
    </row>
    <row r="119" spans="1:12" ht="20.100000000000001" customHeight="1">
      <c r="A119" s="1568" t="s">
        <v>3237</v>
      </c>
      <c r="B119" s="1567">
        <v>42917</v>
      </c>
      <c r="C119" s="1568" t="s">
        <v>3310</v>
      </c>
      <c r="D119" s="1568" t="s">
        <v>2961</v>
      </c>
      <c r="E119" s="1567">
        <v>42917</v>
      </c>
      <c r="F119" s="1566">
        <v>4496</v>
      </c>
      <c r="G119" s="1566">
        <v>0</v>
      </c>
      <c r="H119" s="1567"/>
      <c r="I119" s="1567" t="s">
        <v>3309</v>
      </c>
      <c r="J119" s="1567"/>
      <c r="K119" s="1568" t="str">
        <f t="shared" si="1"/>
        <v>No</v>
      </c>
      <c r="L119" s="1565"/>
    </row>
    <row r="120" spans="1:12" ht="20.100000000000001" customHeight="1">
      <c r="A120" s="1568" t="s">
        <v>3236</v>
      </c>
      <c r="B120" s="1567">
        <v>42918</v>
      </c>
      <c r="C120" s="1568" t="s">
        <v>3310</v>
      </c>
      <c r="D120" s="1568" t="s">
        <v>2999</v>
      </c>
      <c r="E120" s="1567">
        <v>42918</v>
      </c>
      <c r="F120" s="1566">
        <v>5096</v>
      </c>
      <c r="G120" s="1566">
        <v>0</v>
      </c>
      <c r="H120" s="1567"/>
      <c r="I120" s="1567" t="s">
        <v>3309</v>
      </c>
      <c r="J120" s="1567"/>
      <c r="K120" s="1568" t="str">
        <f t="shared" si="1"/>
        <v>No</v>
      </c>
      <c r="L120" s="1565"/>
    </row>
    <row r="121" spans="1:12" ht="20.100000000000001" customHeight="1">
      <c r="A121" s="1568" t="s">
        <v>3235</v>
      </c>
      <c r="B121" s="1567">
        <v>42947</v>
      </c>
      <c r="C121" s="1568" t="s">
        <v>3310</v>
      </c>
      <c r="D121" s="1568" t="s">
        <v>2972</v>
      </c>
      <c r="E121" s="1567">
        <v>42947</v>
      </c>
      <c r="F121" s="1566">
        <v>4000</v>
      </c>
      <c r="G121" s="1566">
        <v>0</v>
      </c>
      <c r="H121" s="1567"/>
      <c r="I121" s="1567" t="s">
        <v>3309</v>
      </c>
      <c r="J121" s="1567"/>
      <c r="K121" s="1568" t="str">
        <f t="shared" si="1"/>
        <v>No</v>
      </c>
      <c r="L121" s="1565"/>
    </row>
    <row r="122" spans="1:12" ht="20.100000000000001" customHeight="1">
      <c r="A122" s="1568" t="s">
        <v>3234</v>
      </c>
      <c r="B122" s="1567">
        <v>42951</v>
      </c>
      <c r="C122" s="1568" t="s">
        <v>3310</v>
      </c>
      <c r="D122" s="1568" t="s">
        <v>2961</v>
      </c>
      <c r="E122" s="1567">
        <v>42951</v>
      </c>
      <c r="F122" s="1566">
        <v>4496</v>
      </c>
      <c r="G122" s="1566">
        <v>0</v>
      </c>
      <c r="H122" s="1567"/>
      <c r="I122" s="1567" t="s">
        <v>3309</v>
      </c>
      <c r="J122" s="1567"/>
      <c r="K122" s="1568" t="str">
        <f t="shared" si="1"/>
        <v>No</v>
      </c>
      <c r="L122" s="1565"/>
    </row>
    <row r="123" spans="1:12" ht="20.100000000000001" customHeight="1">
      <c r="A123" s="1568" t="s">
        <v>3233</v>
      </c>
      <c r="B123" s="1567">
        <v>42955</v>
      </c>
      <c r="C123" s="1568" t="s">
        <v>3310</v>
      </c>
      <c r="D123" s="1568" t="s">
        <v>2999</v>
      </c>
      <c r="E123" s="1567">
        <v>42955</v>
      </c>
      <c r="F123" s="1566">
        <v>5096</v>
      </c>
      <c r="G123" s="1566">
        <v>0</v>
      </c>
      <c r="H123" s="1567"/>
      <c r="I123" s="1567" t="s">
        <v>3309</v>
      </c>
      <c r="J123" s="1567"/>
      <c r="K123" s="1568" t="str">
        <f t="shared" si="1"/>
        <v>No</v>
      </c>
      <c r="L123" s="1565"/>
    </row>
    <row r="124" spans="1:12" ht="20.100000000000001" customHeight="1">
      <c r="A124" s="1568" t="s">
        <v>3232</v>
      </c>
      <c r="B124" s="1567">
        <v>42980</v>
      </c>
      <c r="C124" s="1568" t="s">
        <v>3310</v>
      </c>
      <c r="D124" s="1568" t="s">
        <v>2999</v>
      </c>
      <c r="E124" s="1567">
        <v>42980</v>
      </c>
      <c r="F124" s="1566">
        <v>5096</v>
      </c>
      <c r="G124" s="1566">
        <v>0</v>
      </c>
      <c r="H124" s="1567"/>
      <c r="I124" s="1567" t="s">
        <v>3309</v>
      </c>
      <c r="J124" s="1567"/>
      <c r="K124" s="1568" t="str">
        <f t="shared" si="1"/>
        <v>No</v>
      </c>
      <c r="L124" s="1565"/>
    </row>
    <row r="125" spans="1:12" ht="20.100000000000001" customHeight="1">
      <c r="A125" s="1568" t="s">
        <v>3231</v>
      </c>
      <c r="B125" s="1567">
        <v>42986</v>
      </c>
      <c r="C125" s="1568" t="s">
        <v>3310</v>
      </c>
      <c r="D125" s="1568" t="s">
        <v>2980</v>
      </c>
      <c r="E125" s="1567">
        <v>42986</v>
      </c>
      <c r="F125" s="1566">
        <v>704</v>
      </c>
      <c r="G125" s="1566">
        <v>0</v>
      </c>
      <c r="H125" s="1567"/>
      <c r="I125" s="1567" t="s">
        <v>3309</v>
      </c>
      <c r="J125" s="1567"/>
      <c r="K125" s="1568" t="str">
        <f t="shared" si="1"/>
        <v>No</v>
      </c>
      <c r="L125" s="1565"/>
    </row>
    <row r="126" spans="1:12" ht="20.100000000000001" customHeight="1">
      <c r="A126" s="1568" t="s">
        <v>3230</v>
      </c>
      <c r="B126" s="1567">
        <v>42986</v>
      </c>
      <c r="C126" s="1568" t="s">
        <v>3310</v>
      </c>
      <c r="D126" s="1568" t="s">
        <v>2961</v>
      </c>
      <c r="E126" s="1567">
        <v>42986</v>
      </c>
      <c r="F126" s="1566">
        <v>4496</v>
      </c>
      <c r="G126" s="1566">
        <v>0</v>
      </c>
      <c r="H126" s="1567"/>
      <c r="I126" s="1567" t="s">
        <v>3309</v>
      </c>
      <c r="J126" s="1567"/>
      <c r="K126" s="1568" t="str">
        <f t="shared" si="1"/>
        <v>No</v>
      </c>
      <c r="L126" s="1565"/>
    </row>
    <row r="127" spans="1:12" ht="20.100000000000001" customHeight="1">
      <c r="A127" s="1568" t="s">
        <v>3229</v>
      </c>
      <c r="B127" s="1567">
        <v>42993</v>
      </c>
      <c r="C127" s="1568" t="s">
        <v>3310</v>
      </c>
      <c r="D127" s="1568" t="s">
        <v>2977</v>
      </c>
      <c r="E127" s="1567">
        <v>42993</v>
      </c>
      <c r="F127" s="1566">
        <v>496</v>
      </c>
      <c r="G127" s="1566">
        <v>0</v>
      </c>
      <c r="H127" s="1567"/>
      <c r="I127" s="1567" t="s">
        <v>3309</v>
      </c>
      <c r="J127" s="1567"/>
      <c r="K127" s="1568" t="str">
        <f t="shared" si="1"/>
        <v>No</v>
      </c>
      <c r="L127" s="1565"/>
    </row>
    <row r="128" spans="1:12" ht="20.100000000000001" customHeight="1">
      <c r="A128" s="1568" t="s">
        <v>3228</v>
      </c>
      <c r="B128" s="1567">
        <v>42993</v>
      </c>
      <c r="C128" s="1568" t="s">
        <v>3310</v>
      </c>
      <c r="D128" s="1568" t="s">
        <v>2977</v>
      </c>
      <c r="E128" s="1567">
        <v>42993</v>
      </c>
      <c r="F128" s="1566">
        <v>1000</v>
      </c>
      <c r="G128" s="1566">
        <v>0</v>
      </c>
      <c r="H128" s="1567"/>
      <c r="I128" s="1567" t="s">
        <v>3309</v>
      </c>
      <c r="J128" s="1567"/>
      <c r="K128" s="1568" t="str">
        <f t="shared" si="1"/>
        <v>No</v>
      </c>
      <c r="L128" s="1565"/>
    </row>
    <row r="129" spans="1:12" ht="20.100000000000001" customHeight="1">
      <c r="A129" s="1568" t="s">
        <v>3227</v>
      </c>
      <c r="B129" s="1567">
        <v>43013</v>
      </c>
      <c r="C129" s="1568" t="s">
        <v>3310</v>
      </c>
      <c r="D129" s="1568" t="s">
        <v>2999</v>
      </c>
      <c r="E129" s="1567">
        <v>43013</v>
      </c>
      <c r="F129" s="1566">
        <v>5096</v>
      </c>
      <c r="G129" s="1566">
        <v>0</v>
      </c>
      <c r="H129" s="1567"/>
      <c r="I129" s="1567" t="s">
        <v>3309</v>
      </c>
      <c r="J129" s="1567"/>
      <c r="K129" s="1568" t="str">
        <f t="shared" si="1"/>
        <v>No</v>
      </c>
      <c r="L129" s="1565"/>
    </row>
    <row r="130" spans="1:12" ht="20.100000000000001" customHeight="1">
      <c r="A130" s="1568" t="s">
        <v>3226</v>
      </c>
      <c r="B130" s="1567">
        <v>43013</v>
      </c>
      <c r="C130" s="1568" t="s">
        <v>3310</v>
      </c>
      <c r="D130" s="1568" t="s">
        <v>2961</v>
      </c>
      <c r="E130" s="1567">
        <v>43013</v>
      </c>
      <c r="F130" s="1566">
        <v>4496</v>
      </c>
      <c r="G130" s="1566">
        <v>0</v>
      </c>
      <c r="H130" s="1567"/>
      <c r="I130" s="1567" t="s">
        <v>3309</v>
      </c>
      <c r="J130" s="1567"/>
      <c r="K130" s="1568" t="str">
        <f t="shared" si="1"/>
        <v>No</v>
      </c>
      <c r="L130" s="1565"/>
    </row>
    <row r="131" spans="1:12" ht="20.100000000000001" customHeight="1">
      <c r="A131" s="1568" t="s">
        <v>3225</v>
      </c>
      <c r="B131" s="1567">
        <v>43020</v>
      </c>
      <c r="C131" s="1568" t="s">
        <v>3310</v>
      </c>
      <c r="D131" s="1568" t="s">
        <v>2983</v>
      </c>
      <c r="E131" s="1567">
        <v>43020</v>
      </c>
      <c r="F131" s="1566">
        <v>26384</v>
      </c>
      <c r="G131" s="1566">
        <v>0</v>
      </c>
      <c r="H131" s="1567"/>
      <c r="I131" s="1567" t="s">
        <v>3309</v>
      </c>
      <c r="J131" s="1567"/>
      <c r="K131" s="1568" t="str">
        <f t="shared" si="1"/>
        <v>No</v>
      </c>
      <c r="L131" s="1565" t="s">
        <v>3052</v>
      </c>
    </row>
    <row r="132" spans="1:12" ht="20.100000000000001" customHeight="1">
      <c r="A132" s="1568" t="s">
        <v>3224</v>
      </c>
      <c r="B132" s="1567">
        <v>43020</v>
      </c>
      <c r="C132" s="1568" t="s">
        <v>3310</v>
      </c>
      <c r="D132" s="1568" t="s">
        <v>3002</v>
      </c>
      <c r="E132" s="1567">
        <v>43020</v>
      </c>
      <c r="F132" s="1566">
        <v>21736</v>
      </c>
      <c r="G132" s="1566">
        <v>0</v>
      </c>
      <c r="H132" s="1567"/>
      <c r="I132" s="1567" t="s">
        <v>3309</v>
      </c>
      <c r="J132" s="1567"/>
      <c r="K132" s="1568" t="str">
        <f t="shared" si="1"/>
        <v>No</v>
      </c>
      <c r="L132" s="1565"/>
    </row>
    <row r="133" spans="1:12" ht="20.100000000000001" customHeight="1">
      <c r="A133" s="1568" t="s">
        <v>3223</v>
      </c>
      <c r="B133" s="1567">
        <v>43023</v>
      </c>
      <c r="C133" s="1568" t="s">
        <v>3310</v>
      </c>
      <c r="D133" s="1568" t="s">
        <v>2972</v>
      </c>
      <c r="E133" s="1567">
        <v>43023</v>
      </c>
      <c r="F133" s="1566">
        <v>2000</v>
      </c>
      <c r="G133" s="1566">
        <v>0</v>
      </c>
      <c r="H133" s="1567"/>
      <c r="I133" s="1567" t="s">
        <v>3309</v>
      </c>
      <c r="J133" s="1567"/>
      <c r="K133" s="1568" t="str">
        <f t="shared" ref="K133:K196" si="2">IF(I133="N/A","No",IF(E133&lt;=I133,"No","Yes"))</f>
        <v>No</v>
      </c>
      <c r="L133" s="1565"/>
    </row>
    <row r="134" spans="1:12" ht="20.100000000000001" customHeight="1">
      <c r="A134" s="1568" t="s">
        <v>3222</v>
      </c>
      <c r="B134" s="1567">
        <v>43029</v>
      </c>
      <c r="C134" s="1568" t="s">
        <v>3310</v>
      </c>
      <c r="D134" s="1568" t="s">
        <v>2977</v>
      </c>
      <c r="E134" s="1567">
        <v>43029</v>
      </c>
      <c r="F134" s="1566">
        <v>496</v>
      </c>
      <c r="G134" s="1566">
        <v>0</v>
      </c>
      <c r="H134" s="1567"/>
      <c r="I134" s="1567" t="s">
        <v>3309</v>
      </c>
      <c r="J134" s="1567"/>
      <c r="K134" s="1568" t="str">
        <f t="shared" si="2"/>
        <v>No</v>
      </c>
      <c r="L134" s="1565"/>
    </row>
    <row r="135" spans="1:12" ht="20.100000000000001" customHeight="1">
      <c r="A135" s="1568" t="s">
        <v>3221</v>
      </c>
      <c r="B135" s="1567">
        <v>43031</v>
      </c>
      <c r="C135" s="1568" t="s">
        <v>3310</v>
      </c>
      <c r="D135" s="1568" t="s">
        <v>2956</v>
      </c>
      <c r="E135" s="1567">
        <v>43031</v>
      </c>
      <c r="F135" s="1566">
        <v>46591</v>
      </c>
      <c r="G135" s="1566">
        <v>0</v>
      </c>
      <c r="H135" s="1567"/>
      <c r="I135" s="1567" t="s">
        <v>3309</v>
      </c>
      <c r="J135" s="1567"/>
      <c r="K135" s="1568" t="str">
        <f t="shared" si="2"/>
        <v>No</v>
      </c>
      <c r="L135" s="1565"/>
    </row>
    <row r="136" spans="1:12" ht="20.100000000000001" customHeight="1">
      <c r="A136" s="1568" t="s">
        <v>3220</v>
      </c>
      <c r="B136" s="1567">
        <v>43031</v>
      </c>
      <c r="C136" s="1568" t="s">
        <v>3310</v>
      </c>
      <c r="D136" s="1568" t="s">
        <v>2974</v>
      </c>
      <c r="E136" s="1567">
        <v>43031</v>
      </c>
      <c r="F136" s="1566">
        <v>116479</v>
      </c>
      <c r="G136" s="1566">
        <v>0</v>
      </c>
      <c r="H136" s="1567"/>
      <c r="I136" s="1567" t="s">
        <v>3309</v>
      </c>
      <c r="J136" s="1567"/>
      <c r="K136" s="1568" t="str">
        <f t="shared" si="2"/>
        <v>No</v>
      </c>
      <c r="L136" s="1565"/>
    </row>
    <row r="137" spans="1:12" ht="20.100000000000001" customHeight="1">
      <c r="A137" s="1568" t="s">
        <v>3219</v>
      </c>
      <c r="B137" s="1567">
        <v>43031</v>
      </c>
      <c r="C137" s="1568" t="s">
        <v>3310</v>
      </c>
      <c r="D137" s="1568" t="s">
        <v>2958</v>
      </c>
      <c r="E137" s="1567">
        <v>43031</v>
      </c>
      <c r="F137" s="1566">
        <v>34943</v>
      </c>
      <c r="G137" s="1566">
        <v>0</v>
      </c>
      <c r="H137" s="1567"/>
      <c r="I137" s="1567" t="s">
        <v>3309</v>
      </c>
      <c r="J137" s="1567"/>
      <c r="K137" s="1568" t="str">
        <f t="shared" si="2"/>
        <v>No</v>
      </c>
      <c r="L137" s="1565"/>
    </row>
    <row r="138" spans="1:12" ht="20.100000000000001" customHeight="1">
      <c r="A138" s="1568" t="s">
        <v>3218</v>
      </c>
      <c r="B138" s="1567">
        <v>43031</v>
      </c>
      <c r="C138" s="1568" t="s">
        <v>3310</v>
      </c>
      <c r="D138" s="1568" t="s">
        <v>2953</v>
      </c>
      <c r="E138" s="1567">
        <v>43031</v>
      </c>
      <c r="F138" s="1566">
        <v>11647</v>
      </c>
      <c r="G138" s="1566">
        <v>0</v>
      </c>
      <c r="H138" s="1567"/>
      <c r="I138" s="1567" t="s">
        <v>3309</v>
      </c>
      <c r="J138" s="1567"/>
      <c r="K138" s="1568" t="str">
        <f t="shared" si="2"/>
        <v>No</v>
      </c>
      <c r="L138" s="1565"/>
    </row>
    <row r="139" spans="1:12" ht="20.100000000000001" customHeight="1">
      <c r="A139" s="1568" t="s">
        <v>3217</v>
      </c>
      <c r="B139" s="1567">
        <v>43031</v>
      </c>
      <c r="C139" s="1568" t="s">
        <v>3310</v>
      </c>
      <c r="D139" s="1568" t="s">
        <v>2976</v>
      </c>
      <c r="E139" s="1567">
        <v>43031</v>
      </c>
      <c r="F139" s="1566">
        <v>1164795</v>
      </c>
      <c r="G139" s="1566">
        <v>0</v>
      </c>
      <c r="H139" s="1567"/>
      <c r="I139" s="1567" t="s">
        <v>3309</v>
      </c>
      <c r="J139" s="1567"/>
      <c r="K139" s="1568" t="str">
        <f t="shared" si="2"/>
        <v>No</v>
      </c>
      <c r="L139" s="1565"/>
    </row>
    <row r="140" spans="1:12" ht="20.100000000000001" customHeight="1">
      <c r="A140" s="1568" t="s">
        <v>3216</v>
      </c>
      <c r="B140" s="1567">
        <v>43031</v>
      </c>
      <c r="C140" s="1568" t="s">
        <v>3310</v>
      </c>
      <c r="D140" s="1568" t="s">
        <v>2965</v>
      </c>
      <c r="E140" s="1567">
        <v>43031</v>
      </c>
      <c r="F140" s="1566">
        <v>144441</v>
      </c>
      <c r="G140" s="1566">
        <v>0</v>
      </c>
      <c r="H140" s="1567"/>
      <c r="I140" s="1567" t="s">
        <v>3309</v>
      </c>
      <c r="J140" s="1567"/>
      <c r="K140" s="1568" t="str">
        <f t="shared" si="2"/>
        <v>No</v>
      </c>
      <c r="L140" s="1565"/>
    </row>
    <row r="141" spans="1:12" ht="20.100000000000001" customHeight="1">
      <c r="A141" s="1568" t="s">
        <v>3215</v>
      </c>
      <c r="B141" s="1567">
        <v>43031</v>
      </c>
      <c r="C141" s="1568" t="s">
        <v>3310</v>
      </c>
      <c r="D141" s="1568" t="s">
        <v>2982</v>
      </c>
      <c r="E141" s="1567">
        <v>43031</v>
      </c>
      <c r="F141" s="1566">
        <v>23295</v>
      </c>
      <c r="G141" s="1566">
        <v>0</v>
      </c>
      <c r="H141" s="1567"/>
      <c r="I141" s="1567" t="s">
        <v>3309</v>
      </c>
      <c r="J141" s="1567"/>
      <c r="K141" s="1568" t="str">
        <f t="shared" si="2"/>
        <v>No</v>
      </c>
      <c r="L141" s="1565"/>
    </row>
    <row r="142" spans="1:12" ht="20.100000000000001" customHeight="1">
      <c r="A142" s="1568" t="s">
        <v>3214</v>
      </c>
      <c r="B142" s="1567">
        <v>43031</v>
      </c>
      <c r="C142" s="1568" t="s">
        <v>3310</v>
      </c>
      <c r="D142" s="1568" t="s">
        <v>2989</v>
      </c>
      <c r="E142" s="1567">
        <v>43031</v>
      </c>
      <c r="F142" s="1566">
        <v>3494385</v>
      </c>
      <c r="G142" s="1566">
        <v>0</v>
      </c>
      <c r="H142" s="1567"/>
      <c r="I142" s="1567" t="s">
        <v>3309</v>
      </c>
      <c r="J142" s="1567"/>
      <c r="K142" s="1568" t="str">
        <f t="shared" si="2"/>
        <v>No</v>
      </c>
      <c r="L142" s="1565"/>
    </row>
    <row r="143" spans="1:12" ht="20.100000000000001" customHeight="1">
      <c r="A143" s="1568" t="s">
        <v>3213</v>
      </c>
      <c r="B143" s="1567">
        <v>43031</v>
      </c>
      <c r="C143" s="1568" t="s">
        <v>3310</v>
      </c>
      <c r="D143" s="1568" t="s">
        <v>3007</v>
      </c>
      <c r="E143" s="1567">
        <v>43031</v>
      </c>
      <c r="F143" s="1566">
        <v>2752</v>
      </c>
      <c r="G143" s="1566">
        <v>0</v>
      </c>
      <c r="H143" s="1567"/>
      <c r="I143" s="1567" t="s">
        <v>3309</v>
      </c>
      <c r="J143" s="1567"/>
      <c r="K143" s="1568" t="str">
        <f t="shared" si="2"/>
        <v>No</v>
      </c>
      <c r="L143" s="1565"/>
    </row>
    <row r="144" spans="1:12" ht="20.100000000000001" customHeight="1">
      <c r="A144" s="1568" t="s">
        <v>3212</v>
      </c>
      <c r="B144" s="1567">
        <v>43031</v>
      </c>
      <c r="C144" s="1568" t="s">
        <v>3310</v>
      </c>
      <c r="D144" s="1568" t="s">
        <v>2983</v>
      </c>
      <c r="E144" s="1567">
        <v>43031</v>
      </c>
      <c r="F144" s="1566">
        <v>23295</v>
      </c>
      <c r="G144" s="1566">
        <v>0</v>
      </c>
      <c r="H144" s="1567"/>
      <c r="I144" s="1567" t="s">
        <v>3309</v>
      </c>
      <c r="J144" s="1567"/>
      <c r="K144" s="1568" t="str">
        <f t="shared" si="2"/>
        <v>No</v>
      </c>
      <c r="L144" s="1565" t="s">
        <v>3052</v>
      </c>
    </row>
    <row r="145" spans="1:12" ht="20.100000000000001" customHeight="1">
      <c r="A145" s="1568" t="s">
        <v>3211</v>
      </c>
      <c r="B145" s="1567">
        <v>43031</v>
      </c>
      <c r="C145" s="1568" t="s">
        <v>3310</v>
      </c>
      <c r="D145" s="1568" t="s">
        <v>2968</v>
      </c>
      <c r="E145" s="1567">
        <v>43031</v>
      </c>
      <c r="F145" s="1566">
        <v>34943</v>
      </c>
      <c r="G145" s="1566">
        <v>0</v>
      </c>
      <c r="H145" s="1567"/>
      <c r="I145" s="1567" t="s">
        <v>3309</v>
      </c>
      <c r="J145" s="1567"/>
      <c r="K145" s="1568" t="str">
        <f t="shared" si="2"/>
        <v>No</v>
      </c>
      <c r="L145" s="1565"/>
    </row>
    <row r="146" spans="1:12" ht="20.100000000000001" customHeight="1">
      <c r="A146" s="1568" t="s">
        <v>3209</v>
      </c>
      <c r="B146" s="1567">
        <v>43040</v>
      </c>
      <c r="C146" s="1568" t="s">
        <v>3310</v>
      </c>
      <c r="D146" s="1568" t="s">
        <v>2983</v>
      </c>
      <c r="E146" s="1567">
        <v>43040</v>
      </c>
      <c r="F146" s="1566">
        <v>6600</v>
      </c>
      <c r="G146" s="1566">
        <v>0</v>
      </c>
      <c r="H146" s="1567"/>
      <c r="I146" s="1567" t="s">
        <v>3309</v>
      </c>
      <c r="J146" s="1567"/>
      <c r="K146" s="1568" t="str">
        <f t="shared" si="2"/>
        <v>No</v>
      </c>
      <c r="L146" s="1565" t="s">
        <v>3052</v>
      </c>
    </row>
    <row r="147" spans="1:12" ht="20.100000000000001" customHeight="1">
      <c r="A147" s="1568" t="s">
        <v>3208</v>
      </c>
      <c r="B147" s="1567">
        <v>43045</v>
      </c>
      <c r="C147" s="1568" t="s">
        <v>3310</v>
      </c>
      <c r="D147" s="1568" t="s">
        <v>2961</v>
      </c>
      <c r="E147" s="1567">
        <v>43045</v>
      </c>
      <c r="F147" s="1566">
        <v>4496</v>
      </c>
      <c r="G147" s="1566">
        <v>0</v>
      </c>
      <c r="H147" s="1567"/>
      <c r="I147" s="1567" t="s">
        <v>3309</v>
      </c>
      <c r="J147" s="1567"/>
      <c r="K147" s="1568" t="str">
        <f t="shared" si="2"/>
        <v>No</v>
      </c>
      <c r="L147" s="1565"/>
    </row>
    <row r="148" spans="1:12" ht="20.100000000000001" customHeight="1">
      <c r="A148" s="1568" t="s">
        <v>3207</v>
      </c>
      <c r="B148" s="1567">
        <v>43067</v>
      </c>
      <c r="C148" s="1568" t="s">
        <v>3310</v>
      </c>
      <c r="D148" s="1568" t="s">
        <v>3002</v>
      </c>
      <c r="E148" s="1567">
        <v>43067</v>
      </c>
      <c r="F148" s="1566">
        <v>30432</v>
      </c>
      <c r="G148" s="1566">
        <v>0</v>
      </c>
      <c r="H148" s="1567"/>
      <c r="I148" s="1567" t="s">
        <v>3309</v>
      </c>
      <c r="J148" s="1567"/>
      <c r="K148" s="1568" t="str">
        <f t="shared" si="2"/>
        <v>No</v>
      </c>
      <c r="L148" s="1565"/>
    </row>
    <row r="149" spans="1:12" ht="20.100000000000001" customHeight="1">
      <c r="A149" s="1568" t="s">
        <v>3206</v>
      </c>
      <c r="B149" s="1567">
        <v>43076</v>
      </c>
      <c r="C149" s="1568" t="s">
        <v>3310</v>
      </c>
      <c r="D149" s="1568" t="s">
        <v>2961</v>
      </c>
      <c r="E149" s="1567">
        <v>43076</v>
      </c>
      <c r="F149" s="1566">
        <v>4496</v>
      </c>
      <c r="G149" s="1566">
        <v>0</v>
      </c>
      <c r="H149" s="1567"/>
      <c r="I149" s="1567" t="s">
        <v>3309</v>
      </c>
      <c r="J149" s="1567"/>
      <c r="K149" s="1568" t="str">
        <f t="shared" si="2"/>
        <v>No</v>
      </c>
      <c r="L149" s="1565"/>
    </row>
    <row r="150" spans="1:12" ht="20.100000000000001" customHeight="1">
      <c r="A150" s="1568" t="s">
        <v>3205</v>
      </c>
      <c r="B150" s="1567">
        <v>43077</v>
      </c>
      <c r="C150" s="1568" t="s">
        <v>3310</v>
      </c>
      <c r="D150" s="1568" t="s">
        <v>2980</v>
      </c>
      <c r="E150" s="1567">
        <v>43077</v>
      </c>
      <c r="F150" s="1566">
        <v>696</v>
      </c>
      <c r="G150" s="1566">
        <v>0</v>
      </c>
      <c r="H150" s="1567"/>
      <c r="I150" s="1567" t="s">
        <v>3309</v>
      </c>
      <c r="J150" s="1567"/>
      <c r="K150" s="1568" t="str">
        <f t="shared" si="2"/>
        <v>No</v>
      </c>
      <c r="L150" s="1565"/>
    </row>
    <row r="151" spans="1:12" ht="20.100000000000001" customHeight="1">
      <c r="A151" s="1568" t="s">
        <v>3204</v>
      </c>
      <c r="B151" s="1567">
        <v>43089</v>
      </c>
      <c r="C151" s="1568" t="s">
        <v>3310</v>
      </c>
      <c r="D151" s="1568" t="s">
        <v>2999</v>
      </c>
      <c r="E151" s="1567">
        <v>43089</v>
      </c>
      <c r="F151" s="1566">
        <v>10192</v>
      </c>
      <c r="G151" s="1566">
        <v>0</v>
      </c>
      <c r="H151" s="1567"/>
      <c r="I151" s="1567" t="s">
        <v>3309</v>
      </c>
      <c r="J151" s="1567"/>
      <c r="K151" s="1568" t="str">
        <f t="shared" si="2"/>
        <v>No</v>
      </c>
      <c r="L151" s="1565"/>
    </row>
    <row r="152" spans="1:12" ht="20.100000000000001" customHeight="1">
      <c r="A152" s="1568" t="s">
        <v>3203</v>
      </c>
      <c r="B152" s="1567">
        <v>43101</v>
      </c>
      <c r="C152" s="1568" t="s">
        <v>3310</v>
      </c>
      <c r="D152" s="1568" t="s">
        <v>2961</v>
      </c>
      <c r="E152" s="1567">
        <v>43101</v>
      </c>
      <c r="F152" s="1566">
        <v>4496</v>
      </c>
      <c r="G152" s="1566">
        <v>0</v>
      </c>
      <c r="H152" s="1567"/>
      <c r="I152" s="1567" t="s">
        <v>3309</v>
      </c>
      <c r="J152" s="1567"/>
      <c r="K152" s="1568" t="str">
        <f t="shared" si="2"/>
        <v>No</v>
      </c>
      <c r="L152" s="1565"/>
    </row>
    <row r="153" spans="1:12" ht="20.100000000000001" customHeight="1">
      <c r="A153" s="1568" t="s">
        <v>3202</v>
      </c>
      <c r="B153" s="1567">
        <v>43101</v>
      </c>
      <c r="C153" s="1568" t="s">
        <v>3310</v>
      </c>
      <c r="D153" s="1568" t="s">
        <v>2999</v>
      </c>
      <c r="E153" s="1567">
        <v>43101</v>
      </c>
      <c r="F153" s="1566">
        <v>5096</v>
      </c>
      <c r="G153" s="1566">
        <v>0</v>
      </c>
      <c r="H153" s="1567"/>
      <c r="I153" s="1567" t="s">
        <v>3309</v>
      </c>
      <c r="J153" s="1567"/>
      <c r="K153" s="1568" t="str">
        <f t="shared" si="2"/>
        <v>No</v>
      </c>
      <c r="L153" s="1565"/>
    </row>
    <row r="154" spans="1:12" ht="20.100000000000001" customHeight="1">
      <c r="A154" s="1568" t="s">
        <v>3201</v>
      </c>
      <c r="B154" s="1567">
        <v>43108</v>
      </c>
      <c r="C154" s="1568" t="s">
        <v>3310</v>
      </c>
      <c r="D154" s="1568" t="s">
        <v>3002</v>
      </c>
      <c r="E154" s="1567">
        <v>43108</v>
      </c>
      <c r="F154" s="1566">
        <v>5700</v>
      </c>
      <c r="G154" s="1566">
        <v>0</v>
      </c>
      <c r="H154" s="1567"/>
      <c r="I154" s="1567" t="s">
        <v>3309</v>
      </c>
      <c r="J154" s="1567"/>
      <c r="K154" s="1568" t="str">
        <f t="shared" si="2"/>
        <v>No</v>
      </c>
      <c r="L154" s="1565"/>
    </row>
    <row r="155" spans="1:12" ht="20.100000000000001" customHeight="1">
      <c r="A155" s="1568" t="s">
        <v>3200</v>
      </c>
      <c r="B155" s="1567">
        <v>43111</v>
      </c>
      <c r="C155" s="1568" t="s">
        <v>3310</v>
      </c>
      <c r="D155" s="1568" t="s">
        <v>3000</v>
      </c>
      <c r="E155" s="1567">
        <v>43111</v>
      </c>
      <c r="F155" s="1566">
        <v>1000</v>
      </c>
      <c r="G155" s="1566">
        <v>0</v>
      </c>
      <c r="H155" s="1567"/>
      <c r="I155" s="1567" t="s">
        <v>3309</v>
      </c>
      <c r="J155" s="1567"/>
      <c r="K155" s="1568" t="str">
        <f t="shared" si="2"/>
        <v>No</v>
      </c>
      <c r="L155" s="1565"/>
    </row>
    <row r="156" spans="1:12" ht="20.100000000000001" customHeight="1">
      <c r="A156" s="1568" t="s">
        <v>3199</v>
      </c>
      <c r="B156" s="1567">
        <v>43124</v>
      </c>
      <c r="C156" s="1568" t="s">
        <v>3310</v>
      </c>
      <c r="D156" s="1568" t="s">
        <v>2977</v>
      </c>
      <c r="E156" s="1567">
        <v>43124</v>
      </c>
      <c r="F156" s="1566">
        <v>256</v>
      </c>
      <c r="G156" s="1566">
        <v>0</v>
      </c>
      <c r="H156" s="1567"/>
      <c r="I156" s="1567" t="s">
        <v>3309</v>
      </c>
      <c r="J156" s="1567"/>
      <c r="K156" s="1568" t="str">
        <f t="shared" si="2"/>
        <v>No</v>
      </c>
      <c r="L156" s="1565"/>
    </row>
    <row r="157" spans="1:12" ht="20.100000000000001" customHeight="1">
      <c r="A157" s="1568" t="s">
        <v>3198</v>
      </c>
      <c r="B157" s="1567">
        <v>43128</v>
      </c>
      <c r="C157" s="1568" t="s">
        <v>3310</v>
      </c>
      <c r="D157" s="1568" t="s">
        <v>2972</v>
      </c>
      <c r="E157" s="1567">
        <v>43128</v>
      </c>
      <c r="F157" s="1566">
        <v>2000</v>
      </c>
      <c r="G157" s="1566">
        <v>0</v>
      </c>
      <c r="H157" s="1567"/>
      <c r="I157" s="1567" t="s">
        <v>3309</v>
      </c>
      <c r="J157" s="1567"/>
      <c r="K157" s="1568" t="str">
        <f t="shared" si="2"/>
        <v>No</v>
      </c>
      <c r="L157" s="1565"/>
    </row>
    <row r="158" spans="1:12" ht="20.100000000000001" customHeight="1">
      <c r="A158" s="1568" t="s">
        <v>3197</v>
      </c>
      <c r="B158" s="1567">
        <v>43132</v>
      </c>
      <c r="C158" s="1568" t="s">
        <v>3310</v>
      </c>
      <c r="D158" s="1568" t="s">
        <v>2999</v>
      </c>
      <c r="E158" s="1567">
        <v>43132</v>
      </c>
      <c r="F158" s="1566">
        <v>5096</v>
      </c>
      <c r="G158" s="1566">
        <v>0</v>
      </c>
      <c r="H158" s="1567"/>
      <c r="I158" s="1567" t="s">
        <v>3309</v>
      </c>
      <c r="J158" s="1567"/>
      <c r="K158" s="1568" t="str">
        <f t="shared" si="2"/>
        <v>No</v>
      </c>
      <c r="L158" s="1565"/>
    </row>
    <row r="159" spans="1:12" ht="20.100000000000001" customHeight="1">
      <c r="A159" s="1568" t="s">
        <v>3196</v>
      </c>
      <c r="B159" s="1567">
        <v>43138</v>
      </c>
      <c r="C159" s="1568" t="s">
        <v>3310</v>
      </c>
      <c r="D159" s="1568" t="s">
        <v>2961</v>
      </c>
      <c r="E159" s="1567">
        <v>43138</v>
      </c>
      <c r="F159" s="1566">
        <v>4496</v>
      </c>
      <c r="G159" s="1566">
        <v>0</v>
      </c>
      <c r="H159" s="1567"/>
      <c r="I159" s="1567" t="s">
        <v>3309</v>
      </c>
      <c r="J159" s="1567"/>
      <c r="K159" s="1568" t="str">
        <f t="shared" si="2"/>
        <v>No</v>
      </c>
      <c r="L159" s="1565"/>
    </row>
    <row r="160" spans="1:12" ht="20.100000000000001" customHeight="1">
      <c r="A160" s="1568" t="s">
        <v>3195</v>
      </c>
      <c r="B160" s="1567">
        <v>43141</v>
      </c>
      <c r="C160" s="1568" t="s">
        <v>3310</v>
      </c>
      <c r="D160" s="1568" t="s">
        <v>3000</v>
      </c>
      <c r="E160" s="1567">
        <v>43141</v>
      </c>
      <c r="F160" s="1566">
        <v>248</v>
      </c>
      <c r="G160" s="1566">
        <v>0</v>
      </c>
      <c r="H160" s="1567"/>
      <c r="I160" s="1567" t="s">
        <v>3309</v>
      </c>
      <c r="J160" s="1567"/>
      <c r="K160" s="1568" t="str">
        <f t="shared" si="2"/>
        <v>No</v>
      </c>
      <c r="L160" s="1565"/>
    </row>
    <row r="161" spans="1:12" ht="20.100000000000001" customHeight="1">
      <c r="A161" s="1568" t="s">
        <v>3194</v>
      </c>
      <c r="B161" s="1567">
        <v>43162</v>
      </c>
      <c r="C161" s="1568" t="s">
        <v>3310</v>
      </c>
      <c r="D161" s="1568" t="s">
        <v>2999</v>
      </c>
      <c r="E161" s="1567">
        <v>43162</v>
      </c>
      <c r="F161" s="1566">
        <v>5096</v>
      </c>
      <c r="G161" s="1566">
        <v>0</v>
      </c>
      <c r="H161" s="1567"/>
      <c r="I161" s="1567" t="s">
        <v>3309</v>
      </c>
      <c r="J161" s="1567"/>
      <c r="K161" s="1568" t="str">
        <f t="shared" si="2"/>
        <v>No</v>
      </c>
      <c r="L161" s="1565"/>
    </row>
    <row r="162" spans="1:12" ht="20.100000000000001" customHeight="1">
      <c r="A162" s="1568" t="s">
        <v>3193</v>
      </c>
      <c r="B162" s="1567">
        <v>43162</v>
      </c>
      <c r="C162" s="1568" t="s">
        <v>3310</v>
      </c>
      <c r="D162" s="1568" t="s">
        <v>2999</v>
      </c>
      <c r="E162" s="1567">
        <v>43162</v>
      </c>
      <c r="F162" s="1566">
        <v>9771</v>
      </c>
      <c r="G162" s="1566">
        <v>0</v>
      </c>
      <c r="H162" s="1567"/>
      <c r="I162" s="1567" t="s">
        <v>3309</v>
      </c>
      <c r="J162" s="1567"/>
      <c r="K162" s="1568" t="str">
        <f t="shared" si="2"/>
        <v>No</v>
      </c>
      <c r="L162" s="1565"/>
    </row>
    <row r="163" spans="1:12" ht="20.100000000000001" customHeight="1">
      <c r="A163" s="1568" t="s">
        <v>3192</v>
      </c>
      <c r="B163" s="1567">
        <v>43168</v>
      </c>
      <c r="C163" s="1568" t="s">
        <v>3310</v>
      </c>
      <c r="D163" s="1568" t="s">
        <v>2980</v>
      </c>
      <c r="E163" s="1567">
        <v>43168</v>
      </c>
      <c r="F163" s="1566">
        <v>704</v>
      </c>
      <c r="G163" s="1566">
        <v>0</v>
      </c>
      <c r="H163" s="1567"/>
      <c r="I163" s="1567" t="s">
        <v>3309</v>
      </c>
      <c r="J163" s="1567"/>
      <c r="K163" s="1568" t="str">
        <f t="shared" si="2"/>
        <v>No</v>
      </c>
      <c r="L163" s="1565"/>
    </row>
    <row r="164" spans="1:12" ht="20.100000000000001" customHeight="1">
      <c r="A164" s="1568" t="s">
        <v>3191</v>
      </c>
      <c r="B164" s="1567">
        <v>43169</v>
      </c>
      <c r="C164" s="1568" t="s">
        <v>3310</v>
      </c>
      <c r="D164" s="1568" t="s">
        <v>2961</v>
      </c>
      <c r="E164" s="1567">
        <v>43169</v>
      </c>
      <c r="F164" s="1566">
        <v>4496</v>
      </c>
      <c r="G164" s="1566">
        <v>0</v>
      </c>
      <c r="H164" s="1567"/>
      <c r="I164" s="1567" t="s">
        <v>3309</v>
      </c>
      <c r="J164" s="1567"/>
      <c r="K164" s="1568" t="str">
        <f t="shared" si="2"/>
        <v>No</v>
      </c>
      <c r="L164" s="1565"/>
    </row>
    <row r="165" spans="1:12" ht="20.100000000000001" customHeight="1">
      <c r="A165" s="1568" t="s">
        <v>3190</v>
      </c>
      <c r="B165" s="1567">
        <v>43198</v>
      </c>
      <c r="C165" s="1568" t="s">
        <v>3310</v>
      </c>
      <c r="D165" s="1568" t="s">
        <v>2999</v>
      </c>
      <c r="E165" s="1567">
        <v>43198</v>
      </c>
      <c r="F165" s="1566">
        <v>5096</v>
      </c>
      <c r="G165" s="1566">
        <v>0</v>
      </c>
      <c r="H165" s="1567"/>
      <c r="I165" s="1567" t="s">
        <v>3309</v>
      </c>
      <c r="J165" s="1567"/>
      <c r="K165" s="1568" t="str">
        <f t="shared" si="2"/>
        <v>No</v>
      </c>
      <c r="L165" s="1565"/>
    </row>
    <row r="166" spans="1:12" ht="20.100000000000001" customHeight="1">
      <c r="A166" s="1568" t="s">
        <v>3189</v>
      </c>
      <c r="B166" s="1567">
        <v>43198</v>
      </c>
      <c r="C166" s="1568" t="s">
        <v>3310</v>
      </c>
      <c r="D166" s="1568" t="s">
        <v>2999</v>
      </c>
      <c r="E166" s="1567">
        <v>43198</v>
      </c>
      <c r="F166" s="1566">
        <v>814</v>
      </c>
      <c r="G166" s="1566">
        <v>0</v>
      </c>
      <c r="H166" s="1567"/>
      <c r="I166" s="1567" t="s">
        <v>3309</v>
      </c>
      <c r="J166" s="1567"/>
      <c r="K166" s="1568" t="str">
        <f t="shared" si="2"/>
        <v>No</v>
      </c>
      <c r="L166" s="1565"/>
    </row>
    <row r="167" spans="1:12" ht="20.100000000000001" customHeight="1">
      <c r="A167" s="1568" t="s">
        <v>3188</v>
      </c>
      <c r="B167" s="1567">
        <v>43222</v>
      </c>
      <c r="C167" s="1568" t="s">
        <v>3310</v>
      </c>
      <c r="D167" s="1568" t="s">
        <v>2961</v>
      </c>
      <c r="E167" s="1567">
        <v>43222</v>
      </c>
      <c r="F167" s="1566">
        <v>11400</v>
      </c>
      <c r="G167" s="1566">
        <v>0</v>
      </c>
      <c r="H167" s="1567"/>
      <c r="I167" s="1567" t="s">
        <v>3309</v>
      </c>
      <c r="J167" s="1567"/>
      <c r="K167" s="1568" t="str">
        <f t="shared" si="2"/>
        <v>No</v>
      </c>
      <c r="L167" s="1565"/>
    </row>
    <row r="168" spans="1:12" ht="20.100000000000001" customHeight="1">
      <c r="A168" s="1568" t="s">
        <v>3187</v>
      </c>
      <c r="B168" s="1567">
        <v>43222</v>
      </c>
      <c r="C168" s="1568" t="s">
        <v>3310</v>
      </c>
      <c r="D168" s="1568" t="s">
        <v>2961</v>
      </c>
      <c r="E168" s="1567">
        <v>43222</v>
      </c>
      <c r="F168" s="1566">
        <v>8992</v>
      </c>
      <c r="G168" s="1566">
        <v>0</v>
      </c>
      <c r="H168" s="1567"/>
      <c r="I168" s="1567" t="s">
        <v>3309</v>
      </c>
      <c r="J168" s="1567"/>
      <c r="K168" s="1568" t="str">
        <f t="shared" si="2"/>
        <v>No</v>
      </c>
      <c r="L168" s="1565"/>
    </row>
    <row r="169" spans="1:12" ht="20.100000000000001" customHeight="1">
      <c r="A169" s="1568" t="s">
        <v>3186</v>
      </c>
      <c r="B169" s="1567">
        <v>43240</v>
      </c>
      <c r="C169" s="1568" t="s">
        <v>3310</v>
      </c>
      <c r="D169" s="1568" t="s">
        <v>3000</v>
      </c>
      <c r="E169" s="1567">
        <v>43240</v>
      </c>
      <c r="F169" s="1566">
        <v>256</v>
      </c>
      <c r="G169" s="1566">
        <v>0</v>
      </c>
      <c r="H169" s="1567"/>
      <c r="I169" s="1567" t="s">
        <v>3309</v>
      </c>
      <c r="J169" s="1567"/>
      <c r="K169" s="1568" t="str">
        <f t="shared" si="2"/>
        <v>No</v>
      </c>
      <c r="L169" s="1565"/>
    </row>
    <row r="170" spans="1:12" ht="20.100000000000001" customHeight="1">
      <c r="A170" s="1568" t="s">
        <v>3185</v>
      </c>
      <c r="B170" s="1567">
        <v>43247</v>
      </c>
      <c r="C170" s="1568" t="s">
        <v>3310</v>
      </c>
      <c r="D170" s="1568" t="s">
        <v>2992</v>
      </c>
      <c r="E170" s="1567">
        <v>43247</v>
      </c>
      <c r="F170" s="1566">
        <v>12500</v>
      </c>
      <c r="G170" s="1566">
        <v>0</v>
      </c>
      <c r="H170" s="1567"/>
      <c r="I170" s="1567" t="s">
        <v>3309</v>
      </c>
      <c r="J170" s="1567"/>
      <c r="K170" s="1568" t="str">
        <f t="shared" si="2"/>
        <v>No</v>
      </c>
      <c r="L170" s="1565"/>
    </row>
    <row r="171" spans="1:12" ht="20.100000000000001" customHeight="1">
      <c r="A171" s="1568" t="s">
        <v>3184</v>
      </c>
      <c r="B171" s="1567">
        <v>43253</v>
      </c>
      <c r="C171" s="1568" t="s">
        <v>3310</v>
      </c>
      <c r="D171" s="1568" t="s">
        <v>2999</v>
      </c>
      <c r="E171" s="1567">
        <v>43253</v>
      </c>
      <c r="F171" s="1566">
        <v>1629</v>
      </c>
      <c r="G171" s="1566">
        <v>0</v>
      </c>
      <c r="H171" s="1567"/>
      <c r="I171" s="1567" t="s">
        <v>3309</v>
      </c>
      <c r="J171" s="1567"/>
      <c r="K171" s="1568" t="str">
        <f t="shared" si="2"/>
        <v>No</v>
      </c>
      <c r="L171" s="1565"/>
    </row>
    <row r="172" spans="1:12" ht="20.100000000000001" customHeight="1">
      <c r="A172" s="1568" t="s">
        <v>3183</v>
      </c>
      <c r="B172" s="1567">
        <v>43280</v>
      </c>
      <c r="C172" s="1568" t="s">
        <v>3310</v>
      </c>
      <c r="D172" s="1568" t="s">
        <v>2961</v>
      </c>
      <c r="E172" s="1567">
        <v>43280</v>
      </c>
      <c r="F172" s="1566">
        <v>4496</v>
      </c>
      <c r="G172" s="1566">
        <v>0</v>
      </c>
      <c r="H172" s="1567"/>
      <c r="I172" s="1567" t="s">
        <v>3309</v>
      </c>
      <c r="J172" s="1567"/>
      <c r="K172" s="1568" t="str">
        <f t="shared" si="2"/>
        <v>No</v>
      </c>
      <c r="L172" s="1565"/>
    </row>
    <row r="173" spans="1:12" ht="20.100000000000001" customHeight="1">
      <c r="A173" s="1568" t="s">
        <v>3182</v>
      </c>
      <c r="B173" s="1567">
        <v>43280</v>
      </c>
      <c r="C173" s="1568" t="s">
        <v>3310</v>
      </c>
      <c r="D173" s="1568" t="s">
        <v>2961</v>
      </c>
      <c r="E173" s="1567">
        <v>43280</v>
      </c>
      <c r="F173" s="1566">
        <v>814</v>
      </c>
      <c r="G173" s="1566">
        <v>0</v>
      </c>
      <c r="H173" s="1567"/>
      <c r="I173" s="1567" t="s">
        <v>3309</v>
      </c>
      <c r="J173" s="1567"/>
      <c r="K173" s="1568" t="str">
        <f t="shared" si="2"/>
        <v>No</v>
      </c>
      <c r="L173" s="1565"/>
    </row>
    <row r="174" spans="1:12" ht="20.100000000000001" customHeight="1">
      <c r="A174" s="1568" t="s">
        <v>3181</v>
      </c>
      <c r="B174" s="1567">
        <v>43282</v>
      </c>
      <c r="C174" s="1568" t="s">
        <v>3310</v>
      </c>
      <c r="D174" s="1568" t="s">
        <v>2999</v>
      </c>
      <c r="E174" s="1567">
        <v>43282</v>
      </c>
      <c r="F174" s="1566">
        <v>15288</v>
      </c>
      <c r="G174" s="1566">
        <v>0</v>
      </c>
      <c r="H174" s="1567"/>
      <c r="I174" s="1567" t="s">
        <v>3309</v>
      </c>
      <c r="J174" s="1567"/>
      <c r="K174" s="1568" t="str">
        <f t="shared" si="2"/>
        <v>No</v>
      </c>
      <c r="L174" s="1565"/>
    </row>
    <row r="175" spans="1:12" ht="20.100000000000001" customHeight="1">
      <c r="A175" s="1568" t="s">
        <v>3180</v>
      </c>
      <c r="B175" s="1567">
        <v>43282</v>
      </c>
      <c r="C175" s="1568" t="s">
        <v>3310</v>
      </c>
      <c r="D175" s="1568" t="s">
        <v>2999</v>
      </c>
      <c r="E175" s="1567">
        <v>43282</v>
      </c>
      <c r="F175" s="1566">
        <v>814</v>
      </c>
      <c r="G175" s="1566">
        <v>0</v>
      </c>
      <c r="H175" s="1567"/>
      <c r="I175" s="1567" t="s">
        <v>3309</v>
      </c>
      <c r="J175" s="1567"/>
      <c r="K175" s="1568" t="str">
        <f t="shared" si="2"/>
        <v>No</v>
      </c>
      <c r="L175" s="1565"/>
    </row>
    <row r="176" spans="1:12" ht="20.100000000000001" customHeight="1">
      <c r="A176" s="1568" t="s">
        <v>3179</v>
      </c>
      <c r="B176" s="1567">
        <v>43284</v>
      </c>
      <c r="C176" s="1568" t="s">
        <v>3310</v>
      </c>
      <c r="D176" s="1568" t="s">
        <v>2980</v>
      </c>
      <c r="E176" s="1567">
        <v>43284</v>
      </c>
      <c r="F176" s="1566">
        <v>696</v>
      </c>
      <c r="G176" s="1566">
        <v>0</v>
      </c>
      <c r="H176" s="1567"/>
      <c r="I176" s="1567" t="s">
        <v>3309</v>
      </c>
      <c r="J176" s="1567"/>
      <c r="K176" s="1568" t="str">
        <f t="shared" si="2"/>
        <v>No</v>
      </c>
      <c r="L176" s="1565"/>
    </row>
    <row r="177" spans="1:12" ht="20.100000000000001" customHeight="1">
      <c r="A177" s="1568" t="s">
        <v>3178</v>
      </c>
      <c r="B177" s="1567">
        <v>43313</v>
      </c>
      <c r="C177" s="1568" t="s">
        <v>3310</v>
      </c>
      <c r="D177" s="1568" t="s">
        <v>2999</v>
      </c>
      <c r="E177" s="1567">
        <v>43313</v>
      </c>
      <c r="F177" s="1566">
        <v>814</v>
      </c>
      <c r="G177" s="1566">
        <v>0</v>
      </c>
      <c r="H177" s="1567"/>
      <c r="I177" s="1567" t="s">
        <v>3309</v>
      </c>
      <c r="J177" s="1567"/>
      <c r="K177" s="1568" t="str">
        <f t="shared" si="2"/>
        <v>No</v>
      </c>
      <c r="L177" s="1565"/>
    </row>
    <row r="178" spans="1:12" ht="20.100000000000001" customHeight="1">
      <c r="A178" s="1568" t="s">
        <v>3177</v>
      </c>
      <c r="B178" s="1567">
        <v>43318</v>
      </c>
      <c r="C178" s="1568" t="s">
        <v>3310</v>
      </c>
      <c r="D178" s="1568" t="s">
        <v>2961</v>
      </c>
      <c r="E178" s="1567">
        <v>43318</v>
      </c>
      <c r="F178" s="1566">
        <v>8992</v>
      </c>
      <c r="G178" s="1566">
        <v>0</v>
      </c>
      <c r="H178" s="1567"/>
      <c r="I178" s="1567" t="s">
        <v>3309</v>
      </c>
      <c r="J178" s="1567"/>
      <c r="K178" s="1568" t="str">
        <f t="shared" si="2"/>
        <v>No</v>
      </c>
      <c r="L178" s="1565"/>
    </row>
    <row r="179" spans="1:12" ht="20.100000000000001" customHeight="1">
      <c r="A179" s="1568" t="s">
        <v>3176</v>
      </c>
      <c r="B179" s="1567">
        <v>43318</v>
      </c>
      <c r="C179" s="1568" t="s">
        <v>3310</v>
      </c>
      <c r="D179" s="1568" t="s">
        <v>2961</v>
      </c>
      <c r="E179" s="1567">
        <v>43318</v>
      </c>
      <c r="F179" s="1566">
        <v>1628</v>
      </c>
      <c r="G179" s="1566">
        <v>0</v>
      </c>
      <c r="H179" s="1567"/>
      <c r="I179" s="1567" t="s">
        <v>3309</v>
      </c>
      <c r="J179" s="1567"/>
      <c r="K179" s="1568" t="str">
        <f t="shared" si="2"/>
        <v>No</v>
      </c>
      <c r="L179" s="1565"/>
    </row>
    <row r="180" spans="1:12" ht="20.100000000000001" customHeight="1">
      <c r="A180" s="1568" t="s">
        <v>3175</v>
      </c>
      <c r="B180" s="1567">
        <v>43321</v>
      </c>
      <c r="C180" s="1568" t="s">
        <v>3310</v>
      </c>
      <c r="D180" s="1568" t="s">
        <v>3000</v>
      </c>
      <c r="E180" s="1567">
        <v>43321</v>
      </c>
      <c r="F180" s="1566">
        <v>248</v>
      </c>
      <c r="G180" s="1566">
        <v>0</v>
      </c>
      <c r="H180" s="1567"/>
      <c r="I180" s="1567" t="s">
        <v>3309</v>
      </c>
      <c r="J180" s="1567"/>
      <c r="K180" s="1568" t="str">
        <f t="shared" si="2"/>
        <v>No</v>
      </c>
      <c r="L180" s="1565"/>
    </row>
    <row r="181" spans="1:12" ht="20.100000000000001" customHeight="1">
      <c r="A181" s="1568" t="s">
        <v>3174</v>
      </c>
      <c r="B181" s="1567">
        <v>43331</v>
      </c>
      <c r="C181" s="1568" t="s">
        <v>3310</v>
      </c>
      <c r="D181" s="1568" t="s">
        <v>2964</v>
      </c>
      <c r="E181" s="1567">
        <v>43331</v>
      </c>
      <c r="F181" s="1566">
        <v>100</v>
      </c>
      <c r="G181" s="1566">
        <v>0</v>
      </c>
      <c r="H181" s="1567"/>
      <c r="I181" s="1567" t="s">
        <v>3309</v>
      </c>
      <c r="J181" s="1567"/>
      <c r="K181" s="1568" t="str">
        <f t="shared" si="2"/>
        <v>No</v>
      </c>
      <c r="L181" s="1565"/>
    </row>
    <row r="182" spans="1:12" ht="20.100000000000001" customHeight="1">
      <c r="A182" s="1568" t="s">
        <v>3173</v>
      </c>
      <c r="B182" s="1567">
        <v>43344</v>
      </c>
      <c r="C182" s="1568" t="s">
        <v>3310</v>
      </c>
      <c r="D182" s="1568" t="s">
        <v>2999</v>
      </c>
      <c r="E182" s="1567">
        <v>43344</v>
      </c>
      <c r="F182" s="1566">
        <v>815</v>
      </c>
      <c r="G182" s="1566">
        <v>0</v>
      </c>
      <c r="H182" s="1567"/>
      <c r="I182" s="1567" t="s">
        <v>3309</v>
      </c>
      <c r="J182" s="1567"/>
      <c r="K182" s="1568" t="str">
        <f t="shared" si="2"/>
        <v>No</v>
      </c>
      <c r="L182" s="1565"/>
    </row>
    <row r="183" spans="1:12" ht="20.100000000000001" customHeight="1">
      <c r="A183" s="1568" t="s">
        <v>3172</v>
      </c>
      <c r="B183" s="1567">
        <v>43348</v>
      </c>
      <c r="C183" s="1568" t="s">
        <v>3310</v>
      </c>
      <c r="D183" s="1568" t="s">
        <v>2964</v>
      </c>
      <c r="E183" s="1567">
        <v>43348</v>
      </c>
      <c r="F183" s="1566">
        <v>800</v>
      </c>
      <c r="G183" s="1566">
        <v>0</v>
      </c>
      <c r="H183" s="1567"/>
      <c r="I183" s="1567" t="s">
        <v>3309</v>
      </c>
      <c r="J183" s="1567"/>
      <c r="K183" s="1568" t="str">
        <f t="shared" si="2"/>
        <v>No</v>
      </c>
      <c r="L183" s="1565"/>
    </row>
    <row r="184" spans="1:12" ht="20.100000000000001" customHeight="1">
      <c r="A184" s="1568" t="s">
        <v>3171</v>
      </c>
      <c r="B184" s="1567">
        <v>43357</v>
      </c>
      <c r="C184" s="1568" t="s">
        <v>3310</v>
      </c>
      <c r="D184" s="1568" t="s">
        <v>2964</v>
      </c>
      <c r="E184" s="1567">
        <v>43357</v>
      </c>
      <c r="F184" s="1566">
        <v>266</v>
      </c>
      <c r="G184" s="1566">
        <v>0</v>
      </c>
      <c r="H184" s="1567"/>
      <c r="I184" s="1567" t="s">
        <v>3309</v>
      </c>
      <c r="J184" s="1567"/>
      <c r="K184" s="1568" t="str">
        <f t="shared" si="2"/>
        <v>No</v>
      </c>
      <c r="L184" s="1565"/>
    </row>
    <row r="185" spans="1:12" ht="20.100000000000001" customHeight="1">
      <c r="A185" s="1568" t="s">
        <v>3170</v>
      </c>
      <c r="B185" s="1567">
        <v>43360</v>
      </c>
      <c r="C185" s="1568" t="s">
        <v>3310</v>
      </c>
      <c r="D185" s="1568" t="s">
        <v>2983</v>
      </c>
      <c r="E185" s="1567">
        <v>43360</v>
      </c>
      <c r="F185" s="1566">
        <v>14657</v>
      </c>
      <c r="G185" s="1566">
        <v>0</v>
      </c>
      <c r="H185" s="1567"/>
      <c r="I185" s="1567" t="s">
        <v>3309</v>
      </c>
      <c r="J185" s="1567"/>
      <c r="K185" s="1568" t="str">
        <f t="shared" si="2"/>
        <v>No</v>
      </c>
      <c r="L185" s="1565" t="s">
        <v>3052</v>
      </c>
    </row>
    <row r="186" spans="1:12" ht="20.100000000000001" customHeight="1">
      <c r="A186" s="1568" t="s">
        <v>3169</v>
      </c>
      <c r="B186" s="1567">
        <v>43360</v>
      </c>
      <c r="C186" s="1568" t="s">
        <v>3310</v>
      </c>
      <c r="D186" s="1568" t="s">
        <v>2983</v>
      </c>
      <c r="E186" s="1567">
        <v>43360</v>
      </c>
      <c r="F186" s="1566">
        <v>39576</v>
      </c>
      <c r="G186" s="1566">
        <v>0</v>
      </c>
      <c r="H186" s="1567"/>
      <c r="I186" s="1567" t="s">
        <v>3309</v>
      </c>
      <c r="J186" s="1567"/>
      <c r="K186" s="1568" t="str">
        <f t="shared" si="2"/>
        <v>No</v>
      </c>
      <c r="L186" s="1565" t="s">
        <v>3052</v>
      </c>
    </row>
    <row r="187" spans="1:12" ht="20.100000000000001" customHeight="1">
      <c r="A187" s="1568" t="s">
        <v>3168</v>
      </c>
      <c r="B187" s="1567">
        <v>43368</v>
      </c>
      <c r="C187" s="1568" t="s">
        <v>3310</v>
      </c>
      <c r="D187" s="1568" t="s">
        <v>2964</v>
      </c>
      <c r="E187" s="1567">
        <v>43368</v>
      </c>
      <c r="F187" s="1566">
        <v>84</v>
      </c>
      <c r="G187" s="1566">
        <v>0</v>
      </c>
      <c r="H187" s="1567"/>
      <c r="I187" s="1567" t="s">
        <v>3309</v>
      </c>
      <c r="J187" s="1567"/>
      <c r="K187" s="1568" t="str">
        <f t="shared" si="2"/>
        <v>No</v>
      </c>
      <c r="L187" s="1565"/>
    </row>
    <row r="188" spans="1:12" ht="20.100000000000001" customHeight="1">
      <c r="A188" s="1568" t="s">
        <v>3167</v>
      </c>
      <c r="B188" s="1567">
        <v>43375</v>
      </c>
      <c r="C188" s="1568" t="s">
        <v>3310</v>
      </c>
      <c r="D188" s="1568" t="s">
        <v>2999</v>
      </c>
      <c r="E188" s="1567">
        <v>43375</v>
      </c>
      <c r="F188" s="1566">
        <v>814</v>
      </c>
      <c r="G188" s="1566">
        <v>0</v>
      </c>
      <c r="H188" s="1567"/>
      <c r="I188" s="1567" t="s">
        <v>3309</v>
      </c>
      <c r="J188" s="1567"/>
      <c r="K188" s="1568" t="str">
        <f t="shared" si="2"/>
        <v>No</v>
      </c>
      <c r="L188" s="1565"/>
    </row>
    <row r="189" spans="1:12" ht="20.100000000000001" customHeight="1">
      <c r="A189" s="1568" t="s">
        <v>3166</v>
      </c>
      <c r="B189" s="1567">
        <v>43376</v>
      </c>
      <c r="C189" s="1568" t="s">
        <v>3310</v>
      </c>
      <c r="D189" s="1568" t="s">
        <v>2961</v>
      </c>
      <c r="E189" s="1567">
        <v>43376</v>
      </c>
      <c r="F189" s="1566">
        <v>8992</v>
      </c>
      <c r="G189" s="1566">
        <v>0</v>
      </c>
      <c r="H189" s="1567"/>
      <c r="I189" s="1567" t="s">
        <v>3309</v>
      </c>
      <c r="J189" s="1567"/>
      <c r="K189" s="1568" t="str">
        <f t="shared" si="2"/>
        <v>No</v>
      </c>
      <c r="L189" s="1565"/>
    </row>
    <row r="190" spans="1:12" ht="20.100000000000001" customHeight="1">
      <c r="A190" s="1568" t="s">
        <v>3165</v>
      </c>
      <c r="B190" s="1567">
        <v>43376</v>
      </c>
      <c r="C190" s="1568" t="s">
        <v>3310</v>
      </c>
      <c r="D190" s="1568" t="s">
        <v>2961</v>
      </c>
      <c r="E190" s="1567">
        <v>43376</v>
      </c>
      <c r="F190" s="1566">
        <v>1629</v>
      </c>
      <c r="G190" s="1566">
        <v>0</v>
      </c>
      <c r="H190" s="1567"/>
      <c r="I190" s="1567" t="s">
        <v>3309</v>
      </c>
      <c r="J190" s="1567"/>
      <c r="K190" s="1568" t="str">
        <f t="shared" si="2"/>
        <v>No</v>
      </c>
      <c r="L190" s="1565"/>
    </row>
    <row r="191" spans="1:12" ht="20.100000000000001" customHeight="1">
      <c r="A191" s="1568" t="s">
        <v>3164</v>
      </c>
      <c r="B191" s="1567">
        <v>43388</v>
      </c>
      <c r="C191" s="1568" t="s">
        <v>3310</v>
      </c>
      <c r="D191" s="1568" t="s">
        <v>2964</v>
      </c>
      <c r="E191" s="1567">
        <v>43388</v>
      </c>
      <c r="F191" s="1566">
        <v>83</v>
      </c>
      <c r="G191" s="1566">
        <v>0</v>
      </c>
      <c r="H191" s="1567"/>
      <c r="I191" s="1567" t="s">
        <v>3309</v>
      </c>
      <c r="J191" s="1567"/>
      <c r="K191" s="1568" t="str">
        <f t="shared" si="2"/>
        <v>No</v>
      </c>
      <c r="L191" s="1565"/>
    </row>
    <row r="192" spans="1:12" ht="20.100000000000001" customHeight="1">
      <c r="A192" s="1568" t="s">
        <v>3163</v>
      </c>
      <c r="B192" s="1567">
        <v>43407</v>
      </c>
      <c r="C192" s="1568" t="s">
        <v>3310</v>
      </c>
      <c r="D192" s="1568" t="s">
        <v>2999</v>
      </c>
      <c r="E192" s="1567">
        <v>43407</v>
      </c>
      <c r="F192" s="1566">
        <v>814</v>
      </c>
      <c r="G192" s="1566">
        <v>0</v>
      </c>
      <c r="H192" s="1567"/>
      <c r="I192" s="1567" t="s">
        <v>3309</v>
      </c>
      <c r="J192" s="1567"/>
      <c r="K192" s="1568" t="str">
        <f t="shared" si="2"/>
        <v>No</v>
      </c>
      <c r="L192" s="1565"/>
    </row>
    <row r="193" spans="1:12" ht="20.100000000000001" customHeight="1">
      <c r="A193" s="1568" t="s">
        <v>3162</v>
      </c>
      <c r="B193" s="1567">
        <v>43419</v>
      </c>
      <c r="C193" s="1568" t="s">
        <v>3310</v>
      </c>
      <c r="D193" s="1568" t="s">
        <v>2964</v>
      </c>
      <c r="E193" s="1567">
        <v>43419</v>
      </c>
      <c r="F193" s="1566">
        <v>83</v>
      </c>
      <c r="G193" s="1566">
        <v>0</v>
      </c>
      <c r="H193" s="1567"/>
      <c r="I193" s="1567" t="s">
        <v>3309</v>
      </c>
      <c r="J193" s="1567"/>
      <c r="K193" s="1568" t="str">
        <f t="shared" si="2"/>
        <v>No</v>
      </c>
      <c r="L193" s="1565"/>
    </row>
    <row r="194" spans="1:12" ht="20.100000000000001" customHeight="1">
      <c r="A194" s="1568" t="s">
        <v>3161</v>
      </c>
      <c r="B194" s="1567">
        <v>43436</v>
      </c>
      <c r="C194" s="1568" t="s">
        <v>3310</v>
      </c>
      <c r="D194" s="1568" t="s">
        <v>2999</v>
      </c>
      <c r="E194" s="1567">
        <v>43436</v>
      </c>
      <c r="F194" s="1566">
        <v>815</v>
      </c>
      <c r="G194" s="1566">
        <v>0</v>
      </c>
      <c r="H194" s="1567"/>
      <c r="I194" s="1567" t="s">
        <v>3309</v>
      </c>
      <c r="J194" s="1567"/>
      <c r="K194" s="1568" t="str">
        <f t="shared" si="2"/>
        <v>No</v>
      </c>
      <c r="L194" s="1565"/>
    </row>
    <row r="195" spans="1:12" ht="20.100000000000001" customHeight="1">
      <c r="A195" s="1568" t="s">
        <v>3160</v>
      </c>
      <c r="B195" s="1567"/>
      <c r="C195" s="1568" t="s">
        <v>3310</v>
      </c>
      <c r="D195" s="1568" t="s">
        <v>2974</v>
      </c>
      <c r="E195" s="1567"/>
      <c r="F195" s="1566">
        <v>278551</v>
      </c>
      <c r="G195" s="1566">
        <v>0</v>
      </c>
      <c r="H195" s="1567"/>
      <c r="I195" s="1567" t="s">
        <v>3309</v>
      </c>
      <c r="J195" s="1567"/>
      <c r="K195" s="1568" t="str">
        <f t="shared" si="2"/>
        <v>No</v>
      </c>
      <c r="L195" s="1565"/>
    </row>
    <row r="196" spans="1:12" ht="20.100000000000001" customHeight="1">
      <c r="A196" s="1568" t="s">
        <v>3159</v>
      </c>
      <c r="B196" s="1567"/>
      <c r="C196" s="1568" t="s">
        <v>3310</v>
      </c>
      <c r="D196" s="1568" t="s">
        <v>2991</v>
      </c>
      <c r="E196" s="1567"/>
      <c r="F196" s="1566">
        <v>50522</v>
      </c>
      <c r="G196" s="1566">
        <v>0</v>
      </c>
      <c r="H196" s="1567"/>
      <c r="I196" s="1567" t="s">
        <v>3309</v>
      </c>
      <c r="J196" s="1567"/>
      <c r="K196" s="1568" t="str">
        <f t="shared" si="2"/>
        <v>No</v>
      </c>
      <c r="L196" s="1565"/>
    </row>
    <row r="197" spans="1:12" ht="20.100000000000001" customHeight="1">
      <c r="A197" s="1568" t="s">
        <v>3158</v>
      </c>
      <c r="B197" s="1567"/>
      <c r="C197" s="1568" t="s">
        <v>3310</v>
      </c>
      <c r="D197" s="1568" t="s">
        <v>3001</v>
      </c>
      <c r="E197" s="1567"/>
      <c r="F197" s="1566">
        <v>98073</v>
      </c>
      <c r="G197" s="1566">
        <v>0</v>
      </c>
      <c r="H197" s="1567"/>
      <c r="I197" s="1567" t="s">
        <v>3309</v>
      </c>
      <c r="J197" s="1567"/>
      <c r="K197" s="1568" t="str">
        <f t="shared" ref="K197:K260" si="3">IF(I197="N/A","No",IF(E197&lt;=I197,"No","Yes"))</f>
        <v>No</v>
      </c>
      <c r="L197" s="1565"/>
    </row>
    <row r="198" spans="1:12" ht="20.100000000000001" customHeight="1">
      <c r="A198" s="1568" t="s">
        <v>3157</v>
      </c>
      <c r="B198" s="1567">
        <v>43446</v>
      </c>
      <c r="C198" s="1568" t="s">
        <v>3310</v>
      </c>
      <c r="D198" s="1568" t="s">
        <v>2991</v>
      </c>
      <c r="E198" s="1567">
        <v>43446</v>
      </c>
      <c r="F198" s="1566">
        <v>94706</v>
      </c>
      <c r="G198" s="1566">
        <v>0</v>
      </c>
      <c r="H198" s="1567"/>
      <c r="I198" s="1567" t="s">
        <v>3309</v>
      </c>
      <c r="J198" s="1567"/>
      <c r="K198" s="1568" t="str">
        <f t="shared" si="3"/>
        <v>No</v>
      </c>
      <c r="L198" s="1565"/>
    </row>
    <row r="199" spans="1:12" ht="20.100000000000001" customHeight="1">
      <c r="A199" s="1568" t="s">
        <v>3156</v>
      </c>
      <c r="B199" s="1567">
        <v>43446</v>
      </c>
      <c r="C199" s="1568" t="s">
        <v>3310</v>
      </c>
      <c r="D199" s="1568" t="s">
        <v>3001</v>
      </c>
      <c r="E199" s="1567">
        <v>43446</v>
      </c>
      <c r="F199" s="1566">
        <v>183842</v>
      </c>
      <c r="G199" s="1566">
        <v>0</v>
      </c>
      <c r="H199" s="1567"/>
      <c r="I199" s="1567" t="s">
        <v>3309</v>
      </c>
      <c r="J199" s="1567"/>
      <c r="K199" s="1568" t="str">
        <f t="shared" si="3"/>
        <v>No</v>
      </c>
      <c r="L199" s="1565"/>
    </row>
    <row r="200" spans="1:12" ht="20.100000000000001" customHeight="1">
      <c r="A200" s="1568" t="s">
        <v>3154</v>
      </c>
      <c r="B200" s="1567"/>
      <c r="C200" s="1568" t="s">
        <v>3310</v>
      </c>
      <c r="D200" s="1568" t="s">
        <v>2974</v>
      </c>
      <c r="E200" s="1567"/>
      <c r="F200" s="1566">
        <v>234533</v>
      </c>
      <c r="G200" s="1566">
        <v>0</v>
      </c>
      <c r="H200" s="1567"/>
      <c r="I200" s="1567" t="s">
        <v>3309</v>
      </c>
      <c r="J200" s="1567"/>
      <c r="K200" s="1568" t="str">
        <f t="shared" si="3"/>
        <v>No</v>
      </c>
      <c r="L200" s="1565"/>
    </row>
    <row r="201" spans="1:12" ht="20.100000000000001" customHeight="1">
      <c r="A201" s="1568" t="s">
        <v>3153</v>
      </c>
      <c r="B201" s="1567"/>
      <c r="C201" s="1568" t="s">
        <v>3310</v>
      </c>
      <c r="D201" s="1568" t="s">
        <v>2974</v>
      </c>
      <c r="E201" s="1567"/>
      <c r="F201" s="1566">
        <v>148597</v>
      </c>
      <c r="G201" s="1566">
        <v>0</v>
      </c>
      <c r="H201" s="1567"/>
      <c r="I201" s="1567" t="s">
        <v>3309</v>
      </c>
      <c r="J201" s="1567"/>
      <c r="K201" s="1568" t="str">
        <f t="shared" si="3"/>
        <v>No</v>
      </c>
      <c r="L201" s="1565"/>
    </row>
    <row r="202" spans="1:12" ht="20.100000000000001" customHeight="1">
      <c r="A202" s="1568" t="s">
        <v>3151</v>
      </c>
      <c r="B202" s="1567"/>
      <c r="C202" s="1568" t="s">
        <v>3310</v>
      </c>
      <c r="D202" s="1568" t="s">
        <v>2991</v>
      </c>
      <c r="E202" s="1567"/>
      <c r="F202" s="1566">
        <v>79740</v>
      </c>
      <c r="G202" s="1566">
        <v>0</v>
      </c>
      <c r="H202" s="1567"/>
      <c r="I202" s="1567" t="s">
        <v>3309</v>
      </c>
      <c r="J202" s="1567"/>
      <c r="K202" s="1568" t="str">
        <f t="shared" si="3"/>
        <v>No</v>
      </c>
      <c r="L202" s="1565"/>
    </row>
    <row r="203" spans="1:12" ht="20.100000000000001" customHeight="1">
      <c r="A203" s="1568" t="s">
        <v>3150</v>
      </c>
      <c r="B203" s="1567"/>
      <c r="C203" s="1568" t="s">
        <v>3310</v>
      </c>
      <c r="D203" s="1568" t="s">
        <v>3001</v>
      </c>
      <c r="E203" s="1567"/>
      <c r="F203" s="1566">
        <v>154791</v>
      </c>
      <c r="G203" s="1566">
        <v>0</v>
      </c>
      <c r="H203" s="1567"/>
      <c r="I203" s="1567" t="s">
        <v>3309</v>
      </c>
      <c r="J203" s="1567"/>
      <c r="K203" s="1568" t="str">
        <f t="shared" si="3"/>
        <v>No</v>
      </c>
      <c r="L203" s="1565"/>
    </row>
    <row r="204" spans="1:12" ht="20.100000000000001" customHeight="1">
      <c r="A204" s="1568" t="s">
        <v>3148</v>
      </c>
      <c r="B204" s="1567">
        <v>43447</v>
      </c>
      <c r="C204" s="1568" t="s">
        <v>3310</v>
      </c>
      <c r="D204" s="1568" t="s">
        <v>2961</v>
      </c>
      <c r="E204" s="1567">
        <v>43447</v>
      </c>
      <c r="F204" s="1566">
        <v>1629</v>
      </c>
      <c r="G204" s="1566">
        <v>0</v>
      </c>
      <c r="H204" s="1567"/>
      <c r="I204" s="1567" t="s">
        <v>3309</v>
      </c>
      <c r="J204" s="1567"/>
      <c r="K204" s="1568" t="str">
        <f t="shared" si="3"/>
        <v>No</v>
      </c>
      <c r="L204" s="1565"/>
    </row>
    <row r="205" spans="1:12" ht="20.100000000000001" customHeight="1">
      <c r="A205" s="1568" t="s">
        <v>3147</v>
      </c>
      <c r="B205" s="1567">
        <v>43447</v>
      </c>
      <c r="C205" s="1568" t="s">
        <v>3310</v>
      </c>
      <c r="D205" s="1568" t="s">
        <v>2961</v>
      </c>
      <c r="E205" s="1567">
        <v>43447</v>
      </c>
      <c r="F205" s="1566">
        <v>8992</v>
      </c>
      <c r="G205" s="1566">
        <v>0</v>
      </c>
      <c r="H205" s="1567"/>
      <c r="I205" s="1567" t="s">
        <v>3309</v>
      </c>
      <c r="J205" s="1567"/>
      <c r="K205" s="1568" t="str">
        <f t="shared" si="3"/>
        <v>No</v>
      </c>
      <c r="L205" s="1565"/>
    </row>
    <row r="206" spans="1:12" ht="20.100000000000001" customHeight="1">
      <c r="A206" s="1568" t="s">
        <v>3146</v>
      </c>
      <c r="B206" s="1567">
        <v>43449</v>
      </c>
      <c r="C206" s="1568" t="s">
        <v>3310</v>
      </c>
      <c r="D206" s="1568" t="s">
        <v>2964</v>
      </c>
      <c r="E206" s="1567">
        <v>43449</v>
      </c>
      <c r="F206" s="1566">
        <v>84</v>
      </c>
      <c r="G206" s="1566">
        <v>0</v>
      </c>
      <c r="H206" s="1567"/>
      <c r="I206" s="1567" t="s">
        <v>3309</v>
      </c>
      <c r="J206" s="1567"/>
      <c r="K206" s="1568" t="str">
        <f t="shared" si="3"/>
        <v>No</v>
      </c>
      <c r="L206" s="1565"/>
    </row>
    <row r="207" spans="1:12" ht="20.100000000000001" customHeight="1">
      <c r="A207" s="1568" t="s">
        <v>3145</v>
      </c>
      <c r="B207" s="1567">
        <v>43466</v>
      </c>
      <c r="C207" s="1568" t="s">
        <v>3310</v>
      </c>
      <c r="D207" s="1568" t="s">
        <v>2999</v>
      </c>
      <c r="E207" s="1567">
        <v>43466</v>
      </c>
      <c r="F207" s="1566">
        <v>814</v>
      </c>
      <c r="G207" s="1566">
        <v>0</v>
      </c>
      <c r="H207" s="1567"/>
      <c r="I207" s="1567" t="s">
        <v>3309</v>
      </c>
      <c r="J207" s="1567"/>
      <c r="K207" s="1568" t="str">
        <f t="shared" si="3"/>
        <v>No</v>
      </c>
      <c r="L207" s="1565"/>
    </row>
    <row r="208" spans="1:12" ht="20.100000000000001" customHeight="1">
      <c r="A208" s="1568" t="s">
        <v>3144</v>
      </c>
      <c r="B208" s="1567">
        <v>43480</v>
      </c>
      <c r="C208" s="1568" t="s">
        <v>3310</v>
      </c>
      <c r="D208" s="1568" t="s">
        <v>2964</v>
      </c>
      <c r="E208" s="1567">
        <v>43480</v>
      </c>
      <c r="F208" s="1566">
        <v>83</v>
      </c>
      <c r="G208" s="1566">
        <v>0</v>
      </c>
      <c r="H208" s="1567"/>
      <c r="I208" s="1567" t="s">
        <v>3309</v>
      </c>
      <c r="J208" s="1567"/>
      <c r="K208" s="1568" t="str">
        <f t="shared" si="3"/>
        <v>No</v>
      </c>
      <c r="L208" s="1565"/>
    </row>
    <row r="209" spans="1:12" ht="20.100000000000001" customHeight="1">
      <c r="A209" s="1568" t="s">
        <v>3143</v>
      </c>
      <c r="B209" s="1567">
        <v>43497</v>
      </c>
      <c r="C209" s="1568" t="s">
        <v>3310</v>
      </c>
      <c r="D209" s="1568" t="s">
        <v>2999</v>
      </c>
      <c r="E209" s="1567">
        <v>43497</v>
      </c>
      <c r="F209" s="1566">
        <v>814</v>
      </c>
      <c r="G209" s="1566">
        <v>0</v>
      </c>
      <c r="H209" s="1567"/>
      <c r="I209" s="1567" t="s">
        <v>3309</v>
      </c>
      <c r="J209" s="1567"/>
      <c r="K209" s="1568" t="str">
        <f t="shared" si="3"/>
        <v>No</v>
      </c>
      <c r="L209" s="1565"/>
    </row>
    <row r="210" spans="1:12" ht="20.100000000000001" customHeight="1">
      <c r="A210" s="1568" t="s">
        <v>3115</v>
      </c>
      <c r="B210" s="1567">
        <v>41253</v>
      </c>
      <c r="C210" s="1568" t="s">
        <v>3308</v>
      </c>
      <c r="D210" s="1568" t="s">
        <v>2955</v>
      </c>
      <c r="E210" s="1567">
        <v>41618</v>
      </c>
      <c r="F210" s="1566">
        <v>2504</v>
      </c>
      <c r="G210" s="1566">
        <v>0</v>
      </c>
      <c r="H210" s="1567"/>
      <c r="I210" s="1567">
        <v>44905</v>
      </c>
      <c r="J210" s="1567">
        <v>44905</v>
      </c>
      <c r="K210" s="1568" t="str">
        <f t="shared" si="3"/>
        <v>No</v>
      </c>
      <c r="L210" s="1565"/>
    </row>
    <row r="211" spans="1:12" ht="20.100000000000001" customHeight="1">
      <c r="A211" s="1568" t="s">
        <v>3115</v>
      </c>
      <c r="B211" s="1567">
        <v>41253</v>
      </c>
      <c r="C211" s="1568" t="s">
        <v>3308</v>
      </c>
      <c r="D211" s="1568" t="s">
        <v>2955</v>
      </c>
      <c r="E211" s="1567">
        <v>41649</v>
      </c>
      <c r="F211" s="1566">
        <v>216</v>
      </c>
      <c r="G211" s="1566">
        <v>0</v>
      </c>
      <c r="H211" s="1567"/>
      <c r="I211" s="1567">
        <v>44905</v>
      </c>
      <c r="J211" s="1567">
        <v>44905</v>
      </c>
      <c r="K211" s="1568" t="str">
        <f t="shared" si="3"/>
        <v>No</v>
      </c>
      <c r="L211" s="1565"/>
    </row>
    <row r="212" spans="1:12" ht="20.100000000000001" customHeight="1">
      <c r="A212" s="1568" t="s">
        <v>3115</v>
      </c>
      <c r="B212" s="1567">
        <v>41253</v>
      </c>
      <c r="C212" s="1568" t="s">
        <v>3308</v>
      </c>
      <c r="D212" s="1568" t="s">
        <v>2955</v>
      </c>
      <c r="E212" s="1567">
        <v>41680</v>
      </c>
      <c r="F212" s="1566">
        <v>208</v>
      </c>
      <c r="G212" s="1566">
        <v>0</v>
      </c>
      <c r="H212" s="1567"/>
      <c r="I212" s="1567">
        <v>44905</v>
      </c>
      <c r="J212" s="1567">
        <v>44905</v>
      </c>
      <c r="K212" s="1568" t="str">
        <f t="shared" si="3"/>
        <v>No</v>
      </c>
      <c r="L212" s="1565"/>
    </row>
    <row r="213" spans="1:12" ht="20.100000000000001" customHeight="1">
      <c r="A213" s="1568" t="s">
        <v>3115</v>
      </c>
      <c r="B213" s="1567">
        <v>41253</v>
      </c>
      <c r="C213" s="1568" t="s">
        <v>3308</v>
      </c>
      <c r="D213" s="1568" t="s">
        <v>2955</v>
      </c>
      <c r="E213" s="1567">
        <v>41708</v>
      </c>
      <c r="F213" s="1566">
        <v>208</v>
      </c>
      <c r="G213" s="1566">
        <v>0</v>
      </c>
      <c r="H213" s="1567"/>
      <c r="I213" s="1567">
        <v>44905</v>
      </c>
      <c r="J213" s="1567">
        <v>44905</v>
      </c>
      <c r="K213" s="1568" t="str">
        <f t="shared" si="3"/>
        <v>No</v>
      </c>
      <c r="L213" s="1565"/>
    </row>
    <row r="214" spans="1:12" ht="20.100000000000001" customHeight="1">
      <c r="A214" s="1568" t="s">
        <v>3115</v>
      </c>
      <c r="B214" s="1567">
        <v>41253</v>
      </c>
      <c r="C214" s="1568" t="s">
        <v>3308</v>
      </c>
      <c r="D214" s="1568" t="s">
        <v>2955</v>
      </c>
      <c r="E214" s="1567">
        <v>41739</v>
      </c>
      <c r="F214" s="1566">
        <v>208</v>
      </c>
      <c r="G214" s="1566">
        <v>0</v>
      </c>
      <c r="H214" s="1567"/>
      <c r="I214" s="1567">
        <v>44905</v>
      </c>
      <c r="J214" s="1567">
        <v>44905</v>
      </c>
      <c r="K214" s="1568" t="str">
        <f t="shared" si="3"/>
        <v>No</v>
      </c>
      <c r="L214" s="1565"/>
    </row>
    <row r="215" spans="1:12" ht="20.100000000000001" customHeight="1">
      <c r="A215" s="1568" t="s">
        <v>3115</v>
      </c>
      <c r="B215" s="1567">
        <v>41253</v>
      </c>
      <c r="C215" s="1568" t="s">
        <v>3308</v>
      </c>
      <c r="D215" s="1568" t="s">
        <v>2955</v>
      </c>
      <c r="E215" s="1567">
        <v>41769</v>
      </c>
      <c r="F215" s="1566">
        <v>208</v>
      </c>
      <c r="G215" s="1566">
        <v>0</v>
      </c>
      <c r="H215" s="1567"/>
      <c r="I215" s="1567">
        <v>44905</v>
      </c>
      <c r="J215" s="1567">
        <v>44905</v>
      </c>
      <c r="K215" s="1568" t="str">
        <f t="shared" si="3"/>
        <v>No</v>
      </c>
      <c r="L215" s="1565"/>
    </row>
    <row r="216" spans="1:12" ht="20.100000000000001" customHeight="1">
      <c r="A216" s="1568" t="s">
        <v>3115</v>
      </c>
      <c r="B216" s="1567">
        <v>41253</v>
      </c>
      <c r="C216" s="1568" t="s">
        <v>3308</v>
      </c>
      <c r="D216" s="1568" t="s">
        <v>2955</v>
      </c>
      <c r="E216" s="1567">
        <v>41800</v>
      </c>
      <c r="F216" s="1566">
        <v>208</v>
      </c>
      <c r="G216" s="1566">
        <v>0</v>
      </c>
      <c r="H216" s="1567"/>
      <c r="I216" s="1567">
        <v>44905</v>
      </c>
      <c r="J216" s="1567">
        <v>44905</v>
      </c>
      <c r="K216" s="1568" t="str">
        <f t="shared" si="3"/>
        <v>No</v>
      </c>
      <c r="L216" s="1565"/>
    </row>
    <row r="217" spans="1:12" ht="20.100000000000001" customHeight="1">
      <c r="A217" s="1568" t="s">
        <v>3115</v>
      </c>
      <c r="B217" s="1567">
        <v>41253</v>
      </c>
      <c r="C217" s="1568" t="s">
        <v>3308</v>
      </c>
      <c r="D217" s="1568" t="s">
        <v>2955</v>
      </c>
      <c r="E217" s="1567">
        <v>41830</v>
      </c>
      <c r="F217" s="1566">
        <v>208</v>
      </c>
      <c r="G217" s="1566">
        <v>0</v>
      </c>
      <c r="H217" s="1567"/>
      <c r="I217" s="1567">
        <v>44905</v>
      </c>
      <c r="J217" s="1567">
        <v>44905</v>
      </c>
      <c r="K217" s="1568" t="str">
        <f t="shared" si="3"/>
        <v>No</v>
      </c>
      <c r="L217" s="1565"/>
    </row>
    <row r="218" spans="1:12" ht="20.100000000000001" customHeight="1">
      <c r="A218" s="1568" t="s">
        <v>3115</v>
      </c>
      <c r="B218" s="1567">
        <v>41253</v>
      </c>
      <c r="C218" s="1568" t="s">
        <v>3308</v>
      </c>
      <c r="D218" s="1568" t="s">
        <v>2955</v>
      </c>
      <c r="E218" s="1567">
        <v>41861</v>
      </c>
      <c r="F218" s="1566">
        <v>208</v>
      </c>
      <c r="G218" s="1566">
        <v>0</v>
      </c>
      <c r="H218" s="1567"/>
      <c r="I218" s="1567">
        <v>44905</v>
      </c>
      <c r="J218" s="1567">
        <v>44905</v>
      </c>
      <c r="K218" s="1568" t="str">
        <f t="shared" si="3"/>
        <v>No</v>
      </c>
      <c r="L218" s="1565"/>
    </row>
    <row r="219" spans="1:12" ht="20.100000000000001" customHeight="1">
      <c r="A219" s="1568" t="s">
        <v>3115</v>
      </c>
      <c r="B219" s="1567">
        <v>41253</v>
      </c>
      <c r="C219" s="1568" t="s">
        <v>3308</v>
      </c>
      <c r="D219" s="1568" t="s">
        <v>2955</v>
      </c>
      <c r="E219" s="1567">
        <v>41892</v>
      </c>
      <c r="F219" s="1566">
        <v>210</v>
      </c>
      <c r="G219" s="1566">
        <v>0</v>
      </c>
      <c r="H219" s="1567"/>
      <c r="I219" s="1567">
        <v>44905</v>
      </c>
      <c r="J219" s="1567">
        <v>44905</v>
      </c>
      <c r="K219" s="1568" t="str">
        <f t="shared" si="3"/>
        <v>No</v>
      </c>
      <c r="L219" s="1565"/>
    </row>
    <row r="220" spans="1:12" ht="20.100000000000001" customHeight="1">
      <c r="A220" s="1568" t="s">
        <v>3115</v>
      </c>
      <c r="B220" s="1567">
        <v>41253</v>
      </c>
      <c r="C220" s="1568" t="s">
        <v>3308</v>
      </c>
      <c r="D220" s="1568" t="s">
        <v>2955</v>
      </c>
      <c r="E220" s="1567">
        <v>41922</v>
      </c>
      <c r="F220" s="1566">
        <v>206</v>
      </c>
      <c r="G220" s="1566">
        <v>0</v>
      </c>
      <c r="H220" s="1567"/>
      <c r="I220" s="1567">
        <v>44905</v>
      </c>
      <c r="J220" s="1567">
        <v>44905</v>
      </c>
      <c r="K220" s="1568" t="str">
        <f t="shared" si="3"/>
        <v>No</v>
      </c>
      <c r="L220" s="1565"/>
    </row>
    <row r="221" spans="1:12" ht="20.100000000000001" customHeight="1">
      <c r="A221" s="1568" t="s">
        <v>3115</v>
      </c>
      <c r="B221" s="1567">
        <v>41253</v>
      </c>
      <c r="C221" s="1568" t="s">
        <v>3308</v>
      </c>
      <c r="D221" s="1568" t="s">
        <v>2955</v>
      </c>
      <c r="E221" s="1567">
        <v>41953</v>
      </c>
      <c r="F221" s="1566">
        <v>208</v>
      </c>
      <c r="G221" s="1566">
        <v>0</v>
      </c>
      <c r="H221" s="1567"/>
      <c r="I221" s="1567">
        <v>44905</v>
      </c>
      <c r="J221" s="1567">
        <v>44905</v>
      </c>
      <c r="K221" s="1568" t="str">
        <f t="shared" si="3"/>
        <v>No</v>
      </c>
      <c r="L221" s="1565"/>
    </row>
    <row r="222" spans="1:12" ht="20.100000000000001" customHeight="1">
      <c r="A222" s="1568" t="s">
        <v>3115</v>
      </c>
      <c r="B222" s="1567">
        <v>41253</v>
      </c>
      <c r="C222" s="1568" t="s">
        <v>3308</v>
      </c>
      <c r="D222" s="1568" t="s">
        <v>2955</v>
      </c>
      <c r="E222" s="1567">
        <v>41983</v>
      </c>
      <c r="F222" s="1566">
        <v>208</v>
      </c>
      <c r="G222" s="1566">
        <v>0</v>
      </c>
      <c r="H222" s="1567"/>
      <c r="I222" s="1567">
        <v>44905</v>
      </c>
      <c r="J222" s="1567">
        <v>44905</v>
      </c>
      <c r="K222" s="1568" t="str">
        <f t="shared" si="3"/>
        <v>No</v>
      </c>
      <c r="L222" s="1565"/>
    </row>
    <row r="223" spans="1:12" ht="20.100000000000001" customHeight="1">
      <c r="A223" s="1568" t="s">
        <v>3115</v>
      </c>
      <c r="B223" s="1567">
        <v>41253</v>
      </c>
      <c r="C223" s="1568" t="s">
        <v>3308</v>
      </c>
      <c r="D223" s="1568" t="s">
        <v>2955</v>
      </c>
      <c r="E223" s="1567">
        <v>42014</v>
      </c>
      <c r="F223" s="1566">
        <v>208</v>
      </c>
      <c r="G223" s="1566">
        <v>0</v>
      </c>
      <c r="H223" s="1567"/>
      <c r="I223" s="1567">
        <v>44905</v>
      </c>
      <c r="J223" s="1567">
        <v>44905</v>
      </c>
      <c r="K223" s="1568" t="str">
        <f t="shared" si="3"/>
        <v>No</v>
      </c>
      <c r="L223" s="1565"/>
    </row>
    <row r="224" spans="1:12" ht="20.100000000000001" customHeight="1">
      <c r="A224" s="1568" t="s">
        <v>3115</v>
      </c>
      <c r="B224" s="1567">
        <v>41253</v>
      </c>
      <c r="C224" s="1568" t="s">
        <v>3308</v>
      </c>
      <c r="D224" s="1568" t="s">
        <v>2955</v>
      </c>
      <c r="E224" s="1567">
        <v>42045</v>
      </c>
      <c r="F224" s="1566">
        <v>208</v>
      </c>
      <c r="G224" s="1566">
        <v>0</v>
      </c>
      <c r="H224" s="1567"/>
      <c r="I224" s="1567">
        <v>44905</v>
      </c>
      <c r="J224" s="1567">
        <v>44905</v>
      </c>
      <c r="K224" s="1568" t="str">
        <f t="shared" si="3"/>
        <v>No</v>
      </c>
      <c r="L224" s="1565"/>
    </row>
    <row r="225" spans="1:12" ht="20.100000000000001" customHeight="1">
      <c r="A225" s="1568" t="s">
        <v>3115</v>
      </c>
      <c r="B225" s="1567">
        <v>41253</v>
      </c>
      <c r="C225" s="1568" t="s">
        <v>3308</v>
      </c>
      <c r="D225" s="1568" t="s">
        <v>2955</v>
      </c>
      <c r="E225" s="1567">
        <v>42073</v>
      </c>
      <c r="F225" s="1566">
        <v>208</v>
      </c>
      <c r="G225" s="1566">
        <v>0</v>
      </c>
      <c r="H225" s="1567"/>
      <c r="I225" s="1567">
        <v>44905</v>
      </c>
      <c r="J225" s="1567">
        <v>44905</v>
      </c>
      <c r="K225" s="1568" t="str">
        <f t="shared" si="3"/>
        <v>No</v>
      </c>
      <c r="L225" s="1565"/>
    </row>
    <row r="226" spans="1:12" ht="20.100000000000001" customHeight="1">
      <c r="A226" s="1568" t="s">
        <v>3115</v>
      </c>
      <c r="B226" s="1567">
        <v>41253</v>
      </c>
      <c r="C226" s="1568" t="s">
        <v>3308</v>
      </c>
      <c r="D226" s="1568" t="s">
        <v>2955</v>
      </c>
      <c r="E226" s="1567">
        <v>42104</v>
      </c>
      <c r="F226" s="1566">
        <v>208</v>
      </c>
      <c r="G226" s="1566">
        <v>0</v>
      </c>
      <c r="H226" s="1567"/>
      <c r="I226" s="1567">
        <v>44905</v>
      </c>
      <c r="J226" s="1567">
        <v>44905</v>
      </c>
      <c r="K226" s="1568" t="str">
        <f t="shared" si="3"/>
        <v>No</v>
      </c>
      <c r="L226" s="1565"/>
    </row>
    <row r="227" spans="1:12" ht="20.100000000000001" customHeight="1">
      <c r="A227" s="1568" t="s">
        <v>3115</v>
      </c>
      <c r="B227" s="1567">
        <v>41253</v>
      </c>
      <c r="C227" s="1568" t="s">
        <v>3308</v>
      </c>
      <c r="D227" s="1568" t="s">
        <v>2955</v>
      </c>
      <c r="E227" s="1567">
        <v>42134</v>
      </c>
      <c r="F227" s="1566">
        <v>208</v>
      </c>
      <c r="G227" s="1566">
        <v>0</v>
      </c>
      <c r="H227" s="1567"/>
      <c r="I227" s="1567">
        <v>44905</v>
      </c>
      <c r="J227" s="1567">
        <v>44905</v>
      </c>
      <c r="K227" s="1568" t="str">
        <f t="shared" si="3"/>
        <v>No</v>
      </c>
      <c r="L227" s="1565"/>
    </row>
    <row r="228" spans="1:12" ht="20.100000000000001" customHeight="1">
      <c r="A228" s="1568" t="s">
        <v>3115</v>
      </c>
      <c r="B228" s="1567">
        <v>41253</v>
      </c>
      <c r="C228" s="1568" t="s">
        <v>3308</v>
      </c>
      <c r="D228" s="1568" t="s">
        <v>2955</v>
      </c>
      <c r="E228" s="1567">
        <v>42165</v>
      </c>
      <c r="F228" s="1566">
        <v>208</v>
      </c>
      <c r="G228" s="1566">
        <v>0</v>
      </c>
      <c r="H228" s="1567"/>
      <c r="I228" s="1567">
        <v>44905</v>
      </c>
      <c r="J228" s="1567">
        <v>44905</v>
      </c>
      <c r="K228" s="1568" t="str">
        <f t="shared" si="3"/>
        <v>No</v>
      </c>
      <c r="L228" s="1565"/>
    </row>
    <row r="229" spans="1:12" ht="20.100000000000001" customHeight="1">
      <c r="A229" s="1568" t="s">
        <v>3115</v>
      </c>
      <c r="B229" s="1567">
        <v>41253</v>
      </c>
      <c r="C229" s="1568" t="s">
        <v>3308</v>
      </c>
      <c r="D229" s="1568" t="s">
        <v>2955</v>
      </c>
      <c r="E229" s="1567">
        <v>42195</v>
      </c>
      <c r="F229" s="1566">
        <v>208</v>
      </c>
      <c r="G229" s="1566">
        <v>0</v>
      </c>
      <c r="H229" s="1567"/>
      <c r="I229" s="1567">
        <v>44905</v>
      </c>
      <c r="J229" s="1567">
        <v>44905</v>
      </c>
      <c r="K229" s="1568" t="str">
        <f t="shared" si="3"/>
        <v>No</v>
      </c>
      <c r="L229" s="1565"/>
    </row>
    <row r="230" spans="1:12" ht="20.100000000000001" customHeight="1">
      <c r="A230" s="1568" t="s">
        <v>3115</v>
      </c>
      <c r="B230" s="1567">
        <v>41253</v>
      </c>
      <c r="C230" s="1568" t="s">
        <v>3308</v>
      </c>
      <c r="D230" s="1568" t="s">
        <v>2955</v>
      </c>
      <c r="E230" s="1567">
        <v>42226</v>
      </c>
      <c r="F230" s="1566">
        <v>208</v>
      </c>
      <c r="G230" s="1566">
        <v>0</v>
      </c>
      <c r="H230" s="1567"/>
      <c r="I230" s="1567">
        <v>44905</v>
      </c>
      <c r="J230" s="1567">
        <v>44905</v>
      </c>
      <c r="K230" s="1568" t="str">
        <f t="shared" si="3"/>
        <v>No</v>
      </c>
      <c r="L230" s="1565"/>
    </row>
    <row r="231" spans="1:12" ht="20.100000000000001" customHeight="1">
      <c r="A231" s="1568" t="s">
        <v>3115</v>
      </c>
      <c r="B231" s="1567">
        <v>41253</v>
      </c>
      <c r="C231" s="1568" t="s">
        <v>3308</v>
      </c>
      <c r="D231" s="1568" t="s">
        <v>2955</v>
      </c>
      <c r="E231" s="1567">
        <v>42257</v>
      </c>
      <c r="F231" s="1566">
        <v>208</v>
      </c>
      <c r="G231" s="1566">
        <v>0</v>
      </c>
      <c r="H231" s="1567"/>
      <c r="I231" s="1567">
        <v>44905</v>
      </c>
      <c r="J231" s="1567">
        <v>44905</v>
      </c>
      <c r="K231" s="1568" t="str">
        <f t="shared" si="3"/>
        <v>No</v>
      </c>
      <c r="L231" s="1565"/>
    </row>
    <row r="232" spans="1:12" ht="20.100000000000001" customHeight="1">
      <c r="A232" s="1568" t="s">
        <v>3115</v>
      </c>
      <c r="B232" s="1567">
        <v>41253</v>
      </c>
      <c r="C232" s="1568" t="s">
        <v>3308</v>
      </c>
      <c r="D232" s="1568" t="s">
        <v>2955</v>
      </c>
      <c r="E232" s="1567">
        <v>42287</v>
      </c>
      <c r="F232" s="1566">
        <v>208</v>
      </c>
      <c r="G232" s="1566">
        <v>0</v>
      </c>
      <c r="H232" s="1567"/>
      <c r="I232" s="1567">
        <v>44905</v>
      </c>
      <c r="J232" s="1567">
        <v>44905</v>
      </c>
      <c r="K232" s="1568" t="str">
        <f t="shared" si="3"/>
        <v>No</v>
      </c>
      <c r="L232" s="1565"/>
    </row>
    <row r="233" spans="1:12" ht="20.100000000000001" customHeight="1">
      <c r="A233" s="1568" t="s">
        <v>3115</v>
      </c>
      <c r="B233" s="1567">
        <v>41253</v>
      </c>
      <c r="C233" s="1568" t="s">
        <v>3308</v>
      </c>
      <c r="D233" s="1568" t="s">
        <v>2955</v>
      </c>
      <c r="E233" s="1567">
        <v>42318</v>
      </c>
      <c r="F233" s="1566">
        <v>208</v>
      </c>
      <c r="G233" s="1566">
        <v>0</v>
      </c>
      <c r="H233" s="1567"/>
      <c r="I233" s="1567">
        <v>44905</v>
      </c>
      <c r="J233" s="1567">
        <v>44905</v>
      </c>
      <c r="K233" s="1568" t="str">
        <f t="shared" si="3"/>
        <v>No</v>
      </c>
      <c r="L233" s="1565"/>
    </row>
    <row r="234" spans="1:12" ht="20.100000000000001" customHeight="1">
      <c r="A234" s="1568" t="s">
        <v>3115</v>
      </c>
      <c r="B234" s="1567">
        <v>41253</v>
      </c>
      <c r="C234" s="1568" t="s">
        <v>3308</v>
      </c>
      <c r="D234" s="1568" t="s">
        <v>2955</v>
      </c>
      <c r="E234" s="1567">
        <v>42348</v>
      </c>
      <c r="F234" s="1566">
        <v>208</v>
      </c>
      <c r="G234" s="1566">
        <v>0</v>
      </c>
      <c r="H234" s="1567"/>
      <c r="I234" s="1567">
        <v>44905</v>
      </c>
      <c r="J234" s="1567">
        <v>44905</v>
      </c>
      <c r="K234" s="1568" t="str">
        <f t="shared" si="3"/>
        <v>No</v>
      </c>
      <c r="L234" s="1565"/>
    </row>
    <row r="235" spans="1:12" ht="20.100000000000001" customHeight="1">
      <c r="A235" s="1568" t="s">
        <v>3115</v>
      </c>
      <c r="B235" s="1567">
        <v>41253</v>
      </c>
      <c r="C235" s="1568" t="s">
        <v>3308</v>
      </c>
      <c r="D235" s="1568" t="s">
        <v>2955</v>
      </c>
      <c r="E235" s="1567">
        <v>42379</v>
      </c>
      <c r="F235" s="1566">
        <v>208</v>
      </c>
      <c r="G235" s="1566">
        <v>0</v>
      </c>
      <c r="H235" s="1567"/>
      <c r="I235" s="1567">
        <v>44905</v>
      </c>
      <c r="J235" s="1567">
        <v>44905</v>
      </c>
      <c r="K235" s="1568" t="str">
        <f t="shared" si="3"/>
        <v>No</v>
      </c>
      <c r="L235" s="1565"/>
    </row>
    <row r="236" spans="1:12" ht="20.100000000000001" customHeight="1">
      <c r="A236" s="1568" t="s">
        <v>3115</v>
      </c>
      <c r="B236" s="1567">
        <v>41253</v>
      </c>
      <c r="C236" s="1568" t="s">
        <v>3308</v>
      </c>
      <c r="D236" s="1568" t="s">
        <v>2955</v>
      </c>
      <c r="E236" s="1567">
        <v>42410</v>
      </c>
      <c r="F236" s="1566">
        <v>208</v>
      </c>
      <c r="G236" s="1566">
        <v>0</v>
      </c>
      <c r="H236" s="1567"/>
      <c r="I236" s="1567">
        <v>44905</v>
      </c>
      <c r="J236" s="1567">
        <v>44905</v>
      </c>
      <c r="K236" s="1568" t="str">
        <f t="shared" si="3"/>
        <v>No</v>
      </c>
      <c r="L236" s="1565"/>
    </row>
    <row r="237" spans="1:12" ht="20.100000000000001" customHeight="1">
      <c r="A237" s="1568" t="s">
        <v>3115</v>
      </c>
      <c r="B237" s="1567">
        <v>41253</v>
      </c>
      <c r="C237" s="1568" t="s">
        <v>3308</v>
      </c>
      <c r="D237" s="1568" t="s">
        <v>2955</v>
      </c>
      <c r="E237" s="1567">
        <v>42439</v>
      </c>
      <c r="F237" s="1566">
        <v>208</v>
      </c>
      <c r="G237" s="1566">
        <v>0</v>
      </c>
      <c r="H237" s="1567"/>
      <c r="I237" s="1567">
        <v>44905</v>
      </c>
      <c r="J237" s="1567">
        <v>44905</v>
      </c>
      <c r="K237" s="1568" t="str">
        <f t="shared" si="3"/>
        <v>No</v>
      </c>
      <c r="L237" s="1565"/>
    </row>
    <row r="238" spans="1:12" ht="20.100000000000001" customHeight="1">
      <c r="A238" s="1568" t="s">
        <v>3115</v>
      </c>
      <c r="B238" s="1567">
        <v>41253</v>
      </c>
      <c r="C238" s="1568" t="s">
        <v>3308</v>
      </c>
      <c r="D238" s="1568" t="s">
        <v>2955</v>
      </c>
      <c r="E238" s="1567">
        <v>42470</v>
      </c>
      <c r="F238" s="1566">
        <v>208</v>
      </c>
      <c r="G238" s="1566">
        <v>0</v>
      </c>
      <c r="H238" s="1567"/>
      <c r="I238" s="1567">
        <v>44905</v>
      </c>
      <c r="J238" s="1567">
        <v>44905</v>
      </c>
      <c r="K238" s="1568" t="str">
        <f t="shared" si="3"/>
        <v>No</v>
      </c>
      <c r="L238" s="1565"/>
    </row>
    <row r="239" spans="1:12" ht="20.100000000000001" customHeight="1">
      <c r="A239" s="1568" t="s">
        <v>3115</v>
      </c>
      <c r="B239" s="1567">
        <v>41253</v>
      </c>
      <c r="C239" s="1568" t="s">
        <v>3308</v>
      </c>
      <c r="D239" s="1568" t="s">
        <v>2955</v>
      </c>
      <c r="E239" s="1567">
        <v>42500</v>
      </c>
      <c r="F239" s="1566">
        <v>208</v>
      </c>
      <c r="G239" s="1566">
        <v>0</v>
      </c>
      <c r="H239" s="1567"/>
      <c r="I239" s="1567">
        <v>44905</v>
      </c>
      <c r="J239" s="1567">
        <v>44905</v>
      </c>
      <c r="K239" s="1568" t="str">
        <f t="shared" si="3"/>
        <v>No</v>
      </c>
      <c r="L239" s="1565"/>
    </row>
    <row r="240" spans="1:12" ht="20.100000000000001" customHeight="1">
      <c r="A240" s="1568" t="s">
        <v>3115</v>
      </c>
      <c r="B240" s="1567">
        <v>41253</v>
      </c>
      <c r="C240" s="1568" t="s">
        <v>3308</v>
      </c>
      <c r="D240" s="1568" t="s">
        <v>2955</v>
      </c>
      <c r="E240" s="1567">
        <v>42531</v>
      </c>
      <c r="F240" s="1566">
        <v>208</v>
      </c>
      <c r="G240" s="1566">
        <v>0</v>
      </c>
      <c r="H240" s="1567"/>
      <c r="I240" s="1567">
        <v>44905</v>
      </c>
      <c r="J240" s="1567">
        <v>44905</v>
      </c>
      <c r="K240" s="1568" t="str">
        <f t="shared" si="3"/>
        <v>No</v>
      </c>
      <c r="L240" s="1565"/>
    </row>
    <row r="241" spans="1:12" ht="20.100000000000001" customHeight="1">
      <c r="A241" s="1568" t="s">
        <v>3115</v>
      </c>
      <c r="B241" s="1567">
        <v>41253</v>
      </c>
      <c r="C241" s="1568" t="s">
        <v>3308</v>
      </c>
      <c r="D241" s="1568" t="s">
        <v>2955</v>
      </c>
      <c r="E241" s="1567">
        <v>42561</v>
      </c>
      <c r="F241" s="1566">
        <v>208</v>
      </c>
      <c r="G241" s="1566">
        <v>0</v>
      </c>
      <c r="H241" s="1567"/>
      <c r="I241" s="1567">
        <v>44905</v>
      </c>
      <c r="J241" s="1567">
        <v>44905</v>
      </c>
      <c r="K241" s="1568" t="str">
        <f t="shared" si="3"/>
        <v>No</v>
      </c>
      <c r="L241" s="1565"/>
    </row>
    <row r="242" spans="1:12" ht="20.100000000000001" customHeight="1">
      <c r="A242" s="1568" t="s">
        <v>3115</v>
      </c>
      <c r="B242" s="1567">
        <v>41253</v>
      </c>
      <c r="C242" s="1568" t="s">
        <v>3308</v>
      </c>
      <c r="D242" s="1568" t="s">
        <v>2955</v>
      </c>
      <c r="E242" s="1567">
        <v>42592</v>
      </c>
      <c r="F242" s="1566">
        <v>208</v>
      </c>
      <c r="G242" s="1566">
        <v>0</v>
      </c>
      <c r="H242" s="1567"/>
      <c r="I242" s="1567">
        <v>44905</v>
      </c>
      <c r="J242" s="1567">
        <v>44905</v>
      </c>
      <c r="K242" s="1568" t="str">
        <f t="shared" si="3"/>
        <v>No</v>
      </c>
      <c r="L242" s="1565"/>
    </row>
    <row r="243" spans="1:12" ht="20.100000000000001" customHeight="1">
      <c r="A243" s="1568" t="s">
        <v>3115</v>
      </c>
      <c r="B243" s="1567">
        <v>41253</v>
      </c>
      <c r="C243" s="1568" t="s">
        <v>3308</v>
      </c>
      <c r="D243" s="1568" t="s">
        <v>2955</v>
      </c>
      <c r="E243" s="1567">
        <v>42623</v>
      </c>
      <c r="F243" s="1566">
        <v>208</v>
      </c>
      <c r="G243" s="1566">
        <v>0</v>
      </c>
      <c r="H243" s="1567"/>
      <c r="I243" s="1567">
        <v>44905</v>
      </c>
      <c r="J243" s="1567">
        <v>44905</v>
      </c>
      <c r="K243" s="1568" t="str">
        <f t="shared" si="3"/>
        <v>No</v>
      </c>
      <c r="L243" s="1565"/>
    </row>
    <row r="244" spans="1:12" ht="20.100000000000001" customHeight="1">
      <c r="A244" s="1568" t="s">
        <v>3115</v>
      </c>
      <c r="B244" s="1567">
        <v>41253</v>
      </c>
      <c r="C244" s="1568" t="s">
        <v>3308</v>
      </c>
      <c r="D244" s="1568" t="s">
        <v>2955</v>
      </c>
      <c r="E244" s="1567">
        <v>42653</v>
      </c>
      <c r="F244" s="1566">
        <v>208</v>
      </c>
      <c r="G244" s="1566">
        <v>0</v>
      </c>
      <c r="H244" s="1567"/>
      <c r="I244" s="1567">
        <v>44905</v>
      </c>
      <c r="J244" s="1567">
        <v>44905</v>
      </c>
      <c r="K244" s="1568" t="str">
        <f t="shared" si="3"/>
        <v>No</v>
      </c>
      <c r="L244" s="1565"/>
    </row>
    <row r="245" spans="1:12" ht="20.100000000000001" customHeight="1">
      <c r="A245" s="1568" t="s">
        <v>3115</v>
      </c>
      <c r="B245" s="1567">
        <v>41253</v>
      </c>
      <c r="C245" s="1568" t="s">
        <v>3308</v>
      </c>
      <c r="D245" s="1568" t="s">
        <v>2955</v>
      </c>
      <c r="E245" s="1567">
        <v>42684</v>
      </c>
      <c r="F245" s="1566">
        <v>208</v>
      </c>
      <c r="G245" s="1566">
        <v>0</v>
      </c>
      <c r="H245" s="1567"/>
      <c r="I245" s="1567">
        <v>44905</v>
      </c>
      <c r="J245" s="1567">
        <v>44905</v>
      </c>
      <c r="K245" s="1568" t="str">
        <f t="shared" si="3"/>
        <v>No</v>
      </c>
      <c r="L245" s="1565"/>
    </row>
    <row r="246" spans="1:12" ht="20.100000000000001" customHeight="1">
      <c r="A246" s="1568" t="s">
        <v>3115</v>
      </c>
      <c r="B246" s="1567">
        <v>41253</v>
      </c>
      <c r="C246" s="1568" t="s">
        <v>3308</v>
      </c>
      <c r="D246" s="1568" t="s">
        <v>2955</v>
      </c>
      <c r="E246" s="1567">
        <v>42714</v>
      </c>
      <c r="F246" s="1566">
        <v>208</v>
      </c>
      <c r="G246" s="1566">
        <v>0</v>
      </c>
      <c r="H246" s="1567"/>
      <c r="I246" s="1567">
        <v>44905</v>
      </c>
      <c r="J246" s="1567">
        <v>44905</v>
      </c>
      <c r="K246" s="1568" t="str">
        <f t="shared" si="3"/>
        <v>No</v>
      </c>
      <c r="L246" s="1565"/>
    </row>
    <row r="247" spans="1:12" ht="20.100000000000001" customHeight="1">
      <c r="A247" s="1568" t="s">
        <v>3113</v>
      </c>
      <c r="B247" s="1567">
        <v>42300</v>
      </c>
      <c r="C247" s="1568" t="s">
        <v>3308</v>
      </c>
      <c r="D247" s="1568" t="s">
        <v>2980</v>
      </c>
      <c r="E247" s="1567">
        <v>42300</v>
      </c>
      <c r="F247" s="1566">
        <v>2800</v>
      </c>
      <c r="G247" s="1566">
        <v>2800</v>
      </c>
      <c r="H247" s="1567">
        <v>42783</v>
      </c>
      <c r="I247" s="1567">
        <v>43378</v>
      </c>
      <c r="J247" s="1567">
        <v>43468</v>
      </c>
      <c r="K247" s="1568" t="str">
        <f t="shared" si="3"/>
        <v>No</v>
      </c>
      <c r="L247" s="1565"/>
    </row>
    <row r="248" spans="1:12" ht="20.100000000000001" customHeight="1">
      <c r="A248" s="1568" t="s">
        <v>3113</v>
      </c>
      <c r="B248" s="1567">
        <v>42300</v>
      </c>
      <c r="C248" s="1568" t="s">
        <v>3308</v>
      </c>
      <c r="D248" s="1568" t="s">
        <v>2980</v>
      </c>
      <c r="E248" s="1567">
        <v>42300</v>
      </c>
      <c r="F248" s="1566">
        <v>704</v>
      </c>
      <c r="G248" s="1566">
        <v>704</v>
      </c>
      <c r="H248" s="1567">
        <v>42783</v>
      </c>
      <c r="I248" s="1567">
        <v>43378</v>
      </c>
      <c r="J248" s="1567">
        <v>43468</v>
      </c>
      <c r="K248" s="1568" t="str">
        <f t="shared" si="3"/>
        <v>No</v>
      </c>
      <c r="L248" s="1565"/>
    </row>
    <row r="249" spans="1:12" ht="20.100000000000001" customHeight="1">
      <c r="A249" s="1568" t="s">
        <v>3113</v>
      </c>
      <c r="B249" s="1567">
        <v>42300</v>
      </c>
      <c r="C249" s="1568" t="s">
        <v>3308</v>
      </c>
      <c r="D249" s="1568" t="s">
        <v>2980</v>
      </c>
      <c r="E249" s="1567">
        <v>42346</v>
      </c>
      <c r="F249" s="1566">
        <v>696</v>
      </c>
      <c r="G249" s="1566">
        <v>696</v>
      </c>
      <c r="H249" s="1567">
        <v>42783</v>
      </c>
      <c r="I249" s="1567">
        <v>43378</v>
      </c>
      <c r="J249" s="1567">
        <v>43468</v>
      </c>
      <c r="K249" s="1568" t="str">
        <f t="shared" si="3"/>
        <v>No</v>
      </c>
      <c r="L249" s="1565"/>
    </row>
    <row r="250" spans="1:12" ht="20.100000000000001" customHeight="1">
      <c r="A250" s="1568" t="s">
        <v>3113</v>
      </c>
      <c r="B250" s="1567">
        <v>42300</v>
      </c>
      <c r="C250" s="1568" t="s">
        <v>3308</v>
      </c>
      <c r="D250" s="1568" t="s">
        <v>2980</v>
      </c>
      <c r="E250" s="1567">
        <v>42437</v>
      </c>
      <c r="F250" s="1566">
        <v>704</v>
      </c>
      <c r="G250" s="1566">
        <v>704</v>
      </c>
      <c r="H250" s="1567">
        <v>42783</v>
      </c>
      <c r="I250" s="1567">
        <v>43378</v>
      </c>
      <c r="J250" s="1567">
        <v>43468</v>
      </c>
      <c r="K250" s="1568" t="str">
        <f t="shared" si="3"/>
        <v>No</v>
      </c>
      <c r="L250" s="1565"/>
    </row>
    <row r="251" spans="1:12" ht="20.100000000000001" customHeight="1">
      <c r="A251" s="1568" t="s">
        <v>3113</v>
      </c>
      <c r="B251" s="1567">
        <v>42300</v>
      </c>
      <c r="C251" s="1568" t="s">
        <v>3308</v>
      </c>
      <c r="D251" s="1568" t="s">
        <v>2980</v>
      </c>
      <c r="E251" s="1567">
        <v>42529</v>
      </c>
      <c r="F251" s="1566">
        <v>696</v>
      </c>
      <c r="G251" s="1566">
        <v>696</v>
      </c>
      <c r="H251" s="1567">
        <v>42783</v>
      </c>
      <c r="I251" s="1567">
        <v>43378</v>
      </c>
      <c r="J251" s="1567">
        <v>43468</v>
      </c>
      <c r="K251" s="1568" t="str">
        <f t="shared" si="3"/>
        <v>No</v>
      </c>
      <c r="L251" s="1565"/>
    </row>
    <row r="252" spans="1:12" ht="20.100000000000001" customHeight="1">
      <c r="A252" s="1568" t="s">
        <v>3113</v>
      </c>
      <c r="B252" s="1567">
        <v>42300</v>
      </c>
      <c r="C252" s="1568" t="s">
        <v>3308</v>
      </c>
      <c r="D252" s="1568" t="s">
        <v>2980</v>
      </c>
      <c r="E252" s="1567">
        <v>42621</v>
      </c>
      <c r="F252" s="1566">
        <v>704</v>
      </c>
      <c r="G252" s="1566">
        <v>704</v>
      </c>
      <c r="H252" s="1567">
        <v>42783</v>
      </c>
      <c r="I252" s="1567">
        <v>43378</v>
      </c>
      <c r="J252" s="1567">
        <v>43468</v>
      </c>
      <c r="K252" s="1568" t="str">
        <f t="shared" si="3"/>
        <v>No</v>
      </c>
      <c r="L252" s="1565"/>
    </row>
    <row r="253" spans="1:12" ht="20.100000000000001" customHeight="1">
      <c r="A253" s="1568" t="s">
        <v>3113</v>
      </c>
      <c r="B253" s="1567">
        <v>42300</v>
      </c>
      <c r="C253" s="1568" t="s">
        <v>3308</v>
      </c>
      <c r="D253" s="1568" t="s">
        <v>2980</v>
      </c>
      <c r="E253" s="1567">
        <v>42712</v>
      </c>
      <c r="F253" s="1566">
        <v>696</v>
      </c>
      <c r="G253" s="1566">
        <v>696</v>
      </c>
      <c r="H253" s="1567">
        <v>42783</v>
      </c>
      <c r="I253" s="1567">
        <v>43378</v>
      </c>
      <c r="J253" s="1567">
        <v>43468</v>
      </c>
      <c r="K253" s="1568" t="str">
        <f t="shared" si="3"/>
        <v>No</v>
      </c>
      <c r="L253" s="1565"/>
    </row>
    <row r="254" spans="1:12" ht="20.100000000000001" customHeight="1">
      <c r="A254" s="1568" t="s">
        <v>3113</v>
      </c>
      <c r="B254" s="1567">
        <v>42300</v>
      </c>
      <c r="C254" s="1568" t="s">
        <v>3308</v>
      </c>
      <c r="D254" s="1568" t="s">
        <v>2980</v>
      </c>
      <c r="E254" s="1567">
        <v>42712</v>
      </c>
      <c r="F254" s="1566">
        <v>0</v>
      </c>
      <c r="G254" s="1566">
        <v>0</v>
      </c>
      <c r="H254" s="1567">
        <v>42898</v>
      </c>
      <c r="I254" s="1567">
        <v>43378</v>
      </c>
      <c r="J254" s="1567">
        <v>43468</v>
      </c>
      <c r="K254" s="1568" t="str">
        <f t="shared" si="3"/>
        <v>No</v>
      </c>
      <c r="L254" s="1565"/>
    </row>
    <row r="255" spans="1:12" ht="20.100000000000001" customHeight="1">
      <c r="A255" s="1568" t="s">
        <v>3113</v>
      </c>
      <c r="B255" s="1567">
        <v>42300</v>
      </c>
      <c r="C255" s="1568" t="s">
        <v>3308</v>
      </c>
      <c r="D255" s="1568" t="s">
        <v>2980</v>
      </c>
      <c r="E255" s="1567">
        <v>42802</v>
      </c>
      <c r="F255" s="1566">
        <v>704</v>
      </c>
      <c r="G255" s="1566">
        <v>704</v>
      </c>
      <c r="H255" s="1567">
        <v>42898</v>
      </c>
      <c r="I255" s="1567">
        <v>43378</v>
      </c>
      <c r="J255" s="1567">
        <v>43468</v>
      </c>
      <c r="K255" s="1568" t="str">
        <f t="shared" si="3"/>
        <v>No</v>
      </c>
      <c r="L255" s="1565"/>
    </row>
    <row r="256" spans="1:12" ht="20.100000000000001" customHeight="1">
      <c r="A256" s="1568" t="s">
        <v>3113</v>
      </c>
      <c r="B256" s="1567">
        <v>42300</v>
      </c>
      <c r="C256" s="1568" t="s">
        <v>3308</v>
      </c>
      <c r="D256" s="1568" t="s">
        <v>2980</v>
      </c>
      <c r="E256" s="1567">
        <v>42894</v>
      </c>
      <c r="F256" s="1566">
        <v>696</v>
      </c>
      <c r="G256" s="1566">
        <v>696</v>
      </c>
      <c r="H256" s="1567">
        <v>42898</v>
      </c>
      <c r="I256" s="1567">
        <v>43378</v>
      </c>
      <c r="J256" s="1567">
        <v>43468</v>
      </c>
      <c r="K256" s="1568" t="str">
        <f t="shared" si="3"/>
        <v>No</v>
      </c>
      <c r="L256" s="1565"/>
    </row>
    <row r="257" spans="1:12" ht="20.100000000000001" customHeight="1">
      <c r="A257" s="1568" t="s">
        <v>3113</v>
      </c>
      <c r="B257" s="1567">
        <v>42300</v>
      </c>
      <c r="C257" s="1568" t="s">
        <v>3308</v>
      </c>
      <c r="D257" s="1568" t="s">
        <v>2980</v>
      </c>
      <c r="E257" s="1567">
        <v>42894</v>
      </c>
      <c r="F257" s="1566">
        <v>0</v>
      </c>
      <c r="G257" s="1566">
        <v>0</v>
      </c>
      <c r="H257" s="1567">
        <v>42986</v>
      </c>
      <c r="I257" s="1567">
        <v>43378</v>
      </c>
      <c r="J257" s="1567">
        <v>43468</v>
      </c>
      <c r="K257" s="1568" t="str">
        <f t="shared" si="3"/>
        <v>No</v>
      </c>
      <c r="L257" s="1565"/>
    </row>
    <row r="258" spans="1:12" ht="20.100000000000001" customHeight="1">
      <c r="A258" s="1568" t="s">
        <v>3113</v>
      </c>
      <c r="B258" s="1567">
        <v>42300</v>
      </c>
      <c r="C258" s="1568" t="s">
        <v>3308</v>
      </c>
      <c r="D258" s="1568" t="s">
        <v>2980</v>
      </c>
      <c r="E258" s="1567">
        <v>42986</v>
      </c>
      <c r="F258" s="1566">
        <v>704</v>
      </c>
      <c r="G258" s="1566">
        <v>704</v>
      </c>
      <c r="H258" s="1567">
        <v>42986</v>
      </c>
      <c r="I258" s="1567">
        <v>43378</v>
      </c>
      <c r="J258" s="1567">
        <v>43468</v>
      </c>
      <c r="K258" s="1568" t="str">
        <f t="shared" si="3"/>
        <v>No</v>
      </c>
      <c r="L258" s="1565"/>
    </row>
    <row r="259" spans="1:12" ht="20.100000000000001" customHeight="1">
      <c r="A259" s="1568" t="s">
        <v>3113</v>
      </c>
      <c r="B259" s="1567">
        <v>42300</v>
      </c>
      <c r="C259" s="1568" t="s">
        <v>3308</v>
      </c>
      <c r="D259" s="1568" t="s">
        <v>2980</v>
      </c>
      <c r="E259" s="1567">
        <v>42986</v>
      </c>
      <c r="F259" s="1566">
        <v>0</v>
      </c>
      <c r="G259" s="1566">
        <v>0</v>
      </c>
      <c r="H259" s="1567">
        <v>43077</v>
      </c>
      <c r="I259" s="1567">
        <v>43378</v>
      </c>
      <c r="J259" s="1567">
        <v>43468</v>
      </c>
      <c r="K259" s="1568" t="str">
        <f t="shared" si="3"/>
        <v>No</v>
      </c>
      <c r="L259" s="1565"/>
    </row>
    <row r="260" spans="1:12" ht="20.100000000000001" customHeight="1">
      <c r="A260" s="1568" t="s">
        <v>3113</v>
      </c>
      <c r="B260" s="1567">
        <v>42300</v>
      </c>
      <c r="C260" s="1568" t="s">
        <v>3308</v>
      </c>
      <c r="D260" s="1568" t="s">
        <v>2980</v>
      </c>
      <c r="E260" s="1567">
        <v>43077</v>
      </c>
      <c r="F260" s="1566">
        <v>696</v>
      </c>
      <c r="G260" s="1566">
        <v>696</v>
      </c>
      <c r="H260" s="1567">
        <v>43077</v>
      </c>
      <c r="I260" s="1567">
        <v>43378</v>
      </c>
      <c r="J260" s="1567">
        <v>43468</v>
      </c>
      <c r="K260" s="1568" t="str">
        <f t="shared" si="3"/>
        <v>No</v>
      </c>
      <c r="L260" s="1565"/>
    </row>
    <row r="261" spans="1:12" ht="20.100000000000001" customHeight="1">
      <c r="A261" s="1568" t="s">
        <v>3113</v>
      </c>
      <c r="B261" s="1567">
        <v>42300</v>
      </c>
      <c r="C261" s="1568" t="s">
        <v>3308</v>
      </c>
      <c r="D261" s="1568" t="s">
        <v>2980</v>
      </c>
      <c r="E261" s="1567">
        <v>43077</v>
      </c>
      <c r="F261" s="1566">
        <v>0</v>
      </c>
      <c r="G261" s="1566">
        <v>0</v>
      </c>
      <c r="H261" s="1567">
        <v>43168</v>
      </c>
      <c r="I261" s="1567">
        <v>43378</v>
      </c>
      <c r="J261" s="1567">
        <v>43468</v>
      </c>
      <c r="K261" s="1568" t="str">
        <f t="shared" ref="K261:K324" si="4">IF(I261="N/A","No",IF(E261&lt;=I261,"No","Yes"))</f>
        <v>No</v>
      </c>
      <c r="L261" s="1565"/>
    </row>
    <row r="262" spans="1:12" ht="20.100000000000001" customHeight="1">
      <c r="A262" s="1568" t="s">
        <v>3113</v>
      </c>
      <c r="B262" s="1567">
        <v>42300</v>
      </c>
      <c r="C262" s="1568" t="s">
        <v>3308</v>
      </c>
      <c r="D262" s="1568" t="s">
        <v>2980</v>
      </c>
      <c r="E262" s="1567">
        <v>43167</v>
      </c>
      <c r="F262" s="1566">
        <v>704</v>
      </c>
      <c r="G262" s="1566">
        <v>704</v>
      </c>
      <c r="H262" s="1567">
        <v>43168</v>
      </c>
      <c r="I262" s="1567">
        <v>43378</v>
      </c>
      <c r="J262" s="1567">
        <v>43468</v>
      </c>
      <c r="K262" s="1568" t="str">
        <f t="shared" si="4"/>
        <v>No</v>
      </c>
      <c r="L262" s="1565"/>
    </row>
    <row r="263" spans="1:12" ht="20.100000000000001" customHeight="1">
      <c r="A263" s="1568" t="s">
        <v>3113</v>
      </c>
      <c r="B263" s="1567">
        <v>42300</v>
      </c>
      <c r="C263" s="1568" t="s">
        <v>3308</v>
      </c>
      <c r="D263" s="1568" t="s">
        <v>2980</v>
      </c>
      <c r="E263" s="1567">
        <v>43167</v>
      </c>
      <c r="F263" s="1566">
        <v>0</v>
      </c>
      <c r="G263" s="1566">
        <v>0</v>
      </c>
      <c r="H263" s="1567">
        <v>43284</v>
      </c>
      <c r="I263" s="1567">
        <v>43378</v>
      </c>
      <c r="J263" s="1567">
        <v>43468</v>
      </c>
      <c r="K263" s="1568" t="str">
        <f t="shared" si="4"/>
        <v>No</v>
      </c>
      <c r="L263" s="1565"/>
    </row>
    <row r="264" spans="1:12" ht="20.100000000000001" customHeight="1">
      <c r="A264" s="1568" t="s">
        <v>3113</v>
      </c>
      <c r="B264" s="1567">
        <v>42300</v>
      </c>
      <c r="C264" s="1568" t="s">
        <v>3308</v>
      </c>
      <c r="D264" s="1568" t="s">
        <v>2980</v>
      </c>
      <c r="E264" s="1567">
        <v>43259</v>
      </c>
      <c r="F264" s="1566">
        <v>696</v>
      </c>
      <c r="G264" s="1566">
        <v>696</v>
      </c>
      <c r="H264" s="1567">
        <v>43284</v>
      </c>
      <c r="I264" s="1567">
        <v>43378</v>
      </c>
      <c r="J264" s="1567">
        <v>43468</v>
      </c>
      <c r="K264" s="1568" t="str">
        <f t="shared" si="4"/>
        <v>No</v>
      </c>
      <c r="L264" s="1565"/>
    </row>
    <row r="265" spans="1:12" ht="20.100000000000001" customHeight="1">
      <c r="A265" s="1568" t="s">
        <v>3113</v>
      </c>
      <c r="B265" s="1567">
        <v>42300</v>
      </c>
      <c r="C265" s="1568" t="s">
        <v>3308</v>
      </c>
      <c r="D265" s="1568" t="s">
        <v>2980</v>
      </c>
      <c r="E265" s="1567">
        <v>43259</v>
      </c>
      <c r="F265" s="1566">
        <v>0</v>
      </c>
      <c r="G265" s="1566">
        <v>0</v>
      </c>
      <c r="H265" s="1567"/>
      <c r="I265" s="1567">
        <v>43378</v>
      </c>
      <c r="J265" s="1567">
        <v>43468</v>
      </c>
      <c r="K265" s="1568" t="str">
        <f t="shared" si="4"/>
        <v>No</v>
      </c>
      <c r="L265" s="1565"/>
    </row>
    <row r="266" spans="1:12" ht="20.100000000000001" customHeight="1">
      <c r="A266" s="1568" t="s">
        <v>3111</v>
      </c>
      <c r="B266" s="1567">
        <v>42300</v>
      </c>
      <c r="C266" s="1568" t="s">
        <v>3308</v>
      </c>
      <c r="D266" s="1568" t="s">
        <v>2955</v>
      </c>
      <c r="E266" s="1567">
        <v>42300</v>
      </c>
      <c r="F266" s="1566">
        <v>1200</v>
      </c>
      <c r="G266" s="1566">
        <v>1200</v>
      </c>
      <c r="H266" s="1567">
        <v>42783</v>
      </c>
      <c r="I266" s="1567">
        <v>45953</v>
      </c>
      <c r="J266" s="1567">
        <v>45953</v>
      </c>
      <c r="K266" s="1568" t="str">
        <f t="shared" si="4"/>
        <v>No</v>
      </c>
      <c r="L266" s="1565"/>
    </row>
    <row r="267" spans="1:12" ht="20.100000000000001" customHeight="1">
      <c r="A267" s="1568" t="s">
        <v>3111</v>
      </c>
      <c r="B267" s="1567">
        <v>42300</v>
      </c>
      <c r="C267" s="1568" t="s">
        <v>3308</v>
      </c>
      <c r="D267" s="1568" t="s">
        <v>2955</v>
      </c>
      <c r="E267" s="1567">
        <v>42300</v>
      </c>
      <c r="F267" s="1566">
        <v>304</v>
      </c>
      <c r="G267" s="1566">
        <v>304</v>
      </c>
      <c r="H267" s="1567">
        <v>42783</v>
      </c>
      <c r="I267" s="1567">
        <v>45953</v>
      </c>
      <c r="J267" s="1567">
        <v>45953</v>
      </c>
      <c r="K267" s="1568" t="str">
        <f t="shared" si="4"/>
        <v>No</v>
      </c>
      <c r="L267" s="1565"/>
    </row>
    <row r="268" spans="1:12" ht="20.100000000000001" customHeight="1">
      <c r="A268" s="1568" t="s">
        <v>3111</v>
      </c>
      <c r="B268" s="1567">
        <v>42300</v>
      </c>
      <c r="C268" s="1568" t="s">
        <v>3308</v>
      </c>
      <c r="D268" s="1568" t="s">
        <v>2955</v>
      </c>
      <c r="E268" s="1567">
        <v>42309</v>
      </c>
      <c r="F268" s="1566">
        <v>296</v>
      </c>
      <c r="G268" s="1566">
        <v>296</v>
      </c>
      <c r="H268" s="1567">
        <v>42783</v>
      </c>
      <c r="I268" s="1567">
        <v>45953</v>
      </c>
      <c r="J268" s="1567">
        <v>45953</v>
      </c>
      <c r="K268" s="1568" t="str">
        <f t="shared" si="4"/>
        <v>No</v>
      </c>
      <c r="L268" s="1565"/>
    </row>
    <row r="269" spans="1:12" ht="20.100000000000001" customHeight="1">
      <c r="A269" s="1568" t="s">
        <v>3111</v>
      </c>
      <c r="B269" s="1567">
        <v>42300</v>
      </c>
      <c r="C269" s="1568" t="s">
        <v>3308</v>
      </c>
      <c r="D269" s="1568" t="s">
        <v>2955</v>
      </c>
      <c r="E269" s="1567">
        <v>42401</v>
      </c>
      <c r="F269" s="1566">
        <v>304</v>
      </c>
      <c r="G269" s="1566">
        <v>304</v>
      </c>
      <c r="H269" s="1567">
        <v>42783</v>
      </c>
      <c r="I269" s="1567">
        <v>45953</v>
      </c>
      <c r="J269" s="1567">
        <v>45953</v>
      </c>
      <c r="K269" s="1568" t="str">
        <f t="shared" si="4"/>
        <v>No</v>
      </c>
      <c r="L269" s="1565"/>
    </row>
    <row r="270" spans="1:12" ht="20.100000000000001" customHeight="1">
      <c r="A270" s="1568" t="s">
        <v>3111</v>
      </c>
      <c r="B270" s="1567">
        <v>42300</v>
      </c>
      <c r="C270" s="1568" t="s">
        <v>3308</v>
      </c>
      <c r="D270" s="1568" t="s">
        <v>2955</v>
      </c>
      <c r="E270" s="1567">
        <v>42491</v>
      </c>
      <c r="F270" s="1566">
        <v>296</v>
      </c>
      <c r="G270" s="1566">
        <v>296</v>
      </c>
      <c r="H270" s="1567">
        <v>42783</v>
      </c>
      <c r="I270" s="1567">
        <v>45953</v>
      </c>
      <c r="J270" s="1567">
        <v>45953</v>
      </c>
      <c r="K270" s="1568" t="str">
        <f t="shared" si="4"/>
        <v>No</v>
      </c>
      <c r="L270" s="1565"/>
    </row>
    <row r="271" spans="1:12" ht="20.100000000000001" customHeight="1">
      <c r="A271" s="1568" t="s">
        <v>3111</v>
      </c>
      <c r="B271" s="1567">
        <v>42300</v>
      </c>
      <c r="C271" s="1568" t="s">
        <v>3308</v>
      </c>
      <c r="D271" s="1568" t="s">
        <v>2955</v>
      </c>
      <c r="E271" s="1567">
        <v>42583</v>
      </c>
      <c r="F271" s="1566">
        <v>304</v>
      </c>
      <c r="G271" s="1566">
        <v>304</v>
      </c>
      <c r="H271" s="1567">
        <v>42783</v>
      </c>
      <c r="I271" s="1567">
        <v>45953</v>
      </c>
      <c r="J271" s="1567">
        <v>45953</v>
      </c>
      <c r="K271" s="1568" t="str">
        <f t="shared" si="4"/>
        <v>No</v>
      </c>
      <c r="L271" s="1565"/>
    </row>
    <row r="272" spans="1:12" ht="20.100000000000001" customHeight="1">
      <c r="A272" s="1568" t="s">
        <v>3111</v>
      </c>
      <c r="B272" s="1567">
        <v>42300</v>
      </c>
      <c r="C272" s="1568" t="s">
        <v>3308</v>
      </c>
      <c r="D272" s="1568" t="s">
        <v>2955</v>
      </c>
      <c r="E272" s="1567">
        <v>42675</v>
      </c>
      <c r="F272" s="1566">
        <v>296</v>
      </c>
      <c r="G272" s="1566">
        <v>296</v>
      </c>
      <c r="H272" s="1567">
        <v>42783</v>
      </c>
      <c r="I272" s="1567">
        <v>45953</v>
      </c>
      <c r="J272" s="1567">
        <v>45953</v>
      </c>
      <c r="K272" s="1568" t="str">
        <f t="shared" si="4"/>
        <v>No</v>
      </c>
      <c r="L272" s="1565"/>
    </row>
    <row r="273" spans="1:12" ht="20.100000000000001" customHeight="1">
      <c r="A273" s="1568" t="s">
        <v>3111</v>
      </c>
      <c r="B273" s="1567">
        <v>42300</v>
      </c>
      <c r="C273" s="1568" t="s">
        <v>3308</v>
      </c>
      <c r="D273" s="1568" t="s">
        <v>2955</v>
      </c>
      <c r="E273" s="1567">
        <v>42767</v>
      </c>
      <c r="F273" s="1566">
        <v>304</v>
      </c>
      <c r="G273" s="1566">
        <v>304</v>
      </c>
      <c r="H273" s="1567">
        <v>42783</v>
      </c>
      <c r="I273" s="1567">
        <v>45953</v>
      </c>
      <c r="J273" s="1567">
        <v>45953</v>
      </c>
      <c r="K273" s="1568" t="str">
        <f t="shared" si="4"/>
        <v>No</v>
      </c>
      <c r="L273" s="1565"/>
    </row>
    <row r="274" spans="1:12" ht="20.100000000000001" customHeight="1">
      <c r="A274" s="1568" t="s">
        <v>3111</v>
      </c>
      <c r="B274" s="1567">
        <v>42300</v>
      </c>
      <c r="C274" s="1568" t="s">
        <v>3308</v>
      </c>
      <c r="D274" s="1568" t="s">
        <v>2955</v>
      </c>
      <c r="E274" s="1567">
        <v>42767</v>
      </c>
      <c r="F274" s="1566">
        <v>0</v>
      </c>
      <c r="G274" s="1566">
        <v>0</v>
      </c>
      <c r="H274" s="1567"/>
      <c r="I274" s="1567">
        <v>45953</v>
      </c>
      <c r="J274" s="1567">
        <v>45953</v>
      </c>
      <c r="K274" s="1568" t="str">
        <f t="shared" si="4"/>
        <v>No</v>
      </c>
      <c r="L274" s="1565"/>
    </row>
    <row r="275" spans="1:12" ht="20.100000000000001" customHeight="1">
      <c r="A275" s="1568" t="s">
        <v>3111</v>
      </c>
      <c r="B275" s="1567">
        <v>42300</v>
      </c>
      <c r="C275" s="1568" t="s">
        <v>3308</v>
      </c>
      <c r="D275" s="1568" t="s">
        <v>2955</v>
      </c>
      <c r="E275" s="1567">
        <v>42856</v>
      </c>
      <c r="F275" s="1566">
        <v>296</v>
      </c>
      <c r="G275" s="1566">
        <v>0</v>
      </c>
      <c r="H275" s="1567"/>
      <c r="I275" s="1567">
        <v>45953</v>
      </c>
      <c r="J275" s="1567">
        <v>45953</v>
      </c>
      <c r="K275" s="1568" t="str">
        <f t="shared" si="4"/>
        <v>No</v>
      </c>
      <c r="L275" s="1565"/>
    </row>
    <row r="276" spans="1:12" ht="20.100000000000001" customHeight="1">
      <c r="A276" s="1568" t="s">
        <v>3111</v>
      </c>
      <c r="B276" s="1567">
        <v>42300</v>
      </c>
      <c r="C276" s="1568" t="s">
        <v>3308</v>
      </c>
      <c r="D276" s="1568" t="s">
        <v>2955</v>
      </c>
      <c r="E276" s="1567">
        <v>42948</v>
      </c>
      <c r="F276" s="1566">
        <v>304</v>
      </c>
      <c r="G276" s="1566">
        <v>0</v>
      </c>
      <c r="H276" s="1567"/>
      <c r="I276" s="1567">
        <v>45953</v>
      </c>
      <c r="J276" s="1567">
        <v>45953</v>
      </c>
      <c r="K276" s="1568" t="str">
        <f t="shared" si="4"/>
        <v>No</v>
      </c>
      <c r="L276" s="1565"/>
    </row>
    <row r="277" spans="1:12" ht="20.100000000000001" customHeight="1">
      <c r="A277" s="1568" t="s">
        <v>3111</v>
      </c>
      <c r="B277" s="1567">
        <v>42300</v>
      </c>
      <c r="C277" s="1568" t="s">
        <v>3308</v>
      </c>
      <c r="D277" s="1568" t="s">
        <v>2955</v>
      </c>
      <c r="E277" s="1567">
        <v>43040</v>
      </c>
      <c r="F277" s="1566">
        <v>296</v>
      </c>
      <c r="G277" s="1566">
        <v>0</v>
      </c>
      <c r="H277" s="1567"/>
      <c r="I277" s="1567">
        <v>45953</v>
      </c>
      <c r="J277" s="1567">
        <v>45953</v>
      </c>
      <c r="K277" s="1568" t="str">
        <f t="shared" si="4"/>
        <v>No</v>
      </c>
      <c r="L277" s="1565"/>
    </row>
    <row r="278" spans="1:12" ht="20.100000000000001" customHeight="1">
      <c r="A278" s="1568" t="s">
        <v>3111</v>
      </c>
      <c r="B278" s="1567">
        <v>42300</v>
      </c>
      <c r="C278" s="1568" t="s">
        <v>3308</v>
      </c>
      <c r="D278" s="1568" t="s">
        <v>2955</v>
      </c>
      <c r="E278" s="1567">
        <v>43132</v>
      </c>
      <c r="F278" s="1566">
        <v>304</v>
      </c>
      <c r="G278" s="1566">
        <v>0</v>
      </c>
      <c r="H278" s="1567"/>
      <c r="I278" s="1567">
        <v>45953</v>
      </c>
      <c r="J278" s="1567">
        <v>45953</v>
      </c>
      <c r="K278" s="1568" t="str">
        <f t="shared" si="4"/>
        <v>No</v>
      </c>
      <c r="L278" s="1565"/>
    </row>
    <row r="279" spans="1:12" ht="20.100000000000001" customHeight="1">
      <c r="A279" s="1568" t="s">
        <v>3111</v>
      </c>
      <c r="B279" s="1567">
        <v>42300</v>
      </c>
      <c r="C279" s="1568" t="s">
        <v>3308</v>
      </c>
      <c r="D279" s="1568" t="s">
        <v>2955</v>
      </c>
      <c r="E279" s="1567">
        <v>43221</v>
      </c>
      <c r="F279" s="1566">
        <v>296</v>
      </c>
      <c r="G279" s="1566">
        <v>0</v>
      </c>
      <c r="H279" s="1567"/>
      <c r="I279" s="1567">
        <v>45953</v>
      </c>
      <c r="J279" s="1567">
        <v>45953</v>
      </c>
      <c r="K279" s="1568" t="str">
        <f t="shared" si="4"/>
        <v>No</v>
      </c>
      <c r="L279" s="1565"/>
    </row>
    <row r="280" spans="1:12" ht="20.100000000000001" customHeight="1">
      <c r="A280" s="1568" t="s">
        <v>3109</v>
      </c>
      <c r="B280" s="1567">
        <v>42300</v>
      </c>
      <c r="C280" s="1568" t="s">
        <v>3308</v>
      </c>
      <c r="D280" s="1568" t="s">
        <v>2977</v>
      </c>
      <c r="E280" s="1567">
        <v>42300</v>
      </c>
      <c r="F280" s="1566">
        <v>2000</v>
      </c>
      <c r="G280" s="1566">
        <v>2000</v>
      </c>
      <c r="H280" s="1567">
        <v>42783</v>
      </c>
      <c r="I280" s="1567">
        <v>43041</v>
      </c>
      <c r="J280" s="1567">
        <v>43131</v>
      </c>
      <c r="K280" s="1568" t="str">
        <f t="shared" si="4"/>
        <v>No</v>
      </c>
      <c r="L280" s="1565"/>
    </row>
    <row r="281" spans="1:12" ht="20.100000000000001" customHeight="1">
      <c r="A281" s="1568" t="s">
        <v>3109</v>
      </c>
      <c r="B281" s="1567">
        <v>42300</v>
      </c>
      <c r="C281" s="1568" t="s">
        <v>3308</v>
      </c>
      <c r="D281" s="1568" t="s">
        <v>2977</v>
      </c>
      <c r="E281" s="1567">
        <v>42300</v>
      </c>
      <c r="F281" s="1566">
        <v>504</v>
      </c>
      <c r="G281" s="1566">
        <v>504</v>
      </c>
      <c r="H281" s="1567">
        <v>42783</v>
      </c>
      <c r="I281" s="1567">
        <v>43041</v>
      </c>
      <c r="J281" s="1567">
        <v>43131</v>
      </c>
      <c r="K281" s="1568" t="str">
        <f t="shared" si="4"/>
        <v>No</v>
      </c>
      <c r="L281" s="1565"/>
    </row>
    <row r="282" spans="1:12" ht="20.100000000000001" customHeight="1">
      <c r="A282" s="1568" t="s">
        <v>3109</v>
      </c>
      <c r="B282" s="1567">
        <v>42300</v>
      </c>
      <c r="C282" s="1568" t="s">
        <v>3308</v>
      </c>
      <c r="D282" s="1568" t="s">
        <v>2977</v>
      </c>
      <c r="E282" s="1567">
        <v>42300</v>
      </c>
      <c r="F282" s="1566">
        <v>496</v>
      </c>
      <c r="G282" s="1566">
        <v>496</v>
      </c>
      <c r="H282" s="1567">
        <v>42783</v>
      </c>
      <c r="I282" s="1567">
        <v>43041</v>
      </c>
      <c r="J282" s="1567">
        <v>43131</v>
      </c>
      <c r="K282" s="1568" t="str">
        <f t="shared" si="4"/>
        <v>No</v>
      </c>
      <c r="L282" s="1565"/>
    </row>
    <row r="283" spans="1:12" ht="20.100000000000001" customHeight="1">
      <c r="A283" s="1568" t="s">
        <v>3109</v>
      </c>
      <c r="B283" s="1567">
        <v>42300</v>
      </c>
      <c r="C283" s="1568" t="s">
        <v>3308</v>
      </c>
      <c r="D283" s="1568" t="s">
        <v>2977</v>
      </c>
      <c r="E283" s="1567">
        <v>42300</v>
      </c>
      <c r="F283" s="1566">
        <v>504</v>
      </c>
      <c r="G283" s="1566">
        <v>504</v>
      </c>
      <c r="H283" s="1567">
        <v>42783</v>
      </c>
      <c r="I283" s="1567">
        <v>43041</v>
      </c>
      <c r="J283" s="1567">
        <v>43131</v>
      </c>
      <c r="K283" s="1568" t="str">
        <f t="shared" si="4"/>
        <v>No</v>
      </c>
      <c r="L283" s="1565"/>
    </row>
    <row r="284" spans="1:12" ht="20.100000000000001" customHeight="1">
      <c r="A284" s="1568" t="s">
        <v>3109</v>
      </c>
      <c r="B284" s="1567">
        <v>42300</v>
      </c>
      <c r="C284" s="1568" t="s">
        <v>3308</v>
      </c>
      <c r="D284" s="1568" t="s">
        <v>2977</v>
      </c>
      <c r="E284" s="1567">
        <v>42300</v>
      </c>
      <c r="F284" s="1566">
        <v>496</v>
      </c>
      <c r="G284" s="1566">
        <v>496</v>
      </c>
      <c r="H284" s="1567">
        <v>42783</v>
      </c>
      <c r="I284" s="1567">
        <v>43041</v>
      </c>
      <c r="J284" s="1567">
        <v>43131</v>
      </c>
      <c r="K284" s="1568" t="str">
        <f t="shared" si="4"/>
        <v>No</v>
      </c>
      <c r="L284" s="1565"/>
    </row>
    <row r="285" spans="1:12" ht="20.100000000000001" customHeight="1">
      <c r="A285" s="1568" t="s">
        <v>3109</v>
      </c>
      <c r="B285" s="1567">
        <v>42300</v>
      </c>
      <c r="C285" s="1568" t="s">
        <v>3308</v>
      </c>
      <c r="D285" s="1568" t="s">
        <v>2977</v>
      </c>
      <c r="E285" s="1567">
        <v>42390</v>
      </c>
      <c r="F285" s="1566">
        <v>504</v>
      </c>
      <c r="G285" s="1566">
        <v>504</v>
      </c>
      <c r="H285" s="1567">
        <v>42783</v>
      </c>
      <c r="I285" s="1567">
        <v>43041</v>
      </c>
      <c r="J285" s="1567">
        <v>43131</v>
      </c>
      <c r="K285" s="1568" t="str">
        <f t="shared" si="4"/>
        <v>No</v>
      </c>
      <c r="L285" s="1565"/>
    </row>
    <row r="286" spans="1:12" ht="20.100000000000001" customHeight="1">
      <c r="A286" s="1568" t="s">
        <v>3109</v>
      </c>
      <c r="B286" s="1567">
        <v>42300</v>
      </c>
      <c r="C286" s="1568" t="s">
        <v>3308</v>
      </c>
      <c r="D286" s="1568" t="s">
        <v>2977</v>
      </c>
      <c r="E286" s="1567">
        <v>42481</v>
      </c>
      <c r="F286" s="1566">
        <v>496</v>
      </c>
      <c r="G286" s="1566">
        <v>496</v>
      </c>
      <c r="H286" s="1567">
        <v>42783</v>
      </c>
      <c r="I286" s="1567">
        <v>43041</v>
      </c>
      <c r="J286" s="1567">
        <v>43131</v>
      </c>
      <c r="K286" s="1568" t="str">
        <f t="shared" si="4"/>
        <v>No</v>
      </c>
      <c r="L286" s="1565"/>
    </row>
    <row r="287" spans="1:12" ht="20.100000000000001" customHeight="1">
      <c r="A287" s="1568" t="s">
        <v>3109</v>
      </c>
      <c r="B287" s="1567">
        <v>42300</v>
      </c>
      <c r="C287" s="1568" t="s">
        <v>3308</v>
      </c>
      <c r="D287" s="1568" t="s">
        <v>2977</v>
      </c>
      <c r="E287" s="1567">
        <v>42572</v>
      </c>
      <c r="F287" s="1566">
        <v>504</v>
      </c>
      <c r="G287" s="1566">
        <v>504</v>
      </c>
      <c r="H287" s="1567">
        <v>42783</v>
      </c>
      <c r="I287" s="1567">
        <v>43041</v>
      </c>
      <c r="J287" s="1567">
        <v>43131</v>
      </c>
      <c r="K287" s="1568" t="str">
        <f t="shared" si="4"/>
        <v>No</v>
      </c>
      <c r="L287" s="1565"/>
    </row>
    <row r="288" spans="1:12" ht="20.100000000000001" customHeight="1">
      <c r="A288" s="1568" t="s">
        <v>3109</v>
      </c>
      <c r="B288" s="1567">
        <v>42300</v>
      </c>
      <c r="C288" s="1568" t="s">
        <v>3308</v>
      </c>
      <c r="D288" s="1568" t="s">
        <v>2977</v>
      </c>
      <c r="E288" s="1567">
        <v>42664</v>
      </c>
      <c r="F288" s="1566">
        <v>496</v>
      </c>
      <c r="G288" s="1566">
        <v>496</v>
      </c>
      <c r="H288" s="1567">
        <v>42783</v>
      </c>
      <c r="I288" s="1567">
        <v>43041</v>
      </c>
      <c r="J288" s="1567">
        <v>43131</v>
      </c>
      <c r="K288" s="1568" t="str">
        <f t="shared" si="4"/>
        <v>No</v>
      </c>
      <c r="L288" s="1565"/>
    </row>
    <row r="289" spans="1:12" ht="20.100000000000001" customHeight="1">
      <c r="A289" s="1568" t="s">
        <v>3109</v>
      </c>
      <c r="B289" s="1567">
        <v>42300</v>
      </c>
      <c r="C289" s="1568" t="s">
        <v>3308</v>
      </c>
      <c r="D289" s="1568" t="s">
        <v>2977</v>
      </c>
      <c r="E289" s="1567">
        <v>42756</v>
      </c>
      <c r="F289" s="1566">
        <v>504</v>
      </c>
      <c r="G289" s="1566">
        <v>504</v>
      </c>
      <c r="H289" s="1567">
        <v>42783</v>
      </c>
      <c r="I289" s="1567">
        <v>43041</v>
      </c>
      <c r="J289" s="1567">
        <v>43131</v>
      </c>
      <c r="K289" s="1568" t="str">
        <f t="shared" si="4"/>
        <v>No</v>
      </c>
      <c r="L289" s="1565"/>
    </row>
    <row r="290" spans="1:12" ht="20.100000000000001" customHeight="1">
      <c r="A290" s="1568" t="s">
        <v>3109</v>
      </c>
      <c r="B290" s="1567">
        <v>42300</v>
      </c>
      <c r="C290" s="1568" t="s">
        <v>3308</v>
      </c>
      <c r="D290" s="1568" t="s">
        <v>2977</v>
      </c>
      <c r="E290" s="1567">
        <v>42756</v>
      </c>
      <c r="F290" s="1566">
        <v>0</v>
      </c>
      <c r="G290" s="1566">
        <v>0</v>
      </c>
      <c r="H290" s="1567">
        <v>42993</v>
      </c>
      <c r="I290" s="1567">
        <v>43041</v>
      </c>
      <c r="J290" s="1567">
        <v>43131</v>
      </c>
      <c r="K290" s="1568" t="str">
        <f t="shared" si="4"/>
        <v>No</v>
      </c>
      <c r="L290" s="1565"/>
    </row>
    <row r="291" spans="1:12" ht="20.100000000000001" customHeight="1">
      <c r="A291" s="1568" t="s">
        <v>3109</v>
      </c>
      <c r="B291" s="1567">
        <v>42300</v>
      </c>
      <c r="C291" s="1568" t="s">
        <v>3308</v>
      </c>
      <c r="D291" s="1568" t="s">
        <v>2977</v>
      </c>
      <c r="E291" s="1567">
        <v>42846</v>
      </c>
      <c r="F291" s="1566">
        <v>496</v>
      </c>
      <c r="G291" s="1566">
        <v>496</v>
      </c>
      <c r="H291" s="1567">
        <v>42993</v>
      </c>
      <c r="I291" s="1567">
        <v>43041</v>
      </c>
      <c r="J291" s="1567">
        <v>43131</v>
      </c>
      <c r="K291" s="1568" t="str">
        <f t="shared" si="4"/>
        <v>No</v>
      </c>
      <c r="L291" s="1565"/>
    </row>
    <row r="292" spans="1:12" ht="20.100000000000001" customHeight="1">
      <c r="A292" s="1568" t="s">
        <v>3109</v>
      </c>
      <c r="B292" s="1567">
        <v>42300</v>
      </c>
      <c r="C292" s="1568" t="s">
        <v>3308</v>
      </c>
      <c r="D292" s="1568" t="s">
        <v>2977</v>
      </c>
      <c r="E292" s="1567">
        <v>42937</v>
      </c>
      <c r="F292" s="1566">
        <v>504</v>
      </c>
      <c r="G292" s="1566">
        <v>504</v>
      </c>
      <c r="H292" s="1567">
        <v>42993</v>
      </c>
      <c r="I292" s="1567">
        <v>43041</v>
      </c>
      <c r="J292" s="1567">
        <v>43131</v>
      </c>
      <c r="K292" s="1568" t="str">
        <f t="shared" si="4"/>
        <v>No</v>
      </c>
      <c r="L292" s="1565"/>
    </row>
    <row r="293" spans="1:12" ht="20.100000000000001" customHeight="1">
      <c r="A293" s="1568" t="s">
        <v>3109</v>
      </c>
      <c r="B293" s="1567">
        <v>42300</v>
      </c>
      <c r="C293" s="1568" t="s">
        <v>3308</v>
      </c>
      <c r="D293" s="1568" t="s">
        <v>2977</v>
      </c>
      <c r="E293" s="1567">
        <v>42937</v>
      </c>
      <c r="F293" s="1566">
        <v>0</v>
      </c>
      <c r="G293" s="1566">
        <v>0</v>
      </c>
      <c r="H293" s="1567">
        <v>43029</v>
      </c>
      <c r="I293" s="1567">
        <v>43041</v>
      </c>
      <c r="J293" s="1567">
        <v>43131</v>
      </c>
      <c r="K293" s="1568" t="str">
        <f t="shared" si="4"/>
        <v>No</v>
      </c>
      <c r="L293" s="1565"/>
    </row>
    <row r="294" spans="1:12" ht="20.100000000000001" customHeight="1">
      <c r="A294" s="1568" t="s">
        <v>3109</v>
      </c>
      <c r="B294" s="1567">
        <v>42300</v>
      </c>
      <c r="C294" s="1568" t="s">
        <v>3308</v>
      </c>
      <c r="D294" s="1568" t="s">
        <v>2977</v>
      </c>
      <c r="E294" s="1567">
        <v>43029</v>
      </c>
      <c r="F294" s="1566">
        <v>496</v>
      </c>
      <c r="G294" s="1566">
        <v>496</v>
      </c>
      <c r="H294" s="1567">
        <v>43029</v>
      </c>
      <c r="I294" s="1567">
        <v>43041</v>
      </c>
      <c r="J294" s="1567">
        <v>43131</v>
      </c>
      <c r="K294" s="1568" t="str">
        <f t="shared" si="4"/>
        <v>No</v>
      </c>
      <c r="L294" s="1565"/>
    </row>
    <row r="295" spans="1:12" ht="20.100000000000001" customHeight="1">
      <c r="A295" s="1568" t="s">
        <v>3109</v>
      </c>
      <c r="B295" s="1567">
        <v>42300</v>
      </c>
      <c r="C295" s="1568" t="s">
        <v>3308</v>
      </c>
      <c r="D295" s="1568" t="s">
        <v>2977</v>
      </c>
      <c r="E295" s="1567">
        <v>43029</v>
      </c>
      <c r="F295" s="1566">
        <v>0</v>
      </c>
      <c r="G295" s="1566">
        <v>0</v>
      </c>
      <c r="H295" s="1567"/>
      <c r="I295" s="1567">
        <v>43041</v>
      </c>
      <c r="J295" s="1567">
        <v>43131</v>
      </c>
      <c r="K295" s="1568" t="str">
        <f t="shared" si="4"/>
        <v>No</v>
      </c>
      <c r="L295" s="1565"/>
    </row>
    <row r="296" spans="1:12" ht="20.100000000000001" customHeight="1">
      <c r="A296" s="1568" t="s">
        <v>3107</v>
      </c>
      <c r="B296" s="1567">
        <v>42300</v>
      </c>
      <c r="C296" s="1568" t="s">
        <v>3308</v>
      </c>
      <c r="D296" s="1568" t="s">
        <v>2977</v>
      </c>
      <c r="E296" s="1567">
        <v>42300</v>
      </c>
      <c r="F296" s="1566">
        <v>1000</v>
      </c>
      <c r="G296" s="1566">
        <v>1000</v>
      </c>
      <c r="H296" s="1567">
        <v>42783</v>
      </c>
      <c r="I296" s="1567">
        <v>43041</v>
      </c>
      <c r="J296" s="1567">
        <v>43133</v>
      </c>
      <c r="K296" s="1568" t="str">
        <f t="shared" si="4"/>
        <v>No</v>
      </c>
      <c r="L296" s="1565"/>
    </row>
    <row r="297" spans="1:12" ht="20.100000000000001" customHeight="1">
      <c r="A297" s="1568" t="s">
        <v>3107</v>
      </c>
      <c r="B297" s="1567">
        <v>42300</v>
      </c>
      <c r="C297" s="1568" t="s">
        <v>3308</v>
      </c>
      <c r="D297" s="1568" t="s">
        <v>2977</v>
      </c>
      <c r="E297" s="1567">
        <v>42300</v>
      </c>
      <c r="F297" s="1566">
        <v>248</v>
      </c>
      <c r="G297" s="1566">
        <v>248</v>
      </c>
      <c r="H297" s="1567">
        <v>42783</v>
      </c>
      <c r="I297" s="1567">
        <v>43041</v>
      </c>
      <c r="J297" s="1567">
        <v>43133</v>
      </c>
      <c r="K297" s="1568" t="str">
        <f t="shared" si="4"/>
        <v>No</v>
      </c>
      <c r="L297" s="1565"/>
    </row>
    <row r="298" spans="1:12" ht="20.100000000000001" customHeight="1">
      <c r="A298" s="1568" t="s">
        <v>3107</v>
      </c>
      <c r="B298" s="1567">
        <v>42300</v>
      </c>
      <c r="C298" s="1568" t="s">
        <v>3308</v>
      </c>
      <c r="D298" s="1568" t="s">
        <v>2977</v>
      </c>
      <c r="E298" s="1567">
        <v>42309</v>
      </c>
      <c r="F298" s="1566">
        <v>256</v>
      </c>
      <c r="G298" s="1566">
        <v>256</v>
      </c>
      <c r="H298" s="1567">
        <v>42783</v>
      </c>
      <c r="I298" s="1567">
        <v>43041</v>
      </c>
      <c r="J298" s="1567">
        <v>43133</v>
      </c>
      <c r="K298" s="1568" t="str">
        <f t="shared" si="4"/>
        <v>No</v>
      </c>
      <c r="L298" s="1565"/>
    </row>
    <row r="299" spans="1:12" ht="20.100000000000001" customHeight="1">
      <c r="A299" s="1568" t="s">
        <v>3107</v>
      </c>
      <c r="B299" s="1567">
        <v>42300</v>
      </c>
      <c r="C299" s="1568" t="s">
        <v>3308</v>
      </c>
      <c r="D299" s="1568" t="s">
        <v>2977</v>
      </c>
      <c r="E299" s="1567">
        <v>42401</v>
      </c>
      <c r="F299" s="1566">
        <v>248</v>
      </c>
      <c r="G299" s="1566">
        <v>248</v>
      </c>
      <c r="H299" s="1567">
        <v>42783</v>
      </c>
      <c r="I299" s="1567">
        <v>43041</v>
      </c>
      <c r="J299" s="1567">
        <v>43133</v>
      </c>
      <c r="K299" s="1568" t="str">
        <f t="shared" si="4"/>
        <v>No</v>
      </c>
      <c r="L299" s="1565"/>
    </row>
    <row r="300" spans="1:12" ht="20.100000000000001" customHeight="1">
      <c r="A300" s="1568" t="s">
        <v>3107</v>
      </c>
      <c r="B300" s="1567">
        <v>42300</v>
      </c>
      <c r="C300" s="1568" t="s">
        <v>3308</v>
      </c>
      <c r="D300" s="1568" t="s">
        <v>2977</v>
      </c>
      <c r="E300" s="1567">
        <v>42491</v>
      </c>
      <c r="F300" s="1566">
        <v>248</v>
      </c>
      <c r="G300" s="1566">
        <v>248</v>
      </c>
      <c r="H300" s="1567">
        <v>42783</v>
      </c>
      <c r="I300" s="1567">
        <v>43041</v>
      </c>
      <c r="J300" s="1567">
        <v>43133</v>
      </c>
      <c r="K300" s="1568" t="str">
        <f t="shared" si="4"/>
        <v>No</v>
      </c>
      <c r="L300" s="1565"/>
    </row>
    <row r="301" spans="1:12" ht="20.100000000000001" customHeight="1">
      <c r="A301" s="1568" t="s">
        <v>3107</v>
      </c>
      <c r="B301" s="1567">
        <v>42300</v>
      </c>
      <c r="C301" s="1568" t="s">
        <v>3308</v>
      </c>
      <c r="D301" s="1568" t="s">
        <v>2977</v>
      </c>
      <c r="E301" s="1567">
        <v>42583</v>
      </c>
      <c r="F301" s="1566">
        <v>248</v>
      </c>
      <c r="G301" s="1566">
        <v>248</v>
      </c>
      <c r="H301" s="1567">
        <v>42783</v>
      </c>
      <c r="I301" s="1567">
        <v>43041</v>
      </c>
      <c r="J301" s="1567">
        <v>43133</v>
      </c>
      <c r="K301" s="1568" t="str">
        <f t="shared" si="4"/>
        <v>No</v>
      </c>
      <c r="L301" s="1565"/>
    </row>
    <row r="302" spans="1:12" ht="20.100000000000001" customHeight="1">
      <c r="A302" s="1568" t="s">
        <v>3107</v>
      </c>
      <c r="B302" s="1567">
        <v>42300</v>
      </c>
      <c r="C302" s="1568" t="s">
        <v>3308</v>
      </c>
      <c r="D302" s="1568" t="s">
        <v>2977</v>
      </c>
      <c r="E302" s="1567">
        <v>42675</v>
      </c>
      <c r="F302" s="1566">
        <v>256</v>
      </c>
      <c r="G302" s="1566">
        <v>256</v>
      </c>
      <c r="H302" s="1567">
        <v>42783</v>
      </c>
      <c r="I302" s="1567">
        <v>43041</v>
      </c>
      <c r="J302" s="1567">
        <v>43133</v>
      </c>
      <c r="K302" s="1568" t="str">
        <f t="shared" si="4"/>
        <v>No</v>
      </c>
      <c r="L302" s="1565"/>
    </row>
    <row r="303" spans="1:12" ht="20.100000000000001" customHeight="1">
      <c r="A303" s="1568" t="s">
        <v>3107</v>
      </c>
      <c r="B303" s="1567">
        <v>42300</v>
      </c>
      <c r="C303" s="1568" t="s">
        <v>3308</v>
      </c>
      <c r="D303" s="1568" t="s">
        <v>2977</v>
      </c>
      <c r="E303" s="1567">
        <v>42767</v>
      </c>
      <c r="F303" s="1566">
        <v>248</v>
      </c>
      <c r="G303" s="1566">
        <v>248</v>
      </c>
      <c r="H303" s="1567">
        <v>42783</v>
      </c>
      <c r="I303" s="1567">
        <v>43041</v>
      </c>
      <c r="J303" s="1567">
        <v>43133</v>
      </c>
      <c r="K303" s="1568" t="str">
        <f t="shared" si="4"/>
        <v>No</v>
      </c>
      <c r="L303" s="1565"/>
    </row>
    <row r="304" spans="1:12" ht="20.100000000000001" customHeight="1">
      <c r="A304" s="1568" t="s">
        <v>3107</v>
      </c>
      <c r="B304" s="1567">
        <v>42300</v>
      </c>
      <c r="C304" s="1568" t="s">
        <v>3308</v>
      </c>
      <c r="D304" s="1568" t="s">
        <v>2977</v>
      </c>
      <c r="E304" s="1567">
        <v>42767</v>
      </c>
      <c r="F304" s="1566">
        <v>0</v>
      </c>
      <c r="G304" s="1566">
        <v>0</v>
      </c>
      <c r="H304" s="1567">
        <v>42993</v>
      </c>
      <c r="I304" s="1567">
        <v>43041</v>
      </c>
      <c r="J304" s="1567">
        <v>43133</v>
      </c>
      <c r="K304" s="1568" t="str">
        <f t="shared" si="4"/>
        <v>No</v>
      </c>
      <c r="L304" s="1565"/>
    </row>
    <row r="305" spans="1:12" ht="20.100000000000001" customHeight="1">
      <c r="A305" s="1568" t="s">
        <v>3107</v>
      </c>
      <c r="B305" s="1567">
        <v>42300</v>
      </c>
      <c r="C305" s="1568" t="s">
        <v>3308</v>
      </c>
      <c r="D305" s="1568" t="s">
        <v>2977</v>
      </c>
      <c r="E305" s="1567">
        <v>42856</v>
      </c>
      <c r="F305" s="1566">
        <v>248</v>
      </c>
      <c r="G305" s="1566">
        <v>248</v>
      </c>
      <c r="H305" s="1567">
        <v>42993</v>
      </c>
      <c r="I305" s="1567">
        <v>43041</v>
      </c>
      <c r="J305" s="1567">
        <v>43133</v>
      </c>
      <c r="K305" s="1568" t="str">
        <f t="shared" si="4"/>
        <v>No</v>
      </c>
      <c r="L305" s="1565"/>
    </row>
    <row r="306" spans="1:12" ht="20.100000000000001" customHeight="1">
      <c r="A306" s="1568" t="s">
        <v>3107</v>
      </c>
      <c r="B306" s="1567">
        <v>42300</v>
      </c>
      <c r="C306" s="1568" t="s">
        <v>3308</v>
      </c>
      <c r="D306" s="1568" t="s">
        <v>2977</v>
      </c>
      <c r="E306" s="1567">
        <v>42948</v>
      </c>
      <c r="F306" s="1566">
        <v>248</v>
      </c>
      <c r="G306" s="1566">
        <v>248</v>
      </c>
      <c r="H306" s="1567">
        <v>42993</v>
      </c>
      <c r="I306" s="1567">
        <v>43041</v>
      </c>
      <c r="J306" s="1567">
        <v>43133</v>
      </c>
      <c r="K306" s="1568" t="str">
        <f t="shared" si="4"/>
        <v>No</v>
      </c>
      <c r="L306" s="1565"/>
    </row>
    <row r="307" spans="1:12" ht="20.100000000000001" customHeight="1">
      <c r="A307" s="1568" t="s">
        <v>3107</v>
      </c>
      <c r="B307" s="1567">
        <v>42300</v>
      </c>
      <c r="C307" s="1568" t="s">
        <v>3308</v>
      </c>
      <c r="D307" s="1568" t="s">
        <v>2977</v>
      </c>
      <c r="E307" s="1567">
        <v>42948</v>
      </c>
      <c r="F307" s="1566">
        <v>0</v>
      </c>
      <c r="G307" s="1566">
        <v>0</v>
      </c>
      <c r="H307" s="1567">
        <v>43124</v>
      </c>
      <c r="I307" s="1567">
        <v>43041</v>
      </c>
      <c r="J307" s="1567">
        <v>43133</v>
      </c>
      <c r="K307" s="1568" t="str">
        <f t="shared" si="4"/>
        <v>No</v>
      </c>
      <c r="L307" s="1565"/>
    </row>
    <row r="308" spans="1:12" ht="20.100000000000001" customHeight="1">
      <c r="A308" s="1568" t="s">
        <v>3107</v>
      </c>
      <c r="B308" s="1567">
        <v>42300</v>
      </c>
      <c r="C308" s="1568" t="s">
        <v>3308</v>
      </c>
      <c r="D308" s="1568" t="s">
        <v>2977</v>
      </c>
      <c r="E308" s="1567">
        <v>43040</v>
      </c>
      <c r="F308" s="1566">
        <v>256</v>
      </c>
      <c r="G308" s="1566">
        <v>256</v>
      </c>
      <c r="H308" s="1567">
        <v>43124</v>
      </c>
      <c r="I308" s="1567">
        <v>43041</v>
      </c>
      <c r="J308" s="1567">
        <v>43133</v>
      </c>
      <c r="K308" s="1568" t="str">
        <f t="shared" si="4"/>
        <v>No</v>
      </c>
      <c r="L308" s="1565"/>
    </row>
    <row r="309" spans="1:12" ht="20.100000000000001" customHeight="1">
      <c r="A309" s="1568" t="s">
        <v>3107</v>
      </c>
      <c r="B309" s="1567">
        <v>42300</v>
      </c>
      <c r="C309" s="1568" t="s">
        <v>3308</v>
      </c>
      <c r="D309" s="1568" t="s">
        <v>2977</v>
      </c>
      <c r="E309" s="1567">
        <v>43040</v>
      </c>
      <c r="F309" s="1566">
        <v>0</v>
      </c>
      <c r="G309" s="1566">
        <v>0</v>
      </c>
      <c r="H309" s="1567"/>
      <c r="I309" s="1567">
        <v>43041</v>
      </c>
      <c r="J309" s="1567">
        <v>43133</v>
      </c>
      <c r="K309" s="1568" t="str">
        <f t="shared" si="4"/>
        <v>No</v>
      </c>
      <c r="L309" s="1565"/>
    </row>
    <row r="310" spans="1:12" ht="20.100000000000001" customHeight="1">
      <c r="A310" s="1568" t="s">
        <v>3107</v>
      </c>
      <c r="B310" s="1567">
        <v>42300</v>
      </c>
      <c r="C310" s="1568" t="s">
        <v>3308</v>
      </c>
      <c r="D310" s="1568" t="s">
        <v>2977</v>
      </c>
      <c r="E310" s="1567">
        <v>43132</v>
      </c>
      <c r="F310" s="1566">
        <v>248</v>
      </c>
      <c r="G310" s="1566">
        <v>0</v>
      </c>
      <c r="H310" s="1567"/>
      <c r="I310" s="1567">
        <v>43041</v>
      </c>
      <c r="J310" s="1567">
        <v>43041</v>
      </c>
      <c r="K310" s="1568" t="str">
        <f t="shared" si="4"/>
        <v>Yes</v>
      </c>
      <c r="L310" s="1565"/>
    </row>
    <row r="311" spans="1:12" ht="20.100000000000001" customHeight="1">
      <c r="A311" s="1568" t="s">
        <v>3107</v>
      </c>
      <c r="B311" s="1567">
        <v>42300</v>
      </c>
      <c r="C311" s="1568" t="s">
        <v>3308</v>
      </c>
      <c r="D311" s="1568" t="s">
        <v>2977</v>
      </c>
      <c r="E311" s="1567">
        <v>43221</v>
      </c>
      <c r="F311" s="1566">
        <v>248</v>
      </c>
      <c r="G311" s="1566">
        <v>0</v>
      </c>
      <c r="H311" s="1567"/>
      <c r="I311" s="1567">
        <v>43041</v>
      </c>
      <c r="J311" s="1567">
        <v>43041</v>
      </c>
      <c r="K311" s="1568" t="str">
        <f t="shared" si="4"/>
        <v>Yes</v>
      </c>
      <c r="L311" s="1565"/>
    </row>
    <row r="312" spans="1:12" ht="20.100000000000001" customHeight="1">
      <c r="A312" s="1568" t="s">
        <v>3105</v>
      </c>
      <c r="B312" s="1567">
        <v>42300</v>
      </c>
      <c r="C312" s="1568" t="s">
        <v>3308</v>
      </c>
      <c r="D312" s="1568" t="s">
        <v>2966</v>
      </c>
      <c r="E312" s="1567">
        <v>42300</v>
      </c>
      <c r="F312" s="1566">
        <v>4000</v>
      </c>
      <c r="G312" s="1566">
        <v>4000</v>
      </c>
      <c r="H312" s="1567">
        <v>42783</v>
      </c>
      <c r="I312" s="1567">
        <v>45953</v>
      </c>
      <c r="J312" s="1567">
        <v>45953</v>
      </c>
      <c r="K312" s="1568" t="str">
        <f t="shared" si="4"/>
        <v>No</v>
      </c>
      <c r="L312" s="1565"/>
    </row>
    <row r="313" spans="1:12" ht="20.100000000000001" customHeight="1">
      <c r="A313" s="1568" t="s">
        <v>3105</v>
      </c>
      <c r="B313" s="1567">
        <v>42300</v>
      </c>
      <c r="C313" s="1568" t="s">
        <v>3308</v>
      </c>
      <c r="D313" s="1568" t="s">
        <v>2966</v>
      </c>
      <c r="E313" s="1567">
        <v>42300</v>
      </c>
      <c r="F313" s="1566">
        <v>0</v>
      </c>
      <c r="G313" s="1566">
        <v>0</v>
      </c>
      <c r="H313" s="1567"/>
      <c r="I313" s="1567">
        <v>45953</v>
      </c>
      <c r="J313" s="1567">
        <v>45953</v>
      </c>
      <c r="K313" s="1568" t="str">
        <f t="shared" si="4"/>
        <v>No</v>
      </c>
      <c r="L313" s="1565"/>
    </row>
    <row r="314" spans="1:12" ht="20.100000000000001" customHeight="1">
      <c r="A314" s="1568" t="s">
        <v>3104</v>
      </c>
      <c r="B314" s="1567">
        <v>42300</v>
      </c>
      <c r="C314" s="1568" t="s">
        <v>3308</v>
      </c>
      <c r="D314" s="1568" t="s">
        <v>2984</v>
      </c>
      <c r="E314" s="1567">
        <v>42300</v>
      </c>
      <c r="F314" s="1566">
        <v>10664</v>
      </c>
      <c r="G314" s="1566">
        <v>10664</v>
      </c>
      <c r="H314" s="1567">
        <v>42783</v>
      </c>
      <c r="I314" s="1567">
        <v>45953</v>
      </c>
      <c r="J314" s="1567">
        <v>45953</v>
      </c>
      <c r="K314" s="1568" t="str">
        <f t="shared" si="4"/>
        <v>No</v>
      </c>
      <c r="L314" s="1565"/>
    </row>
    <row r="315" spans="1:12" ht="20.100000000000001" customHeight="1">
      <c r="A315" s="1568" t="s">
        <v>3104</v>
      </c>
      <c r="B315" s="1567">
        <v>42300</v>
      </c>
      <c r="C315" s="1568" t="s">
        <v>3308</v>
      </c>
      <c r="D315" s="1568" t="s">
        <v>2984</v>
      </c>
      <c r="E315" s="1567">
        <v>42300</v>
      </c>
      <c r="F315" s="1566">
        <v>0</v>
      </c>
      <c r="G315" s="1566">
        <v>0</v>
      </c>
      <c r="H315" s="1567"/>
      <c r="I315" s="1567">
        <v>45953</v>
      </c>
      <c r="J315" s="1567">
        <v>45953</v>
      </c>
      <c r="K315" s="1568" t="str">
        <f t="shared" si="4"/>
        <v>No</v>
      </c>
      <c r="L315" s="1565"/>
    </row>
    <row r="316" spans="1:12" ht="20.100000000000001" customHeight="1">
      <c r="A316" s="1568" t="s">
        <v>3103</v>
      </c>
      <c r="B316" s="1567">
        <v>42300</v>
      </c>
      <c r="C316" s="1568" t="s">
        <v>3308</v>
      </c>
      <c r="D316" s="1568" t="s">
        <v>2972</v>
      </c>
      <c r="E316" s="1567">
        <v>42300</v>
      </c>
      <c r="F316" s="1566">
        <v>8000</v>
      </c>
      <c r="G316" s="1566">
        <v>8000</v>
      </c>
      <c r="H316" s="1567">
        <v>42783</v>
      </c>
      <c r="I316" s="1567">
        <v>45953</v>
      </c>
      <c r="J316" s="1567">
        <v>45953</v>
      </c>
      <c r="K316" s="1568" t="str">
        <f t="shared" si="4"/>
        <v>No</v>
      </c>
      <c r="L316" s="1565"/>
    </row>
    <row r="317" spans="1:12" ht="20.100000000000001" customHeight="1">
      <c r="A317" s="1568" t="s">
        <v>3103</v>
      </c>
      <c r="B317" s="1567">
        <v>42300</v>
      </c>
      <c r="C317" s="1568" t="s">
        <v>3308</v>
      </c>
      <c r="D317" s="1568" t="s">
        <v>2972</v>
      </c>
      <c r="E317" s="1567">
        <v>42382</v>
      </c>
      <c r="F317" s="1566">
        <v>2000</v>
      </c>
      <c r="G317" s="1566">
        <v>2000</v>
      </c>
      <c r="H317" s="1567">
        <v>42783</v>
      </c>
      <c r="I317" s="1567">
        <v>45953</v>
      </c>
      <c r="J317" s="1567">
        <v>45953</v>
      </c>
      <c r="K317" s="1568" t="str">
        <f t="shared" si="4"/>
        <v>No</v>
      </c>
      <c r="L317" s="1565"/>
    </row>
    <row r="318" spans="1:12" ht="20.100000000000001" customHeight="1">
      <c r="A318" s="1568" t="s">
        <v>3103</v>
      </c>
      <c r="B318" s="1567">
        <v>42300</v>
      </c>
      <c r="C318" s="1568" t="s">
        <v>3308</v>
      </c>
      <c r="D318" s="1568" t="s">
        <v>2972</v>
      </c>
      <c r="E318" s="1567">
        <v>42473</v>
      </c>
      <c r="F318" s="1566">
        <v>2000</v>
      </c>
      <c r="G318" s="1566">
        <v>2000</v>
      </c>
      <c r="H318" s="1567">
        <v>42783</v>
      </c>
      <c r="I318" s="1567">
        <v>45953</v>
      </c>
      <c r="J318" s="1567">
        <v>45953</v>
      </c>
      <c r="K318" s="1568" t="str">
        <f t="shared" si="4"/>
        <v>No</v>
      </c>
      <c r="L318" s="1565"/>
    </row>
    <row r="319" spans="1:12" ht="20.100000000000001" customHeight="1">
      <c r="A319" s="1568" t="s">
        <v>3103</v>
      </c>
      <c r="B319" s="1567">
        <v>42300</v>
      </c>
      <c r="C319" s="1568" t="s">
        <v>3308</v>
      </c>
      <c r="D319" s="1568" t="s">
        <v>2972</v>
      </c>
      <c r="E319" s="1567">
        <v>42564</v>
      </c>
      <c r="F319" s="1566">
        <v>2000</v>
      </c>
      <c r="G319" s="1566">
        <v>2000</v>
      </c>
      <c r="H319" s="1567">
        <v>42783</v>
      </c>
      <c r="I319" s="1567">
        <v>45953</v>
      </c>
      <c r="J319" s="1567">
        <v>45953</v>
      </c>
      <c r="K319" s="1568" t="str">
        <f t="shared" si="4"/>
        <v>No</v>
      </c>
      <c r="L319" s="1565"/>
    </row>
    <row r="320" spans="1:12" ht="20.100000000000001" customHeight="1">
      <c r="A320" s="1568" t="s">
        <v>3103</v>
      </c>
      <c r="B320" s="1567">
        <v>42300</v>
      </c>
      <c r="C320" s="1568" t="s">
        <v>3308</v>
      </c>
      <c r="D320" s="1568" t="s">
        <v>2972</v>
      </c>
      <c r="E320" s="1567">
        <v>42656</v>
      </c>
      <c r="F320" s="1566">
        <v>2000</v>
      </c>
      <c r="G320" s="1566">
        <v>2000</v>
      </c>
      <c r="H320" s="1567">
        <v>42783</v>
      </c>
      <c r="I320" s="1567">
        <v>45953</v>
      </c>
      <c r="J320" s="1567">
        <v>45953</v>
      </c>
      <c r="K320" s="1568" t="str">
        <f t="shared" si="4"/>
        <v>No</v>
      </c>
      <c r="L320" s="1565"/>
    </row>
    <row r="321" spans="1:12" ht="20.100000000000001" customHeight="1">
      <c r="A321" s="1568" t="s">
        <v>3103</v>
      </c>
      <c r="B321" s="1567">
        <v>42300</v>
      </c>
      <c r="C321" s="1568" t="s">
        <v>3308</v>
      </c>
      <c r="D321" s="1568" t="s">
        <v>2972</v>
      </c>
      <c r="E321" s="1567">
        <v>42748</v>
      </c>
      <c r="F321" s="1566">
        <v>2000</v>
      </c>
      <c r="G321" s="1566">
        <v>2000</v>
      </c>
      <c r="H321" s="1567">
        <v>42783</v>
      </c>
      <c r="I321" s="1567">
        <v>45953</v>
      </c>
      <c r="J321" s="1567">
        <v>45953</v>
      </c>
      <c r="K321" s="1568" t="str">
        <f t="shared" si="4"/>
        <v>No</v>
      </c>
      <c r="L321" s="1565"/>
    </row>
    <row r="322" spans="1:12" ht="20.100000000000001" customHeight="1">
      <c r="A322" s="1568" t="s">
        <v>3103</v>
      </c>
      <c r="B322" s="1567">
        <v>42300</v>
      </c>
      <c r="C322" s="1568" t="s">
        <v>3308</v>
      </c>
      <c r="D322" s="1568" t="s">
        <v>2972</v>
      </c>
      <c r="E322" s="1567">
        <v>42748</v>
      </c>
      <c r="F322" s="1566">
        <v>0</v>
      </c>
      <c r="G322" s="1566">
        <v>0</v>
      </c>
      <c r="H322" s="1567">
        <v>42947</v>
      </c>
      <c r="I322" s="1567">
        <v>45953</v>
      </c>
      <c r="J322" s="1567">
        <v>45953</v>
      </c>
      <c r="K322" s="1568" t="str">
        <f t="shared" si="4"/>
        <v>No</v>
      </c>
      <c r="L322" s="1565"/>
    </row>
    <row r="323" spans="1:12" ht="20.100000000000001" customHeight="1">
      <c r="A323" s="1568" t="s">
        <v>3103</v>
      </c>
      <c r="B323" s="1567">
        <v>42300</v>
      </c>
      <c r="C323" s="1568" t="s">
        <v>3308</v>
      </c>
      <c r="D323" s="1568" t="s">
        <v>2972</v>
      </c>
      <c r="E323" s="1567">
        <v>42838</v>
      </c>
      <c r="F323" s="1566">
        <v>2000</v>
      </c>
      <c r="G323" s="1566">
        <v>2000</v>
      </c>
      <c r="H323" s="1567">
        <v>42947</v>
      </c>
      <c r="I323" s="1567">
        <v>45953</v>
      </c>
      <c r="J323" s="1567">
        <v>45953</v>
      </c>
      <c r="K323" s="1568" t="str">
        <f t="shared" si="4"/>
        <v>No</v>
      </c>
      <c r="L323" s="1565"/>
    </row>
    <row r="324" spans="1:12" ht="20.100000000000001" customHeight="1">
      <c r="A324" s="1568" t="s">
        <v>3103</v>
      </c>
      <c r="B324" s="1567">
        <v>42300</v>
      </c>
      <c r="C324" s="1568" t="s">
        <v>3308</v>
      </c>
      <c r="D324" s="1568" t="s">
        <v>2972</v>
      </c>
      <c r="E324" s="1567">
        <v>42929</v>
      </c>
      <c r="F324" s="1566">
        <v>2000</v>
      </c>
      <c r="G324" s="1566">
        <v>2000</v>
      </c>
      <c r="H324" s="1567">
        <v>42947</v>
      </c>
      <c r="I324" s="1567">
        <v>45953</v>
      </c>
      <c r="J324" s="1567">
        <v>45953</v>
      </c>
      <c r="K324" s="1568" t="str">
        <f t="shared" si="4"/>
        <v>No</v>
      </c>
      <c r="L324" s="1565"/>
    </row>
    <row r="325" spans="1:12" ht="20.100000000000001" customHeight="1">
      <c r="A325" s="1568" t="s">
        <v>3103</v>
      </c>
      <c r="B325" s="1567">
        <v>42300</v>
      </c>
      <c r="C325" s="1568" t="s">
        <v>3308</v>
      </c>
      <c r="D325" s="1568" t="s">
        <v>2972</v>
      </c>
      <c r="E325" s="1567">
        <v>42929</v>
      </c>
      <c r="F325" s="1566">
        <v>0</v>
      </c>
      <c r="G325" s="1566">
        <v>0</v>
      </c>
      <c r="H325" s="1567">
        <v>43023</v>
      </c>
      <c r="I325" s="1567">
        <v>45953</v>
      </c>
      <c r="J325" s="1567">
        <v>45953</v>
      </c>
      <c r="K325" s="1568" t="str">
        <f t="shared" ref="K325:K388" si="5">IF(I325="N/A","No",IF(E325&lt;=I325,"No","Yes"))</f>
        <v>No</v>
      </c>
      <c r="L325" s="1565"/>
    </row>
    <row r="326" spans="1:12" ht="20.100000000000001" customHeight="1">
      <c r="A326" s="1568" t="s">
        <v>3103</v>
      </c>
      <c r="B326" s="1567">
        <v>42300</v>
      </c>
      <c r="C326" s="1568" t="s">
        <v>3308</v>
      </c>
      <c r="D326" s="1568" t="s">
        <v>2972</v>
      </c>
      <c r="E326" s="1567">
        <v>43021</v>
      </c>
      <c r="F326" s="1566">
        <v>2000</v>
      </c>
      <c r="G326" s="1566">
        <v>2000</v>
      </c>
      <c r="H326" s="1567">
        <v>43023</v>
      </c>
      <c r="I326" s="1567">
        <v>45953</v>
      </c>
      <c r="J326" s="1567">
        <v>45953</v>
      </c>
      <c r="K326" s="1568" t="str">
        <f t="shared" si="5"/>
        <v>No</v>
      </c>
      <c r="L326" s="1565"/>
    </row>
    <row r="327" spans="1:12" ht="20.100000000000001" customHeight="1">
      <c r="A327" s="1568" t="s">
        <v>3103</v>
      </c>
      <c r="B327" s="1567">
        <v>42300</v>
      </c>
      <c r="C327" s="1568" t="s">
        <v>3308</v>
      </c>
      <c r="D327" s="1568" t="s">
        <v>2972</v>
      </c>
      <c r="E327" s="1567">
        <v>43021</v>
      </c>
      <c r="F327" s="1566">
        <v>0</v>
      </c>
      <c r="G327" s="1566">
        <v>0</v>
      </c>
      <c r="H327" s="1567">
        <v>43128</v>
      </c>
      <c r="I327" s="1567">
        <v>45953</v>
      </c>
      <c r="J327" s="1567">
        <v>45953</v>
      </c>
      <c r="K327" s="1568" t="str">
        <f t="shared" si="5"/>
        <v>No</v>
      </c>
      <c r="L327" s="1565"/>
    </row>
    <row r="328" spans="1:12" ht="20.100000000000001" customHeight="1">
      <c r="A328" s="1568" t="s">
        <v>3103</v>
      </c>
      <c r="B328" s="1567">
        <v>42300</v>
      </c>
      <c r="C328" s="1568" t="s">
        <v>3308</v>
      </c>
      <c r="D328" s="1568" t="s">
        <v>2972</v>
      </c>
      <c r="E328" s="1567">
        <v>43113</v>
      </c>
      <c r="F328" s="1566">
        <v>2000</v>
      </c>
      <c r="G328" s="1566">
        <v>2000</v>
      </c>
      <c r="H328" s="1567">
        <v>43128</v>
      </c>
      <c r="I328" s="1567">
        <v>45953</v>
      </c>
      <c r="J328" s="1567">
        <v>45953</v>
      </c>
      <c r="K328" s="1568" t="str">
        <f t="shared" si="5"/>
        <v>No</v>
      </c>
      <c r="L328" s="1565"/>
    </row>
    <row r="329" spans="1:12" ht="20.100000000000001" customHeight="1">
      <c r="A329" s="1568" t="s">
        <v>3103</v>
      </c>
      <c r="B329" s="1567">
        <v>42300</v>
      </c>
      <c r="C329" s="1568" t="s">
        <v>3308</v>
      </c>
      <c r="D329" s="1568" t="s">
        <v>2972</v>
      </c>
      <c r="E329" s="1567">
        <v>43113</v>
      </c>
      <c r="F329" s="1566">
        <v>0</v>
      </c>
      <c r="G329" s="1566">
        <v>0</v>
      </c>
      <c r="H329" s="1567"/>
      <c r="I329" s="1567">
        <v>45953</v>
      </c>
      <c r="J329" s="1567">
        <v>45953</v>
      </c>
      <c r="K329" s="1568" t="str">
        <f t="shared" si="5"/>
        <v>No</v>
      </c>
      <c r="L329" s="1565"/>
    </row>
    <row r="330" spans="1:12" ht="20.100000000000001" customHeight="1">
      <c r="A330" s="1568" t="s">
        <v>3103</v>
      </c>
      <c r="B330" s="1567">
        <v>42300</v>
      </c>
      <c r="C330" s="1568" t="s">
        <v>3308</v>
      </c>
      <c r="D330" s="1568" t="s">
        <v>2972</v>
      </c>
      <c r="E330" s="1567">
        <v>43203</v>
      </c>
      <c r="F330" s="1566">
        <v>2000</v>
      </c>
      <c r="G330" s="1566">
        <v>0</v>
      </c>
      <c r="H330" s="1567"/>
      <c r="I330" s="1567">
        <v>45953</v>
      </c>
      <c r="J330" s="1567">
        <v>45953</v>
      </c>
      <c r="K330" s="1568" t="str">
        <f t="shared" si="5"/>
        <v>No</v>
      </c>
      <c r="L330" s="1565"/>
    </row>
    <row r="331" spans="1:12" ht="20.100000000000001" customHeight="1">
      <c r="A331" s="1568" t="s">
        <v>3103</v>
      </c>
      <c r="B331" s="1567">
        <v>42300</v>
      </c>
      <c r="C331" s="1568" t="s">
        <v>3308</v>
      </c>
      <c r="D331" s="1568" t="s">
        <v>2972</v>
      </c>
      <c r="E331" s="1567">
        <v>43294</v>
      </c>
      <c r="F331" s="1566">
        <v>2000</v>
      </c>
      <c r="G331" s="1566">
        <v>0</v>
      </c>
      <c r="H331" s="1567"/>
      <c r="I331" s="1567">
        <v>45953</v>
      </c>
      <c r="J331" s="1567">
        <v>45953</v>
      </c>
      <c r="K331" s="1568" t="str">
        <f t="shared" si="5"/>
        <v>No</v>
      </c>
      <c r="L331" s="1565"/>
    </row>
    <row r="332" spans="1:12" ht="20.100000000000001" customHeight="1">
      <c r="A332" s="1568" t="s">
        <v>3103</v>
      </c>
      <c r="B332" s="1567">
        <v>42300</v>
      </c>
      <c r="C332" s="1568" t="s">
        <v>3308</v>
      </c>
      <c r="D332" s="1568" t="s">
        <v>2972</v>
      </c>
      <c r="E332" s="1567">
        <v>43386</v>
      </c>
      <c r="F332" s="1566">
        <v>2000</v>
      </c>
      <c r="G332" s="1566">
        <v>0</v>
      </c>
      <c r="H332" s="1567"/>
      <c r="I332" s="1567">
        <v>45953</v>
      </c>
      <c r="J332" s="1567">
        <v>45953</v>
      </c>
      <c r="K332" s="1568" t="str">
        <f t="shared" si="5"/>
        <v>No</v>
      </c>
      <c r="L332" s="1565"/>
    </row>
    <row r="333" spans="1:12" ht="20.100000000000001" customHeight="1">
      <c r="A333" s="1568" t="s">
        <v>3101</v>
      </c>
      <c r="B333" s="1567">
        <v>42317</v>
      </c>
      <c r="C333" s="1568" t="s">
        <v>3308</v>
      </c>
      <c r="D333" s="1568" t="s">
        <v>3000</v>
      </c>
      <c r="E333" s="1567">
        <v>42317</v>
      </c>
      <c r="F333" s="1566">
        <v>1000</v>
      </c>
      <c r="G333" s="1566">
        <v>1000</v>
      </c>
      <c r="H333" s="1567">
        <v>42783</v>
      </c>
      <c r="I333" s="1567">
        <v>45970</v>
      </c>
      <c r="J333" s="1567">
        <v>45970</v>
      </c>
      <c r="K333" s="1568" t="str">
        <f t="shared" si="5"/>
        <v>No</v>
      </c>
      <c r="L333" s="1565"/>
    </row>
    <row r="334" spans="1:12" ht="20.100000000000001" customHeight="1">
      <c r="A334" s="1568" t="s">
        <v>3101</v>
      </c>
      <c r="B334" s="1567">
        <v>42317</v>
      </c>
      <c r="C334" s="1568" t="s">
        <v>3308</v>
      </c>
      <c r="D334" s="1568" t="s">
        <v>3000</v>
      </c>
      <c r="E334" s="1567">
        <v>42409</v>
      </c>
      <c r="F334" s="1566">
        <v>248</v>
      </c>
      <c r="G334" s="1566">
        <v>248</v>
      </c>
      <c r="H334" s="1567">
        <v>42783</v>
      </c>
      <c r="I334" s="1567">
        <v>45970</v>
      </c>
      <c r="J334" s="1567">
        <v>45970</v>
      </c>
      <c r="K334" s="1568" t="str">
        <f t="shared" si="5"/>
        <v>No</v>
      </c>
      <c r="L334" s="1565"/>
    </row>
    <row r="335" spans="1:12" ht="20.100000000000001" customHeight="1">
      <c r="A335" s="1568" t="s">
        <v>3101</v>
      </c>
      <c r="B335" s="1567">
        <v>42317</v>
      </c>
      <c r="C335" s="1568" t="s">
        <v>3308</v>
      </c>
      <c r="D335" s="1568" t="s">
        <v>3000</v>
      </c>
      <c r="E335" s="1567">
        <v>42499</v>
      </c>
      <c r="F335" s="1566">
        <v>256</v>
      </c>
      <c r="G335" s="1566">
        <v>256</v>
      </c>
      <c r="H335" s="1567">
        <v>42783</v>
      </c>
      <c r="I335" s="1567">
        <v>45970</v>
      </c>
      <c r="J335" s="1567">
        <v>45970</v>
      </c>
      <c r="K335" s="1568" t="str">
        <f t="shared" si="5"/>
        <v>No</v>
      </c>
      <c r="L335" s="1565"/>
    </row>
    <row r="336" spans="1:12" ht="20.100000000000001" customHeight="1">
      <c r="A336" s="1568" t="s">
        <v>3101</v>
      </c>
      <c r="B336" s="1567">
        <v>42317</v>
      </c>
      <c r="C336" s="1568" t="s">
        <v>3308</v>
      </c>
      <c r="D336" s="1568" t="s">
        <v>3000</v>
      </c>
      <c r="E336" s="1567">
        <v>42591</v>
      </c>
      <c r="F336" s="1566">
        <v>248</v>
      </c>
      <c r="G336" s="1566">
        <v>248</v>
      </c>
      <c r="H336" s="1567">
        <v>42783</v>
      </c>
      <c r="I336" s="1567">
        <v>45970</v>
      </c>
      <c r="J336" s="1567">
        <v>45970</v>
      </c>
      <c r="K336" s="1568" t="str">
        <f t="shared" si="5"/>
        <v>No</v>
      </c>
      <c r="L336" s="1565"/>
    </row>
    <row r="337" spans="1:12" ht="20.100000000000001" customHeight="1">
      <c r="A337" s="1568" t="s">
        <v>3101</v>
      </c>
      <c r="B337" s="1567">
        <v>42317</v>
      </c>
      <c r="C337" s="1568" t="s">
        <v>3308</v>
      </c>
      <c r="D337" s="1568" t="s">
        <v>3000</v>
      </c>
      <c r="E337" s="1567">
        <v>42683</v>
      </c>
      <c r="F337" s="1566">
        <v>248</v>
      </c>
      <c r="G337" s="1566">
        <v>248</v>
      </c>
      <c r="H337" s="1567">
        <v>42783</v>
      </c>
      <c r="I337" s="1567">
        <v>45970</v>
      </c>
      <c r="J337" s="1567">
        <v>45970</v>
      </c>
      <c r="K337" s="1568" t="str">
        <f t="shared" si="5"/>
        <v>No</v>
      </c>
      <c r="L337" s="1565"/>
    </row>
    <row r="338" spans="1:12" ht="20.100000000000001" customHeight="1">
      <c r="A338" s="1568" t="s">
        <v>3101</v>
      </c>
      <c r="B338" s="1567">
        <v>42317</v>
      </c>
      <c r="C338" s="1568" t="s">
        <v>3308</v>
      </c>
      <c r="D338" s="1568" t="s">
        <v>3000</v>
      </c>
      <c r="E338" s="1567">
        <v>42683</v>
      </c>
      <c r="F338" s="1566">
        <v>0</v>
      </c>
      <c r="G338" s="1566">
        <v>0</v>
      </c>
      <c r="H338" s="1567">
        <v>43111</v>
      </c>
      <c r="I338" s="1567">
        <v>45970</v>
      </c>
      <c r="J338" s="1567">
        <v>45970</v>
      </c>
      <c r="K338" s="1568" t="str">
        <f t="shared" si="5"/>
        <v>No</v>
      </c>
      <c r="L338" s="1565"/>
    </row>
    <row r="339" spans="1:12" ht="20.100000000000001" customHeight="1">
      <c r="A339" s="1568" t="s">
        <v>3101</v>
      </c>
      <c r="B339" s="1567">
        <v>42317</v>
      </c>
      <c r="C339" s="1568" t="s">
        <v>3308</v>
      </c>
      <c r="D339" s="1568" t="s">
        <v>3000</v>
      </c>
      <c r="E339" s="1567">
        <v>42775</v>
      </c>
      <c r="F339" s="1566">
        <v>248</v>
      </c>
      <c r="G339" s="1566">
        <v>248</v>
      </c>
      <c r="H339" s="1567">
        <v>43111</v>
      </c>
      <c r="I339" s="1567">
        <v>45970</v>
      </c>
      <c r="J339" s="1567">
        <v>45970</v>
      </c>
      <c r="K339" s="1568" t="str">
        <f t="shared" si="5"/>
        <v>No</v>
      </c>
      <c r="L339" s="1565"/>
    </row>
    <row r="340" spans="1:12" ht="20.100000000000001" customHeight="1">
      <c r="A340" s="1568" t="s">
        <v>3101</v>
      </c>
      <c r="B340" s="1567">
        <v>42317</v>
      </c>
      <c r="C340" s="1568" t="s">
        <v>3308</v>
      </c>
      <c r="D340" s="1568" t="s">
        <v>3000</v>
      </c>
      <c r="E340" s="1567">
        <v>42864</v>
      </c>
      <c r="F340" s="1566">
        <v>256</v>
      </c>
      <c r="G340" s="1566">
        <v>256</v>
      </c>
      <c r="H340" s="1567">
        <v>43111</v>
      </c>
      <c r="I340" s="1567">
        <v>45970</v>
      </c>
      <c r="J340" s="1567">
        <v>45970</v>
      </c>
      <c r="K340" s="1568" t="str">
        <f t="shared" si="5"/>
        <v>No</v>
      </c>
      <c r="L340" s="1565"/>
    </row>
    <row r="341" spans="1:12" ht="20.100000000000001" customHeight="1">
      <c r="A341" s="1568" t="s">
        <v>3101</v>
      </c>
      <c r="B341" s="1567">
        <v>42317</v>
      </c>
      <c r="C341" s="1568" t="s">
        <v>3308</v>
      </c>
      <c r="D341" s="1568" t="s">
        <v>3000</v>
      </c>
      <c r="E341" s="1567">
        <v>42956</v>
      </c>
      <c r="F341" s="1566">
        <v>248</v>
      </c>
      <c r="G341" s="1566">
        <v>248</v>
      </c>
      <c r="H341" s="1567">
        <v>43111</v>
      </c>
      <c r="I341" s="1567">
        <v>45970</v>
      </c>
      <c r="J341" s="1567">
        <v>45970</v>
      </c>
      <c r="K341" s="1568" t="str">
        <f t="shared" si="5"/>
        <v>No</v>
      </c>
      <c r="L341" s="1565"/>
    </row>
    <row r="342" spans="1:12" ht="20.100000000000001" customHeight="1">
      <c r="A342" s="1568" t="s">
        <v>3101</v>
      </c>
      <c r="B342" s="1567">
        <v>42317</v>
      </c>
      <c r="C342" s="1568" t="s">
        <v>3308</v>
      </c>
      <c r="D342" s="1568" t="s">
        <v>3000</v>
      </c>
      <c r="E342" s="1567">
        <v>43048</v>
      </c>
      <c r="F342" s="1566">
        <v>248</v>
      </c>
      <c r="G342" s="1566">
        <v>248</v>
      </c>
      <c r="H342" s="1567">
        <v>43111</v>
      </c>
      <c r="I342" s="1567">
        <v>45970</v>
      </c>
      <c r="J342" s="1567">
        <v>45970</v>
      </c>
      <c r="K342" s="1568" t="str">
        <f t="shared" si="5"/>
        <v>No</v>
      </c>
      <c r="L342" s="1565"/>
    </row>
    <row r="343" spans="1:12" ht="20.100000000000001" customHeight="1">
      <c r="A343" s="1568" t="s">
        <v>3101</v>
      </c>
      <c r="B343" s="1567">
        <v>42317</v>
      </c>
      <c r="C343" s="1568" t="s">
        <v>3308</v>
      </c>
      <c r="D343" s="1568" t="s">
        <v>3000</v>
      </c>
      <c r="E343" s="1567">
        <v>43048</v>
      </c>
      <c r="F343" s="1566">
        <v>0</v>
      </c>
      <c r="G343" s="1566">
        <v>0</v>
      </c>
      <c r="H343" s="1567">
        <v>43141</v>
      </c>
      <c r="I343" s="1567">
        <v>45970</v>
      </c>
      <c r="J343" s="1567">
        <v>45970</v>
      </c>
      <c r="K343" s="1568" t="str">
        <f t="shared" si="5"/>
        <v>No</v>
      </c>
      <c r="L343" s="1565"/>
    </row>
    <row r="344" spans="1:12" ht="20.100000000000001" customHeight="1">
      <c r="A344" s="1568" t="s">
        <v>3101</v>
      </c>
      <c r="B344" s="1567">
        <v>42317</v>
      </c>
      <c r="C344" s="1568" t="s">
        <v>3308</v>
      </c>
      <c r="D344" s="1568" t="s">
        <v>3000</v>
      </c>
      <c r="E344" s="1567">
        <v>43140</v>
      </c>
      <c r="F344" s="1566">
        <v>248</v>
      </c>
      <c r="G344" s="1566">
        <v>248</v>
      </c>
      <c r="H344" s="1567">
        <v>43141</v>
      </c>
      <c r="I344" s="1567">
        <v>45970</v>
      </c>
      <c r="J344" s="1567">
        <v>45970</v>
      </c>
      <c r="K344" s="1568" t="str">
        <f t="shared" si="5"/>
        <v>No</v>
      </c>
      <c r="L344" s="1565"/>
    </row>
    <row r="345" spans="1:12" ht="20.100000000000001" customHeight="1">
      <c r="A345" s="1568" t="s">
        <v>3101</v>
      </c>
      <c r="B345" s="1567">
        <v>42317</v>
      </c>
      <c r="C345" s="1568" t="s">
        <v>3308</v>
      </c>
      <c r="D345" s="1568" t="s">
        <v>3000</v>
      </c>
      <c r="E345" s="1567">
        <v>43140</v>
      </c>
      <c r="F345" s="1566">
        <v>0</v>
      </c>
      <c r="G345" s="1566">
        <v>0</v>
      </c>
      <c r="H345" s="1567">
        <v>43240</v>
      </c>
      <c r="I345" s="1567">
        <v>45970</v>
      </c>
      <c r="J345" s="1567">
        <v>45970</v>
      </c>
      <c r="K345" s="1568" t="str">
        <f t="shared" si="5"/>
        <v>No</v>
      </c>
      <c r="L345" s="1565"/>
    </row>
    <row r="346" spans="1:12" ht="20.100000000000001" customHeight="1">
      <c r="A346" s="1568" t="s">
        <v>3101</v>
      </c>
      <c r="B346" s="1567">
        <v>42317</v>
      </c>
      <c r="C346" s="1568" t="s">
        <v>3308</v>
      </c>
      <c r="D346" s="1568" t="s">
        <v>3000</v>
      </c>
      <c r="E346" s="1567">
        <v>43229</v>
      </c>
      <c r="F346" s="1566">
        <v>256</v>
      </c>
      <c r="G346" s="1566">
        <v>256</v>
      </c>
      <c r="H346" s="1567">
        <v>43240</v>
      </c>
      <c r="I346" s="1567">
        <v>45970</v>
      </c>
      <c r="J346" s="1567">
        <v>45970</v>
      </c>
      <c r="K346" s="1568" t="str">
        <f t="shared" si="5"/>
        <v>No</v>
      </c>
      <c r="L346" s="1565"/>
    </row>
    <row r="347" spans="1:12" ht="20.100000000000001" customHeight="1">
      <c r="A347" s="1568" t="s">
        <v>3101</v>
      </c>
      <c r="B347" s="1567">
        <v>42317</v>
      </c>
      <c r="C347" s="1568" t="s">
        <v>3308</v>
      </c>
      <c r="D347" s="1568" t="s">
        <v>3000</v>
      </c>
      <c r="E347" s="1567">
        <v>43229</v>
      </c>
      <c r="F347" s="1566">
        <v>0</v>
      </c>
      <c r="G347" s="1566">
        <v>0</v>
      </c>
      <c r="H347" s="1567">
        <v>43321</v>
      </c>
      <c r="I347" s="1567">
        <v>45970</v>
      </c>
      <c r="J347" s="1567">
        <v>45970</v>
      </c>
      <c r="K347" s="1568" t="str">
        <f t="shared" si="5"/>
        <v>No</v>
      </c>
      <c r="L347" s="1565"/>
    </row>
    <row r="348" spans="1:12" ht="20.100000000000001" customHeight="1">
      <c r="A348" s="1568" t="s">
        <v>3101</v>
      </c>
      <c r="B348" s="1567">
        <v>42317</v>
      </c>
      <c r="C348" s="1568" t="s">
        <v>3308</v>
      </c>
      <c r="D348" s="1568" t="s">
        <v>3000</v>
      </c>
      <c r="E348" s="1567">
        <v>43321</v>
      </c>
      <c r="F348" s="1566">
        <v>248</v>
      </c>
      <c r="G348" s="1566">
        <v>248</v>
      </c>
      <c r="H348" s="1567">
        <v>43321</v>
      </c>
      <c r="I348" s="1567">
        <v>45970</v>
      </c>
      <c r="J348" s="1567">
        <v>45970</v>
      </c>
      <c r="K348" s="1568" t="str">
        <f t="shared" si="5"/>
        <v>No</v>
      </c>
      <c r="L348" s="1565"/>
    </row>
    <row r="349" spans="1:12" ht="20.100000000000001" customHeight="1">
      <c r="A349" s="1568" t="s">
        <v>3101</v>
      </c>
      <c r="B349" s="1567">
        <v>42317</v>
      </c>
      <c r="C349" s="1568" t="s">
        <v>3308</v>
      </c>
      <c r="D349" s="1568" t="s">
        <v>3000</v>
      </c>
      <c r="E349" s="1567">
        <v>43321</v>
      </c>
      <c r="F349" s="1566">
        <v>0</v>
      </c>
      <c r="G349" s="1566">
        <v>0</v>
      </c>
      <c r="H349" s="1567"/>
      <c r="I349" s="1567">
        <v>45970</v>
      </c>
      <c r="J349" s="1567">
        <v>45970</v>
      </c>
      <c r="K349" s="1568" t="str">
        <f t="shared" si="5"/>
        <v>No</v>
      </c>
      <c r="L349" s="1565"/>
    </row>
    <row r="350" spans="1:12" ht="20.100000000000001" customHeight="1">
      <c r="A350" s="1568" t="s">
        <v>3101</v>
      </c>
      <c r="B350" s="1567">
        <v>42317</v>
      </c>
      <c r="C350" s="1568" t="s">
        <v>3308</v>
      </c>
      <c r="D350" s="1568" t="s">
        <v>3000</v>
      </c>
      <c r="E350" s="1567">
        <v>43413</v>
      </c>
      <c r="F350" s="1566">
        <v>248</v>
      </c>
      <c r="G350" s="1566">
        <v>0</v>
      </c>
      <c r="H350" s="1567"/>
      <c r="I350" s="1567">
        <v>45970</v>
      </c>
      <c r="J350" s="1567">
        <v>45970</v>
      </c>
      <c r="K350" s="1568" t="str">
        <f t="shared" si="5"/>
        <v>No</v>
      </c>
      <c r="L350" s="1565"/>
    </row>
    <row r="351" spans="1:12" ht="20.100000000000001" customHeight="1">
      <c r="A351" s="1568" t="s">
        <v>3099</v>
      </c>
      <c r="B351" s="1567">
        <v>42424</v>
      </c>
      <c r="C351" s="1568" t="s">
        <v>3308</v>
      </c>
      <c r="D351" s="1568" t="s">
        <v>2983</v>
      </c>
      <c r="E351" s="1567">
        <v>42424</v>
      </c>
      <c r="F351" s="1566">
        <v>50432</v>
      </c>
      <c r="G351" s="1566">
        <v>50432</v>
      </c>
      <c r="H351" s="1567">
        <v>42783</v>
      </c>
      <c r="I351" s="1567">
        <v>46077</v>
      </c>
      <c r="J351" s="1567">
        <v>46077</v>
      </c>
      <c r="K351" s="1568" t="str">
        <f t="shared" si="5"/>
        <v>No</v>
      </c>
      <c r="L351" s="1565" t="s">
        <v>3052</v>
      </c>
    </row>
    <row r="352" spans="1:12" ht="20.100000000000001" customHeight="1">
      <c r="A352" s="1568" t="s">
        <v>3099</v>
      </c>
      <c r="B352" s="1567">
        <v>42424</v>
      </c>
      <c r="C352" s="1568" t="s">
        <v>3308</v>
      </c>
      <c r="D352" s="1568" t="s">
        <v>2983</v>
      </c>
      <c r="E352" s="1567">
        <v>42424</v>
      </c>
      <c r="F352" s="1566">
        <v>0</v>
      </c>
      <c r="G352" s="1566">
        <v>0</v>
      </c>
      <c r="H352" s="1567"/>
      <c r="I352" s="1567">
        <v>46077</v>
      </c>
      <c r="J352" s="1567">
        <v>46077</v>
      </c>
      <c r="K352" s="1568" t="str">
        <f t="shared" si="5"/>
        <v>No</v>
      </c>
      <c r="L352" s="1565" t="s">
        <v>3052</v>
      </c>
    </row>
    <row r="353" spans="1:12" ht="20.100000000000001" customHeight="1">
      <c r="A353" s="1568" t="s">
        <v>3098</v>
      </c>
      <c r="B353" s="1567">
        <v>42433</v>
      </c>
      <c r="C353" s="1568" t="s">
        <v>3308</v>
      </c>
      <c r="D353" s="1568" t="s">
        <v>2998</v>
      </c>
      <c r="E353" s="1567">
        <v>42433</v>
      </c>
      <c r="F353" s="1566">
        <v>8000</v>
      </c>
      <c r="G353" s="1566">
        <v>8000</v>
      </c>
      <c r="H353" s="1567">
        <v>42783</v>
      </c>
      <c r="I353" s="1567">
        <v>46085</v>
      </c>
      <c r="J353" s="1567">
        <v>46085</v>
      </c>
      <c r="K353" s="1568" t="str">
        <f t="shared" si="5"/>
        <v>No</v>
      </c>
      <c r="L353" s="1565"/>
    </row>
    <row r="354" spans="1:12" ht="20.100000000000001" customHeight="1">
      <c r="A354" s="1568" t="s">
        <v>3098</v>
      </c>
      <c r="B354" s="1567">
        <v>42433</v>
      </c>
      <c r="C354" s="1568" t="s">
        <v>3308</v>
      </c>
      <c r="D354" s="1568" t="s">
        <v>2998</v>
      </c>
      <c r="E354" s="1567">
        <v>42433</v>
      </c>
      <c r="F354" s="1566">
        <v>0</v>
      </c>
      <c r="G354" s="1566">
        <v>0</v>
      </c>
      <c r="H354" s="1567"/>
      <c r="I354" s="1567">
        <v>46085</v>
      </c>
      <c r="J354" s="1567">
        <v>46085</v>
      </c>
      <c r="K354" s="1568" t="str">
        <f t="shared" si="5"/>
        <v>No</v>
      </c>
      <c r="L354" s="1565"/>
    </row>
    <row r="355" spans="1:12" ht="20.100000000000001" customHeight="1">
      <c r="A355" s="1568" t="s">
        <v>3097</v>
      </c>
      <c r="B355" s="1567">
        <v>42586</v>
      </c>
      <c r="C355" s="1568" t="s">
        <v>3308</v>
      </c>
      <c r="D355" s="1568" t="s">
        <v>2961</v>
      </c>
      <c r="E355" s="1567">
        <v>42586</v>
      </c>
      <c r="F355" s="1566">
        <v>37512</v>
      </c>
      <c r="G355" s="1566">
        <v>37512</v>
      </c>
      <c r="H355" s="1567">
        <v>42783</v>
      </c>
      <c r="I355" s="1567">
        <v>46238</v>
      </c>
      <c r="J355" s="1567">
        <v>46238</v>
      </c>
      <c r="K355" s="1568" t="str">
        <f t="shared" si="5"/>
        <v>No</v>
      </c>
      <c r="L355" s="1565"/>
    </row>
    <row r="356" spans="1:12" ht="20.100000000000001" customHeight="1">
      <c r="A356" s="1568" t="s">
        <v>3097</v>
      </c>
      <c r="B356" s="1567">
        <v>42586</v>
      </c>
      <c r="C356" s="1568" t="s">
        <v>3308</v>
      </c>
      <c r="D356" s="1568" t="s">
        <v>2961</v>
      </c>
      <c r="E356" s="1567">
        <v>42586</v>
      </c>
      <c r="F356" s="1566">
        <v>0</v>
      </c>
      <c r="G356" s="1566">
        <v>0</v>
      </c>
      <c r="H356" s="1567">
        <v>42866</v>
      </c>
      <c r="I356" s="1567">
        <v>46238</v>
      </c>
      <c r="J356" s="1567">
        <v>46238</v>
      </c>
      <c r="K356" s="1568" t="str">
        <f t="shared" si="5"/>
        <v>No</v>
      </c>
      <c r="L356" s="1565"/>
    </row>
    <row r="357" spans="1:12" ht="20.100000000000001" customHeight="1">
      <c r="A357" s="1568" t="s">
        <v>3097</v>
      </c>
      <c r="B357" s="1567">
        <v>42586</v>
      </c>
      <c r="C357" s="1568" t="s">
        <v>3308</v>
      </c>
      <c r="D357" s="1568" t="s">
        <v>2961</v>
      </c>
      <c r="E357" s="1567">
        <v>42856</v>
      </c>
      <c r="F357" s="1566">
        <v>4496</v>
      </c>
      <c r="G357" s="1566">
        <v>4496</v>
      </c>
      <c r="H357" s="1567">
        <v>42866</v>
      </c>
      <c r="I357" s="1567">
        <v>46238</v>
      </c>
      <c r="J357" s="1567">
        <v>46238</v>
      </c>
      <c r="K357" s="1568" t="str">
        <f t="shared" si="5"/>
        <v>No</v>
      </c>
      <c r="L357" s="1565"/>
    </row>
    <row r="358" spans="1:12" ht="20.100000000000001" customHeight="1">
      <c r="A358" s="1568" t="s">
        <v>3097</v>
      </c>
      <c r="B358" s="1567">
        <v>42586</v>
      </c>
      <c r="C358" s="1568" t="s">
        <v>3308</v>
      </c>
      <c r="D358" s="1568" t="s">
        <v>2961</v>
      </c>
      <c r="E358" s="1567">
        <v>42856</v>
      </c>
      <c r="F358" s="1566">
        <v>0</v>
      </c>
      <c r="G358" s="1566">
        <v>0</v>
      </c>
      <c r="H358" s="1567">
        <v>42887</v>
      </c>
      <c r="I358" s="1567">
        <v>46238</v>
      </c>
      <c r="J358" s="1567">
        <v>46238</v>
      </c>
      <c r="K358" s="1568" t="str">
        <f t="shared" si="5"/>
        <v>No</v>
      </c>
      <c r="L358" s="1565"/>
    </row>
    <row r="359" spans="1:12" ht="20.100000000000001" customHeight="1">
      <c r="A359" s="1568" t="s">
        <v>3097</v>
      </c>
      <c r="B359" s="1567">
        <v>42586</v>
      </c>
      <c r="C359" s="1568" t="s">
        <v>3308</v>
      </c>
      <c r="D359" s="1568" t="s">
        <v>2961</v>
      </c>
      <c r="E359" s="1567">
        <v>42887</v>
      </c>
      <c r="F359" s="1566">
        <v>4496</v>
      </c>
      <c r="G359" s="1566">
        <v>4496</v>
      </c>
      <c r="H359" s="1567">
        <v>42887</v>
      </c>
      <c r="I359" s="1567">
        <v>46238</v>
      </c>
      <c r="J359" s="1567">
        <v>46238</v>
      </c>
      <c r="K359" s="1568" t="str">
        <f t="shared" si="5"/>
        <v>No</v>
      </c>
      <c r="L359" s="1565"/>
    </row>
    <row r="360" spans="1:12" ht="20.100000000000001" customHeight="1">
      <c r="A360" s="1568" t="s">
        <v>3097</v>
      </c>
      <c r="B360" s="1567">
        <v>42586</v>
      </c>
      <c r="C360" s="1568" t="s">
        <v>3308</v>
      </c>
      <c r="D360" s="1568" t="s">
        <v>2961</v>
      </c>
      <c r="E360" s="1567">
        <v>42887</v>
      </c>
      <c r="F360" s="1566">
        <v>0</v>
      </c>
      <c r="G360" s="1566">
        <v>0</v>
      </c>
      <c r="H360" s="1567">
        <v>42917</v>
      </c>
      <c r="I360" s="1567">
        <v>46238</v>
      </c>
      <c r="J360" s="1567">
        <v>46238</v>
      </c>
      <c r="K360" s="1568" t="str">
        <f t="shared" si="5"/>
        <v>No</v>
      </c>
      <c r="L360" s="1565"/>
    </row>
    <row r="361" spans="1:12" ht="20.100000000000001" customHeight="1">
      <c r="A361" s="1568" t="s">
        <v>3097</v>
      </c>
      <c r="B361" s="1567">
        <v>42586</v>
      </c>
      <c r="C361" s="1568" t="s">
        <v>3308</v>
      </c>
      <c r="D361" s="1568" t="s">
        <v>2961</v>
      </c>
      <c r="E361" s="1567">
        <v>42917</v>
      </c>
      <c r="F361" s="1566">
        <v>4496</v>
      </c>
      <c r="G361" s="1566">
        <v>4496</v>
      </c>
      <c r="H361" s="1567">
        <v>42917</v>
      </c>
      <c r="I361" s="1567">
        <v>46238</v>
      </c>
      <c r="J361" s="1567">
        <v>46238</v>
      </c>
      <c r="K361" s="1568" t="str">
        <f t="shared" si="5"/>
        <v>No</v>
      </c>
      <c r="L361" s="1565"/>
    </row>
    <row r="362" spans="1:12" ht="20.100000000000001" customHeight="1">
      <c r="A362" s="1568" t="s">
        <v>3097</v>
      </c>
      <c r="B362" s="1567">
        <v>42586</v>
      </c>
      <c r="C362" s="1568" t="s">
        <v>3308</v>
      </c>
      <c r="D362" s="1568" t="s">
        <v>2961</v>
      </c>
      <c r="E362" s="1567">
        <v>42917</v>
      </c>
      <c r="F362" s="1566">
        <v>0</v>
      </c>
      <c r="G362" s="1566">
        <v>0</v>
      </c>
      <c r="H362" s="1567">
        <v>42951</v>
      </c>
      <c r="I362" s="1567">
        <v>46238</v>
      </c>
      <c r="J362" s="1567">
        <v>46238</v>
      </c>
      <c r="K362" s="1568" t="str">
        <f t="shared" si="5"/>
        <v>No</v>
      </c>
      <c r="L362" s="1565"/>
    </row>
    <row r="363" spans="1:12" ht="20.100000000000001" customHeight="1">
      <c r="A363" s="1568" t="s">
        <v>3097</v>
      </c>
      <c r="B363" s="1567">
        <v>42586</v>
      </c>
      <c r="C363" s="1568" t="s">
        <v>3308</v>
      </c>
      <c r="D363" s="1568" t="s">
        <v>2961</v>
      </c>
      <c r="E363" s="1567">
        <v>42948</v>
      </c>
      <c r="F363" s="1566">
        <v>4496</v>
      </c>
      <c r="G363" s="1566">
        <v>4496</v>
      </c>
      <c r="H363" s="1567">
        <v>42951</v>
      </c>
      <c r="I363" s="1567">
        <v>46238</v>
      </c>
      <c r="J363" s="1567">
        <v>46238</v>
      </c>
      <c r="K363" s="1568" t="str">
        <f t="shared" si="5"/>
        <v>No</v>
      </c>
      <c r="L363" s="1565"/>
    </row>
    <row r="364" spans="1:12" ht="20.100000000000001" customHeight="1">
      <c r="A364" s="1568" t="s">
        <v>3097</v>
      </c>
      <c r="B364" s="1567">
        <v>42586</v>
      </c>
      <c r="C364" s="1568" t="s">
        <v>3308</v>
      </c>
      <c r="D364" s="1568" t="s">
        <v>2961</v>
      </c>
      <c r="E364" s="1567">
        <v>42948</v>
      </c>
      <c r="F364" s="1566">
        <v>0</v>
      </c>
      <c r="G364" s="1566">
        <v>0</v>
      </c>
      <c r="H364" s="1567">
        <v>42986</v>
      </c>
      <c r="I364" s="1567">
        <v>46238</v>
      </c>
      <c r="J364" s="1567">
        <v>46238</v>
      </c>
      <c r="K364" s="1568" t="str">
        <f t="shared" si="5"/>
        <v>No</v>
      </c>
      <c r="L364" s="1565"/>
    </row>
    <row r="365" spans="1:12" ht="20.100000000000001" customHeight="1">
      <c r="A365" s="1568" t="s">
        <v>3097</v>
      </c>
      <c r="B365" s="1567">
        <v>42586</v>
      </c>
      <c r="C365" s="1568" t="s">
        <v>3308</v>
      </c>
      <c r="D365" s="1568" t="s">
        <v>2961</v>
      </c>
      <c r="E365" s="1567">
        <v>42979</v>
      </c>
      <c r="F365" s="1566">
        <v>4496</v>
      </c>
      <c r="G365" s="1566">
        <v>4496</v>
      </c>
      <c r="H365" s="1567">
        <v>42986</v>
      </c>
      <c r="I365" s="1567">
        <v>46238</v>
      </c>
      <c r="J365" s="1567">
        <v>46238</v>
      </c>
      <c r="K365" s="1568" t="str">
        <f t="shared" si="5"/>
        <v>No</v>
      </c>
      <c r="L365" s="1565"/>
    </row>
    <row r="366" spans="1:12" ht="20.100000000000001" customHeight="1">
      <c r="A366" s="1568" t="s">
        <v>3097</v>
      </c>
      <c r="B366" s="1567">
        <v>42586</v>
      </c>
      <c r="C366" s="1568" t="s">
        <v>3308</v>
      </c>
      <c r="D366" s="1568" t="s">
        <v>2961</v>
      </c>
      <c r="E366" s="1567">
        <v>42979</v>
      </c>
      <c r="F366" s="1566">
        <v>0</v>
      </c>
      <c r="G366" s="1566">
        <v>0</v>
      </c>
      <c r="H366" s="1567">
        <v>43013</v>
      </c>
      <c r="I366" s="1567">
        <v>46238</v>
      </c>
      <c r="J366" s="1567">
        <v>46238</v>
      </c>
      <c r="K366" s="1568" t="str">
        <f t="shared" si="5"/>
        <v>No</v>
      </c>
      <c r="L366" s="1565"/>
    </row>
    <row r="367" spans="1:12" ht="20.100000000000001" customHeight="1">
      <c r="A367" s="1568" t="s">
        <v>3097</v>
      </c>
      <c r="B367" s="1567">
        <v>42586</v>
      </c>
      <c r="C367" s="1568" t="s">
        <v>3308</v>
      </c>
      <c r="D367" s="1568" t="s">
        <v>2961</v>
      </c>
      <c r="E367" s="1567">
        <v>43009</v>
      </c>
      <c r="F367" s="1566">
        <v>4496</v>
      </c>
      <c r="G367" s="1566">
        <v>4496</v>
      </c>
      <c r="H367" s="1567">
        <v>43013</v>
      </c>
      <c r="I367" s="1567">
        <v>46238</v>
      </c>
      <c r="J367" s="1567">
        <v>46238</v>
      </c>
      <c r="K367" s="1568" t="str">
        <f t="shared" si="5"/>
        <v>No</v>
      </c>
      <c r="L367" s="1565"/>
    </row>
    <row r="368" spans="1:12" ht="20.100000000000001" customHeight="1">
      <c r="A368" s="1568" t="s">
        <v>3097</v>
      </c>
      <c r="B368" s="1567">
        <v>42586</v>
      </c>
      <c r="C368" s="1568" t="s">
        <v>3308</v>
      </c>
      <c r="D368" s="1568" t="s">
        <v>2961</v>
      </c>
      <c r="E368" s="1567">
        <v>43009</v>
      </c>
      <c r="F368" s="1566">
        <v>0</v>
      </c>
      <c r="G368" s="1566">
        <v>0</v>
      </c>
      <c r="H368" s="1567">
        <v>43045</v>
      </c>
      <c r="I368" s="1567">
        <v>46238</v>
      </c>
      <c r="J368" s="1567">
        <v>46238</v>
      </c>
      <c r="K368" s="1568" t="str">
        <f t="shared" si="5"/>
        <v>No</v>
      </c>
      <c r="L368" s="1565"/>
    </row>
    <row r="369" spans="1:12" ht="20.100000000000001" customHeight="1">
      <c r="A369" s="1568" t="s">
        <v>3097</v>
      </c>
      <c r="B369" s="1567">
        <v>42586</v>
      </c>
      <c r="C369" s="1568" t="s">
        <v>3308</v>
      </c>
      <c r="D369" s="1568" t="s">
        <v>2961</v>
      </c>
      <c r="E369" s="1567">
        <v>43040</v>
      </c>
      <c r="F369" s="1566">
        <v>4496</v>
      </c>
      <c r="G369" s="1566">
        <v>4496</v>
      </c>
      <c r="H369" s="1567">
        <v>43045</v>
      </c>
      <c r="I369" s="1567">
        <v>46238</v>
      </c>
      <c r="J369" s="1567">
        <v>46238</v>
      </c>
      <c r="K369" s="1568" t="str">
        <f t="shared" si="5"/>
        <v>No</v>
      </c>
      <c r="L369" s="1565"/>
    </row>
    <row r="370" spans="1:12" ht="20.100000000000001" customHeight="1">
      <c r="A370" s="1568" t="s">
        <v>3097</v>
      </c>
      <c r="B370" s="1567">
        <v>42586</v>
      </c>
      <c r="C370" s="1568" t="s">
        <v>3308</v>
      </c>
      <c r="D370" s="1568" t="s">
        <v>2961</v>
      </c>
      <c r="E370" s="1567">
        <v>43040</v>
      </c>
      <c r="F370" s="1566">
        <v>0</v>
      </c>
      <c r="G370" s="1566">
        <v>0</v>
      </c>
      <c r="H370" s="1567">
        <v>43076</v>
      </c>
      <c r="I370" s="1567">
        <v>46238</v>
      </c>
      <c r="J370" s="1567">
        <v>46238</v>
      </c>
      <c r="K370" s="1568" t="str">
        <f t="shared" si="5"/>
        <v>No</v>
      </c>
      <c r="L370" s="1565"/>
    </row>
    <row r="371" spans="1:12" ht="20.100000000000001" customHeight="1">
      <c r="A371" s="1568" t="s">
        <v>3097</v>
      </c>
      <c r="B371" s="1567">
        <v>42586</v>
      </c>
      <c r="C371" s="1568" t="s">
        <v>3308</v>
      </c>
      <c r="D371" s="1568" t="s">
        <v>2961</v>
      </c>
      <c r="E371" s="1567">
        <v>43070</v>
      </c>
      <c r="F371" s="1566">
        <v>4496</v>
      </c>
      <c r="G371" s="1566">
        <v>4496</v>
      </c>
      <c r="H371" s="1567">
        <v>43076</v>
      </c>
      <c r="I371" s="1567">
        <v>46238</v>
      </c>
      <c r="J371" s="1567">
        <v>46238</v>
      </c>
      <c r="K371" s="1568" t="str">
        <f t="shared" si="5"/>
        <v>No</v>
      </c>
      <c r="L371" s="1565"/>
    </row>
    <row r="372" spans="1:12" ht="20.100000000000001" customHeight="1">
      <c r="A372" s="1568" t="s">
        <v>3097</v>
      </c>
      <c r="B372" s="1567">
        <v>42586</v>
      </c>
      <c r="C372" s="1568" t="s">
        <v>3308</v>
      </c>
      <c r="D372" s="1568" t="s">
        <v>2961</v>
      </c>
      <c r="E372" s="1567">
        <v>43070</v>
      </c>
      <c r="F372" s="1566">
        <v>0</v>
      </c>
      <c r="G372" s="1566">
        <v>0</v>
      </c>
      <c r="H372" s="1567">
        <v>43101</v>
      </c>
      <c r="I372" s="1567">
        <v>46238</v>
      </c>
      <c r="J372" s="1567">
        <v>46238</v>
      </c>
      <c r="K372" s="1568" t="str">
        <f t="shared" si="5"/>
        <v>No</v>
      </c>
      <c r="L372" s="1565"/>
    </row>
    <row r="373" spans="1:12" ht="20.100000000000001" customHeight="1">
      <c r="A373" s="1568" t="s">
        <v>3097</v>
      </c>
      <c r="B373" s="1567">
        <v>42586</v>
      </c>
      <c r="C373" s="1568" t="s">
        <v>3308</v>
      </c>
      <c r="D373" s="1568" t="s">
        <v>2961</v>
      </c>
      <c r="E373" s="1567">
        <v>43101</v>
      </c>
      <c r="F373" s="1566">
        <v>4496</v>
      </c>
      <c r="G373" s="1566">
        <v>4496</v>
      </c>
      <c r="H373" s="1567">
        <v>43101</v>
      </c>
      <c r="I373" s="1567">
        <v>46238</v>
      </c>
      <c r="J373" s="1567">
        <v>46238</v>
      </c>
      <c r="K373" s="1568" t="str">
        <f t="shared" si="5"/>
        <v>No</v>
      </c>
      <c r="L373" s="1565"/>
    </row>
    <row r="374" spans="1:12" ht="20.100000000000001" customHeight="1">
      <c r="A374" s="1568" t="s">
        <v>3097</v>
      </c>
      <c r="B374" s="1567">
        <v>42586</v>
      </c>
      <c r="C374" s="1568" t="s">
        <v>3308</v>
      </c>
      <c r="D374" s="1568" t="s">
        <v>2961</v>
      </c>
      <c r="E374" s="1567">
        <v>43101</v>
      </c>
      <c r="F374" s="1566">
        <v>0</v>
      </c>
      <c r="G374" s="1566">
        <v>0</v>
      </c>
      <c r="H374" s="1567">
        <v>43138</v>
      </c>
      <c r="I374" s="1567">
        <v>46238</v>
      </c>
      <c r="J374" s="1567">
        <v>46238</v>
      </c>
      <c r="K374" s="1568" t="str">
        <f t="shared" si="5"/>
        <v>No</v>
      </c>
      <c r="L374" s="1565"/>
    </row>
    <row r="375" spans="1:12" ht="20.100000000000001" customHeight="1">
      <c r="A375" s="1568" t="s">
        <v>3097</v>
      </c>
      <c r="B375" s="1567">
        <v>42586</v>
      </c>
      <c r="C375" s="1568" t="s">
        <v>3308</v>
      </c>
      <c r="D375" s="1568" t="s">
        <v>2961</v>
      </c>
      <c r="E375" s="1567">
        <v>43132</v>
      </c>
      <c r="F375" s="1566">
        <v>4496</v>
      </c>
      <c r="G375" s="1566">
        <v>4496</v>
      </c>
      <c r="H375" s="1567">
        <v>43138</v>
      </c>
      <c r="I375" s="1567">
        <v>46238</v>
      </c>
      <c r="J375" s="1567">
        <v>46238</v>
      </c>
      <c r="K375" s="1568" t="str">
        <f t="shared" si="5"/>
        <v>No</v>
      </c>
      <c r="L375" s="1565"/>
    </row>
    <row r="376" spans="1:12" ht="20.100000000000001" customHeight="1">
      <c r="A376" s="1568" t="s">
        <v>3097</v>
      </c>
      <c r="B376" s="1567">
        <v>42586</v>
      </c>
      <c r="C376" s="1568" t="s">
        <v>3308</v>
      </c>
      <c r="D376" s="1568" t="s">
        <v>2961</v>
      </c>
      <c r="E376" s="1567">
        <v>43132</v>
      </c>
      <c r="F376" s="1566">
        <v>0</v>
      </c>
      <c r="G376" s="1566">
        <v>0</v>
      </c>
      <c r="H376" s="1567">
        <v>43169</v>
      </c>
      <c r="I376" s="1567">
        <v>46238</v>
      </c>
      <c r="J376" s="1567">
        <v>46238</v>
      </c>
      <c r="K376" s="1568" t="str">
        <f t="shared" si="5"/>
        <v>No</v>
      </c>
      <c r="L376" s="1565"/>
    </row>
    <row r="377" spans="1:12" ht="20.100000000000001" customHeight="1">
      <c r="A377" s="1568" t="s">
        <v>3097</v>
      </c>
      <c r="B377" s="1567">
        <v>42586</v>
      </c>
      <c r="C377" s="1568" t="s">
        <v>3308</v>
      </c>
      <c r="D377" s="1568" t="s">
        <v>2961</v>
      </c>
      <c r="E377" s="1567">
        <v>43160</v>
      </c>
      <c r="F377" s="1566">
        <v>4496</v>
      </c>
      <c r="G377" s="1566">
        <v>4496</v>
      </c>
      <c r="H377" s="1567">
        <v>43169</v>
      </c>
      <c r="I377" s="1567">
        <v>46238</v>
      </c>
      <c r="J377" s="1567">
        <v>46238</v>
      </c>
      <c r="K377" s="1568" t="str">
        <f t="shared" si="5"/>
        <v>No</v>
      </c>
      <c r="L377" s="1565"/>
    </row>
    <row r="378" spans="1:12" ht="20.100000000000001" customHeight="1">
      <c r="A378" s="1568" t="s">
        <v>3097</v>
      </c>
      <c r="B378" s="1567">
        <v>42586</v>
      </c>
      <c r="C378" s="1568" t="s">
        <v>3308</v>
      </c>
      <c r="D378" s="1568" t="s">
        <v>2961</v>
      </c>
      <c r="E378" s="1567">
        <v>43160</v>
      </c>
      <c r="F378" s="1566">
        <v>0</v>
      </c>
      <c r="G378" s="1566">
        <v>0</v>
      </c>
      <c r="H378" s="1567">
        <v>43222</v>
      </c>
      <c r="I378" s="1567">
        <v>46238</v>
      </c>
      <c r="J378" s="1567">
        <v>46238</v>
      </c>
      <c r="K378" s="1568" t="str">
        <f t="shared" si="5"/>
        <v>No</v>
      </c>
      <c r="L378" s="1565"/>
    </row>
    <row r="379" spans="1:12" ht="20.100000000000001" customHeight="1">
      <c r="A379" s="1568" t="s">
        <v>3097</v>
      </c>
      <c r="B379" s="1567">
        <v>42586</v>
      </c>
      <c r="C379" s="1568" t="s">
        <v>3308</v>
      </c>
      <c r="D379" s="1568" t="s">
        <v>2961</v>
      </c>
      <c r="E379" s="1567">
        <v>43191</v>
      </c>
      <c r="F379" s="1566">
        <v>4496</v>
      </c>
      <c r="G379" s="1566">
        <v>4496</v>
      </c>
      <c r="H379" s="1567">
        <v>43222</v>
      </c>
      <c r="I379" s="1567">
        <v>46238</v>
      </c>
      <c r="J379" s="1567">
        <v>46238</v>
      </c>
      <c r="K379" s="1568" t="str">
        <f t="shared" si="5"/>
        <v>No</v>
      </c>
      <c r="L379" s="1565"/>
    </row>
    <row r="380" spans="1:12" ht="20.100000000000001" customHeight="1">
      <c r="A380" s="1568" t="s">
        <v>3097</v>
      </c>
      <c r="B380" s="1567">
        <v>42586</v>
      </c>
      <c r="C380" s="1568" t="s">
        <v>3308</v>
      </c>
      <c r="D380" s="1568" t="s">
        <v>2961</v>
      </c>
      <c r="E380" s="1567">
        <v>43221</v>
      </c>
      <c r="F380" s="1566">
        <v>4496</v>
      </c>
      <c r="G380" s="1566">
        <v>4496</v>
      </c>
      <c r="H380" s="1567">
        <v>43222</v>
      </c>
      <c r="I380" s="1567">
        <v>46238</v>
      </c>
      <c r="J380" s="1567">
        <v>46238</v>
      </c>
      <c r="K380" s="1568" t="str">
        <f t="shared" si="5"/>
        <v>No</v>
      </c>
      <c r="L380" s="1565"/>
    </row>
    <row r="381" spans="1:12" ht="20.100000000000001" customHeight="1">
      <c r="A381" s="1568" t="s">
        <v>3097</v>
      </c>
      <c r="B381" s="1567">
        <v>42586</v>
      </c>
      <c r="C381" s="1568" t="s">
        <v>3308</v>
      </c>
      <c r="D381" s="1568" t="s">
        <v>2961</v>
      </c>
      <c r="E381" s="1567">
        <v>43221</v>
      </c>
      <c r="F381" s="1566">
        <v>0</v>
      </c>
      <c r="G381" s="1566">
        <v>0</v>
      </c>
      <c r="H381" s="1567">
        <v>43280</v>
      </c>
      <c r="I381" s="1567">
        <v>46238</v>
      </c>
      <c r="J381" s="1567">
        <v>46238</v>
      </c>
      <c r="K381" s="1568" t="str">
        <f t="shared" si="5"/>
        <v>No</v>
      </c>
      <c r="L381" s="1565"/>
    </row>
    <row r="382" spans="1:12" ht="20.100000000000001" customHeight="1">
      <c r="A382" s="1568" t="s">
        <v>3097</v>
      </c>
      <c r="B382" s="1567">
        <v>42586</v>
      </c>
      <c r="C382" s="1568" t="s">
        <v>3308</v>
      </c>
      <c r="D382" s="1568" t="s">
        <v>2961</v>
      </c>
      <c r="E382" s="1567">
        <v>43252</v>
      </c>
      <c r="F382" s="1566">
        <v>4496</v>
      </c>
      <c r="G382" s="1566">
        <v>4496</v>
      </c>
      <c r="H382" s="1567">
        <v>43280</v>
      </c>
      <c r="I382" s="1567">
        <v>46238</v>
      </c>
      <c r="J382" s="1567">
        <v>46238</v>
      </c>
      <c r="K382" s="1568" t="str">
        <f t="shared" si="5"/>
        <v>No</v>
      </c>
      <c r="L382" s="1565"/>
    </row>
    <row r="383" spans="1:12" ht="20.100000000000001" customHeight="1">
      <c r="A383" s="1568" t="s">
        <v>3097</v>
      </c>
      <c r="B383" s="1567">
        <v>42586</v>
      </c>
      <c r="C383" s="1568" t="s">
        <v>3308</v>
      </c>
      <c r="D383" s="1568" t="s">
        <v>2961</v>
      </c>
      <c r="E383" s="1567">
        <v>43252</v>
      </c>
      <c r="F383" s="1566">
        <v>0</v>
      </c>
      <c r="G383" s="1566">
        <v>0</v>
      </c>
      <c r="H383" s="1567">
        <v>43318</v>
      </c>
      <c r="I383" s="1567">
        <v>46238</v>
      </c>
      <c r="J383" s="1567">
        <v>46238</v>
      </c>
      <c r="K383" s="1568" t="str">
        <f t="shared" si="5"/>
        <v>No</v>
      </c>
      <c r="L383" s="1565"/>
    </row>
    <row r="384" spans="1:12" ht="20.100000000000001" customHeight="1">
      <c r="A384" s="1568" t="s">
        <v>3097</v>
      </c>
      <c r="B384" s="1567">
        <v>42586</v>
      </c>
      <c r="C384" s="1568" t="s">
        <v>3308</v>
      </c>
      <c r="D384" s="1568" t="s">
        <v>2961</v>
      </c>
      <c r="E384" s="1567">
        <v>43282</v>
      </c>
      <c r="F384" s="1566">
        <v>4496</v>
      </c>
      <c r="G384" s="1566">
        <v>4496</v>
      </c>
      <c r="H384" s="1567">
        <v>43318</v>
      </c>
      <c r="I384" s="1567">
        <v>46238</v>
      </c>
      <c r="J384" s="1567">
        <v>46238</v>
      </c>
      <c r="K384" s="1568" t="str">
        <f t="shared" si="5"/>
        <v>No</v>
      </c>
      <c r="L384" s="1565"/>
    </row>
    <row r="385" spans="1:12" ht="20.100000000000001" customHeight="1">
      <c r="A385" s="1568" t="s">
        <v>3097</v>
      </c>
      <c r="B385" s="1567">
        <v>42586</v>
      </c>
      <c r="C385" s="1568" t="s">
        <v>3308</v>
      </c>
      <c r="D385" s="1568" t="s">
        <v>2961</v>
      </c>
      <c r="E385" s="1567">
        <v>43313</v>
      </c>
      <c r="F385" s="1566">
        <v>4496</v>
      </c>
      <c r="G385" s="1566">
        <v>4496</v>
      </c>
      <c r="H385" s="1567">
        <v>43318</v>
      </c>
      <c r="I385" s="1567">
        <v>46238</v>
      </c>
      <c r="J385" s="1567">
        <v>46238</v>
      </c>
      <c r="K385" s="1568" t="str">
        <f t="shared" si="5"/>
        <v>No</v>
      </c>
      <c r="L385" s="1565"/>
    </row>
    <row r="386" spans="1:12" ht="20.100000000000001" customHeight="1">
      <c r="A386" s="1568" t="s">
        <v>3097</v>
      </c>
      <c r="B386" s="1567">
        <v>42586</v>
      </c>
      <c r="C386" s="1568" t="s">
        <v>3308</v>
      </c>
      <c r="D386" s="1568" t="s">
        <v>2961</v>
      </c>
      <c r="E386" s="1567">
        <v>43313</v>
      </c>
      <c r="F386" s="1566">
        <v>0</v>
      </c>
      <c r="G386" s="1566">
        <v>0</v>
      </c>
      <c r="H386" s="1567">
        <v>43376</v>
      </c>
      <c r="I386" s="1567">
        <v>46238</v>
      </c>
      <c r="J386" s="1567">
        <v>46238</v>
      </c>
      <c r="K386" s="1568" t="str">
        <f t="shared" si="5"/>
        <v>No</v>
      </c>
      <c r="L386" s="1565"/>
    </row>
    <row r="387" spans="1:12" ht="20.100000000000001" customHeight="1">
      <c r="A387" s="1568" t="s">
        <v>3097</v>
      </c>
      <c r="B387" s="1567">
        <v>42586</v>
      </c>
      <c r="C387" s="1568" t="s">
        <v>3308</v>
      </c>
      <c r="D387" s="1568" t="s">
        <v>2961</v>
      </c>
      <c r="E387" s="1567">
        <v>43344</v>
      </c>
      <c r="F387" s="1566">
        <v>4496</v>
      </c>
      <c r="G387" s="1566">
        <v>4496</v>
      </c>
      <c r="H387" s="1567">
        <v>43376</v>
      </c>
      <c r="I387" s="1567">
        <v>46238</v>
      </c>
      <c r="J387" s="1567">
        <v>46238</v>
      </c>
      <c r="K387" s="1568" t="str">
        <f t="shared" si="5"/>
        <v>No</v>
      </c>
      <c r="L387" s="1565"/>
    </row>
    <row r="388" spans="1:12" ht="20.100000000000001" customHeight="1">
      <c r="A388" s="1568" t="s">
        <v>3097</v>
      </c>
      <c r="B388" s="1567">
        <v>42586</v>
      </c>
      <c r="C388" s="1568" t="s">
        <v>3308</v>
      </c>
      <c r="D388" s="1568" t="s">
        <v>2961</v>
      </c>
      <c r="E388" s="1567">
        <v>43374</v>
      </c>
      <c r="F388" s="1566">
        <v>4496</v>
      </c>
      <c r="G388" s="1566">
        <v>4496</v>
      </c>
      <c r="H388" s="1567">
        <v>43376</v>
      </c>
      <c r="I388" s="1567">
        <v>46238</v>
      </c>
      <c r="J388" s="1567">
        <v>46238</v>
      </c>
      <c r="K388" s="1568" t="str">
        <f t="shared" si="5"/>
        <v>No</v>
      </c>
      <c r="L388" s="1565"/>
    </row>
    <row r="389" spans="1:12" ht="20.100000000000001" customHeight="1">
      <c r="A389" s="1568" t="s">
        <v>3097</v>
      </c>
      <c r="B389" s="1567">
        <v>42586</v>
      </c>
      <c r="C389" s="1568" t="s">
        <v>3308</v>
      </c>
      <c r="D389" s="1568" t="s">
        <v>2961</v>
      </c>
      <c r="E389" s="1567">
        <v>43374</v>
      </c>
      <c r="F389" s="1566">
        <v>0</v>
      </c>
      <c r="G389" s="1566">
        <v>0</v>
      </c>
      <c r="H389" s="1567">
        <v>43447</v>
      </c>
      <c r="I389" s="1567">
        <v>46238</v>
      </c>
      <c r="J389" s="1567">
        <v>46238</v>
      </c>
      <c r="K389" s="1568" t="str">
        <f t="shared" ref="K389:K452" si="6">IF(I389="N/A","No",IF(E389&lt;=I389,"No","Yes"))</f>
        <v>No</v>
      </c>
      <c r="L389" s="1565"/>
    </row>
    <row r="390" spans="1:12" ht="20.100000000000001" customHeight="1">
      <c r="A390" s="1568" t="s">
        <v>3097</v>
      </c>
      <c r="B390" s="1567">
        <v>42586</v>
      </c>
      <c r="C390" s="1568" t="s">
        <v>3308</v>
      </c>
      <c r="D390" s="1568" t="s">
        <v>2961</v>
      </c>
      <c r="E390" s="1567">
        <v>43405</v>
      </c>
      <c r="F390" s="1566">
        <v>4496</v>
      </c>
      <c r="G390" s="1566">
        <v>4496</v>
      </c>
      <c r="H390" s="1567">
        <v>43447</v>
      </c>
      <c r="I390" s="1567">
        <v>46238</v>
      </c>
      <c r="J390" s="1567">
        <v>46238</v>
      </c>
      <c r="K390" s="1568" t="str">
        <f t="shared" si="6"/>
        <v>No</v>
      </c>
      <c r="L390" s="1565"/>
    </row>
    <row r="391" spans="1:12" ht="20.100000000000001" customHeight="1">
      <c r="A391" s="1568" t="s">
        <v>3097</v>
      </c>
      <c r="B391" s="1567">
        <v>42586</v>
      </c>
      <c r="C391" s="1568" t="s">
        <v>3308</v>
      </c>
      <c r="D391" s="1568" t="s">
        <v>2961</v>
      </c>
      <c r="E391" s="1567">
        <v>43435</v>
      </c>
      <c r="F391" s="1566">
        <v>4496</v>
      </c>
      <c r="G391" s="1566">
        <v>4496</v>
      </c>
      <c r="H391" s="1567">
        <v>43447</v>
      </c>
      <c r="I391" s="1567">
        <v>46238</v>
      </c>
      <c r="J391" s="1567">
        <v>46238</v>
      </c>
      <c r="K391" s="1568" t="str">
        <f t="shared" si="6"/>
        <v>No</v>
      </c>
      <c r="L391" s="1565"/>
    </row>
    <row r="392" spans="1:12" ht="20.100000000000001" customHeight="1">
      <c r="A392" s="1568" t="s">
        <v>3097</v>
      </c>
      <c r="B392" s="1567">
        <v>42586</v>
      </c>
      <c r="C392" s="1568" t="s">
        <v>3308</v>
      </c>
      <c r="D392" s="1568" t="s">
        <v>2961</v>
      </c>
      <c r="E392" s="1567">
        <v>43435</v>
      </c>
      <c r="F392" s="1566">
        <v>0</v>
      </c>
      <c r="G392" s="1566">
        <v>0</v>
      </c>
      <c r="H392" s="1567"/>
      <c r="I392" s="1567">
        <v>46238</v>
      </c>
      <c r="J392" s="1567">
        <v>46238</v>
      </c>
      <c r="K392" s="1568" t="str">
        <f t="shared" si="6"/>
        <v>No</v>
      </c>
      <c r="L392" s="1565"/>
    </row>
    <row r="393" spans="1:12" ht="20.100000000000001" customHeight="1">
      <c r="A393" s="1568" t="s">
        <v>3097</v>
      </c>
      <c r="B393" s="1567">
        <v>42586</v>
      </c>
      <c r="C393" s="1568" t="s">
        <v>3308</v>
      </c>
      <c r="D393" s="1568" t="s">
        <v>2961</v>
      </c>
      <c r="E393" s="1567">
        <v>43466</v>
      </c>
      <c r="F393" s="1566">
        <v>4496</v>
      </c>
      <c r="G393" s="1566">
        <v>0</v>
      </c>
      <c r="H393" s="1567"/>
      <c r="I393" s="1567">
        <v>46238</v>
      </c>
      <c r="J393" s="1567">
        <v>46238</v>
      </c>
      <c r="K393" s="1568" t="str">
        <f t="shared" si="6"/>
        <v>No</v>
      </c>
      <c r="L393" s="1565"/>
    </row>
    <row r="394" spans="1:12" ht="20.100000000000001" customHeight="1">
      <c r="A394" s="1568" t="s">
        <v>3097</v>
      </c>
      <c r="B394" s="1567">
        <v>42586</v>
      </c>
      <c r="C394" s="1568" t="s">
        <v>3308</v>
      </c>
      <c r="D394" s="1568" t="s">
        <v>2961</v>
      </c>
      <c r="E394" s="1567">
        <v>43497</v>
      </c>
      <c r="F394" s="1566">
        <v>4496</v>
      </c>
      <c r="G394" s="1566">
        <v>0</v>
      </c>
      <c r="H394" s="1567"/>
      <c r="I394" s="1567">
        <v>46238</v>
      </c>
      <c r="J394" s="1567">
        <v>46238</v>
      </c>
      <c r="K394" s="1568" t="str">
        <f t="shared" si="6"/>
        <v>No</v>
      </c>
      <c r="L394" s="1565"/>
    </row>
    <row r="395" spans="1:12" ht="20.100000000000001" customHeight="1">
      <c r="A395" s="1568" t="s">
        <v>3097</v>
      </c>
      <c r="B395" s="1567">
        <v>42586</v>
      </c>
      <c r="C395" s="1568" t="s">
        <v>3308</v>
      </c>
      <c r="D395" s="1568" t="s">
        <v>2961</v>
      </c>
      <c r="E395" s="1567">
        <v>43525</v>
      </c>
      <c r="F395" s="1566">
        <v>4496</v>
      </c>
      <c r="G395" s="1566">
        <v>0</v>
      </c>
      <c r="H395" s="1567"/>
      <c r="I395" s="1567">
        <v>46238</v>
      </c>
      <c r="J395" s="1567">
        <v>46238</v>
      </c>
      <c r="K395" s="1568" t="str">
        <f t="shared" si="6"/>
        <v>No</v>
      </c>
      <c r="L395" s="1565"/>
    </row>
    <row r="396" spans="1:12" ht="20.100000000000001" customHeight="1">
      <c r="A396" s="1568" t="s">
        <v>3097</v>
      </c>
      <c r="B396" s="1567">
        <v>42586</v>
      </c>
      <c r="C396" s="1568" t="s">
        <v>3308</v>
      </c>
      <c r="D396" s="1568" t="s">
        <v>2961</v>
      </c>
      <c r="E396" s="1567">
        <v>43556</v>
      </c>
      <c r="F396" s="1566">
        <v>4496</v>
      </c>
      <c r="G396" s="1566">
        <v>0</v>
      </c>
      <c r="H396" s="1567"/>
      <c r="I396" s="1567">
        <v>46238</v>
      </c>
      <c r="J396" s="1567">
        <v>46238</v>
      </c>
      <c r="K396" s="1568" t="str">
        <f t="shared" si="6"/>
        <v>No</v>
      </c>
      <c r="L396" s="1565"/>
    </row>
    <row r="397" spans="1:12" ht="20.100000000000001" customHeight="1">
      <c r="A397" s="1568" t="s">
        <v>3097</v>
      </c>
      <c r="B397" s="1567">
        <v>42586</v>
      </c>
      <c r="C397" s="1568" t="s">
        <v>3308</v>
      </c>
      <c r="D397" s="1568" t="s">
        <v>2961</v>
      </c>
      <c r="E397" s="1567">
        <v>43586</v>
      </c>
      <c r="F397" s="1566">
        <v>4496</v>
      </c>
      <c r="G397" s="1566">
        <v>0</v>
      </c>
      <c r="H397" s="1567"/>
      <c r="I397" s="1567">
        <v>46238</v>
      </c>
      <c r="J397" s="1567">
        <v>46238</v>
      </c>
      <c r="K397" s="1568" t="str">
        <f t="shared" si="6"/>
        <v>No</v>
      </c>
      <c r="L397" s="1565"/>
    </row>
    <row r="398" spans="1:12" ht="20.100000000000001" customHeight="1">
      <c r="A398" s="1568" t="s">
        <v>3095</v>
      </c>
      <c r="B398" s="1567">
        <v>42586</v>
      </c>
      <c r="C398" s="1568" t="s">
        <v>3308</v>
      </c>
      <c r="D398" s="1568" t="s">
        <v>3002</v>
      </c>
      <c r="E398" s="1567">
        <v>42586</v>
      </c>
      <c r="F398" s="1566">
        <v>36240</v>
      </c>
      <c r="G398" s="1566">
        <v>36240</v>
      </c>
      <c r="H398" s="1567">
        <v>42783</v>
      </c>
      <c r="I398" s="1567">
        <v>43032</v>
      </c>
      <c r="J398" s="1567">
        <v>43122</v>
      </c>
      <c r="K398" s="1568" t="str">
        <f t="shared" si="6"/>
        <v>No</v>
      </c>
      <c r="L398" s="1565"/>
    </row>
    <row r="399" spans="1:12" ht="20.100000000000001" customHeight="1">
      <c r="A399" s="1568" t="s">
        <v>3095</v>
      </c>
      <c r="B399" s="1567">
        <v>42586</v>
      </c>
      <c r="C399" s="1568" t="s">
        <v>3308</v>
      </c>
      <c r="D399" s="1568" t="s">
        <v>3002</v>
      </c>
      <c r="E399" s="1567">
        <v>42586</v>
      </c>
      <c r="F399" s="1566">
        <v>4352</v>
      </c>
      <c r="G399" s="1566">
        <v>4352</v>
      </c>
      <c r="H399" s="1567">
        <v>42783</v>
      </c>
      <c r="I399" s="1567">
        <v>43032</v>
      </c>
      <c r="J399" s="1567">
        <v>43122</v>
      </c>
      <c r="K399" s="1568" t="str">
        <f t="shared" si="6"/>
        <v>No</v>
      </c>
      <c r="L399" s="1565"/>
    </row>
    <row r="400" spans="1:12" ht="20.100000000000001" customHeight="1">
      <c r="A400" s="1568" t="s">
        <v>3095</v>
      </c>
      <c r="B400" s="1567">
        <v>42586</v>
      </c>
      <c r="C400" s="1568" t="s">
        <v>3308</v>
      </c>
      <c r="D400" s="1568" t="s">
        <v>3002</v>
      </c>
      <c r="E400" s="1567">
        <v>42586</v>
      </c>
      <c r="F400" s="1566">
        <v>4352</v>
      </c>
      <c r="G400" s="1566">
        <v>4352</v>
      </c>
      <c r="H400" s="1567">
        <v>42783</v>
      </c>
      <c r="I400" s="1567">
        <v>43032</v>
      </c>
      <c r="J400" s="1567">
        <v>43122</v>
      </c>
      <c r="K400" s="1568" t="str">
        <f t="shared" si="6"/>
        <v>No</v>
      </c>
      <c r="L400" s="1565"/>
    </row>
    <row r="401" spans="1:12" ht="20.100000000000001" customHeight="1">
      <c r="A401" s="1568" t="s">
        <v>3095</v>
      </c>
      <c r="B401" s="1567">
        <v>42586</v>
      </c>
      <c r="C401" s="1568" t="s">
        <v>3308</v>
      </c>
      <c r="D401" s="1568" t="s">
        <v>3002</v>
      </c>
      <c r="E401" s="1567">
        <v>42586</v>
      </c>
      <c r="F401" s="1566">
        <v>4344</v>
      </c>
      <c r="G401" s="1566">
        <v>4344</v>
      </c>
      <c r="H401" s="1567">
        <v>42783</v>
      </c>
      <c r="I401" s="1567">
        <v>43032</v>
      </c>
      <c r="J401" s="1567">
        <v>43122</v>
      </c>
      <c r="K401" s="1568" t="str">
        <f t="shared" si="6"/>
        <v>No</v>
      </c>
      <c r="L401" s="1565"/>
    </row>
    <row r="402" spans="1:12" ht="20.100000000000001" customHeight="1">
      <c r="A402" s="1568" t="s">
        <v>3095</v>
      </c>
      <c r="B402" s="1567">
        <v>42586</v>
      </c>
      <c r="C402" s="1568" t="s">
        <v>3308</v>
      </c>
      <c r="D402" s="1568" t="s">
        <v>3002</v>
      </c>
      <c r="E402" s="1567">
        <v>42586</v>
      </c>
      <c r="F402" s="1566">
        <v>4344</v>
      </c>
      <c r="G402" s="1566">
        <v>4344</v>
      </c>
      <c r="H402" s="1567">
        <v>42783</v>
      </c>
      <c r="I402" s="1567">
        <v>43032</v>
      </c>
      <c r="J402" s="1567">
        <v>43122</v>
      </c>
      <c r="K402" s="1568" t="str">
        <f t="shared" si="6"/>
        <v>No</v>
      </c>
      <c r="L402" s="1565"/>
    </row>
    <row r="403" spans="1:12" ht="20.100000000000001" customHeight="1">
      <c r="A403" s="1568" t="s">
        <v>3095</v>
      </c>
      <c r="B403" s="1567">
        <v>42586</v>
      </c>
      <c r="C403" s="1568" t="s">
        <v>3308</v>
      </c>
      <c r="D403" s="1568" t="s">
        <v>3002</v>
      </c>
      <c r="E403" s="1567">
        <v>42614</v>
      </c>
      <c r="F403" s="1566">
        <v>4352</v>
      </c>
      <c r="G403" s="1566">
        <v>4352</v>
      </c>
      <c r="H403" s="1567">
        <v>42783</v>
      </c>
      <c r="I403" s="1567">
        <v>43032</v>
      </c>
      <c r="J403" s="1567">
        <v>43122</v>
      </c>
      <c r="K403" s="1568" t="str">
        <f t="shared" si="6"/>
        <v>No</v>
      </c>
      <c r="L403" s="1565"/>
    </row>
    <row r="404" spans="1:12" ht="20.100000000000001" customHeight="1">
      <c r="A404" s="1568" t="s">
        <v>3095</v>
      </c>
      <c r="B404" s="1567">
        <v>42586</v>
      </c>
      <c r="C404" s="1568" t="s">
        <v>3308</v>
      </c>
      <c r="D404" s="1568" t="s">
        <v>3002</v>
      </c>
      <c r="E404" s="1567">
        <v>42644</v>
      </c>
      <c r="F404" s="1566">
        <v>4344</v>
      </c>
      <c r="G404" s="1566">
        <v>4344</v>
      </c>
      <c r="H404" s="1567">
        <v>42783</v>
      </c>
      <c r="I404" s="1567">
        <v>43032</v>
      </c>
      <c r="J404" s="1567">
        <v>43122</v>
      </c>
      <c r="K404" s="1568" t="str">
        <f t="shared" si="6"/>
        <v>No</v>
      </c>
      <c r="L404" s="1565"/>
    </row>
    <row r="405" spans="1:12" ht="20.100000000000001" customHeight="1">
      <c r="A405" s="1568" t="s">
        <v>3095</v>
      </c>
      <c r="B405" s="1567">
        <v>42586</v>
      </c>
      <c r="C405" s="1568" t="s">
        <v>3308</v>
      </c>
      <c r="D405" s="1568" t="s">
        <v>3002</v>
      </c>
      <c r="E405" s="1567">
        <v>42675</v>
      </c>
      <c r="F405" s="1566">
        <v>4344</v>
      </c>
      <c r="G405" s="1566">
        <v>4344</v>
      </c>
      <c r="H405" s="1567">
        <v>42783</v>
      </c>
      <c r="I405" s="1567">
        <v>43032</v>
      </c>
      <c r="J405" s="1567">
        <v>43122</v>
      </c>
      <c r="K405" s="1568" t="str">
        <f t="shared" si="6"/>
        <v>No</v>
      </c>
      <c r="L405" s="1565"/>
    </row>
    <row r="406" spans="1:12" ht="20.100000000000001" customHeight="1">
      <c r="A406" s="1568" t="s">
        <v>3095</v>
      </c>
      <c r="B406" s="1567">
        <v>42586</v>
      </c>
      <c r="C406" s="1568" t="s">
        <v>3308</v>
      </c>
      <c r="D406" s="1568" t="s">
        <v>3002</v>
      </c>
      <c r="E406" s="1567">
        <v>42705</v>
      </c>
      <c r="F406" s="1566">
        <v>4352</v>
      </c>
      <c r="G406" s="1566">
        <v>4352</v>
      </c>
      <c r="H406" s="1567">
        <v>42783</v>
      </c>
      <c r="I406" s="1567">
        <v>43032</v>
      </c>
      <c r="J406" s="1567">
        <v>43122</v>
      </c>
      <c r="K406" s="1568" t="str">
        <f t="shared" si="6"/>
        <v>No</v>
      </c>
      <c r="L406" s="1565"/>
    </row>
    <row r="407" spans="1:12" ht="20.100000000000001" customHeight="1">
      <c r="A407" s="1568" t="s">
        <v>3095</v>
      </c>
      <c r="B407" s="1567">
        <v>42586</v>
      </c>
      <c r="C407" s="1568" t="s">
        <v>3308</v>
      </c>
      <c r="D407" s="1568" t="s">
        <v>3002</v>
      </c>
      <c r="E407" s="1567">
        <v>42736</v>
      </c>
      <c r="F407" s="1566">
        <v>4344</v>
      </c>
      <c r="G407" s="1566">
        <v>4344</v>
      </c>
      <c r="H407" s="1567">
        <v>42783</v>
      </c>
      <c r="I407" s="1567">
        <v>43032</v>
      </c>
      <c r="J407" s="1567">
        <v>43122</v>
      </c>
      <c r="K407" s="1568" t="str">
        <f t="shared" si="6"/>
        <v>No</v>
      </c>
      <c r="L407" s="1565"/>
    </row>
    <row r="408" spans="1:12" ht="20.100000000000001" customHeight="1">
      <c r="A408" s="1568" t="s">
        <v>3095</v>
      </c>
      <c r="B408" s="1567">
        <v>42586</v>
      </c>
      <c r="C408" s="1568" t="s">
        <v>3308</v>
      </c>
      <c r="D408" s="1568" t="s">
        <v>3002</v>
      </c>
      <c r="E408" s="1567">
        <v>42767</v>
      </c>
      <c r="F408" s="1566">
        <v>4344</v>
      </c>
      <c r="G408" s="1566">
        <v>4344</v>
      </c>
      <c r="H408" s="1567">
        <v>42783</v>
      </c>
      <c r="I408" s="1567">
        <v>43032</v>
      </c>
      <c r="J408" s="1567">
        <v>43122</v>
      </c>
      <c r="K408" s="1568" t="str">
        <f t="shared" si="6"/>
        <v>No</v>
      </c>
      <c r="L408" s="1565"/>
    </row>
    <row r="409" spans="1:12" ht="20.100000000000001" customHeight="1">
      <c r="A409" s="1568" t="s">
        <v>3095</v>
      </c>
      <c r="B409" s="1567">
        <v>42586</v>
      </c>
      <c r="C409" s="1568" t="s">
        <v>3308</v>
      </c>
      <c r="D409" s="1568" t="s">
        <v>3002</v>
      </c>
      <c r="E409" s="1567">
        <v>42767</v>
      </c>
      <c r="F409" s="1566">
        <v>0</v>
      </c>
      <c r="G409" s="1566">
        <v>0</v>
      </c>
      <c r="H409" s="1567">
        <v>42871</v>
      </c>
      <c r="I409" s="1567">
        <v>43032</v>
      </c>
      <c r="J409" s="1567">
        <v>43122</v>
      </c>
      <c r="K409" s="1568" t="str">
        <f t="shared" si="6"/>
        <v>No</v>
      </c>
      <c r="L409" s="1565"/>
    </row>
    <row r="410" spans="1:12" ht="20.100000000000001" customHeight="1">
      <c r="A410" s="1568" t="s">
        <v>3095</v>
      </c>
      <c r="B410" s="1567">
        <v>42586</v>
      </c>
      <c r="C410" s="1568" t="s">
        <v>3308</v>
      </c>
      <c r="D410" s="1568" t="s">
        <v>3002</v>
      </c>
      <c r="E410" s="1567">
        <v>42795</v>
      </c>
      <c r="F410" s="1566">
        <v>4352</v>
      </c>
      <c r="G410" s="1566">
        <v>4352</v>
      </c>
      <c r="H410" s="1567">
        <v>42871</v>
      </c>
      <c r="I410" s="1567">
        <v>43032</v>
      </c>
      <c r="J410" s="1567">
        <v>43122</v>
      </c>
      <c r="K410" s="1568" t="str">
        <f t="shared" si="6"/>
        <v>No</v>
      </c>
      <c r="L410" s="1565"/>
    </row>
    <row r="411" spans="1:12" ht="20.100000000000001" customHeight="1">
      <c r="A411" s="1568" t="s">
        <v>3095</v>
      </c>
      <c r="B411" s="1567">
        <v>42586</v>
      </c>
      <c r="C411" s="1568" t="s">
        <v>3308</v>
      </c>
      <c r="D411" s="1568" t="s">
        <v>3002</v>
      </c>
      <c r="E411" s="1567">
        <v>42826</v>
      </c>
      <c r="F411" s="1566">
        <v>4344</v>
      </c>
      <c r="G411" s="1566">
        <v>4344</v>
      </c>
      <c r="H411" s="1567">
        <v>42871</v>
      </c>
      <c r="I411" s="1567">
        <v>43032</v>
      </c>
      <c r="J411" s="1567">
        <v>43122</v>
      </c>
      <c r="K411" s="1568" t="str">
        <f t="shared" si="6"/>
        <v>No</v>
      </c>
      <c r="L411" s="1565"/>
    </row>
    <row r="412" spans="1:12" ht="20.100000000000001" customHeight="1">
      <c r="A412" s="1568" t="s">
        <v>3095</v>
      </c>
      <c r="B412" s="1567">
        <v>42586</v>
      </c>
      <c r="C412" s="1568" t="s">
        <v>3308</v>
      </c>
      <c r="D412" s="1568" t="s">
        <v>3002</v>
      </c>
      <c r="E412" s="1567">
        <v>42856</v>
      </c>
      <c r="F412" s="1566">
        <v>4344</v>
      </c>
      <c r="G412" s="1566">
        <v>4344</v>
      </c>
      <c r="H412" s="1567">
        <v>42871</v>
      </c>
      <c r="I412" s="1567">
        <v>43032</v>
      </c>
      <c r="J412" s="1567">
        <v>43122</v>
      </c>
      <c r="K412" s="1568" t="str">
        <f t="shared" si="6"/>
        <v>No</v>
      </c>
      <c r="L412" s="1565"/>
    </row>
    <row r="413" spans="1:12" ht="20.100000000000001" customHeight="1">
      <c r="A413" s="1568" t="s">
        <v>3095</v>
      </c>
      <c r="B413" s="1567">
        <v>42586</v>
      </c>
      <c r="C413" s="1568" t="s">
        <v>3308</v>
      </c>
      <c r="D413" s="1568" t="s">
        <v>3002</v>
      </c>
      <c r="E413" s="1567">
        <v>42856</v>
      </c>
      <c r="F413" s="1566">
        <v>0</v>
      </c>
      <c r="G413" s="1566">
        <v>0</v>
      </c>
      <c r="H413" s="1567">
        <v>43020</v>
      </c>
      <c r="I413" s="1567">
        <v>43032</v>
      </c>
      <c r="J413" s="1567">
        <v>43122</v>
      </c>
      <c r="K413" s="1568" t="str">
        <f t="shared" si="6"/>
        <v>No</v>
      </c>
      <c r="L413" s="1565"/>
    </row>
    <row r="414" spans="1:12" ht="20.100000000000001" customHeight="1">
      <c r="A414" s="1568" t="s">
        <v>3095</v>
      </c>
      <c r="B414" s="1567">
        <v>42586</v>
      </c>
      <c r="C414" s="1568" t="s">
        <v>3308</v>
      </c>
      <c r="D414" s="1568" t="s">
        <v>3002</v>
      </c>
      <c r="E414" s="1567">
        <v>42887</v>
      </c>
      <c r="F414" s="1566">
        <v>4352</v>
      </c>
      <c r="G414" s="1566">
        <v>4352</v>
      </c>
      <c r="H414" s="1567">
        <v>43020</v>
      </c>
      <c r="I414" s="1567">
        <v>43032</v>
      </c>
      <c r="J414" s="1567">
        <v>43122</v>
      </c>
      <c r="K414" s="1568" t="str">
        <f t="shared" si="6"/>
        <v>No</v>
      </c>
      <c r="L414" s="1565"/>
    </row>
    <row r="415" spans="1:12" ht="20.100000000000001" customHeight="1">
      <c r="A415" s="1568" t="s">
        <v>3095</v>
      </c>
      <c r="B415" s="1567">
        <v>42586</v>
      </c>
      <c r="C415" s="1568" t="s">
        <v>3308</v>
      </c>
      <c r="D415" s="1568" t="s">
        <v>3002</v>
      </c>
      <c r="E415" s="1567">
        <v>42917</v>
      </c>
      <c r="F415" s="1566">
        <v>4344</v>
      </c>
      <c r="G415" s="1566">
        <v>4344</v>
      </c>
      <c r="H415" s="1567">
        <v>43020</v>
      </c>
      <c r="I415" s="1567">
        <v>43032</v>
      </c>
      <c r="J415" s="1567">
        <v>43122</v>
      </c>
      <c r="K415" s="1568" t="str">
        <f t="shared" si="6"/>
        <v>No</v>
      </c>
      <c r="L415" s="1565"/>
    </row>
    <row r="416" spans="1:12" ht="20.100000000000001" customHeight="1">
      <c r="A416" s="1568" t="s">
        <v>3095</v>
      </c>
      <c r="B416" s="1567">
        <v>42586</v>
      </c>
      <c r="C416" s="1568" t="s">
        <v>3308</v>
      </c>
      <c r="D416" s="1568" t="s">
        <v>3002</v>
      </c>
      <c r="E416" s="1567">
        <v>42948</v>
      </c>
      <c r="F416" s="1566">
        <v>4344</v>
      </c>
      <c r="G416" s="1566">
        <v>4344</v>
      </c>
      <c r="H416" s="1567">
        <v>43020</v>
      </c>
      <c r="I416" s="1567">
        <v>43032</v>
      </c>
      <c r="J416" s="1567">
        <v>43122</v>
      </c>
      <c r="K416" s="1568" t="str">
        <f t="shared" si="6"/>
        <v>No</v>
      </c>
      <c r="L416" s="1565"/>
    </row>
    <row r="417" spans="1:12" ht="20.100000000000001" customHeight="1">
      <c r="A417" s="1568" t="s">
        <v>3095</v>
      </c>
      <c r="B417" s="1567">
        <v>42586</v>
      </c>
      <c r="C417" s="1568" t="s">
        <v>3308</v>
      </c>
      <c r="D417" s="1568" t="s">
        <v>3002</v>
      </c>
      <c r="E417" s="1567">
        <v>42979</v>
      </c>
      <c r="F417" s="1566">
        <v>4352</v>
      </c>
      <c r="G417" s="1566">
        <v>4352</v>
      </c>
      <c r="H417" s="1567">
        <v>43020</v>
      </c>
      <c r="I417" s="1567">
        <v>43032</v>
      </c>
      <c r="J417" s="1567">
        <v>43122</v>
      </c>
      <c r="K417" s="1568" t="str">
        <f t="shared" si="6"/>
        <v>No</v>
      </c>
      <c r="L417" s="1565"/>
    </row>
    <row r="418" spans="1:12" ht="20.100000000000001" customHeight="1">
      <c r="A418" s="1568" t="s">
        <v>3095</v>
      </c>
      <c r="B418" s="1567">
        <v>42586</v>
      </c>
      <c r="C418" s="1568" t="s">
        <v>3308</v>
      </c>
      <c r="D418" s="1568" t="s">
        <v>3002</v>
      </c>
      <c r="E418" s="1567">
        <v>43009</v>
      </c>
      <c r="F418" s="1566">
        <v>4344</v>
      </c>
      <c r="G418" s="1566">
        <v>4344</v>
      </c>
      <c r="H418" s="1567">
        <v>43020</v>
      </c>
      <c r="I418" s="1567">
        <v>43032</v>
      </c>
      <c r="J418" s="1567">
        <v>43122</v>
      </c>
      <c r="K418" s="1568" t="str">
        <f t="shared" si="6"/>
        <v>No</v>
      </c>
      <c r="L418" s="1565"/>
    </row>
    <row r="419" spans="1:12" ht="20.100000000000001" customHeight="1">
      <c r="A419" s="1568" t="s">
        <v>3095</v>
      </c>
      <c r="B419" s="1567">
        <v>42586</v>
      </c>
      <c r="C419" s="1568" t="s">
        <v>3308</v>
      </c>
      <c r="D419" s="1568" t="s">
        <v>3002</v>
      </c>
      <c r="E419" s="1567">
        <v>43009</v>
      </c>
      <c r="F419" s="1566">
        <v>0</v>
      </c>
      <c r="G419" s="1566">
        <v>0</v>
      </c>
      <c r="H419" s="1567">
        <v>43067</v>
      </c>
      <c r="I419" s="1567">
        <v>43032</v>
      </c>
      <c r="J419" s="1567">
        <v>43122</v>
      </c>
      <c r="K419" s="1568" t="str">
        <f t="shared" si="6"/>
        <v>No</v>
      </c>
      <c r="L419" s="1565"/>
    </row>
    <row r="420" spans="1:12" ht="20.100000000000001" customHeight="1">
      <c r="A420" s="1568" t="s">
        <v>3095</v>
      </c>
      <c r="B420" s="1567">
        <v>42586</v>
      </c>
      <c r="C420" s="1568" t="s">
        <v>3308</v>
      </c>
      <c r="D420" s="1568" t="s">
        <v>3002</v>
      </c>
      <c r="E420" s="1567">
        <v>43032</v>
      </c>
      <c r="F420" s="1566">
        <v>30432</v>
      </c>
      <c r="G420" s="1566">
        <v>30432</v>
      </c>
      <c r="H420" s="1567">
        <v>43067</v>
      </c>
      <c r="I420" s="1567">
        <v>43032</v>
      </c>
      <c r="J420" s="1567">
        <v>43122</v>
      </c>
      <c r="K420" s="1568" t="str">
        <f t="shared" si="6"/>
        <v>No</v>
      </c>
      <c r="L420" s="1565"/>
    </row>
    <row r="421" spans="1:12" ht="20.100000000000001" customHeight="1">
      <c r="A421" s="1568" t="s">
        <v>3095</v>
      </c>
      <c r="B421" s="1567">
        <v>42586</v>
      </c>
      <c r="C421" s="1568" t="s">
        <v>3308</v>
      </c>
      <c r="D421" s="1568" t="s">
        <v>3002</v>
      </c>
      <c r="E421" s="1567">
        <v>43032</v>
      </c>
      <c r="F421" s="1566">
        <v>0</v>
      </c>
      <c r="G421" s="1566">
        <v>0</v>
      </c>
      <c r="H421" s="1567"/>
      <c r="I421" s="1567">
        <v>43032</v>
      </c>
      <c r="J421" s="1567">
        <v>43122</v>
      </c>
      <c r="K421" s="1568" t="str">
        <f t="shared" si="6"/>
        <v>No</v>
      </c>
      <c r="L421" s="1565"/>
    </row>
    <row r="422" spans="1:12" ht="20.100000000000001" customHeight="1">
      <c r="A422" s="1568" t="s">
        <v>3093</v>
      </c>
      <c r="B422" s="1567">
        <v>42586</v>
      </c>
      <c r="C422" s="1568" t="s">
        <v>3308</v>
      </c>
      <c r="D422" s="1568" t="s">
        <v>2986</v>
      </c>
      <c r="E422" s="1567">
        <v>42586</v>
      </c>
      <c r="F422" s="1566">
        <v>21552</v>
      </c>
      <c r="G422" s="1566">
        <v>21552</v>
      </c>
      <c r="H422" s="1567">
        <v>42783</v>
      </c>
      <c r="I422" s="1567">
        <v>42872</v>
      </c>
      <c r="J422" s="1567">
        <v>42962</v>
      </c>
      <c r="K422" s="1568" t="str">
        <f t="shared" si="6"/>
        <v>No</v>
      </c>
      <c r="L422" s="1565"/>
    </row>
    <row r="423" spans="1:12" ht="20.100000000000001" customHeight="1">
      <c r="A423" s="1568" t="s">
        <v>3093</v>
      </c>
      <c r="B423" s="1567">
        <v>42586</v>
      </c>
      <c r="C423" s="1568" t="s">
        <v>3308</v>
      </c>
      <c r="D423" s="1568" t="s">
        <v>2986</v>
      </c>
      <c r="E423" s="1567">
        <v>42586</v>
      </c>
      <c r="F423" s="1566">
        <v>2992</v>
      </c>
      <c r="G423" s="1566">
        <v>2992</v>
      </c>
      <c r="H423" s="1567">
        <v>42783</v>
      </c>
      <c r="I423" s="1567">
        <v>42872</v>
      </c>
      <c r="J423" s="1567">
        <v>42962</v>
      </c>
      <c r="K423" s="1568" t="str">
        <f t="shared" si="6"/>
        <v>No</v>
      </c>
      <c r="L423" s="1565"/>
    </row>
    <row r="424" spans="1:12" ht="20.100000000000001" customHeight="1">
      <c r="A424" s="1568" t="s">
        <v>3093</v>
      </c>
      <c r="B424" s="1567">
        <v>42586</v>
      </c>
      <c r="C424" s="1568" t="s">
        <v>3308</v>
      </c>
      <c r="D424" s="1568" t="s">
        <v>2986</v>
      </c>
      <c r="E424" s="1567">
        <v>42586</v>
      </c>
      <c r="F424" s="1566">
        <v>1496</v>
      </c>
      <c r="G424" s="1566">
        <v>1496</v>
      </c>
      <c r="H424" s="1567">
        <v>42783</v>
      </c>
      <c r="I424" s="1567">
        <v>42872</v>
      </c>
      <c r="J424" s="1567">
        <v>42962</v>
      </c>
      <c r="K424" s="1568" t="str">
        <f t="shared" si="6"/>
        <v>No</v>
      </c>
      <c r="L424" s="1565"/>
    </row>
    <row r="425" spans="1:12" ht="20.100000000000001" customHeight="1">
      <c r="A425" s="1568" t="s">
        <v>3093</v>
      </c>
      <c r="B425" s="1567">
        <v>42586</v>
      </c>
      <c r="C425" s="1568" t="s">
        <v>3308</v>
      </c>
      <c r="D425" s="1568" t="s">
        <v>2986</v>
      </c>
      <c r="E425" s="1567">
        <v>42586</v>
      </c>
      <c r="F425" s="1566">
        <v>1496</v>
      </c>
      <c r="G425" s="1566">
        <v>1496</v>
      </c>
      <c r="H425" s="1567">
        <v>42783</v>
      </c>
      <c r="I425" s="1567">
        <v>42872</v>
      </c>
      <c r="J425" s="1567">
        <v>42962</v>
      </c>
      <c r="K425" s="1568" t="str">
        <f t="shared" si="6"/>
        <v>No</v>
      </c>
      <c r="L425" s="1565"/>
    </row>
    <row r="426" spans="1:12" ht="20.100000000000001" customHeight="1">
      <c r="A426" s="1568" t="s">
        <v>3093</v>
      </c>
      <c r="B426" s="1567">
        <v>42586</v>
      </c>
      <c r="C426" s="1568" t="s">
        <v>3308</v>
      </c>
      <c r="D426" s="1568" t="s">
        <v>2986</v>
      </c>
      <c r="E426" s="1567">
        <v>42586</v>
      </c>
      <c r="F426" s="1566">
        <v>22440</v>
      </c>
      <c r="G426" s="1566">
        <v>22440</v>
      </c>
      <c r="H426" s="1567">
        <v>42872</v>
      </c>
      <c r="I426" s="1567">
        <v>42872</v>
      </c>
      <c r="J426" s="1567">
        <v>42962</v>
      </c>
      <c r="K426" s="1568" t="str">
        <f t="shared" si="6"/>
        <v>No</v>
      </c>
      <c r="L426" s="1565"/>
    </row>
    <row r="427" spans="1:12" ht="20.100000000000001" customHeight="1">
      <c r="A427" s="1568" t="s">
        <v>3093</v>
      </c>
      <c r="B427" s="1567">
        <v>42586</v>
      </c>
      <c r="C427" s="1568" t="s">
        <v>3308</v>
      </c>
      <c r="D427" s="1568" t="s">
        <v>2986</v>
      </c>
      <c r="E427" s="1567">
        <v>42586</v>
      </c>
      <c r="F427" s="1566">
        <v>0</v>
      </c>
      <c r="G427" s="1566">
        <v>0</v>
      </c>
      <c r="H427" s="1567"/>
      <c r="I427" s="1567">
        <v>42872</v>
      </c>
      <c r="J427" s="1567">
        <v>42962</v>
      </c>
      <c r="K427" s="1568" t="str">
        <f t="shared" si="6"/>
        <v>No</v>
      </c>
      <c r="L427" s="1565"/>
    </row>
    <row r="428" spans="1:12" ht="20.100000000000001" customHeight="1">
      <c r="A428" s="1568" t="s">
        <v>3092</v>
      </c>
      <c r="B428" s="1567">
        <v>42586</v>
      </c>
      <c r="C428" s="1568" t="s">
        <v>3308</v>
      </c>
      <c r="D428" s="1568" t="s">
        <v>2999</v>
      </c>
      <c r="E428" s="1567">
        <v>42586</v>
      </c>
      <c r="F428" s="1566">
        <v>42504</v>
      </c>
      <c r="G428" s="1566">
        <v>42504</v>
      </c>
      <c r="H428" s="1567">
        <v>42783</v>
      </c>
      <c r="I428" s="1567">
        <v>46238</v>
      </c>
      <c r="J428" s="1567">
        <v>46238</v>
      </c>
      <c r="K428" s="1568" t="str">
        <f t="shared" si="6"/>
        <v>No</v>
      </c>
      <c r="L428" s="1565"/>
    </row>
    <row r="429" spans="1:12" ht="20.100000000000001" customHeight="1">
      <c r="A429" s="1568" t="s">
        <v>3092</v>
      </c>
      <c r="B429" s="1567">
        <v>42586</v>
      </c>
      <c r="C429" s="1568" t="s">
        <v>3308</v>
      </c>
      <c r="D429" s="1568" t="s">
        <v>2999</v>
      </c>
      <c r="E429" s="1567">
        <v>42586</v>
      </c>
      <c r="F429" s="1566">
        <v>5096</v>
      </c>
      <c r="G429" s="1566">
        <v>5096</v>
      </c>
      <c r="H429" s="1567">
        <v>42783</v>
      </c>
      <c r="I429" s="1567">
        <v>46238</v>
      </c>
      <c r="J429" s="1567">
        <v>46238</v>
      </c>
      <c r="K429" s="1568" t="str">
        <f t="shared" si="6"/>
        <v>No</v>
      </c>
      <c r="L429" s="1565"/>
    </row>
    <row r="430" spans="1:12" ht="20.100000000000001" customHeight="1">
      <c r="A430" s="1568" t="s">
        <v>3092</v>
      </c>
      <c r="B430" s="1567">
        <v>42586</v>
      </c>
      <c r="C430" s="1568" t="s">
        <v>3308</v>
      </c>
      <c r="D430" s="1568" t="s">
        <v>2999</v>
      </c>
      <c r="E430" s="1567">
        <v>42586</v>
      </c>
      <c r="F430" s="1566">
        <v>5096</v>
      </c>
      <c r="G430" s="1566">
        <v>5096</v>
      </c>
      <c r="H430" s="1567">
        <v>42783</v>
      </c>
      <c r="I430" s="1567">
        <v>46238</v>
      </c>
      <c r="J430" s="1567">
        <v>46238</v>
      </c>
      <c r="K430" s="1568" t="str">
        <f t="shared" si="6"/>
        <v>No</v>
      </c>
      <c r="L430" s="1565"/>
    </row>
    <row r="431" spans="1:12" ht="20.100000000000001" customHeight="1">
      <c r="A431" s="1568" t="s">
        <v>3092</v>
      </c>
      <c r="B431" s="1567">
        <v>42586</v>
      </c>
      <c r="C431" s="1568" t="s">
        <v>3308</v>
      </c>
      <c r="D431" s="1568" t="s">
        <v>2999</v>
      </c>
      <c r="E431" s="1567">
        <v>42614</v>
      </c>
      <c r="F431" s="1566">
        <v>5096</v>
      </c>
      <c r="G431" s="1566">
        <v>5096</v>
      </c>
      <c r="H431" s="1567">
        <v>42783</v>
      </c>
      <c r="I431" s="1567">
        <v>46238</v>
      </c>
      <c r="J431" s="1567">
        <v>46238</v>
      </c>
      <c r="K431" s="1568" t="str">
        <f t="shared" si="6"/>
        <v>No</v>
      </c>
      <c r="L431" s="1565"/>
    </row>
    <row r="432" spans="1:12" ht="20.100000000000001" customHeight="1">
      <c r="A432" s="1568" t="s">
        <v>3092</v>
      </c>
      <c r="B432" s="1567">
        <v>42586</v>
      </c>
      <c r="C432" s="1568" t="s">
        <v>3308</v>
      </c>
      <c r="D432" s="1568" t="s">
        <v>2999</v>
      </c>
      <c r="E432" s="1567">
        <v>42644</v>
      </c>
      <c r="F432" s="1566">
        <v>5096</v>
      </c>
      <c r="G432" s="1566">
        <v>5096</v>
      </c>
      <c r="H432" s="1567">
        <v>42783</v>
      </c>
      <c r="I432" s="1567">
        <v>46238</v>
      </c>
      <c r="J432" s="1567">
        <v>46238</v>
      </c>
      <c r="K432" s="1568" t="str">
        <f t="shared" si="6"/>
        <v>No</v>
      </c>
      <c r="L432" s="1565"/>
    </row>
    <row r="433" spans="1:12" ht="20.100000000000001" customHeight="1">
      <c r="A433" s="1568" t="s">
        <v>3092</v>
      </c>
      <c r="B433" s="1567">
        <v>42586</v>
      </c>
      <c r="C433" s="1568" t="s">
        <v>3308</v>
      </c>
      <c r="D433" s="1568" t="s">
        <v>2999</v>
      </c>
      <c r="E433" s="1567">
        <v>42675</v>
      </c>
      <c r="F433" s="1566">
        <v>5096</v>
      </c>
      <c r="G433" s="1566">
        <v>5096</v>
      </c>
      <c r="H433" s="1567">
        <v>42783</v>
      </c>
      <c r="I433" s="1567">
        <v>46238</v>
      </c>
      <c r="J433" s="1567">
        <v>46238</v>
      </c>
      <c r="K433" s="1568" t="str">
        <f t="shared" si="6"/>
        <v>No</v>
      </c>
      <c r="L433" s="1565"/>
    </row>
    <row r="434" spans="1:12" ht="20.100000000000001" customHeight="1">
      <c r="A434" s="1568" t="s">
        <v>3092</v>
      </c>
      <c r="B434" s="1567">
        <v>42586</v>
      </c>
      <c r="C434" s="1568" t="s">
        <v>3308</v>
      </c>
      <c r="D434" s="1568" t="s">
        <v>2999</v>
      </c>
      <c r="E434" s="1567">
        <v>42705</v>
      </c>
      <c r="F434" s="1566">
        <v>5096</v>
      </c>
      <c r="G434" s="1566">
        <v>5096</v>
      </c>
      <c r="H434" s="1567">
        <v>42783</v>
      </c>
      <c r="I434" s="1567">
        <v>46238</v>
      </c>
      <c r="J434" s="1567">
        <v>46238</v>
      </c>
      <c r="K434" s="1568" t="str">
        <f t="shared" si="6"/>
        <v>No</v>
      </c>
      <c r="L434" s="1565"/>
    </row>
    <row r="435" spans="1:12" ht="20.100000000000001" customHeight="1">
      <c r="A435" s="1568" t="s">
        <v>3092</v>
      </c>
      <c r="B435" s="1567">
        <v>42586</v>
      </c>
      <c r="C435" s="1568" t="s">
        <v>3308</v>
      </c>
      <c r="D435" s="1568" t="s">
        <v>2999</v>
      </c>
      <c r="E435" s="1567">
        <v>42736</v>
      </c>
      <c r="F435" s="1566">
        <v>5096</v>
      </c>
      <c r="G435" s="1566">
        <v>5096</v>
      </c>
      <c r="H435" s="1567">
        <v>42783</v>
      </c>
      <c r="I435" s="1567">
        <v>46238</v>
      </c>
      <c r="J435" s="1567">
        <v>46238</v>
      </c>
      <c r="K435" s="1568" t="str">
        <f t="shared" si="6"/>
        <v>No</v>
      </c>
      <c r="L435" s="1565"/>
    </row>
    <row r="436" spans="1:12" ht="20.100000000000001" customHeight="1">
      <c r="A436" s="1568" t="s">
        <v>3092</v>
      </c>
      <c r="B436" s="1567">
        <v>42586</v>
      </c>
      <c r="C436" s="1568" t="s">
        <v>3308</v>
      </c>
      <c r="D436" s="1568" t="s">
        <v>2999</v>
      </c>
      <c r="E436" s="1567">
        <v>42767</v>
      </c>
      <c r="F436" s="1566">
        <v>5096</v>
      </c>
      <c r="G436" s="1566">
        <v>5096</v>
      </c>
      <c r="H436" s="1567">
        <v>42783</v>
      </c>
      <c r="I436" s="1567">
        <v>46238</v>
      </c>
      <c r="J436" s="1567">
        <v>46238</v>
      </c>
      <c r="K436" s="1568" t="str">
        <f t="shared" si="6"/>
        <v>No</v>
      </c>
      <c r="L436" s="1565"/>
    </row>
    <row r="437" spans="1:12" ht="20.100000000000001" customHeight="1">
      <c r="A437" s="1568" t="s">
        <v>3092</v>
      </c>
      <c r="B437" s="1567">
        <v>42586</v>
      </c>
      <c r="C437" s="1568" t="s">
        <v>3308</v>
      </c>
      <c r="D437" s="1568" t="s">
        <v>2999</v>
      </c>
      <c r="E437" s="1567">
        <v>42767</v>
      </c>
      <c r="F437" s="1566">
        <v>0</v>
      </c>
      <c r="G437" s="1566">
        <v>0</v>
      </c>
      <c r="H437" s="1567">
        <v>42877</v>
      </c>
      <c r="I437" s="1567">
        <v>46238</v>
      </c>
      <c r="J437" s="1567">
        <v>46238</v>
      </c>
      <c r="K437" s="1568" t="str">
        <f t="shared" si="6"/>
        <v>No</v>
      </c>
      <c r="L437" s="1565"/>
    </row>
    <row r="438" spans="1:12" ht="20.100000000000001" customHeight="1">
      <c r="A438" s="1568" t="s">
        <v>3092</v>
      </c>
      <c r="B438" s="1567">
        <v>42586</v>
      </c>
      <c r="C438" s="1568" t="s">
        <v>3308</v>
      </c>
      <c r="D438" s="1568" t="s">
        <v>2999</v>
      </c>
      <c r="E438" s="1567">
        <v>42795</v>
      </c>
      <c r="F438" s="1566">
        <v>5096</v>
      </c>
      <c r="G438" s="1566">
        <v>5096</v>
      </c>
      <c r="H438" s="1567">
        <v>42877</v>
      </c>
      <c r="I438" s="1567">
        <v>46238</v>
      </c>
      <c r="J438" s="1567">
        <v>46238</v>
      </c>
      <c r="K438" s="1568" t="str">
        <f t="shared" si="6"/>
        <v>No</v>
      </c>
      <c r="L438" s="1565"/>
    </row>
    <row r="439" spans="1:12" ht="20.100000000000001" customHeight="1">
      <c r="A439" s="1568" t="s">
        <v>3092</v>
      </c>
      <c r="B439" s="1567">
        <v>42586</v>
      </c>
      <c r="C439" s="1568" t="s">
        <v>3308</v>
      </c>
      <c r="D439" s="1568" t="s">
        <v>2999</v>
      </c>
      <c r="E439" s="1567">
        <v>42826</v>
      </c>
      <c r="F439" s="1566">
        <v>5096</v>
      </c>
      <c r="G439" s="1566">
        <v>5096</v>
      </c>
      <c r="H439" s="1567">
        <v>42877</v>
      </c>
      <c r="I439" s="1567">
        <v>46238</v>
      </c>
      <c r="J439" s="1567">
        <v>46238</v>
      </c>
      <c r="K439" s="1568" t="str">
        <f t="shared" si="6"/>
        <v>No</v>
      </c>
      <c r="L439" s="1565"/>
    </row>
    <row r="440" spans="1:12" ht="20.100000000000001" customHeight="1">
      <c r="A440" s="1568" t="s">
        <v>3092</v>
      </c>
      <c r="B440" s="1567">
        <v>42586</v>
      </c>
      <c r="C440" s="1568" t="s">
        <v>3308</v>
      </c>
      <c r="D440" s="1568" t="s">
        <v>2999</v>
      </c>
      <c r="E440" s="1567">
        <v>42856</v>
      </c>
      <c r="F440" s="1566">
        <v>5096</v>
      </c>
      <c r="G440" s="1566">
        <v>5096</v>
      </c>
      <c r="H440" s="1567">
        <v>42877</v>
      </c>
      <c r="I440" s="1567">
        <v>46238</v>
      </c>
      <c r="J440" s="1567">
        <v>46238</v>
      </c>
      <c r="K440" s="1568" t="str">
        <f t="shared" si="6"/>
        <v>No</v>
      </c>
      <c r="L440" s="1565"/>
    </row>
    <row r="441" spans="1:12" ht="20.100000000000001" customHeight="1">
      <c r="A441" s="1568" t="s">
        <v>3092</v>
      </c>
      <c r="B441" s="1567">
        <v>42586</v>
      </c>
      <c r="C441" s="1568" t="s">
        <v>3308</v>
      </c>
      <c r="D441" s="1568" t="s">
        <v>2999</v>
      </c>
      <c r="E441" s="1567">
        <v>42856</v>
      </c>
      <c r="F441" s="1566">
        <v>0</v>
      </c>
      <c r="G441" s="1566">
        <v>0</v>
      </c>
      <c r="H441" s="1567">
        <v>42890</v>
      </c>
      <c r="I441" s="1567">
        <v>46238</v>
      </c>
      <c r="J441" s="1567">
        <v>46238</v>
      </c>
      <c r="K441" s="1568" t="str">
        <f t="shared" si="6"/>
        <v>No</v>
      </c>
      <c r="L441" s="1565"/>
    </row>
    <row r="442" spans="1:12" ht="20.100000000000001" customHeight="1">
      <c r="A442" s="1568" t="s">
        <v>3092</v>
      </c>
      <c r="B442" s="1567">
        <v>42586</v>
      </c>
      <c r="C442" s="1568" t="s">
        <v>3308</v>
      </c>
      <c r="D442" s="1568" t="s">
        <v>2999</v>
      </c>
      <c r="E442" s="1567">
        <v>42887</v>
      </c>
      <c r="F442" s="1566">
        <v>5096</v>
      </c>
      <c r="G442" s="1566">
        <v>5096</v>
      </c>
      <c r="H442" s="1567">
        <v>42890</v>
      </c>
      <c r="I442" s="1567">
        <v>46238</v>
      </c>
      <c r="J442" s="1567">
        <v>46238</v>
      </c>
      <c r="K442" s="1568" t="str">
        <f t="shared" si="6"/>
        <v>No</v>
      </c>
      <c r="L442" s="1565"/>
    </row>
    <row r="443" spans="1:12" ht="20.100000000000001" customHeight="1">
      <c r="A443" s="1568" t="s">
        <v>3092</v>
      </c>
      <c r="B443" s="1567">
        <v>42586</v>
      </c>
      <c r="C443" s="1568" t="s">
        <v>3308</v>
      </c>
      <c r="D443" s="1568" t="s">
        <v>2999</v>
      </c>
      <c r="E443" s="1567">
        <v>42887</v>
      </c>
      <c r="F443" s="1566">
        <v>0</v>
      </c>
      <c r="G443" s="1566">
        <v>0</v>
      </c>
      <c r="H443" s="1567">
        <v>42918</v>
      </c>
      <c r="I443" s="1567">
        <v>46238</v>
      </c>
      <c r="J443" s="1567">
        <v>46238</v>
      </c>
      <c r="K443" s="1568" t="str">
        <f t="shared" si="6"/>
        <v>No</v>
      </c>
      <c r="L443" s="1565"/>
    </row>
    <row r="444" spans="1:12" ht="20.100000000000001" customHeight="1">
      <c r="A444" s="1568" t="s">
        <v>3092</v>
      </c>
      <c r="B444" s="1567">
        <v>42586</v>
      </c>
      <c r="C444" s="1568" t="s">
        <v>3308</v>
      </c>
      <c r="D444" s="1568" t="s">
        <v>2999</v>
      </c>
      <c r="E444" s="1567">
        <v>42917</v>
      </c>
      <c r="F444" s="1566">
        <v>5096</v>
      </c>
      <c r="G444" s="1566">
        <v>5096</v>
      </c>
      <c r="H444" s="1567">
        <v>42918</v>
      </c>
      <c r="I444" s="1567">
        <v>46238</v>
      </c>
      <c r="J444" s="1567">
        <v>46238</v>
      </c>
      <c r="K444" s="1568" t="str">
        <f t="shared" si="6"/>
        <v>No</v>
      </c>
      <c r="L444" s="1565"/>
    </row>
    <row r="445" spans="1:12" ht="20.100000000000001" customHeight="1">
      <c r="A445" s="1568" t="s">
        <v>3092</v>
      </c>
      <c r="B445" s="1567">
        <v>42586</v>
      </c>
      <c r="C445" s="1568" t="s">
        <v>3308</v>
      </c>
      <c r="D445" s="1568" t="s">
        <v>2999</v>
      </c>
      <c r="E445" s="1567">
        <v>42917</v>
      </c>
      <c r="F445" s="1566">
        <v>0</v>
      </c>
      <c r="G445" s="1566">
        <v>0</v>
      </c>
      <c r="H445" s="1567">
        <v>42955</v>
      </c>
      <c r="I445" s="1567">
        <v>46238</v>
      </c>
      <c r="J445" s="1567">
        <v>46238</v>
      </c>
      <c r="K445" s="1568" t="str">
        <f t="shared" si="6"/>
        <v>No</v>
      </c>
      <c r="L445" s="1565"/>
    </row>
    <row r="446" spans="1:12" ht="20.100000000000001" customHeight="1">
      <c r="A446" s="1568" t="s">
        <v>3092</v>
      </c>
      <c r="B446" s="1567">
        <v>42586</v>
      </c>
      <c r="C446" s="1568" t="s">
        <v>3308</v>
      </c>
      <c r="D446" s="1568" t="s">
        <v>2999</v>
      </c>
      <c r="E446" s="1567">
        <v>42948</v>
      </c>
      <c r="F446" s="1566">
        <v>5096</v>
      </c>
      <c r="G446" s="1566">
        <v>5096</v>
      </c>
      <c r="H446" s="1567">
        <v>42955</v>
      </c>
      <c r="I446" s="1567">
        <v>46238</v>
      </c>
      <c r="J446" s="1567">
        <v>46238</v>
      </c>
      <c r="K446" s="1568" t="str">
        <f t="shared" si="6"/>
        <v>No</v>
      </c>
      <c r="L446" s="1565"/>
    </row>
    <row r="447" spans="1:12" ht="20.100000000000001" customHeight="1">
      <c r="A447" s="1568" t="s">
        <v>3092</v>
      </c>
      <c r="B447" s="1567">
        <v>42586</v>
      </c>
      <c r="C447" s="1568" t="s">
        <v>3308</v>
      </c>
      <c r="D447" s="1568" t="s">
        <v>2999</v>
      </c>
      <c r="E447" s="1567">
        <v>42948</v>
      </c>
      <c r="F447" s="1566">
        <v>0</v>
      </c>
      <c r="G447" s="1566">
        <v>0</v>
      </c>
      <c r="H447" s="1567">
        <v>42980</v>
      </c>
      <c r="I447" s="1567">
        <v>46238</v>
      </c>
      <c r="J447" s="1567">
        <v>46238</v>
      </c>
      <c r="K447" s="1568" t="str">
        <f t="shared" si="6"/>
        <v>No</v>
      </c>
      <c r="L447" s="1565"/>
    </row>
    <row r="448" spans="1:12" ht="20.100000000000001" customHeight="1">
      <c r="A448" s="1568" t="s">
        <v>3092</v>
      </c>
      <c r="B448" s="1567">
        <v>42586</v>
      </c>
      <c r="C448" s="1568" t="s">
        <v>3308</v>
      </c>
      <c r="D448" s="1568" t="s">
        <v>2999</v>
      </c>
      <c r="E448" s="1567">
        <v>42979</v>
      </c>
      <c r="F448" s="1566">
        <v>5096</v>
      </c>
      <c r="G448" s="1566">
        <v>5096</v>
      </c>
      <c r="H448" s="1567">
        <v>42980</v>
      </c>
      <c r="I448" s="1567">
        <v>46238</v>
      </c>
      <c r="J448" s="1567">
        <v>46238</v>
      </c>
      <c r="K448" s="1568" t="str">
        <f t="shared" si="6"/>
        <v>No</v>
      </c>
      <c r="L448" s="1565"/>
    </row>
    <row r="449" spans="1:12" ht="20.100000000000001" customHeight="1">
      <c r="A449" s="1568" t="s">
        <v>3092</v>
      </c>
      <c r="B449" s="1567">
        <v>42586</v>
      </c>
      <c r="C449" s="1568" t="s">
        <v>3308</v>
      </c>
      <c r="D449" s="1568" t="s">
        <v>2999</v>
      </c>
      <c r="E449" s="1567">
        <v>42979</v>
      </c>
      <c r="F449" s="1566">
        <v>0</v>
      </c>
      <c r="G449" s="1566">
        <v>0</v>
      </c>
      <c r="H449" s="1567">
        <v>43013</v>
      </c>
      <c r="I449" s="1567">
        <v>46238</v>
      </c>
      <c r="J449" s="1567">
        <v>46238</v>
      </c>
      <c r="K449" s="1568" t="str">
        <f t="shared" si="6"/>
        <v>No</v>
      </c>
      <c r="L449" s="1565"/>
    </row>
    <row r="450" spans="1:12" ht="20.100000000000001" customHeight="1">
      <c r="A450" s="1568" t="s">
        <v>3092</v>
      </c>
      <c r="B450" s="1567">
        <v>42586</v>
      </c>
      <c r="C450" s="1568" t="s">
        <v>3308</v>
      </c>
      <c r="D450" s="1568" t="s">
        <v>2999</v>
      </c>
      <c r="E450" s="1567">
        <v>43009</v>
      </c>
      <c r="F450" s="1566">
        <v>5096</v>
      </c>
      <c r="G450" s="1566">
        <v>5096</v>
      </c>
      <c r="H450" s="1567">
        <v>43013</v>
      </c>
      <c r="I450" s="1567">
        <v>46238</v>
      </c>
      <c r="J450" s="1567">
        <v>46238</v>
      </c>
      <c r="K450" s="1568" t="str">
        <f t="shared" si="6"/>
        <v>No</v>
      </c>
      <c r="L450" s="1565"/>
    </row>
    <row r="451" spans="1:12" ht="20.100000000000001" customHeight="1">
      <c r="A451" s="1568" t="s">
        <v>3092</v>
      </c>
      <c r="B451" s="1567">
        <v>42586</v>
      </c>
      <c r="C451" s="1568" t="s">
        <v>3308</v>
      </c>
      <c r="D451" s="1568" t="s">
        <v>2999</v>
      </c>
      <c r="E451" s="1567">
        <v>43009</v>
      </c>
      <c r="F451" s="1566">
        <v>0</v>
      </c>
      <c r="G451" s="1566">
        <v>0</v>
      </c>
      <c r="H451" s="1567">
        <v>43089</v>
      </c>
      <c r="I451" s="1567">
        <v>46238</v>
      </c>
      <c r="J451" s="1567">
        <v>46238</v>
      </c>
      <c r="K451" s="1568" t="str">
        <f t="shared" si="6"/>
        <v>No</v>
      </c>
      <c r="L451" s="1565"/>
    </row>
    <row r="452" spans="1:12" ht="20.100000000000001" customHeight="1">
      <c r="A452" s="1568" t="s">
        <v>3092</v>
      </c>
      <c r="B452" s="1567">
        <v>42586</v>
      </c>
      <c r="C452" s="1568" t="s">
        <v>3308</v>
      </c>
      <c r="D452" s="1568" t="s">
        <v>2999</v>
      </c>
      <c r="E452" s="1567">
        <v>43040</v>
      </c>
      <c r="F452" s="1566">
        <v>5096</v>
      </c>
      <c r="G452" s="1566">
        <v>5096</v>
      </c>
      <c r="H452" s="1567">
        <v>43089</v>
      </c>
      <c r="I452" s="1567">
        <v>46238</v>
      </c>
      <c r="J452" s="1567">
        <v>46238</v>
      </c>
      <c r="K452" s="1568" t="str">
        <f t="shared" si="6"/>
        <v>No</v>
      </c>
      <c r="L452" s="1565"/>
    </row>
    <row r="453" spans="1:12" ht="20.100000000000001" customHeight="1">
      <c r="A453" s="1568" t="s">
        <v>3092</v>
      </c>
      <c r="B453" s="1567">
        <v>42586</v>
      </c>
      <c r="C453" s="1568" t="s">
        <v>3308</v>
      </c>
      <c r="D453" s="1568" t="s">
        <v>2999</v>
      </c>
      <c r="E453" s="1567">
        <v>43070</v>
      </c>
      <c r="F453" s="1566">
        <v>5096</v>
      </c>
      <c r="G453" s="1566">
        <v>5096</v>
      </c>
      <c r="H453" s="1567">
        <v>43089</v>
      </c>
      <c r="I453" s="1567">
        <v>46238</v>
      </c>
      <c r="J453" s="1567">
        <v>46238</v>
      </c>
      <c r="K453" s="1568" t="str">
        <f t="shared" ref="K453:K516" si="7">IF(I453="N/A","No",IF(E453&lt;=I453,"No","Yes"))</f>
        <v>No</v>
      </c>
      <c r="L453" s="1565"/>
    </row>
    <row r="454" spans="1:12" ht="20.100000000000001" customHeight="1">
      <c r="A454" s="1568" t="s">
        <v>3092</v>
      </c>
      <c r="B454" s="1567">
        <v>42586</v>
      </c>
      <c r="C454" s="1568" t="s">
        <v>3308</v>
      </c>
      <c r="D454" s="1568" t="s">
        <v>2999</v>
      </c>
      <c r="E454" s="1567">
        <v>43070</v>
      </c>
      <c r="F454" s="1566">
        <v>0</v>
      </c>
      <c r="G454" s="1566">
        <v>0</v>
      </c>
      <c r="H454" s="1567">
        <v>43101</v>
      </c>
      <c r="I454" s="1567">
        <v>46238</v>
      </c>
      <c r="J454" s="1567">
        <v>46238</v>
      </c>
      <c r="K454" s="1568" t="str">
        <f t="shared" si="7"/>
        <v>No</v>
      </c>
      <c r="L454" s="1565"/>
    </row>
    <row r="455" spans="1:12" ht="20.100000000000001" customHeight="1">
      <c r="A455" s="1568" t="s">
        <v>3092</v>
      </c>
      <c r="B455" s="1567">
        <v>42586</v>
      </c>
      <c r="C455" s="1568" t="s">
        <v>3308</v>
      </c>
      <c r="D455" s="1568" t="s">
        <v>2999</v>
      </c>
      <c r="E455" s="1567">
        <v>43101</v>
      </c>
      <c r="F455" s="1566">
        <v>5096</v>
      </c>
      <c r="G455" s="1566">
        <v>5096</v>
      </c>
      <c r="H455" s="1567">
        <v>43101</v>
      </c>
      <c r="I455" s="1567">
        <v>46238</v>
      </c>
      <c r="J455" s="1567">
        <v>46238</v>
      </c>
      <c r="K455" s="1568" t="str">
        <f t="shared" si="7"/>
        <v>No</v>
      </c>
      <c r="L455" s="1565"/>
    </row>
    <row r="456" spans="1:12" ht="20.100000000000001" customHeight="1">
      <c r="A456" s="1568" t="s">
        <v>3092</v>
      </c>
      <c r="B456" s="1567">
        <v>42586</v>
      </c>
      <c r="C456" s="1568" t="s">
        <v>3308</v>
      </c>
      <c r="D456" s="1568" t="s">
        <v>2999</v>
      </c>
      <c r="E456" s="1567">
        <v>43101</v>
      </c>
      <c r="F456" s="1566">
        <v>0</v>
      </c>
      <c r="G456" s="1566">
        <v>0</v>
      </c>
      <c r="H456" s="1567">
        <v>43132</v>
      </c>
      <c r="I456" s="1567">
        <v>46238</v>
      </c>
      <c r="J456" s="1567">
        <v>46238</v>
      </c>
      <c r="K456" s="1568" t="str">
        <f t="shared" si="7"/>
        <v>No</v>
      </c>
      <c r="L456" s="1565"/>
    </row>
    <row r="457" spans="1:12" ht="20.100000000000001" customHeight="1">
      <c r="A457" s="1568" t="s">
        <v>3092</v>
      </c>
      <c r="B457" s="1567">
        <v>42586</v>
      </c>
      <c r="C457" s="1568" t="s">
        <v>3308</v>
      </c>
      <c r="D457" s="1568" t="s">
        <v>2999</v>
      </c>
      <c r="E457" s="1567">
        <v>43132</v>
      </c>
      <c r="F457" s="1566">
        <v>5096</v>
      </c>
      <c r="G457" s="1566">
        <v>5096</v>
      </c>
      <c r="H457" s="1567">
        <v>43132</v>
      </c>
      <c r="I457" s="1567">
        <v>46238</v>
      </c>
      <c r="J457" s="1567">
        <v>46238</v>
      </c>
      <c r="K457" s="1568" t="str">
        <f t="shared" si="7"/>
        <v>No</v>
      </c>
      <c r="L457" s="1565"/>
    </row>
    <row r="458" spans="1:12" ht="20.100000000000001" customHeight="1">
      <c r="A458" s="1568" t="s">
        <v>3092</v>
      </c>
      <c r="B458" s="1567">
        <v>42586</v>
      </c>
      <c r="C458" s="1568" t="s">
        <v>3308</v>
      </c>
      <c r="D458" s="1568" t="s">
        <v>2999</v>
      </c>
      <c r="E458" s="1567">
        <v>43132</v>
      </c>
      <c r="F458" s="1566">
        <v>0</v>
      </c>
      <c r="G458" s="1566">
        <v>0</v>
      </c>
      <c r="H458" s="1567">
        <v>43162</v>
      </c>
      <c r="I458" s="1567">
        <v>46238</v>
      </c>
      <c r="J458" s="1567">
        <v>46238</v>
      </c>
      <c r="K458" s="1568" t="str">
        <f t="shared" si="7"/>
        <v>No</v>
      </c>
      <c r="L458" s="1565"/>
    </row>
    <row r="459" spans="1:12" ht="20.100000000000001" customHeight="1">
      <c r="A459" s="1568" t="s">
        <v>3092</v>
      </c>
      <c r="B459" s="1567">
        <v>42586</v>
      </c>
      <c r="C459" s="1568" t="s">
        <v>3308</v>
      </c>
      <c r="D459" s="1568" t="s">
        <v>2999</v>
      </c>
      <c r="E459" s="1567">
        <v>43160</v>
      </c>
      <c r="F459" s="1566">
        <v>5096</v>
      </c>
      <c r="G459" s="1566">
        <v>5096</v>
      </c>
      <c r="H459" s="1567">
        <v>43162</v>
      </c>
      <c r="I459" s="1567">
        <v>46238</v>
      </c>
      <c r="J459" s="1567">
        <v>46238</v>
      </c>
      <c r="K459" s="1568" t="str">
        <f t="shared" si="7"/>
        <v>No</v>
      </c>
      <c r="L459" s="1565"/>
    </row>
    <row r="460" spans="1:12" ht="20.100000000000001" customHeight="1">
      <c r="A460" s="1568" t="s">
        <v>3092</v>
      </c>
      <c r="B460" s="1567">
        <v>42586</v>
      </c>
      <c r="C460" s="1568" t="s">
        <v>3308</v>
      </c>
      <c r="D460" s="1568" t="s">
        <v>2999</v>
      </c>
      <c r="E460" s="1567">
        <v>43160</v>
      </c>
      <c r="F460" s="1566">
        <v>0</v>
      </c>
      <c r="G460" s="1566">
        <v>0</v>
      </c>
      <c r="H460" s="1567">
        <v>43198</v>
      </c>
      <c r="I460" s="1567">
        <v>46238</v>
      </c>
      <c r="J460" s="1567">
        <v>46238</v>
      </c>
      <c r="K460" s="1568" t="str">
        <f t="shared" si="7"/>
        <v>No</v>
      </c>
      <c r="L460" s="1565"/>
    </row>
    <row r="461" spans="1:12" ht="20.100000000000001" customHeight="1">
      <c r="A461" s="1568" t="s">
        <v>3092</v>
      </c>
      <c r="B461" s="1567">
        <v>42586</v>
      </c>
      <c r="C461" s="1568" t="s">
        <v>3308</v>
      </c>
      <c r="D461" s="1568" t="s">
        <v>2999</v>
      </c>
      <c r="E461" s="1567">
        <v>43191</v>
      </c>
      <c r="F461" s="1566">
        <v>5096</v>
      </c>
      <c r="G461" s="1566">
        <v>5096</v>
      </c>
      <c r="H461" s="1567">
        <v>43198</v>
      </c>
      <c r="I461" s="1567">
        <v>46238</v>
      </c>
      <c r="J461" s="1567">
        <v>46238</v>
      </c>
      <c r="K461" s="1568" t="str">
        <f t="shared" si="7"/>
        <v>No</v>
      </c>
      <c r="L461" s="1565"/>
    </row>
    <row r="462" spans="1:12" ht="20.100000000000001" customHeight="1">
      <c r="A462" s="1568" t="s">
        <v>3092</v>
      </c>
      <c r="B462" s="1567">
        <v>42586</v>
      </c>
      <c r="C462" s="1568" t="s">
        <v>3308</v>
      </c>
      <c r="D462" s="1568" t="s">
        <v>2999</v>
      </c>
      <c r="E462" s="1567">
        <v>43191</v>
      </c>
      <c r="F462" s="1566">
        <v>0</v>
      </c>
      <c r="G462" s="1566">
        <v>0</v>
      </c>
      <c r="H462" s="1567">
        <v>43282</v>
      </c>
      <c r="I462" s="1567">
        <v>46238</v>
      </c>
      <c r="J462" s="1567">
        <v>46238</v>
      </c>
      <c r="K462" s="1568" t="str">
        <f t="shared" si="7"/>
        <v>No</v>
      </c>
      <c r="L462" s="1565"/>
    </row>
    <row r="463" spans="1:12" ht="20.100000000000001" customHeight="1">
      <c r="A463" s="1568" t="s">
        <v>3092</v>
      </c>
      <c r="B463" s="1567">
        <v>42586</v>
      </c>
      <c r="C463" s="1568" t="s">
        <v>3308</v>
      </c>
      <c r="D463" s="1568" t="s">
        <v>2999</v>
      </c>
      <c r="E463" s="1567">
        <v>43221</v>
      </c>
      <c r="F463" s="1566">
        <v>5096</v>
      </c>
      <c r="G463" s="1566">
        <v>5096</v>
      </c>
      <c r="H463" s="1567">
        <v>43282</v>
      </c>
      <c r="I463" s="1567">
        <v>46238</v>
      </c>
      <c r="J463" s="1567">
        <v>46238</v>
      </c>
      <c r="K463" s="1568" t="str">
        <f t="shared" si="7"/>
        <v>No</v>
      </c>
      <c r="L463" s="1565"/>
    </row>
    <row r="464" spans="1:12" ht="20.100000000000001" customHeight="1">
      <c r="A464" s="1568" t="s">
        <v>3092</v>
      </c>
      <c r="B464" s="1567">
        <v>42586</v>
      </c>
      <c r="C464" s="1568" t="s">
        <v>3308</v>
      </c>
      <c r="D464" s="1568" t="s">
        <v>2999</v>
      </c>
      <c r="E464" s="1567">
        <v>43252</v>
      </c>
      <c r="F464" s="1566">
        <v>5096</v>
      </c>
      <c r="G464" s="1566">
        <v>5096</v>
      </c>
      <c r="H464" s="1567">
        <v>43282</v>
      </c>
      <c r="I464" s="1567">
        <v>46238</v>
      </c>
      <c r="J464" s="1567">
        <v>46238</v>
      </c>
      <c r="K464" s="1568" t="str">
        <f t="shared" si="7"/>
        <v>No</v>
      </c>
      <c r="L464" s="1565"/>
    </row>
    <row r="465" spans="1:12" ht="20.100000000000001" customHeight="1">
      <c r="A465" s="1568" t="s">
        <v>3092</v>
      </c>
      <c r="B465" s="1567">
        <v>42586</v>
      </c>
      <c r="C465" s="1568" t="s">
        <v>3308</v>
      </c>
      <c r="D465" s="1568" t="s">
        <v>2999</v>
      </c>
      <c r="E465" s="1567">
        <v>43282</v>
      </c>
      <c r="F465" s="1566">
        <v>5096</v>
      </c>
      <c r="G465" s="1566">
        <v>5096</v>
      </c>
      <c r="H465" s="1567">
        <v>43282</v>
      </c>
      <c r="I465" s="1567">
        <v>46238</v>
      </c>
      <c r="J465" s="1567">
        <v>46238</v>
      </c>
      <c r="K465" s="1568" t="str">
        <f t="shared" si="7"/>
        <v>No</v>
      </c>
      <c r="L465" s="1565"/>
    </row>
    <row r="466" spans="1:12" ht="20.100000000000001" customHeight="1">
      <c r="A466" s="1568" t="s">
        <v>3092</v>
      </c>
      <c r="B466" s="1567">
        <v>42586</v>
      </c>
      <c r="C466" s="1568" t="s">
        <v>3308</v>
      </c>
      <c r="D466" s="1568" t="s">
        <v>2999</v>
      </c>
      <c r="E466" s="1567">
        <v>43282</v>
      </c>
      <c r="F466" s="1566">
        <v>0</v>
      </c>
      <c r="G466" s="1566">
        <v>0</v>
      </c>
      <c r="H466" s="1567"/>
      <c r="I466" s="1567">
        <v>46238</v>
      </c>
      <c r="J466" s="1567">
        <v>46238</v>
      </c>
      <c r="K466" s="1568" t="str">
        <f t="shared" si="7"/>
        <v>No</v>
      </c>
      <c r="L466" s="1565"/>
    </row>
    <row r="467" spans="1:12" ht="20.100000000000001" customHeight="1">
      <c r="A467" s="1568" t="s">
        <v>3090</v>
      </c>
      <c r="B467" s="1567">
        <v>42586</v>
      </c>
      <c r="C467" s="1568" t="s">
        <v>3308</v>
      </c>
      <c r="D467" s="1568" t="s">
        <v>2983</v>
      </c>
      <c r="E467" s="1567">
        <v>42586</v>
      </c>
      <c r="F467" s="1566">
        <v>54968</v>
      </c>
      <c r="G467" s="1566">
        <v>54968</v>
      </c>
      <c r="H467" s="1567">
        <v>42783</v>
      </c>
      <c r="I467" s="1567">
        <v>46238</v>
      </c>
      <c r="J467" s="1567">
        <v>46238</v>
      </c>
      <c r="K467" s="1568" t="str">
        <f t="shared" si="7"/>
        <v>No</v>
      </c>
      <c r="L467" s="1565" t="s">
        <v>3052</v>
      </c>
    </row>
    <row r="468" spans="1:12" ht="20.100000000000001" customHeight="1">
      <c r="A468" s="1568" t="s">
        <v>3090</v>
      </c>
      <c r="B468" s="1567">
        <v>42586</v>
      </c>
      <c r="C468" s="1568" t="s">
        <v>3308</v>
      </c>
      <c r="D468" s="1568" t="s">
        <v>2983</v>
      </c>
      <c r="E468" s="1567">
        <v>42586</v>
      </c>
      <c r="F468" s="1566">
        <v>6600</v>
      </c>
      <c r="G468" s="1566">
        <v>6600</v>
      </c>
      <c r="H468" s="1567">
        <v>42783</v>
      </c>
      <c r="I468" s="1567">
        <v>46238</v>
      </c>
      <c r="J468" s="1567">
        <v>46238</v>
      </c>
      <c r="K468" s="1568" t="str">
        <f t="shared" si="7"/>
        <v>No</v>
      </c>
      <c r="L468" s="1565" t="s">
        <v>3052</v>
      </c>
    </row>
    <row r="469" spans="1:12" ht="20.100000000000001" customHeight="1">
      <c r="A469" s="1568" t="s">
        <v>3090</v>
      </c>
      <c r="B469" s="1567">
        <v>42586</v>
      </c>
      <c r="C469" s="1568" t="s">
        <v>3308</v>
      </c>
      <c r="D469" s="1568" t="s">
        <v>2983</v>
      </c>
      <c r="E469" s="1567">
        <v>42586</v>
      </c>
      <c r="F469" s="1566">
        <v>6592</v>
      </c>
      <c r="G469" s="1566">
        <v>6592</v>
      </c>
      <c r="H469" s="1567">
        <v>42783</v>
      </c>
      <c r="I469" s="1567">
        <v>46238</v>
      </c>
      <c r="J469" s="1567">
        <v>46238</v>
      </c>
      <c r="K469" s="1568" t="str">
        <f t="shared" si="7"/>
        <v>No</v>
      </c>
      <c r="L469" s="1565" t="s">
        <v>3052</v>
      </c>
    </row>
    <row r="470" spans="1:12" ht="20.100000000000001" customHeight="1">
      <c r="A470" s="1568" t="s">
        <v>3090</v>
      </c>
      <c r="B470" s="1567">
        <v>42586</v>
      </c>
      <c r="C470" s="1568" t="s">
        <v>3308</v>
      </c>
      <c r="D470" s="1568" t="s">
        <v>2983</v>
      </c>
      <c r="E470" s="1567">
        <v>42586</v>
      </c>
      <c r="F470" s="1566">
        <v>6600</v>
      </c>
      <c r="G470" s="1566">
        <v>6600</v>
      </c>
      <c r="H470" s="1567">
        <v>42783</v>
      </c>
      <c r="I470" s="1567">
        <v>46238</v>
      </c>
      <c r="J470" s="1567">
        <v>46238</v>
      </c>
      <c r="K470" s="1568" t="str">
        <f t="shared" si="7"/>
        <v>No</v>
      </c>
      <c r="L470" s="1565" t="s">
        <v>3052</v>
      </c>
    </row>
    <row r="471" spans="1:12" ht="20.100000000000001" customHeight="1">
      <c r="A471" s="1568" t="s">
        <v>3090</v>
      </c>
      <c r="B471" s="1567">
        <v>42586</v>
      </c>
      <c r="C471" s="1568" t="s">
        <v>3308</v>
      </c>
      <c r="D471" s="1568" t="s">
        <v>2983</v>
      </c>
      <c r="E471" s="1567">
        <v>42586</v>
      </c>
      <c r="F471" s="1566">
        <v>6592</v>
      </c>
      <c r="G471" s="1566">
        <v>6592</v>
      </c>
      <c r="H471" s="1567">
        <v>42783</v>
      </c>
      <c r="I471" s="1567">
        <v>46238</v>
      </c>
      <c r="J471" s="1567">
        <v>46238</v>
      </c>
      <c r="K471" s="1568" t="str">
        <f t="shared" si="7"/>
        <v>No</v>
      </c>
      <c r="L471" s="1565" t="s">
        <v>3052</v>
      </c>
    </row>
    <row r="472" spans="1:12" ht="20.100000000000001" customHeight="1">
      <c r="A472" s="1568" t="s">
        <v>3090</v>
      </c>
      <c r="B472" s="1567">
        <v>42586</v>
      </c>
      <c r="C472" s="1568" t="s">
        <v>3308</v>
      </c>
      <c r="D472" s="1568" t="s">
        <v>2983</v>
      </c>
      <c r="E472" s="1567">
        <v>42614</v>
      </c>
      <c r="F472" s="1566">
        <v>6600</v>
      </c>
      <c r="G472" s="1566">
        <v>6600</v>
      </c>
      <c r="H472" s="1567">
        <v>42783</v>
      </c>
      <c r="I472" s="1567">
        <v>46238</v>
      </c>
      <c r="J472" s="1567">
        <v>46238</v>
      </c>
      <c r="K472" s="1568" t="str">
        <f t="shared" si="7"/>
        <v>No</v>
      </c>
      <c r="L472" s="1565" t="s">
        <v>3052</v>
      </c>
    </row>
    <row r="473" spans="1:12" ht="20.100000000000001" customHeight="1">
      <c r="A473" s="1568" t="s">
        <v>3090</v>
      </c>
      <c r="B473" s="1567">
        <v>42586</v>
      </c>
      <c r="C473" s="1568" t="s">
        <v>3308</v>
      </c>
      <c r="D473" s="1568" t="s">
        <v>2983</v>
      </c>
      <c r="E473" s="1567">
        <v>42644</v>
      </c>
      <c r="F473" s="1566">
        <v>6592</v>
      </c>
      <c r="G473" s="1566">
        <v>6592</v>
      </c>
      <c r="H473" s="1567">
        <v>42783</v>
      </c>
      <c r="I473" s="1567">
        <v>46238</v>
      </c>
      <c r="J473" s="1567">
        <v>46238</v>
      </c>
      <c r="K473" s="1568" t="str">
        <f t="shared" si="7"/>
        <v>No</v>
      </c>
      <c r="L473" s="1565" t="s">
        <v>3052</v>
      </c>
    </row>
    <row r="474" spans="1:12" ht="20.100000000000001" customHeight="1">
      <c r="A474" s="1568" t="s">
        <v>3090</v>
      </c>
      <c r="B474" s="1567">
        <v>42586</v>
      </c>
      <c r="C474" s="1568" t="s">
        <v>3308</v>
      </c>
      <c r="D474" s="1568" t="s">
        <v>2983</v>
      </c>
      <c r="E474" s="1567">
        <v>42675</v>
      </c>
      <c r="F474" s="1566">
        <v>6600</v>
      </c>
      <c r="G474" s="1566">
        <v>6600</v>
      </c>
      <c r="H474" s="1567">
        <v>42783</v>
      </c>
      <c r="I474" s="1567">
        <v>46238</v>
      </c>
      <c r="J474" s="1567">
        <v>46238</v>
      </c>
      <c r="K474" s="1568" t="str">
        <f t="shared" si="7"/>
        <v>No</v>
      </c>
      <c r="L474" s="1565" t="s">
        <v>3052</v>
      </c>
    </row>
    <row r="475" spans="1:12" ht="20.100000000000001" customHeight="1">
      <c r="A475" s="1568" t="s">
        <v>3090</v>
      </c>
      <c r="B475" s="1567">
        <v>42586</v>
      </c>
      <c r="C475" s="1568" t="s">
        <v>3308</v>
      </c>
      <c r="D475" s="1568" t="s">
        <v>2983</v>
      </c>
      <c r="E475" s="1567">
        <v>42705</v>
      </c>
      <c r="F475" s="1566">
        <v>6592</v>
      </c>
      <c r="G475" s="1566">
        <v>6592</v>
      </c>
      <c r="H475" s="1567">
        <v>42783</v>
      </c>
      <c r="I475" s="1567">
        <v>46238</v>
      </c>
      <c r="J475" s="1567">
        <v>46238</v>
      </c>
      <c r="K475" s="1568" t="str">
        <f t="shared" si="7"/>
        <v>No</v>
      </c>
      <c r="L475" s="1565" t="s">
        <v>3052</v>
      </c>
    </row>
    <row r="476" spans="1:12" ht="20.100000000000001" customHeight="1">
      <c r="A476" s="1568" t="s">
        <v>3090</v>
      </c>
      <c r="B476" s="1567">
        <v>42586</v>
      </c>
      <c r="C476" s="1568" t="s">
        <v>3308</v>
      </c>
      <c r="D476" s="1568" t="s">
        <v>2983</v>
      </c>
      <c r="E476" s="1567">
        <v>42736</v>
      </c>
      <c r="F476" s="1566">
        <v>6600</v>
      </c>
      <c r="G476" s="1566">
        <v>6600</v>
      </c>
      <c r="H476" s="1567">
        <v>42783</v>
      </c>
      <c r="I476" s="1567">
        <v>46238</v>
      </c>
      <c r="J476" s="1567">
        <v>46238</v>
      </c>
      <c r="K476" s="1568" t="str">
        <f t="shared" si="7"/>
        <v>No</v>
      </c>
      <c r="L476" s="1565" t="s">
        <v>3052</v>
      </c>
    </row>
    <row r="477" spans="1:12" ht="20.100000000000001" customHeight="1">
      <c r="A477" s="1568" t="s">
        <v>3090</v>
      </c>
      <c r="B477" s="1567">
        <v>42586</v>
      </c>
      <c r="C477" s="1568" t="s">
        <v>3308</v>
      </c>
      <c r="D477" s="1568" t="s">
        <v>2983</v>
      </c>
      <c r="E477" s="1567">
        <v>42767</v>
      </c>
      <c r="F477" s="1566">
        <v>6592</v>
      </c>
      <c r="G477" s="1566">
        <v>6592</v>
      </c>
      <c r="H477" s="1567">
        <v>42783</v>
      </c>
      <c r="I477" s="1567">
        <v>46238</v>
      </c>
      <c r="J477" s="1567">
        <v>46238</v>
      </c>
      <c r="K477" s="1568" t="str">
        <f t="shared" si="7"/>
        <v>No</v>
      </c>
      <c r="L477" s="1565" t="s">
        <v>3052</v>
      </c>
    </row>
    <row r="478" spans="1:12" ht="20.100000000000001" customHeight="1">
      <c r="A478" s="1568" t="s">
        <v>3090</v>
      </c>
      <c r="B478" s="1567">
        <v>42586</v>
      </c>
      <c r="C478" s="1568" t="s">
        <v>3308</v>
      </c>
      <c r="D478" s="1568" t="s">
        <v>2983</v>
      </c>
      <c r="E478" s="1567">
        <v>42767</v>
      </c>
      <c r="F478" s="1566">
        <v>0</v>
      </c>
      <c r="G478" s="1566">
        <v>0</v>
      </c>
      <c r="H478" s="1567">
        <v>42903</v>
      </c>
      <c r="I478" s="1567">
        <v>46238</v>
      </c>
      <c r="J478" s="1567">
        <v>46238</v>
      </c>
      <c r="K478" s="1568" t="str">
        <f t="shared" si="7"/>
        <v>No</v>
      </c>
      <c r="L478" s="1565" t="s">
        <v>3052</v>
      </c>
    </row>
    <row r="479" spans="1:12" ht="20.100000000000001" customHeight="1">
      <c r="A479" s="1568" t="s">
        <v>3090</v>
      </c>
      <c r="B479" s="1567">
        <v>42586</v>
      </c>
      <c r="C479" s="1568" t="s">
        <v>3308</v>
      </c>
      <c r="D479" s="1568" t="s">
        <v>2983</v>
      </c>
      <c r="E479" s="1567">
        <v>42795</v>
      </c>
      <c r="F479" s="1566">
        <v>6600</v>
      </c>
      <c r="G479" s="1566">
        <v>6600</v>
      </c>
      <c r="H479" s="1567">
        <v>42903</v>
      </c>
      <c r="I479" s="1567">
        <v>46238</v>
      </c>
      <c r="J479" s="1567">
        <v>46238</v>
      </c>
      <c r="K479" s="1568" t="str">
        <f t="shared" si="7"/>
        <v>No</v>
      </c>
      <c r="L479" s="1565" t="s">
        <v>3052</v>
      </c>
    </row>
    <row r="480" spans="1:12" ht="20.100000000000001" customHeight="1">
      <c r="A480" s="1568" t="s">
        <v>3090</v>
      </c>
      <c r="B480" s="1567">
        <v>42586</v>
      </c>
      <c r="C480" s="1568" t="s">
        <v>3308</v>
      </c>
      <c r="D480" s="1568" t="s">
        <v>2983</v>
      </c>
      <c r="E480" s="1567">
        <v>42826</v>
      </c>
      <c r="F480" s="1566">
        <v>6592</v>
      </c>
      <c r="G480" s="1566">
        <v>6592</v>
      </c>
      <c r="H480" s="1567">
        <v>42903</v>
      </c>
      <c r="I480" s="1567">
        <v>46238</v>
      </c>
      <c r="J480" s="1567">
        <v>46238</v>
      </c>
      <c r="K480" s="1568" t="str">
        <f t="shared" si="7"/>
        <v>No</v>
      </c>
      <c r="L480" s="1565" t="s">
        <v>3052</v>
      </c>
    </row>
    <row r="481" spans="1:12" ht="20.100000000000001" customHeight="1">
      <c r="A481" s="1568" t="s">
        <v>3090</v>
      </c>
      <c r="B481" s="1567">
        <v>42586</v>
      </c>
      <c r="C481" s="1568" t="s">
        <v>3308</v>
      </c>
      <c r="D481" s="1568" t="s">
        <v>2983</v>
      </c>
      <c r="E481" s="1567">
        <v>42856</v>
      </c>
      <c r="F481" s="1566">
        <v>6600</v>
      </c>
      <c r="G481" s="1566">
        <v>6600</v>
      </c>
      <c r="H481" s="1567">
        <v>42903</v>
      </c>
      <c r="I481" s="1567">
        <v>46238</v>
      </c>
      <c r="J481" s="1567">
        <v>46238</v>
      </c>
      <c r="K481" s="1568" t="str">
        <f t="shared" si="7"/>
        <v>No</v>
      </c>
      <c r="L481" s="1565" t="s">
        <v>3052</v>
      </c>
    </row>
    <row r="482" spans="1:12" ht="20.100000000000001" customHeight="1">
      <c r="A482" s="1568" t="s">
        <v>3090</v>
      </c>
      <c r="B482" s="1567">
        <v>42586</v>
      </c>
      <c r="C482" s="1568" t="s">
        <v>3308</v>
      </c>
      <c r="D482" s="1568" t="s">
        <v>2983</v>
      </c>
      <c r="E482" s="1567">
        <v>42887</v>
      </c>
      <c r="F482" s="1566">
        <v>6592</v>
      </c>
      <c r="G482" s="1566">
        <v>6592</v>
      </c>
      <c r="H482" s="1567">
        <v>42903</v>
      </c>
      <c r="I482" s="1567">
        <v>46238</v>
      </c>
      <c r="J482" s="1567">
        <v>46238</v>
      </c>
      <c r="K482" s="1568" t="str">
        <f t="shared" si="7"/>
        <v>No</v>
      </c>
      <c r="L482" s="1565" t="s">
        <v>3052</v>
      </c>
    </row>
    <row r="483" spans="1:12" ht="20.100000000000001" customHeight="1">
      <c r="A483" s="1568" t="s">
        <v>3090</v>
      </c>
      <c r="B483" s="1567">
        <v>42586</v>
      </c>
      <c r="C483" s="1568" t="s">
        <v>3308</v>
      </c>
      <c r="D483" s="1568" t="s">
        <v>2983</v>
      </c>
      <c r="E483" s="1567">
        <v>42887</v>
      </c>
      <c r="F483" s="1566">
        <v>0</v>
      </c>
      <c r="G483" s="1566">
        <v>0</v>
      </c>
      <c r="H483" s="1567">
        <v>43020</v>
      </c>
      <c r="I483" s="1567">
        <v>46238</v>
      </c>
      <c r="J483" s="1567">
        <v>46238</v>
      </c>
      <c r="K483" s="1568" t="str">
        <f t="shared" si="7"/>
        <v>No</v>
      </c>
      <c r="L483" s="1565" t="s">
        <v>3052</v>
      </c>
    </row>
    <row r="484" spans="1:12" ht="20.100000000000001" customHeight="1">
      <c r="A484" s="1568" t="s">
        <v>3090</v>
      </c>
      <c r="B484" s="1567">
        <v>42586</v>
      </c>
      <c r="C484" s="1568" t="s">
        <v>3308</v>
      </c>
      <c r="D484" s="1568" t="s">
        <v>2983</v>
      </c>
      <c r="E484" s="1567">
        <v>42917</v>
      </c>
      <c r="F484" s="1566">
        <v>6600</v>
      </c>
      <c r="G484" s="1566">
        <v>6600</v>
      </c>
      <c r="H484" s="1567">
        <v>43020</v>
      </c>
      <c r="I484" s="1567">
        <v>46238</v>
      </c>
      <c r="J484" s="1567">
        <v>46238</v>
      </c>
      <c r="K484" s="1568" t="str">
        <f t="shared" si="7"/>
        <v>No</v>
      </c>
      <c r="L484" s="1565" t="s">
        <v>3052</v>
      </c>
    </row>
    <row r="485" spans="1:12" ht="20.100000000000001" customHeight="1">
      <c r="A485" s="1568" t="s">
        <v>3090</v>
      </c>
      <c r="B485" s="1567">
        <v>42586</v>
      </c>
      <c r="C485" s="1568" t="s">
        <v>3308</v>
      </c>
      <c r="D485" s="1568" t="s">
        <v>2983</v>
      </c>
      <c r="E485" s="1567">
        <v>42948</v>
      </c>
      <c r="F485" s="1566">
        <v>6592</v>
      </c>
      <c r="G485" s="1566">
        <v>6592</v>
      </c>
      <c r="H485" s="1567">
        <v>43020</v>
      </c>
      <c r="I485" s="1567">
        <v>46238</v>
      </c>
      <c r="J485" s="1567">
        <v>46238</v>
      </c>
      <c r="K485" s="1568" t="str">
        <f t="shared" si="7"/>
        <v>No</v>
      </c>
      <c r="L485" s="1565" t="s">
        <v>3052</v>
      </c>
    </row>
    <row r="486" spans="1:12" ht="20.100000000000001" customHeight="1">
      <c r="A486" s="1568" t="s">
        <v>3090</v>
      </c>
      <c r="B486" s="1567">
        <v>42586</v>
      </c>
      <c r="C486" s="1568" t="s">
        <v>3308</v>
      </c>
      <c r="D486" s="1568" t="s">
        <v>2983</v>
      </c>
      <c r="E486" s="1567">
        <v>42979</v>
      </c>
      <c r="F486" s="1566">
        <v>6600</v>
      </c>
      <c r="G486" s="1566">
        <v>6600</v>
      </c>
      <c r="H486" s="1567">
        <v>43020</v>
      </c>
      <c r="I486" s="1567">
        <v>46238</v>
      </c>
      <c r="J486" s="1567">
        <v>46238</v>
      </c>
      <c r="K486" s="1568" t="str">
        <f t="shared" si="7"/>
        <v>No</v>
      </c>
      <c r="L486" s="1565" t="s">
        <v>3052</v>
      </c>
    </row>
    <row r="487" spans="1:12" ht="20.100000000000001" customHeight="1">
      <c r="A487" s="1568" t="s">
        <v>3090</v>
      </c>
      <c r="B487" s="1567">
        <v>42586</v>
      </c>
      <c r="C487" s="1568" t="s">
        <v>3308</v>
      </c>
      <c r="D487" s="1568" t="s">
        <v>2983</v>
      </c>
      <c r="E487" s="1567">
        <v>43009</v>
      </c>
      <c r="F487" s="1566">
        <v>6592</v>
      </c>
      <c r="G487" s="1566">
        <v>6592</v>
      </c>
      <c r="H487" s="1567">
        <v>43020</v>
      </c>
      <c r="I487" s="1567">
        <v>46238</v>
      </c>
      <c r="J487" s="1567">
        <v>46238</v>
      </c>
      <c r="K487" s="1568" t="str">
        <f t="shared" si="7"/>
        <v>No</v>
      </c>
      <c r="L487" s="1565" t="s">
        <v>3052</v>
      </c>
    </row>
    <row r="488" spans="1:12" ht="20.100000000000001" customHeight="1">
      <c r="A488" s="1568" t="s">
        <v>3090</v>
      </c>
      <c r="B488" s="1567">
        <v>42586</v>
      </c>
      <c r="C488" s="1568" t="s">
        <v>3308</v>
      </c>
      <c r="D488" s="1568" t="s">
        <v>2983</v>
      </c>
      <c r="E488" s="1567">
        <v>43009</v>
      </c>
      <c r="F488" s="1566">
        <v>0</v>
      </c>
      <c r="G488" s="1566">
        <v>0</v>
      </c>
      <c r="H488" s="1567">
        <v>43040</v>
      </c>
      <c r="I488" s="1567">
        <v>46238</v>
      </c>
      <c r="J488" s="1567">
        <v>46238</v>
      </c>
      <c r="K488" s="1568" t="str">
        <f t="shared" si="7"/>
        <v>No</v>
      </c>
      <c r="L488" s="1565" t="s">
        <v>3052</v>
      </c>
    </row>
    <row r="489" spans="1:12" ht="20.100000000000001" customHeight="1">
      <c r="A489" s="1568" t="s">
        <v>3090</v>
      </c>
      <c r="B489" s="1567">
        <v>42586</v>
      </c>
      <c r="C489" s="1568" t="s">
        <v>3308</v>
      </c>
      <c r="D489" s="1568" t="s">
        <v>2983</v>
      </c>
      <c r="E489" s="1567">
        <v>43040</v>
      </c>
      <c r="F489" s="1566">
        <v>6600</v>
      </c>
      <c r="G489" s="1566">
        <v>6600</v>
      </c>
      <c r="H489" s="1567">
        <v>43040</v>
      </c>
      <c r="I489" s="1567">
        <v>46238</v>
      </c>
      <c r="J489" s="1567">
        <v>46238</v>
      </c>
      <c r="K489" s="1568" t="str">
        <f t="shared" si="7"/>
        <v>No</v>
      </c>
      <c r="L489" s="1565" t="s">
        <v>3052</v>
      </c>
    </row>
    <row r="490" spans="1:12" ht="20.100000000000001" customHeight="1">
      <c r="A490" s="1568" t="s">
        <v>3090</v>
      </c>
      <c r="B490" s="1567">
        <v>42586</v>
      </c>
      <c r="C490" s="1568" t="s">
        <v>3308</v>
      </c>
      <c r="D490" s="1568" t="s">
        <v>2983</v>
      </c>
      <c r="E490" s="1567">
        <v>43040</v>
      </c>
      <c r="F490" s="1566">
        <v>0</v>
      </c>
      <c r="G490" s="1566">
        <v>0</v>
      </c>
      <c r="H490" s="1567">
        <v>43360</v>
      </c>
      <c r="I490" s="1567">
        <v>46238</v>
      </c>
      <c r="J490" s="1567">
        <v>46238</v>
      </c>
      <c r="K490" s="1568" t="str">
        <f t="shared" si="7"/>
        <v>No</v>
      </c>
      <c r="L490" s="1565" t="s">
        <v>3052</v>
      </c>
    </row>
    <row r="491" spans="1:12" ht="20.100000000000001" customHeight="1">
      <c r="A491" s="1568" t="s">
        <v>3090</v>
      </c>
      <c r="B491" s="1567">
        <v>42586</v>
      </c>
      <c r="C491" s="1568" t="s">
        <v>3308</v>
      </c>
      <c r="D491" s="1568" t="s">
        <v>2983</v>
      </c>
      <c r="E491" s="1567">
        <v>43070</v>
      </c>
      <c r="F491" s="1566">
        <v>6592</v>
      </c>
      <c r="G491" s="1566">
        <v>6592</v>
      </c>
      <c r="H491" s="1567">
        <v>43360</v>
      </c>
      <c r="I491" s="1567">
        <v>46238</v>
      </c>
      <c r="J491" s="1567">
        <v>46238</v>
      </c>
      <c r="K491" s="1568" t="str">
        <f t="shared" si="7"/>
        <v>No</v>
      </c>
      <c r="L491" s="1565" t="s">
        <v>3052</v>
      </c>
    </row>
    <row r="492" spans="1:12" ht="20.100000000000001" customHeight="1">
      <c r="A492" s="1568" t="s">
        <v>3090</v>
      </c>
      <c r="B492" s="1567">
        <v>42586</v>
      </c>
      <c r="C492" s="1568" t="s">
        <v>3308</v>
      </c>
      <c r="D492" s="1568" t="s">
        <v>2983</v>
      </c>
      <c r="E492" s="1567">
        <v>43101</v>
      </c>
      <c r="F492" s="1566">
        <v>6600</v>
      </c>
      <c r="G492" s="1566">
        <v>6600</v>
      </c>
      <c r="H492" s="1567">
        <v>43360</v>
      </c>
      <c r="I492" s="1567">
        <v>46238</v>
      </c>
      <c r="J492" s="1567">
        <v>46238</v>
      </c>
      <c r="K492" s="1568" t="str">
        <f t="shared" si="7"/>
        <v>No</v>
      </c>
      <c r="L492" s="1565" t="s">
        <v>3052</v>
      </c>
    </row>
    <row r="493" spans="1:12" ht="20.100000000000001" customHeight="1">
      <c r="A493" s="1568" t="s">
        <v>3090</v>
      </c>
      <c r="B493" s="1567">
        <v>42586</v>
      </c>
      <c r="C493" s="1568" t="s">
        <v>3308</v>
      </c>
      <c r="D493" s="1568" t="s">
        <v>2983</v>
      </c>
      <c r="E493" s="1567">
        <v>43132</v>
      </c>
      <c r="F493" s="1566">
        <v>6592</v>
      </c>
      <c r="G493" s="1566">
        <v>6592</v>
      </c>
      <c r="H493" s="1567">
        <v>43360</v>
      </c>
      <c r="I493" s="1567">
        <v>46238</v>
      </c>
      <c r="J493" s="1567">
        <v>46238</v>
      </c>
      <c r="K493" s="1568" t="str">
        <f t="shared" si="7"/>
        <v>No</v>
      </c>
      <c r="L493" s="1565" t="s">
        <v>3052</v>
      </c>
    </row>
    <row r="494" spans="1:12" ht="20.100000000000001" customHeight="1">
      <c r="A494" s="1568" t="s">
        <v>3090</v>
      </c>
      <c r="B494" s="1567">
        <v>42586</v>
      </c>
      <c r="C494" s="1568" t="s">
        <v>3308</v>
      </c>
      <c r="D494" s="1568" t="s">
        <v>2983</v>
      </c>
      <c r="E494" s="1567">
        <v>43160</v>
      </c>
      <c r="F494" s="1566">
        <v>6600</v>
      </c>
      <c r="G494" s="1566">
        <v>6600</v>
      </c>
      <c r="H494" s="1567">
        <v>43360</v>
      </c>
      <c r="I494" s="1567">
        <v>46238</v>
      </c>
      <c r="J494" s="1567">
        <v>46238</v>
      </c>
      <c r="K494" s="1568" t="str">
        <f t="shared" si="7"/>
        <v>No</v>
      </c>
      <c r="L494" s="1565" t="s">
        <v>3052</v>
      </c>
    </row>
    <row r="495" spans="1:12" ht="20.100000000000001" customHeight="1">
      <c r="A495" s="1568" t="s">
        <v>3090</v>
      </c>
      <c r="B495" s="1567">
        <v>42586</v>
      </c>
      <c r="C495" s="1568" t="s">
        <v>3308</v>
      </c>
      <c r="D495" s="1568" t="s">
        <v>2983</v>
      </c>
      <c r="E495" s="1567">
        <v>43191</v>
      </c>
      <c r="F495" s="1566">
        <v>6592</v>
      </c>
      <c r="G495" s="1566">
        <v>6592</v>
      </c>
      <c r="H495" s="1567">
        <v>43360</v>
      </c>
      <c r="I495" s="1567">
        <v>46238</v>
      </c>
      <c r="J495" s="1567">
        <v>46238</v>
      </c>
      <c r="K495" s="1568" t="str">
        <f t="shared" si="7"/>
        <v>No</v>
      </c>
      <c r="L495" s="1565" t="s">
        <v>3052</v>
      </c>
    </row>
    <row r="496" spans="1:12" ht="20.100000000000001" customHeight="1">
      <c r="A496" s="1568" t="s">
        <v>3090</v>
      </c>
      <c r="B496" s="1567">
        <v>42586</v>
      </c>
      <c r="C496" s="1568" t="s">
        <v>3308</v>
      </c>
      <c r="D496" s="1568" t="s">
        <v>2983</v>
      </c>
      <c r="E496" s="1567">
        <v>43221</v>
      </c>
      <c r="F496" s="1566">
        <v>6600</v>
      </c>
      <c r="G496" s="1566">
        <v>6600</v>
      </c>
      <c r="H496" s="1567">
        <v>43360</v>
      </c>
      <c r="I496" s="1567">
        <v>46238</v>
      </c>
      <c r="J496" s="1567">
        <v>46238</v>
      </c>
      <c r="K496" s="1568" t="str">
        <f t="shared" si="7"/>
        <v>No</v>
      </c>
      <c r="L496" s="1565" t="s">
        <v>3052</v>
      </c>
    </row>
    <row r="497" spans="1:12" ht="20.100000000000001" customHeight="1">
      <c r="A497" s="1568" t="s">
        <v>3090</v>
      </c>
      <c r="B497" s="1567">
        <v>42586</v>
      </c>
      <c r="C497" s="1568" t="s">
        <v>3308</v>
      </c>
      <c r="D497" s="1568" t="s">
        <v>2983</v>
      </c>
      <c r="E497" s="1567">
        <v>43221</v>
      </c>
      <c r="F497" s="1566">
        <v>0</v>
      </c>
      <c r="G497" s="1566">
        <v>0</v>
      </c>
      <c r="H497" s="1567"/>
      <c r="I497" s="1567">
        <v>46238</v>
      </c>
      <c r="J497" s="1567">
        <v>46238</v>
      </c>
      <c r="K497" s="1568" t="str">
        <f t="shared" si="7"/>
        <v>No</v>
      </c>
      <c r="L497" s="1565" t="s">
        <v>3052</v>
      </c>
    </row>
    <row r="498" spans="1:12" ht="20.100000000000001" customHeight="1">
      <c r="A498" s="1568" t="s">
        <v>3088</v>
      </c>
      <c r="B498" s="1567">
        <v>42644</v>
      </c>
      <c r="C498" s="1568" t="s">
        <v>3308</v>
      </c>
      <c r="D498" s="1568" t="s">
        <v>2954</v>
      </c>
      <c r="E498" s="1567">
        <v>42735</v>
      </c>
      <c r="F498" s="1566">
        <v>2056</v>
      </c>
      <c r="G498" s="1566">
        <v>0</v>
      </c>
      <c r="H498" s="1567"/>
      <c r="I498" s="1567">
        <v>46296</v>
      </c>
      <c r="J498" s="1567">
        <v>46296</v>
      </c>
      <c r="K498" s="1568" t="str">
        <f t="shared" si="7"/>
        <v>No</v>
      </c>
      <c r="L498" s="1565"/>
    </row>
    <row r="499" spans="1:12" ht="20.100000000000001" customHeight="1">
      <c r="A499" s="1568" t="s">
        <v>3088</v>
      </c>
      <c r="B499" s="1567">
        <v>42644</v>
      </c>
      <c r="C499" s="1568" t="s">
        <v>3308</v>
      </c>
      <c r="D499" s="1568" t="s">
        <v>2954</v>
      </c>
      <c r="E499" s="1567">
        <v>42825</v>
      </c>
      <c r="F499" s="1566">
        <v>2064</v>
      </c>
      <c r="G499" s="1566">
        <v>0</v>
      </c>
      <c r="H499" s="1567"/>
      <c r="I499" s="1567">
        <v>46296</v>
      </c>
      <c r="J499" s="1567">
        <v>46296</v>
      </c>
      <c r="K499" s="1568" t="str">
        <f t="shared" si="7"/>
        <v>No</v>
      </c>
      <c r="L499" s="1565"/>
    </row>
    <row r="500" spans="1:12" ht="20.100000000000001" customHeight="1">
      <c r="A500" s="1568" t="s">
        <v>3088</v>
      </c>
      <c r="B500" s="1567">
        <v>42644</v>
      </c>
      <c r="C500" s="1568" t="s">
        <v>3308</v>
      </c>
      <c r="D500" s="1568" t="s">
        <v>2954</v>
      </c>
      <c r="E500" s="1567">
        <v>42916</v>
      </c>
      <c r="F500" s="1566">
        <v>2056</v>
      </c>
      <c r="G500" s="1566">
        <v>0</v>
      </c>
      <c r="H500" s="1567"/>
      <c r="I500" s="1567">
        <v>46296</v>
      </c>
      <c r="J500" s="1567">
        <v>46296</v>
      </c>
      <c r="K500" s="1568" t="str">
        <f t="shared" si="7"/>
        <v>No</v>
      </c>
      <c r="L500" s="1565"/>
    </row>
    <row r="501" spans="1:12" ht="20.100000000000001" customHeight="1">
      <c r="A501" s="1568" t="s">
        <v>3088</v>
      </c>
      <c r="B501" s="1567">
        <v>42644</v>
      </c>
      <c r="C501" s="1568" t="s">
        <v>3308</v>
      </c>
      <c r="D501" s="1568" t="s">
        <v>2954</v>
      </c>
      <c r="E501" s="1567">
        <v>43008</v>
      </c>
      <c r="F501" s="1566">
        <v>2064</v>
      </c>
      <c r="G501" s="1566">
        <v>0</v>
      </c>
      <c r="H501" s="1567"/>
      <c r="I501" s="1567">
        <v>46296</v>
      </c>
      <c r="J501" s="1567">
        <v>46296</v>
      </c>
      <c r="K501" s="1568" t="str">
        <f t="shared" si="7"/>
        <v>No</v>
      </c>
      <c r="L501" s="1565"/>
    </row>
    <row r="502" spans="1:12" ht="20.100000000000001" customHeight="1">
      <c r="A502" s="1568" t="s">
        <v>3088</v>
      </c>
      <c r="B502" s="1567">
        <v>42644</v>
      </c>
      <c r="C502" s="1568" t="s">
        <v>3308</v>
      </c>
      <c r="D502" s="1568" t="s">
        <v>2954</v>
      </c>
      <c r="E502" s="1567">
        <v>43100</v>
      </c>
      <c r="F502" s="1566">
        <v>2056</v>
      </c>
      <c r="G502" s="1566">
        <v>0</v>
      </c>
      <c r="H502" s="1567"/>
      <c r="I502" s="1567">
        <v>46296</v>
      </c>
      <c r="J502" s="1567">
        <v>46296</v>
      </c>
      <c r="K502" s="1568" t="str">
        <f t="shared" si="7"/>
        <v>No</v>
      </c>
      <c r="L502" s="1565"/>
    </row>
    <row r="503" spans="1:12" ht="20.100000000000001" customHeight="1">
      <c r="A503" s="1568" t="s">
        <v>3088</v>
      </c>
      <c r="B503" s="1567">
        <v>42644</v>
      </c>
      <c r="C503" s="1568" t="s">
        <v>3308</v>
      </c>
      <c r="D503" s="1568" t="s">
        <v>2954</v>
      </c>
      <c r="E503" s="1567">
        <v>43190</v>
      </c>
      <c r="F503" s="1566">
        <v>2064</v>
      </c>
      <c r="G503" s="1566">
        <v>0</v>
      </c>
      <c r="H503" s="1567"/>
      <c r="I503" s="1567">
        <v>46296</v>
      </c>
      <c r="J503" s="1567">
        <v>46296</v>
      </c>
      <c r="K503" s="1568" t="str">
        <f t="shared" si="7"/>
        <v>No</v>
      </c>
      <c r="L503" s="1565"/>
    </row>
    <row r="504" spans="1:12" ht="20.100000000000001" customHeight="1">
      <c r="A504" s="1568" t="s">
        <v>3088</v>
      </c>
      <c r="B504" s="1567">
        <v>42644</v>
      </c>
      <c r="C504" s="1568" t="s">
        <v>3308</v>
      </c>
      <c r="D504" s="1568" t="s">
        <v>2954</v>
      </c>
      <c r="E504" s="1567">
        <v>43281</v>
      </c>
      <c r="F504" s="1566">
        <v>2064</v>
      </c>
      <c r="G504" s="1566">
        <v>0</v>
      </c>
      <c r="H504" s="1567"/>
      <c r="I504" s="1567">
        <v>46296</v>
      </c>
      <c r="J504" s="1567">
        <v>46296</v>
      </c>
      <c r="K504" s="1568" t="str">
        <f t="shared" si="7"/>
        <v>No</v>
      </c>
      <c r="L504" s="1565"/>
    </row>
    <row r="505" spans="1:12" ht="20.100000000000001" customHeight="1">
      <c r="A505" s="1568" t="s">
        <v>3088</v>
      </c>
      <c r="B505" s="1567">
        <v>42644</v>
      </c>
      <c r="C505" s="1568" t="s">
        <v>3308</v>
      </c>
      <c r="D505" s="1568" t="s">
        <v>2954</v>
      </c>
      <c r="E505" s="1567">
        <v>43373</v>
      </c>
      <c r="F505" s="1566">
        <v>2064</v>
      </c>
      <c r="G505" s="1566">
        <v>0</v>
      </c>
      <c r="H505" s="1567"/>
      <c r="I505" s="1567">
        <v>46296</v>
      </c>
      <c r="J505" s="1567">
        <v>46296</v>
      </c>
      <c r="K505" s="1568" t="str">
        <f t="shared" si="7"/>
        <v>No</v>
      </c>
      <c r="L505" s="1565"/>
    </row>
    <row r="506" spans="1:12" ht="20.100000000000001" customHeight="1">
      <c r="A506" s="1568" t="s">
        <v>3086</v>
      </c>
      <c r="B506" s="1567">
        <v>42644</v>
      </c>
      <c r="C506" s="1568" t="s">
        <v>3308</v>
      </c>
      <c r="D506" s="1568" t="s">
        <v>2966</v>
      </c>
      <c r="E506" s="1567">
        <v>42735</v>
      </c>
      <c r="F506" s="1566">
        <v>2056</v>
      </c>
      <c r="G506" s="1566">
        <v>0</v>
      </c>
      <c r="H506" s="1567"/>
      <c r="I506" s="1567">
        <v>46296</v>
      </c>
      <c r="J506" s="1567">
        <v>46296</v>
      </c>
      <c r="K506" s="1568" t="str">
        <f t="shared" si="7"/>
        <v>No</v>
      </c>
      <c r="L506" s="1565"/>
    </row>
    <row r="507" spans="1:12" ht="20.100000000000001" customHeight="1">
      <c r="A507" s="1568" t="s">
        <v>3086</v>
      </c>
      <c r="B507" s="1567">
        <v>42644</v>
      </c>
      <c r="C507" s="1568" t="s">
        <v>3308</v>
      </c>
      <c r="D507" s="1568" t="s">
        <v>2966</v>
      </c>
      <c r="E507" s="1567">
        <v>42825</v>
      </c>
      <c r="F507" s="1566">
        <v>2064</v>
      </c>
      <c r="G507" s="1566">
        <v>0</v>
      </c>
      <c r="H507" s="1567"/>
      <c r="I507" s="1567">
        <v>46296</v>
      </c>
      <c r="J507" s="1567">
        <v>46296</v>
      </c>
      <c r="K507" s="1568" t="str">
        <f t="shared" si="7"/>
        <v>No</v>
      </c>
      <c r="L507" s="1565"/>
    </row>
    <row r="508" spans="1:12" ht="20.100000000000001" customHeight="1">
      <c r="A508" s="1568" t="s">
        <v>3086</v>
      </c>
      <c r="B508" s="1567">
        <v>42644</v>
      </c>
      <c r="C508" s="1568" t="s">
        <v>3308</v>
      </c>
      <c r="D508" s="1568" t="s">
        <v>2966</v>
      </c>
      <c r="E508" s="1567">
        <v>42916</v>
      </c>
      <c r="F508" s="1566">
        <v>2056</v>
      </c>
      <c r="G508" s="1566">
        <v>0</v>
      </c>
      <c r="H508" s="1567"/>
      <c r="I508" s="1567">
        <v>46296</v>
      </c>
      <c r="J508" s="1567">
        <v>46296</v>
      </c>
      <c r="K508" s="1568" t="str">
        <f t="shared" si="7"/>
        <v>No</v>
      </c>
      <c r="L508" s="1565"/>
    </row>
    <row r="509" spans="1:12" ht="20.100000000000001" customHeight="1">
      <c r="A509" s="1568" t="s">
        <v>3086</v>
      </c>
      <c r="B509" s="1567">
        <v>42644</v>
      </c>
      <c r="C509" s="1568" t="s">
        <v>3308</v>
      </c>
      <c r="D509" s="1568" t="s">
        <v>2966</v>
      </c>
      <c r="E509" s="1567">
        <v>43008</v>
      </c>
      <c r="F509" s="1566">
        <v>2064</v>
      </c>
      <c r="G509" s="1566">
        <v>0</v>
      </c>
      <c r="H509" s="1567"/>
      <c r="I509" s="1567">
        <v>46296</v>
      </c>
      <c r="J509" s="1567">
        <v>46296</v>
      </c>
      <c r="K509" s="1568" t="str">
        <f t="shared" si="7"/>
        <v>No</v>
      </c>
      <c r="L509" s="1565"/>
    </row>
    <row r="510" spans="1:12" ht="20.100000000000001" customHeight="1">
      <c r="A510" s="1568" t="s">
        <v>3086</v>
      </c>
      <c r="B510" s="1567">
        <v>42644</v>
      </c>
      <c r="C510" s="1568" t="s">
        <v>3308</v>
      </c>
      <c r="D510" s="1568" t="s">
        <v>2966</v>
      </c>
      <c r="E510" s="1567">
        <v>43100</v>
      </c>
      <c r="F510" s="1566">
        <v>2056</v>
      </c>
      <c r="G510" s="1566">
        <v>0</v>
      </c>
      <c r="H510" s="1567"/>
      <c r="I510" s="1567">
        <v>46296</v>
      </c>
      <c r="J510" s="1567">
        <v>46296</v>
      </c>
      <c r="K510" s="1568" t="str">
        <f t="shared" si="7"/>
        <v>No</v>
      </c>
      <c r="L510" s="1565"/>
    </row>
    <row r="511" spans="1:12" ht="20.100000000000001" customHeight="1">
      <c r="A511" s="1568" t="s">
        <v>3086</v>
      </c>
      <c r="B511" s="1567">
        <v>42644</v>
      </c>
      <c r="C511" s="1568" t="s">
        <v>3308</v>
      </c>
      <c r="D511" s="1568" t="s">
        <v>2966</v>
      </c>
      <c r="E511" s="1567">
        <v>43190</v>
      </c>
      <c r="F511" s="1566">
        <v>2064</v>
      </c>
      <c r="G511" s="1566">
        <v>0</v>
      </c>
      <c r="H511" s="1567"/>
      <c r="I511" s="1567">
        <v>46296</v>
      </c>
      <c r="J511" s="1567">
        <v>46296</v>
      </c>
      <c r="K511" s="1568" t="str">
        <f t="shared" si="7"/>
        <v>No</v>
      </c>
      <c r="L511" s="1565"/>
    </row>
    <row r="512" spans="1:12" ht="20.100000000000001" customHeight="1">
      <c r="A512" s="1568" t="s">
        <v>3086</v>
      </c>
      <c r="B512" s="1567">
        <v>42644</v>
      </c>
      <c r="C512" s="1568" t="s">
        <v>3308</v>
      </c>
      <c r="D512" s="1568" t="s">
        <v>2966</v>
      </c>
      <c r="E512" s="1567">
        <v>43281</v>
      </c>
      <c r="F512" s="1566">
        <v>2064</v>
      </c>
      <c r="G512" s="1566">
        <v>0</v>
      </c>
      <c r="H512" s="1567"/>
      <c r="I512" s="1567">
        <v>46296</v>
      </c>
      <c r="J512" s="1567">
        <v>46296</v>
      </c>
      <c r="K512" s="1568" t="str">
        <f t="shared" si="7"/>
        <v>No</v>
      </c>
      <c r="L512" s="1565"/>
    </row>
    <row r="513" spans="1:12" ht="20.100000000000001" customHeight="1">
      <c r="A513" s="1568" t="s">
        <v>3086</v>
      </c>
      <c r="B513" s="1567">
        <v>42644</v>
      </c>
      <c r="C513" s="1568" t="s">
        <v>3308</v>
      </c>
      <c r="D513" s="1568" t="s">
        <v>2966</v>
      </c>
      <c r="E513" s="1567">
        <v>43373</v>
      </c>
      <c r="F513" s="1566">
        <v>2064</v>
      </c>
      <c r="G513" s="1566">
        <v>0</v>
      </c>
      <c r="H513" s="1567"/>
      <c r="I513" s="1567">
        <v>46296</v>
      </c>
      <c r="J513" s="1567">
        <v>46296</v>
      </c>
      <c r="K513" s="1568" t="str">
        <f t="shared" si="7"/>
        <v>No</v>
      </c>
      <c r="L513" s="1565"/>
    </row>
    <row r="514" spans="1:12" ht="20.100000000000001" customHeight="1">
      <c r="A514" s="1568" t="s">
        <v>3084</v>
      </c>
      <c r="B514" s="1567">
        <v>42644</v>
      </c>
      <c r="C514" s="1568" t="s">
        <v>3308</v>
      </c>
      <c r="D514" s="1568" t="s">
        <v>2973</v>
      </c>
      <c r="E514" s="1567">
        <v>42735</v>
      </c>
      <c r="F514" s="1566">
        <v>2056</v>
      </c>
      <c r="G514" s="1566">
        <v>0</v>
      </c>
      <c r="H514" s="1567"/>
      <c r="I514" s="1567">
        <v>46296</v>
      </c>
      <c r="J514" s="1567">
        <v>46296</v>
      </c>
      <c r="K514" s="1568" t="str">
        <f t="shared" si="7"/>
        <v>No</v>
      </c>
      <c r="L514" s="1565"/>
    </row>
    <row r="515" spans="1:12" ht="20.100000000000001" customHeight="1">
      <c r="A515" s="1568" t="s">
        <v>3084</v>
      </c>
      <c r="B515" s="1567">
        <v>42644</v>
      </c>
      <c r="C515" s="1568" t="s">
        <v>3308</v>
      </c>
      <c r="D515" s="1568" t="s">
        <v>2973</v>
      </c>
      <c r="E515" s="1567">
        <v>42825</v>
      </c>
      <c r="F515" s="1566">
        <v>2064</v>
      </c>
      <c r="G515" s="1566">
        <v>0</v>
      </c>
      <c r="H515" s="1567"/>
      <c r="I515" s="1567">
        <v>46296</v>
      </c>
      <c r="J515" s="1567">
        <v>46296</v>
      </c>
      <c r="K515" s="1568" t="str">
        <f t="shared" si="7"/>
        <v>No</v>
      </c>
      <c r="L515" s="1565"/>
    </row>
    <row r="516" spans="1:12" ht="20.100000000000001" customHeight="1">
      <c r="A516" s="1568" t="s">
        <v>3084</v>
      </c>
      <c r="B516" s="1567">
        <v>42644</v>
      </c>
      <c r="C516" s="1568" t="s">
        <v>3308</v>
      </c>
      <c r="D516" s="1568" t="s">
        <v>2973</v>
      </c>
      <c r="E516" s="1567">
        <v>42916</v>
      </c>
      <c r="F516" s="1566">
        <v>2056</v>
      </c>
      <c r="G516" s="1566">
        <v>0</v>
      </c>
      <c r="H516" s="1567"/>
      <c r="I516" s="1567">
        <v>46296</v>
      </c>
      <c r="J516" s="1567">
        <v>46296</v>
      </c>
      <c r="K516" s="1568" t="str">
        <f t="shared" si="7"/>
        <v>No</v>
      </c>
      <c r="L516" s="1565"/>
    </row>
    <row r="517" spans="1:12" ht="20.100000000000001" customHeight="1">
      <c r="A517" s="1568" t="s">
        <v>3084</v>
      </c>
      <c r="B517" s="1567">
        <v>42644</v>
      </c>
      <c r="C517" s="1568" t="s">
        <v>3308</v>
      </c>
      <c r="D517" s="1568" t="s">
        <v>2973</v>
      </c>
      <c r="E517" s="1567">
        <v>43008</v>
      </c>
      <c r="F517" s="1566">
        <v>2064</v>
      </c>
      <c r="G517" s="1566">
        <v>0</v>
      </c>
      <c r="H517" s="1567"/>
      <c r="I517" s="1567">
        <v>46296</v>
      </c>
      <c r="J517" s="1567">
        <v>46296</v>
      </c>
      <c r="K517" s="1568" t="str">
        <f t="shared" ref="K517:K580" si="8">IF(I517="N/A","No",IF(E517&lt;=I517,"No","Yes"))</f>
        <v>No</v>
      </c>
      <c r="L517" s="1565"/>
    </row>
    <row r="518" spans="1:12" ht="20.100000000000001" customHeight="1">
      <c r="A518" s="1568" t="s">
        <v>3084</v>
      </c>
      <c r="B518" s="1567">
        <v>42644</v>
      </c>
      <c r="C518" s="1568" t="s">
        <v>3308</v>
      </c>
      <c r="D518" s="1568" t="s">
        <v>2973</v>
      </c>
      <c r="E518" s="1567">
        <v>43100</v>
      </c>
      <c r="F518" s="1566">
        <v>2056</v>
      </c>
      <c r="G518" s="1566">
        <v>0</v>
      </c>
      <c r="H518" s="1567"/>
      <c r="I518" s="1567">
        <v>46296</v>
      </c>
      <c r="J518" s="1567">
        <v>46296</v>
      </c>
      <c r="K518" s="1568" t="str">
        <f t="shared" si="8"/>
        <v>No</v>
      </c>
      <c r="L518" s="1565"/>
    </row>
    <row r="519" spans="1:12" ht="20.100000000000001" customHeight="1">
      <c r="A519" s="1568" t="s">
        <v>3084</v>
      </c>
      <c r="B519" s="1567">
        <v>42644</v>
      </c>
      <c r="C519" s="1568" t="s">
        <v>3308</v>
      </c>
      <c r="D519" s="1568" t="s">
        <v>2973</v>
      </c>
      <c r="E519" s="1567">
        <v>43190</v>
      </c>
      <c r="F519" s="1566">
        <v>2064</v>
      </c>
      <c r="G519" s="1566">
        <v>0</v>
      </c>
      <c r="H519" s="1567"/>
      <c r="I519" s="1567">
        <v>46296</v>
      </c>
      <c r="J519" s="1567">
        <v>46296</v>
      </c>
      <c r="K519" s="1568" t="str">
        <f t="shared" si="8"/>
        <v>No</v>
      </c>
      <c r="L519" s="1565"/>
    </row>
    <row r="520" spans="1:12" ht="20.100000000000001" customHeight="1">
      <c r="A520" s="1568" t="s">
        <v>3084</v>
      </c>
      <c r="B520" s="1567">
        <v>42644</v>
      </c>
      <c r="C520" s="1568" t="s">
        <v>3308</v>
      </c>
      <c r="D520" s="1568" t="s">
        <v>2973</v>
      </c>
      <c r="E520" s="1567">
        <v>43281</v>
      </c>
      <c r="F520" s="1566">
        <v>2064</v>
      </c>
      <c r="G520" s="1566">
        <v>0</v>
      </c>
      <c r="H520" s="1567"/>
      <c r="I520" s="1567">
        <v>46296</v>
      </c>
      <c r="J520" s="1567">
        <v>46296</v>
      </c>
      <c r="K520" s="1568" t="str">
        <f t="shared" si="8"/>
        <v>No</v>
      </c>
      <c r="L520" s="1565"/>
    </row>
    <row r="521" spans="1:12" ht="20.100000000000001" customHeight="1">
      <c r="A521" s="1568" t="s">
        <v>3084</v>
      </c>
      <c r="B521" s="1567">
        <v>42644</v>
      </c>
      <c r="C521" s="1568" t="s">
        <v>3308</v>
      </c>
      <c r="D521" s="1568" t="s">
        <v>2973</v>
      </c>
      <c r="E521" s="1567">
        <v>43373</v>
      </c>
      <c r="F521" s="1566">
        <v>2064</v>
      </c>
      <c r="G521" s="1566">
        <v>0</v>
      </c>
      <c r="H521" s="1567"/>
      <c r="I521" s="1567">
        <v>46296</v>
      </c>
      <c r="J521" s="1567">
        <v>46296</v>
      </c>
      <c r="K521" s="1568" t="str">
        <f t="shared" si="8"/>
        <v>No</v>
      </c>
      <c r="L521" s="1565"/>
    </row>
    <row r="522" spans="1:12" ht="20.100000000000001" customHeight="1">
      <c r="A522" s="1568" t="s">
        <v>3082</v>
      </c>
      <c r="B522" s="1567">
        <v>42649</v>
      </c>
      <c r="C522" s="1568" t="s">
        <v>3308</v>
      </c>
      <c r="D522" s="1568" t="s">
        <v>2984</v>
      </c>
      <c r="E522" s="1567">
        <v>42649</v>
      </c>
      <c r="F522" s="1566">
        <v>16488</v>
      </c>
      <c r="G522" s="1566">
        <v>16488</v>
      </c>
      <c r="H522" s="1567">
        <v>42783</v>
      </c>
      <c r="I522" s="1567">
        <v>46301</v>
      </c>
      <c r="J522" s="1567">
        <v>46301</v>
      </c>
      <c r="K522" s="1568" t="str">
        <f t="shared" si="8"/>
        <v>No</v>
      </c>
      <c r="L522" s="1565"/>
    </row>
    <row r="523" spans="1:12" ht="20.100000000000001" customHeight="1">
      <c r="A523" s="1568" t="s">
        <v>3082</v>
      </c>
      <c r="B523" s="1567">
        <v>42649</v>
      </c>
      <c r="C523" s="1568" t="s">
        <v>3308</v>
      </c>
      <c r="D523" s="1568" t="s">
        <v>2984</v>
      </c>
      <c r="E523" s="1567">
        <v>42649</v>
      </c>
      <c r="F523" s="1566">
        <v>0</v>
      </c>
      <c r="G523" s="1566">
        <v>0</v>
      </c>
      <c r="H523" s="1567"/>
      <c r="I523" s="1567">
        <v>46301</v>
      </c>
      <c r="J523" s="1567">
        <v>46301</v>
      </c>
      <c r="K523" s="1568" t="str">
        <f t="shared" si="8"/>
        <v>No</v>
      </c>
      <c r="L523" s="1565"/>
    </row>
    <row r="524" spans="1:12" ht="20.100000000000001" customHeight="1">
      <c r="A524" s="1568" t="s">
        <v>3081</v>
      </c>
      <c r="B524" s="1567">
        <v>42649</v>
      </c>
      <c r="C524" s="1568" t="s">
        <v>3308</v>
      </c>
      <c r="D524" s="1568" t="s">
        <v>2966</v>
      </c>
      <c r="E524" s="1567">
        <v>42649</v>
      </c>
      <c r="F524" s="1566">
        <v>4000</v>
      </c>
      <c r="G524" s="1566">
        <v>4000</v>
      </c>
      <c r="H524" s="1567">
        <v>42783</v>
      </c>
      <c r="I524" s="1567">
        <v>46301</v>
      </c>
      <c r="J524" s="1567">
        <v>46301</v>
      </c>
      <c r="K524" s="1568" t="str">
        <f t="shared" si="8"/>
        <v>No</v>
      </c>
      <c r="L524" s="1565"/>
    </row>
    <row r="525" spans="1:12" ht="20.100000000000001" customHeight="1">
      <c r="A525" s="1568" t="s">
        <v>3081</v>
      </c>
      <c r="B525" s="1567">
        <v>42649</v>
      </c>
      <c r="C525" s="1568" t="s">
        <v>3308</v>
      </c>
      <c r="D525" s="1568" t="s">
        <v>2966</v>
      </c>
      <c r="E525" s="1567">
        <v>42649</v>
      </c>
      <c r="F525" s="1566">
        <v>0</v>
      </c>
      <c r="G525" s="1566">
        <v>0</v>
      </c>
      <c r="H525" s="1567"/>
      <c r="I525" s="1567">
        <v>46301</v>
      </c>
      <c r="J525" s="1567">
        <v>46301</v>
      </c>
      <c r="K525" s="1568" t="str">
        <f t="shared" si="8"/>
        <v>No</v>
      </c>
      <c r="L525" s="1565"/>
    </row>
    <row r="526" spans="1:12" ht="20.100000000000001" customHeight="1">
      <c r="A526" s="1568" t="s">
        <v>3080</v>
      </c>
      <c r="B526" s="1567">
        <v>42675</v>
      </c>
      <c r="C526" s="1568" t="s">
        <v>3308</v>
      </c>
      <c r="D526" s="1568" t="s">
        <v>2998</v>
      </c>
      <c r="E526" s="1567">
        <v>42675</v>
      </c>
      <c r="F526" s="1566">
        <v>8000</v>
      </c>
      <c r="G526" s="1566">
        <v>8000</v>
      </c>
      <c r="H526" s="1567">
        <v>42783</v>
      </c>
      <c r="I526" s="1567">
        <v>46327</v>
      </c>
      <c r="J526" s="1567">
        <v>46327</v>
      </c>
      <c r="K526" s="1568" t="str">
        <f t="shared" si="8"/>
        <v>No</v>
      </c>
      <c r="L526" s="1565"/>
    </row>
    <row r="527" spans="1:12" ht="20.100000000000001" customHeight="1">
      <c r="A527" s="1568" t="s">
        <v>3080</v>
      </c>
      <c r="B527" s="1567">
        <v>42675</v>
      </c>
      <c r="C527" s="1568" t="s">
        <v>3308</v>
      </c>
      <c r="D527" s="1568" t="s">
        <v>2998</v>
      </c>
      <c r="E527" s="1567">
        <v>42675</v>
      </c>
      <c r="F527" s="1566">
        <v>0</v>
      </c>
      <c r="G527" s="1566">
        <v>0</v>
      </c>
      <c r="H527" s="1567"/>
      <c r="I527" s="1567">
        <v>46327</v>
      </c>
      <c r="J527" s="1567">
        <v>46327</v>
      </c>
      <c r="K527" s="1568" t="str">
        <f t="shared" si="8"/>
        <v>No</v>
      </c>
      <c r="L527" s="1565"/>
    </row>
    <row r="528" spans="1:12" ht="20.100000000000001" customHeight="1">
      <c r="A528" s="1568" t="s">
        <v>3079</v>
      </c>
      <c r="B528" s="1567">
        <v>42963</v>
      </c>
      <c r="C528" s="1568" t="s">
        <v>3308</v>
      </c>
      <c r="D528" s="1568" t="s">
        <v>2999</v>
      </c>
      <c r="E528" s="1567">
        <v>43160</v>
      </c>
      <c r="F528" s="1566">
        <v>9771</v>
      </c>
      <c r="G528" s="1566">
        <v>9771</v>
      </c>
      <c r="H528" s="1567">
        <v>43162</v>
      </c>
      <c r="I528" s="1567">
        <v>46614</v>
      </c>
      <c r="J528" s="1567">
        <v>46614</v>
      </c>
      <c r="K528" s="1568" t="str">
        <f t="shared" si="8"/>
        <v>No</v>
      </c>
      <c r="L528" s="1565"/>
    </row>
    <row r="529" spans="1:12" ht="20.100000000000001" customHeight="1">
      <c r="A529" s="1568" t="s">
        <v>3079</v>
      </c>
      <c r="B529" s="1567">
        <v>42963</v>
      </c>
      <c r="C529" s="1568" t="s">
        <v>3308</v>
      </c>
      <c r="D529" s="1568" t="s">
        <v>2999</v>
      </c>
      <c r="E529" s="1567">
        <v>43160</v>
      </c>
      <c r="F529" s="1566">
        <v>0</v>
      </c>
      <c r="G529" s="1566">
        <v>0</v>
      </c>
      <c r="H529" s="1567">
        <v>43198</v>
      </c>
      <c r="I529" s="1567">
        <v>46614</v>
      </c>
      <c r="J529" s="1567">
        <v>46614</v>
      </c>
      <c r="K529" s="1568" t="str">
        <f t="shared" si="8"/>
        <v>No</v>
      </c>
      <c r="L529" s="1565"/>
    </row>
    <row r="530" spans="1:12" ht="20.100000000000001" customHeight="1">
      <c r="A530" s="1568" t="s">
        <v>3079</v>
      </c>
      <c r="B530" s="1567">
        <v>42963</v>
      </c>
      <c r="C530" s="1568" t="s">
        <v>3308</v>
      </c>
      <c r="D530" s="1568" t="s">
        <v>2999</v>
      </c>
      <c r="E530" s="1567">
        <v>43191</v>
      </c>
      <c r="F530" s="1566">
        <v>814</v>
      </c>
      <c r="G530" s="1566">
        <v>814</v>
      </c>
      <c r="H530" s="1567">
        <v>43198</v>
      </c>
      <c r="I530" s="1567">
        <v>46614</v>
      </c>
      <c r="J530" s="1567">
        <v>46614</v>
      </c>
      <c r="K530" s="1568" t="str">
        <f t="shared" si="8"/>
        <v>No</v>
      </c>
      <c r="L530" s="1565"/>
    </row>
    <row r="531" spans="1:12" ht="20.100000000000001" customHeight="1">
      <c r="A531" s="1568" t="s">
        <v>3079</v>
      </c>
      <c r="B531" s="1567">
        <v>42963</v>
      </c>
      <c r="C531" s="1568" t="s">
        <v>3308</v>
      </c>
      <c r="D531" s="1568" t="s">
        <v>2999</v>
      </c>
      <c r="E531" s="1567">
        <v>43191</v>
      </c>
      <c r="F531" s="1566">
        <v>0</v>
      </c>
      <c r="G531" s="1566">
        <v>0</v>
      </c>
      <c r="H531" s="1567">
        <v>43253</v>
      </c>
      <c r="I531" s="1567">
        <v>46614</v>
      </c>
      <c r="J531" s="1567">
        <v>46614</v>
      </c>
      <c r="K531" s="1568" t="str">
        <f t="shared" si="8"/>
        <v>No</v>
      </c>
      <c r="L531" s="1565"/>
    </row>
    <row r="532" spans="1:12" ht="20.100000000000001" customHeight="1">
      <c r="A532" s="1568" t="s">
        <v>3079</v>
      </c>
      <c r="B532" s="1567">
        <v>42963</v>
      </c>
      <c r="C532" s="1568" t="s">
        <v>3308</v>
      </c>
      <c r="D532" s="1568" t="s">
        <v>2999</v>
      </c>
      <c r="E532" s="1567">
        <v>43221</v>
      </c>
      <c r="F532" s="1566">
        <v>815</v>
      </c>
      <c r="G532" s="1566">
        <v>815</v>
      </c>
      <c r="H532" s="1567">
        <v>43253</v>
      </c>
      <c r="I532" s="1567">
        <v>46614</v>
      </c>
      <c r="J532" s="1567">
        <v>46614</v>
      </c>
      <c r="K532" s="1568" t="str">
        <f t="shared" si="8"/>
        <v>No</v>
      </c>
      <c r="L532" s="1565"/>
    </row>
    <row r="533" spans="1:12" ht="20.100000000000001" customHeight="1">
      <c r="A533" s="1568" t="s">
        <v>3079</v>
      </c>
      <c r="B533" s="1567">
        <v>42963</v>
      </c>
      <c r="C533" s="1568" t="s">
        <v>3308</v>
      </c>
      <c r="D533" s="1568" t="s">
        <v>2999</v>
      </c>
      <c r="E533" s="1567">
        <v>43252</v>
      </c>
      <c r="F533" s="1566">
        <v>814</v>
      </c>
      <c r="G533" s="1566">
        <v>814</v>
      </c>
      <c r="H533" s="1567">
        <v>43253</v>
      </c>
      <c r="I533" s="1567">
        <v>46614</v>
      </c>
      <c r="J533" s="1567">
        <v>46614</v>
      </c>
      <c r="K533" s="1568" t="str">
        <f t="shared" si="8"/>
        <v>No</v>
      </c>
      <c r="L533" s="1565"/>
    </row>
    <row r="534" spans="1:12" ht="20.100000000000001" customHeight="1">
      <c r="A534" s="1568" t="s">
        <v>3079</v>
      </c>
      <c r="B534" s="1567">
        <v>42963</v>
      </c>
      <c r="C534" s="1568" t="s">
        <v>3308</v>
      </c>
      <c r="D534" s="1568" t="s">
        <v>2999</v>
      </c>
      <c r="E534" s="1567">
        <v>43252</v>
      </c>
      <c r="F534" s="1566">
        <v>0</v>
      </c>
      <c r="G534" s="1566">
        <v>0</v>
      </c>
      <c r="H534" s="1567">
        <v>43282</v>
      </c>
      <c r="I534" s="1567">
        <v>46614</v>
      </c>
      <c r="J534" s="1567">
        <v>46614</v>
      </c>
      <c r="K534" s="1568" t="str">
        <f t="shared" si="8"/>
        <v>No</v>
      </c>
      <c r="L534" s="1565"/>
    </row>
    <row r="535" spans="1:12" ht="20.100000000000001" customHeight="1">
      <c r="A535" s="1568" t="s">
        <v>3079</v>
      </c>
      <c r="B535" s="1567">
        <v>42963</v>
      </c>
      <c r="C535" s="1568" t="s">
        <v>3308</v>
      </c>
      <c r="D535" s="1568" t="s">
        <v>2999</v>
      </c>
      <c r="E535" s="1567">
        <v>43282</v>
      </c>
      <c r="F535" s="1566">
        <v>814</v>
      </c>
      <c r="G535" s="1566">
        <v>814</v>
      </c>
      <c r="H535" s="1567">
        <v>43282</v>
      </c>
      <c r="I535" s="1567">
        <v>46614</v>
      </c>
      <c r="J535" s="1567">
        <v>46614</v>
      </c>
      <c r="K535" s="1568" t="str">
        <f t="shared" si="8"/>
        <v>No</v>
      </c>
      <c r="L535" s="1565"/>
    </row>
    <row r="536" spans="1:12" ht="20.100000000000001" customHeight="1">
      <c r="A536" s="1568" t="s">
        <v>3079</v>
      </c>
      <c r="B536" s="1567">
        <v>42963</v>
      </c>
      <c r="C536" s="1568" t="s">
        <v>3308</v>
      </c>
      <c r="D536" s="1568" t="s">
        <v>2999</v>
      </c>
      <c r="E536" s="1567">
        <v>43282</v>
      </c>
      <c r="F536" s="1566">
        <v>0</v>
      </c>
      <c r="G536" s="1566">
        <v>0</v>
      </c>
      <c r="H536" s="1567">
        <v>43313</v>
      </c>
      <c r="I536" s="1567">
        <v>46614</v>
      </c>
      <c r="J536" s="1567">
        <v>46614</v>
      </c>
      <c r="K536" s="1568" t="str">
        <f t="shared" si="8"/>
        <v>No</v>
      </c>
      <c r="L536" s="1565"/>
    </row>
    <row r="537" spans="1:12" ht="20.100000000000001" customHeight="1">
      <c r="A537" s="1568" t="s">
        <v>3079</v>
      </c>
      <c r="B537" s="1567">
        <v>42963</v>
      </c>
      <c r="C537" s="1568" t="s">
        <v>3308</v>
      </c>
      <c r="D537" s="1568" t="s">
        <v>2999</v>
      </c>
      <c r="E537" s="1567">
        <v>43313</v>
      </c>
      <c r="F537" s="1566">
        <v>814</v>
      </c>
      <c r="G537" s="1566">
        <v>814</v>
      </c>
      <c r="H537" s="1567">
        <v>43313</v>
      </c>
      <c r="I537" s="1567">
        <v>46614</v>
      </c>
      <c r="J537" s="1567">
        <v>46614</v>
      </c>
      <c r="K537" s="1568" t="str">
        <f t="shared" si="8"/>
        <v>No</v>
      </c>
      <c r="L537" s="1565"/>
    </row>
    <row r="538" spans="1:12" ht="20.100000000000001" customHeight="1">
      <c r="A538" s="1568" t="s">
        <v>3079</v>
      </c>
      <c r="B538" s="1567">
        <v>42963</v>
      </c>
      <c r="C538" s="1568" t="s">
        <v>3308</v>
      </c>
      <c r="D538" s="1568" t="s">
        <v>2999</v>
      </c>
      <c r="E538" s="1567">
        <v>43313</v>
      </c>
      <c r="F538" s="1566">
        <v>0</v>
      </c>
      <c r="G538" s="1566">
        <v>0</v>
      </c>
      <c r="H538" s="1567">
        <v>43344</v>
      </c>
      <c r="I538" s="1567">
        <v>46614</v>
      </c>
      <c r="J538" s="1567">
        <v>46614</v>
      </c>
      <c r="K538" s="1568" t="str">
        <f t="shared" si="8"/>
        <v>No</v>
      </c>
      <c r="L538" s="1565"/>
    </row>
    <row r="539" spans="1:12" ht="20.100000000000001" customHeight="1">
      <c r="A539" s="1568" t="s">
        <v>3079</v>
      </c>
      <c r="B539" s="1567">
        <v>42963</v>
      </c>
      <c r="C539" s="1568" t="s">
        <v>3308</v>
      </c>
      <c r="D539" s="1568" t="s">
        <v>2999</v>
      </c>
      <c r="E539" s="1567">
        <v>43344</v>
      </c>
      <c r="F539" s="1566">
        <v>815</v>
      </c>
      <c r="G539" s="1566">
        <v>815</v>
      </c>
      <c r="H539" s="1567">
        <v>43344</v>
      </c>
      <c r="I539" s="1567">
        <v>46614</v>
      </c>
      <c r="J539" s="1567">
        <v>46614</v>
      </c>
      <c r="K539" s="1568" t="str">
        <f t="shared" si="8"/>
        <v>No</v>
      </c>
      <c r="L539" s="1565"/>
    </row>
    <row r="540" spans="1:12" ht="20.100000000000001" customHeight="1">
      <c r="A540" s="1568" t="s">
        <v>3079</v>
      </c>
      <c r="B540" s="1567">
        <v>42963</v>
      </c>
      <c r="C540" s="1568" t="s">
        <v>3308</v>
      </c>
      <c r="D540" s="1568" t="s">
        <v>2999</v>
      </c>
      <c r="E540" s="1567">
        <v>43344</v>
      </c>
      <c r="F540" s="1566">
        <v>0</v>
      </c>
      <c r="G540" s="1566">
        <v>0</v>
      </c>
      <c r="H540" s="1567">
        <v>43375</v>
      </c>
      <c r="I540" s="1567">
        <v>46614</v>
      </c>
      <c r="J540" s="1567">
        <v>46614</v>
      </c>
      <c r="K540" s="1568" t="str">
        <f t="shared" si="8"/>
        <v>No</v>
      </c>
      <c r="L540" s="1565"/>
    </row>
    <row r="541" spans="1:12" ht="20.100000000000001" customHeight="1">
      <c r="A541" s="1568" t="s">
        <v>3079</v>
      </c>
      <c r="B541" s="1567">
        <v>42963</v>
      </c>
      <c r="C541" s="1568" t="s">
        <v>3308</v>
      </c>
      <c r="D541" s="1568" t="s">
        <v>2999</v>
      </c>
      <c r="E541" s="1567">
        <v>43374</v>
      </c>
      <c r="F541" s="1566">
        <v>814</v>
      </c>
      <c r="G541" s="1566">
        <v>814</v>
      </c>
      <c r="H541" s="1567">
        <v>43375</v>
      </c>
      <c r="I541" s="1567">
        <v>46614</v>
      </c>
      <c r="J541" s="1567">
        <v>46614</v>
      </c>
      <c r="K541" s="1568" t="str">
        <f t="shared" si="8"/>
        <v>No</v>
      </c>
      <c r="L541" s="1565"/>
    </row>
    <row r="542" spans="1:12" ht="20.100000000000001" customHeight="1">
      <c r="A542" s="1568" t="s">
        <v>3079</v>
      </c>
      <c r="B542" s="1567">
        <v>42963</v>
      </c>
      <c r="C542" s="1568" t="s">
        <v>3308</v>
      </c>
      <c r="D542" s="1568" t="s">
        <v>2999</v>
      </c>
      <c r="E542" s="1567">
        <v>43374</v>
      </c>
      <c r="F542" s="1566">
        <v>0</v>
      </c>
      <c r="G542" s="1566">
        <v>0</v>
      </c>
      <c r="H542" s="1567">
        <v>43407</v>
      </c>
      <c r="I542" s="1567">
        <v>46614</v>
      </c>
      <c r="J542" s="1567">
        <v>46614</v>
      </c>
      <c r="K542" s="1568" t="str">
        <f t="shared" si="8"/>
        <v>No</v>
      </c>
      <c r="L542" s="1565"/>
    </row>
    <row r="543" spans="1:12" ht="20.100000000000001" customHeight="1">
      <c r="A543" s="1568" t="s">
        <v>3079</v>
      </c>
      <c r="B543" s="1567">
        <v>42963</v>
      </c>
      <c r="C543" s="1568" t="s">
        <v>3308</v>
      </c>
      <c r="D543" s="1568" t="s">
        <v>2999</v>
      </c>
      <c r="E543" s="1567">
        <v>43405</v>
      </c>
      <c r="F543" s="1566">
        <v>814</v>
      </c>
      <c r="G543" s="1566">
        <v>814</v>
      </c>
      <c r="H543" s="1567">
        <v>43407</v>
      </c>
      <c r="I543" s="1567">
        <v>46614</v>
      </c>
      <c r="J543" s="1567">
        <v>46614</v>
      </c>
      <c r="K543" s="1568" t="str">
        <f t="shared" si="8"/>
        <v>No</v>
      </c>
      <c r="L543" s="1565"/>
    </row>
    <row r="544" spans="1:12" ht="20.100000000000001" customHeight="1">
      <c r="A544" s="1568" t="s">
        <v>3079</v>
      </c>
      <c r="B544" s="1567">
        <v>42963</v>
      </c>
      <c r="C544" s="1568" t="s">
        <v>3308</v>
      </c>
      <c r="D544" s="1568" t="s">
        <v>2999</v>
      </c>
      <c r="E544" s="1567">
        <v>43405</v>
      </c>
      <c r="F544" s="1566">
        <v>0</v>
      </c>
      <c r="G544" s="1566">
        <v>0</v>
      </c>
      <c r="H544" s="1567">
        <v>43436</v>
      </c>
      <c r="I544" s="1567">
        <v>46614</v>
      </c>
      <c r="J544" s="1567">
        <v>46614</v>
      </c>
      <c r="K544" s="1568" t="str">
        <f t="shared" si="8"/>
        <v>No</v>
      </c>
      <c r="L544" s="1565"/>
    </row>
    <row r="545" spans="1:12" ht="20.100000000000001" customHeight="1">
      <c r="A545" s="1568" t="s">
        <v>3079</v>
      </c>
      <c r="B545" s="1567">
        <v>42963</v>
      </c>
      <c r="C545" s="1568" t="s">
        <v>3308</v>
      </c>
      <c r="D545" s="1568" t="s">
        <v>2999</v>
      </c>
      <c r="E545" s="1567">
        <v>43435</v>
      </c>
      <c r="F545" s="1566">
        <v>815</v>
      </c>
      <c r="G545" s="1566">
        <v>815</v>
      </c>
      <c r="H545" s="1567">
        <v>43436</v>
      </c>
      <c r="I545" s="1567">
        <v>46614</v>
      </c>
      <c r="J545" s="1567">
        <v>46614</v>
      </c>
      <c r="K545" s="1568" t="str">
        <f t="shared" si="8"/>
        <v>No</v>
      </c>
      <c r="L545" s="1565"/>
    </row>
    <row r="546" spans="1:12" ht="20.100000000000001" customHeight="1">
      <c r="A546" s="1568" t="s">
        <v>3079</v>
      </c>
      <c r="B546" s="1567">
        <v>42963</v>
      </c>
      <c r="C546" s="1568" t="s">
        <v>3308</v>
      </c>
      <c r="D546" s="1568" t="s">
        <v>2999</v>
      </c>
      <c r="E546" s="1567">
        <v>43435</v>
      </c>
      <c r="F546" s="1566">
        <v>0</v>
      </c>
      <c r="G546" s="1566">
        <v>0</v>
      </c>
      <c r="H546" s="1567">
        <v>43466</v>
      </c>
      <c r="I546" s="1567">
        <v>46614</v>
      </c>
      <c r="J546" s="1567">
        <v>46614</v>
      </c>
      <c r="K546" s="1568" t="str">
        <f t="shared" si="8"/>
        <v>No</v>
      </c>
      <c r="L546" s="1565"/>
    </row>
    <row r="547" spans="1:12" ht="20.100000000000001" customHeight="1">
      <c r="A547" s="1568" t="s">
        <v>3079</v>
      </c>
      <c r="B547" s="1567">
        <v>42963</v>
      </c>
      <c r="C547" s="1568" t="s">
        <v>3308</v>
      </c>
      <c r="D547" s="1568" t="s">
        <v>2999</v>
      </c>
      <c r="E547" s="1567">
        <v>43466</v>
      </c>
      <c r="F547" s="1566">
        <v>814</v>
      </c>
      <c r="G547" s="1566">
        <v>814</v>
      </c>
      <c r="H547" s="1567">
        <v>43466</v>
      </c>
      <c r="I547" s="1567">
        <v>46614</v>
      </c>
      <c r="J547" s="1567">
        <v>46614</v>
      </c>
      <c r="K547" s="1568" t="str">
        <f t="shared" si="8"/>
        <v>No</v>
      </c>
      <c r="L547" s="1565"/>
    </row>
    <row r="548" spans="1:12" ht="20.100000000000001" customHeight="1">
      <c r="A548" s="1568" t="s">
        <v>3079</v>
      </c>
      <c r="B548" s="1567">
        <v>42963</v>
      </c>
      <c r="C548" s="1568" t="s">
        <v>3308</v>
      </c>
      <c r="D548" s="1568" t="s">
        <v>2999</v>
      </c>
      <c r="E548" s="1567">
        <v>43466</v>
      </c>
      <c r="F548" s="1566">
        <v>0</v>
      </c>
      <c r="G548" s="1566">
        <v>0</v>
      </c>
      <c r="H548" s="1567">
        <v>43497</v>
      </c>
      <c r="I548" s="1567">
        <v>46614</v>
      </c>
      <c r="J548" s="1567">
        <v>46614</v>
      </c>
      <c r="K548" s="1568" t="str">
        <f t="shared" si="8"/>
        <v>No</v>
      </c>
      <c r="L548" s="1565"/>
    </row>
    <row r="549" spans="1:12" ht="20.100000000000001" customHeight="1">
      <c r="A549" s="1568" t="s">
        <v>3079</v>
      </c>
      <c r="B549" s="1567">
        <v>42963</v>
      </c>
      <c r="C549" s="1568" t="s">
        <v>3308</v>
      </c>
      <c r="D549" s="1568" t="s">
        <v>2999</v>
      </c>
      <c r="E549" s="1567">
        <v>43497</v>
      </c>
      <c r="F549" s="1566">
        <v>814</v>
      </c>
      <c r="G549" s="1566">
        <v>814</v>
      </c>
      <c r="H549" s="1567">
        <v>43497</v>
      </c>
      <c r="I549" s="1567">
        <v>46614</v>
      </c>
      <c r="J549" s="1567">
        <v>46614</v>
      </c>
      <c r="K549" s="1568" t="str">
        <f t="shared" si="8"/>
        <v>No</v>
      </c>
      <c r="L549" s="1565"/>
    </row>
    <row r="550" spans="1:12" ht="20.100000000000001" customHeight="1">
      <c r="A550" s="1568" t="s">
        <v>3079</v>
      </c>
      <c r="B550" s="1567">
        <v>42963</v>
      </c>
      <c r="C550" s="1568" t="s">
        <v>3308</v>
      </c>
      <c r="D550" s="1568" t="s">
        <v>2999</v>
      </c>
      <c r="E550" s="1567">
        <v>43497</v>
      </c>
      <c r="F550" s="1566">
        <v>0</v>
      </c>
      <c r="G550" s="1566">
        <v>0</v>
      </c>
      <c r="H550" s="1567"/>
      <c r="I550" s="1567">
        <v>46614</v>
      </c>
      <c r="J550" s="1567">
        <v>46614</v>
      </c>
      <c r="K550" s="1568" t="str">
        <f t="shared" si="8"/>
        <v>No</v>
      </c>
      <c r="L550" s="1565"/>
    </row>
    <row r="551" spans="1:12" ht="20.100000000000001" customHeight="1">
      <c r="A551" s="1568" t="s">
        <v>3079</v>
      </c>
      <c r="B551" s="1567">
        <v>42963</v>
      </c>
      <c r="C551" s="1568" t="s">
        <v>3308</v>
      </c>
      <c r="D551" s="1568" t="s">
        <v>2999</v>
      </c>
      <c r="E551" s="1567">
        <v>43525</v>
      </c>
      <c r="F551" s="1566">
        <v>815</v>
      </c>
      <c r="G551" s="1566">
        <v>0</v>
      </c>
      <c r="H551" s="1567"/>
      <c r="I551" s="1567">
        <v>46614</v>
      </c>
      <c r="J551" s="1567">
        <v>46614</v>
      </c>
      <c r="K551" s="1568" t="str">
        <f t="shared" si="8"/>
        <v>No</v>
      </c>
      <c r="L551" s="1565"/>
    </row>
    <row r="552" spans="1:12" ht="20.100000000000001" customHeight="1">
      <c r="A552" s="1568" t="s">
        <v>3079</v>
      </c>
      <c r="B552" s="1567">
        <v>42963</v>
      </c>
      <c r="C552" s="1568" t="s">
        <v>3308</v>
      </c>
      <c r="D552" s="1568" t="s">
        <v>2999</v>
      </c>
      <c r="E552" s="1567">
        <v>43556</v>
      </c>
      <c r="F552" s="1566">
        <v>814</v>
      </c>
      <c r="G552" s="1566">
        <v>0</v>
      </c>
      <c r="H552" s="1567"/>
      <c r="I552" s="1567">
        <v>46614</v>
      </c>
      <c r="J552" s="1567">
        <v>46614</v>
      </c>
      <c r="K552" s="1568" t="str">
        <f t="shared" si="8"/>
        <v>No</v>
      </c>
      <c r="L552" s="1565"/>
    </row>
    <row r="553" spans="1:12" ht="20.100000000000001" customHeight="1">
      <c r="A553" s="1568" t="s">
        <v>3079</v>
      </c>
      <c r="B553" s="1567">
        <v>42963</v>
      </c>
      <c r="C553" s="1568" t="s">
        <v>3308</v>
      </c>
      <c r="D553" s="1568" t="s">
        <v>2999</v>
      </c>
      <c r="E553" s="1567">
        <v>43586</v>
      </c>
      <c r="F553" s="1566">
        <v>814</v>
      </c>
      <c r="G553" s="1566">
        <v>0</v>
      </c>
      <c r="H553" s="1567"/>
      <c r="I553" s="1567">
        <v>46614</v>
      </c>
      <c r="J553" s="1567">
        <v>46614</v>
      </c>
      <c r="K553" s="1568" t="str">
        <f t="shared" si="8"/>
        <v>No</v>
      </c>
      <c r="L553" s="1565"/>
    </row>
    <row r="554" spans="1:12" ht="20.100000000000001" customHeight="1">
      <c r="A554" s="1568" t="s">
        <v>3079</v>
      </c>
      <c r="B554" s="1567">
        <v>42963</v>
      </c>
      <c r="C554" s="1568" t="s">
        <v>3308</v>
      </c>
      <c r="D554" s="1568" t="s">
        <v>2999</v>
      </c>
      <c r="E554" s="1567">
        <v>43617</v>
      </c>
      <c r="F554" s="1566">
        <v>814</v>
      </c>
      <c r="G554" s="1566">
        <v>0</v>
      </c>
      <c r="H554" s="1567"/>
      <c r="I554" s="1567">
        <v>46614</v>
      </c>
      <c r="J554" s="1567">
        <v>46614</v>
      </c>
      <c r="K554" s="1568" t="str">
        <f t="shared" si="8"/>
        <v>No</v>
      </c>
      <c r="L554" s="1565"/>
    </row>
    <row r="555" spans="1:12" ht="20.100000000000001" customHeight="1">
      <c r="A555" s="1568" t="s">
        <v>3079</v>
      </c>
      <c r="B555" s="1567">
        <v>42963</v>
      </c>
      <c r="C555" s="1568" t="s">
        <v>3308</v>
      </c>
      <c r="D555" s="1568" t="s">
        <v>2999</v>
      </c>
      <c r="E555" s="1567">
        <v>43647</v>
      </c>
      <c r="F555" s="1566">
        <v>815</v>
      </c>
      <c r="G555" s="1566">
        <v>0</v>
      </c>
      <c r="H555" s="1567"/>
      <c r="I555" s="1567">
        <v>46614</v>
      </c>
      <c r="J555" s="1567">
        <v>46614</v>
      </c>
      <c r="K555" s="1568" t="str">
        <f t="shared" si="8"/>
        <v>No</v>
      </c>
      <c r="L555" s="1565"/>
    </row>
    <row r="556" spans="1:12" ht="20.100000000000001" customHeight="1">
      <c r="A556" s="1568" t="s">
        <v>3079</v>
      </c>
      <c r="B556" s="1567">
        <v>42963</v>
      </c>
      <c r="C556" s="1568" t="s">
        <v>3308</v>
      </c>
      <c r="D556" s="1568" t="s">
        <v>2999</v>
      </c>
      <c r="E556" s="1567">
        <v>43678</v>
      </c>
      <c r="F556" s="1566">
        <v>814</v>
      </c>
      <c r="G556" s="1566">
        <v>0</v>
      </c>
      <c r="H556" s="1567"/>
      <c r="I556" s="1567">
        <v>46614</v>
      </c>
      <c r="J556" s="1567">
        <v>46614</v>
      </c>
      <c r="K556" s="1568" t="str">
        <f t="shared" si="8"/>
        <v>No</v>
      </c>
      <c r="L556" s="1565"/>
    </row>
    <row r="557" spans="1:12" ht="20.100000000000001" customHeight="1">
      <c r="A557" s="1568" t="s">
        <v>3079</v>
      </c>
      <c r="B557" s="1567">
        <v>42963</v>
      </c>
      <c r="C557" s="1568" t="s">
        <v>3308</v>
      </c>
      <c r="D557" s="1568" t="s">
        <v>2999</v>
      </c>
      <c r="E557" s="1567">
        <v>43709</v>
      </c>
      <c r="F557" s="1566">
        <v>814</v>
      </c>
      <c r="G557" s="1566">
        <v>0</v>
      </c>
      <c r="H557" s="1567"/>
      <c r="I557" s="1567">
        <v>46614</v>
      </c>
      <c r="J557" s="1567">
        <v>46614</v>
      </c>
      <c r="K557" s="1568" t="str">
        <f t="shared" si="8"/>
        <v>No</v>
      </c>
      <c r="L557" s="1565"/>
    </row>
    <row r="558" spans="1:12" ht="20.100000000000001" customHeight="1">
      <c r="A558" s="1568" t="s">
        <v>3079</v>
      </c>
      <c r="B558" s="1567">
        <v>42963</v>
      </c>
      <c r="C558" s="1568" t="s">
        <v>3308</v>
      </c>
      <c r="D558" s="1568" t="s">
        <v>2999</v>
      </c>
      <c r="E558" s="1567">
        <v>43739</v>
      </c>
      <c r="F558" s="1566">
        <v>815</v>
      </c>
      <c r="G558" s="1566">
        <v>0</v>
      </c>
      <c r="H558" s="1567"/>
      <c r="I558" s="1567">
        <v>46614</v>
      </c>
      <c r="J558" s="1567">
        <v>46614</v>
      </c>
      <c r="K558" s="1568" t="str">
        <f t="shared" si="8"/>
        <v>No</v>
      </c>
      <c r="L558" s="1565"/>
    </row>
    <row r="559" spans="1:12" ht="20.100000000000001" customHeight="1">
      <c r="A559" s="1568" t="s">
        <v>3079</v>
      </c>
      <c r="B559" s="1567">
        <v>42963</v>
      </c>
      <c r="C559" s="1568" t="s">
        <v>3308</v>
      </c>
      <c r="D559" s="1568" t="s">
        <v>2999</v>
      </c>
      <c r="E559" s="1567">
        <v>43770</v>
      </c>
      <c r="F559" s="1566">
        <v>814</v>
      </c>
      <c r="G559" s="1566">
        <v>0</v>
      </c>
      <c r="H559" s="1567"/>
      <c r="I559" s="1567">
        <v>46614</v>
      </c>
      <c r="J559" s="1567">
        <v>46614</v>
      </c>
      <c r="K559" s="1568" t="str">
        <f t="shared" si="8"/>
        <v>No</v>
      </c>
      <c r="L559" s="1565"/>
    </row>
    <row r="560" spans="1:12" ht="20.100000000000001" customHeight="1">
      <c r="A560" s="1568" t="s">
        <v>3079</v>
      </c>
      <c r="B560" s="1567">
        <v>42963</v>
      </c>
      <c r="C560" s="1568" t="s">
        <v>3308</v>
      </c>
      <c r="D560" s="1568" t="s">
        <v>2999</v>
      </c>
      <c r="E560" s="1567">
        <v>43800</v>
      </c>
      <c r="F560" s="1566">
        <v>814</v>
      </c>
      <c r="G560" s="1566">
        <v>0</v>
      </c>
      <c r="H560" s="1567"/>
      <c r="I560" s="1567">
        <v>46614</v>
      </c>
      <c r="J560" s="1567">
        <v>46614</v>
      </c>
      <c r="K560" s="1568" t="str">
        <f t="shared" si="8"/>
        <v>No</v>
      </c>
      <c r="L560" s="1565"/>
    </row>
    <row r="561" spans="1:12" ht="20.100000000000001" customHeight="1">
      <c r="A561" s="1568" t="s">
        <v>3079</v>
      </c>
      <c r="B561" s="1567">
        <v>42963</v>
      </c>
      <c r="C561" s="1568" t="s">
        <v>3308</v>
      </c>
      <c r="D561" s="1568" t="s">
        <v>2999</v>
      </c>
      <c r="E561" s="1567">
        <v>43831</v>
      </c>
      <c r="F561" s="1566">
        <v>814</v>
      </c>
      <c r="G561" s="1566">
        <v>0</v>
      </c>
      <c r="H561" s="1567"/>
      <c r="I561" s="1567">
        <v>46614</v>
      </c>
      <c r="J561" s="1567">
        <v>46614</v>
      </c>
      <c r="K561" s="1568" t="str">
        <f t="shared" si="8"/>
        <v>No</v>
      </c>
      <c r="L561" s="1565"/>
    </row>
    <row r="562" spans="1:12" ht="20.100000000000001" customHeight="1">
      <c r="A562" s="1568" t="s">
        <v>3079</v>
      </c>
      <c r="B562" s="1567">
        <v>42963</v>
      </c>
      <c r="C562" s="1568" t="s">
        <v>3308</v>
      </c>
      <c r="D562" s="1568" t="s">
        <v>2999</v>
      </c>
      <c r="E562" s="1567">
        <v>43862</v>
      </c>
      <c r="F562" s="1566">
        <v>815</v>
      </c>
      <c r="G562" s="1566">
        <v>0</v>
      </c>
      <c r="H562" s="1567"/>
      <c r="I562" s="1567">
        <v>46614</v>
      </c>
      <c r="J562" s="1567">
        <v>46614</v>
      </c>
      <c r="K562" s="1568" t="str">
        <f t="shared" si="8"/>
        <v>No</v>
      </c>
      <c r="L562" s="1565"/>
    </row>
    <row r="563" spans="1:12" ht="20.100000000000001" customHeight="1">
      <c r="A563" s="1568" t="s">
        <v>3079</v>
      </c>
      <c r="B563" s="1567">
        <v>42963</v>
      </c>
      <c r="C563" s="1568" t="s">
        <v>3308</v>
      </c>
      <c r="D563" s="1568" t="s">
        <v>2999</v>
      </c>
      <c r="E563" s="1567">
        <v>43891</v>
      </c>
      <c r="F563" s="1566">
        <v>814</v>
      </c>
      <c r="G563" s="1566">
        <v>0</v>
      </c>
      <c r="H563" s="1567"/>
      <c r="I563" s="1567">
        <v>46614</v>
      </c>
      <c r="J563" s="1567">
        <v>46614</v>
      </c>
      <c r="K563" s="1568" t="str">
        <f t="shared" si="8"/>
        <v>No</v>
      </c>
      <c r="L563" s="1565"/>
    </row>
    <row r="564" spans="1:12" ht="20.100000000000001" customHeight="1">
      <c r="A564" s="1568" t="s">
        <v>3079</v>
      </c>
      <c r="B564" s="1567">
        <v>42963</v>
      </c>
      <c r="C564" s="1568" t="s">
        <v>3308</v>
      </c>
      <c r="D564" s="1568" t="s">
        <v>2999</v>
      </c>
      <c r="E564" s="1567">
        <v>43922</v>
      </c>
      <c r="F564" s="1566">
        <v>814</v>
      </c>
      <c r="G564" s="1566">
        <v>0</v>
      </c>
      <c r="H564" s="1567"/>
      <c r="I564" s="1567">
        <v>46614</v>
      </c>
      <c r="J564" s="1567">
        <v>46614</v>
      </c>
      <c r="K564" s="1568" t="str">
        <f t="shared" si="8"/>
        <v>No</v>
      </c>
      <c r="L564" s="1565"/>
    </row>
    <row r="565" spans="1:12" ht="20.100000000000001" customHeight="1">
      <c r="A565" s="1568" t="s">
        <v>3079</v>
      </c>
      <c r="B565" s="1567">
        <v>42963</v>
      </c>
      <c r="C565" s="1568" t="s">
        <v>3308</v>
      </c>
      <c r="D565" s="1568" t="s">
        <v>2999</v>
      </c>
      <c r="E565" s="1567">
        <v>43952</v>
      </c>
      <c r="F565" s="1566">
        <v>815</v>
      </c>
      <c r="G565" s="1566">
        <v>0</v>
      </c>
      <c r="H565" s="1567"/>
      <c r="I565" s="1567">
        <v>46614</v>
      </c>
      <c r="J565" s="1567">
        <v>46614</v>
      </c>
      <c r="K565" s="1568" t="str">
        <f t="shared" si="8"/>
        <v>No</v>
      </c>
      <c r="L565" s="1565"/>
    </row>
    <row r="566" spans="1:12" ht="20.100000000000001" customHeight="1">
      <c r="A566" s="1568" t="s">
        <v>3079</v>
      </c>
      <c r="B566" s="1567">
        <v>42963</v>
      </c>
      <c r="C566" s="1568" t="s">
        <v>3308</v>
      </c>
      <c r="D566" s="1568" t="s">
        <v>2999</v>
      </c>
      <c r="E566" s="1567">
        <v>43983</v>
      </c>
      <c r="F566" s="1566">
        <v>814</v>
      </c>
      <c r="G566" s="1566">
        <v>0</v>
      </c>
      <c r="H566" s="1567"/>
      <c r="I566" s="1567">
        <v>46614</v>
      </c>
      <c r="J566" s="1567">
        <v>46614</v>
      </c>
      <c r="K566" s="1568" t="str">
        <f t="shared" si="8"/>
        <v>No</v>
      </c>
      <c r="L566" s="1565"/>
    </row>
    <row r="567" spans="1:12" ht="20.100000000000001" customHeight="1">
      <c r="A567" s="1568" t="s">
        <v>3079</v>
      </c>
      <c r="B567" s="1567">
        <v>42963</v>
      </c>
      <c r="C567" s="1568" t="s">
        <v>3308</v>
      </c>
      <c r="D567" s="1568" t="s">
        <v>2999</v>
      </c>
      <c r="E567" s="1567">
        <v>44013</v>
      </c>
      <c r="F567" s="1566">
        <v>814</v>
      </c>
      <c r="G567" s="1566">
        <v>0</v>
      </c>
      <c r="H567" s="1567"/>
      <c r="I567" s="1567">
        <v>46614</v>
      </c>
      <c r="J567" s="1567">
        <v>46614</v>
      </c>
      <c r="K567" s="1568" t="str">
        <f t="shared" si="8"/>
        <v>No</v>
      </c>
      <c r="L567" s="1565"/>
    </row>
    <row r="568" spans="1:12" ht="20.100000000000001" customHeight="1">
      <c r="A568" s="1568" t="s">
        <v>3079</v>
      </c>
      <c r="B568" s="1567">
        <v>42963</v>
      </c>
      <c r="C568" s="1568" t="s">
        <v>3308</v>
      </c>
      <c r="D568" s="1568" t="s">
        <v>2999</v>
      </c>
      <c r="E568" s="1567">
        <v>44044</v>
      </c>
      <c r="F568" s="1566">
        <v>814</v>
      </c>
      <c r="G568" s="1566">
        <v>0</v>
      </c>
      <c r="H568" s="1567"/>
      <c r="I568" s="1567">
        <v>46614</v>
      </c>
      <c r="J568" s="1567">
        <v>46614</v>
      </c>
      <c r="K568" s="1568" t="str">
        <f t="shared" si="8"/>
        <v>No</v>
      </c>
      <c r="L568" s="1565"/>
    </row>
    <row r="569" spans="1:12" ht="20.100000000000001" customHeight="1">
      <c r="A569" s="1568" t="s">
        <v>3079</v>
      </c>
      <c r="B569" s="1567">
        <v>42963</v>
      </c>
      <c r="C569" s="1568" t="s">
        <v>3308</v>
      </c>
      <c r="D569" s="1568" t="s">
        <v>2999</v>
      </c>
      <c r="E569" s="1567">
        <v>44075</v>
      </c>
      <c r="F569" s="1566">
        <v>815</v>
      </c>
      <c r="G569" s="1566">
        <v>0</v>
      </c>
      <c r="H569" s="1567"/>
      <c r="I569" s="1567">
        <v>46614</v>
      </c>
      <c r="J569" s="1567">
        <v>46614</v>
      </c>
      <c r="K569" s="1568" t="str">
        <f t="shared" si="8"/>
        <v>No</v>
      </c>
      <c r="L569" s="1565"/>
    </row>
    <row r="570" spans="1:12" ht="20.100000000000001" customHeight="1">
      <c r="A570" s="1568" t="s">
        <v>3079</v>
      </c>
      <c r="B570" s="1567">
        <v>42963</v>
      </c>
      <c r="C570" s="1568" t="s">
        <v>3308</v>
      </c>
      <c r="D570" s="1568" t="s">
        <v>2999</v>
      </c>
      <c r="E570" s="1567">
        <v>44105</v>
      </c>
      <c r="F570" s="1566">
        <v>814</v>
      </c>
      <c r="G570" s="1566">
        <v>0</v>
      </c>
      <c r="H570" s="1567"/>
      <c r="I570" s="1567">
        <v>46614</v>
      </c>
      <c r="J570" s="1567">
        <v>46614</v>
      </c>
      <c r="K570" s="1568" t="str">
        <f t="shared" si="8"/>
        <v>No</v>
      </c>
      <c r="L570" s="1565"/>
    </row>
    <row r="571" spans="1:12" ht="20.100000000000001" customHeight="1">
      <c r="A571" s="1568" t="s">
        <v>3079</v>
      </c>
      <c r="B571" s="1567">
        <v>42963</v>
      </c>
      <c r="C571" s="1568" t="s">
        <v>3308</v>
      </c>
      <c r="D571" s="1568" t="s">
        <v>2999</v>
      </c>
      <c r="E571" s="1567">
        <v>44136</v>
      </c>
      <c r="F571" s="1566">
        <v>814</v>
      </c>
      <c r="G571" s="1566">
        <v>0</v>
      </c>
      <c r="H571" s="1567"/>
      <c r="I571" s="1567">
        <v>46614</v>
      </c>
      <c r="J571" s="1567">
        <v>46614</v>
      </c>
      <c r="K571" s="1568" t="str">
        <f t="shared" si="8"/>
        <v>No</v>
      </c>
      <c r="L571" s="1565"/>
    </row>
    <row r="572" spans="1:12" ht="20.100000000000001" customHeight="1">
      <c r="A572" s="1568" t="s">
        <v>3079</v>
      </c>
      <c r="B572" s="1567">
        <v>42963</v>
      </c>
      <c r="C572" s="1568" t="s">
        <v>3308</v>
      </c>
      <c r="D572" s="1568" t="s">
        <v>2999</v>
      </c>
      <c r="E572" s="1567">
        <v>44166</v>
      </c>
      <c r="F572" s="1566">
        <v>815</v>
      </c>
      <c r="G572" s="1566">
        <v>0</v>
      </c>
      <c r="H572" s="1567"/>
      <c r="I572" s="1567">
        <v>46614</v>
      </c>
      <c r="J572" s="1567">
        <v>46614</v>
      </c>
      <c r="K572" s="1568" t="str">
        <f t="shared" si="8"/>
        <v>No</v>
      </c>
      <c r="L572" s="1565"/>
    </row>
    <row r="573" spans="1:12" ht="20.100000000000001" customHeight="1">
      <c r="A573" s="1568" t="s">
        <v>3079</v>
      </c>
      <c r="B573" s="1567">
        <v>42963</v>
      </c>
      <c r="C573" s="1568" t="s">
        <v>3308</v>
      </c>
      <c r="D573" s="1568" t="s">
        <v>2999</v>
      </c>
      <c r="E573" s="1567">
        <v>44197</v>
      </c>
      <c r="F573" s="1566">
        <v>814</v>
      </c>
      <c r="G573" s="1566">
        <v>0</v>
      </c>
      <c r="H573" s="1567"/>
      <c r="I573" s="1567">
        <v>46614</v>
      </c>
      <c r="J573" s="1567">
        <v>46614</v>
      </c>
      <c r="K573" s="1568" t="str">
        <f t="shared" si="8"/>
        <v>No</v>
      </c>
      <c r="L573" s="1565"/>
    </row>
    <row r="574" spans="1:12" ht="20.100000000000001" customHeight="1">
      <c r="A574" s="1568" t="s">
        <v>3079</v>
      </c>
      <c r="B574" s="1567">
        <v>42963</v>
      </c>
      <c r="C574" s="1568" t="s">
        <v>3308</v>
      </c>
      <c r="D574" s="1568" t="s">
        <v>2999</v>
      </c>
      <c r="E574" s="1567">
        <v>44228</v>
      </c>
      <c r="F574" s="1566">
        <v>814</v>
      </c>
      <c r="G574" s="1566">
        <v>0</v>
      </c>
      <c r="H574" s="1567"/>
      <c r="I574" s="1567">
        <v>46614</v>
      </c>
      <c r="J574" s="1567">
        <v>46614</v>
      </c>
      <c r="K574" s="1568" t="str">
        <f t="shared" si="8"/>
        <v>No</v>
      </c>
      <c r="L574" s="1565"/>
    </row>
    <row r="575" spans="1:12" ht="20.100000000000001" customHeight="1">
      <c r="A575" s="1568" t="s">
        <v>3079</v>
      </c>
      <c r="B575" s="1567">
        <v>42963</v>
      </c>
      <c r="C575" s="1568" t="s">
        <v>3308</v>
      </c>
      <c r="D575" s="1568" t="s">
        <v>2999</v>
      </c>
      <c r="E575" s="1567">
        <v>44256</v>
      </c>
      <c r="F575" s="1566">
        <v>815</v>
      </c>
      <c r="G575" s="1566">
        <v>0</v>
      </c>
      <c r="H575" s="1567"/>
      <c r="I575" s="1567">
        <v>46614</v>
      </c>
      <c r="J575" s="1567">
        <v>46614</v>
      </c>
      <c r="K575" s="1568" t="str">
        <f t="shared" si="8"/>
        <v>No</v>
      </c>
      <c r="L575" s="1565"/>
    </row>
    <row r="576" spans="1:12" ht="20.100000000000001" customHeight="1">
      <c r="A576" s="1568" t="s">
        <v>3078</v>
      </c>
      <c r="B576" s="1567">
        <v>42963</v>
      </c>
      <c r="C576" s="1568" t="s">
        <v>3308</v>
      </c>
      <c r="D576" s="1568" t="s">
        <v>3056</v>
      </c>
      <c r="E576" s="1567">
        <v>43214</v>
      </c>
      <c r="F576" s="1566">
        <v>7500</v>
      </c>
      <c r="G576" s="1566">
        <v>0</v>
      </c>
      <c r="H576" s="1567"/>
      <c r="I576" s="1567">
        <v>43385</v>
      </c>
      <c r="J576" s="1567">
        <v>43477</v>
      </c>
      <c r="K576" s="1568" t="str">
        <f t="shared" si="8"/>
        <v>No</v>
      </c>
      <c r="L576" s="1565"/>
    </row>
    <row r="577" spans="1:12" ht="20.100000000000001" customHeight="1">
      <c r="A577" s="1568" t="s">
        <v>3078</v>
      </c>
      <c r="B577" s="1567">
        <v>42963</v>
      </c>
      <c r="C577" s="1568" t="s">
        <v>3308</v>
      </c>
      <c r="D577" s="1568" t="s">
        <v>3056</v>
      </c>
      <c r="E577" s="1567">
        <v>43244</v>
      </c>
      <c r="F577" s="1566">
        <v>625</v>
      </c>
      <c r="G577" s="1566">
        <v>0</v>
      </c>
      <c r="H577" s="1567"/>
      <c r="I577" s="1567">
        <v>43385</v>
      </c>
      <c r="J577" s="1567">
        <v>43477</v>
      </c>
      <c r="K577" s="1568" t="str">
        <f t="shared" si="8"/>
        <v>No</v>
      </c>
      <c r="L577" s="1565"/>
    </row>
    <row r="578" spans="1:12" ht="20.100000000000001" customHeight="1">
      <c r="A578" s="1568" t="s">
        <v>3078</v>
      </c>
      <c r="B578" s="1567">
        <v>42963</v>
      </c>
      <c r="C578" s="1568" t="s">
        <v>3308</v>
      </c>
      <c r="D578" s="1568" t="s">
        <v>3056</v>
      </c>
      <c r="E578" s="1567">
        <v>43275</v>
      </c>
      <c r="F578" s="1566">
        <v>625</v>
      </c>
      <c r="G578" s="1566">
        <v>0</v>
      </c>
      <c r="H578" s="1567"/>
      <c r="I578" s="1567">
        <v>43385</v>
      </c>
      <c r="J578" s="1567">
        <v>43477</v>
      </c>
      <c r="K578" s="1568" t="str">
        <f t="shared" si="8"/>
        <v>No</v>
      </c>
      <c r="L578" s="1565"/>
    </row>
    <row r="579" spans="1:12" ht="20.100000000000001" customHeight="1">
      <c r="A579" s="1568" t="s">
        <v>3078</v>
      </c>
      <c r="B579" s="1567">
        <v>42963</v>
      </c>
      <c r="C579" s="1568" t="s">
        <v>3308</v>
      </c>
      <c r="D579" s="1568" t="s">
        <v>3056</v>
      </c>
      <c r="E579" s="1567">
        <v>43305</v>
      </c>
      <c r="F579" s="1566">
        <v>625</v>
      </c>
      <c r="G579" s="1566">
        <v>0</v>
      </c>
      <c r="H579" s="1567"/>
      <c r="I579" s="1567">
        <v>43385</v>
      </c>
      <c r="J579" s="1567">
        <v>43477</v>
      </c>
      <c r="K579" s="1568" t="str">
        <f t="shared" si="8"/>
        <v>No</v>
      </c>
      <c r="L579" s="1565"/>
    </row>
    <row r="580" spans="1:12" ht="20.100000000000001" customHeight="1">
      <c r="A580" s="1568" t="s">
        <v>3078</v>
      </c>
      <c r="B580" s="1567">
        <v>42963</v>
      </c>
      <c r="C580" s="1568" t="s">
        <v>3308</v>
      </c>
      <c r="D580" s="1568" t="s">
        <v>3056</v>
      </c>
      <c r="E580" s="1567">
        <v>43336</v>
      </c>
      <c r="F580" s="1566">
        <v>625</v>
      </c>
      <c r="G580" s="1566">
        <v>0</v>
      </c>
      <c r="H580" s="1567"/>
      <c r="I580" s="1567">
        <v>43385</v>
      </c>
      <c r="J580" s="1567">
        <v>43477</v>
      </c>
      <c r="K580" s="1568" t="str">
        <f t="shared" si="8"/>
        <v>No</v>
      </c>
      <c r="L580" s="1565"/>
    </row>
    <row r="581" spans="1:12" ht="20.100000000000001" customHeight="1">
      <c r="A581" s="1568" t="s">
        <v>3078</v>
      </c>
      <c r="B581" s="1567">
        <v>42963</v>
      </c>
      <c r="C581" s="1568" t="s">
        <v>3308</v>
      </c>
      <c r="D581" s="1568" t="s">
        <v>3056</v>
      </c>
      <c r="E581" s="1567">
        <v>43367</v>
      </c>
      <c r="F581" s="1566">
        <v>625</v>
      </c>
      <c r="G581" s="1566">
        <v>0</v>
      </c>
      <c r="H581" s="1567"/>
      <c r="I581" s="1567">
        <v>43385</v>
      </c>
      <c r="J581" s="1567">
        <v>43477</v>
      </c>
      <c r="K581" s="1568" t="str">
        <f t="shared" ref="K581:K644" si="9">IF(I581="N/A","No",IF(E581&lt;=I581,"No","Yes"))</f>
        <v>No</v>
      </c>
      <c r="L581" s="1565"/>
    </row>
    <row r="582" spans="1:12" ht="20.100000000000001" customHeight="1">
      <c r="A582" s="1568" t="s">
        <v>3078</v>
      </c>
      <c r="B582" s="1567">
        <v>42963</v>
      </c>
      <c r="C582" s="1568" t="s">
        <v>3308</v>
      </c>
      <c r="D582" s="1568" t="s">
        <v>3056</v>
      </c>
      <c r="E582" s="1567">
        <v>43397</v>
      </c>
      <c r="F582" s="1566">
        <v>625</v>
      </c>
      <c r="G582" s="1566">
        <v>0</v>
      </c>
      <c r="H582" s="1567"/>
      <c r="I582" s="1567">
        <v>43385</v>
      </c>
      <c r="J582" s="1567">
        <v>43385</v>
      </c>
      <c r="K582" s="1568" t="str">
        <f t="shared" si="9"/>
        <v>Yes</v>
      </c>
      <c r="L582" s="1565"/>
    </row>
    <row r="583" spans="1:12" ht="20.100000000000001" customHeight="1">
      <c r="A583" s="1568" t="s">
        <v>3078</v>
      </c>
      <c r="B583" s="1567">
        <v>42963</v>
      </c>
      <c r="C583" s="1568" t="s">
        <v>3308</v>
      </c>
      <c r="D583" s="1568" t="s">
        <v>3056</v>
      </c>
      <c r="E583" s="1567">
        <v>43428</v>
      </c>
      <c r="F583" s="1566">
        <v>625</v>
      </c>
      <c r="G583" s="1566">
        <v>0</v>
      </c>
      <c r="H583" s="1567"/>
      <c r="I583" s="1567">
        <v>43385</v>
      </c>
      <c r="J583" s="1567">
        <v>43385</v>
      </c>
      <c r="K583" s="1568" t="str">
        <f t="shared" si="9"/>
        <v>Yes</v>
      </c>
      <c r="L583" s="1565"/>
    </row>
    <row r="584" spans="1:12" ht="20.100000000000001" customHeight="1">
      <c r="A584" s="1568" t="s">
        <v>3078</v>
      </c>
      <c r="B584" s="1567">
        <v>42963</v>
      </c>
      <c r="C584" s="1568" t="s">
        <v>3308</v>
      </c>
      <c r="D584" s="1568" t="s">
        <v>3056</v>
      </c>
      <c r="E584" s="1567">
        <v>43458</v>
      </c>
      <c r="F584" s="1566">
        <v>625</v>
      </c>
      <c r="G584" s="1566">
        <v>0</v>
      </c>
      <c r="H584" s="1567"/>
      <c r="I584" s="1567">
        <v>43385</v>
      </c>
      <c r="J584" s="1567">
        <v>43385</v>
      </c>
      <c r="K584" s="1568" t="str">
        <f t="shared" si="9"/>
        <v>Yes</v>
      </c>
      <c r="L584" s="1565"/>
    </row>
    <row r="585" spans="1:12" ht="20.100000000000001" customHeight="1">
      <c r="A585" s="1568" t="s">
        <v>3078</v>
      </c>
      <c r="B585" s="1567">
        <v>42963</v>
      </c>
      <c r="C585" s="1568" t="s">
        <v>3308</v>
      </c>
      <c r="D585" s="1568" t="s">
        <v>3056</v>
      </c>
      <c r="E585" s="1567">
        <v>43489</v>
      </c>
      <c r="F585" s="1566">
        <v>625</v>
      </c>
      <c r="G585" s="1566">
        <v>0</v>
      </c>
      <c r="H585" s="1567"/>
      <c r="I585" s="1567">
        <v>43385</v>
      </c>
      <c r="J585" s="1567">
        <v>43385</v>
      </c>
      <c r="K585" s="1568" t="str">
        <f t="shared" si="9"/>
        <v>Yes</v>
      </c>
      <c r="L585" s="1565"/>
    </row>
    <row r="586" spans="1:12" ht="20.100000000000001" customHeight="1">
      <c r="A586" s="1568" t="s">
        <v>3078</v>
      </c>
      <c r="B586" s="1567">
        <v>42963</v>
      </c>
      <c r="C586" s="1568" t="s">
        <v>3308</v>
      </c>
      <c r="D586" s="1568" t="s">
        <v>3056</v>
      </c>
      <c r="E586" s="1567">
        <v>43520</v>
      </c>
      <c r="F586" s="1566">
        <v>625</v>
      </c>
      <c r="G586" s="1566">
        <v>0</v>
      </c>
      <c r="H586" s="1567"/>
      <c r="I586" s="1567">
        <v>43385</v>
      </c>
      <c r="J586" s="1567">
        <v>43385</v>
      </c>
      <c r="K586" s="1568" t="str">
        <f t="shared" si="9"/>
        <v>Yes</v>
      </c>
      <c r="L586" s="1565"/>
    </row>
    <row r="587" spans="1:12" ht="20.100000000000001" customHeight="1">
      <c r="A587" s="1568" t="s">
        <v>3078</v>
      </c>
      <c r="B587" s="1567">
        <v>42963</v>
      </c>
      <c r="C587" s="1568" t="s">
        <v>3308</v>
      </c>
      <c r="D587" s="1568" t="s">
        <v>3056</v>
      </c>
      <c r="E587" s="1567">
        <v>43548</v>
      </c>
      <c r="F587" s="1566">
        <v>625</v>
      </c>
      <c r="G587" s="1566">
        <v>0</v>
      </c>
      <c r="H587" s="1567"/>
      <c r="I587" s="1567">
        <v>43385</v>
      </c>
      <c r="J587" s="1567">
        <v>43385</v>
      </c>
      <c r="K587" s="1568" t="str">
        <f t="shared" si="9"/>
        <v>Yes</v>
      </c>
      <c r="L587" s="1565"/>
    </row>
    <row r="588" spans="1:12" ht="20.100000000000001" customHeight="1">
      <c r="A588" s="1568" t="s">
        <v>3078</v>
      </c>
      <c r="B588" s="1567">
        <v>42963</v>
      </c>
      <c r="C588" s="1568" t="s">
        <v>3308</v>
      </c>
      <c r="D588" s="1568" t="s">
        <v>3056</v>
      </c>
      <c r="E588" s="1567">
        <v>43579</v>
      </c>
      <c r="F588" s="1566">
        <v>625</v>
      </c>
      <c r="G588" s="1566">
        <v>0</v>
      </c>
      <c r="H588" s="1567"/>
      <c r="I588" s="1567">
        <v>43385</v>
      </c>
      <c r="J588" s="1567">
        <v>43385</v>
      </c>
      <c r="K588" s="1568" t="str">
        <f t="shared" si="9"/>
        <v>Yes</v>
      </c>
      <c r="L588" s="1565"/>
    </row>
    <row r="589" spans="1:12" ht="20.100000000000001" customHeight="1">
      <c r="A589" s="1568" t="s">
        <v>3078</v>
      </c>
      <c r="B589" s="1567">
        <v>42963</v>
      </c>
      <c r="C589" s="1568" t="s">
        <v>3308</v>
      </c>
      <c r="D589" s="1568" t="s">
        <v>3056</v>
      </c>
      <c r="E589" s="1567">
        <v>43609</v>
      </c>
      <c r="F589" s="1566">
        <v>625</v>
      </c>
      <c r="G589" s="1566">
        <v>0</v>
      </c>
      <c r="H589" s="1567"/>
      <c r="I589" s="1567">
        <v>43385</v>
      </c>
      <c r="J589" s="1567">
        <v>43385</v>
      </c>
      <c r="K589" s="1568" t="str">
        <f t="shared" si="9"/>
        <v>Yes</v>
      </c>
      <c r="L589" s="1565"/>
    </row>
    <row r="590" spans="1:12" ht="20.100000000000001" customHeight="1">
      <c r="A590" s="1568" t="s">
        <v>3078</v>
      </c>
      <c r="B590" s="1567">
        <v>42963</v>
      </c>
      <c r="C590" s="1568" t="s">
        <v>3308</v>
      </c>
      <c r="D590" s="1568" t="s">
        <v>3056</v>
      </c>
      <c r="E590" s="1567">
        <v>43640</v>
      </c>
      <c r="F590" s="1566">
        <v>625</v>
      </c>
      <c r="G590" s="1566">
        <v>0</v>
      </c>
      <c r="H590" s="1567"/>
      <c r="I590" s="1567">
        <v>43385</v>
      </c>
      <c r="J590" s="1567">
        <v>43385</v>
      </c>
      <c r="K590" s="1568" t="str">
        <f t="shared" si="9"/>
        <v>Yes</v>
      </c>
      <c r="L590" s="1565"/>
    </row>
    <row r="591" spans="1:12" ht="20.100000000000001" customHeight="1">
      <c r="A591" s="1568" t="s">
        <v>3078</v>
      </c>
      <c r="B591" s="1567">
        <v>42963</v>
      </c>
      <c r="C591" s="1568" t="s">
        <v>3308</v>
      </c>
      <c r="D591" s="1568" t="s">
        <v>3056</v>
      </c>
      <c r="E591" s="1567">
        <v>43670</v>
      </c>
      <c r="F591" s="1566">
        <v>625</v>
      </c>
      <c r="G591" s="1566">
        <v>0</v>
      </c>
      <c r="H591" s="1567"/>
      <c r="I591" s="1567">
        <v>43385</v>
      </c>
      <c r="J591" s="1567">
        <v>43385</v>
      </c>
      <c r="K591" s="1568" t="str">
        <f t="shared" si="9"/>
        <v>Yes</v>
      </c>
      <c r="L591" s="1565"/>
    </row>
    <row r="592" spans="1:12" ht="20.100000000000001" customHeight="1">
      <c r="A592" s="1568" t="s">
        <v>3078</v>
      </c>
      <c r="B592" s="1567">
        <v>42963</v>
      </c>
      <c r="C592" s="1568" t="s">
        <v>3308</v>
      </c>
      <c r="D592" s="1568" t="s">
        <v>3056</v>
      </c>
      <c r="E592" s="1567">
        <v>43701</v>
      </c>
      <c r="F592" s="1566">
        <v>625</v>
      </c>
      <c r="G592" s="1566">
        <v>0</v>
      </c>
      <c r="H592" s="1567"/>
      <c r="I592" s="1567">
        <v>43385</v>
      </c>
      <c r="J592" s="1567">
        <v>43385</v>
      </c>
      <c r="K592" s="1568" t="str">
        <f t="shared" si="9"/>
        <v>Yes</v>
      </c>
      <c r="L592" s="1565"/>
    </row>
    <row r="593" spans="1:12" ht="20.100000000000001" customHeight="1">
      <c r="A593" s="1568" t="s">
        <v>3078</v>
      </c>
      <c r="B593" s="1567">
        <v>42963</v>
      </c>
      <c r="C593" s="1568" t="s">
        <v>3308</v>
      </c>
      <c r="D593" s="1568" t="s">
        <v>3056</v>
      </c>
      <c r="E593" s="1567">
        <v>43732</v>
      </c>
      <c r="F593" s="1566">
        <v>625</v>
      </c>
      <c r="G593" s="1566">
        <v>0</v>
      </c>
      <c r="H593" s="1567"/>
      <c r="I593" s="1567">
        <v>43385</v>
      </c>
      <c r="J593" s="1567">
        <v>43385</v>
      </c>
      <c r="K593" s="1568" t="str">
        <f t="shared" si="9"/>
        <v>Yes</v>
      </c>
      <c r="L593" s="1565"/>
    </row>
    <row r="594" spans="1:12" ht="20.100000000000001" customHeight="1">
      <c r="A594" s="1568" t="s">
        <v>3078</v>
      </c>
      <c r="B594" s="1567">
        <v>42963</v>
      </c>
      <c r="C594" s="1568" t="s">
        <v>3308</v>
      </c>
      <c r="D594" s="1568" t="s">
        <v>3056</v>
      </c>
      <c r="E594" s="1567">
        <v>43762</v>
      </c>
      <c r="F594" s="1566">
        <v>625</v>
      </c>
      <c r="G594" s="1566">
        <v>0</v>
      </c>
      <c r="H594" s="1567"/>
      <c r="I594" s="1567">
        <v>43385</v>
      </c>
      <c r="J594" s="1567">
        <v>43385</v>
      </c>
      <c r="K594" s="1568" t="str">
        <f t="shared" si="9"/>
        <v>Yes</v>
      </c>
      <c r="L594" s="1565"/>
    </row>
    <row r="595" spans="1:12" ht="20.100000000000001" customHeight="1">
      <c r="A595" s="1568" t="s">
        <v>3078</v>
      </c>
      <c r="B595" s="1567">
        <v>42963</v>
      </c>
      <c r="C595" s="1568" t="s">
        <v>3308</v>
      </c>
      <c r="D595" s="1568" t="s">
        <v>3056</v>
      </c>
      <c r="E595" s="1567">
        <v>43793</v>
      </c>
      <c r="F595" s="1566">
        <v>625</v>
      </c>
      <c r="G595" s="1566">
        <v>0</v>
      </c>
      <c r="H595" s="1567"/>
      <c r="I595" s="1567">
        <v>43385</v>
      </c>
      <c r="J595" s="1567">
        <v>43385</v>
      </c>
      <c r="K595" s="1568" t="str">
        <f t="shared" si="9"/>
        <v>Yes</v>
      </c>
      <c r="L595" s="1565"/>
    </row>
    <row r="596" spans="1:12" ht="20.100000000000001" customHeight="1">
      <c r="A596" s="1568" t="s">
        <v>3078</v>
      </c>
      <c r="B596" s="1567">
        <v>42963</v>
      </c>
      <c r="C596" s="1568" t="s">
        <v>3308</v>
      </c>
      <c r="D596" s="1568" t="s">
        <v>3056</v>
      </c>
      <c r="E596" s="1567">
        <v>43823</v>
      </c>
      <c r="F596" s="1566">
        <v>625</v>
      </c>
      <c r="G596" s="1566">
        <v>0</v>
      </c>
      <c r="H596" s="1567"/>
      <c r="I596" s="1567">
        <v>43385</v>
      </c>
      <c r="J596" s="1567">
        <v>43385</v>
      </c>
      <c r="K596" s="1568" t="str">
        <f t="shared" si="9"/>
        <v>Yes</v>
      </c>
      <c r="L596" s="1565"/>
    </row>
    <row r="597" spans="1:12" ht="20.100000000000001" customHeight="1">
      <c r="A597" s="1568" t="s">
        <v>3078</v>
      </c>
      <c r="B597" s="1567">
        <v>42963</v>
      </c>
      <c r="C597" s="1568" t="s">
        <v>3308</v>
      </c>
      <c r="D597" s="1568" t="s">
        <v>3056</v>
      </c>
      <c r="E597" s="1567">
        <v>43854</v>
      </c>
      <c r="F597" s="1566">
        <v>625</v>
      </c>
      <c r="G597" s="1566">
        <v>0</v>
      </c>
      <c r="H597" s="1567"/>
      <c r="I597" s="1567">
        <v>43385</v>
      </c>
      <c r="J597" s="1567">
        <v>43385</v>
      </c>
      <c r="K597" s="1568" t="str">
        <f t="shared" si="9"/>
        <v>Yes</v>
      </c>
      <c r="L597" s="1565"/>
    </row>
    <row r="598" spans="1:12" ht="20.100000000000001" customHeight="1">
      <c r="A598" s="1568" t="s">
        <v>3078</v>
      </c>
      <c r="B598" s="1567">
        <v>42963</v>
      </c>
      <c r="C598" s="1568" t="s">
        <v>3308</v>
      </c>
      <c r="D598" s="1568" t="s">
        <v>3056</v>
      </c>
      <c r="E598" s="1567">
        <v>43885</v>
      </c>
      <c r="F598" s="1566">
        <v>625</v>
      </c>
      <c r="G598" s="1566">
        <v>0</v>
      </c>
      <c r="H598" s="1567"/>
      <c r="I598" s="1567">
        <v>43385</v>
      </c>
      <c r="J598" s="1567">
        <v>43385</v>
      </c>
      <c r="K598" s="1568" t="str">
        <f t="shared" si="9"/>
        <v>Yes</v>
      </c>
      <c r="L598" s="1565"/>
    </row>
    <row r="599" spans="1:12" ht="20.100000000000001" customHeight="1">
      <c r="A599" s="1568" t="s">
        <v>3078</v>
      </c>
      <c r="B599" s="1567">
        <v>42963</v>
      </c>
      <c r="C599" s="1568" t="s">
        <v>3308</v>
      </c>
      <c r="D599" s="1568" t="s">
        <v>3056</v>
      </c>
      <c r="E599" s="1567">
        <v>43914</v>
      </c>
      <c r="F599" s="1566">
        <v>625</v>
      </c>
      <c r="G599" s="1566">
        <v>0</v>
      </c>
      <c r="H599" s="1567"/>
      <c r="I599" s="1567">
        <v>43385</v>
      </c>
      <c r="J599" s="1567">
        <v>43385</v>
      </c>
      <c r="K599" s="1568" t="str">
        <f t="shared" si="9"/>
        <v>Yes</v>
      </c>
      <c r="L599" s="1565"/>
    </row>
    <row r="600" spans="1:12" ht="20.100000000000001" customHeight="1">
      <c r="A600" s="1568" t="s">
        <v>3078</v>
      </c>
      <c r="B600" s="1567">
        <v>42963</v>
      </c>
      <c r="C600" s="1568" t="s">
        <v>3308</v>
      </c>
      <c r="D600" s="1568" t="s">
        <v>3056</v>
      </c>
      <c r="E600" s="1567">
        <v>43945</v>
      </c>
      <c r="F600" s="1566">
        <v>625</v>
      </c>
      <c r="G600" s="1566">
        <v>0</v>
      </c>
      <c r="H600" s="1567"/>
      <c r="I600" s="1567">
        <v>43385</v>
      </c>
      <c r="J600" s="1567">
        <v>43385</v>
      </c>
      <c r="K600" s="1568" t="str">
        <f t="shared" si="9"/>
        <v>Yes</v>
      </c>
      <c r="L600" s="1565"/>
    </row>
    <row r="601" spans="1:12" ht="20.100000000000001" customHeight="1">
      <c r="A601" s="1568" t="s">
        <v>3078</v>
      </c>
      <c r="B601" s="1567">
        <v>42963</v>
      </c>
      <c r="C601" s="1568" t="s">
        <v>3308</v>
      </c>
      <c r="D601" s="1568" t="s">
        <v>3056</v>
      </c>
      <c r="E601" s="1567">
        <v>43975</v>
      </c>
      <c r="F601" s="1566">
        <v>625</v>
      </c>
      <c r="G601" s="1566">
        <v>0</v>
      </c>
      <c r="H601" s="1567"/>
      <c r="I601" s="1567">
        <v>43385</v>
      </c>
      <c r="J601" s="1567">
        <v>43385</v>
      </c>
      <c r="K601" s="1568" t="str">
        <f t="shared" si="9"/>
        <v>Yes</v>
      </c>
      <c r="L601" s="1565"/>
    </row>
    <row r="602" spans="1:12" ht="20.100000000000001" customHeight="1">
      <c r="A602" s="1568" t="s">
        <v>3078</v>
      </c>
      <c r="B602" s="1567">
        <v>42963</v>
      </c>
      <c r="C602" s="1568" t="s">
        <v>3308</v>
      </c>
      <c r="D602" s="1568" t="s">
        <v>3056</v>
      </c>
      <c r="E602" s="1567">
        <v>44006</v>
      </c>
      <c r="F602" s="1566">
        <v>625</v>
      </c>
      <c r="G602" s="1566">
        <v>0</v>
      </c>
      <c r="H602" s="1567"/>
      <c r="I602" s="1567">
        <v>43385</v>
      </c>
      <c r="J602" s="1567">
        <v>43385</v>
      </c>
      <c r="K602" s="1568" t="str">
        <f t="shared" si="9"/>
        <v>Yes</v>
      </c>
      <c r="L602" s="1565"/>
    </row>
    <row r="603" spans="1:12" ht="20.100000000000001" customHeight="1">
      <c r="A603" s="1568" t="s">
        <v>3078</v>
      </c>
      <c r="B603" s="1567">
        <v>42963</v>
      </c>
      <c r="C603" s="1568" t="s">
        <v>3308</v>
      </c>
      <c r="D603" s="1568" t="s">
        <v>3056</v>
      </c>
      <c r="E603" s="1567">
        <v>44036</v>
      </c>
      <c r="F603" s="1566">
        <v>625</v>
      </c>
      <c r="G603" s="1566">
        <v>0</v>
      </c>
      <c r="H603" s="1567"/>
      <c r="I603" s="1567">
        <v>43385</v>
      </c>
      <c r="J603" s="1567">
        <v>43385</v>
      </c>
      <c r="K603" s="1568" t="str">
        <f t="shared" si="9"/>
        <v>Yes</v>
      </c>
      <c r="L603" s="1565"/>
    </row>
    <row r="604" spans="1:12" ht="20.100000000000001" customHeight="1">
      <c r="A604" s="1568" t="s">
        <v>3078</v>
      </c>
      <c r="B604" s="1567">
        <v>42963</v>
      </c>
      <c r="C604" s="1568" t="s">
        <v>3308</v>
      </c>
      <c r="D604" s="1568" t="s">
        <v>3056</v>
      </c>
      <c r="E604" s="1567">
        <v>44067</v>
      </c>
      <c r="F604" s="1566">
        <v>625</v>
      </c>
      <c r="G604" s="1566">
        <v>0</v>
      </c>
      <c r="H604" s="1567"/>
      <c r="I604" s="1567">
        <v>43385</v>
      </c>
      <c r="J604" s="1567">
        <v>43385</v>
      </c>
      <c r="K604" s="1568" t="str">
        <f t="shared" si="9"/>
        <v>Yes</v>
      </c>
      <c r="L604" s="1565"/>
    </row>
    <row r="605" spans="1:12" ht="20.100000000000001" customHeight="1">
      <c r="A605" s="1568" t="s">
        <v>3078</v>
      </c>
      <c r="B605" s="1567">
        <v>42963</v>
      </c>
      <c r="C605" s="1568" t="s">
        <v>3308</v>
      </c>
      <c r="D605" s="1568" t="s">
        <v>3056</v>
      </c>
      <c r="E605" s="1567">
        <v>44098</v>
      </c>
      <c r="F605" s="1566">
        <v>625</v>
      </c>
      <c r="G605" s="1566">
        <v>0</v>
      </c>
      <c r="H605" s="1567"/>
      <c r="I605" s="1567">
        <v>43385</v>
      </c>
      <c r="J605" s="1567">
        <v>43385</v>
      </c>
      <c r="K605" s="1568" t="str">
        <f t="shared" si="9"/>
        <v>Yes</v>
      </c>
      <c r="L605" s="1565"/>
    </row>
    <row r="606" spans="1:12" ht="20.100000000000001" customHeight="1">
      <c r="A606" s="1568" t="s">
        <v>3078</v>
      </c>
      <c r="B606" s="1567">
        <v>42963</v>
      </c>
      <c r="C606" s="1568" t="s">
        <v>3308</v>
      </c>
      <c r="D606" s="1568" t="s">
        <v>3056</v>
      </c>
      <c r="E606" s="1567">
        <v>44128</v>
      </c>
      <c r="F606" s="1566">
        <v>625</v>
      </c>
      <c r="G606" s="1566">
        <v>0</v>
      </c>
      <c r="H606" s="1567"/>
      <c r="I606" s="1567">
        <v>43385</v>
      </c>
      <c r="J606" s="1567">
        <v>43385</v>
      </c>
      <c r="K606" s="1568" t="str">
        <f t="shared" si="9"/>
        <v>Yes</v>
      </c>
      <c r="L606" s="1565"/>
    </row>
    <row r="607" spans="1:12" ht="20.100000000000001" customHeight="1">
      <c r="A607" s="1568" t="s">
        <v>3078</v>
      </c>
      <c r="B607" s="1567">
        <v>42963</v>
      </c>
      <c r="C607" s="1568" t="s">
        <v>3308</v>
      </c>
      <c r="D607" s="1568" t="s">
        <v>3056</v>
      </c>
      <c r="E607" s="1567">
        <v>44159</v>
      </c>
      <c r="F607" s="1566">
        <v>625</v>
      </c>
      <c r="G607" s="1566">
        <v>0</v>
      </c>
      <c r="H607" s="1567"/>
      <c r="I607" s="1567">
        <v>43385</v>
      </c>
      <c r="J607" s="1567">
        <v>43385</v>
      </c>
      <c r="K607" s="1568" t="str">
        <f t="shared" si="9"/>
        <v>Yes</v>
      </c>
      <c r="L607" s="1565"/>
    </row>
    <row r="608" spans="1:12" ht="20.100000000000001" customHeight="1">
      <c r="A608" s="1568" t="s">
        <v>3078</v>
      </c>
      <c r="B608" s="1567">
        <v>42963</v>
      </c>
      <c r="C608" s="1568" t="s">
        <v>3308</v>
      </c>
      <c r="D608" s="1568" t="s">
        <v>3056</v>
      </c>
      <c r="E608" s="1567">
        <v>44189</v>
      </c>
      <c r="F608" s="1566">
        <v>625</v>
      </c>
      <c r="G608" s="1566">
        <v>0</v>
      </c>
      <c r="H608" s="1567"/>
      <c r="I608" s="1567">
        <v>43385</v>
      </c>
      <c r="J608" s="1567">
        <v>43385</v>
      </c>
      <c r="K608" s="1568" t="str">
        <f t="shared" si="9"/>
        <v>Yes</v>
      </c>
      <c r="L608" s="1565"/>
    </row>
    <row r="609" spans="1:12" ht="20.100000000000001" customHeight="1">
      <c r="A609" s="1568" t="s">
        <v>3078</v>
      </c>
      <c r="B609" s="1567">
        <v>42963</v>
      </c>
      <c r="C609" s="1568" t="s">
        <v>3308</v>
      </c>
      <c r="D609" s="1568" t="s">
        <v>3056</v>
      </c>
      <c r="E609" s="1567">
        <v>44220</v>
      </c>
      <c r="F609" s="1566">
        <v>625</v>
      </c>
      <c r="G609" s="1566">
        <v>0</v>
      </c>
      <c r="H609" s="1567"/>
      <c r="I609" s="1567">
        <v>43385</v>
      </c>
      <c r="J609" s="1567">
        <v>43385</v>
      </c>
      <c r="K609" s="1568" t="str">
        <f t="shared" si="9"/>
        <v>Yes</v>
      </c>
      <c r="L609" s="1565"/>
    </row>
    <row r="610" spans="1:12" ht="20.100000000000001" customHeight="1">
      <c r="A610" s="1568" t="s">
        <v>3078</v>
      </c>
      <c r="B610" s="1567">
        <v>42963</v>
      </c>
      <c r="C610" s="1568" t="s">
        <v>3308</v>
      </c>
      <c r="D610" s="1568" t="s">
        <v>3056</v>
      </c>
      <c r="E610" s="1567">
        <v>44251</v>
      </c>
      <c r="F610" s="1566">
        <v>625</v>
      </c>
      <c r="G610" s="1566">
        <v>0</v>
      </c>
      <c r="H610" s="1567"/>
      <c r="I610" s="1567">
        <v>43385</v>
      </c>
      <c r="J610" s="1567">
        <v>43385</v>
      </c>
      <c r="K610" s="1568" t="str">
        <f t="shared" si="9"/>
        <v>Yes</v>
      </c>
      <c r="L610" s="1565"/>
    </row>
    <row r="611" spans="1:12" ht="20.100000000000001" customHeight="1">
      <c r="A611" s="1568" t="s">
        <v>3078</v>
      </c>
      <c r="B611" s="1567">
        <v>42963</v>
      </c>
      <c r="C611" s="1568" t="s">
        <v>3308</v>
      </c>
      <c r="D611" s="1568" t="s">
        <v>3056</v>
      </c>
      <c r="E611" s="1567">
        <v>44279</v>
      </c>
      <c r="F611" s="1566">
        <v>625</v>
      </c>
      <c r="G611" s="1566">
        <v>0</v>
      </c>
      <c r="H611" s="1567"/>
      <c r="I611" s="1567">
        <v>43385</v>
      </c>
      <c r="J611" s="1567">
        <v>43385</v>
      </c>
      <c r="K611" s="1568" t="str">
        <f t="shared" si="9"/>
        <v>Yes</v>
      </c>
      <c r="L611" s="1565"/>
    </row>
    <row r="612" spans="1:12" ht="20.100000000000001" customHeight="1">
      <c r="A612" s="1568" t="s">
        <v>3078</v>
      </c>
      <c r="B612" s="1567">
        <v>42963</v>
      </c>
      <c r="C612" s="1568" t="s">
        <v>3308</v>
      </c>
      <c r="D612" s="1568" t="s">
        <v>3056</v>
      </c>
      <c r="E612" s="1567">
        <v>44310</v>
      </c>
      <c r="F612" s="1566">
        <v>625</v>
      </c>
      <c r="G612" s="1566">
        <v>0</v>
      </c>
      <c r="H612" s="1567"/>
      <c r="I612" s="1567">
        <v>43385</v>
      </c>
      <c r="J612" s="1567">
        <v>43385</v>
      </c>
      <c r="K612" s="1568" t="str">
        <f t="shared" si="9"/>
        <v>Yes</v>
      </c>
      <c r="L612" s="1565"/>
    </row>
    <row r="613" spans="1:12" ht="20.100000000000001" customHeight="1">
      <c r="A613" s="1568" t="s">
        <v>3077</v>
      </c>
      <c r="B613" s="1567">
        <v>42963</v>
      </c>
      <c r="C613" s="1568" t="s">
        <v>3308</v>
      </c>
      <c r="D613" s="1568" t="s">
        <v>3002</v>
      </c>
      <c r="E613" s="1567">
        <v>43032</v>
      </c>
      <c r="F613" s="1566">
        <v>5700</v>
      </c>
      <c r="G613" s="1566">
        <v>5700</v>
      </c>
      <c r="H613" s="1567">
        <v>43108</v>
      </c>
      <c r="I613" s="1567">
        <v>43032</v>
      </c>
      <c r="J613" s="1567">
        <v>43122</v>
      </c>
      <c r="K613" s="1568" t="str">
        <f t="shared" si="9"/>
        <v>No</v>
      </c>
      <c r="L613" s="1565"/>
    </row>
    <row r="614" spans="1:12" ht="20.100000000000001" customHeight="1">
      <c r="A614" s="1568" t="s">
        <v>3077</v>
      </c>
      <c r="B614" s="1567">
        <v>42963</v>
      </c>
      <c r="C614" s="1568" t="s">
        <v>3308</v>
      </c>
      <c r="D614" s="1568" t="s">
        <v>3002</v>
      </c>
      <c r="E614" s="1567">
        <v>43032</v>
      </c>
      <c r="F614" s="1566">
        <v>0</v>
      </c>
      <c r="G614" s="1566">
        <v>0</v>
      </c>
      <c r="H614" s="1567"/>
      <c r="I614" s="1567">
        <v>43032</v>
      </c>
      <c r="J614" s="1567">
        <v>43122</v>
      </c>
      <c r="K614" s="1568" t="str">
        <f t="shared" si="9"/>
        <v>No</v>
      </c>
      <c r="L614" s="1565"/>
    </row>
    <row r="615" spans="1:12" ht="20.100000000000001" customHeight="1">
      <c r="A615" s="1568" t="s">
        <v>3077</v>
      </c>
      <c r="B615" s="1567">
        <v>42963</v>
      </c>
      <c r="C615" s="1568" t="s">
        <v>3308</v>
      </c>
      <c r="D615" s="1568" t="s">
        <v>3002</v>
      </c>
      <c r="E615" s="1567">
        <v>43160</v>
      </c>
      <c r="F615" s="1566">
        <v>4071</v>
      </c>
      <c r="G615" s="1566">
        <v>0</v>
      </c>
      <c r="H615" s="1567"/>
      <c r="I615" s="1567">
        <v>43032</v>
      </c>
      <c r="J615" s="1567">
        <v>43032</v>
      </c>
      <c r="K615" s="1568" t="str">
        <f t="shared" si="9"/>
        <v>Yes</v>
      </c>
      <c r="L615" s="1565"/>
    </row>
    <row r="616" spans="1:12" ht="20.100000000000001" customHeight="1">
      <c r="A616" s="1568" t="s">
        <v>3077</v>
      </c>
      <c r="B616" s="1567">
        <v>42963</v>
      </c>
      <c r="C616" s="1568" t="s">
        <v>3308</v>
      </c>
      <c r="D616" s="1568" t="s">
        <v>3002</v>
      </c>
      <c r="E616" s="1567">
        <v>43191</v>
      </c>
      <c r="F616" s="1566">
        <v>814</v>
      </c>
      <c r="G616" s="1566">
        <v>0</v>
      </c>
      <c r="H616" s="1567"/>
      <c r="I616" s="1567">
        <v>43032</v>
      </c>
      <c r="J616" s="1567">
        <v>43032</v>
      </c>
      <c r="K616" s="1568" t="str">
        <f t="shared" si="9"/>
        <v>Yes</v>
      </c>
      <c r="L616" s="1565"/>
    </row>
    <row r="617" spans="1:12" ht="20.100000000000001" customHeight="1">
      <c r="A617" s="1568" t="s">
        <v>3077</v>
      </c>
      <c r="B617" s="1567">
        <v>42963</v>
      </c>
      <c r="C617" s="1568" t="s">
        <v>3308</v>
      </c>
      <c r="D617" s="1568" t="s">
        <v>3002</v>
      </c>
      <c r="E617" s="1567">
        <v>43221</v>
      </c>
      <c r="F617" s="1566">
        <v>815</v>
      </c>
      <c r="G617" s="1566">
        <v>0</v>
      </c>
      <c r="H617" s="1567"/>
      <c r="I617" s="1567">
        <v>43032</v>
      </c>
      <c r="J617" s="1567">
        <v>43032</v>
      </c>
      <c r="K617" s="1568" t="str">
        <f t="shared" si="9"/>
        <v>Yes</v>
      </c>
      <c r="L617" s="1565"/>
    </row>
    <row r="618" spans="1:12" ht="20.100000000000001" customHeight="1">
      <c r="A618" s="1568" t="s">
        <v>3077</v>
      </c>
      <c r="B618" s="1567">
        <v>42963</v>
      </c>
      <c r="C618" s="1568" t="s">
        <v>3308</v>
      </c>
      <c r="D618" s="1568" t="s">
        <v>3002</v>
      </c>
      <c r="E618" s="1567">
        <v>43252</v>
      </c>
      <c r="F618" s="1566">
        <v>814</v>
      </c>
      <c r="G618" s="1566">
        <v>0</v>
      </c>
      <c r="H618" s="1567"/>
      <c r="I618" s="1567">
        <v>43032</v>
      </c>
      <c r="J618" s="1567">
        <v>43032</v>
      </c>
      <c r="K618" s="1568" t="str">
        <f t="shared" si="9"/>
        <v>Yes</v>
      </c>
      <c r="L618" s="1565"/>
    </row>
    <row r="619" spans="1:12" ht="20.100000000000001" customHeight="1">
      <c r="A619" s="1568" t="s">
        <v>3077</v>
      </c>
      <c r="B619" s="1567">
        <v>42963</v>
      </c>
      <c r="C619" s="1568" t="s">
        <v>3308</v>
      </c>
      <c r="D619" s="1568" t="s">
        <v>3002</v>
      </c>
      <c r="E619" s="1567">
        <v>43282</v>
      </c>
      <c r="F619" s="1566">
        <v>814</v>
      </c>
      <c r="G619" s="1566">
        <v>0</v>
      </c>
      <c r="H619" s="1567"/>
      <c r="I619" s="1567">
        <v>43032</v>
      </c>
      <c r="J619" s="1567">
        <v>43032</v>
      </c>
      <c r="K619" s="1568" t="str">
        <f t="shared" si="9"/>
        <v>Yes</v>
      </c>
      <c r="L619" s="1565"/>
    </row>
    <row r="620" spans="1:12" ht="20.100000000000001" customHeight="1">
      <c r="A620" s="1568" t="s">
        <v>3077</v>
      </c>
      <c r="B620" s="1567">
        <v>42963</v>
      </c>
      <c r="C620" s="1568" t="s">
        <v>3308</v>
      </c>
      <c r="D620" s="1568" t="s">
        <v>3002</v>
      </c>
      <c r="E620" s="1567">
        <v>43313</v>
      </c>
      <c r="F620" s="1566">
        <v>814</v>
      </c>
      <c r="G620" s="1566">
        <v>0</v>
      </c>
      <c r="H620" s="1567"/>
      <c r="I620" s="1567">
        <v>43032</v>
      </c>
      <c r="J620" s="1567">
        <v>43032</v>
      </c>
      <c r="K620" s="1568" t="str">
        <f t="shared" si="9"/>
        <v>Yes</v>
      </c>
      <c r="L620" s="1565"/>
    </row>
    <row r="621" spans="1:12" ht="20.100000000000001" customHeight="1">
      <c r="A621" s="1568" t="s">
        <v>3077</v>
      </c>
      <c r="B621" s="1567">
        <v>42963</v>
      </c>
      <c r="C621" s="1568" t="s">
        <v>3308</v>
      </c>
      <c r="D621" s="1568" t="s">
        <v>3002</v>
      </c>
      <c r="E621" s="1567">
        <v>43344</v>
      </c>
      <c r="F621" s="1566">
        <v>815</v>
      </c>
      <c r="G621" s="1566">
        <v>0</v>
      </c>
      <c r="H621" s="1567"/>
      <c r="I621" s="1567">
        <v>43032</v>
      </c>
      <c r="J621" s="1567">
        <v>43032</v>
      </c>
      <c r="K621" s="1568" t="str">
        <f t="shared" si="9"/>
        <v>Yes</v>
      </c>
      <c r="L621" s="1565"/>
    </row>
    <row r="622" spans="1:12" ht="20.100000000000001" customHeight="1">
      <c r="A622" s="1568" t="s">
        <v>3077</v>
      </c>
      <c r="B622" s="1567">
        <v>42963</v>
      </c>
      <c r="C622" s="1568" t="s">
        <v>3308</v>
      </c>
      <c r="D622" s="1568" t="s">
        <v>3002</v>
      </c>
      <c r="E622" s="1567">
        <v>43374</v>
      </c>
      <c r="F622" s="1566">
        <v>814</v>
      </c>
      <c r="G622" s="1566">
        <v>0</v>
      </c>
      <c r="H622" s="1567"/>
      <c r="I622" s="1567">
        <v>43032</v>
      </c>
      <c r="J622" s="1567">
        <v>43032</v>
      </c>
      <c r="K622" s="1568" t="str">
        <f t="shared" si="9"/>
        <v>Yes</v>
      </c>
      <c r="L622" s="1565"/>
    </row>
    <row r="623" spans="1:12" ht="20.100000000000001" customHeight="1">
      <c r="A623" s="1568" t="s">
        <v>3077</v>
      </c>
      <c r="B623" s="1567">
        <v>42963</v>
      </c>
      <c r="C623" s="1568" t="s">
        <v>3308</v>
      </c>
      <c r="D623" s="1568" t="s">
        <v>3002</v>
      </c>
      <c r="E623" s="1567">
        <v>43405</v>
      </c>
      <c r="F623" s="1566">
        <v>814</v>
      </c>
      <c r="G623" s="1566">
        <v>0</v>
      </c>
      <c r="H623" s="1567"/>
      <c r="I623" s="1567">
        <v>43032</v>
      </c>
      <c r="J623" s="1567">
        <v>43032</v>
      </c>
      <c r="K623" s="1568" t="str">
        <f t="shared" si="9"/>
        <v>Yes</v>
      </c>
      <c r="L623" s="1565"/>
    </row>
    <row r="624" spans="1:12" ht="20.100000000000001" customHeight="1">
      <c r="A624" s="1568" t="s">
        <v>3077</v>
      </c>
      <c r="B624" s="1567">
        <v>42963</v>
      </c>
      <c r="C624" s="1568" t="s">
        <v>3308</v>
      </c>
      <c r="D624" s="1568" t="s">
        <v>3002</v>
      </c>
      <c r="E624" s="1567">
        <v>43435</v>
      </c>
      <c r="F624" s="1566">
        <v>815</v>
      </c>
      <c r="G624" s="1566">
        <v>0</v>
      </c>
      <c r="H624" s="1567"/>
      <c r="I624" s="1567">
        <v>43032</v>
      </c>
      <c r="J624" s="1567">
        <v>43032</v>
      </c>
      <c r="K624" s="1568" t="str">
        <f t="shared" si="9"/>
        <v>Yes</v>
      </c>
      <c r="L624" s="1565"/>
    </row>
    <row r="625" spans="1:12" ht="20.100000000000001" customHeight="1">
      <c r="A625" s="1568" t="s">
        <v>3077</v>
      </c>
      <c r="B625" s="1567">
        <v>42963</v>
      </c>
      <c r="C625" s="1568" t="s">
        <v>3308</v>
      </c>
      <c r="D625" s="1568" t="s">
        <v>3002</v>
      </c>
      <c r="E625" s="1567">
        <v>43466</v>
      </c>
      <c r="F625" s="1566">
        <v>814</v>
      </c>
      <c r="G625" s="1566">
        <v>0</v>
      </c>
      <c r="H625" s="1567"/>
      <c r="I625" s="1567">
        <v>43032</v>
      </c>
      <c r="J625" s="1567">
        <v>43032</v>
      </c>
      <c r="K625" s="1568" t="str">
        <f t="shared" si="9"/>
        <v>Yes</v>
      </c>
      <c r="L625" s="1565"/>
    </row>
    <row r="626" spans="1:12" ht="20.100000000000001" customHeight="1">
      <c r="A626" s="1568" t="s">
        <v>3077</v>
      </c>
      <c r="B626" s="1567">
        <v>42963</v>
      </c>
      <c r="C626" s="1568" t="s">
        <v>3308</v>
      </c>
      <c r="D626" s="1568" t="s">
        <v>3002</v>
      </c>
      <c r="E626" s="1567">
        <v>43497</v>
      </c>
      <c r="F626" s="1566">
        <v>814</v>
      </c>
      <c r="G626" s="1566">
        <v>0</v>
      </c>
      <c r="H626" s="1567"/>
      <c r="I626" s="1567">
        <v>43032</v>
      </c>
      <c r="J626" s="1567">
        <v>43032</v>
      </c>
      <c r="K626" s="1568" t="str">
        <f t="shared" si="9"/>
        <v>Yes</v>
      </c>
      <c r="L626" s="1565"/>
    </row>
    <row r="627" spans="1:12" ht="20.100000000000001" customHeight="1">
      <c r="A627" s="1568" t="s">
        <v>3077</v>
      </c>
      <c r="B627" s="1567">
        <v>42963</v>
      </c>
      <c r="C627" s="1568" t="s">
        <v>3308</v>
      </c>
      <c r="D627" s="1568" t="s">
        <v>3002</v>
      </c>
      <c r="E627" s="1567">
        <v>43525</v>
      </c>
      <c r="F627" s="1566">
        <v>815</v>
      </c>
      <c r="G627" s="1566">
        <v>0</v>
      </c>
      <c r="H627" s="1567"/>
      <c r="I627" s="1567">
        <v>43032</v>
      </c>
      <c r="J627" s="1567">
        <v>43032</v>
      </c>
      <c r="K627" s="1568" t="str">
        <f t="shared" si="9"/>
        <v>Yes</v>
      </c>
      <c r="L627" s="1565"/>
    </row>
    <row r="628" spans="1:12" ht="20.100000000000001" customHeight="1">
      <c r="A628" s="1568" t="s">
        <v>3077</v>
      </c>
      <c r="B628" s="1567">
        <v>42963</v>
      </c>
      <c r="C628" s="1568" t="s">
        <v>3308</v>
      </c>
      <c r="D628" s="1568" t="s">
        <v>3002</v>
      </c>
      <c r="E628" s="1567">
        <v>43556</v>
      </c>
      <c r="F628" s="1566">
        <v>814</v>
      </c>
      <c r="G628" s="1566">
        <v>0</v>
      </c>
      <c r="H628" s="1567"/>
      <c r="I628" s="1567">
        <v>43032</v>
      </c>
      <c r="J628" s="1567">
        <v>43032</v>
      </c>
      <c r="K628" s="1568" t="str">
        <f t="shared" si="9"/>
        <v>Yes</v>
      </c>
      <c r="L628" s="1565"/>
    </row>
    <row r="629" spans="1:12" ht="20.100000000000001" customHeight="1">
      <c r="A629" s="1568" t="s">
        <v>3077</v>
      </c>
      <c r="B629" s="1567">
        <v>42963</v>
      </c>
      <c r="C629" s="1568" t="s">
        <v>3308</v>
      </c>
      <c r="D629" s="1568" t="s">
        <v>3002</v>
      </c>
      <c r="E629" s="1567">
        <v>43586</v>
      </c>
      <c r="F629" s="1566">
        <v>814</v>
      </c>
      <c r="G629" s="1566">
        <v>0</v>
      </c>
      <c r="H629" s="1567"/>
      <c r="I629" s="1567">
        <v>43032</v>
      </c>
      <c r="J629" s="1567">
        <v>43032</v>
      </c>
      <c r="K629" s="1568" t="str">
        <f t="shared" si="9"/>
        <v>Yes</v>
      </c>
      <c r="L629" s="1565"/>
    </row>
    <row r="630" spans="1:12" ht="20.100000000000001" customHeight="1">
      <c r="A630" s="1568" t="s">
        <v>3077</v>
      </c>
      <c r="B630" s="1567">
        <v>42963</v>
      </c>
      <c r="C630" s="1568" t="s">
        <v>3308</v>
      </c>
      <c r="D630" s="1568" t="s">
        <v>3002</v>
      </c>
      <c r="E630" s="1567">
        <v>43617</v>
      </c>
      <c r="F630" s="1566">
        <v>814</v>
      </c>
      <c r="G630" s="1566">
        <v>0</v>
      </c>
      <c r="H630" s="1567"/>
      <c r="I630" s="1567">
        <v>43032</v>
      </c>
      <c r="J630" s="1567">
        <v>43032</v>
      </c>
      <c r="K630" s="1568" t="str">
        <f t="shared" si="9"/>
        <v>Yes</v>
      </c>
      <c r="L630" s="1565"/>
    </row>
    <row r="631" spans="1:12" ht="20.100000000000001" customHeight="1">
      <c r="A631" s="1568" t="s">
        <v>3077</v>
      </c>
      <c r="B631" s="1567">
        <v>42963</v>
      </c>
      <c r="C631" s="1568" t="s">
        <v>3308</v>
      </c>
      <c r="D631" s="1568" t="s">
        <v>3002</v>
      </c>
      <c r="E631" s="1567">
        <v>43647</v>
      </c>
      <c r="F631" s="1566">
        <v>815</v>
      </c>
      <c r="G631" s="1566">
        <v>0</v>
      </c>
      <c r="H631" s="1567"/>
      <c r="I631" s="1567">
        <v>43032</v>
      </c>
      <c r="J631" s="1567">
        <v>43032</v>
      </c>
      <c r="K631" s="1568" t="str">
        <f t="shared" si="9"/>
        <v>Yes</v>
      </c>
      <c r="L631" s="1565"/>
    </row>
    <row r="632" spans="1:12" ht="20.100000000000001" customHeight="1">
      <c r="A632" s="1568" t="s">
        <v>3077</v>
      </c>
      <c r="B632" s="1567">
        <v>42963</v>
      </c>
      <c r="C632" s="1568" t="s">
        <v>3308</v>
      </c>
      <c r="D632" s="1568" t="s">
        <v>3002</v>
      </c>
      <c r="E632" s="1567">
        <v>43678</v>
      </c>
      <c r="F632" s="1566">
        <v>814</v>
      </c>
      <c r="G632" s="1566">
        <v>0</v>
      </c>
      <c r="H632" s="1567"/>
      <c r="I632" s="1567">
        <v>43032</v>
      </c>
      <c r="J632" s="1567">
        <v>43032</v>
      </c>
      <c r="K632" s="1568" t="str">
        <f t="shared" si="9"/>
        <v>Yes</v>
      </c>
      <c r="L632" s="1565"/>
    </row>
    <row r="633" spans="1:12" ht="20.100000000000001" customHeight="1">
      <c r="A633" s="1568" t="s">
        <v>3077</v>
      </c>
      <c r="B633" s="1567">
        <v>42963</v>
      </c>
      <c r="C633" s="1568" t="s">
        <v>3308</v>
      </c>
      <c r="D633" s="1568" t="s">
        <v>3002</v>
      </c>
      <c r="E633" s="1567">
        <v>43709</v>
      </c>
      <c r="F633" s="1566">
        <v>814</v>
      </c>
      <c r="G633" s="1566">
        <v>0</v>
      </c>
      <c r="H633" s="1567"/>
      <c r="I633" s="1567">
        <v>43032</v>
      </c>
      <c r="J633" s="1567">
        <v>43032</v>
      </c>
      <c r="K633" s="1568" t="str">
        <f t="shared" si="9"/>
        <v>Yes</v>
      </c>
      <c r="L633" s="1565"/>
    </row>
    <row r="634" spans="1:12" ht="20.100000000000001" customHeight="1">
      <c r="A634" s="1568" t="s">
        <v>3077</v>
      </c>
      <c r="B634" s="1567">
        <v>42963</v>
      </c>
      <c r="C634" s="1568" t="s">
        <v>3308</v>
      </c>
      <c r="D634" s="1568" t="s">
        <v>3002</v>
      </c>
      <c r="E634" s="1567">
        <v>43739</v>
      </c>
      <c r="F634" s="1566">
        <v>815</v>
      </c>
      <c r="G634" s="1566">
        <v>0</v>
      </c>
      <c r="H634" s="1567"/>
      <c r="I634" s="1567">
        <v>43032</v>
      </c>
      <c r="J634" s="1567">
        <v>43032</v>
      </c>
      <c r="K634" s="1568" t="str">
        <f t="shared" si="9"/>
        <v>Yes</v>
      </c>
      <c r="L634" s="1565"/>
    </row>
    <row r="635" spans="1:12" ht="20.100000000000001" customHeight="1">
      <c r="A635" s="1568" t="s">
        <v>3077</v>
      </c>
      <c r="B635" s="1567">
        <v>42963</v>
      </c>
      <c r="C635" s="1568" t="s">
        <v>3308</v>
      </c>
      <c r="D635" s="1568" t="s">
        <v>3002</v>
      </c>
      <c r="E635" s="1567">
        <v>43770</v>
      </c>
      <c r="F635" s="1566">
        <v>814</v>
      </c>
      <c r="G635" s="1566">
        <v>0</v>
      </c>
      <c r="H635" s="1567"/>
      <c r="I635" s="1567">
        <v>43032</v>
      </c>
      <c r="J635" s="1567">
        <v>43032</v>
      </c>
      <c r="K635" s="1568" t="str">
        <f t="shared" si="9"/>
        <v>Yes</v>
      </c>
      <c r="L635" s="1565"/>
    </row>
    <row r="636" spans="1:12" ht="20.100000000000001" customHeight="1">
      <c r="A636" s="1568" t="s">
        <v>3077</v>
      </c>
      <c r="B636" s="1567">
        <v>42963</v>
      </c>
      <c r="C636" s="1568" t="s">
        <v>3308</v>
      </c>
      <c r="D636" s="1568" t="s">
        <v>3002</v>
      </c>
      <c r="E636" s="1567">
        <v>43800</v>
      </c>
      <c r="F636" s="1566">
        <v>814</v>
      </c>
      <c r="G636" s="1566">
        <v>0</v>
      </c>
      <c r="H636" s="1567"/>
      <c r="I636" s="1567">
        <v>43032</v>
      </c>
      <c r="J636" s="1567">
        <v>43032</v>
      </c>
      <c r="K636" s="1568" t="str">
        <f t="shared" si="9"/>
        <v>Yes</v>
      </c>
      <c r="L636" s="1565"/>
    </row>
    <row r="637" spans="1:12" ht="20.100000000000001" customHeight="1">
      <c r="A637" s="1568" t="s">
        <v>3077</v>
      </c>
      <c r="B637" s="1567">
        <v>42963</v>
      </c>
      <c r="C637" s="1568" t="s">
        <v>3308</v>
      </c>
      <c r="D637" s="1568" t="s">
        <v>3002</v>
      </c>
      <c r="E637" s="1567">
        <v>43831</v>
      </c>
      <c r="F637" s="1566">
        <v>814</v>
      </c>
      <c r="G637" s="1566">
        <v>0</v>
      </c>
      <c r="H637" s="1567"/>
      <c r="I637" s="1567">
        <v>43032</v>
      </c>
      <c r="J637" s="1567">
        <v>43032</v>
      </c>
      <c r="K637" s="1568" t="str">
        <f t="shared" si="9"/>
        <v>Yes</v>
      </c>
      <c r="L637" s="1565"/>
    </row>
    <row r="638" spans="1:12" ht="20.100000000000001" customHeight="1">
      <c r="A638" s="1568" t="s">
        <v>3077</v>
      </c>
      <c r="B638" s="1567">
        <v>42963</v>
      </c>
      <c r="C638" s="1568" t="s">
        <v>3308</v>
      </c>
      <c r="D638" s="1568" t="s">
        <v>3002</v>
      </c>
      <c r="E638" s="1567">
        <v>43862</v>
      </c>
      <c r="F638" s="1566">
        <v>815</v>
      </c>
      <c r="G638" s="1566">
        <v>0</v>
      </c>
      <c r="H638" s="1567"/>
      <c r="I638" s="1567">
        <v>43032</v>
      </c>
      <c r="J638" s="1567">
        <v>43032</v>
      </c>
      <c r="K638" s="1568" t="str">
        <f t="shared" si="9"/>
        <v>Yes</v>
      </c>
      <c r="L638" s="1565"/>
    </row>
    <row r="639" spans="1:12" ht="20.100000000000001" customHeight="1">
      <c r="A639" s="1568" t="s">
        <v>3077</v>
      </c>
      <c r="B639" s="1567">
        <v>42963</v>
      </c>
      <c r="C639" s="1568" t="s">
        <v>3308</v>
      </c>
      <c r="D639" s="1568" t="s">
        <v>3002</v>
      </c>
      <c r="E639" s="1567">
        <v>43891</v>
      </c>
      <c r="F639" s="1566">
        <v>814</v>
      </c>
      <c r="G639" s="1566">
        <v>0</v>
      </c>
      <c r="H639" s="1567"/>
      <c r="I639" s="1567">
        <v>43032</v>
      </c>
      <c r="J639" s="1567">
        <v>43032</v>
      </c>
      <c r="K639" s="1568" t="str">
        <f t="shared" si="9"/>
        <v>Yes</v>
      </c>
      <c r="L639" s="1565"/>
    </row>
    <row r="640" spans="1:12" ht="20.100000000000001" customHeight="1">
      <c r="A640" s="1568" t="s">
        <v>3077</v>
      </c>
      <c r="B640" s="1567">
        <v>42963</v>
      </c>
      <c r="C640" s="1568" t="s">
        <v>3308</v>
      </c>
      <c r="D640" s="1568" t="s">
        <v>3002</v>
      </c>
      <c r="E640" s="1567">
        <v>43922</v>
      </c>
      <c r="F640" s="1566">
        <v>814</v>
      </c>
      <c r="G640" s="1566">
        <v>0</v>
      </c>
      <c r="H640" s="1567"/>
      <c r="I640" s="1567">
        <v>43032</v>
      </c>
      <c r="J640" s="1567">
        <v>43032</v>
      </c>
      <c r="K640" s="1568" t="str">
        <f t="shared" si="9"/>
        <v>Yes</v>
      </c>
      <c r="L640" s="1565"/>
    </row>
    <row r="641" spans="1:12" ht="20.100000000000001" customHeight="1">
      <c r="A641" s="1568" t="s">
        <v>3077</v>
      </c>
      <c r="B641" s="1567">
        <v>42963</v>
      </c>
      <c r="C641" s="1568" t="s">
        <v>3308</v>
      </c>
      <c r="D641" s="1568" t="s">
        <v>3002</v>
      </c>
      <c r="E641" s="1567">
        <v>43952</v>
      </c>
      <c r="F641" s="1566">
        <v>815</v>
      </c>
      <c r="G641" s="1566">
        <v>0</v>
      </c>
      <c r="H641" s="1567"/>
      <c r="I641" s="1567">
        <v>43032</v>
      </c>
      <c r="J641" s="1567">
        <v>43032</v>
      </c>
      <c r="K641" s="1568" t="str">
        <f t="shared" si="9"/>
        <v>Yes</v>
      </c>
      <c r="L641" s="1565"/>
    </row>
    <row r="642" spans="1:12" ht="20.100000000000001" customHeight="1">
      <c r="A642" s="1568" t="s">
        <v>3077</v>
      </c>
      <c r="B642" s="1567">
        <v>42963</v>
      </c>
      <c r="C642" s="1568" t="s">
        <v>3308</v>
      </c>
      <c r="D642" s="1568" t="s">
        <v>3002</v>
      </c>
      <c r="E642" s="1567">
        <v>43983</v>
      </c>
      <c r="F642" s="1566">
        <v>814</v>
      </c>
      <c r="G642" s="1566">
        <v>0</v>
      </c>
      <c r="H642" s="1567"/>
      <c r="I642" s="1567">
        <v>43032</v>
      </c>
      <c r="J642" s="1567">
        <v>43032</v>
      </c>
      <c r="K642" s="1568" t="str">
        <f t="shared" si="9"/>
        <v>Yes</v>
      </c>
      <c r="L642" s="1565"/>
    </row>
    <row r="643" spans="1:12" ht="20.100000000000001" customHeight="1">
      <c r="A643" s="1568" t="s">
        <v>3077</v>
      </c>
      <c r="B643" s="1567">
        <v>42963</v>
      </c>
      <c r="C643" s="1568" t="s">
        <v>3308</v>
      </c>
      <c r="D643" s="1568" t="s">
        <v>3002</v>
      </c>
      <c r="E643" s="1567">
        <v>44013</v>
      </c>
      <c r="F643" s="1566">
        <v>814</v>
      </c>
      <c r="G643" s="1566">
        <v>0</v>
      </c>
      <c r="H643" s="1567"/>
      <c r="I643" s="1567">
        <v>43032</v>
      </c>
      <c r="J643" s="1567">
        <v>43032</v>
      </c>
      <c r="K643" s="1568" t="str">
        <f t="shared" si="9"/>
        <v>Yes</v>
      </c>
      <c r="L643" s="1565"/>
    </row>
    <row r="644" spans="1:12" ht="20.100000000000001" customHeight="1">
      <c r="A644" s="1568" t="s">
        <v>3077</v>
      </c>
      <c r="B644" s="1567">
        <v>42963</v>
      </c>
      <c r="C644" s="1568" t="s">
        <v>3308</v>
      </c>
      <c r="D644" s="1568" t="s">
        <v>3002</v>
      </c>
      <c r="E644" s="1567">
        <v>44044</v>
      </c>
      <c r="F644" s="1566">
        <v>814</v>
      </c>
      <c r="G644" s="1566">
        <v>0</v>
      </c>
      <c r="H644" s="1567"/>
      <c r="I644" s="1567">
        <v>43032</v>
      </c>
      <c r="J644" s="1567">
        <v>43032</v>
      </c>
      <c r="K644" s="1568" t="str">
        <f t="shared" si="9"/>
        <v>Yes</v>
      </c>
      <c r="L644" s="1565"/>
    </row>
    <row r="645" spans="1:12" ht="20.100000000000001" customHeight="1">
      <c r="A645" s="1568" t="s">
        <v>3077</v>
      </c>
      <c r="B645" s="1567">
        <v>42963</v>
      </c>
      <c r="C645" s="1568" t="s">
        <v>3308</v>
      </c>
      <c r="D645" s="1568" t="s">
        <v>3002</v>
      </c>
      <c r="E645" s="1567">
        <v>44075</v>
      </c>
      <c r="F645" s="1566">
        <v>815</v>
      </c>
      <c r="G645" s="1566">
        <v>0</v>
      </c>
      <c r="H645" s="1567"/>
      <c r="I645" s="1567">
        <v>43032</v>
      </c>
      <c r="J645" s="1567">
        <v>43032</v>
      </c>
      <c r="K645" s="1568" t="str">
        <f t="shared" ref="K645:K708" si="10">IF(I645="N/A","No",IF(E645&lt;=I645,"No","Yes"))</f>
        <v>Yes</v>
      </c>
      <c r="L645" s="1565"/>
    </row>
    <row r="646" spans="1:12" ht="20.100000000000001" customHeight="1">
      <c r="A646" s="1568" t="s">
        <v>3077</v>
      </c>
      <c r="B646" s="1567">
        <v>42963</v>
      </c>
      <c r="C646" s="1568" t="s">
        <v>3308</v>
      </c>
      <c r="D646" s="1568" t="s">
        <v>3002</v>
      </c>
      <c r="E646" s="1567">
        <v>44105</v>
      </c>
      <c r="F646" s="1566">
        <v>814</v>
      </c>
      <c r="G646" s="1566">
        <v>0</v>
      </c>
      <c r="H646" s="1567"/>
      <c r="I646" s="1567">
        <v>43032</v>
      </c>
      <c r="J646" s="1567">
        <v>43032</v>
      </c>
      <c r="K646" s="1568" t="str">
        <f t="shared" si="10"/>
        <v>Yes</v>
      </c>
      <c r="L646" s="1565"/>
    </row>
    <row r="647" spans="1:12" ht="20.100000000000001" customHeight="1">
      <c r="A647" s="1568" t="s">
        <v>3077</v>
      </c>
      <c r="B647" s="1567">
        <v>42963</v>
      </c>
      <c r="C647" s="1568" t="s">
        <v>3308</v>
      </c>
      <c r="D647" s="1568" t="s">
        <v>3002</v>
      </c>
      <c r="E647" s="1567">
        <v>44136</v>
      </c>
      <c r="F647" s="1566">
        <v>814</v>
      </c>
      <c r="G647" s="1566">
        <v>0</v>
      </c>
      <c r="H647" s="1567"/>
      <c r="I647" s="1567">
        <v>43032</v>
      </c>
      <c r="J647" s="1567">
        <v>43032</v>
      </c>
      <c r="K647" s="1568" t="str">
        <f t="shared" si="10"/>
        <v>Yes</v>
      </c>
      <c r="L647" s="1565"/>
    </row>
    <row r="648" spans="1:12" ht="20.100000000000001" customHeight="1">
      <c r="A648" s="1568" t="s">
        <v>3077</v>
      </c>
      <c r="B648" s="1567">
        <v>42963</v>
      </c>
      <c r="C648" s="1568" t="s">
        <v>3308</v>
      </c>
      <c r="D648" s="1568" t="s">
        <v>3002</v>
      </c>
      <c r="E648" s="1567">
        <v>44166</v>
      </c>
      <c r="F648" s="1566">
        <v>815</v>
      </c>
      <c r="G648" s="1566">
        <v>0</v>
      </c>
      <c r="H648" s="1567"/>
      <c r="I648" s="1567">
        <v>43032</v>
      </c>
      <c r="J648" s="1567">
        <v>43032</v>
      </c>
      <c r="K648" s="1568" t="str">
        <f t="shared" si="10"/>
        <v>Yes</v>
      </c>
      <c r="L648" s="1565"/>
    </row>
    <row r="649" spans="1:12" ht="20.100000000000001" customHeight="1">
      <c r="A649" s="1568" t="s">
        <v>3077</v>
      </c>
      <c r="B649" s="1567">
        <v>42963</v>
      </c>
      <c r="C649" s="1568" t="s">
        <v>3308</v>
      </c>
      <c r="D649" s="1568" t="s">
        <v>3002</v>
      </c>
      <c r="E649" s="1567">
        <v>44197</v>
      </c>
      <c r="F649" s="1566">
        <v>814</v>
      </c>
      <c r="G649" s="1566">
        <v>0</v>
      </c>
      <c r="H649" s="1567"/>
      <c r="I649" s="1567">
        <v>43032</v>
      </c>
      <c r="J649" s="1567">
        <v>43032</v>
      </c>
      <c r="K649" s="1568" t="str">
        <f t="shared" si="10"/>
        <v>Yes</v>
      </c>
      <c r="L649" s="1565"/>
    </row>
    <row r="650" spans="1:12" ht="20.100000000000001" customHeight="1">
      <c r="A650" s="1568" t="s">
        <v>3077</v>
      </c>
      <c r="B650" s="1567">
        <v>42963</v>
      </c>
      <c r="C650" s="1568" t="s">
        <v>3308</v>
      </c>
      <c r="D650" s="1568" t="s">
        <v>3002</v>
      </c>
      <c r="E650" s="1567">
        <v>44228</v>
      </c>
      <c r="F650" s="1566">
        <v>814</v>
      </c>
      <c r="G650" s="1566">
        <v>0</v>
      </c>
      <c r="H650" s="1567"/>
      <c r="I650" s="1567">
        <v>43032</v>
      </c>
      <c r="J650" s="1567">
        <v>43032</v>
      </c>
      <c r="K650" s="1568" t="str">
        <f t="shared" si="10"/>
        <v>Yes</v>
      </c>
      <c r="L650" s="1565"/>
    </row>
    <row r="651" spans="1:12" ht="20.100000000000001" customHeight="1">
      <c r="A651" s="1568" t="s">
        <v>3077</v>
      </c>
      <c r="B651" s="1567">
        <v>42963</v>
      </c>
      <c r="C651" s="1568" t="s">
        <v>3308</v>
      </c>
      <c r="D651" s="1568" t="s">
        <v>3002</v>
      </c>
      <c r="E651" s="1567">
        <v>44256</v>
      </c>
      <c r="F651" s="1566">
        <v>815</v>
      </c>
      <c r="G651" s="1566">
        <v>0</v>
      </c>
      <c r="H651" s="1567"/>
      <c r="I651" s="1567">
        <v>43032</v>
      </c>
      <c r="J651" s="1567">
        <v>43032</v>
      </c>
      <c r="K651" s="1568" t="str">
        <f t="shared" si="10"/>
        <v>Yes</v>
      </c>
      <c r="L651" s="1565"/>
    </row>
    <row r="652" spans="1:12" ht="20.100000000000001" customHeight="1">
      <c r="A652" s="1568" t="s">
        <v>3075</v>
      </c>
      <c r="B652" s="1567">
        <v>42963</v>
      </c>
      <c r="C652" s="1568" t="s">
        <v>3308</v>
      </c>
      <c r="D652" s="1568" t="s">
        <v>2993</v>
      </c>
      <c r="E652" s="1567">
        <v>43312</v>
      </c>
      <c r="F652" s="1566">
        <v>1500</v>
      </c>
      <c r="G652" s="1566">
        <v>0</v>
      </c>
      <c r="H652" s="1567"/>
      <c r="I652" s="1567">
        <v>46614</v>
      </c>
      <c r="J652" s="1567">
        <v>46614</v>
      </c>
      <c r="K652" s="1568" t="str">
        <f t="shared" si="10"/>
        <v>No</v>
      </c>
      <c r="L652" s="1565"/>
    </row>
    <row r="653" spans="1:12" ht="20.100000000000001" customHeight="1">
      <c r="A653" s="1568" t="s">
        <v>3075</v>
      </c>
      <c r="B653" s="1567">
        <v>42963</v>
      </c>
      <c r="C653" s="1568" t="s">
        <v>3308</v>
      </c>
      <c r="D653" s="1568" t="s">
        <v>2993</v>
      </c>
      <c r="E653" s="1567">
        <v>43343</v>
      </c>
      <c r="F653" s="1566">
        <v>125</v>
      </c>
      <c r="G653" s="1566">
        <v>0</v>
      </c>
      <c r="H653" s="1567"/>
      <c r="I653" s="1567">
        <v>46614</v>
      </c>
      <c r="J653" s="1567">
        <v>46614</v>
      </c>
      <c r="K653" s="1568" t="str">
        <f t="shared" si="10"/>
        <v>No</v>
      </c>
      <c r="L653" s="1565"/>
    </row>
    <row r="654" spans="1:12" ht="20.100000000000001" customHeight="1">
      <c r="A654" s="1568" t="s">
        <v>3075</v>
      </c>
      <c r="B654" s="1567">
        <v>42963</v>
      </c>
      <c r="C654" s="1568" t="s">
        <v>3308</v>
      </c>
      <c r="D654" s="1568" t="s">
        <v>2993</v>
      </c>
      <c r="E654" s="1567">
        <v>43373</v>
      </c>
      <c r="F654" s="1566">
        <v>125</v>
      </c>
      <c r="G654" s="1566">
        <v>0</v>
      </c>
      <c r="H654" s="1567"/>
      <c r="I654" s="1567">
        <v>46614</v>
      </c>
      <c r="J654" s="1567">
        <v>46614</v>
      </c>
      <c r="K654" s="1568" t="str">
        <f t="shared" si="10"/>
        <v>No</v>
      </c>
      <c r="L654" s="1565"/>
    </row>
    <row r="655" spans="1:12" ht="20.100000000000001" customHeight="1">
      <c r="A655" s="1568" t="s">
        <v>3075</v>
      </c>
      <c r="B655" s="1567">
        <v>42963</v>
      </c>
      <c r="C655" s="1568" t="s">
        <v>3308</v>
      </c>
      <c r="D655" s="1568" t="s">
        <v>2993</v>
      </c>
      <c r="E655" s="1567">
        <v>43404</v>
      </c>
      <c r="F655" s="1566">
        <v>125</v>
      </c>
      <c r="G655" s="1566">
        <v>0</v>
      </c>
      <c r="H655" s="1567"/>
      <c r="I655" s="1567">
        <v>46614</v>
      </c>
      <c r="J655" s="1567">
        <v>46614</v>
      </c>
      <c r="K655" s="1568" t="str">
        <f t="shared" si="10"/>
        <v>No</v>
      </c>
      <c r="L655" s="1565"/>
    </row>
    <row r="656" spans="1:12" ht="20.100000000000001" customHeight="1">
      <c r="A656" s="1568" t="s">
        <v>3075</v>
      </c>
      <c r="B656" s="1567">
        <v>42963</v>
      </c>
      <c r="C656" s="1568" t="s">
        <v>3308</v>
      </c>
      <c r="D656" s="1568" t="s">
        <v>2993</v>
      </c>
      <c r="E656" s="1567">
        <v>43434</v>
      </c>
      <c r="F656" s="1566">
        <v>125</v>
      </c>
      <c r="G656" s="1566">
        <v>0</v>
      </c>
      <c r="H656" s="1567"/>
      <c r="I656" s="1567">
        <v>46614</v>
      </c>
      <c r="J656" s="1567">
        <v>46614</v>
      </c>
      <c r="K656" s="1568" t="str">
        <f t="shared" si="10"/>
        <v>No</v>
      </c>
      <c r="L656" s="1565"/>
    </row>
    <row r="657" spans="1:12" ht="20.100000000000001" customHeight="1">
      <c r="A657" s="1568" t="s">
        <v>3075</v>
      </c>
      <c r="B657" s="1567">
        <v>42963</v>
      </c>
      <c r="C657" s="1568" t="s">
        <v>3308</v>
      </c>
      <c r="D657" s="1568" t="s">
        <v>2993</v>
      </c>
      <c r="E657" s="1567">
        <v>43465</v>
      </c>
      <c r="F657" s="1566">
        <v>125</v>
      </c>
      <c r="G657" s="1566">
        <v>0</v>
      </c>
      <c r="H657" s="1567"/>
      <c r="I657" s="1567">
        <v>46614</v>
      </c>
      <c r="J657" s="1567">
        <v>46614</v>
      </c>
      <c r="K657" s="1568" t="str">
        <f t="shared" si="10"/>
        <v>No</v>
      </c>
      <c r="L657" s="1565"/>
    </row>
    <row r="658" spans="1:12" ht="20.100000000000001" customHeight="1">
      <c r="A658" s="1568" t="s">
        <v>3075</v>
      </c>
      <c r="B658" s="1567">
        <v>42963</v>
      </c>
      <c r="C658" s="1568" t="s">
        <v>3308</v>
      </c>
      <c r="D658" s="1568" t="s">
        <v>2993</v>
      </c>
      <c r="E658" s="1567">
        <v>43496</v>
      </c>
      <c r="F658" s="1566">
        <v>125</v>
      </c>
      <c r="G658" s="1566">
        <v>0</v>
      </c>
      <c r="H658" s="1567"/>
      <c r="I658" s="1567">
        <v>46614</v>
      </c>
      <c r="J658" s="1567">
        <v>46614</v>
      </c>
      <c r="K658" s="1568" t="str">
        <f t="shared" si="10"/>
        <v>No</v>
      </c>
      <c r="L658" s="1565"/>
    </row>
    <row r="659" spans="1:12" ht="20.100000000000001" customHeight="1">
      <c r="A659" s="1568" t="s">
        <v>3075</v>
      </c>
      <c r="B659" s="1567">
        <v>42963</v>
      </c>
      <c r="C659" s="1568" t="s">
        <v>3308</v>
      </c>
      <c r="D659" s="1568" t="s">
        <v>2993</v>
      </c>
      <c r="E659" s="1567">
        <v>43524</v>
      </c>
      <c r="F659" s="1566">
        <v>125</v>
      </c>
      <c r="G659" s="1566">
        <v>0</v>
      </c>
      <c r="H659" s="1567"/>
      <c r="I659" s="1567">
        <v>46614</v>
      </c>
      <c r="J659" s="1567">
        <v>46614</v>
      </c>
      <c r="K659" s="1568" t="str">
        <f t="shared" si="10"/>
        <v>No</v>
      </c>
      <c r="L659" s="1565"/>
    </row>
    <row r="660" spans="1:12" ht="20.100000000000001" customHeight="1">
      <c r="A660" s="1568" t="s">
        <v>3075</v>
      </c>
      <c r="B660" s="1567">
        <v>42963</v>
      </c>
      <c r="C660" s="1568" t="s">
        <v>3308</v>
      </c>
      <c r="D660" s="1568" t="s">
        <v>2993</v>
      </c>
      <c r="E660" s="1567">
        <v>43555</v>
      </c>
      <c r="F660" s="1566">
        <v>125</v>
      </c>
      <c r="G660" s="1566">
        <v>0</v>
      </c>
      <c r="H660" s="1567"/>
      <c r="I660" s="1567">
        <v>46614</v>
      </c>
      <c r="J660" s="1567">
        <v>46614</v>
      </c>
      <c r="K660" s="1568" t="str">
        <f t="shared" si="10"/>
        <v>No</v>
      </c>
      <c r="L660" s="1565"/>
    </row>
    <row r="661" spans="1:12" ht="20.100000000000001" customHeight="1">
      <c r="A661" s="1568" t="s">
        <v>3075</v>
      </c>
      <c r="B661" s="1567">
        <v>42963</v>
      </c>
      <c r="C661" s="1568" t="s">
        <v>3308</v>
      </c>
      <c r="D661" s="1568" t="s">
        <v>2993</v>
      </c>
      <c r="E661" s="1567">
        <v>43585</v>
      </c>
      <c r="F661" s="1566">
        <v>125</v>
      </c>
      <c r="G661" s="1566">
        <v>0</v>
      </c>
      <c r="H661" s="1567"/>
      <c r="I661" s="1567">
        <v>46614</v>
      </c>
      <c r="J661" s="1567">
        <v>46614</v>
      </c>
      <c r="K661" s="1568" t="str">
        <f t="shared" si="10"/>
        <v>No</v>
      </c>
      <c r="L661" s="1565"/>
    </row>
    <row r="662" spans="1:12" ht="20.100000000000001" customHeight="1">
      <c r="A662" s="1568" t="s">
        <v>3075</v>
      </c>
      <c r="B662" s="1567">
        <v>42963</v>
      </c>
      <c r="C662" s="1568" t="s">
        <v>3308</v>
      </c>
      <c r="D662" s="1568" t="s">
        <v>2993</v>
      </c>
      <c r="E662" s="1567">
        <v>43616</v>
      </c>
      <c r="F662" s="1566">
        <v>125</v>
      </c>
      <c r="G662" s="1566">
        <v>0</v>
      </c>
      <c r="H662" s="1567"/>
      <c r="I662" s="1567">
        <v>46614</v>
      </c>
      <c r="J662" s="1567">
        <v>46614</v>
      </c>
      <c r="K662" s="1568" t="str">
        <f t="shared" si="10"/>
        <v>No</v>
      </c>
      <c r="L662" s="1565"/>
    </row>
    <row r="663" spans="1:12" ht="20.100000000000001" customHeight="1">
      <c r="A663" s="1568" t="s">
        <v>3075</v>
      </c>
      <c r="B663" s="1567">
        <v>42963</v>
      </c>
      <c r="C663" s="1568" t="s">
        <v>3308</v>
      </c>
      <c r="D663" s="1568" t="s">
        <v>2993</v>
      </c>
      <c r="E663" s="1567">
        <v>43646</v>
      </c>
      <c r="F663" s="1566">
        <v>125</v>
      </c>
      <c r="G663" s="1566">
        <v>0</v>
      </c>
      <c r="H663" s="1567"/>
      <c r="I663" s="1567">
        <v>46614</v>
      </c>
      <c r="J663" s="1567">
        <v>46614</v>
      </c>
      <c r="K663" s="1568" t="str">
        <f t="shared" si="10"/>
        <v>No</v>
      </c>
      <c r="L663" s="1565"/>
    </row>
    <row r="664" spans="1:12" ht="20.100000000000001" customHeight="1">
      <c r="A664" s="1568" t="s">
        <v>3075</v>
      </c>
      <c r="B664" s="1567">
        <v>42963</v>
      </c>
      <c r="C664" s="1568" t="s">
        <v>3308</v>
      </c>
      <c r="D664" s="1568" t="s">
        <v>2993</v>
      </c>
      <c r="E664" s="1567">
        <v>43677</v>
      </c>
      <c r="F664" s="1566">
        <v>125</v>
      </c>
      <c r="G664" s="1566">
        <v>0</v>
      </c>
      <c r="H664" s="1567"/>
      <c r="I664" s="1567">
        <v>46614</v>
      </c>
      <c r="J664" s="1567">
        <v>46614</v>
      </c>
      <c r="K664" s="1568" t="str">
        <f t="shared" si="10"/>
        <v>No</v>
      </c>
      <c r="L664" s="1565"/>
    </row>
    <row r="665" spans="1:12" ht="20.100000000000001" customHeight="1">
      <c r="A665" s="1568" t="s">
        <v>3075</v>
      </c>
      <c r="B665" s="1567">
        <v>42963</v>
      </c>
      <c r="C665" s="1568" t="s">
        <v>3308</v>
      </c>
      <c r="D665" s="1568" t="s">
        <v>2993</v>
      </c>
      <c r="E665" s="1567">
        <v>43708</v>
      </c>
      <c r="F665" s="1566">
        <v>125</v>
      </c>
      <c r="G665" s="1566">
        <v>0</v>
      </c>
      <c r="H665" s="1567"/>
      <c r="I665" s="1567">
        <v>46614</v>
      </c>
      <c r="J665" s="1567">
        <v>46614</v>
      </c>
      <c r="K665" s="1568" t="str">
        <f t="shared" si="10"/>
        <v>No</v>
      </c>
      <c r="L665" s="1565"/>
    </row>
    <row r="666" spans="1:12" ht="20.100000000000001" customHeight="1">
      <c r="A666" s="1568" t="s">
        <v>3075</v>
      </c>
      <c r="B666" s="1567">
        <v>42963</v>
      </c>
      <c r="C666" s="1568" t="s">
        <v>3308</v>
      </c>
      <c r="D666" s="1568" t="s">
        <v>2993</v>
      </c>
      <c r="E666" s="1567">
        <v>43738</v>
      </c>
      <c r="F666" s="1566">
        <v>125</v>
      </c>
      <c r="G666" s="1566">
        <v>0</v>
      </c>
      <c r="H666" s="1567"/>
      <c r="I666" s="1567">
        <v>46614</v>
      </c>
      <c r="J666" s="1567">
        <v>46614</v>
      </c>
      <c r="K666" s="1568" t="str">
        <f t="shared" si="10"/>
        <v>No</v>
      </c>
      <c r="L666" s="1565"/>
    </row>
    <row r="667" spans="1:12" ht="20.100000000000001" customHeight="1">
      <c r="A667" s="1568" t="s">
        <v>3075</v>
      </c>
      <c r="B667" s="1567">
        <v>42963</v>
      </c>
      <c r="C667" s="1568" t="s">
        <v>3308</v>
      </c>
      <c r="D667" s="1568" t="s">
        <v>2993</v>
      </c>
      <c r="E667" s="1567">
        <v>43769</v>
      </c>
      <c r="F667" s="1566">
        <v>125</v>
      </c>
      <c r="G667" s="1566">
        <v>0</v>
      </c>
      <c r="H667" s="1567"/>
      <c r="I667" s="1567">
        <v>46614</v>
      </c>
      <c r="J667" s="1567">
        <v>46614</v>
      </c>
      <c r="K667" s="1568" t="str">
        <f t="shared" si="10"/>
        <v>No</v>
      </c>
      <c r="L667" s="1565"/>
    </row>
    <row r="668" spans="1:12" ht="20.100000000000001" customHeight="1">
      <c r="A668" s="1568" t="s">
        <v>3075</v>
      </c>
      <c r="B668" s="1567">
        <v>42963</v>
      </c>
      <c r="C668" s="1568" t="s">
        <v>3308</v>
      </c>
      <c r="D668" s="1568" t="s">
        <v>2993</v>
      </c>
      <c r="E668" s="1567">
        <v>43799</v>
      </c>
      <c r="F668" s="1566">
        <v>125</v>
      </c>
      <c r="G668" s="1566">
        <v>0</v>
      </c>
      <c r="H668" s="1567"/>
      <c r="I668" s="1567">
        <v>46614</v>
      </c>
      <c r="J668" s="1567">
        <v>46614</v>
      </c>
      <c r="K668" s="1568" t="str">
        <f t="shared" si="10"/>
        <v>No</v>
      </c>
      <c r="L668" s="1565"/>
    </row>
    <row r="669" spans="1:12" ht="20.100000000000001" customHeight="1">
      <c r="A669" s="1568" t="s">
        <v>3075</v>
      </c>
      <c r="B669" s="1567">
        <v>42963</v>
      </c>
      <c r="C669" s="1568" t="s">
        <v>3308</v>
      </c>
      <c r="D669" s="1568" t="s">
        <v>2993</v>
      </c>
      <c r="E669" s="1567">
        <v>43830</v>
      </c>
      <c r="F669" s="1566">
        <v>125</v>
      </c>
      <c r="G669" s="1566">
        <v>0</v>
      </c>
      <c r="H669" s="1567"/>
      <c r="I669" s="1567">
        <v>46614</v>
      </c>
      <c r="J669" s="1567">
        <v>46614</v>
      </c>
      <c r="K669" s="1568" t="str">
        <f t="shared" si="10"/>
        <v>No</v>
      </c>
      <c r="L669" s="1565"/>
    </row>
    <row r="670" spans="1:12" ht="20.100000000000001" customHeight="1">
      <c r="A670" s="1568" t="s">
        <v>3075</v>
      </c>
      <c r="B670" s="1567">
        <v>42963</v>
      </c>
      <c r="C670" s="1568" t="s">
        <v>3308</v>
      </c>
      <c r="D670" s="1568" t="s">
        <v>2993</v>
      </c>
      <c r="E670" s="1567">
        <v>43861</v>
      </c>
      <c r="F670" s="1566">
        <v>125</v>
      </c>
      <c r="G670" s="1566">
        <v>0</v>
      </c>
      <c r="H670" s="1567"/>
      <c r="I670" s="1567">
        <v>46614</v>
      </c>
      <c r="J670" s="1567">
        <v>46614</v>
      </c>
      <c r="K670" s="1568" t="str">
        <f t="shared" si="10"/>
        <v>No</v>
      </c>
      <c r="L670" s="1565"/>
    </row>
    <row r="671" spans="1:12" ht="20.100000000000001" customHeight="1">
      <c r="A671" s="1568" t="s">
        <v>3075</v>
      </c>
      <c r="B671" s="1567">
        <v>42963</v>
      </c>
      <c r="C671" s="1568" t="s">
        <v>3308</v>
      </c>
      <c r="D671" s="1568" t="s">
        <v>2993</v>
      </c>
      <c r="E671" s="1567">
        <v>43889</v>
      </c>
      <c r="F671" s="1566">
        <v>125</v>
      </c>
      <c r="G671" s="1566">
        <v>0</v>
      </c>
      <c r="H671" s="1567"/>
      <c r="I671" s="1567">
        <v>46614</v>
      </c>
      <c r="J671" s="1567">
        <v>46614</v>
      </c>
      <c r="K671" s="1568" t="str">
        <f t="shared" si="10"/>
        <v>No</v>
      </c>
      <c r="L671" s="1565"/>
    </row>
    <row r="672" spans="1:12" ht="20.100000000000001" customHeight="1">
      <c r="A672" s="1568" t="s">
        <v>3075</v>
      </c>
      <c r="B672" s="1567">
        <v>42963</v>
      </c>
      <c r="C672" s="1568" t="s">
        <v>3308</v>
      </c>
      <c r="D672" s="1568" t="s">
        <v>2993</v>
      </c>
      <c r="E672" s="1567">
        <v>43921</v>
      </c>
      <c r="F672" s="1566">
        <v>125</v>
      </c>
      <c r="G672" s="1566">
        <v>0</v>
      </c>
      <c r="H672" s="1567"/>
      <c r="I672" s="1567">
        <v>46614</v>
      </c>
      <c r="J672" s="1567">
        <v>46614</v>
      </c>
      <c r="K672" s="1568" t="str">
        <f t="shared" si="10"/>
        <v>No</v>
      </c>
      <c r="L672" s="1565"/>
    </row>
    <row r="673" spans="1:12" ht="20.100000000000001" customHeight="1">
      <c r="A673" s="1568" t="s">
        <v>3075</v>
      </c>
      <c r="B673" s="1567">
        <v>42963</v>
      </c>
      <c r="C673" s="1568" t="s">
        <v>3308</v>
      </c>
      <c r="D673" s="1568" t="s">
        <v>2993</v>
      </c>
      <c r="E673" s="1567">
        <v>43951</v>
      </c>
      <c r="F673" s="1566">
        <v>125</v>
      </c>
      <c r="G673" s="1566">
        <v>0</v>
      </c>
      <c r="H673" s="1567"/>
      <c r="I673" s="1567">
        <v>46614</v>
      </c>
      <c r="J673" s="1567">
        <v>46614</v>
      </c>
      <c r="K673" s="1568" t="str">
        <f t="shared" si="10"/>
        <v>No</v>
      </c>
      <c r="L673" s="1565"/>
    </row>
    <row r="674" spans="1:12" ht="20.100000000000001" customHeight="1">
      <c r="A674" s="1568" t="s">
        <v>3075</v>
      </c>
      <c r="B674" s="1567">
        <v>42963</v>
      </c>
      <c r="C674" s="1568" t="s">
        <v>3308</v>
      </c>
      <c r="D674" s="1568" t="s">
        <v>2993</v>
      </c>
      <c r="E674" s="1567">
        <v>43982</v>
      </c>
      <c r="F674" s="1566">
        <v>125</v>
      </c>
      <c r="G674" s="1566">
        <v>0</v>
      </c>
      <c r="H674" s="1567"/>
      <c r="I674" s="1567">
        <v>46614</v>
      </c>
      <c r="J674" s="1567">
        <v>46614</v>
      </c>
      <c r="K674" s="1568" t="str">
        <f t="shared" si="10"/>
        <v>No</v>
      </c>
      <c r="L674" s="1565"/>
    </row>
    <row r="675" spans="1:12" ht="20.100000000000001" customHeight="1">
      <c r="A675" s="1568" t="s">
        <v>3075</v>
      </c>
      <c r="B675" s="1567">
        <v>42963</v>
      </c>
      <c r="C675" s="1568" t="s">
        <v>3308</v>
      </c>
      <c r="D675" s="1568" t="s">
        <v>2993</v>
      </c>
      <c r="E675" s="1567">
        <v>44012</v>
      </c>
      <c r="F675" s="1566">
        <v>125</v>
      </c>
      <c r="G675" s="1566">
        <v>0</v>
      </c>
      <c r="H675" s="1567"/>
      <c r="I675" s="1567">
        <v>46614</v>
      </c>
      <c r="J675" s="1567">
        <v>46614</v>
      </c>
      <c r="K675" s="1568" t="str">
        <f t="shared" si="10"/>
        <v>No</v>
      </c>
      <c r="L675" s="1565"/>
    </row>
    <row r="676" spans="1:12" ht="20.100000000000001" customHeight="1">
      <c r="A676" s="1568" t="s">
        <v>3075</v>
      </c>
      <c r="B676" s="1567">
        <v>42963</v>
      </c>
      <c r="C676" s="1568" t="s">
        <v>3308</v>
      </c>
      <c r="D676" s="1568" t="s">
        <v>2993</v>
      </c>
      <c r="E676" s="1567">
        <v>44043</v>
      </c>
      <c r="F676" s="1566">
        <v>125</v>
      </c>
      <c r="G676" s="1566">
        <v>0</v>
      </c>
      <c r="H676" s="1567"/>
      <c r="I676" s="1567">
        <v>46614</v>
      </c>
      <c r="J676" s="1567">
        <v>46614</v>
      </c>
      <c r="K676" s="1568" t="str">
        <f t="shared" si="10"/>
        <v>No</v>
      </c>
      <c r="L676" s="1565"/>
    </row>
    <row r="677" spans="1:12" ht="20.100000000000001" customHeight="1">
      <c r="A677" s="1568" t="s">
        <v>3075</v>
      </c>
      <c r="B677" s="1567">
        <v>42963</v>
      </c>
      <c r="C677" s="1568" t="s">
        <v>3308</v>
      </c>
      <c r="D677" s="1568" t="s">
        <v>2993</v>
      </c>
      <c r="E677" s="1567">
        <v>44074</v>
      </c>
      <c r="F677" s="1566">
        <v>125</v>
      </c>
      <c r="G677" s="1566">
        <v>0</v>
      </c>
      <c r="H677" s="1567"/>
      <c r="I677" s="1567">
        <v>46614</v>
      </c>
      <c r="J677" s="1567">
        <v>46614</v>
      </c>
      <c r="K677" s="1568" t="str">
        <f t="shared" si="10"/>
        <v>No</v>
      </c>
      <c r="L677" s="1565"/>
    </row>
    <row r="678" spans="1:12" ht="20.100000000000001" customHeight="1">
      <c r="A678" s="1568" t="s">
        <v>3075</v>
      </c>
      <c r="B678" s="1567">
        <v>42963</v>
      </c>
      <c r="C678" s="1568" t="s">
        <v>3308</v>
      </c>
      <c r="D678" s="1568" t="s">
        <v>2993</v>
      </c>
      <c r="E678" s="1567">
        <v>44104</v>
      </c>
      <c r="F678" s="1566">
        <v>125</v>
      </c>
      <c r="G678" s="1566">
        <v>0</v>
      </c>
      <c r="H678" s="1567"/>
      <c r="I678" s="1567">
        <v>46614</v>
      </c>
      <c r="J678" s="1567">
        <v>46614</v>
      </c>
      <c r="K678" s="1568" t="str">
        <f t="shared" si="10"/>
        <v>No</v>
      </c>
      <c r="L678" s="1565"/>
    </row>
    <row r="679" spans="1:12" ht="20.100000000000001" customHeight="1">
      <c r="A679" s="1568" t="s">
        <v>3075</v>
      </c>
      <c r="B679" s="1567">
        <v>42963</v>
      </c>
      <c r="C679" s="1568" t="s">
        <v>3308</v>
      </c>
      <c r="D679" s="1568" t="s">
        <v>2993</v>
      </c>
      <c r="E679" s="1567">
        <v>44135</v>
      </c>
      <c r="F679" s="1566">
        <v>125</v>
      </c>
      <c r="G679" s="1566">
        <v>0</v>
      </c>
      <c r="H679" s="1567"/>
      <c r="I679" s="1567">
        <v>46614</v>
      </c>
      <c r="J679" s="1567">
        <v>46614</v>
      </c>
      <c r="K679" s="1568" t="str">
        <f t="shared" si="10"/>
        <v>No</v>
      </c>
      <c r="L679" s="1565"/>
    </row>
    <row r="680" spans="1:12" ht="20.100000000000001" customHeight="1">
      <c r="A680" s="1568" t="s">
        <v>3075</v>
      </c>
      <c r="B680" s="1567">
        <v>42963</v>
      </c>
      <c r="C680" s="1568" t="s">
        <v>3308</v>
      </c>
      <c r="D680" s="1568" t="s">
        <v>2993</v>
      </c>
      <c r="E680" s="1567">
        <v>44165</v>
      </c>
      <c r="F680" s="1566">
        <v>125</v>
      </c>
      <c r="G680" s="1566">
        <v>0</v>
      </c>
      <c r="H680" s="1567"/>
      <c r="I680" s="1567">
        <v>46614</v>
      </c>
      <c r="J680" s="1567">
        <v>46614</v>
      </c>
      <c r="K680" s="1568" t="str">
        <f t="shared" si="10"/>
        <v>No</v>
      </c>
      <c r="L680" s="1565"/>
    </row>
    <row r="681" spans="1:12" ht="20.100000000000001" customHeight="1">
      <c r="A681" s="1568" t="s">
        <v>3075</v>
      </c>
      <c r="B681" s="1567">
        <v>42963</v>
      </c>
      <c r="C681" s="1568" t="s">
        <v>3308</v>
      </c>
      <c r="D681" s="1568" t="s">
        <v>2993</v>
      </c>
      <c r="E681" s="1567">
        <v>44196</v>
      </c>
      <c r="F681" s="1566">
        <v>125</v>
      </c>
      <c r="G681" s="1566">
        <v>0</v>
      </c>
      <c r="H681" s="1567"/>
      <c r="I681" s="1567">
        <v>46614</v>
      </c>
      <c r="J681" s="1567">
        <v>46614</v>
      </c>
      <c r="K681" s="1568" t="str">
        <f t="shared" si="10"/>
        <v>No</v>
      </c>
      <c r="L681" s="1565"/>
    </row>
    <row r="682" spans="1:12" ht="20.100000000000001" customHeight="1">
      <c r="A682" s="1568" t="s">
        <v>3075</v>
      </c>
      <c r="B682" s="1567">
        <v>42963</v>
      </c>
      <c r="C682" s="1568" t="s">
        <v>3308</v>
      </c>
      <c r="D682" s="1568" t="s">
        <v>2993</v>
      </c>
      <c r="E682" s="1567">
        <v>44227</v>
      </c>
      <c r="F682" s="1566">
        <v>125</v>
      </c>
      <c r="G682" s="1566">
        <v>0</v>
      </c>
      <c r="H682" s="1567"/>
      <c r="I682" s="1567">
        <v>46614</v>
      </c>
      <c r="J682" s="1567">
        <v>46614</v>
      </c>
      <c r="K682" s="1568" t="str">
        <f t="shared" si="10"/>
        <v>No</v>
      </c>
      <c r="L682" s="1565"/>
    </row>
    <row r="683" spans="1:12" ht="20.100000000000001" customHeight="1">
      <c r="A683" s="1568" t="s">
        <v>3075</v>
      </c>
      <c r="B683" s="1567">
        <v>42963</v>
      </c>
      <c r="C683" s="1568" t="s">
        <v>3308</v>
      </c>
      <c r="D683" s="1568" t="s">
        <v>2993</v>
      </c>
      <c r="E683" s="1567">
        <v>44255</v>
      </c>
      <c r="F683" s="1566">
        <v>125</v>
      </c>
      <c r="G683" s="1566">
        <v>0</v>
      </c>
      <c r="H683" s="1567"/>
      <c r="I683" s="1567">
        <v>46614</v>
      </c>
      <c r="J683" s="1567">
        <v>46614</v>
      </c>
      <c r="K683" s="1568" t="str">
        <f t="shared" si="10"/>
        <v>No</v>
      </c>
      <c r="L683" s="1565"/>
    </row>
    <row r="684" spans="1:12" ht="20.100000000000001" customHeight="1">
      <c r="A684" s="1568" t="s">
        <v>3075</v>
      </c>
      <c r="B684" s="1567">
        <v>42963</v>
      </c>
      <c r="C684" s="1568" t="s">
        <v>3308</v>
      </c>
      <c r="D684" s="1568" t="s">
        <v>2993</v>
      </c>
      <c r="E684" s="1567">
        <v>44286</v>
      </c>
      <c r="F684" s="1566">
        <v>125</v>
      </c>
      <c r="G684" s="1566">
        <v>0</v>
      </c>
      <c r="H684" s="1567"/>
      <c r="I684" s="1567">
        <v>46614</v>
      </c>
      <c r="J684" s="1567">
        <v>46614</v>
      </c>
      <c r="K684" s="1568" t="str">
        <f t="shared" si="10"/>
        <v>No</v>
      </c>
      <c r="L684" s="1565"/>
    </row>
    <row r="685" spans="1:12" ht="20.100000000000001" customHeight="1">
      <c r="A685" s="1568" t="s">
        <v>3075</v>
      </c>
      <c r="B685" s="1567">
        <v>42963</v>
      </c>
      <c r="C685" s="1568" t="s">
        <v>3308</v>
      </c>
      <c r="D685" s="1568" t="s">
        <v>2993</v>
      </c>
      <c r="E685" s="1567">
        <v>44316</v>
      </c>
      <c r="F685" s="1566">
        <v>125</v>
      </c>
      <c r="G685" s="1566">
        <v>0</v>
      </c>
      <c r="H685" s="1567"/>
      <c r="I685" s="1567">
        <v>46614</v>
      </c>
      <c r="J685" s="1567">
        <v>46614</v>
      </c>
      <c r="K685" s="1568" t="str">
        <f t="shared" si="10"/>
        <v>No</v>
      </c>
      <c r="L685" s="1565"/>
    </row>
    <row r="686" spans="1:12" ht="20.100000000000001" customHeight="1">
      <c r="A686" s="1568" t="s">
        <v>3075</v>
      </c>
      <c r="B686" s="1567">
        <v>42963</v>
      </c>
      <c r="C686" s="1568" t="s">
        <v>3308</v>
      </c>
      <c r="D686" s="1568" t="s">
        <v>2993</v>
      </c>
      <c r="E686" s="1567">
        <v>44347</v>
      </c>
      <c r="F686" s="1566">
        <v>125</v>
      </c>
      <c r="G686" s="1566">
        <v>0</v>
      </c>
      <c r="H686" s="1567"/>
      <c r="I686" s="1567">
        <v>46614</v>
      </c>
      <c r="J686" s="1567">
        <v>46614</v>
      </c>
      <c r="K686" s="1568" t="str">
        <f t="shared" si="10"/>
        <v>No</v>
      </c>
      <c r="L686" s="1565"/>
    </row>
    <row r="687" spans="1:12" ht="20.100000000000001" customHeight="1">
      <c r="A687" s="1568" t="s">
        <v>3075</v>
      </c>
      <c r="B687" s="1567">
        <v>42963</v>
      </c>
      <c r="C687" s="1568" t="s">
        <v>3308</v>
      </c>
      <c r="D687" s="1568" t="s">
        <v>2993</v>
      </c>
      <c r="E687" s="1567">
        <v>44377</v>
      </c>
      <c r="F687" s="1566">
        <v>125</v>
      </c>
      <c r="G687" s="1566">
        <v>0</v>
      </c>
      <c r="H687" s="1567"/>
      <c r="I687" s="1567">
        <v>46614</v>
      </c>
      <c r="J687" s="1567">
        <v>46614</v>
      </c>
      <c r="K687" s="1568" t="str">
        <f t="shared" si="10"/>
        <v>No</v>
      </c>
      <c r="L687" s="1565"/>
    </row>
    <row r="688" spans="1:12" ht="20.100000000000001" customHeight="1">
      <c r="A688" s="1568" t="s">
        <v>3075</v>
      </c>
      <c r="B688" s="1567">
        <v>42963</v>
      </c>
      <c r="C688" s="1568" t="s">
        <v>3308</v>
      </c>
      <c r="D688" s="1568" t="s">
        <v>2993</v>
      </c>
      <c r="E688" s="1567">
        <v>44408</v>
      </c>
      <c r="F688" s="1566">
        <v>125</v>
      </c>
      <c r="G688" s="1566">
        <v>0</v>
      </c>
      <c r="H688" s="1567"/>
      <c r="I688" s="1567">
        <v>46614</v>
      </c>
      <c r="J688" s="1567">
        <v>46614</v>
      </c>
      <c r="K688" s="1568" t="str">
        <f t="shared" si="10"/>
        <v>No</v>
      </c>
      <c r="L688" s="1565"/>
    </row>
    <row r="689" spans="1:12" ht="20.100000000000001" customHeight="1">
      <c r="A689" s="1568" t="s">
        <v>3074</v>
      </c>
      <c r="B689" s="1567">
        <v>42963</v>
      </c>
      <c r="C689" s="1568" t="s">
        <v>3308</v>
      </c>
      <c r="D689" s="1568" t="s">
        <v>2975</v>
      </c>
      <c r="E689" s="1567">
        <v>43312</v>
      </c>
      <c r="F689" s="1566">
        <v>41250</v>
      </c>
      <c r="G689" s="1566">
        <v>0</v>
      </c>
      <c r="H689" s="1567"/>
      <c r="I689" s="1567">
        <v>46614</v>
      </c>
      <c r="J689" s="1567">
        <v>46614</v>
      </c>
      <c r="K689" s="1568" t="str">
        <f t="shared" si="10"/>
        <v>No</v>
      </c>
      <c r="L689" s="1565"/>
    </row>
    <row r="690" spans="1:12" ht="20.100000000000001" customHeight="1">
      <c r="A690" s="1568" t="s">
        <v>3074</v>
      </c>
      <c r="B690" s="1567">
        <v>42963</v>
      </c>
      <c r="C690" s="1568" t="s">
        <v>3308</v>
      </c>
      <c r="D690" s="1568" t="s">
        <v>2975</v>
      </c>
      <c r="E690" s="1567">
        <v>43343</v>
      </c>
      <c r="F690" s="1566">
        <v>3437</v>
      </c>
      <c r="G690" s="1566">
        <v>0</v>
      </c>
      <c r="H690" s="1567"/>
      <c r="I690" s="1567">
        <v>46614</v>
      </c>
      <c r="J690" s="1567">
        <v>46614</v>
      </c>
      <c r="K690" s="1568" t="str">
        <f t="shared" si="10"/>
        <v>No</v>
      </c>
      <c r="L690" s="1565"/>
    </row>
    <row r="691" spans="1:12" ht="20.100000000000001" customHeight="1">
      <c r="A691" s="1568" t="s">
        <v>3074</v>
      </c>
      <c r="B691" s="1567">
        <v>42963</v>
      </c>
      <c r="C691" s="1568" t="s">
        <v>3308</v>
      </c>
      <c r="D691" s="1568" t="s">
        <v>2975</v>
      </c>
      <c r="E691" s="1567">
        <v>43373</v>
      </c>
      <c r="F691" s="1566">
        <v>3438</v>
      </c>
      <c r="G691" s="1566">
        <v>0</v>
      </c>
      <c r="H691" s="1567"/>
      <c r="I691" s="1567">
        <v>46614</v>
      </c>
      <c r="J691" s="1567">
        <v>46614</v>
      </c>
      <c r="K691" s="1568" t="str">
        <f t="shared" si="10"/>
        <v>No</v>
      </c>
      <c r="L691" s="1565"/>
    </row>
    <row r="692" spans="1:12" ht="20.100000000000001" customHeight="1">
      <c r="A692" s="1568" t="s">
        <v>3074</v>
      </c>
      <c r="B692" s="1567">
        <v>42963</v>
      </c>
      <c r="C692" s="1568" t="s">
        <v>3308</v>
      </c>
      <c r="D692" s="1568" t="s">
        <v>2975</v>
      </c>
      <c r="E692" s="1567">
        <v>43404</v>
      </c>
      <c r="F692" s="1566">
        <v>3437</v>
      </c>
      <c r="G692" s="1566">
        <v>0</v>
      </c>
      <c r="H692" s="1567"/>
      <c r="I692" s="1567">
        <v>46614</v>
      </c>
      <c r="J692" s="1567">
        <v>46614</v>
      </c>
      <c r="K692" s="1568" t="str">
        <f t="shared" si="10"/>
        <v>No</v>
      </c>
      <c r="L692" s="1565"/>
    </row>
    <row r="693" spans="1:12" ht="20.100000000000001" customHeight="1">
      <c r="A693" s="1568" t="s">
        <v>3074</v>
      </c>
      <c r="B693" s="1567">
        <v>42963</v>
      </c>
      <c r="C693" s="1568" t="s">
        <v>3308</v>
      </c>
      <c r="D693" s="1568" t="s">
        <v>2975</v>
      </c>
      <c r="E693" s="1567">
        <v>43434</v>
      </c>
      <c r="F693" s="1566">
        <v>3438</v>
      </c>
      <c r="G693" s="1566">
        <v>0</v>
      </c>
      <c r="H693" s="1567"/>
      <c r="I693" s="1567">
        <v>46614</v>
      </c>
      <c r="J693" s="1567">
        <v>46614</v>
      </c>
      <c r="K693" s="1568" t="str">
        <f t="shared" si="10"/>
        <v>No</v>
      </c>
      <c r="L693" s="1565"/>
    </row>
    <row r="694" spans="1:12" ht="20.100000000000001" customHeight="1">
      <c r="A694" s="1568" t="s">
        <v>3074</v>
      </c>
      <c r="B694" s="1567">
        <v>42963</v>
      </c>
      <c r="C694" s="1568" t="s">
        <v>3308</v>
      </c>
      <c r="D694" s="1568" t="s">
        <v>2975</v>
      </c>
      <c r="E694" s="1567">
        <v>43465</v>
      </c>
      <c r="F694" s="1566">
        <v>3437</v>
      </c>
      <c r="G694" s="1566">
        <v>0</v>
      </c>
      <c r="H694" s="1567"/>
      <c r="I694" s="1567">
        <v>46614</v>
      </c>
      <c r="J694" s="1567">
        <v>46614</v>
      </c>
      <c r="K694" s="1568" t="str">
        <f t="shared" si="10"/>
        <v>No</v>
      </c>
      <c r="L694" s="1565"/>
    </row>
    <row r="695" spans="1:12" ht="20.100000000000001" customHeight="1">
      <c r="A695" s="1568" t="s">
        <v>3074</v>
      </c>
      <c r="B695" s="1567">
        <v>42963</v>
      </c>
      <c r="C695" s="1568" t="s">
        <v>3308</v>
      </c>
      <c r="D695" s="1568" t="s">
        <v>2975</v>
      </c>
      <c r="E695" s="1567">
        <v>43496</v>
      </c>
      <c r="F695" s="1566">
        <v>3438</v>
      </c>
      <c r="G695" s="1566">
        <v>0</v>
      </c>
      <c r="H695" s="1567"/>
      <c r="I695" s="1567">
        <v>46614</v>
      </c>
      <c r="J695" s="1567">
        <v>46614</v>
      </c>
      <c r="K695" s="1568" t="str">
        <f t="shared" si="10"/>
        <v>No</v>
      </c>
      <c r="L695" s="1565"/>
    </row>
    <row r="696" spans="1:12" ht="20.100000000000001" customHeight="1">
      <c r="A696" s="1568" t="s">
        <v>3074</v>
      </c>
      <c r="B696" s="1567">
        <v>42963</v>
      </c>
      <c r="C696" s="1568" t="s">
        <v>3308</v>
      </c>
      <c r="D696" s="1568" t="s">
        <v>2975</v>
      </c>
      <c r="E696" s="1567">
        <v>43524</v>
      </c>
      <c r="F696" s="1566">
        <v>3437</v>
      </c>
      <c r="G696" s="1566">
        <v>0</v>
      </c>
      <c r="H696" s="1567"/>
      <c r="I696" s="1567">
        <v>46614</v>
      </c>
      <c r="J696" s="1567">
        <v>46614</v>
      </c>
      <c r="K696" s="1568" t="str">
        <f t="shared" si="10"/>
        <v>No</v>
      </c>
      <c r="L696" s="1565"/>
    </row>
    <row r="697" spans="1:12" ht="20.100000000000001" customHeight="1">
      <c r="A697" s="1568" t="s">
        <v>3074</v>
      </c>
      <c r="B697" s="1567">
        <v>42963</v>
      </c>
      <c r="C697" s="1568" t="s">
        <v>3308</v>
      </c>
      <c r="D697" s="1568" t="s">
        <v>2975</v>
      </c>
      <c r="E697" s="1567">
        <v>43555</v>
      </c>
      <c r="F697" s="1566">
        <v>3438</v>
      </c>
      <c r="G697" s="1566">
        <v>0</v>
      </c>
      <c r="H697" s="1567"/>
      <c r="I697" s="1567">
        <v>46614</v>
      </c>
      <c r="J697" s="1567">
        <v>46614</v>
      </c>
      <c r="K697" s="1568" t="str">
        <f t="shared" si="10"/>
        <v>No</v>
      </c>
      <c r="L697" s="1565"/>
    </row>
    <row r="698" spans="1:12" ht="20.100000000000001" customHeight="1">
      <c r="A698" s="1568" t="s">
        <v>3074</v>
      </c>
      <c r="B698" s="1567">
        <v>42963</v>
      </c>
      <c r="C698" s="1568" t="s">
        <v>3308</v>
      </c>
      <c r="D698" s="1568" t="s">
        <v>2975</v>
      </c>
      <c r="E698" s="1567">
        <v>43585</v>
      </c>
      <c r="F698" s="1566">
        <v>3437</v>
      </c>
      <c r="G698" s="1566">
        <v>0</v>
      </c>
      <c r="H698" s="1567"/>
      <c r="I698" s="1567">
        <v>46614</v>
      </c>
      <c r="J698" s="1567">
        <v>46614</v>
      </c>
      <c r="K698" s="1568" t="str">
        <f t="shared" si="10"/>
        <v>No</v>
      </c>
      <c r="L698" s="1565"/>
    </row>
    <row r="699" spans="1:12" ht="20.100000000000001" customHeight="1">
      <c r="A699" s="1568" t="s">
        <v>3074</v>
      </c>
      <c r="B699" s="1567">
        <v>42963</v>
      </c>
      <c r="C699" s="1568" t="s">
        <v>3308</v>
      </c>
      <c r="D699" s="1568" t="s">
        <v>2975</v>
      </c>
      <c r="E699" s="1567">
        <v>43616</v>
      </c>
      <c r="F699" s="1566">
        <v>3438</v>
      </c>
      <c r="G699" s="1566">
        <v>0</v>
      </c>
      <c r="H699" s="1567"/>
      <c r="I699" s="1567">
        <v>46614</v>
      </c>
      <c r="J699" s="1567">
        <v>46614</v>
      </c>
      <c r="K699" s="1568" t="str">
        <f t="shared" si="10"/>
        <v>No</v>
      </c>
      <c r="L699" s="1565"/>
    </row>
    <row r="700" spans="1:12" ht="20.100000000000001" customHeight="1">
      <c r="A700" s="1568" t="s">
        <v>3074</v>
      </c>
      <c r="B700" s="1567">
        <v>42963</v>
      </c>
      <c r="C700" s="1568" t="s">
        <v>3308</v>
      </c>
      <c r="D700" s="1568" t="s">
        <v>2975</v>
      </c>
      <c r="E700" s="1567">
        <v>43646</v>
      </c>
      <c r="F700" s="1566">
        <v>3437</v>
      </c>
      <c r="G700" s="1566">
        <v>0</v>
      </c>
      <c r="H700" s="1567"/>
      <c r="I700" s="1567">
        <v>46614</v>
      </c>
      <c r="J700" s="1567">
        <v>46614</v>
      </c>
      <c r="K700" s="1568" t="str">
        <f t="shared" si="10"/>
        <v>No</v>
      </c>
      <c r="L700" s="1565"/>
    </row>
    <row r="701" spans="1:12" ht="20.100000000000001" customHeight="1">
      <c r="A701" s="1568" t="s">
        <v>3074</v>
      </c>
      <c r="B701" s="1567">
        <v>42963</v>
      </c>
      <c r="C701" s="1568" t="s">
        <v>3308</v>
      </c>
      <c r="D701" s="1568" t="s">
        <v>2975</v>
      </c>
      <c r="E701" s="1567">
        <v>43677</v>
      </c>
      <c r="F701" s="1566">
        <v>3438</v>
      </c>
      <c r="G701" s="1566">
        <v>0</v>
      </c>
      <c r="H701" s="1567"/>
      <c r="I701" s="1567">
        <v>46614</v>
      </c>
      <c r="J701" s="1567">
        <v>46614</v>
      </c>
      <c r="K701" s="1568" t="str">
        <f t="shared" si="10"/>
        <v>No</v>
      </c>
      <c r="L701" s="1565"/>
    </row>
    <row r="702" spans="1:12" ht="20.100000000000001" customHeight="1">
      <c r="A702" s="1568" t="s">
        <v>3074</v>
      </c>
      <c r="B702" s="1567">
        <v>42963</v>
      </c>
      <c r="C702" s="1568" t="s">
        <v>3308</v>
      </c>
      <c r="D702" s="1568" t="s">
        <v>2975</v>
      </c>
      <c r="E702" s="1567">
        <v>43708</v>
      </c>
      <c r="F702" s="1566">
        <v>3437</v>
      </c>
      <c r="G702" s="1566">
        <v>0</v>
      </c>
      <c r="H702" s="1567"/>
      <c r="I702" s="1567">
        <v>46614</v>
      </c>
      <c r="J702" s="1567">
        <v>46614</v>
      </c>
      <c r="K702" s="1568" t="str">
        <f t="shared" si="10"/>
        <v>No</v>
      </c>
      <c r="L702" s="1565"/>
    </row>
    <row r="703" spans="1:12" ht="20.100000000000001" customHeight="1">
      <c r="A703" s="1568" t="s">
        <v>3074</v>
      </c>
      <c r="B703" s="1567">
        <v>42963</v>
      </c>
      <c r="C703" s="1568" t="s">
        <v>3308</v>
      </c>
      <c r="D703" s="1568" t="s">
        <v>2975</v>
      </c>
      <c r="E703" s="1567">
        <v>43738</v>
      </c>
      <c r="F703" s="1566">
        <v>3438</v>
      </c>
      <c r="G703" s="1566">
        <v>0</v>
      </c>
      <c r="H703" s="1567"/>
      <c r="I703" s="1567">
        <v>46614</v>
      </c>
      <c r="J703" s="1567">
        <v>46614</v>
      </c>
      <c r="K703" s="1568" t="str">
        <f t="shared" si="10"/>
        <v>No</v>
      </c>
      <c r="L703" s="1565"/>
    </row>
    <row r="704" spans="1:12" ht="20.100000000000001" customHeight="1">
      <c r="A704" s="1568" t="s">
        <v>3074</v>
      </c>
      <c r="B704" s="1567">
        <v>42963</v>
      </c>
      <c r="C704" s="1568" t="s">
        <v>3308</v>
      </c>
      <c r="D704" s="1568" t="s">
        <v>2975</v>
      </c>
      <c r="E704" s="1567">
        <v>43769</v>
      </c>
      <c r="F704" s="1566">
        <v>3437</v>
      </c>
      <c r="G704" s="1566">
        <v>0</v>
      </c>
      <c r="H704" s="1567"/>
      <c r="I704" s="1567">
        <v>46614</v>
      </c>
      <c r="J704" s="1567">
        <v>46614</v>
      </c>
      <c r="K704" s="1568" t="str">
        <f t="shared" si="10"/>
        <v>No</v>
      </c>
      <c r="L704" s="1565"/>
    </row>
    <row r="705" spans="1:12" ht="20.100000000000001" customHeight="1">
      <c r="A705" s="1568" t="s">
        <v>3074</v>
      </c>
      <c r="B705" s="1567">
        <v>42963</v>
      </c>
      <c r="C705" s="1568" t="s">
        <v>3308</v>
      </c>
      <c r="D705" s="1568" t="s">
        <v>2975</v>
      </c>
      <c r="E705" s="1567">
        <v>43799</v>
      </c>
      <c r="F705" s="1566">
        <v>3438</v>
      </c>
      <c r="G705" s="1566">
        <v>0</v>
      </c>
      <c r="H705" s="1567"/>
      <c r="I705" s="1567">
        <v>46614</v>
      </c>
      <c r="J705" s="1567">
        <v>46614</v>
      </c>
      <c r="K705" s="1568" t="str">
        <f t="shared" si="10"/>
        <v>No</v>
      </c>
      <c r="L705" s="1565"/>
    </row>
    <row r="706" spans="1:12" ht="20.100000000000001" customHeight="1">
      <c r="A706" s="1568" t="s">
        <v>3074</v>
      </c>
      <c r="B706" s="1567">
        <v>42963</v>
      </c>
      <c r="C706" s="1568" t="s">
        <v>3308</v>
      </c>
      <c r="D706" s="1568" t="s">
        <v>2975</v>
      </c>
      <c r="E706" s="1567">
        <v>43830</v>
      </c>
      <c r="F706" s="1566">
        <v>3437</v>
      </c>
      <c r="G706" s="1566">
        <v>0</v>
      </c>
      <c r="H706" s="1567"/>
      <c r="I706" s="1567">
        <v>46614</v>
      </c>
      <c r="J706" s="1567">
        <v>46614</v>
      </c>
      <c r="K706" s="1568" t="str">
        <f t="shared" si="10"/>
        <v>No</v>
      </c>
      <c r="L706" s="1565"/>
    </row>
    <row r="707" spans="1:12" ht="20.100000000000001" customHeight="1">
      <c r="A707" s="1568" t="s">
        <v>3074</v>
      </c>
      <c r="B707" s="1567">
        <v>42963</v>
      </c>
      <c r="C707" s="1568" t="s">
        <v>3308</v>
      </c>
      <c r="D707" s="1568" t="s">
        <v>2975</v>
      </c>
      <c r="E707" s="1567">
        <v>43861</v>
      </c>
      <c r="F707" s="1566">
        <v>3438</v>
      </c>
      <c r="G707" s="1566">
        <v>0</v>
      </c>
      <c r="H707" s="1567"/>
      <c r="I707" s="1567">
        <v>46614</v>
      </c>
      <c r="J707" s="1567">
        <v>46614</v>
      </c>
      <c r="K707" s="1568" t="str">
        <f t="shared" si="10"/>
        <v>No</v>
      </c>
      <c r="L707" s="1565"/>
    </row>
    <row r="708" spans="1:12" ht="20.100000000000001" customHeight="1">
      <c r="A708" s="1568" t="s">
        <v>3074</v>
      </c>
      <c r="B708" s="1567">
        <v>42963</v>
      </c>
      <c r="C708" s="1568" t="s">
        <v>3308</v>
      </c>
      <c r="D708" s="1568" t="s">
        <v>2975</v>
      </c>
      <c r="E708" s="1567">
        <v>43889</v>
      </c>
      <c r="F708" s="1566">
        <v>3437</v>
      </c>
      <c r="G708" s="1566">
        <v>0</v>
      </c>
      <c r="H708" s="1567"/>
      <c r="I708" s="1567">
        <v>46614</v>
      </c>
      <c r="J708" s="1567">
        <v>46614</v>
      </c>
      <c r="K708" s="1568" t="str">
        <f t="shared" si="10"/>
        <v>No</v>
      </c>
      <c r="L708" s="1565"/>
    </row>
    <row r="709" spans="1:12" ht="20.100000000000001" customHeight="1">
      <c r="A709" s="1568" t="s">
        <v>3074</v>
      </c>
      <c r="B709" s="1567">
        <v>42963</v>
      </c>
      <c r="C709" s="1568" t="s">
        <v>3308</v>
      </c>
      <c r="D709" s="1568" t="s">
        <v>2975</v>
      </c>
      <c r="E709" s="1567">
        <v>43921</v>
      </c>
      <c r="F709" s="1566">
        <v>3438</v>
      </c>
      <c r="G709" s="1566">
        <v>0</v>
      </c>
      <c r="H709" s="1567"/>
      <c r="I709" s="1567">
        <v>46614</v>
      </c>
      <c r="J709" s="1567">
        <v>46614</v>
      </c>
      <c r="K709" s="1568" t="str">
        <f t="shared" ref="K709:K772" si="11">IF(I709="N/A","No",IF(E709&lt;=I709,"No","Yes"))</f>
        <v>No</v>
      </c>
      <c r="L709" s="1565"/>
    </row>
    <row r="710" spans="1:12" ht="20.100000000000001" customHeight="1">
      <c r="A710" s="1568" t="s">
        <v>3074</v>
      </c>
      <c r="B710" s="1567">
        <v>42963</v>
      </c>
      <c r="C710" s="1568" t="s">
        <v>3308</v>
      </c>
      <c r="D710" s="1568" t="s">
        <v>2975</v>
      </c>
      <c r="E710" s="1567">
        <v>43951</v>
      </c>
      <c r="F710" s="1566">
        <v>3437</v>
      </c>
      <c r="G710" s="1566">
        <v>0</v>
      </c>
      <c r="H710" s="1567"/>
      <c r="I710" s="1567">
        <v>46614</v>
      </c>
      <c r="J710" s="1567">
        <v>46614</v>
      </c>
      <c r="K710" s="1568" t="str">
        <f t="shared" si="11"/>
        <v>No</v>
      </c>
      <c r="L710" s="1565"/>
    </row>
    <row r="711" spans="1:12" ht="20.100000000000001" customHeight="1">
      <c r="A711" s="1568" t="s">
        <v>3074</v>
      </c>
      <c r="B711" s="1567">
        <v>42963</v>
      </c>
      <c r="C711" s="1568" t="s">
        <v>3308</v>
      </c>
      <c r="D711" s="1568" t="s">
        <v>2975</v>
      </c>
      <c r="E711" s="1567">
        <v>43982</v>
      </c>
      <c r="F711" s="1566">
        <v>3438</v>
      </c>
      <c r="G711" s="1566">
        <v>0</v>
      </c>
      <c r="H711" s="1567"/>
      <c r="I711" s="1567">
        <v>46614</v>
      </c>
      <c r="J711" s="1567">
        <v>46614</v>
      </c>
      <c r="K711" s="1568" t="str">
        <f t="shared" si="11"/>
        <v>No</v>
      </c>
      <c r="L711" s="1565"/>
    </row>
    <row r="712" spans="1:12" ht="20.100000000000001" customHeight="1">
      <c r="A712" s="1568" t="s">
        <v>3074</v>
      </c>
      <c r="B712" s="1567">
        <v>42963</v>
      </c>
      <c r="C712" s="1568" t="s">
        <v>3308</v>
      </c>
      <c r="D712" s="1568" t="s">
        <v>2975</v>
      </c>
      <c r="E712" s="1567">
        <v>44012</v>
      </c>
      <c r="F712" s="1566">
        <v>3437</v>
      </c>
      <c r="G712" s="1566">
        <v>0</v>
      </c>
      <c r="H712" s="1567"/>
      <c r="I712" s="1567">
        <v>46614</v>
      </c>
      <c r="J712" s="1567">
        <v>46614</v>
      </c>
      <c r="K712" s="1568" t="str">
        <f t="shared" si="11"/>
        <v>No</v>
      </c>
      <c r="L712" s="1565"/>
    </row>
    <row r="713" spans="1:12" ht="20.100000000000001" customHeight="1">
      <c r="A713" s="1568" t="s">
        <v>3074</v>
      </c>
      <c r="B713" s="1567">
        <v>42963</v>
      </c>
      <c r="C713" s="1568" t="s">
        <v>3308</v>
      </c>
      <c r="D713" s="1568" t="s">
        <v>2975</v>
      </c>
      <c r="E713" s="1567">
        <v>44043</v>
      </c>
      <c r="F713" s="1566">
        <v>3438</v>
      </c>
      <c r="G713" s="1566">
        <v>0</v>
      </c>
      <c r="H713" s="1567"/>
      <c r="I713" s="1567">
        <v>46614</v>
      </c>
      <c r="J713" s="1567">
        <v>46614</v>
      </c>
      <c r="K713" s="1568" t="str">
        <f t="shared" si="11"/>
        <v>No</v>
      </c>
      <c r="L713" s="1565"/>
    </row>
    <row r="714" spans="1:12" ht="20.100000000000001" customHeight="1">
      <c r="A714" s="1568" t="s">
        <v>3074</v>
      </c>
      <c r="B714" s="1567">
        <v>42963</v>
      </c>
      <c r="C714" s="1568" t="s">
        <v>3308</v>
      </c>
      <c r="D714" s="1568" t="s">
        <v>2975</v>
      </c>
      <c r="E714" s="1567">
        <v>44074</v>
      </c>
      <c r="F714" s="1566">
        <v>3437</v>
      </c>
      <c r="G714" s="1566">
        <v>0</v>
      </c>
      <c r="H714" s="1567"/>
      <c r="I714" s="1567">
        <v>46614</v>
      </c>
      <c r="J714" s="1567">
        <v>46614</v>
      </c>
      <c r="K714" s="1568" t="str">
        <f t="shared" si="11"/>
        <v>No</v>
      </c>
      <c r="L714" s="1565"/>
    </row>
    <row r="715" spans="1:12" ht="20.100000000000001" customHeight="1">
      <c r="A715" s="1568" t="s">
        <v>3074</v>
      </c>
      <c r="B715" s="1567">
        <v>42963</v>
      </c>
      <c r="C715" s="1568" t="s">
        <v>3308</v>
      </c>
      <c r="D715" s="1568" t="s">
        <v>2975</v>
      </c>
      <c r="E715" s="1567">
        <v>44104</v>
      </c>
      <c r="F715" s="1566">
        <v>3438</v>
      </c>
      <c r="G715" s="1566">
        <v>0</v>
      </c>
      <c r="H715" s="1567"/>
      <c r="I715" s="1567">
        <v>46614</v>
      </c>
      <c r="J715" s="1567">
        <v>46614</v>
      </c>
      <c r="K715" s="1568" t="str">
        <f t="shared" si="11"/>
        <v>No</v>
      </c>
      <c r="L715" s="1565"/>
    </row>
    <row r="716" spans="1:12" ht="20.100000000000001" customHeight="1">
      <c r="A716" s="1568" t="s">
        <v>3074</v>
      </c>
      <c r="B716" s="1567">
        <v>42963</v>
      </c>
      <c r="C716" s="1568" t="s">
        <v>3308</v>
      </c>
      <c r="D716" s="1568" t="s">
        <v>2975</v>
      </c>
      <c r="E716" s="1567">
        <v>44135</v>
      </c>
      <c r="F716" s="1566">
        <v>3437</v>
      </c>
      <c r="G716" s="1566">
        <v>0</v>
      </c>
      <c r="H716" s="1567"/>
      <c r="I716" s="1567">
        <v>46614</v>
      </c>
      <c r="J716" s="1567">
        <v>46614</v>
      </c>
      <c r="K716" s="1568" t="str">
        <f t="shared" si="11"/>
        <v>No</v>
      </c>
      <c r="L716" s="1565"/>
    </row>
    <row r="717" spans="1:12" ht="20.100000000000001" customHeight="1">
      <c r="A717" s="1568" t="s">
        <v>3074</v>
      </c>
      <c r="B717" s="1567">
        <v>42963</v>
      </c>
      <c r="C717" s="1568" t="s">
        <v>3308</v>
      </c>
      <c r="D717" s="1568" t="s">
        <v>2975</v>
      </c>
      <c r="E717" s="1567">
        <v>44165</v>
      </c>
      <c r="F717" s="1566">
        <v>3438</v>
      </c>
      <c r="G717" s="1566">
        <v>0</v>
      </c>
      <c r="H717" s="1567"/>
      <c r="I717" s="1567">
        <v>46614</v>
      </c>
      <c r="J717" s="1567">
        <v>46614</v>
      </c>
      <c r="K717" s="1568" t="str">
        <f t="shared" si="11"/>
        <v>No</v>
      </c>
      <c r="L717" s="1565"/>
    </row>
    <row r="718" spans="1:12" ht="20.100000000000001" customHeight="1">
      <c r="A718" s="1568" t="s">
        <v>3074</v>
      </c>
      <c r="B718" s="1567">
        <v>42963</v>
      </c>
      <c r="C718" s="1568" t="s">
        <v>3308</v>
      </c>
      <c r="D718" s="1568" t="s">
        <v>2975</v>
      </c>
      <c r="E718" s="1567">
        <v>44196</v>
      </c>
      <c r="F718" s="1566">
        <v>3437</v>
      </c>
      <c r="G718" s="1566">
        <v>0</v>
      </c>
      <c r="H718" s="1567"/>
      <c r="I718" s="1567">
        <v>46614</v>
      </c>
      <c r="J718" s="1567">
        <v>46614</v>
      </c>
      <c r="K718" s="1568" t="str">
        <f t="shared" si="11"/>
        <v>No</v>
      </c>
      <c r="L718" s="1565"/>
    </row>
    <row r="719" spans="1:12" ht="20.100000000000001" customHeight="1">
      <c r="A719" s="1568" t="s">
        <v>3074</v>
      </c>
      <c r="B719" s="1567">
        <v>42963</v>
      </c>
      <c r="C719" s="1568" t="s">
        <v>3308</v>
      </c>
      <c r="D719" s="1568" t="s">
        <v>2975</v>
      </c>
      <c r="E719" s="1567">
        <v>44227</v>
      </c>
      <c r="F719" s="1566">
        <v>3438</v>
      </c>
      <c r="G719" s="1566">
        <v>0</v>
      </c>
      <c r="H719" s="1567"/>
      <c r="I719" s="1567">
        <v>46614</v>
      </c>
      <c r="J719" s="1567">
        <v>46614</v>
      </c>
      <c r="K719" s="1568" t="str">
        <f t="shared" si="11"/>
        <v>No</v>
      </c>
      <c r="L719" s="1565"/>
    </row>
    <row r="720" spans="1:12" ht="20.100000000000001" customHeight="1">
      <c r="A720" s="1568" t="s">
        <v>3074</v>
      </c>
      <c r="B720" s="1567">
        <v>42963</v>
      </c>
      <c r="C720" s="1568" t="s">
        <v>3308</v>
      </c>
      <c r="D720" s="1568" t="s">
        <v>2975</v>
      </c>
      <c r="E720" s="1567">
        <v>44255</v>
      </c>
      <c r="F720" s="1566">
        <v>3437</v>
      </c>
      <c r="G720" s="1566">
        <v>0</v>
      </c>
      <c r="H720" s="1567"/>
      <c r="I720" s="1567">
        <v>46614</v>
      </c>
      <c r="J720" s="1567">
        <v>46614</v>
      </c>
      <c r="K720" s="1568" t="str">
        <f t="shared" si="11"/>
        <v>No</v>
      </c>
      <c r="L720" s="1565"/>
    </row>
    <row r="721" spans="1:12" ht="20.100000000000001" customHeight="1">
      <c r="A721" s="1568" t="s">
        <v>3074</v>
      </c>
      <c r="B721" s="1567">
        <v>42963</v>
      </c>
      <c r="C721" s="1568" t="s">
        <v>3308</v>
      </c>
      <c r="D721" s="1568" t="s">
        <v>2975</v>
      </c>
      <c r="E721" s="1567">
        <v>44286</v>
      </c>
      <c r="F721" s="1566">
        <v>3438</v>
      </c>
      <c r="G721" s="1566">
        <v>0</v>
      </c>
      <c r="H721" s="1567"/>
      <c r="I721" s="1567">
        <v>46614</v>
      </c>
      <c r="J721" s="1567">
        <v>46614</v>
      </c>
      <c r="K721" s="1568" t="str">
        <f t="shared" si="11"/>
        <v>No</v>
      </c>
      <c r="L721" s="1565"/>
    </row>
    <row r="722" spans="1:12" ht="20.100000000000001" customHeight="1">
      <c r="A722" s="1568" t="s">
        <v>3074</v>
      </c>
      <c r="B722" s="1567">
        <v>42963</v>
      </c>
      <c r="C722" s="1568" t="s">
        <v>3308</v>
      </c>
      <c r="D722" s="1568" t="s">
        <v>2975</v>
      </c>
      <c r="E722" s="1567">
        <v>44316</v>
      </c>
      <c r="F722" s="1566">
        <v>3437</v>
      </c>
      <c r="G722" s="1566">
        <v>0</v>
      </c>
      <c r="H722" s="1567"/>
      <c r="I722" s="1567">
        <v>46614</v>
      </c>
      <c r="J722" s="1567">
        <v>46614</v>
      </c>
      <c r="K722" s="1568" t="str">
        <f t="shared" si="11"/>
        <v>No</v>
      </c>
      <c r="L722" s="1565"/>
    </row>
    <row r="723" spans="1:12" ht="20.100000000000001" customHeight="1">
      <c r="A723" s="1568" t="s">
        <v>3074</v>
      </c>
      <c r="B723" s="1567">
        <v>42963</v>
      </c>
      <c r="C723" s="1568" t="s">
        <v>3308</v>
      </c>
      <c r="D723" s="1568" t="s">
        <v>2975</v>
      </c>
      <c r="E723" s="1567">
        <v>44347</v>
      </c>
      <c r="F723" s="1566">
        <v>3438</v>
      </c>
      <c r="G723" s="1566">
        <v>0</v>
      </c>
      <c r="H723" s="1567"/>
      <c r="I723" s="1567">
        <v>46614</v>
      </c>
      <c r="J723" s="1567">
        <v>46614</v>
      </c>
      <c r="K723" s="1568" t="str">
        <f t="shared" si="11"/>
        <v>No</v>
      </c>
      <c r="L723" s="1565"/>
    </row>
    <row r="724" spans="1:12" ht="20.100000000000001" customHeight="1">
      <c r="A724" s="1568" t="s">
        <v>3074</v>
      </c>
      <c r="B724" s="1567">
        <v>42963</v>
      </c>
      <c r="C724" s="1568" t="s">
        <v>3308</v>
      </c>
      <c r="D724" s="1568" t="s">
        <v>2975</v>
      </c>
      <c r="E724" s="1567">
        <v>44377</v>
      </c>
      <c r="F724" s="1566">
        <v>3437</v>
      </c>
      <c r="G724" s="1566">
        <v>0</v>
      </c>
      <c r="H724" s="1567"/>
      <c r="I724" s="1567">
        <v>46614</v>
      </c>
      <c r="J724" s="1567">
        <v>46614</v>
      </c>
      <c r="K724" s="1568" t="str">
        <f t="shared" si="11"/>
        <v>No</v>
      </c>
      <c r="L724" s="1565"/>
    </row>
    <row r="725" spans="1:12" ht="20.100000000000001" customHeight="1">
      <c r="A725" s="1568" t="s">
        <v>3074</v>
      </c>
      <c r="B725" s="1567">
        <v>42963</v>
      </c>
      <c r="C725" s="1568" t="s">
        <v>3308</v>
      </c>
      <c r="D725" s="1568" t="s">
        <v>2975</v>
      </c>
      <c r="E725" s="1567">
        <v>44408</v>
      </c>
      <c r="F725" s="1566">
        <v>3438</v>
      </c>
      <c r="G725" s="1566">
        <v>0</v>
      </c>
      <c r="H725" s="1567"/>
      <c r="I725" s="1567">
        <v>46614</v>
      </c>
      <c r="J725" s="1567">
        <v>46614</v>
      </c>
      <c r="K725" s="1568" t="str">
        <f t="shared" si="11"/>
        <v>No</v>
      </c>
      <c r="L725" s="1565"/>
    </row>
    <row r="726" spans="1:12" ht="20.100000000000001" customHeight="1">
      <c r="A726" s="1568" t="s">
        <v>3073</v>
      </c>
      <c r="B726" s="1567">
        <v>42963</v>
      </c>
      <c r="C726" s="1568" t="s">
        <v>3308</v>
      </c>
      <c r="D726" s="1568" t="s">
        <v>2957</v>
      </c>
      <c r="E726" s="1567">
        <v>43307</v>
      </c>
      <c r="F726" s="1566">
        <v>2750</v>
      </c>
      <c r="G726" s="1566">
        <v>0</v>
      </c>
      <c r="H726" s="1567"/>
      <c r="I726" s="1567">
        <v>46614</v>
      </c>
      <c r="J726" s="1567">
        <v>46614</v>
      </c>
      <c r="K726" s="1568" t="str">
        <f t="shared" si="11"/>
        <v>No</v>
      </c>
      <c r="L726" s="1565"/>
    </row>
    <row r="727" spans="1:12" ht="20.100000000000001" customHeight="1">
      <c r="A727" s="1568" t="s">
        <v>3073</v>
      </c>
      <c r="B727" s="1567">
        <v>42963</v>
      </c>
      <c r="C727" s="1568" t="s">
        <v>3308</v>
      </c>
      <c r="D727" s="1568" t="s">
        <v>2957</v>
      </c>
      <c r="E727" s="1567">
        <v>43338</v>
      </c>
      <c r="F727" s="1566">
        <v>229</v>
      </c>
      <c r="G727" s="1566">
        <v>0</v>
      </c>
      <c r="H727" s="1567"/>
      <c r="I727" s="1567">
        <v>46614</v>
      </c>
      <c r="J727" s="1567">
        <v>46614</v>
      </c>
      <c r="K727" s="1568" t="str">
        <f t="shared" si="11"/>
        <v>No</v>
      </c>
      <c r="L727" s="1565"/>
    </row>
    <row r="728" spans="1:12" ht="20.100000000000001" customHeight="1">
      <c r="A728" s="1568" t="s">
        <v>3073</v>
      </c>
      <c r="B728" s="1567">
        <v>42963</v>
      </c>
      <c r="C728" s="1568" t="s">
        <v>3308</v>
      </c>
      <c r="D728" s="1568" t="s">
        <v>2957</v>
      </c>
      <c r="E728" s="1567">
        <v>43369</v>
      </c>
      <c r="F728" s="1566">
        <v>229</v>
      </c>
      <c r="G728" s="1566">
        <v>0</v>
      </c>
      <c r="H728" s="1567"/>
      <c r="I728" s="1567">
        <v>46614</v>
      </c>
      <c r="J728" s="1567">
        <v>46614</v>
      </c>
      <c r="K728" s="1568" t="str">
        <f t="shared" si="11"/>
        <v>No</v>
      </c>
      <c r="L728" s="1565"/>
    </row>
    <row r="729" spans="1:12" ht="20.100000000000001" customHeight="1">
      <c r="A729" s="1568" t="s">
        <v>3073</v>
      </c>
      <c r="B729" s="1567">
        <v>42963</v>
      </c>
      <c r="C729" s="1568" t="s">
        <v>3308</v>
      </c>
      <c r="D729" s="1568" t="s">
        <v>2957</v>
      </c>
      <c r="E729" s="1567">
        <v>43399</v>
      </c>
      <c r="F729" s="1566">
        <v>229</v>
      </c>
      <c r="G729" s="1566">
        <v>0</v>
      </c>
      <c r="H729" s="1567"/>
      <c r="I729" s="1567">
        <v>46614</v>
      </c>
      <c r="J729" s="1567">
        <v>46614</v>
      </c>
      <c r="K729" s="1568" t="str">
        <f t="shared" si="11"/>
        <v>No</v>
      </c>
      <c r="L729" s="1565"/>
    </row>
    <row r="730" spans="1:12" ht="20.100000000000001" customHeight="1">
      <c r="A730" s="1568" t="s">
        <v>3073</v>
      </c>
      <c r="B730" s="1567">
        <v>42963</v>
      </c>
      <c r="C730" s="1568" t="s">
        <v>3308</v>
      </c>
      <c r="D730" s="1568" t="s">
        <v>2957</v>
      </c>
      <c r="E730" s="1567">
        <v>43430</v>
      </c>
      <c r="F730" s="1566">
        <v>229</v>
      </c>
      <c r="G730" s="1566">
        <v>0</v>
      </c>
      <c r="H730" s="1567"/>
      <c r="I730" s="1567">
        <v>46614</v>
      </c>
      <c r="J730" s="1567">
        <v>46614</v>
      </c>
      <c r="K730" s="1568" t="str">
        <f t="shared" si="11"/>
        <v>No</v>
      </c>
      <c r="L730" s="1565"/>
    </row>
    <row r="731" spans="1:12" ht="20.100000000000001" customHeight="1">
      <c r="A731" s="1568" t="s">
        <v>3073</v>
      </c>
      <c r="B731" s="1567">
        <v>42963</v>
      </c>
      <c r="C731" s="1568" t="s">
        <v>3308</v>
      </c>
      <c r="D731" s="1568" t="s">
        <v>2957</v>
      </c>
      <c r="E731" s="1567">
        <v>43460</v>
      </c>
      <c r="F731" s="1566">
        <v>229</v>
      </c>
      <c r="G731" s="1566">
        <v>0</v>
      </c>
      <c r="H731" s="1567"/>
      <c r="I731" s="1567">
        <v>46614</v>
      </c>
      <c r="J731" s="1567">
        <v>46614</v>
      </c>
      <c r="K731" s="1568" t="str">
        <f t="shared" si="11"/>
        <v>No</v>
      </c>
      <c r="L731" s="1565"/>
    </row>
    <row r="732" spans="1:12" ht="20.100000000000001" customHeight="1">
      <c r="A732" s="1568" t="s">
        <v>3073</v>
      </c>
      <c r="B732" s="1567">
        <v>42963</v>
      </c>
      <c r="C732" s="1568" t="s">
        <v>3308</v>
      </c>
      <c r="D732" s="1568" t="s">
        <v>2957</v>
      </c>
      <c r="E732" s="1567">
        <v>43491</v>
      </c>
      <c r="F732" s="1566">
        <v>230</v>
      </c>
      <c r="G732" s="1566">
        <v>0</v>
      </c>
      <c r="H732" s="1567"/>
      <c r="I732" s="1567">
        <v>46614</v>
      </c>
      <c r="J732" s="1567">
        <v>46614</v>
      </c>
      <c r="K732" s="1568" t="str">
        <f t="shared" si="11"/>
        <v>No</v>
      </c>
      <c r="L732" s="1565"/>
    </row>
    <row r="733" spans="1:12" ht="20.100000000000001" customHeight="1">
      <c r="A733" s="1568" t="s">
        <v>3073</v>
      </c>
      <c r="B733" s="1567">
        <v>42963</v>
      </c>
      <c r="C733" s="1568" t="s">
        <v>3308</v>
      </c>
      <c r="D733" s="1568" t="s">
        <v>2957</v>
      </c>
      <c r="E733" s="1567">
        <v>43522</v>
      </c>
      <c r="F733" s="1566">
        <v>229</v>
      </c>
      <c r="G733" s="1566">
        <v>0</v>
      </c>
      <c r="H733" s="1567"/>
      <c r="I733" s="1567">
        <v>46614</v>
      </c>
      <c r="J733" s="1567">
        <v>46614</v>
      </c>
      <c r="K733" s="1568" t="str">
        <f t="shared" si="11"/>
        <v>No</v>
      </c>
      <c r="L733" s="1565"/>
    </row>
    <row r="734" spans="1:12" ht="20.100000000000001" customHeight="1">
      <c r="A734" s="1568" t="s">
        <v>3073</v>
      </c>
      <c r="B734" s="1567">
        <v>42963</v>
      </c>
      <c r="C734" s="1568" t="s">
        <v>3308</v>
      </c>
      <c r="D734" s="1568" t="s">
        <v>2957</v>
      </c>
      <c r="E734" s="1567">
        <v>43550</v>
      </c>
      <c r="F734" s="1566">
        <v>229</v>
      </c>
      <c r="G734" s="1566">
        <v>0</v>
      </c>
      <c r="H734" s="1567"/>
      <c r="I734" s="1567">
        <v>46614</v>
      </c>
      <c r="J734" s="1567">
        <v>46614</v>
      </c>
      <c r="K734" s="1568" t="str">
        <f t="shared" si="11"/>
        <v>No</v>
      </c>
      <c r="L734" s="1565"/>
    </row>
    <row r="735" spans="1:12" ht="20.100000000000001" customHeight="1">
      <c r="A735" s="1568" t="s">
        <v>3073</v>
      </c>
      <c r="B735" s="1567">
        <v>42963</v>
      </c>
      <c r="C735" s="1568" t="s">
        <v>3308</v>
      </c>
      <c r="D735" s="1568" t="s">
        <v>2957</v>
      </c>
      <c r="E735" s="1567">
        <v>43581</v>
      </c>
      <c r="F735" s="1566">
        <v>229</v>
      </c>
      <c r="G735" s="1566">
        <v>0</v>
      </c>
      <c r="H735" s="1567"/>
      <c r="I735" s="1567">
        <v>46614</v>
      </c>
      <c r="J735" s="1567">
        <v>46614</v>
      </c>
      <c r="K735" s="1568" t="str">
        <f t="shared" si="11"/>
        <v>No</v>
      </c>
      <c r="L735" s="1565"/>
    </row>
    <row r="736" spans="1:12" ht="20.100000000000001" customHeight="1">
      <c r="A736" s="1568" t="s">
        <v>3073</v>
      </c>
      <c r="B736" s="1567">
        <v>42963</v>
      </c>
      <c r="C736" s="1568" t="s">
        <v>3308</v>
      </c>
      <c r="D736" s="1568" t="s">
        <v>2957</v>
      </c>
      <c r="E736" s="1567">
        <v>43611</v>
      </c>
      <c r="F736" s="1566">
        <v>229</v>
      </c>
      <c r="G736" s="1566">
        <v>0</v>
      </c>
      <c r="H736" s="1567"/>
      <c r="I736" s="1567">
        <v>46614</v>
      </c>
      <c r="J736" s="1567">
        <v>46614</v>
      </c>
      <c r="K736" s="1568" t="str">
        <f t="shared" si="11"/>
        <v>No</v>
      </c>
      <c r="L736" s="1565"/>
    </row>
    <row r="737" spans="1:12" ht="20.100000000000001" customHeight="1">
      <c r="A737" s="1568" t="s">
        <v>3073</v>
      </c>
      <c r="B737" s="1567">
        <v>42963</v>
      </c>
      <c r="C737" s="1568" t="s">
        <v>3308</v>
      </c>
      <c r="D737" s="1568" t="s">
        <v>2957</v>
      </c>
      <c r="E737" s="1567">
        <v>43642</v>
      </c>
      <c r="F737" s="1566">
        <v>229</v>
      </c>
      <c r="G737" s="1566">
        <v>0</v>
      </c>
      <c r="H737" s="1567"/>
      <c r="I737" s="1567">
        <v>46614</v>
      </c>
      <c r="J737" s="1567">
        <v>46614</v>
      </c>
      <c r="K737" s="1568" t="str">
        <f t="shared" si="11"/>
        <v>No</v>
      </c>
      <c r="L737" s="1565"/>
    </row>
    <row r="738" spans="1:12" ht="20.100000000000001" customHeight="1">
      <c r="A738" s="1568" t="s">
        <v>3073</v>
      </c>
      <c r="B738" s="1567">
        <v>42963</v>
      </c>
      <c r="C738" s="1568" t="s">
        <v>3308</v>
      </c>
      <c r="D738" s="1568" t="s">
        <v>2957</v>
      </c>
      <c r="E738" s="1567">
        <v>43672</v>
      </c>
      <c r="F738" s="1566">
        <v>230</v>
      </c>
      <c r="G738" s="1566">
        <v>0</v>
      </c>
      <c r="H738" s="1567"/>
      <c r="I738" s="1567">
        <v>46614</v>
      </c>
      <c r="J738" s="1567">
        <v>46614</v>
      </c>
      <c r="K738" s="1568" t="str">
        <f t="shared" si="11"/>
        <v>No</v>
      </c>
      <c r="L738" s="1565"/>
    </row>
    <row r="739" spans="1:12" ht="20.100000000000001" customHeight="1">
      <c r="A739" s="1568" t="s">
        <v>3073</v>
      </c>
      <c r="B739" s="1567">
        <v>42963</v>
      </c>
      <c r="C739" s="1568" t="s">
        <v>3308</v>
      </c>
      <c r="D739" s="1568" t="s">
        <v>2957</v>
      </c>
      <c r="E739" s="1567">
        <v>43703</v>
      </c>
      <c r="F739" s="1566">
        <v>229</v>
      </c>
      <c r="G739" s="1566">
        <v>0</v>
      </c>
      <c r="H739" s="1567"/>
      <c r="I739" s="1567">
        <v>46614</v>
      </c>
      <c r="J739" s="1567">
        <v>46614</v>
      </c>
      <c r="K739" s="1568" t="str">
        <f t="shared" si="11"/>
        <v>No</v>
      </c>
      <c r="L739" s="1565"/>
    </row>
    <row r="740" spans="1:12" ht="20.100000000000001" customHeight="1">
      <c r="A740" s="1568" t="s">
        <v>3073</v>
      </c>
      <c r="B740" s="1567">
        <v>42963</v>
      </c>
      <c r="C740" s="1568" t="s">
        <v>3308</v>
      </c>
      <c r="D740" s="1568" t="s">
        <v>2957</v>
      </c>
      <c r="E740" s="1567">
        <v>43734</v>
      </c>
      <c r="F740" s="1566">
        <v>229</v>
      </c>
      <c r="G740" s="1566">
        <v>0</v>
      </c>
      <c r="H740" s="1567"/>
      <c r="I740" s="1567">
        <v>46614</v>
      </c>
      <c r="J740" s="1567">
        <v>46614</v>
      </c>
      <c r="K740" s="1568" t="str">
        <f t="shared" si="11"/>
        <v>No</v>
      </c>
      <c r="L740" s="1565"/>
    </row>
    <row r="741" spans="1:12" ht="20.100000000000001" customHeight="1">
      <c r="A741" s="1568" t="s">
        <v>3073</v>
      </c>
      <c r="B741" s="1567">
        <v>42963</v>
      </c>
      <c r="C741" s="1568" t="s">
        <v>3308</v>
      </c>
      <c r="D741" s="1568" t="s">
        <v>2957</v>
      </c>
      <c r="E741" s="1567">
        <v>43764</v>
      </c>
      <c r="F741" s="1566">
        <v>229</v>
      </c>
      <c r="G741" s="1566">
        <v>0</v>
      </c>
      <c r="H741" s="1567"/>
      <c r="I741" s="1567">
        <v>46614</v>
      </c>
      <c r="J741" s="1567">
        <v>46614</v>
      </c>
      <c r="K741" s="1568" t="str">
        <f t="shared" si="11"/>
        <v>No</v>
      </c>
      <c r="L741" s="1565"/>
    </row>
    <row r="742" spans="1:12" ht="20.100000000000001" customHeight="1">
      <c r="A742" s="1568" t="s">
        <v>3073</v>
      </c>
      <c r="B742" s="1567">
        <v>42963</v>
      </c>
      <c r="C742" s="1568" t="s">
        <v>3308</v>
      </c>
      <c r="D742" s="1568" t="s">
        <v>2957</v>
      </c>
      <c r="E742" s="1567">
        <v>43795</v>
      </c>
      <c r="F742" s="1566">
        <v>229</v>
      </c>
      <c r="G742" s="1566">
        <v>0</v>
      </c>
      <c r="H742" s="1567"/>
      <c r="I742" s="1567">
        <v>46614</v>
      </c>
      <c r="J742" s="1567">
        <v>46614</v>
      </c>
      <c r="K742" s="1568" t="str">
        <f t="shared" si="11"/>
        <v>No</v>
      </c>
      <c r="L742" s="1565"/>
    </row>
    <row r="743" spans="1:12" ht="20.100000000000001" customHeight="1">
      <c r="A743" s="1568" t="s">
        <v>3073</v>
      </c>
      <c r="B743" s="1567">
        <v>42963</v>
      </c>
      <c r="C743" s="1568" t="s">
        <v>3308</v>
      </c>
      <c r="D743" s="1568" t="s">
        <v>2957</v>
      </c>
      <c r="E743" s="1567">
        <v>43825</v>
      </c>
      <c r="F743" s="1566">
        <v>229</v>
      </c>
      <c r="G743" s="1566">
        <v>0</v>
      </c>
      <c r="H743" s="1567"/>
      <c r="I743" s="1567">
        <v>46614</v>
      </c>
      <c r="J743" s="1567">
        <v>46614</v>
      </c>
      <c r="K743" s="1568" t="str">
        <f t="shared" si="11"/>
        <v>No</v>
      </c>
      <c r="L743" s="1565"/>
    </row>
    <row r="744" spans="1:12" ht="20.100000000000001" customHeight="1">
      <c r="A744" s="1568" t="s">
        <v>3073</v>
      </c>
      <c r="B744" s="1567">
        <v>42963</v>
      </c>
      <c r="C744" s="1568" t="s">
        <v>3308</v>
      </c>
      <c r="D744" s="1568" t="s">
        <v>2957</v>
      </c>
      <c r="E744" s="1567">
        <v>43856</v>
      </c>
      <c r="F744" s="1566">
        <v>230</v>
      </c>
      <c r="G744" s="1566">
        <v>0</v>
      </c>
      <c r="H744" s="1567"/>
      <c r="I744" s="1567">
        <v>46614</v>
      </c>
      <c r="J744" s="1567">
        <v>46614</v>
      </c>
      <c r="K744" s="1568" t="str">
        <f t="shared" si="11"/>
        <v>No</v>
      </c>
      <c r="L744" s="1565"/>
    </row>
    <row r="745" spans="1:12" ht="20.100000000000001" customHeight="1">
      <c r="A745" s="1568" t="s">
        <v>3073</v>
      </c>
      <c r="B745" s="1567">
        <v>42963</v>
      </c>
      <c r="C745" s="1568" t="s">
        <v>3308</v>
      </c>
      <c r="D745" s="1568" t="s">
        <v>2957</v>
      </c>
      <c r="E745" s="1567">
        <v>43887</v>
      </c>
      <c r="F745" s="1566">
        <v>229</v>
      </c>
      <c r="G745" s="1566">
        <v>0</v>
      </c>
      <c r="H745" s="1567"/>
      <c r="I745" s="1567">
        <v>46614</v>
      </c>
      <c r="J745" s="1567">
        <v>46614</v>
      </c>
      <c r="K745" s="1568" t="str">
        <f t="shared" si="11"/>
        <v>No</v>
      </c>
      <c r="L745" s="1565"/>
    </row>
    <row r="746" spans="1:12" ht="20.100000000000001" customHeight="1">
      <c r="A746" s="1568" t="s">
        <v>3073</v>
      </c>
      <c r="B746" s="1567">
        <v>42963</v>
      </c>
      <c r="C746" s="1568" t="s">
        <v>3308</v>
      </c>
      <c r="D746" s="1568" t="s">
        <v>2957</v>
      </c>
      <c r="E746" s="1567">
        <v>43916</v>
      </c>
      <c r="F746" s="1566">
        <v>229</v>
      </c>
      <c r="G746" s="1566">
        <v>0</v>
      </c>
      <c r="H746" s="1567"/>
      <c r="I746" s="1567">
        <v>46614</v>
      </c>
      <c r="J746" s="1567">
        <v>46614</v>
      </c>
      <c r="K746" s="1568" t="str">
        <f t="shared" si="11"/>
        <v>No</v>
      </c>
      <c r="L746" s="1565"/>
    </row>
    <row r="747" spans="1:12" ht="20.100000000000001" customHeight="1">
      <c r="A747" s="1568" t="s">
        <v>3073</v>
      </c>
      <c r="B747" s="1567">
        <v>42963</v>
      </c>
      <c r="C747" s="1568" t="s">
        <v>3308</v>
      </c>
      <c r="D747" s="1568" t="s">
        <v>2957</v>
      </c>
      <c r="E747" s="1567">
        <v>43947</v>
      </c>
      <c r="F747" s="1566">
        <v>229</v>
      </c>
      <c r="G747" s="1566">
        <v>0</v>
      </c>
      <c r="H747" s="1567"/>
      <c r="I747" s="1567">
        <v>46614</v>
      </c>
      <c r="J747" s="1567">
        <v>46614</v>
      </c>
      <c r="K747" s="1568" t="str">
        <f t="shared" si="11"/>
        <v>No</v>
      </c>
      <c r="L747" s="1565"/>
    </row>
    <row r="748" spans="1:12" ht="20.100000000000001" customHeight="1">
      <c r="A748" s="1568" t="s">
        <v>3073</v>
      </c>
      <c r="B748" s="1567">
        <v>42963</v>
      </c>
      <c r="C748" s="1568" t="s">
        <v>3308</v>
      </c>
      <c r="D748" s="1568" t="s">
        <v>2957</v>
      </c>
      <c r="E748" s="1567">
        <v>43977</v>
      </c>
      <c r="F748" s="1566">
        <v>229</v>
      </c>
      <c r="G748" s="1566">
        <v>0</v>
      </c>
      <c r="H748" s="1567"/>
      <c r="I748" s="1567">
        <v>46614</v>
      </c>
      <c r="J748" s="1567">
        <v>46614</v>
      </c>
      <c r="K748" s="1568" t="str">
        <f t="shared" si="11"/>
        <v>No</v>
      </c>
      <c r="L748" s="1565"/>
    </row>
    <row r="749" spans="1:12" ht="20.100000000000001" customHeight="1">
      <c r="A749" s="1568" t="s">
        <v>3073</v>
      </c>
      <c r="B749" s="1567">
        <v>42963</v>
      </c>
      <c r="C749" s="1568" t="s">
        <v>3308</v>
      </c>
      <c r="D749" s="1568" t="s">
        <v>2957</v>
      </c>
      <c r="E749" s="1567">
        <v>44008</v>
      </c>
      <c r="F749" s="1566">
        <v>229</v>
      </c>
      <c r="G749" s="1566">
        <v>0</v>
      </c>
      <c r="H749" s="1567"/>
      <c r="I749" s="1567">
        <v>46614</v>
      </c>
      <c r="J749" s="1567">
        <v>46614</v>
      </c>
      <c r="K749" s="1568" t="str">
        <f t="shared" si="11"/>
        <v>No</v>
      </c>
      <c r="L749" s="1565"/>
    </row>
    <row r="750" spans="1:12" ht="20.100000000000001" customHeight="1">
      <c r="A750" s="1568" t="s">
        <v>3073</v>
      </c>
      <c r="B750" s="1567">
        <v>42963</v>
      </c>
      <c r="C750" s="1568" t="s">
        <v>3308</v>
      </c>
      <c r="D750" s="1568" t="s">
        <v>2957</v>
      </c>
      <c r="E750" s="1567">
        <v>44038</v>
      </c>
      <c r="F750" s="1566">
        <v>230</v>
      </c>
      <c r="G750" s="1566">
        <v>0</v>
      </c>
      <c r="H750" s="1567"/>
      <c r="I750" s="1567">
        <v>46614</v>
      </c>
      <c r="J750" s="1567">
        <v>46614</v>
      </c>
      <c r="K750" s="1568" t="str">
        <f t="shared" si="11"/>
        <v>No</v>
      </c>
      <c r="L750" s="1565"/>
    </row>
    <row r="751" spans="1:12" ht="20.100000000000001" customHeight="1">
      <c r="A751" s="1568" t="s">
        <v>3073</v>
      </c>
      <c r="B751" s="1567">
        <v>42963</v>
      </c>
      <c r="C751" s="1568" t="s">
        <v>3308</v>
      </c>
      <c r="D751" s="1568" t="s">
        <v>2957</v>
      </c>
      <c r="E751" s="1567">
        <v>44069</v>
      </c>
      <c r="F751" s="1566">
        <v>229</v>
      </c>
      <c r="G751" s="1566">
        <v>0</v>
      </c>
      <c r="H751" s="1567"/>
      <c r="I751" s="1567">
        <v>46614</v>
      </c>
      <c r="J751" s="1567">
        <v>46614</v>
      </c>
      <c r="K751" s="1568" t="str">
        <f t="shared" si="11"/>
        <v>No</v>
      </c>
      <c r="L751" s="1565"/>
    </row>
    <row r="752" spans="1:12" ht="20.100000000000001" customHeight="1">
      <c r="A752" s="1568" t="s">
        <v>3073</v>
      </c>
      <c r="B752" s="1567">
        <v>42963</v>
      </c>
      <c r="C752" s="1568" t="s">
        <v>3308</v>
      </c>
      <c r="D752" s="1568" t="s">
        <v>2957</v>
      </c>
      <c r="E752" s="1567">
        <v>44100</v>
      </c>
      <c r="F752" s="1566">
        <v>229</v>
      </c>
      <c r="G752" s="1566">
        <v>0</v>
      </c>
      <c r="H752" s="1567"/>
      <c r="I752" s="1567">
        <v>46614</v>
      </c>
      <c r="J752" s="1567">
        <v>46614</v>
      </c>
      <c r="K752" s="1568" t="str">
        <f t="shared" si="11"/>
        <v>No</v>
      </c>
      <c r="L752" s="1565"/>
    </row>
    <row r="753" spans="1:12" ht="20.100000000000001" customHeight="1">
      <c r="A753" s="1568" t="s">
        <v>3073</v>
      </c>
      <c r="B753" s="1567">
        <v>42963</v>
      </c>
      <c r="C753" s="1568" t="s">
        <v>3308</v>
      </c>
      <c r="D753" s="1568" t="s">
        <v>2957</v>
      </c>
      <c r="E753" s="1567">
        <v>44130</v>
      </c>
      <c r="F753" s="1566">
        <v>229</v>
      </c>
      <c r="G753" s="1566">
        <v>0</v>
      </c>
      <c r="H753" s="1567"/>
      <c r="I753" s="1567">
        <v>46614</v>
      </c>
      <c r="J753" s="1567">
        <v>46614</v>
      </c>
      <c r="K753" s="1568" t="str">
        <f t="shared" si="11"/>
        <v>No</v>
      </c>
      <c r="L753" s="1565"/>
    </row>
    <row r="754" spans="1:12" ht="20.100000000000001" customHeight="1">
      <c r="A754" s="1568" t="s">
        <v>3073</v>
      </c>
      <c r="B754" s="1567">
        <v>42963</v>
      </c>
      <c r="C754" s="1568" t="s">
        <v>3308</v>
      </c>
      <c r="D754" s="1568" t="s">
        <v>2957</v>
      </c>
      <c r="E754" s="1567">
        <v>44161</v>
      </c>
      <c r="F754" s="1566">
        <v>229</v>
      </c>
      <c r="G754" s="1566">
        <v>0</v>
      </c>
      <c r="H754" s="1567"/>
      <c r="I754" s="1567">
        <v>46614</v>
      </c>
      <c r="J754" s="1567">
        <v>46614</v>
      </c>
      <c r="K754" s="1568" t="str">
        <f t="shared" si="11"/>
        <v>No</v>
      </c>
      <c r="L754" s="1565"/>
    </row>
    <row r="755" spans="1:12" ht="20.100000000000001" customHeight="1">
      <c r="A755" s="1568" t="s">
        <v>3073</v>
      </c>
      <c r="B755" s="1567">
        <v>42963</v>
      </c>
      <c r="C755" s="1568" t="s">
        <v>3308</v>
      </c>
      <c r="D755" s="1568" t="s">
        <v>2957</v>
      </c>
      <c r="E755" s="1567">
        <v>44191</v>
      </c>
      <c r="F755" s="1566">
        <v>229</v>
      </c>
      <c r="G755" s="1566">
        <v>0</v>
      </c>
      <c r="H755" s="1567"/>
      <c r="I755" s="1567">
        <v>46614</v>
      </c>
      <c r="J755" s="1567">
        <v>46614</v>
      </c>
      <c r="K755" s="1568" t="str">
        <f t="shared" si="11"/>
        <v>No</v>
      </c>
      <c r="L755" s="1565"/>
    </row>
    <row r="756" spans="1:12" ht="20.100000000000001" customHeight="1">
      <c r="A756" s="1568" t="s">
        <v>3073</v>
      </c>
      <c r="B756" s="1567">
        <v>42963</v>
      </c>
      <c r="C756" s="1568" t="s">
        <v>3308</v>
      </c>
      <c r="D756" s="1568" t="s">
        <v>2957</v>
      </c>
      <c r="E756" s="1567">
        <v>44222</v>
      </c>
      <c r="F756" s="1566">
        <v>230</v>
      </c>
      <c r="G756" s="1566">
        <v>0</v>
      </c>
      <c r="H756" s="1567"/>
      <c r="I756" s="1567">
        <v>46614</v>
      </c>
      <c r="J756" s="1567">
        <v>46614</v>
      </c>
      <c r="K756" s="1568" t="str">
        <f t="shared" si="11"/>
        <v>No</v>
      </c>
      <c r="L756" s="1565"/>
    </row>
    <row r="757" spans="1:12" ht="20.100000000000001" customHeight="1">
      <c r="A757" s="1568" t="s">
        <v>3073</v>
      </c>
      <c r="B757" s="1567">
        <v>42963</v>
      </c>
      <c r="C757" s="1568" t="s">
        <v>3308</v>
      </c>
      <c r="D757" s="1568" t="s">
        <v>2957</v>
      </c>
      <c r="E757" s="1567">
        <v>44253</v>
      </c>
      <c r="F757" s="1566">
        <v>229</v>
      </c>
      <c r="G757" s="1566">
        <v>0</v>
      </c>
      <c r="H757" s="1567"/>
      <c r="I757" s="1567">
        <v>46614</v>
      </c>
      <c r="J757" s="1567">
        <v>46614</v>
      </c>
      <c r="K757" s="1568" t="str">
        <f t="shared" si="11"/>
        <v>No</v>
      </c>
      <c r="L757" s="1565"/>
    </row>
    <row r="758" spans="1:12" ht="20.100000000000001" customHeight="1">
      <c r="A758" s="1568" t="s">
        <v>3073</v>
      </c>
      <c r="B758" s="1567">
        <v>42963</v>
      </c>
      <c r="C758" s="1568" t="s">
        <v>3308</v>
      </c>
      <c r="D758" s="1568" t="s">
        <v>2957</v>
      </c>
      <c r="E758" s="1567">
        <v>44281</v>
      </c>
      <c r="F758" s="1566">
        <v>229</v>
      </c>
      <c r="G758" s="1566">
        <v>0</v>
      </c>
      <c r="H758" s="1567"/>
      <c r="I758" s="1567">
        <v>46614</v>
      </c>
      <c r="J758" s="1567">
        <v>46614</v>
      </c>
      <c r="K758" s="1568" t="str">
        <f t="shared" si="11"/>
        <v>No</v>
      </c>
      <c r="L758" s="1565"/>
    </row>
    <row r="759" spans="1:12" ht="20.100000000000001" customHeight="1">
      <c r="A759" s="1568" t="s">
        <v>3073</v>
      </c>
      <c r="B759" s="1567">
        <v>42963</v>
      </c>
      <c r="C759" s="1568" t="s">
        <v>3308</v>
      </c>
      <c r="D759" s="1568" t="s">
        <v>2957</v>
      </c>
      <c r="E759" s="1567">
        <v>44312</v>
      </c>
      <c r="F759" s="1566">
        <v>229</v>
      </c>
      <c r="G759" s="1566">
        <v>0</v>
      </c>
      <c r="H759" s="1567"/>
      <c r="I759" s="1567">
        <v>46614</v>
      </c>
      <c r="J759" s="1567">
        <v>46614</v>
      </c>
      <c r="K759" s="1568" t="str">
        <f t="shared" si="11"/>
        <v>No</v>
      </c>
      <c r="L759" s="1565"/>
    </row>
    <row r="760" spans="1:12" ht="20.100000000000001" customHeight="1">
      <c r="A760" s="1568" t="s">
        <v>3073</v>
      </c>
      <c r="B760" s="1567">
        <v>42963</v>
      </c>
      <c r="C760" s="1568" t="s">
        <v>3308</v>
      </c>
      <c r="D760" s="1568" t="s">
        <v>2957</v>
      </c>
      <c r="E760" s="1567">
        <v>44342</v>
      </c>
      <c r="F760" s="1566">
        <v>229</v>
      </c>
      <c r="G760" s="1566">
        <v>0</v>
      </c>
      <c r="H760" s="1567"/>
      <c r="I760" s="1567">
        <v>46614</v>
      </c>
      <c r="J760" s="1567">
        <v>46614</v>
      </c>
      <c r="K760" s="1568" t="str">
        <f t="shared" si="11"/>
        <v>No</v>
      </c>
      <c r="L760" s="1565"/>
    </row>
    <row r="761" spans="1:12" ht="20.100000000000001" customHeight="1">
      <c r="A761" s="1568" t="s">
        <v>3073</v>
      </c>
      <c r="B761" s="1567">
        <v>42963</v>
      </c>
      <c r="C761" s="1568" t="s">
        <v>3308</v>
      </c>
      <c r="D761" s="1568" t="s">
        <v>2957</v>
      </c>
      <c r="E761" s="1567">
        <v>44373</v>
      </c>
      <c r="F761" s="1566">
        <v>229</v>
      </c>
      <c r="G761" s="1566">
        <v>0</v>
      </c>
      <c r="H761" s="1567"/>
      <c r="I761" s="1567">
        <v>46614</v>
      </c>
      <c r="J761" s="1567">
        <v>46614</v>
      </c>
      <c r="K761" s="1568" t="str">
        <f t="shared" si="11"/>
        <v>No</v>
      </c>
      <c r="L761" s="1565"/>
    </row>
    <row r="762" spans="1:12" ht="20.100000000000001" customHeight="1">
      <c r="A762" s="1568" t="s">
        <v>3073</v>
      </c>
      <c r="B762" s="1567">
        <v>42963</v>
      </c>
      <c r="C762" s="1568" t="s">
        <v>3308</v>
      </c>
      <c r="D762" s="1568" t="s">
        <v>2957</v>
      </c>
      <c r="E762" s="1567">
        <v>44403</v>
      </c>
      <c r="F762" s="1566">
        <v>230</v>
      </c>
      <c r="G762" s="1566">
        <v>0</v>
      </c>
      <c r="H762" s="1567"/>
      <c r="I762" s="1567">
        <v>46614</v>
      </c>
      <c r="J762" s="1567">
        <v>46614</v>
      </c>
      <c r="K762" s="1568" t="str">
        <f t="shared" si="11"/>
        <v>No</v>
      </c>
      <c r="L762" s="1565"/>
    </row>
    <row r="763" spans="1:12" ht="20.100000000000001" customHeight="1">
      <c r="A763" s="1568" t="s">
        <v>3072</v>
      </c>
      <c r="B763" s="1567">
        <v>42963</v>
      </c>
      <c r="C763" s="1568" t="s">
        <v>3308</v>
      </c>
      <c r="D763" s="1568" t="s">
        <v>2983</v>
      </c>
      <c r="E763" s="1567">
        <v>43160</v>
      </c>
      <c r="F763" s="1566">
        <v>9771</v>
      </c>
      <c r="G763" s="1566">
        <v>9771</v>
      </c>
      <c r="H763" s="1567">
        <v>43360</v>
      </c>
      <c r="I763" s="1567">
        <v>46614</v>
      </c>
      <c r="J763" s="1567">
        <v>46614</v>
      </c>
      <c r="K763" s="1568" t="str">
        <f t="shared" si="11"/>
        <v>No</v>
      </c>
      <c r="L763" s="1565" t="s">
        <v>3052</v>
      </c>
    </row>
    <row r="764" spans="1:12" ht="20.100000000000001" customHeight="1">
      <c r="A764" s="1568" t="s">
        <v>3072</v>
      </c>
      <c r="B764" s="1567">
        <v>42963</v>
      </c>
      <c r="C764" s="1568" t="s">
        <v>3308</v>
      </c>
      <c r="D764" s="1568" t="s">
        <v>2983</v>
      </c>
      <c r="E764" s="1567">
        <v>43191</v>
      </c>
      <c r="F764" s="1566">
        <v>814</v>
      </c>
      <c r="G764" s="1566">
        <v>814</v>
      </c>
      <c r="H764" s="1567">
        <v>43360</v>
      </c>
      <c r="I764" s="1567">
        <v>46614</v>
      </c>
      <c r="J764" s="1567">
        <v>46614</v>
      </c>
      <c r="K764" s="1568" t="str">
        <f t="shared" si="11"/>
        <v>No</v>
      </c>
      <c r="L764" s="1565" t="s">
        <v>3052</v>
      </c>
    </row>
    <row r="765" spans="1:12" ht="20.100000000000001" customHeight="1">
      <c r="A765" s="1568" t="s">
        <v>3072</v>
      </c>
      <c r="B765" s="1567">
        <v>42963</v>
      </c>
      <c r="C765" s="1568" t="s">
        <v>3308</v>
      </c>
      <c r="D765" s="1568" t="s">
        <v>2983</v>
      </c>
      <c r="E765" s="1567">
        <v>43221</v>
      </c>
      <c r="F765" s="1566">
        <v>815</v>
      </c>
      <c r="G765" s="1566">
        <v>815</v>
      </c>
      <c r="H765" s="1567">
        <v>43360</v>
      </c>
      <c r="I765" s="1567">
        <v>46614</v>
      </c>
      <c r="J765" s="1567">
        <v>46614</v>
      </c>
      <c r="K765" s="1568" t="str">
        <f t="shared" si="11"/>
        <v>No</v>
      </c>
      <c r="L765" s="1565" t="s">
        <v>3052</v>
      </c>
    </row>
    <row r="766" spans="1:12" ht="20.100000000000001" customHeight="1">
      <c r="A766" s="1568" t="s">
        <v>3072</v>
      </c>
      <c r="B766" s="1567">
        <v>42963</v>
      </c>
      <c r="C766" s="1568" t="s">
        <v>3308</v>
      </c>
      <c r="D766" s="1568" t="s">
        <v>2983</v>
      </c>
      <c r="E766" s="1567">
        <v>43252</v>
      </c>
      <c r="F766" s="1566">
        <v>814</v>
      </c>
      <c r="G766" s="1566">
        <v>814</v>
      </c>
      <c r="H766" s="1567">
        <v>43360</v>
      </c>
      <c r="I766" s="1567">
        <v>46614</v>
      </c>
      <c r="J766" s="1567">
        <v>46614</v>
      </c>
      <c r="K766" s="1568" t="str">
        <f t="shared" si="11"/>
        <v>No</v>
      </c>
      <c r="L766" s="1565" t="s">
        <v>3052</v>
      </c>
    </row>
    <row r="767" spans="1:12" ht="20.100000000000001" customHeight="1">
      <c r="A767" s="1568" t="s">
        <v>3072</v>
      </c>
      <c r="B767" s="1567">
        <v>42963</v>
      </c>
      <c r="C767" s="1568" t="s">
        <v>3308</v>
      </c>
      <c r="D767" s="1568" t="s">
        <v>2983</v>
      </c>
      <c r="E767" s="1567">
        <v>43282</v>
      </c>
      <c r="F767" s="1566">
        <v>814</v>
      </c>
      <c r="G767" s="1566">
        <v>814</v>
      </c>
      <c r="H767" s="1567">
        <v>43360</v>
      </c>
      <c r="I767" s="1567">
        <v>46614</v>
      </c>
      <c r="J767" s="1567">
        <v>46614</v>
      </c>
      <c r="K767" s="1568" t="str">
        <f t="shared" si="11"/>
        <v>No</v>
      </c>
      <c r="L767" s="1565" t="s">
        <v>3052</v>
      </c>
    </row>
    <row r="768" spans="1:12" ht="20.100000000000001" customHeight="1">
      <c r="A768" s="1568" t="s">
        <v>3072</v>
      </c>
      <c r="B768" s="1567">
        <v>42963</v>
      </c>
      <c r="C768" s="1568" t="s">
        <v>3308</v>
      </c>
      <c r="D768" s="1568" t="s">
        <v>2983</v>
      </c>
      <c r="E768" s="1567">
        <v>43313</v>
      </c>
      <c r="F768" s="1566">
        <v>814</v>
      </c>
      <c r="G768" s="1566">
        <v>814</v>
      </c>
      <c r="H768" s="1567">
        <v>43360</v>
      </c>
      <c r="I768" s="1567">
        <v>46614</v>
      </c>
      <c r="J768" s="1567">
        <v>46614</v>
      </c>
      <c r="K768" s="1568" t="str">
        <f t="shared" si="11"/>
        <v>No</v>
      </c>
      <c r="L768" s="1565" t="s">
        <v>3052</v>
      </c>
    </row>
    <row r="769" spans="1:12" ht="20.100000000000001" customHeight="1">
      <c r="A769" s="1568" t="s">
        <v>3072</v>
      </c>
      <c r="B769" s="1567">
        <v>42963</v>
      </c>
      <c r="C769" s="1568" t="s">
        <v>3308</v>
      </c>
      <c r="D769" s="1568" t="s">
        <v>2983</v>
      </c>
      <c r="E769" s="1567">
        <v>43344</v>
      </c>
      <c r="F769" s="1566">
        <v>815</v>
      </c>
      <c r="G769" s="1566">
        <v>815</v>
      </c>
      <c r="H769" s="1567">
        <v>43360</v>
      </c>
      <c r="I769" s="1567">
        <v>46614</v>
      </c>
      <c r="J769" s="1567">
        <v>46614</v>
      </c>
      <c r="K769" s="1568" t="str">
        <f t="shared" si="11"/>
        <v>No</v>
      </c>
      <c r="L769" s="1565" t="s">
        <v>3052</v>
      </c>
    </row>
    <row r="770" spans="1:12" ht="20.100000000000001" customHeight="1">
      <c r="A770" s="1568" t="s">
        <v>3072</v>
      </c>
      <c r="B770" s="1567">
        <v>42963</v>
      </c>
      <c r="C770" s="1568" t="s">
        <v>3308</v>
      </c>
      <c r="D770" s="1568" t="s">
        <v>2983</v>
      </c>
      <c r="E770" s="1567">
        <v>43344</v>
      </c>
      <c r="F770" s="1566">
        <v>0</v>
      </c>
      <c r="G770" s="1566">
        <v>0</v>
      </c>
      <c r="H770" s="1567"/>
      <c r="I770" s="1567">
        <v>46614</v>
      </c>
      <c r="J770" s="1567">
        <v>46614</v>
      </c>
      <c r="K770" s="1568" t="str">
        <f t="shared" si="11"/>
        <v>No</v>
      </c>
      <c r="L770" s="1565" t="s">
        <v>3052</v>
      </c>
    </row>
    <row r="771" spans="1:12" ht="20.100000000000001" customHeight="1">
      <c r="A771" s="1568" t="s">
        <v>3072</v>
      </c>
      <c r="B771" s="1567">
        <v>42963</v>
      </c>
      <c r="C771" s="1568" t="s">
        <v>3308</v>
      </c>
      <c r="D771" s="1568" t="s">
        <v>2983</v>
      </c>
      <c r="E771" s="1567">
        <v>43374</v>
      </c>
      <c r="F771" s="1566">
        <v>814</v>
      </c>
      <c r="G771" s="1566">
        <v>0</v>
      </c>
      <c r="H771" s="1567"/>
      <c r="I771" s="1567">
        <v>46614</v>
      </c>
      <c r="J771" s="1567">
        <v>46614</v>
      </c>
      <c r="K771" s="1568" t="str">
        <f t="shared" si="11"/>
        <v>No</v>
      </c>
      <c r="L771" s="1565" t="s">
        <v>3052</v>
      </c>
    </row>
    <row r="772" spans="1:12" ht="20.100000000000001" customHeight="1">
      <c r="A772" s="1568" t="s">
        <v>3072</v>
      </c>
      <c r="B772" s="1567">
        <v>42963</v>
      </c>
      <c r="C772" s="1568" t="s">
        <v>3308</v>
      </c>
      <c r="D772" s="1568" t="s">
        <v>2983</v>
      </c>
      <c r="E772" s="1567">
        <v>43405</v>
      </c>
      <c r="F772" s="1566">
        <v>814</v>
      </c>
      <c r="G772" s="1566">
        <v>0</v>
      </c>
      <c r="H772" s="1567"/>
      <c r="I772" s="1567">
        <v>46614</v>
      </c>
      <c r="J772" s="1567">
        <v>46614</v>
      </c>
      <c r="K772" s="1568" t="str">
        <f t="shared" si="11"/>
        <v>No</v>
      </c>
      <c r="L772" s="1565" t="s">
        <v>3052</v>
      </c>
    </row>
    <row r="773" spans="1:12" ht="20.100000000000001" customHeight="1">
      <c r="A773" s="1568" t="s">
        <v>3072</v>
      </c>
      <c r="B773" s="1567">
        <v>42963</v>
      </c>
      <c r="C773" s="1568" t="s">
        <v>3308</v>
      </c>
      <c r="D773" s="1568" t="s">
        <v>2983</v>
      </c>
      <c r="E773" s="1567">
        <v>43435</v>
      </c>
      <c r="F773" s="1566">
        <v>815</v>
      </c>
      <c r="G773" s="1566">
        <v>0</v>
      </c>
      <c r="H773" s="1567"/>
      <c r="I773" s="1567">
        <v>46614</v>
      </c>
      <c r="J773" s="1567">
        <v>46614</v>
      </c>
      <c r="K773" s="1568" t="str">
        <f t="shared" ref="K773:K836" si="12">IF(I773="N/A","No",IF(E773&lt;=I773,"No","Yes"))</f>
        <v>No</v>
      </c>
      <c r="L773" s="1565" t="s">
        <v>3052</v>
      </c>
    </row>
    <row r="774" spans="1:12" ht="20.100000000000001" customHeight="1">
      <c r="A774" s="1568" t="s">
        <v>3072</v>
      </c>
      <c r="B774" s="1567">
        <v>42963</v>
      </c>
      <c r="C774" s="1568" t="s">
        <v>3308</v>
      </c>
      <c r="D774" s="1568" t="s">
        <v>2983</v>
      </c>
      <c r="E774" s="1567">
        <v>43466</v>
      </c>
      <c r="F774" s="1566">
        <v>814</v>
      </c>
      <c r="G774" s="1566">
        <v>0</v>
      </c>
      <c r="H774" s="1567"/>
      <c r="I774" s="1567">
        <v>46614</v>
      </c>
      <c r="J774" s="1567">
        <v>46614</v>
      </c>
      <c r="K774" s="1568" t="str">
        <f t="shared" si="12"/>
        <v>No</v>
      </c>
      <c r="L774" s="1565" t="s">
        <v>3052</v>
      </c>
    </row>
    <row r="775" spans="1:12" ht="20.100000000000001" customHeight="1">
      <c r="A775" s="1568" t="s">
        <v>3072</v>
      </c>
      <c r="B775" s="1567">
        <v>42963</v>
      </c>
      <c r="C775" s="1568" t="s">
        <v>3308</v>
      </c>
      <c r="D775" s="1568" t="s">
        <v>2983</v>
      </c>
      <c r="E775" s="1567">
        <v>43497</v>
      </c>
      <c r="F775" s="1566">
        <v>814</v>
      </c>
      <c r="G775" s="1566">
        <v>0</v>
      </c>
      <c r="H775" s="1567"/>
      <c r="I775" s="1567">
        <v>46614</v>
      </c>
      <c r="J775" s="1567">
        <v>46614</v>
      </c>
      <c r="K775" s="1568" t="str">
        <f t="shared" si="12"/>
        <v>No</v>
      </c>
      <c r="L775" s="1565" t="s">
        <v>3052</v>
      </c>
    </row>
    <row r="776" spans="1:12" ht="20.100000000000001" customHeight="1">
      <c r="A776" s="1568" t="s">
        <v>3072</v>
      </c>
      <c r="B776" s="1567">
        <v>42963</v>
      </c>
      <c r="C776" s="1568" t="s">
        <v>3308</v>
      </c>
      <c r="D776" s="1568" t="s">
        <v>2983</v>
      </c>
      <c r="E776" s="1567">
        <v>43525</v>
      </c>
      <c r="F776" s="1566">
        <v>815</v>
      </c>
      <c r="G776" s="1566">
        <v>0</v>
      </c>
      <c r="H776" s="1567"/>
      <c r="I776" s="1567">
        <v>46614</v>
      </c>
      <c r="J776" s="1567">
        <v>46614</v>
      </c>
      <c r="K776" s="1568" t="str">
        <f t="shared" si="12"/>
        <v>No</v>
      </c>
      <c r="L776" s="1565" t="s">
        <v>3052</v>
      </c>
    </row>
    <row r="777" spans="1:12" ht="20.100000000000001" customHeight="1">
      <c r="A777" s="1568" t="s">
        <v>3072</v>
      </c>
      <c r="B777" s="1567">
        <v>42963</v>
      </c>
      <c r="C777" s="1568" t="s">
        <v>3308</v>
      </c>
      <c r="D777" s="1568" t="s">
        <v>2983</v>
      </c>
      <c r="E777" s="1567">
        <v>43556</v>
      </c>
      <c r="F777" s="1566">
        <v>814</v>
      </c>
      <c r="G777" s="1566">
        <v>0</v>
      </c>
      <c r="H777" s="1567"/>
      <c r="I777" s="1567">
        <v>46614</v>
      </c>
      <c r="J777" s="1567">
        <v>46614</v>
      </c>
      <c r="K777" s="1568" t="str">
        <f t="shared" si="12"/>
        <v>No</v>
      </c>
      <c r="L777" s="1565" t="s">
        <v>3052</v>
      </c>
    </row>
    <row r="778" spans="1:12" ht="20.100000000000001" customHeight="1">
      <c r="A778" s="1568" t="s">
        <v>3072</v>
      </c>
      <c r="B778" s="1567">
        <v>42963</v>
      </c>
      <c r="C778" s="1568" t="s">
        <v>3308</v>
      </c>
      <c r="D778" s="1568" t="s">
        <v>2983</v>
      </c>
      <c r="E778" s="1567">
        <v>43586</v>
      </c>
      <c r="F778" s="1566">
        <v>814</v>
      </c>
      <c r="G778" s="1566">
        <v>0</v>
      </c>
      <c r="H778" s="1567"/>
      <c r="I778" s="1567">
        <v>46614</v>
      </c>
      <c r="J778" s="1567">
        <v>46614</v>
      </c>
      <c r="K778" s="1568" t="str">
        <f t="shared" si="12"/>
        <v>No</v>
      </c>
      <c r="L778" s="1565" t="s">
        <v>3052</v>
      </c>
    </row>
    <row r="779" spans="1:12" ht="20.100000000000001" customHeight="1">
      <c r="A779" s="1568" t="s">
        <v>3072</v>
      </c>
      <c r="B779" s="1567">
        <v>42963</v>
      </c>
      <c r="C779" s="1568" t="s">
        <v>3308</v>
      </c>
      <c r="D779" s="1568" t="s">
        <v>2983</v>
      </c>
      <c r="E779" s="1567">
        <v>43617</v>
      </c>
      <c r="F779" s="1566">
        <v>814</v>
      </c>
      <c r="G779" s="1566">
        <v>0</v>
      </c>
      <c r="H779" s="1567"/>
      <c r="I779" s="1567">
        <v>46614</v>
      </c>
      <c r="J779" s="1567">
        <v>46614</v>
      </c>
      <c r="K779" s="1568" t="str">
        <f t="shared" si="12"/>
        <v>No</v>
      </c>
      <c r="L779" s="1565" t="s">
        <v>3052</v>
      </c>
    </row>
    <row r="780" spans="1:12" ht="20.100000000000001" customHeight="1">
      <c r="A780" s="1568" t="s">
        <v>3072</v>
      </c>
      <c r="B780" s="1567">
        <v>42963</v>
      </c>
      <c r="C780" s="1568" t="s">
        <v>3308</v>
      </c>
      <c r="D780" s="1568" t="s">
        <v>2983</v>
      </c>
      <c r="E780" s="1567">
        <v>43647</v>
      </c>
      <c r="F780" s="1566">
        <v>815</v>
      </c>
      <c r="G780" s="1566">
        <v>0</v>
      </c>
      <c r="H780" s="1567"/>
      <c r="I780" s="1567">
        <v>46614</v>
      </c>
      <c r="J780" s="1567">
        <v>46614</v>
      </c>
      <c r="K780" s="1568" t="str">
        <f t="shared" si="12"/>
        <v>No</v>
      </c>
      <c r="L780" s="1565" t="s">
        <v>3052</v>
      </c>
    </row>
    <row r="781" spans="1:12" ht="20.100000000000001" customHeight="1">
      <c r="A781" s="1568" t="s">
        <v>3072</v>
      </c>
      <c r="B781" s="1567">
        <v>42963</v>
      </c>
      <c r="C781" s="1568" t="s">
        <v>3308</v>
      </c>
      <c r="D781" s="1568" t="s">
        <v>2983</v>
      </c>
      <c r="E781" s="1567">
        <v>43678</v>
      </c>
      <c r="F781" s="1566">
        <v>814</v>
      </c>
      <c r="G781" s="1566">
        <v>0</v>
      </c>
      <c r="H781" s="1567"/>
      <c r="I781" s="1567">
        <v>46614</v>
      </c>
      <c r="J781" s="1567">
        <v>46614</v>
      </c>
      <c r="K781" s="1568" t="str">
        <f t="shared" si="12"/>
        <v>No</v>
      </c>
      <c r="L781" s="1565" t="s">
        <v>3052</v>
      </c>
    </row>
    <row r="782" spans="1:12" ht="20.100000000000001" customHeight="1">
      <c r="A782" s="1568" t="s">
        <v>3072</v>
      </c>
      <c r="B782" s="1567">
        <v>42963</v>
      </c>
      <c r="C782" s="1568" t="s">
        <v>3308</v>
      </c>
      <c r="D782" s="1568" t="s">
        <v>2983</v>
      </c>
      <c r="E782" s="1567">
        <v>43709</v>
      </c>
      <c r="F782" s="1566">
        <v>814</v>
      </c>
      <c r="G782" s="1566">
        <v>0</v>
      </c>
      <c r="H782" s="1567"/>
      <c r="I782" s="1567">
        <v>46614</v>
      </c>
      <c r="J782" s="1567">
        <v>46614</v>
      </c>
      <c r="K782" s="1568" t="str">
        <f t="shared" si="12"/>
        <v>No</v>
      </c>
      <c r="L782" s="1565" t="s">
        <v>3052</v>
      </c>
    </row>
    <row r="783" spans="1:12" ht="20.100000000000001" customHeight="1">
      <c r="A783" s="1568" t="s">
        <v>3072</v>
      </c>
      <c r="B783" s="1567">
        <v>42963</v>
      </c>
      <c r="C783" s="1568" t="s">
        <v>3308</v>
      </c>
      <c r="D783" s="1568" t="s">
        <v>2983</v>
      </c>
      <c r="E783" s="1567">
        <v>43739</v>
      </c>
      <c r="F783" s="1566">
        <v>815</v>
      </c>
      <c r="G783" s="1566">
        <v>0</v>
      </c>
      <c r="H783" s="1567"/>
      <c r="I783" s="1567">
        <v>46614</v>
      </c>
      <c r="J783" s="1567">
        <v>46614</v>
      </c>
      <c r="K783" s="1568" t="str">
        <f t="shared" si="12"/>
        <v>No</v>
      </c>
      <c r="L783" s="1565" t="s">
        <v>3052</v>
      </c>
    </row>
    <row r="784" spans="1:12" ht="20.100000000000001" customHeight="1">
      <c r="A784" s="1568" t="s">
        <v>3072</v>
      </c>
      <c r="B784" s="1567">
        <v>42963</v>
      </c>
      <c r="C784" s="1568" t="s">
        <v>3308</v>
      </c>
      <c r="D784" s="1568" t="s">
        <v>2983</v>
      </c>
      <c r="E784" s="1567">
        <v>43770</v>
      </c>
      <c r="F784" s="1566">
        <v>814</v>
      </c>
      <c r="G784" s="1566">
        <v>0</v>
      </c>
      <c r="H784" s="1567"/>
      <c r="I784" s="1567">
        <v>46614</v>
      </c>
      <c r="J784" s="1567">
        <v>46614</v>
      </c>
      <c r="K784" s="1568" t="str">
        <f t="shared" si="12"/>
        <v>No</v>
      </c>
      <c r="L784" s="1565" t="s">
        <v>3052</v>
      </c>
    </row>
    <row r="785" spans="1:12" ht="20.100000000000001" customHeight="1">
      <c r="A785" s="1568" t="s">
        <v>3072</v>
      </c>
      <c r="B785" s="1567">
        <v>42963</v>
      </c>
      <c r="C785" s="1568" t="s">
        <v>3308</v>
      </c>
      <c r="D785" s="1568" t="s">
        <v>2983</v>
      </c>
      <c r="E785" s="1567">
        <v>43800</v>
      </c>
      <c r="F785" s="1566">
        <v>814</v>
      </c>
      <c r="G785" s="1566">
        <v>0</v>
      </c>
      <c r="H785" s="1567"/>
      <c r="I785" s="1567">
        <v>46614</v>
      </c>
      <c r="J785" s="1567">
        <v>46614</v>
      </c>
      <c r="K785" s="1568" t="str">
        <f t="shared" si="12"/>
        <v>No</v>
      </c>
      <c r="L785" s="1565" t="s">
        <v>3052</v>
      </c>
    </row>
    <row r="786" spans="1:12" ht="20.100000000000001" customHeight="1">
      <c r="A786" s="1568" t="s">
        <v>3072</v>
      </c>
      <c r="B786" s="1567">
        <v>42963</v>
      </c>
      <c r="C786" s="1568" t="s">
        <v>3308</v>
      </c>
      <c r="D786" s="1568" t="s">
        <v>2983</v>
      </c>
      <c r="E786" s="1567">
        <v>43831</v>
      </c>
      <c r="F786" s="1566">
        <v>814</v>
      </c>
      <c r="G786" s="1566">
        <v>0</v>
      </c>
      <c r="H786" s="1567"/>
      <c r="I786" s="1567">
        <v>46614</v>
      </c>
      <c r="J786" s="1567">
        <v>46614</v>
      </c>
      <c r="K786" s="1568" t="str">
        <f t="shared" si="12"/>
        <v>No</v>
      </c>
      <c r="L786" s="1565" t="s">
        <v>3052</v>
      </c>
    </row>
    <row r="787" spans="1:12" ht="20.100000000000001" customHeight="1">
      <c r="A787" s="1568" t="s">
        <v>3072</v>
      </c>
      <c r="B787" s="1567">
        <v>42963</v>
      </c>
      <c r="C787" s="1568" t="s">
        <v>3308</v>
      </c>
      <c r="D787" s="1568" t="s">
        <v>2983</v>
      </c>
      <c r="E787" s="1567">
        <v>43862</v>
      </c>
      <c r="F787" s="1566">
        <v>815</v>
      </c>
      <c r="G787" s="1566">
        <v>0</v>
      </c>
      <c r="H787" s="1567"/>
      <c r="I787" s="1567">
        <v>46614</v>
      </c>
      <c r="J787" s="1567">
        <v>46614</v>
      </c>
      <c r="K787" s="1568" t="str">
        <f t="shared" si="12"/>
        <v>No</v>
      </c>
      <c r="L787" s="1565" t="s">
        <v>3052</v>
      </c>
    </row>
    <row r="788" spans="1:12" ht="20.100000000000001" customHeight="1">
      <c r="A788" s="1568" t="s">
        <v>3072</v>
      </c>
      <c r="B788" s="1567">
        <v>42963</v>
      </c>
      <c r="C788" s="1568" t="s">
        <v>3308</v>
      </c>
      <c r="D788" s="1568" t="s">
        <v>2983</v>
      </c>
      <c r="E788" s="1567">
        <v>43891</v>
      </c>
      <c r="F788" s="1566">
        <v>814</v>
      </c>
      <c r="G788" s="1566">
        <v>0</v>
      </c>
      <c r="H788" s="1567"/>
      <c r="I788" s="1567">
        <v>46614</v>
      </c>
      <c r="J788" s="1567">
        <v>46614</v>
      </c>
      <c r="K788" s="1568" t="str">
        <f t="shared" si="12"/>
        <v>No</v>
      </c>
      <c r="L788" s="1565" t="s">
        <v>3052</v>
      </c>
    </row>
    <row r="789" spans="1:12" ht="20.100000000000001" customHeight="1">
      <c r="A789" s="1568" t="s">
        <v>3072</v>
      </c>
      <c r="B789" s="1567">
        <v>42963</v>
      </c>
      <c r="C789" s="1568" t="s">
        <v>3308</v>
      </c>
      <c r="D789" s="1568" t="s">
        <v>2983</v>
      </c>
      <c r="E789" s="1567">
        <v>43922</v>
      </c>
      <c r="F789" s="1566">
        <v>814</v>
      </c>
      <c r="G789" s="1566">
        <v>0</v>
      </c>
      <c r="H789" s="1567"/>
      <c r="I789" s="1567">
        <v>46614</v>
      </c>
      <c r="J789" s="1567">
        <v>46614</v>
      </c>
      <c r="K789" s="1568" t="str">
        <f t="shared" si="12"/>
        <v>No</v>
      </c>
      <c r="L789" s="1565" t="s">
        <v>3052</v>
      </c>
    </row>
    <row r="790" spans="1:12" ht="20.100000000000001" customHeight="1">
      <c r="A790" s="1568" t="s">
        <v>3072</v>
      </c>
      <c r="B790" s="1567">
        <v>42963</v>
      </c>
      <c r="C790" s="1568" t="s">
        <v>3308</v>
      </c>
      <c r="D790" s="1568" t="s">
        <v>2983</v>
      </c>
      <c r="E790" s="1567">
        <v>43952</v>
      </c>
      <c r="F790" s="1566">
        <v>815</v>
      </c>
      <c r="G790" s="1566">
        <v>0</v>
      </c>
      <c r="H790" s="1567"/>
      <c r="I790" s="1567">
        <v>46614</v>
      </c>
      <c r="J790" s="1567">
        <v>46614</v>
      </c>
      <c r="K790" s="1568" t="str">
        <f t="shared" si="12"/>
        <v>No</v>
      </c>
      <c r="L790" s="1565" t="s">
        <v>3052</v>
      </c>
    </row>
    <row r="791" spans="1:12" ht="20.100000000000001" customHeight="1">
      <c r="A791" s="1568" t="s">
        <v>3072</v>
      </c>
      <c r="B791" s="1567">
        <v>42963</v>
      </c>
      <c r="C791" s="1568" t="s">
        <v>3308</v>
      </c>
      <c r="D791" s="1568" t="s">
        <v>2983</v>
      </c>
      <c r="E791" s="1567">
        <v>43983</v>
      </c>
      <c r="F791" s="1566">
        <v>814</v>
      </c>
      <c r="G791" s="1566">
        <v>0</v>
      </c>
      <c r="H791" s="1567"/>
      <c r="I791" s="1567">
        <v>46614</v>
      </c>
      <c r="J791" s="1567">
        <v>46614</v>
      </c>
      <c r="K791" s="1568" t="str">
        <f t="shared" si="12"/>
        <v>No</v>
      </c>
      <c r="L791" s="1565" t="s">
        <v>3052</v>
      </c>
    </row>
    <row r="792" spans="1:12" ht="20.100000000000001" customHeight="1">
      <c r="A792" s="1568" t="s">
        <v>3072</v>
      </c>
      <c r="B792" s="1567">
        <v>42963</v>
      </c>
      <c r="C792" s="1568" t="s">
        <v>3308</v>
      </c>
      <c r="D792" s="1568" t="s">
        <v>2983</v>
      </c>
      <c r="E792" s="1567">
        <v>44013</v>
      </c>
      <c r="F792" s="1566">
        <v>814</v>
      </c>
      <c r="G792" s="1566">
        <v>0</v>
      </c>
      <c r="H792" s="1567"/>
      <c r="I792" s="1567">
        <v>46614</v>
      </c>
      <c r="J792" s="1567">
        <v>46614</v>
      </c>
      <c r="K792" s="1568" t="str">
        <f t="shared" si="12"/>
        <v>No</v>
      </c>
      <c r="L792" s="1565" t="s">
        <v>3052</v>
      </c>
    </row>
    <row r="793" spans="1:12" ht="20.100000000000001" customHeight="1">
      <c r="A793" s="1568" t="s">
        <v>3072</v>
      </c>
      <c r="B793" s="1567">
        <v>42963</v>
      </c>
      <c r="C793" s="1568" t="s">
        <v>3308</v>
      </c>
      <c r="D793" s="1568" t="s">
        <v>2983</v>
      </c>
      <c r="E793" s="1567">
        <v>44044</v>
      </c>
      <c r="F793" s="1566">
        <v>814</v>
      </c>
      <c r="G793" s="1566">
        <v>0</v>
      </c>
      <c r="H793" s="1567"/>
      <c r="I793" s="1567">
        <v>46614</v>
      </c>
      <c r="J793" s="1567">
        <v>46614</v>
      </c>
      <c r="K793" s="1568" t="str">
        <f t="shared" si="12"/>
        <v>No</v>
      </c>
      <c r="L793" s="1565" t="s">
        <v>3052</v>
      </c>
    </row>
    <row r="794" spans="1:12" ht="20.100000000000001" customHeight="1">
      <c r="A794" s="1568" t="s">
        <v>3072</v>
      </c>
      <c r="B794" s="1567">
        <v>42963</v>
      </c>
      <c r="C794" s="1568" t="s">
        <v>3308</v>
      </c>
      <c r="D794" s="1568" t="s">
        <v>2983</v>
      </c>
      <c r="E794" s="1567">
        <v>44075</v>
      </c>
      <c r="F794" s="1566">
        <v>815</v>
      </c>
      <c r="G794" s="1566">
        <v>0</v>
      </c>
      <c r="H794" s="1567"/>
      <c r="I794" s="1567">
        <v>46614</v>
      </c>
      <c r="J794" s="1567">
        <v>46614</v>
      </c>
      <c r="K794" s="1568" t="str">
        <f t="shared" si="12"/>
        <v>No</v>
      </c>
      <c r="L794" s="1565" t="s">
        <v>3052</v>
      </c>
    </row>
    <row r="795" spans="1:12" ht="20.100000000000001" customHeight="1">
      <c r="A795" s="1568" t="s">
        <v>3072</v>
      </c>
      <c r="B795" s="1567">
        <v>42963</v>
      </c>
      <c r="C795" s="1568" t="s">
        <v>3308</v>
      </c>
      <c r="D795" s="1568" t="s">
        <v>2983</v>
      </c>
      <c r="E795" s="1567">
        <v>44105</v>
      </c>
      <c r="F795" s="1566">
        <v>814</v>
      </c>
      <c r="G795" s="1566">
        <v>0</v>
      </c>
      <c r="H795" s="1567"/>
      <c r="I795" s="1567">
        <v>46614</v>
      </c>
      <c r="J795" s="1567">
        <v>46614</v>
      </c>
      <c r="K795" s="1568" t="str">
        <f t="shared" si="12"/>
        <v>No</v>
      </c>
      <c r="L795" s="1565" t="s">
        <v>3052</v>
      </c>
    </row>
    <row r="796" spans="1:12" ht="20.100000000000001" customHeight="1">
      <c r="A796" s="1568" t="s">
        <v>3072</v>
      </c>
      <c r="B796" s="1567">
        <v>42963</v>
      </c>
      <c r="C796" s="1568" t="s">
        <v>3308</v>
      </c>
      <c r="D796" s="1568" t="s">
        <v>2983</v>
      </c>
      <c r="E796" s="1567">
        <v>44136</v>
      </c>
      <c r="F796" s="1566">
        <v>814</v>
      </c>
      <c r="G796" s="1566">
        <v>0</v>
      </c>
      <c r="H796" s="1567"/>
      <c r="I796" s="1567">
        <v>46614</v>
      </c>
      <c r="J796" s="1567">
        <v>46614</v>
      </c>
      <c r="K796" s="1568" t="str">
        <f t="shared" si="12"/>
        <v>No</v>
      </c>
      <c r="L796" s="1565" t="s">
        <v>3052</v>
      </c>
    </row>
    <row r="797" spans="1:12" ht="20.100000000000001" customHeight="1">
      <c r="A797" s="1568" t="s">
        <v>3072</v>
      </c>
      <c r="B797" s="1567">
        <v>42963</v>
      </c>
      <c r="C797" s="1568" t="s">
        <v>3308</v>
      </c>
      <c r="D797" s="1568" t="s">
        <v>2983</v>
      </c>
      <c r="E797" s="1567">
        <v>44166</v>
      </c>
      <c r="F797" s="1566">
        <v>815</v>
      </c>
      <c r="G797" s="1566">
        <v>0</v>
      </c>
      <c r="H797" s="1567"/>
      <c r="I797" s="1567">
        <v>46614</v>
      </c>
      <c r="J797" s="1567">
        <v>46614</v>
      </c>
      <c r="K797" s="1568" t="str">
        <f t="shared" si="12"/>
        <v>No</v>
      </c>
      <c r="L797" s="1565" t="s">
        <v>3052</v>
      </c>
    </row>
    <row r="798" spans="1:12" ht="20.100000000000001" customHeight="1">
      <c r="A798" s="1568" t="s">
        <v>3072</v>
      </c>
      <c r="B798" s="1567">
        <v>42963</v>
      </c>
      <c r="C798" s="1568" t="s">
        <v>3308</v>
      </c>
      <c r="D798" s="1568" t="s">
        <v>2983</v>
      </c>
      <c r="E798" s="1567">
        <v>44197</v>
      </c>
      <c r="F798" s="1566">
        <v>814</v>
      </c>
      <c r="G798" s="1566">
        <v>0</v>
      </c>
      <c r="H798" s="1567"/>
      <c r="I798" s="1567">
        <v>46614</v>
      </c>
      <c r="J798" s="1567">
        <v>46614</v>
      </c>
      <c r="K798" s="1568" t="str">
        <f t="shared" si="12"/>
        <v>No</v>
      </c>
      <c r="L798" s="1565" t="s">
        <v>3052</v>
      </c>
    </row>
    <row r="799" spans="1:12" ht="20.100000000000001" customHeight="1">
      <c r="A799" s="1568" t="s">
        <v>3072</v>
      </c>
      <c r="B799" s="1567">
        <v>42963</v>
      </c>
      <c r="C799" s="1568" t="s">
        <v>3308</v>
      </c>
      <c r="D799" s="1568" t="s">
        <v>2983</v>
      </c>
      <c r="E799" s="1567">
        <v>44228</v>
      </c>
      <c r="F799" s="1566">
        <v>814</v>
      </c>
      <c r="G799" s="1566">
        <v>0</v>
      </c>
      <c r="H799" s="1567"/>
      <c r="I799" s="1567">
        <v>46614</v>
      </c>
      <c r="J799" s="1567">
        <v>46614</v>
      </c>
      <c r="K799" s="1568" t="str">
        <f t="shared" si="12"/>
        <v>No</v>
      </c>
      <c r="L799" s="1565" t="s">
        <v>3052</v>
      </c>
    </row>
    <row r="800" spans="1:12" ht="20.100000000000001" customHeight="1">
      <c r="A800" s="1568" t="s">
        <v>3072</v>
      </c>
      <c r="B800" s="1567">
        <v>42963</v>
      </c>
      <c r="C800" s="1568" t="s">
        <v>3308</v>
      </c>
      <c r="D800" s="1568" t="s">
        <v>2983</v>
      </c>
      <c r="E800" s="1567">
        <v>44256</v>
      </c>
      <c r="F800" s="1566">
        <v>815</v>
      </c>
      <c r="G800" s="1566">
        <v>0</v>
      </c>
      <c r="H800" s="1567"/>
      <c r="I800" s="1567">
        <v>46614</v>
      </c>
      <c r="J800" s="1567">
        <v>46614</v>
      </c>
      <c r="K800" s="1568" t="str">
        <f t="shared" si="12"/>
        <v>No</v>
      </c>
      <c r="L800" s="1565" t="s">
        <v>3052</v>
      </c>
    </row>
    <row r="801" spans="1:12" ht="20.100000000000001" customHeight="1">
      <c r="A801" s="1568" t="s">
        <v>3071</v>
      </c>
      <c r="B801" s="1567">
        <v>42963</v>
      </c>
      <c r="C801" s="1568" t="s">
        <v>3308</v>
      </c>
      <c r="D801" s="1568" t="s">
        <v>3004</v>
      </c>
      <c r="E801" s="1567">
        <v>42963</v>
      </c>
      <c r="F801" s="1566">
        <v>833</v>
      </c>
      <c r="G801" s="1566">
        <v>0</v>
      </c>
      <c r="H801" s="1567"/>
      <c r="I801" s="1567">
        <v>46614</v>
      </c>
      <c r="J801" s="1567">
        <v>46614</v>
      </c>
      <c r="K801" s="1568" t="str">
        <f t="shared" si="12"/>
        <v>No</v>
      </c>
      <c r="L801" s="1565"/>
    </row>
    <row r="802" spans="1:12" ht="20.100000000000001" customHeight="1">
      <c r="A802" s="1568" t="s">
        <v>3071</v>
      </c>
      <c r="B802" s="1567">
        <v>42963</v>
      </c>
      <c r="C802" s="1568" t="s">
        <v>3308</v>
      </c>
      <c r="D802" s="1568" t="s">
        <v>3004</v>
      </c>
      <c r="E802" s="1567">
        <v>42963</v>
      </c>
      <c r="F802" s="1566">
        <v>833</v>
      </c>
      <c r="G802" s="1566">
        <v>0</v>
      </c>
      <c r="H802" s="1567"/>
      <c r="I802" s="1567">
        <v>46614</v>
      </c>
      <c r="J802" s="1567">
        <v>46614</v>
      </c>
      <c r="K802" s="1568" t="str">
        <f t="shared" si="12"/>
        <v>No</v>
      </c>
      <c r="L802" s="1565"/>
    </row>
    <row r="803" spans="1:12" ht="20.100000000000001" customHeight="1">
      <c r="A803" s="1568" t="s">
        <v>3071</v>
      </c>
      <c r="B803" s="1567">
        <v>42963</v>
      </c>
      <c r="C803" s="1568" t="s">
        <v>3308</v>
      </c>
      <c r="D803" s="1568" t="s">
        <v>3004</v>
      </c>
      <c r="E803" s="1567">
        <v>42986</v>
      </c>
      <c r="F803" s="1566">
        <v>834</v>
      </c>
      <c r="G803" s="1566">
        <v>0</v>
      </c>
      <c r="H803" s="1567"/>
      <c r="I803" s="1567">
        <v>46614</v>
      </c>
      <c r="J803" s="1567">
        <v>46614</v>
      </c>
      <c r="K803" s="1568" t="str">
        <f t="shared" si="12"/>
        <v>No</v>
      </c>
      <c r="L803" s="1565"/>
    </row>
    <row r="804" spans="1:12" ht="20.100000000000001" customHeight="1">
      <c r="A804" s="1568" t="s">
        <v>3071</v>
      </c>
      <c r="B804" s="1567">
        <v>42963</v>
      </c>
      <c r="C804" s="1568" t="s">
        <v>3308</v>
      </c>
      <c r="D804" s="1568" t="s">
        <v>3004</v>
      </c>
      <c r="E804" s="1567">
        <v>43016</v>
      </c>
      <c r="F804" s="1566">
        <v>833</v>
      </c>
      <c r="G804" s="1566">
        <v>0</v>
      </c>
      <c r="H804" s="1567"/>
      <c r="I804" s="1567">
        <v>46614</v>
      </c>
      <c r="J804" s="1567">
        <v>46614</v>
      </c>
      <c r="K804" s="1568" t="str">
        <f t="shared" si="12"/>
        <v>No</v>
      </c>
      <c r="L804" s="1565"/>
    </row>
    <row r="805" spans="1:12" ht="20.100000000000001" customHeight="1">
      <c r="A805" s="1568" t="s">
        <v>3071</v>
      </c>
      <c r="B805" s="1567">
        <v>42963</v>
      </c>
      <c r="C805" s="1568" t="s">
        <v>3308</v>
      </c>
      <c r="D805" s="1568" t="s">
        <v>3004</v>
      </c>
      <c r="E805" s="1567">
        <v>43047</v>
      </c>
      <c r="F805" s="1566">
        <v>833</v>
      </c>
      <c r="G805" s="1566">
        <v>0</v>
      </c>
      <c r="H805" s="1567"/>
      <c r="I805" s="1567">
        <v>46614</v>
      </c>
      <c r="J805" s="1567">
        <v>46614</v>
      </c>
      <c r="K805" s="1568" t="str">
        <f t="shared" si="12"/>
        <v>No</v>
      </c>
      <c r="L805" s="1565"/>
    </row>
    <row r="806" spans="1:12" ht="20.100000000000001" customHeight="1">
      <c r="A806" s="1568" t="s">
        <v>3071</v>
      </c>
      <c r="B806" s="1567">
        <v>42963</v>
      </c>
      <c r="C806" s="1568" t="s">
        <v>3308</v>
      </c>
      <c r="D806" s="1568" t="s">
        <v>3004</v>
      </c>
      <c r="E806" s="1567">
        <v>43077</v>
      </c>
      <c r="F806" s="1566">
        <v>834</v>
      </c>
      <c r="G806" s="1566">
        <v>0</v>
      </c>
      <c r="H806" s="1567"/>
      <c r="I806" s="1567">
        <v>46614</v>
      </c>
      <c r="J806" s="1567">
        <v>46614</v>
      </c>
      <c r="K806" s="1568" t="str">
        <f t="shared" si="12"/>
        <v>No</v>
      </c>
      <c r="L806" s="1565"/>
    </row>
    <row r="807" spans="1:12" ht="20.100000000000001" customHeight="1">
      <c r="A807" s="1568" t="s">
        <v>3071</v>
      </c>
      <c r="B807" s="1567">
        <v>42963</v>
      </c>
      <c r="C807" s="1568" t="s">
        <v>3308</v>
      </c>
      <c r="D807" s="1568" t="s">
        <v>3004</v>
      </c>
      <c r="E807" s="1567">
        <v>43108</v>
      </c>
      <c r="F807" s="1566">
        <v>833</v>
      </c>
      <c r="G807" s="1566">
        <v>0</v>
      </c>
      <c r="H807" s="1567"/>
      <c r="I807" s="1567">
        <v>46614</v>
      </c>
      <c r="J807" s="1567">
        <v>46614</v>
      </c>
      <c r="K807" s="1568" t="str">
        <f t="shared" si="12"/>
        <v>No</v>
      </c>
      <c r="L807" s="1565"/>
    </row>
    <row r="808" spans="1:12" ht="20.100000000000001" customHeight="1">
      <c r="A808" s="1568" t="s">
        <v>3071</v>
      </c>
      <c r="B808" s="1567">
        <v>42963</v>
      </c>
      <c r="C808" s="1568" t="s">
        <v>3308</v>
      </c>
      <c r="D808" s="1568" t="s">
        <v>3004</v>
      </c>
      <c r="E808" s="1567">
        <v>43139</v>
      </c>
      <c r="F808" s="1566">
        <v>833</v>
      </c>
      <c r="G808" s="1566">
        <v>0</v>
      </c>
      <c r="H808" s="1567"/>
      <c r="I808" s="1567">
        <v>46614</v>
      </c>
      <c r="J808" s="1567">
        <v>46614</v>
      </c>
      <c r="K808" s="1568" t="str">
        <f t="shared" si="12"/>
        <v>No</v>
      </c>
      <c r="L808" s="1565"/>
    </row>
    <row r="809" spans="1:12" ht="20.100000000000001" customHeight="1">
      <c r="A809" s="1568" t="s">
        <v>3071</v>
      </c>
      <c r="B809" s="1567">
        <v>42963</v>
      </c>
      <c r="C809" s="1568" t="s">
        <v>3308</v>
      </c>
      <c r="D809" s="1568" t="s">
        <v>3004</v>
      </c>
      <c r="E809" s="1567">
        <v>43167</v>
      </c>
      <c r="F809" s="1566">
        <v>834</v>
      </c>
      <c r="G809" s="1566">
        <v>0</v>
      </c>
      <c r="H809" s="1567"/>
      <c r="I809" s="1567">
        <v>46614</v>
      </c>
      <c r="J809" s="1567">
        <v>46614</v>
      </c>
      <c r="K809" s="1568" t="str">
        <f t="shared" si="12"/>
        <v>No</v>
      </c>
      <c r="L809" s="1565"/>
    </row>
    <row r="810" spans="1:12" ht="20.100000000000001" customHeight="1">
      <c r="A810" s="1568" t="s">
        <v>3071</v>
      </c>
      <c r="B810" s="1567">
        <v>42963</v>
      </c>
      <c r="C810" s="1568" t="s">
        <v>3308</v>
      </c>
      <c r="D810" s="1568" t="s">
        <v>3004</v>
      </c>
      <c r="E810" s="1567">
        <v>43198</v>
      </c>
      <c r="F810" s="1566">
        <v>833</v>
      </c>
      <c r="G810" s="1566">
        <v>0</v>
      </c>
      <c r="H810" s="1567"/>
      <c r="I810" s="1567">
        <v>46614</v>
      </c>
      <c r="J810" s="1567">
        <v>46614</v>
      </c>
      <c r="K810" s="1568" t="str">
        <f t="shared" si="12"/>
        <v>No</v>
      </c>
      <c r="L810" s="1565"/>
    </row>
    <row r="811" spans="1:12" ht="20.100000000000001" customHeight="1">
      <c r="A811" s="1568" t="s">
        <v>3071</v>
      </c>
      <c r="B811" s="1567">
        <v>42963</v>
      </c>
      <c r="C811" s="1568" t="s">
        <v>3308</v>
      </c>
      <c r="D811" s="1568" t="s">
        <v>3004</v>
      </c>
      <c r="E811" s="1567">
        <v>43228</v>
      </c>
      <c r="F811" s="1566">
        <v>833</v>
      </c>
      <c r="G811" s="1566">
        <v>0</v>
      </c>
      <c r="H811" s="1567"/>
      <c r="I811" s="1567">
        <v>46614</v>
      </c>
      <c r="J811" s="1567">
        <v>46614</v>
      </c>
      <c r="K811" s="1568" t="str">
        <f t="shared" si="12"/>
        <v>No</v>
      </c>
      <c r="L811" s="1565"/>
    </row>
    <row r="812" spans="1:12" ht="20.100000000000001" customHeight="1">
      <c r="A812" s="1568" t="s">
        <v>3071</v>
      </c>
      <c r="B812" s="1567">
        <v>42963</v>
      </c>
      <c r="C812" s="1568" t="s">
        <v>3308</v>
      </c>
      <c r="D812" s="1568" t="s">
        <v>3004</v>
      </c>
      <c r="E812" s="1567">
        <v>43259</v>
      </c>
      <c r="F812" s="1566">
        <v>834</v>
      </c>
      <c r="G812" s="1566">
        <v>0</v>
      </c>
      <c r="H812" s="1567"/>
      <c r="I812" s="1567">
        <v>46614</v>
      </c>
      <c r="J812" s="1567">
        <v>46614</v>
      </c>
      <c r="K812" s="1568" t="str">
        <f t="shared" si="12"/>
        <v>No</v>
      </c>
      <c r="L812" s="1565"/>
    </row>
    <row r="813" spans="1:12" ht="20.100000000000001" customHeight="1">
      <c r="A813" s="1568" t="s">
        <v>3071</v>
      </c>
      <c r="B813" s="1567">
        <v>42963</v>
      </c>
      <c r="C813" s="1568" t="s">
        <v>3308</v>
      </c>
      <c r="D813" s="1568" t="s">
        <v>3004</v>
      </c>
      <c r="E813" s="1567">
        <v>43289</v>
      </c>
      <c r="F813" s="1566">
        <v>833</v>
      </c>
      <c r="G813" s="1566">
        <v>0</v>
      </c>
      <c r="H813" s="1567"/>
      <c r="I813" s="1567">
        <v>46614</v>
      </c>
      <c r="J813" s="1567">
        <v>46614</v>
      </c>
      <c r="K813" s="1568" t="str">
        <f t="shared" si="12"/>
        <v>No</v>
      </c>
      <c r="L813" s="1565"/>
    </row>
    <row r="814" spans="1:12" ht="20.100000000000001" customHeight="1">
      <c r="A814" s="1568" t="s">
        <v>3071</v>
      </c>
      <c r="B814" s="1567">
        <v>42963</v>
      </c>
      <c r="C814" s="1568" t="s">
        <v>3308</v>
      </c>
      <c r="D814" s="1568" t="s">
        <v>3004</v>
      </c>
      <c r="E814" s="1567">
        <v>43320</v>
      </c>
      <c r="F814" s="1566">
        <v>833</v>
      </c>
      <c r="G814" s="1566">
        <v>0</v>
      </c>
      <c r="H814" s="1567"/>
      <c r="I814" s="1567">
        <v>46614</v>
      </c>
      <c r="J814" s="1567">
        <v>46614</v>
      </c>
      <c r="K814" s="1568" t="str">
        <f t="shared" si="12"/>
        <v>No</v>
      </c>
      <c r="L814" s="1565"/>
    </row>
    <row r="815" spans="1:12" ht="20.100000000000001" customHeight="1">
      <c r="A815" s="1568" t="s">
        <v>3071</v>
      </c>
      <c r="B815" s="1567">
        <v>42963</v>
      </c>
      <c r="C815" s="1568" t="s">
        <v>3308</v>
      </c>
      <c r="D815" s="1568" t="s">
        <v>3004</v>
      </c>
      <c r="E815" s="1567">
        <v>43351</v>
      </c>
      <c r="F815" s="1566">
        <v>834</v>
      </c>
      <c r="G815" s="1566">
        <v>0</v>
      </c>
      <c r="H815" s="1567"/>
      <c r="I815" s="1567">
        <v>46614</v>
      </c>
      <c r="J815" s="1567">
        <v>46614</v>
      </c>
      <c r="K815" s="1568" t="str">
        <f t="shared" si="12"/>
        <v>No</v>
      </c>
      <c r="L815" s="1565"/>
    </row>
    <row r="816" spans="1:12" ht="20.100000000000001" customHeight="1">
      <c r="A816" s="1568" t="s">
        <v>3071</v>
      </c>
      <c r="B816" s="1567">
        <v>42963</v>
      </c>
      <c r="C816" s="1568" t="s">
        <v>3308</v>
      </c>
      <c r="D816" s="1568" t="s">
        <v>3004</v>
      </c>
      <c r="E816" s="1567">
        <v>43381</v>
      </c>
      <c r="F816" s="1566">
        <v>833</v>
      </c>
      <c r="G816" s="1566">
        <v>0</v>
      </c>
      <c r="H816" s="1567"/>
      <c r="I816" s="1567">
        <v>46614</v>
      </c>
      <c r="J816" s="1567">
        <v>46614</v>
      </c>
      <c r="K816" s="1568" t="str">
        <f t="shared" si="12"/>
        <v>No</v>
      </c>
      <c r="L816" s="1565"/>
    </row>
    <row r="817" spans="1:12" ht="20.100000000000001" customHeight="1">
      <c r="A817" s="1568" t="s">
        <v>3071</v>
      </c>
      <c r="B817" s="1567">
        <v>42963</v>
      </c>
      <c r="C817" s="1568" t="s">
        <v>3308</v>
      </c>
      <c r="D817" s="1568" t="s">
        <v>3004</v>
      </c>
      <c r="E817" s="1567">
        <v>43412</v>
      </c>
      <c r="F817" s="1566">
        <v>833</v>
      </c>
      <c r="G817" s="1566">
        <v>0</v>
      </c>
      <c r="H817" s="1567"/>
      <c r="I817" s="1567">
        <v>46614</v>
      </c>
      <c r="J817" s="1567">
        <v>46614</v>
      </c>
      <c r="K817" s="1568" t="str">
        <f t="shared" si="12"/>
        <v>No</v>
      </c>
      <c r="L817" s="1565"/>
    </row>
    <row r="818" spans="1:12" ht="20.100000000000001" customHeight="1">
      <c r="A818" s="1568" t="s">
        <v>3071</v>
      </c>
      <c r="B818" s="1567">
        <v>42963</v>
      </c>
      <c r="C818" s="1568" t="s">
        <v>3308</v>
      </c>
      <c r="D818" s="1568" t="s">
        <v>3004</v>
      </c>
      <c r="E818" s="1567">
        <v>43442</v>
      </c>
      <c r="F818" s="1566">
        <v>834</v>
      </c>
      <c r="G818" s="1566">
        <v>0</v>
      </c>
      <c r="H818" s="1567"/>
      <c r="I818" s="1567">
        <v>46614</v>
      </c>
      <c r="J818" s="1567">
        <v>46614</v>
      </c>
      <c r="K818" s="1568" t="str">
        <f t="shared" si="12"/>
        <v>No</v>
      </c>
      <c r="L818" s="1565"/>
    </row>
    <row r="819" spans="1:12" ht="20.100000000000001" customHeight="1">
      <c r="A819" s="1568" t="s">
        <v>3071</v>
      </c>
      <c r="B819" s="1567">
        <v>42963</v>
      </c>
      <c r="C819" s="1568" t="s">
        <v>3308</v>
      </c>
      <c r="D819" s="1568" t="s">
        <v>3004</v>
      </c>
      <c r="E819" s="1567">
        <v>43473</v>
      </c>
      <c r="F819" s="1566">
        <v>833</v>
      </c>
      <c r="G819" s="1566">
        <v>0</v>
      </c>
      <c r="H819" s="1567"/>
      <c r="I819" s="1567">
        <v>46614</v>
      </c>
      <c r="J819" s="1567">
        <v>46614</v>
      </c>
      <c r="K819" s="1568" t="str">
        <f t="shared" si="12"/>
        <v>No</v>
      </c>
      <c r="L819" s="1565"/>
    </row>
    <row r="820" spans="1:12" ht="20.100000000000001" customHeight="1">
      <c r="A820" s="1568" t="s">
        <v>3071</v>
      </c>
      <c r="B820" s="1567">
        <v>42963</v>
      </c>
      <c r="C820" s="1568" t="s">
        <v>3308</v>
      </c>
      <c r="D820" s="1568" t="s">
        <v>3004</v>
      </c>
      <c r="E820" s="1567">
        <v>43504</v>
      </c>
      <c r="F820" s="1566">
        <v>833</v>
      </c>
      <c r="G820" s="1566">
        <v>0</v>
      </c>
      <c r="H820" s="1567"/>
      <c r="I820" s="1567">
        <v>46614</v>
      </c>
      <c r="J820" s="1567">
        <v>46614</v>
      </c>
      <c r="K820" s="1568" t="str">
        <f t="shared" si="12"/>
        <v>No</v>
      </c>
      <c r="L820" s="1565"/>
    </row>
    <row r="821" spans="1:12" ht="20.100000000000001" customHeight="1">
      <c r="A821" s="1568" t="s">
        <v>3071</v>
      </c>
      <c r="B821" s="1567">
        <v>42963</v>
      </c>
      <c r="C821" s="1568" t="s">
        <v>3308</v>
      </c>
      <c r="D821" s="1568" t="s">
        <v>3004</v>
      </c>
      <c r="E821" s="1567">
        <v>43532</v>
      </c>
      <c r="F821" s="1566">
        <v>834</v>
      </c>
      <c r="G821" s="1566">
        <v>0</v>
      </c>
      <c r="H821" s="1567"/>
      <c r="I821" s="1567">
        <v>46614</v>
      </c>
      <c r="J821" s="1567">
        <v>46614</v>
      </c>
      <c r="K821" s="1568" t="str">
        <f t="shared" si="12"/>
        <v>No</v>
      </c>
      <c r="L821" s="1565"/>
    </row>
    <row r="822" spans="1:12" ht="20.100000000000001" customHeight="1">
      <c r="A822" s="1568" t="s">
        <v>3071</v>
      </c>
      <c r="B822" s="1567">
        <v>42963</v>
      </c>
      <c r="C822" s="1568" t="s">
        <v>3308</v>
      </c>
      <c r="D822" s="1568" t="s">
        <v>3004</v>
      </c>
      <c r="E822" s="1567">
        <v>43563</v>
      </c>
      <c r="F822" s="1566">
        <v>833</v>
      </c>
      <c r="G822" s="1566">
        <v>0</v>
      </c>
      <c r="H822" s="1567"/>
      <c r="I822" s="1567">
        <v>46614</v>
      </c>
      <c r="J822" s="1567">
        <v>46614</v>
      </c>
      <c r="K822" s="1568" t="str">
        <f t="shared" si="12"/>
        <v>No</v>
      </c>
      <c r="L822" s="1565"/>
    </row>
    <row r="823" spans="1:12" ht="20.100000000000001" customHeight="1">
      <c r="A823" s="1568" t="s">
        <v>3071</v>
      </c>
      <c r="B823" s="1567">
        <v>42963</v>
      </c>
      <c r="C823" s="1568" t="s">
        <v>3308</v>
      </c>
      <c r="D823" s="1568" t="s">
        <v>3004</v>
      </c>
      <c r="E823" s="1567">
        <v>43593</v>
      </c>
      <c r="F823" s="1566">
        <v>833</v>
      </c>
      <c r="G823" s="1566">
        <v>0</v>
      </c>
      <c r="H823" s="1567"/>
      <c r="I823" s="1567">
        <v>46614</v>
      </c>
      <c r="J823" s="1567">
        <v>46614</v>
      </c>
      <c r="K823" s="1568" t="str">
        <f t="shared" si="12"/>
        <v>No</v>
      </c>
      <c r="L823" s="1565"/>
    </row>
    <row r="824" spans="1:12" ht="20.100000000000001" customHeight="1">
      <c r="A824" s="1568" t="s">
        <v>3071</v>
      </c>
      <c r="B824" s="1567">
        <v>42963</v>
      </c>
      <c r="C824" s="1568" t="s">
        <v>3308</v>
      </c>
      <c r="D824" s="1568" t="s">
        <v>3004</v>
      </c>
      <c r="E824" s="1567">
        <v>43624</v>
      </c>
      <c r="F824" s="1566">
        <v>834</v>
      </c>
      <c r="G824" s="1566">
        <v>0</v>
      </c>
      <c r="H824" s="1567"/>
      <c r="I824" s="1567">
        <v>46614</v>
      </c>
      <c r="J824" s="1567">
        <v>46614</v>
      </c>
      <c r="K824" s="1568" t="str">
        <f t="shared" si="12"/>
        <v>No</v>
      </c>
      <c r="L824" s="1565"/>
    </row>
    <row r="825" spans="1:12" ht="20.100000000000001" customHeight="1">
      <c r="A825" s="1568" t="s">
        <v>3071</v>
      </c>
      <c r="B825" s="1567">
        <v>42963</v>
      </c>
      <c r="C825" s="1568" t="s">
        <v>3308</v>
      </c>
      <c r="D825" s="1568" t="s">
        <v>3004</v>
      </c>
      <c r="E825" s="1567">
        <v>43654</v>
      </c>
      <c r="F825" s="1566">
        <v>833</v>
      </c>
      <c r="G825" s="1566">
        <v>0</v>
      </c>
      <c r="H825" s="1567"/>
      <c r="I825" s="1567">
        <v>46614</v>
      </c>
      <c r="J825" s="1567">
        <v>46614</v>
      </c>
      <c r="K825" s="1568" t="str">
        <f t="shared" si="12"/>
        <v>No</v>
      </c>
      <c r="L825" s="1565"/>
    </row>
    <row r="826" spans="1:12" ht="20.100000000000001" customHeight="1">
      <c r="A826" s="1568" t="s">
        <v>3071</v>
      </c>
      <c r="B826" s="1567">
        <v>42963</v>
      </c>
      <c r="C826" s="1568" t="s">
        <v>3308</v>
      </c>
      <c r="D826" s="1568" t="s">
        <v>3004</v>
      </c>
      <c r="E826" s="1567">
        <v>43685</v>
      </c>
      <c r="F826" s="1566">
        <v>833</v>
      </c>
      <c r="G826" s="1566">
        <v>0</v>
      </c>
      <c r="H826" s="1567"/>
      <c r="I826" s="1567">
        <v>46614</v>
      </c>
      <c r="J826" s="1567">
        <v>46614</v>
      </c>
      <c r="K826" s="1568" t="str">
        <f t="shared" si="12"/>
        <v>No</v>
      </c>
      <c r="L826" s="1565"/>
    </row>
    <row r="827" spans="1:12" ht="20.100000000000001" customHeight="1">
      <c r="A827" s="1568" t="s">
        <v>3071</v>
      </c>
      <c r="B827" s="1567">
        <v>42963</v>
      </c>
      <c r="C827" s="1568" t="s">
        <v>3308</v>
      </c>
      <c r="D827" s="1568" t="s">
        <v>3004</v>
      </c>
      <c r="E827" s="1567">
        <v>43716</v>
      </c>
      <c r="F827" s="1566">
        <v>834</v>
      </c>
      <c r="G827" s="1566">
        <v>0</v>
      </c>
      <c r="H827" s="1567"/>
      <c r="I827" s="1567">
        <v>46614</v>
      </c>
      <c r="J827" s="1567">
        <v>46614</v>
      </c>
      <c r="K827" s="1568" t="str">
        <f t="shared" si="12"/>
        <v>No</v>
      </c>
      <c r="L827" s="1565"/>
    </row>
    <row r="828" spans="1:12" ht="20.100000000000001" customHeight="1">
      <c r="A828" s="1568" t="s">
        <v>3071</v>
      </c>
      <c r="B828" s="1567">
        <v>42963</v>
      </c>
      <c r="C828" s="1568" t="s">
        <v>3308</v>
      </c>
      <c r="D828" s="1568" t="s">
        <v>3004</v>
      </c>
      <c r="E828" s="1567">
        <v>43746</v>
      </c>
      <c r="F828" s="1566">
        <v>833</v>
      </c>
      <c r="G828" s="1566">
        <v>0</v>
      </c>
      <c r="H828" s="1567"/>
      <c r="I828" s="1567">
        <v>46614</v>
      </c>
      <c r="J828" s="1567">
        <v>46614</v>
      </c>
      <c r="K828" s="1568" t="str">
        <f t="shared" si="12"/>
        <v>No</v>
      </c>
      <c r="L828" s="1565"/>
    </row>
    <row r="829" spans="1:12" ht="20.100000000000001" customHeight="1">
      <c r="A829" s="1568" t="s">
        <v>3071</v>
      </c>
      <c r="B829" s="1567">
        <v>42963</v>
      </c>
      <c r="C829" s="1568" t="s">
        <v>3308</v>
      </c>
      <c r="D829" s="1568" t="s">
        <v>3004</v>
      </c>
      <c r="E829" s="1567">
        <v>43777</v>
      </c>
      <c r="F829" s="1566">
        <v>833</v>
      </c>
      <c r="G829" s="1566">
        <v>0</v>
      </c>
      <c r="H829" s="1567"/>
      <c r="I829" s="1567">
        <v>46614</v>
      </c>
      <c r="J829" s="1567">
        <v>46614</v>
      </c>
      <c r="K829" s="1568" t="str">
        <f t="shared" si="12"/>
        <v>No</v>
      </c>
      <c r="L829" s="1565"/>
    </row>
    <row r="830" spans="1:12" ht="20.100000000000001" customHeight="1">
      <c r="A830" s="1568" t="s">
        <v>3071</v>
      </c>
      <c r="B830" s="1567">
        <v>42963</v>
      </c>
      <c r="C830" s="1568" t="s">
        <v>3308</v>
      </c>
      <c r="D830" s="1568" t="s">
        <v>3004</v>
      </c>
      <c r="E830" s="1567">
        <v>43807</v>
      </c>
      <c r="F830" s="1566">
        <v>834</v>
      </c>
      <c r="G830" s="1566">
        <v>0</v>
      </c>
      <c r="H830" s="1567"/>
      <c r="I830" s="1567">
        <v>46614</v>
      </c>
      <c r="J830" s="1567">
        <v>46614</v>
      </c>
      <c r="K830" s="1568" t="str">
        <f t="shared" si="12"/>
        <v>No</v>
      </c>
      <c r="L830" s="1565"/>
    </row>
    <row r="831" spans="1:12" ht="20.100000000000001" customHeight="1">
      <c r="A831" s="1568" t="s">
        <v>3071</v>
      </c>
      <c r="B831" s="1567">
        <v>42963</v>
      </c>
      <c r="C831" s="1568" t="s">
        <v>3308</v>
      </c>
      <c r="D831" s="1568" t="s">
        <v>3004</v>
      </c>
      <c r="E831" s="1567">
        <v>43838</v>
      </c>
      <c r="F831" s="1566">
        <v>833</v>
      </c>
      <c r="G831" s="1566">
        <v>0</v>
      </c>
      <c r="H831" s="1567"/>
      <c r="I831" s="1567">
        <v>46614</v>
      </c>
      <c r="J831" s="1567">
        <v>46614</v>
      </c>
      <c r="K831" s="1568" t="str">
        <f t="shared" si="12"/>
        <v>No</v>
      </c>
      <c r="L831" s="1565"/>
    </row>
    <row r="832" spans="1:12" ht="20.100000000000001" customHeight="1">
      <c r="A832" s="1568" t="s">
        <v>3071</v>
      </c>
      <c r="B832" s="1567">
        <v>42963</v>
      </c>
      <c r="C832" s="1568" t="s">
        <v>3308</v>
      </c>
      <c r="D832" s="1568" t="s">
        <v>3004</v>
      </c>
      <c r="E832" s="1567">
        <v>43869</v>
      </c>
      <c r="F832" s="1566">
        <v>833</v>
      </c>
      <c r="G832" s="1566">
        <v>0</v>
      </c>
      <c r="H832" s="1567"/>
      <c r="I832" s="1567">
        <v>46614</v>
      </c>
      <c r="J832" s="1567">
        <v>46614</v>
      </c>
      <c r="K832" s="1568" t="str">
        <f t="shared" si="12"/>
        <v>No</v>
      </c>
      <c r="L832" s="1565"/>
    </row>
    <row r="833" spans="1:12" ht="20.100000000000001" customHeight="1">
      <c r="A833" s="1568" t="s">
        <v>3071</v>
      </c>
      <c r="B833" s="1567">
        <v>42963</v>
      </c>
      <c r="C833" s="1568" t="s">
        <v>3308</v>
      </c>
      <c r="D833" s="1568" t="s">
        <v>3004</v>
      </c>
      <c r="E833" s="1567">
        <v>43898</v>
      </c>
      <c r="F833" s="1566">
        <v>834</v>
      </c>
      <c r="G833" s="1566">
        <v>0</v>
      </c>
      <c r="H833" s="1567"/>
      <c r="I833" s="1567">
        <v>46614</v>
      </c>
      <c r="J833" s="1567">
        <v>46614</v>
      </c>
      <c r="K833" s="1568" t="str">
        <f t="shared" si="12"/>
        <v>No</v>
      </c>
      <c r="L833" s="1565"/>
    </row>
    <row r="834" spans="1:12" ht="20.100000000000001" customHeight="1">
      <c r="A834" s="1568" t="s">
        <v>3071</v>
      </c>
      <c r="B834" s="1567">
        <v>42963</v>
      </c>
      <c r="C834" s="1568" t="s">
        <v>3308</v>
      </c>
      <c r="D834" s="1568" t="s">
        <v>3004</v>
      </c>
      <c r="E834" s="1567">
        <v>43929</v>
      </c>
      <c r="F834" s="1566">
        <v>833</v>
      </c>
      <c r="G834" s="1566">
        <v>0</v>
      </c>
      <c r="H834" s="1567"/>
      <c r="I834" s="1567">
        <v>46614</v>
      </c>
      <c r="J834" s="1567">
        <v>46614</v>
      </c>
      <c r="K834" s="1568" t="str">
        <f t="shared" si="12"/>
        <v>No</v>
      </c>
      <c r="L834" s="1565"/>
    </row>
    <row r="835" spans="1:12" ht="20.100000000000001" customHeight="1">
      <c r="A835" s="1568" t="s">
        <v>3071</v>
      </c>
      <c r="B835" s="1567">
        <v>42963</v>
      </c>
      <c r="C835" s="1568" t="s">
        <v>3308</v>
      </c>
      <c r="D835" s="1568" t="s">
        <v>3004</v>
      </c>
      <c r="E835" s="1567">
        <v>43959</v>
      </c>
      <c r="F835" s="1566">
        <v>833</v>
      </c>
      <c r="G835" s="1566">
        <v>0</v>
      </c>
      <c r="H835" s="1567"/>
      <c r="I835" s="1567">
        <v>46614</v>
      </c>
      <c r="J835" s="1567">
        <v>46614</v>
      </c>
      <c r="K835" s="1568" t="str">
        <f t="shared" si="12"/>
        <v>No</v>
      </c>
      <c r="L835" s="1565"/>
    </row>
    <row r="836" spans="1:12" ht="20.100000000000001" customHeight="1">
      <c r="A836" s="1568" t="s">
        <v>3071</v>
      </c>
      <c r="B836" s="1567">
        <v>42963</v>
      </c>
      <c r="C836" s="1568" t="s">
        <v>3308</v>
      </c>
      <c r="D836" s="1568" t="s">
        <v>3004</v>
      </c>
      <c r="E836" s="1567">
        <v>43990</v>
      </c>
      <c r="F836" s="1566">
        <v>834</v>
      </c>
      <c r="G836" s="1566">
        <v>0</v>
      </c>
      <c r="H836" s="1567"/>
      <c r="I836" s="1567">
        <v>46614</v>
      </c>
      <c r="J836" s="1567">
        <v>46614</v>
      </c>
      <c r="K836" s="1568" t="str">
        <f t="shared" si="12"/>
        <v>No</v>
      </c>
      <c r="L836" s="1565"/>
    </row>
    <row r="837" spans="1:12" ht="20.100000000000001" customHeight="1">
      <c r="A837" s="1568" t="s">
        <v>3071</v>
      </c>
      <c r="B837" s="1567">
        <v>42963</v>
      </c>
      <c r="C837" s="1568" t="s">
        <v>3308</v>
      </c>
      <c r="D837" s="1568" t="s">
        <v>3004</v>
      </c>
      <c r="E837" s="1567">
        <v>44020</v>
      </c>
      <c r="F837" s="1566">
        <v>833</v>
      </c>
      <c r="G837" s="1566">
        <v>0</v>
      </c>
      <c r="H837" s="1567"/>
      <c r="I837" s="1567">
        <v>46614</v>
      </c>
      <c r="J837" s="1567">
        <v>46614</v>
      </c>
      <c r="K837" s="1568" t="str">
        <f t="shared" ref="K837:K900" si="13">IF(I837="N/A","No",IF(E837&lt;=I837,"No","Yes"))</f>
        <v>No</v>
      </c>
      <c r="L837" s="1565"/>
    </row>
    <row r="838" spans="1:12" ht="20.100000000000001" customHeight="1">
      <c r="A838" s="1568" t="s">
        <v>3071</v>
      </c>
      <c r="B838" s="1567">
        <v>42963</v>
      </c>
      <c r="C838" s="1568" t="s">
        <v>3308</v>
      </c>
      <c r="D838" s="1568" t="s">
        <v>3004</v>
      </c>
      <c r="E838" s="1567">
        <v>44051</v>
      </c>
      <c r="F838" s="1566">
        <v>833</v>
      </c>
      <c r="G838" s="1566">
        <v>0</v>
      </c>
      <c r="H838" s="1567"/>
      <c r="I838" s="1567">
        <v>46614</v>
      </c>
      <c r="J838" s="1567">
        <v>46614</v>
      </c>
      <c r="K838" s="1568" t="str">
        <f t="shared" si="13"/>
        <v>No</v>
      </c>
      <c r="L838" s="1565"/>
    </row>
    <row r="839" spans="1:12" ht="20.100000000000001" customHeight="1">
      <c r="A839" s="1568" t="s">
        <v>3071</v>
      </c>
      <c r="B839" s="1567">
        <v>42963</v>
      </c>
      <c r="C839" s="1568" t="s">
        <v>3308</v>
      </c>
      <c r="D839" s="1568" t="s">
        <v>3004</v>
      </c>
      <c r="E839" s="1567">
        <v>44082</v>
      </c>
      <c r="F839" s="1566">
        <v>834</v>
      </c>
      <c r="G839" s="1566">
        <v>0</v>
      </c>
      <c r="H839" s="1567"/>
      <c r="I839" s="1567">
        <v>46614</v>
      </c>
      <c r="J839" s="1567">
        <v>46614</v>
      </c>
      <c r="K839" s="1568" t="str">
        <f t="shared" si="13"/>
        <v>No</v>
      </c>
      <c r="L839" s="1565"/>
    </row>
    <row r="840" spans="1:12" ht="20.100000000000001" customHeight="1">
      <c r="A840" s="1568" t="s">
        <v>3071</v>
      </c>
      <c r="B840" s="1567">
        <v>42963</v>
      </c>
      <c r="C840" s="1568" t="s">
        <v>3308</v>
      </c>
      <c r="D840" s="1568" t="s">
        <v>3004</v>
      </c>
      <c r="E840" s="1567">
        <v>44112</v>
      </c>
      <c r="F840" s="1566">
        <v>833</v>
      </c>
      <c r="G840" s="1566">
        <v>0</v>
      </c>
      <c r="H840" s="1567"/>
      <c r="I840" s="1567">
        <v>46614</v>
      </c>
      <c r="J840" s="1567">
        <v>46614</v>
      </c>
      <c r="K840" s="1568" t="str">
        <f t="shared" si="13"/>
        <v>No</v>
      </c>
      <c r="L840" s="1565"/>
    </row>
    <row r="841" spans="1:12" ht="20.100000000000001" customHeight="1">
      <c r="A841" s="1568" t="s">
        <v>3071</v>
      </c>
      <c r="B841" s="1567">
        <v>42963</v>
      </c>
      <c r="C841" s="1568" t="s">
        <v>3308</v>
      </c>
      <c r="D841" s="1568" t="s">
        <v>3004</v>
      </c>
      <c r="E841" s="1567">
        <v>44143</v>
      </c>
      <c r="F841" s="1566">
        <v>833</v>
      </c>
      <c r="G841" s="1566">
        <v>0</v>
      </c>
      <c r="H841" s="1567"/>
      <c r="I841" s="1567">
        <v>46614</v>
      </c>
      <c r="J841" s="1567">
        <v>46614</v>
      </c>
      <c r="K841" s="1568" t="str">
        <f t="shared" si="13"/>
        <v>No</v>
      </c>
      <c r="L841" s="1565"/>
    </row>
    <row r="842" spans="1:12" ht="20.100000000000001" customHeight="1">
      <c r="A842" s="1568" t="s">
        <v>3071</v>
      </c>
      <c r="B842" s="1567">
        <v>42963</v>
      </c>
      <c r="C842" s="1568" t="s">
        <v>3308</v>
      </c>
      <c r="D842" s="1568" t="s">
        <v>3004</v>
      </c>
      <c r="E842" s="1567">
        <v>44173</v>
      </c>
      <c r="F842" s="1566">
        <v>834</v>
      </c>
      <c r="G842" s="1566">
        <v>0</v>
      </c>
      <c r="H842" s="1567"/>
      <c r="I842" s="1567">
        <v>46614</v>
      </c>
      <c r="J842" s="1567">
        <v>46614</v>
      </c>
      <c r="K842" s="1568" t="str">
        <f t="shared" si="13"/>
        <v>No</v>
      </c>
      <c r="L842" s="1565"/>
    </row>
    <row r="843" spans="1:12" ht="20.100000000000001" customHeight="1">
      <c r="A843" s="1568" t="s">
        <v>3071</v>
      </c>
      <c r="B843" s="1567">
        <v>42963</v>
      </c>
      <c r="C843" s="1568" t="s">
        <v>3308</v>
      </c>
      <c r="D843" s="1568" t="s">
        <v>3004</v>
      </c>
      <c r="E843" s="1567">
        <v>44204</v>
      </c>
      <c r="F843" s="1566">
        <v>833</v>
      </c>
      <c r="G843" s="1566">
        <v>0</v>
      </c>
      <c r="H843" s="1567"/>
      <c r="I843" s="1567">
        <v>46614</v>
      </c>
      <c r="J843" s="1567">
        <v>46614</v>
      </c>
      <c r="K843" s="1568" t="str">
        <f t="shared" si="13"/>
        <v>No</v>
      </c>
      <c r="L843" s="1565"/>
    </row>
    <row r="844" spans="1:12" ht="20.100000000000001" customHeight="1">
      <c r="A844" s="1568" t="s">
        <v>3071</v>
      </c>
      <c r="B844" s="1567">
        <v>42963</v>
      </c>
      <c r="C844" s="1568" t="s">
        <v>3308</v>
      </c>
      <c r="D844" s="1568" t="s">
        <v>3004</v>
      </c>
      <c r="E844" s="1567">
        <v>44235</v>
      </c>
      <c r="F844" s="1566">
        <v>833</v>
      </c>
      <c r="G844" s="1566">
        <v>0</v>
      </c>
      <c r="H844" s="1567"/>
      <c r="I844" s="1567">
        <v>46614</v>
      </c>
      <c r="J844" s="1567">
        <v>46614</v>
      </c>
      <c r="K844" s="1568" t="str">
        <f t="shared" si="13"/>
        <v>No</v>
      </c>
      <c r="L844" s="1565"/>
    </row>
    <row r="845" spans="1:12" ht="20.100000000000001" customHeight="1">
      <c r="A845" s="1568" t="s">
        <v>3071</v>
      </c>
      <c r="B845" s="1567">
        <v>42963</v>
      </c>
      <c r="C845" s="1568" t="s">
        <v>3308</v>
      </c>
      <c r="D845" s="1568" t="s">
        <v>3004</v>
      </c>
      <c r="E845" s="1567">
        <v>44263</v>
      </c>
      <c r="F845" s="1566">
        <v>834</v>
      </c>
      <c r="G845" s="1566">
        <v>0</v>
      </c>
      <c r="H845" s="1567"/>
      <c r="I845" s="1567">
        <v>46614</v>
      </c>
      <c r="J845" s="1567">
        <v>46614</v>
      </c>
      <c r="K845" s="1568" t="str">
        <f t="shared" si="13"/>
        <v>No</v>
      </c>
      <c r="L845" s="1565"/>
    </row>
    <row r="846" spans="1:12" ht="20.100000000000001" customHeight="1">
      <c r="A846" s="1568" t="s">
        <v>3071</v>
      </c>
      <c r="B846" s="1567">
        <v>42963</v>
      </c>
      <c r="C846" s="1568" t="s">
        <v>3308</v>
      </c>
      <c r="D846" s="1568" t="s">
        <v>3004</v>
      </c>
      <c r="E846" s="1567">
        <v>44294</v>
      </c>
      <c r="F846" s="1566">
        <v>833</v>
      </c>
      <c r="G846" s="1566">
        <v>0</v>
      </c>
      <c r="H846" s="1567"/>
      <c r="I846" s="1567">
        <v>46614</v>
      </c>
      <c r="J846" s="1567">
        <v>46614</v>
      </c>
      <c r="K846" s="1568" t="str">
        <f t="shared" si="13"/>
        <v>No</v>
      </c>
      <c r="L846" s="1565"/>
    </row>
    <row r="847" spans="1:12" ht="20.100000000000001" customHeight="1">
      <c r="A847" s="1568" t="s">
        <v>3071</v>
      </c>
      <c r="B847" s="1567">
        <v>42963</v>
      </c>
      <c r="C847" s="1568" t="s">
        <v>3308</v>
      </c>
      <c r="D847" s="1568" t="s">
        <v>3004</v>
      </c>
      <c r="E847" s="1567">
        <v>44324</v>
      </c>
      <c r="F847" s="1566">
        <v>833</v>
      </c>
      <c r="G847" s="1566">
        <v>0</v>
      </c>
      <c r="H847" s="1567"/>
      <c r="I847" s="1567">
        <v>46614</v>
      </c>
      <c r="J847" s="1567">
        <v>46614</v>
      </c>
      <c r="K847" s="1568" t="str">
        <f t="shared" si="13"/>
        <v>No</v>
      </c>
      <c r="L847" s="1565"/>
    </row>
    <row r="848" spans="1:12" ht="20.100000000000001" customHeight="1">
      <c r="A848" s="1568" t="s">
        <v>3071</v>
      </c>
      <c r="B848" s="1567">
        <v>42963</v>
      </c>
      <c r="C848" s="1568" t="s">
        <v>3308</v>
      </c>
      <c r="D848" s="1568" t="s">
        <v>3004</v>
      </c>
      <c r="E848" s="1567">
        <v>44355</v>
      </c>
      <c r="F848" s="1566">
        <v>834</v>
      </c>
      <c r="G848" s="1566">
        <v>0</v>
      </c>
      <c r="H848" s="1567"/>
      <c r="I848" s="1567">
        <v>46614</v>
      </c>
      <c r="J848" s="1567">
        <v>46614</v>
      </c>
      <c r="K848" s="1568" t="str">
        <f t="shared" si="13"/>
        <v>No</v>
      </c>
      <c r="L848" s="1565"/>
    </row>
    <row r="849" spans="1:12" ht="20.100000000000001" customHeight="1">
      <c r="A849" s="1568" t="s">
        <v>3070</v>
      </c>
      <c r="B849" s="1567">
        <v>42963</v>
      </c>
      <c r="C849" s="1568" t="s">
        <v>3308</v>
      </c>
      <c r="D849" s="1568" t="s">
        <v>2964</v>
      </c>
      <c r="E849" s="1567">
        <v>43266</v>
      </c>
      <c r="F849" s="1566">
        <v>100</v>
      </c>
      <c r="G849" s="1566">
        <v>100</v>
      </c>
      <c r="H849" s="1567">
        <v>43331</v>
      </c>
      <c r="I849" s="1567">
        <v>46614</v>
      </c>
      <c r="J849" s="1567">
        <v>46614</v>
      </c>
      <c r="K849" s="1568" t="str">
        <f t="shared" si="13"/>
        <v>No</v>
      </c>
      <c r="L849" s="1565"/>
    </row>
    <row r="850" spans="1:12" ht="20.100000000000001" customHeight="1">
      <c r="A850" s="1568" t="s">
        <v>3070</v>
      </c>
      <c r="B850" s="1567">
        <v>42963</v>
      </c>
      <c r="C850" s="1568" t="s">
        <v>3308</v>
      </c>
      <c r="D850" s="1568" t="s">
        <v>2964</v>
      </c>
      <c r="E850" s="1567">
        <v>43266</v>
      </c>
      <c r="F850" s="1566">
        <v>800</v>
      </c>
      <c r="G850" s="1566">
        <v>800</v>
      </c>
      <c r="H850" s="1567">
        <v>43348</v>
      </c>
      <c r="I850" s="1567">
        <v>46614</v>
      </c>
      <c r="J850" s="1567">
        <v>46614</v>
      </c>
      <c r="K850" s="1568" t="str">
        <f t="shared" si="13"/>
        <v>No</v>
      </c>
      <c r="L850" s="1565"/>
    </row>
    <row r="851" spans="1:12" ht="20.100000000000001" customHeight="1">
      <c r="A851" s="1568" t="s">
        <v>3070</v>
      </c>
      <c r="B851" s="1567">
        <v>42963</v>
      </c>
      <c r="C851" s="1568" t="s">
        <v>3308</v>
      </c>
      <c r="D851" s="1568" t="s">
        <v>2964</v>
      </c>
      <c r="E851" s="1567">
        <v>43266</v>
      </c>
      <c r="F851" s="1566">
        <v>100</v>
      </c>
      <c r="G851" s="1566">
        <v>100</v>
      </c>
      <c r="H851" s="1567">
        <v>43357</v>
      </c>
      <c r="I851" s="1567">
        <v>46614</v>
      </c>
      <c r="J851" s="1567">
        <v>46614</v>
      </c>
      <c r="K851" s="1568" t="str">
        <f t="shared" si="13"/>
        <v>No</v>
      </c>
      <c r="L851" s="1565"/>
    </row>
    <row r="852" spans="1:12" ht="20.100000000000001" customHeight="1">
      <c r="A852" s="1568" t="s">
        <v>3070</v>
      </c>
      <c r="B852" s="1567">
        <v>42963</v>
      </c>
      <c r="C852" s="1568" t="s">
        <v>3308</v>
      </c>
      <c r="D852" s="1568" t="s">
        <v>2964</v>
      </c>
      <c r="E852" s="1567">
        <v>43296</v>
      </c>
      <c r="F852" s="1566">
        <v>83</v>
      </c>
      <c r="G852" s="1566">
        <v>83</v>
      </c>
      <c r="H852" s="1567">
        <v>43357</v>
      </c>
      <c r="I852" s="1567">
        <v>46614</v>
      </c>
      <c r="J852" s="1567">
        <v>46614</v>
      </c>
      <c r="K852" s="1568" t="str">
        <f t="shared" si="13"/>
        <v>No</v>
      </c>
      <c r="L852" s="1565"/>
    </row>
    <row r="853" spans="1:12" ht="20.100000000000001" customHeight="1">
      <c r="A853" s="1568" t="s">
        <v>3070</v>
      </c>
      <c r="B853" s="1567">
        <v>42963</v>
      </c>
      <c r="C853" s="1568" t="s">
        <v>3308</v>
      </c>
      <c r="D853" s="1568" t="s">
        <v>2964</v>
      </c>
      <c r="E853" s="1567">
        <v>43327</v>
      </c>
      <c r="F853" s="1566">
        <v>83</v>
      </c>
      <c r="G853" s="1566">
        <v>83</v>
      </c>
      <c r="H853" s="1567">
        <v>43357</v>
      </c>
      <c r="I853" s="1567">
        <v>46614</v>
      </c>
      <c r="J853" s="1567">
        <v>46614</v>
      </c>
      <c r="K853" s="1568" t="str">
        <f t="shared" si="13"/>
        <v>No</v>
      </c>
      <c r="L853" s="1565"/>
    </row>
    <row r="854" spans="1:12" ht="20.100000000000001" customHeight="1">
      <c r="A854" s="1568" t="s">
        <v>3070</v>
      </c>
      <c r="B854" s="1567">
        <v>42963</v>
      </c>
      <c r="C854" s="1568" t="s">
        <v>3308</v>
      </c>
      <c r="D854" s="1568" t="s">
        <v>2964</v>
      </c>
      <c r="E854" s="1567">
        <v>43327</v>
      </c>
      <c r="F854" s="1566">
        <v>0</v>
      </c>
      <c r="G854" s="1566">
        <v>0</v>
      </c>
      <c r="H854" s="1567">
        <v>43368</v>
      </c>
      <c r="I854" s="1567">
        <v>46614</v>
      </c>
      <c r="J854" s="1567">
        <v>46614</v>
      </c>
      <c r="K854" s="1568" t="str">
        <f t="shared" si="13"/>
        <v>No</v>
      </c>
      <c r="L854" s="1565"/>
    </row>
    <row r="855" spans="1:12" ht="20.100000000000001" customHeight="1">
      <c r="A855" s="1568" t="s">
        <v>3070</v>
      </c>
      <c r="B855" s="1567">
        <v>42963</v>
      </c>
      <c r="C855" s="1568" t="s">
        <v>3308</v>
      </c>
      <c r="D855" s="1568" t="s">
        <v>2964</v>
      </c>
      <c r="E855" s="1567">
        <v>43358</v>
      </c>
      <c r="F855" s="1566">
        <v>84</v>
      </c>
      <c r="G855" s="1566">
        <v>84</v>
      </c>
      <c r="H855" s="1567">
        <v>43368</v>
      </c>
      <c r="I855" s="1567">
        <v>46614</v>
      </c>
      <c r="J855" s="1567">
        <v>46614</v>
      </c>
      <c r="K855" s="1568" t="str">
        <f t="shared" si="13"/>
        <v>No</v>
      </c>
      <c r="L855" s="1565"/>
    </row>
    <row r="856" spans="1:12" ht="20.100000000000001" customHeight="1">
      <c r="A856" s="1568" t="s">
        <v>3070</v>
      </c>
      <c r="B856" s="1567">
        <v>42963</v>
      </c>
      <c r="C856" s="1568" t="s">
        <v>3308</v>
      </c>
      <c r="D856" s="1568" t="s">
        <v>2964</v>
      </c>
      <c r="E856" s="1567">
        <v>43358</v>
      </c>
      <c r="F856" s="1566">
        <v>0</v>
      </c>
      <c r="G856" s="1566">
        <v>0</v>
      </c>
      <c r="H856" s="1567">
        <v>43388</v>
      </c>
      <c r="I856" s="1567">
        <v>46614</v>
      </c>
      <c r="J856" s="1567">
        <v>46614</v>
      </c>
      <c r="K856" s="1568" t="str">
        <f t="shared" si="13"/>
        <v>No</v>
      </c>
      <c r="L856" s="1565"/>
    </row>
    <row r="857" spans="1:12" ht="20.100000000000001" customHeight="1">
      <c r="A857" s="1568" t="s">
        <v>3070</v>
      </c>
      <c r="B857" s="1567">
        <v>42963</v>
      </c>
      <c r="C857" s="1568" t="s">
        <v>3308</v>
      </c>
      <c r="D857" s="1568" t="s">
        <v>2964</v>
      </c>
      <c r="E857" s="1567">
        <v>43388</v>
      </c>
      <c r="F857" s="1566">
        <v>83</v>
      </c>
      <c r="G857" s="1566">
        <v>83</v>
      </c>
      <c r="H857" s="1567">
        <v>43388</v>
      </c>
      <c r="I857" s="1567">
        <v>46614</v>
      </c>
      <c r="J857" s="1567">
        <v>46614</v>
      </c>
      <c r="K857" s="1568" t="str">
        <f t="shared" si="13"/>
        <v>No</v>
      </c>
      <c r="L857" s="1565"/>
    </row>
    <row r="858" spans="1:12" ht="20.100000000000001" customHeight="1">
      <c r="A858" s="1568" t="s">
        <v>3070</v>
      </c>
      <c r="B858" s="1567">
        <v>42963</v>
      </c>
      <c r="C858" s="1568" t="s">
        <v>3308</v>
      </c>
      <c r="D858" s="1568" t="s">
        <v>2964</v>
      </c>
      <c r="E858" s="1567">
        <v>43388</v>
      </c>
      <c r="F858" s="1566">
        <v>0</v>
      </c>
      <c r="G858" s="1566">
        <v>0</v>
      </c>
      <c r="H858" s="1567">
        <v>43419</v>
      </c>
      <c r="I858" s="1567">
        <v>46614</v>
      </c>
      <c r="J858" s="1567">
        <v>46614</v>
      </c>
      <c r="K858" s="1568" t="str">
        <f t="shared" si="13"/>
        <v>No</v>
      </c>
      <c r="L858" s="1565"/>
    </row>
    <row r="859" spans="1:12" ht="20.100000000000001" customHeight="1">
      <c r="A859" s="1568" t="s">
        <v>3070</v>
      </c>
      <c r="B859" s="1567">
        <v>42963</v>
      </c>
      <c r="C859" s="1568" t="s">
        <v>3308</v>
      </c>
      <c r="D859" s="1568" t="s">
        <v>2964</v>
      </c>
      <c r="E859" s="1567">
        <v>43419</v>
      </c>
      <c r="F859" s="1566">
        <v>83</v>
      </c>
      <c r="G859" s="1566">
        <v>83</v>
      </c>
      <c r="H859" s="1567">
        <v>43419</v>
      </c>
      <c r="I859" s="1567">
        <v>46614</v>
      </c>
      <c r="J859" s="1567">
        <v>46614</v>
      </c>
      <c r="K859" s="1568" t="str">
        <f t="shared" si="13"/>
        <v>No</v>
      </c>
      <c r="L859" s="1565"/>
    </row>
    <row r="860" spans="1:12" ht="20.100000000000001" customHeight="1">
      <c r="A860" s="1568" t="s">
        <v>3070</v>
      </c>
      <c r="B860" s="1567">
        <v>42963</v>
      </c>
      <c r="C860" s="1568" t="s">
        <v>3308</v>
      </c>
      <c r="D860" s="1568" t="s">
        <v>2964</v>
      </c>
      <c r="E860" s="1567">
        <v>43419</v>
      </c>
      <c r="F860" s="1566">
        <v>0</v>
      </c>
      <c r="G860" s="1566">
        <v>0</v>
      </c>
      <c r="H860" s="1567">
        <v>43449</v>
      </c>
      <c r="I860" s="1567">
        <v>46614</v>
      </c>
      <c r="J860" s="1567">
        <v>46614</v>
      </c>
      <c r="K860" s="1568" t="str">
        <f t="shared" si="13"/>
        <v>No</v>
      </c>
      <c r="L860" s="1565"/>
    </row>
    <row r="861" spans="1:12" ht="20.100000000000001" customHeight="1">
      <c r="A861" s="1568" t="s">
        <v>3070</v>
      </c>
      <c r="B861" s="1567">
        <v>42963</v>
      </c>
      <c r="C861" s="1568" t="s">
        <v>3308</v>
      </c>
      <c r="D861" s="1568" t="s">
        <v>2964</v>
      </c>
      <c r="E861" s="1567">
        <v>43449</v>
      </c>
      <c r="F861" s="1566">
        <v>84</v>
      </c>
      <c r="G861" s="1566">
        <v>84</v>
      </c>
      <c r="H861" s="1567">
        <v>43449</v>
      </c>
      <c r="I861" s="1567">
        <v>46614</v>
      </c>
      <c r="J861" s="1567">
        <v>46614</v>
      </c>
      <c r="K861" s="1568" t="str">
        <f t="shared" si="13"/>
        <v>No</v>
      </c>
      <c r="L861" s="1565"/>
    </row>
    <row r="862" spans="1:12" ht="20.100000000000001" customHeight="1">
      <c r="A862" s="1568" t="s">
        <v>3070</v>
      </c>
      <c r="B862" s="1567">
        <v>42963</v>
      </c>
      <c r="C862" s="1568" t="s">
        <v>3308</v>
      </c>
      <c r="D862" s="1568" t="s">
        <v>2964</v>
      </c>
      <c r="E862" s="1567">
        <v>43449</v>
      </c>
      <c r="F862" s="1566">
        <v>0</v>
      </c>
      <c r="G862" s="1566">
        <v>0</v>
      </c>
      <c r="H862" s="1567">
        <v>43480</v>
      </c>
      <c r="I862" s="1567">
        <v>46614</v>
      </c>
      <c r="J862" s="1567">
        <v>46614</v>
      </c>
      <c r="K862" s="1568" t="str">
        <f t="shared" si="13"/>
        <v>No</v>
      </c>
      <c r="L862" s="1565"/>
    </row>
    <row r="863" spans="1:12" ht="20.100000000000001" customHeight="1">
      <c r="A863" s="1568" t="s">
        <v>3070</v>
      </c>
      <c r="B863" s="1567">
        <v>42963</v>
      </c>
      <c r="C863" s="1568" t="s">
        <v>3308</v>
      </c>
      <c r="D863" s="1568" t="s">
        <v>2964</v>
      </c>
      <c r="E863" s="1567">
        <v>43480</v>
      </c>
      <c r="F863" s="1566">
        <v>83</v>
      </c>
      <c r="G863" s="1566">
        <v>83</v>
      </c>
      <c r="H863" s="1567">
        <v>43480</v>
      </c>
      <c r="I863" s="1567">
        <v>46614</v>
      </c>
      <c r="J863" s="1567">
        <v>46614</v>
      </c>
      <c r="K863" s="1568" t="str">
        <f t="shared" si="13"/>
        <v>No</v>
      </c>
      <c r="L863" s="1565"/>
    </row>
    <row r="864" spans="1:12" ht="20.100000000000001" customHeight="1">
      <c r="A864" s="1568" t="s">
        <v>3070</v>
      </c>
      <c r="B864" s="1567">
        <v>42963</v>
      </c>
      <c r="C864" s="1568" t="s">
        <v>3308</v>
      </c>
      <c r="D864" s="1568" t="s">
        <v>2964</v>
      </c>
      <c r="E864" s="1567">
        <v>43480</v>
      </c>
      <c r="F864" s="1566">
        <v>0</v>
      </c>
      <c r="G864" s="1566">
        <v>0</v>
      </c>
      <c r="H864" s="1567"/>
      <c r="I864" s="1567">
        <v>46614</v>
      </c>
      <c r="J864" s="1567">
        <v>46614</v>
      </c>
      <c r="K864" s="1568" t="str">
        <f t="shared" si="13"/>
        <v>No</v>
      </c>
      <c r="L864" s="1565"/>
    </row>
    <row r="865" spans="1:12" ht="20.100000000000001" customHeight="1">
      <c r="A865" s="1568" t="s">
        <v>3070</v>
      </c>
      <c r="B865" s="1567">
        <v>42963</v>
      </c>
      <c r="C865" s="1568" t="s">
        <v>3308</v>
      </c>
      <c r="D865" s="1568" t="s">
        <v>2964</v>
      </c>
      <c r="E865" s="1567">
        <v>43511</v>
      </c>
      <c r="F865" s="1566">
        <v>83</v>
      </c>
      <c r="G865" s="1566">
        <v>0</v>
      </c>
      <c r="H865" s="1567"/>
      <c r="I865" s="1567">
        <v>46614</v>
      </c>
      <c r="J865" s="1567">
        <v>46614</v>
      </c>
      <c r="K865" s="1568" t="str">
        <f t="shared" si="13"/>
        <v>No</v>
      </c>
      <c r="L865" s="1565"/>
    </row>
    <row r="866" spans="1:12" ht="20.100000000000001" customHeight="1">
      <c r="A866" s="1568" t="s">
        <v>3070</v>
      </c>
      <c r="B866" s="1567">
        <v>42963</v>
      </c>
      <c r="C866" s="1568" t="s">
        <v>3308</v>
      </c>
      <c r="D866" s="1568" t="s">
        <v>2964</v>
      </c>
      <c r="E866" s="1567">
        <v>43539</v>
      </c>
      <c r="F866" s="1566">
        <v>84</v>
      </c>
      <c r="G866" s="1566">
        <v>0</v>
      </c>
      <c r="H866" s="1567"/>
      <c r="I866" s="1567">
        <v>46614</v>
      </c>
      <c r="J866" s="1567">
        <v>46614</v>
      </c>
      <c r="K866" s="1568" t="str">
        <f t="shared" si="13"/>
        <v>No</v>
      </c>
      <c r="L866" s="1565"/>
    </row>
    <row r="867" spans="1:12" ht="20.100000000000001" customHeight="1">
      <c r="A867" s="1568" t="s">
        <v>3070</v>
      </c>
      <c r="B867" s="1567">
        <v>42963</v>
      </c>
      <c r="C867" s="1568" t="s">
        <v>3308</v>
      </c>
      <c r="D867" s="1568" t="s">
        <v>2964</v>
      </c>
      <c r="E867" s="1567">
        <v>43570</v>
      </c>
      <c r="F867" s="1566">
        <v>83</v>
      </c>
      <c r="G867" s="1566">
        <v>0</v>
      </c>
      <c r="H867" s="1567"/>
      <c r="I867" s="1567">
        <v>46614</v>
      </c>
      <c r="J867" s="1567">
        <v>46614</v>
      </c>
      <c r="K867" s="1568" t="str">
        <f t="shared" si="13"/>
        <v>No</v>
      </c>
      <c r="L867" s="1565"/>
    </row>
    <row r="868" spans="1:12" ht="20.100000000000001" customHeight="1">
      <c r="A868" s="1568" t="s">
        <v>3070</v>
      </c>
      <c r="B868" s="1567">
        <v>42963</v>
      </c>
      <c r="C868" s="1568" t="s">
        <v>3308</v>
      </c>
      <c r="D868" s="1568" t="s">
        <v>2964</v>
      </c>
      <c r="E868" s="1567">
        <v>43600</v>
      </c>
      <c r="F868" s="1566">
        <v>83</v>
      </c>
      <c r="G868" s="1566">
        <v>0</v>
      </c>
      <c r="H868" s="1567"/>
      <c r="I868" s="1567">
        <v>46614</v>
      </c>
      <c r="J868" s="1567">
        <v>46614</v>
      </c>
      <c r="K868" s="1568" t="str">
        <f t="shared" si="13"/>
        <v>No</v>
      </c>
      <c r="L868" s="1565"/>
    </row>
    <row r="869" spans="1:12" ht="20.100000000000001" customHeight="1">
      <c r="A869" s="1568" t="s">
        <v>3070</v>
      </c>
      <c r="B869" s="1567">
        <v>42963</v>
      </c>
      <c r="C869" s="1568" t="s">
        <v>3308</v>
      </c>
      <c r="D869" s="1568" t="s">
        <v>2964</v>
      </c>
      <c r="E869" s="1567">
        <v>43631</v>
      </c>
      <c r="F869" s="1566">
        <v>84</v>
      </c>
      <c r="G869" s="1566">
        <v>0</v>
      </c>
      <c r="H869" s="1567"/>
      <c r="I869" s="1567">
        <v>46614</v>
      </c>
      <c r="J869" s="1567">
        <v>46614</v>
      </c>
      <c r="K869" s="1568" t="str">
        <f t="shared" si="13"/>
        <v>No</v>
      </c>
      <c r="L869" s="1565"/>
    </row>
    <row r="870" spans="1:12" ht="20.100000000000001" customHeight="1">
      <c r="A870" s="1568" t="s">
        <v>3070</v>
      </c>
      <c r="B870" s="1567">
        <v>42963</v>
      </c>
      <c r="C870" s="1568" t="s">
        <v>3308</v>
      </c>
      <c r="D870" s="1568" t="s">
        <v>2964</v>
      </c>
      <c r="E870" s="1567">
        <v>43661</v>
      </c>
      <c r="F870" s="1566">
        <v>83</v>
      </c>
      <c r="G870" s="1566">
        <v>0</v>
      </c>
      <c r="H870" s="1567"/>
      <c r="I870" s="1567">
        <v>46614</v>
      </c>
      <c r="J870" s="1567">
        <v>46614</v>
      </c>
      <c r="K870" s="1568" t="str">
        <f t="shared" si="13"/>
        <v>No</v>
      </c>
      <c r="L870" s="1565"/>
    </row>
    <row r="871" spans="1:12" ht="20.100000000000001" customHeight="1">
      <c r="A871" s="1568" t="s">
        <v>3070</v>
      </c>
      <c r="B871" s="1567">
        <v>42963</v>
      </c>
      <c r="C871" s="1568" t="s">
        <v>3308</v>
      </c>
      <c r="D871" s="1568" t="s">
        <v>2964</v>
      </c>
      <c r="E871" s="1567">
        <v>43692</v>
      </c>
      <c r="F871" s="1566">
        <v>83</v>
      </c>
      <c r="G871" s="1566">
        <v>0</v>
      </c>
      <c r="H871" s="1567"/>
      <c r="I871" s="1567">
        <v>46614</v>
      </c>
      <c r="J871" s="1567">
        <v>46614</v>
      </c>
      <c r="K871" s="1568" t="str">
        <f t="shared" si="13"/>
        <v>No</v>
      </c>
      <c r="L871" s="1565"/>
    </row>
    <row r="872" spans="1:12" ht="20.100000000000001" customHeight="1">
      <c r="A872" s="1568" t="s">
        <v>3070</v>
      </c>
      <c r="B872" s="1567">
        <v>42963</v>
      </c>
      <c r="C872" s="1568" t="s">
        <v>3308</v>
      </c>
      <c r="D872" s="1568" t="s">
        <v>2964</v>
      </c>
      <c r="E872" s="1567">
        <v>43723</v>
      </c>
      <c r="F872" s="1566">
        <v>84</v>
      </c>
      <c r="G872" s="1566">
        <v>0</v>
      </c>
      <c r="H872" s="1567"/>
      <c r="I872" s="1567">
        <v>46614</v>
      </c>
      <c r="J872" s="1567">
        <v>46614</v>
      </c>
      <c r="K872" s="1568" t="str">
        <f t="shared" si="13"/>
        <v>No</v>
      </c>
      <c r="L872" s="1565"/>
    </row>
    <row r="873" spans="1:12" ht="20.100000000000001" customHeight="1">
      <c r="A873" s="1568" t="s">
        <v>3070</v>
      </c>
      <c r="B873" s="1567">
        <v>42963</v>
      </c>
      <c r="C873" s="1568" t="s">
        <v>3308</v>
      </c>
      <c r="D873" s="1568" t="s">
        <v>2964</v>
      </c>
      <c r="E873" s="1567">
        <v>43753</v>
      </c>
      <c r="F873" s="1566">
        <v>83</v>
      </c>
      <c r="G873" s="1566">
        <v>0</v>
      </c>
      <c r="H873" s="1567"/>
      <c r="I873" s="1567">
        <v>46614</v>
      </c>
      <c r="J873" s="1567">
        <v>46614</v>
      </c>
      <c r="K873" s="1568" t="str">
        <f t="shared" si="13"/>
        <v>No</v>
      </c>
      <c r="L873" s="1565"/>
    </row>
    <row r="874" spans="1:12" ht="20.100000000000001" customHeight="1">
      <c r="A874" s="1568" t="s">
        <v>3070</v>
      </c>
      <c r="B874" s="1567">
        <v>42963</v>
      </c>
      <c r="C874" s="1568" t="s">
        <v>3308</v>
      </c>
      <c r="D874" s="1568" t="s">
        <v>2964</v>
      </c>
      <c r="E874" s="1567">
        <v>43784</v>
      </c>
      <c r="F874" s="1566">
        <v>83</v>
      </c>
      <c r="G874" s="1566">
        <v>0</v>
      </c>
      <c r="H874" s="1567"/>
      <c r="I874" s="1567">
        <v>46614</v>
      </c>
      <c r="J874" s="1567">
        <v>46614</v>
      </c>
      <c r="K874" s="1568" t="str">
        <f t="shared" si="13"/>
        <v>No</v>
      </c>
      <c r="L874" s="1565"/>
    </row>
    <row r="875" spans="1:12" ht="20.100000000000001" customHeight="1">
      <c r="A875" s="1568" t="s">
        <v>3070</v>
      </c>
      <c r="B875" s="1567">
        <v>42963</v>
      </c>
      <c r="C875" s="1568" t="s">
        <v>3308</v>
      </c>
      <c r="D875" s="1568" t="s">
        <v>2964</v>
      </c>
      <c r="E875" s="1567">
        <v>43814</v>
      </c>
      <c r="F875" s="1566">
        <v>84</v>
      </c>
      <c r="G875" s="1566">
        <v>0</v>
      </c>
      <c r="H875" s="1567"/>
      <c r="I875" s="1567">
        <v>46614</v>
      </c>
      <c r="J875" s="1567">
        <v>46614</v>
      </c>
      <c r="K875" s="1568" t="str">
        <f t="shared" si="13"/>
        <v>No</v>
      </c>
      <c r="L875" s="1565"/>
    </row>
    <row r="876" spans="1:12" ht="20.100000000000001" customHeight="1">
      <c r="A876" s="1568" t="s">
        <v>3070</v>
      </c>
      <c r="B876" s="1567">
        <v>42963</v>
      </c>
      <c r="C876" s="1568" t="s">
        <v>3308</v>
      </c>
      <c r="D876" s="1568" t="s">
        <v>2964</v>
      </c>
      <c r="E876" s="1567">
        <v>43845</v>
      </c>
      <c r="F876" s="1566">
        <v>83</v>
      </c>
      <c r="G876" s="1566">
        <v>0</v>
      </c>
      <c r="H876" s="1567"/>
      <c r="I876" s="1567">
        <v>46614</v>
      </c>
      <c r="J876" s="1567">
        <v>46614</v>
      </c>
      <c r="K876" s="1568" t="str">
        <f t="shared" si="13"/>
        <v>No</v>
      </c>
      <c r="L876" s="1565"/>
    </row>
    <row r="877" spans="1:12" ht="20.100000000000001" customHeight="1">
      <c r="A877" s="1568" t="s">
        <v>3070</v>
      </c>
      <c r="B877" s="1567">
        <v>42963</v>
      </c>
      <c r="C877" s="1568" t="s">
        <v>3308</v>
      </c>
      <c r="D877" s="1568" t="s">
        <v>2964</v>
      </c>
      <c r="E877" s="1567">
        <v>43876</v>
      </c>
      <c r="F877" s="1566">
        <v>83</v>
      </c>
      <c r="G877" s="1566">
        <v>0</v>
      </c>
      <c r="H877" s="1567"/>
      <c r="I877" s="1567">
        <v>46614</v>
      </c>
      <c r="J877" s="1567">
        <v>46614</v>
      </c>
      <c r="K877" s="1568" t="str">
        <f t="shared" si="13"/>
        <v>No</v>
      </c>
      <c r="L877" s="1565"/>
    </row>
    <row r="878" spans="1:12" ht="20.100000000000001" customHeight="1">
      <c r="A878" s="1568" t="s">
        <v>3070</v>
      </c>
      <c r="B878" s="1567">
        <v>42963</v>
      </c>
      <c r="C878" s="1568" t="s">
        <v>3308</v>
      </c>
      <c r="D878" s="1568" t="s">
        <v>2964</v>
      </c>
      <c r="E878" s="1567">
        <v>43905</v>
      </c>
      <c r="F878" s="1566">
        <v>84</v>
      </c>
      <c r="G878" s="1566">
        <v>0</v>
      </c>
      <c r="H878" s="1567"/>
      <c r="I878" s="1567">
        <v>46614</v>
      </c>
      <c r="J878" s="1567">
        <v>46614</v>
      </c>
      <c r="K878" s="1568" t="str">
        <f t="shared" si="13"/>
        <v>No</v>
      </c>
      <c r="L878" s="1565"/>
    </row>
    <row r="879" spans="1:12" ht="20.100000000000001" customHeight="1">
      <c r="A879" s="1568" t="s">
        <v>3070</v>
      </c>
      <c r="B879" s="1567">
        <v>42963</v>
      </c>
      <c r="C879" s="1568" t="s">
        <v>3308</v>
      </c>
      <c r="D879" s="1568" t="s">
        <v>2964</v>
      </c>
      <c r="E879" s="1567">
        <v>43936</v>
      </c>
      <c r="F879" s="1566">
        <v>83</v>
      </c>
      <c r="G879" s="1566">
        <v>0</v>
      </c>
      <c r="H879" s="1567"/>
      <c r="I879" s="1567">
        <v>46614</v>
      </c>
      <c r="J879" s="1567">
        <v>46614</v>
      </c>
      <c r="K879" s="1568" t="str">
        <f t="shared" si="13"/>
        <v>No</v>
      </c>
      <c r="L879" s="1565"/>
    </row>
    <row r="880" spans="1:12" ht="20.100000000000001" customHeight="1">
      <c r="A880" s="1568" t="s">
        <v>3070</v>
      </c>
      <c r="B880" s="1567">
        <v>42963</v>
      </c>
      <c r="C880" s="1568" t="s">
        <v>3308</v>
      </c>
      <c r="D880" s="1568" t="s">
        <v>2964</v>
      </c>
      <c r="E880" s="1567">
        <v>43966</v>
      </c>
      <c r="F880" s="1566">
        <v>83</v>
      </c>
      <c r="G880" s="1566">
        <v>0</v>
      </c>
      <c r="H880" s="1567"/>
      <c r="I880" s="1567">
        <v>46614</v>
      </c>
      <c r="J880" s="1567">
        <v>46614</v>
      </c>
      <c r="K880" s="1568" t="str">
        <f t="shared" si="13"/>
        <v>No</v>
      </c>
      <c r="L880" s="1565"/>
    </row>
    <row r="881" spans="1:12" ht="20.100000000000001" customHeight="1">
      <c r="A881" s="1568" t="s">
        <v>3070</v>
      </c>
      <c r="B881" s="1567">
        <v>42963</v>
      </c>
      <c r="C881" s="1568" t="s">
        <v>3308</v>
      </c>
      <c r="D881" s="1568" t="s">
        <v>2964</v>
      </c>
      <c r="E881" s="1567">
        <v>43997</v>
      </c>
      <c r="F881" s="1566">
        <v>84</v>
      </c>
      <c r="G881" s="1566">
        <v>0</v>
      </c>
      <c r="H881" s="1567"/>
      <c r="I881" s="1567">
        <v>46614</v>
      </c>
      <c r="J881" s="1567">
        <v>46614</v>
      </c>
      <c r="K881" s="1568" t="str">
        <f t="shared" si="13"/>
        <v>No</v>
      </c>
      <c r="L881" s="1565"/>
    </row>
    <row r="882" spans="1:12" ht="20.100000000000001" customHeight="1">
      <c r="A882" s="1568" t="s">
        <v>3070</v>
      </c>
      <c r="B882" s="1567">
        <v>42963</v>
      </c>
      <c r="C882" s="1568" t="s">
        <v>3308</v>
      </c>
      <c r="D882" s="1568" t="s">
        <v>2964</v>
      </c>
      <c r="E882" s="1567">
        <v>44027</v>
      </c>
      <c r="F882" s="1566">
        <v>83</v>
      </c>
      <c r="G882" s="1566">
        <v>0</v>
      </c>
      <c r="H882" s="1567"/>
      <c r="I882" s="1567">
        <v>46614</v>
      </c>
      <c r="J882" s="1567">
        <v>46614</v>
      </c>
      <c r="K882" s="1568" t="str">
        <f t="shared" si="13"/>
        <v>No</v>
      </c>
      <c r="L882" s="1565"/>
    </row>
    <row r="883" spans="1:12" ht="20.100000000000001" customHeight="1">
      <c r="A883" s="1568" t="s">
        <v>3070</v>
      </c>
      <c r="B883" s="1567">
        <v>42963</v>
      </c>
      <c r="C883" s="1568" t="s">
        <v>3308</v>
      </c>
      <c r="D883" s="1568" t="s">
        <v>2964</v>
      </c>
      <c r="E883" s="1567">
        <v>44058</v>
      </c>
      <c r="F883" s="1566">
        <v>83</v>
      </c>
      <c r="G883" s="1566">
        <v>0</v>
      </c>
      <c r="H883" s="1567"/>
      <c r="I883" s="1567">
        <v>46614</v>
      </c>
      <c r="J883" s="1567">
        <v>46614</v>
      </c>
      <c r="K883" s="1568" t="str">
        <f t="shared" si="13"/>
        <v>No</v>
      </c>
      <c r="L883" s="1565"/>
    </row>
    <row r="884" spans="1:12" ht="20.100000000000001" customHeight="1">
      <c r="A884" s="1568" t="s">
        <v>3070</v>
      </c>
      <c r="B884" s="1567">
        <v>42963</v>
      </c>
      <c r="C884" s="1568" t="s">
        <v>3308</v>
      </c>
      <c r="D884" s="1568" t="s">
        <v>2964</v>
      </c>
      <c r="E884" s="1567">
        <v>44089</v>
      </c>
      <c r="F884" s="1566">
        <v>84</v>
      </c>
      <c r="G884" s="1566">
        <v>0</v>
      </c>
      <c r="H884" s="1567"/>
      <c r="I884" s="1567">
        <v>46614</v>
      </c>
      <c r="J884" s="1567">
        <v>46614</v>
      </c>
      <c r="K884" s="1568" t="str">
        <f t="shared" si="13"/>
        <v>No</v>
      </c>
      <c r="L884" s="1565"/>
    </row>
    <row r="885" spans="1:12" ht="20.100000000000001" customHeight="1">
      <c r="A885" s="1568" t="s">
        <v>3070</v>
      </c>
      <c r="B885" s="1567">
        <v>42963</v>
      </c>
      <c r="C885" s="1568" t="s">
        <v>3308</v>
      </c>
      <c r="D885" s="1568" t="s">
        <v>2964</v>
      </c>
      <c r="E885" s="1567">
        <v>44119</v>
      </c>
      <c r="F885" s="1566">
        <v>83</v>
      </c>
      <c r="G885" s="1566">
        <v>0</v>
      </c>
      <c r="H885" s="1567"/>
      <c r="I885" s="1567">
        <v>46614</v>
      </c>
      <c r="J885" s="1567">
        <v>46614</v>
      </c>
      <c r="K885" s="1568" t="str">
        <f t="shared" si="13"/>
        <v>No</v>
      </c>
      <c r="L885" s="1565"/>
    </row>
    <row r="886" spans="1:12" ht="20.100000000000001" customHeight="1">
      <c r="A886" s="1568" t="s">
        <v>3070</v>
      </c>
      <c r="B886" s="1567">
        <v>42963</v>
      </c>
      <c r="C886" s="1568" t="s">
        <v>3308</v>
      </c>
      <c r="D886" s="1568" t="s">
        <v>2964</v>
      </c>
      <c r="E886" s="1567">
        <v>44150</v>
      </c>
      <c r="F886" s="1566">
        <v>83</v>
      </c>
      <c r="G886" s="1566">
        <v>0</v>
      </c>
      <c r="H886" s="1567"/>
      <c r="I886" s="1567">
        <v>46614</v>
      </c>
      <c r="J886" s="1567">
        <v>46614</v>
      </c>
      <c r="K886" s="1568" t="str">
        <f t="shared" si="13"/>
        <v>No</v>
      </c>
      <c r="L886" s="1565"/>
    </row>
    <row r="887" spans="1:12" ht="20.100000000000001" customHeight="1">
      <c r="A887" s="1568" t="s">
        <v>3070</v>
      </c>
      <c r="B887" s="1567">
        <v>42963</v>
      </c>
      <c r="C887" s="1568" t="s">
        <v>3308</v>
      </c>
      <c r="D887" s="1568" t="s">
        <v>2964</v>
      </c>
      <c r="E887" s="1567">
        <v>44180</v>
      </c>
      <c r="F887" s="1566">
        <v>84</v>
      </c>
      <c r="G887" s="1566">
        <v>0</v>
      </c>
      <c r="H887" s="1567"/>
      <c r="I887" s="1567">
        <v>46614</v>
      </c>
      <c r="J887" s="1567">
        <v>46614</v>
      </c>
      <c r="K887" s="1568" t="str">
        <f t="shared" si="13"/>
        <v>No</v>
      </c>
      <c r="L887" s="1565"/>
    </row>
    <row r="888" spans="1:12" ht="20.100000000000001" customHeight="1">
      <c r="A888" s="1568" t="s">
        <v>3070</v>
      </c>
      <c r="B888" s="1567">
        <v>42963</v>
      </c>
      <c r="C888" s="1568" t="s">
        <v>3308</v>
      </c>
      <c r="D888" s="1568" t="s">
        <v>2964</v>
      </c>
      <c r="E888" s="1567">
        <v>44211</v>
      </c>
      <c r="F888" s="1566">
        <v>83</v>
      </c>
      <c r="G888" s="1566">
        <v>0</v>
      </c>
      <c r="H888" s="1567"/>
      <c r="I888" s="1567">
        <v>46614</v>
      </c>
      <c r="J888" s="1567">
        <v>46614</v>
      </c>
      <c r="K888" s="1568" t="str">
        <f t="shared" si="13"/>
        <v>No</v>
      </c>
      <c r="L888" s="1565"/>
    </row>
    <row r="889" spans="1:12" ht="20.100000000000001" customHeight="1">
      <c r="A889" s="1568" t="s">
        <v>3070</v>
      </c>
      <c r="B889" s="1567">
        <v>42963</v>
      </c>
      <c r="C889" s="1568" t="s">
        <v>3308</v>
      </c>
      <c r="D889" s="1568" t="s">
        <v>2964</v>
      </c>
      <c r="E889" s="1567">
        <v>44242</v>
      </c>
      <c r="F889" s="1566">
        <v>83</v>
      </c>
      <c r="G889" s="1566">
        <v>0</v>
      </c>
      <c r="H889" s="1567"/>
      <c r="I889" s="1567">
        <v>46614</v>
      </c>
      <c r="J889" s="1567">
        <v>46614</v>
      </c>
      <c r="K889" s="1568" t="str">
        <f t="shared" si="13"/>
        <v>No</v>
      </c>
      <c r="L889" s="1565"/>
    </row>
    <row r="890" spans="1:12" ht="20.100000000000001" customHeight="1">
      <c r="A890" s="1568" t="s">
        <v>3070</v>
      </c>
      <c r="B890" s="1567">
        <v>42963</v>
      </c>
      <c r="C890" s="1568" t="s">
        <v>3308</v>
      </c>
      <c r="D890" s="1568" t="s">
        <v>2964</v>
      </c>
      <c r="E890" s="1567">
        <v>44270</v>
      </c>
      <c r="F890" s="1566">
        <v>84</v>
      </c>
      <c r="G890" s="1566">
        <v>0</v>
      </c>
      <c r="H890" s="1567"/>
      <c r="I890" s="1567">
        <v>46614</v>
      </c>
      <c r="J890" s="1567">
        <v>46614</v>
      </c>
      <c r="K890" s="1568" t="str">
        <f t="shared" si="13"/>
        <v>No</v>
      </c>
      <c r="L890" s="1565"/>
    </row>
    <row r="891" spans="1:12" ht="20.100000000000001" customHeight="1">
      <c r="A891" s="1568" t="s">
        <v>3070</v>
      </c>
      <c r="B891" s="1567">
        <v>42963</v>
      </c>
      <c r="C891" s="1568" t="s">
        <v>3308</v>
      </c>
      <c r="D891" s="1568" t="s">
        <v>2964</v>
      </c>
      <c r="E891" s="1567">
        <v>44301</v>
      </c>
      <c r="F891" s="1566">
        <v>83</v>
      </c>
      <c r="G891" s="1566">
        <v>0</v>
      </c>
      <c r="H891" s="1567"/>
      <c r="I891" s="1567">
        <v>46614</v>
      </c>
      <c r="J891" s="1567">
        <v>46614</v>
      </c>
      <c r="K891" s="1568" t="str">
        <f t="shared" si="13"/>
        <v>No</v>
      </c>
      <c r="L891" s="1565"/>
    </row>
    <row r="892" spans="1:12" ht="20.100000000000001" customHeight="1">
      <c r="A892" s="1568" t="s">
        <v>3070</v>
      </c>
      <c r="B892" s="1567">
        <v>42963</v>
      </c>
      <c r="C892" s="1568" t="s">
        <v>3308</v>
      </c>
      <c r="D892" s="1568" t="s">
        <v>2964</v>
      </c>
      <c r="E892" s="1567">
        <v>44331</v>
      </c>
      <c r="F892" s="1566">
        <v>83</v>
      </c>
      <c r="G892" s="1566">
        <v>0</v>
      </c>
      <c r="H892" s="1567"/>
      <c r="I892" s="1567">
        <v>46614</v>
      </c>
      <c r="J892" s="1567">
        <v>46614</v>
      </c>
      <c r="K892" s="1568" t="str">
        <f t="shared" si="13"/>
        <v>No</v>
      </c>
      <c r="L892" s="1565"/>
    </row>
    <row r="893" spans="1:12" ht="20.100000000000001" customHeight="1">
      <c r="A893" s="1568" t="s">
        <v>3070</v>
      </c>
      <c r="B893" s="1567">
        <v>42963</v>
      </c>
      <c r="C893" s="1568" t="s">
        <v>3308</v>
      </c>
      <c r="D893" s="1568" t="s">
        <v>2964</v>
      </c>
      <c r="E893" s="1567">
        <v>44362</v>
      </c>
      <c r="F893" s="1566">
        <v>84</v>
      </c>
      <c r="G893" s="1566">
        <v>0</v>
      </c>
      <c r="H893" s="1567"/>
      <c r="I893" s="1567">
        <v>46614</v>
      </c>
      <c r="J893" s="1567">
        <v>46614</v>
      </c>
      <c r="K893" s="1568" t="str">
        <f t="shared" si="13"/>
        <v>No</v>
      </c>
      <c r="L893" s="1565"/>
    </row>
    <row r="894" spans="1:12" ht="20.100000000000001" customHeight="1">
      <c r="A894" s="1568" t="s">
        <v>3069</v>
      </c>
      <c r="B894" s="1567">
        <v>42963</v>
      </c>
      <c r="C894" s="1568" t="s">
        <v>3308</v>
      </c>
      <c r="D894" s="1568" t="s">
        <v>2961</v>
      </c>
      <c r="E894" s="1567">
        <v>43160</v>
      </c>
      <c r="F894" s="1566">
        <v>9771</v>
      </c>
      <c r="G894" s="1566">
        <v>9771</v>
      </c>
      <c r="H894" s="1567">
        <v>43222</v>
      </c>
      <c r="I894" s="1567">
        <v>46614</v>
      </c>
      <c r="J894" s="1567">
        <v>46614</v>
      </c>
      <c r="K894" s="1568" t="str">
        <f t="shared" si="13"/>
        <v>No</v>
      </c>
      <c r="L894" s="1565"/>
    </row>
    <row r="895" spans="1:12" ht="20.100000000000001" customHeight="1">
      <c r="A895" s="1568" t="s">
        <v>3069</v>
      </c>
      <c r="B895" s="1567">
        <v>42963</v>
      </c>
      <c r="C895" s="1568" t="s">
        <v>3308</v>
      </c>
      <c r="D895" s="1568" t="s">
        <v>2961</v>
      </c>
      <c r="E895" s="1567">
        <v>43191</v>
      </c>
      <c r="F895" s="1566">
        <v>814</v>
      </c>
      <c r="G895" s="1566">
        <v>814</v>
      </c>
      <c r="H895" s="1567">
        <v>43222</v>
      </c>
      <c r="I895" s="1567">
        <v>46614</v>
      </c>
      <c r="J895" s="1567">
        <v>46614</v>
      </c>
      <c r="K895" s="1568" t="str">
        <f t="shared" si="13"/>
        <v>No</v>
      </c>
      <c r="L895" s="1565"/>
    </row>
    <row r="896" spans="1:12" ht="20.100000000000001" customHeight="1">
      <c r="A896" s="1568" t="s">
        <v>3069</v>
      </c>
      <c r="B896" s="1567">
        <v>42963</v>
      </c>
      <c r="C896" s="1568" t="s">
        <v>3308</v>
      </c>
      <c r="D896" s="1568" t="s">
        <v>2961</v>
      </c>
      <c r="E896" s="1567">
        <v>43221</v>
      </c>
      <c r="F896" s="1566">
        <v>815</v>
      </c>
      <c r="G896" s="1566">
        <v>815</v>
      </c>
      <c r="H896" s="1567">
        <v>43222</v>
      </c>
      <c r="I896" s="1567">
        <v>46614</v>
      </c>
      <c r="J896" s="1567">
        <v>46614</v>
      </c>
      <c r="K896" s="1568" t="str">
        <f t="shared" si="13"/>
        <v>No</v>
      </c>
      <c r="L896" s="1565"/>
    </row>
    <row r="897" spans="1:12" ht="20.100000000000001" customHeight="1">
      <c r="A897" s="1568" t="s">
        <v>3069</v>
      </c>
      <c r="B897" s="1567">
        <v>42963</v>
      </c>
      <c r="C897" s="1568" t="s">
        <v>3308</v>
      </c>
      <c r="D897" s="1568" t="s">
        <v>2961</v>
      </c>
      <c r="E897" s="1567">
        <v>43221</v>
      </c>
      <c r="F897" s="1566">
        <v>0</v>
      </c>
      <c r="G897" s="1566">
        <v>0</v>
      </c>
      <c r="H897" s="1567">
        <v>43280</v>
      </c>
      <c r="I897" s="1567">
        <v>46614</v>
      </c>
      <c r="J897" s="1567">
        <v>46614</v>
      </c>
      <c r="K897" s="1568" t="str">
        <f t="shared" si="13"/>
        <v>No</v>
      </c>
      <c r="L897" s="1565"/>
    </row>
    <row r="898" spans="1:12" ht="20.100000000000001" customHeight="1">
      <c r="A898" s="1568" t="s">
        <v>3069</v>
      </c>
      <c r="B898" s="1567">
        <v>42963</v>
      </c>
      <c r="C898" s="1568" t="s">
        <v>3308</v>
      </c>
      <c r="D898" s="1568" t="s">
        <v>2961</v>
      </c>
      <c r="E898" s="1567">
        <v>43252</v>
      </c>
      <c r="F898" s="1566">
        <v>814</v>
      </c>
      <c r="G898" s="1566">
        <v>814</v>
      </c>
      <c r="H898" s="1567">
        <v>43280</v>
      </c>
      <c r="I898" s="1567">
        <v>46614</v>
      </c>
      <c r="J898" s="1567">
        <v>46614</v>
      </c>
      <c r="K898" s="1568" t="str">
        <f t="shared" si="13"/>
        <v>No</v>
      </c>
      <c r="L898" s="1565"/>
    </row>
    <row r="899" spans="1:12" ht="20.100000000000001" customHeight="1">
      <c r="A899" s="1568" t="s">
        <v>3069</v>
      </c>
      <c r="B899" s="1567">
        <v>42963</v>
      </c>
      <c r="C899" s="1568" t="s">
        <v>3308</v>
      </c>
      <c r="D899" s="1568" t="s">
        <v>2961</v>
      </c>
      <c r="E899" s="1567">
        <v>43252</v>
      </c>
      <c r="F899" s="1566">
        <v>0</v>
      </c>
      <c r="G899" s="1566">
        <v>0</v>
      </c>
      <c r="H899" s="1567">
        <v>43318</v>
      </c>
      <c r="I899" s="1567">
        <v>46614</v>
      </c>
      <c r="J899" s="1567">
        <v>46614</v>
      </c>
      <c r="K899" s="1568" t="str">
        <f t="shared" si="13"/>
        <v>No</v>
      </c>
      <c r="L899" s="1565"/>
    </row>
    <row r="900" spans="1:12" ht="20.100000000000001" customHeight="1">
      <c r="A900" s="1568" t="s">
        <v>3069</v>
      </c>
      <c r="B900" s="1567">
        <v>42963</v>
      </c>
      <c r="C900" s="1568" t="s">
        <v>3308</v>
      </c>
      <c r="D900" s="1568" t="s">
        <v>2961</v>
      </c>
      <c r="E900" s="1567">
        <v>43282</v>
      </c>
      <c r="F900" s="1566">
        <v>814</v>
      </c>
      <c r="G900" s="1566">
        <v>814</v>
      </c>
      <c r="H900" s="1567">
        <v>43318</v>
      </c>
      <c r="I900" s="1567">
        <v>46614</v>
      </c>
      <c r="J900" s="1567">
        <v>46614</v>
      </c>
      <c r="K900" s="1568" t="str">
        <f t="shared" si="13"/>
        <v>No</v>
      </c>
      <c r="L900" s="1565"/>
    </row>
    <row r="901" spans="1:12" ht="20.100000000000001" customHeight="1">
      <c r="A901" s="1568" t="s">
        <v>3069</v>
      </c>
      <c r="B901" s="1567">
        <v>42963</v>
      </c>
      <c r="C901" s="1568" t="s">
        <v>3308</v>
      </c>
      <c r="D901" s="1568" t="s">
        <v>2961</v>
      </c>
      <c r="E901" s="1567">
        <v>43313</v>
      </c>
      <c r="F901" s="1566">
        <v>814</v>
      </c>
      <c r="G901" s="1566">
        <v>814</v>
      </c>
      <c r="H901" s="1567">
        <v>43318</v>
      </c>
      <c r="I901" s="1567">
        <v>46614</v>
      </c>
      <c r="J901" s="1567">
        <v>46614</v>
      </c>
      <c r="K901" s="1568" t="str">
        <f t="shared" ref="K901:K964" si="14">IF(I901="N/A","No",IF(E901&lt;=I901,"No","Yes"))</f>
        <v>No</v>
      </c>
      <c r="L901" s="1565"/>
    </row>
    <row r="902" spans="1:12" ht="20.100000000000001" customHeight="1">
      <c r="A902" s="1568" t="s">
        <v>3069</v>
      </c>
      <c r="B902" s="1567">
        <v>42963</v>
      </c>
      <c r="C902" s="1568" t="s">
        <v>3308</v>
      </c>
      <c r="D902" s="1568" t="s">
        <v>2961</v>
      </c>
      <c r="E902" s="1567">
        <v>43313</v>
      </c>
      <c r="F902" s="1566">
        <v>0</v>
      </c>
      <c r="G902" s="1566">
        <v>0</v>
      </c>
      <c r="H902" s="1567">
        <v>43376</v>
      </c>
      <c r="I902" s="1567">
        <v>46614</v>
      </c>
      <c r="J902" s="1567">
        <v>46614</v>
      </c>
      <c r="K902" s="1568" t="str">
        <f t="shared" si="14"/>
        <v>No</v>
      </c>
      <c r="L902" s="1565"/>
    </row>
    <row r="903" spans="1:12" ht="20.100000000000001" customHeight="1">
      <c r="A903" s="1568" t="s">
        <v>3069</v>
      </c>
      <c r="B903" s="1567">
        <v>42963</v>
      </c>
      <c r="C903" s="1568" t="s">
        <v>3308</v>
      </c>
      <c r="D903" s="1568" t="s">
        <v>2961</v>
      </c>
      <c r="E903" s="1567">
        <v>43344</v>
      </c>
      <c r="F903" s="1566">
        <v>815</v>
      </c>
      <c r="G903" s="1566">
        <v>815</v>
      </c>
      <c r="H903" s="1567">
        <v>43376</v>
      </c>
      <c r="I903" s="1567">
        <v>46614</v>
      </c>
      <c r="J903" s="1567">
        <v>46614</v>
      </c>
      <c r="K903" s="1568" t="str">
        <f t="shared" si="14"/>
        <v>No</v>
      </c>
      <c r="L903" s="1565"/>
    </row>
    <row r="904" spans="1:12" ht="20.100000000000001" customHeight="1">
      <c r="A904" s="1568" t="s">
        <v>3069</v>
      </c>
      <c r="B904" s="1567">
        <v>42963</v>
      </c>
      <c r="C904" s="1568" t="s">
        <v>3308</v>
      </c>
      <c r="D904" s="1568" t="s">
        <v>2961</v>
      </c>
      <c r="E904" s="1567">
        <v>43374</v>
      </c>
      <c r="F904" s="1566">
        <v>814</v>
      </c>
      <c r="G904" s="1566">
        <v>814</v>
      </c>
      <c r="H904" s="1567">
        <v>43376</v>
      </c>
      <c r="I904" s="1567">
        <v>46614</v>
      </c>
      <c r="J904" s="1567">
        <v>46614</v>
      </c>
      <c r="K904" s="1568" t="str">
        <f t="shared" si="14"/>
        <v>No</v>
      </c>
      <c r="L904" s="1565"/>
    </row>
    <row r="905" spans="1:12" ht="20.100000000000001" customHeight="1">
      <c r="A905" s="1568" t="s">
        <v>3069</v>
      </c>
      <c r="B905" s="1567">
        <v>42963</v>
      </c>
      <c r="C905" s="1568" t="s">
        <v>3308</v>
      </c>
      <c r="D905" s="1568" t="s">
        <v>2961</v>
      </c>
      <c r="E905" s="1567">
        <v>43374</v>
      </c>
      <c r="F905" s="1566">
        <v>0</v>
      </c>
      <c r="G905" s="1566">
        <v>0</v>
      </c>
      <c r="H905" s="1567">
        <v>43447</v>
      </c>
      <c r="I905" s="1567">
        <v>46614</v>
      </c>
      <c r="J905" s="1567">
        <v>46614</v>
      </c>
      <c r="K905" s="1568" t="str">
        <f t="shared" si="14"/>
        <v>No</v>
      </c>
      <c r="L905" s="1565"/>
    </row>
    <row r="906" spans="1:12" ht="20.100000000000001" customHeight="1">
      <c r="A906" s="1568" t="s">
        <v>3069</v>
      </c>
      <c r="B906" s="1567">
        <v>42963</v>
      </c>
      <c r="C906" s="1568" t="s">
        <v>3308</v>
      </c>
      <c r="D906" s="1568" t="s">
        <v>2961</v>
      </c>
      <c r="E906" s="1567">
        <v>43405</v>
      </c>
      <c r="F906" s="1566">
        <v>814</v>
      </c>
      <c r="G906" s="1566">
        <v>814</v>
      </c>
      <c r="H906" s="1567">
        <v>43447</v>
      </c>
      <c r="I906" s="1567">
        <v>46614</v>
      </c>
      <c r="J906" s="1567">
        <v>46614</v>
      </c>
      <c r="K906" s="1568" t="str">
        <f t="shared" si="14"/>
        <v>No</v>
      </c>
      <c r="L906" s="1565"/>
    </row>
    <row r="907" spans="1:12" ht="20.100000000000001" customHeight="1">
      <c r="A907" s="1568" t="s">
        <v>3069</v>
      </c>
      <c r="B907" s="1567">
        <v>42963</v>
      </c>
      <c r="C907" s="1568" t="s">
        <v>3308</v>
      </c>
      <c r="D907" s="1568" t="s">
        <v>2961</v>
      </c>
      <c r="E907" s="1567">
        <v>43435</v>
      </c>
      <c r="F907" s="1566">
        <v>815</v>
      </c>
      <c r="G907" s="1566">
        <v>815</v>
      </c>
      <c r="H907" s="1567">
        <v>43447</v>
      </c>
      <c r="I907" s="1567">
        <v>46614</v>
      </c>
      <c r="J907" s="1567">
        <v>46614</v>
      </c>
      <c r="K907" s="1568" t="str">
        <f t="shared" si="14"/>
        <v>No</v>
      </c>
      <c r="L907" s="1565"/>
    </row>
    <row r="908" spans="1:12" ht="20.100000000000001" customHeight="1">
      <c r="A908" s="1568" t="s">
        <v>3069</v>
      </c>
      <c r="B908" s="1567">
        <v>42963</v>
      </c>
      <c r="C908" s="1568" t="s">
        <v>3308</v>
      </c>
      <c r="D908" s="1568" t="s">
        <v>2961</v>
      </c>
      <c r="E908" s="1567">
        <v>43435</v>
      </c>
      <c r="F908" s="1566">
        <v>0</v>
      </c>
      <c r="G908" s="1566">
        <v>0</v>
      </c>
      <c r="H908" s="1567"/>
      <c r="I908" s="1567">
        <v>46614</v>
      </c>
      <c r="J908" s="1567">
        <v>46614</v>
      </c>
      <c r="K908" s="1568" t="str">
        <f t="shared" si="14"/>
        <v>No</v>
      </c>
      <c r="L908" s="1565"/>
    </row>
    <row r="909" spans="1:12" ht="20.100000000000001" customHeight="1">
      <c r="A909" s="1568" t="s">
        <v>3069</v>
      </c>
      <c r="B909" s="1567">
        <v>42963</v>
      </c>
      <c r="C909" s="1568" t="s">
        <v>3308</v>
      </c>
      <c r="D909" s="1568" t="s">
        <v>2961</v>
      </c>
      <c r="E909" s="1567">
        <v>43466</v>
      </c>
      <c r="F909" s="1566">
        <v>814</v>
      </c>
      <c r="G909" s="1566">
        <v>0</v>
      </c>
      <c r="H909" s="1567"/>
      <c r="I909" s="1567">
        <v>46614</v>
      </c>
      <c r="J909" s="1567">
        <v>46614</v>
      </c>
      <c r="K909" s="1568" t="str">
        <f t="shared" si="14"/>
        <v>No</v>
      </c>
      <c r="L909" s="1565"/>
    </row>
    <row r="910" spans="1:12" ht="20.100000000000001" customHeight="1">
      <c r="A910" s="1568" t="s">
        <v>3069</v>
      </c>
      <c r="B910" s="1567">
        <v>42963</v>
      </c>
      <c r="C910" s="1568" t="s">
        <v>3308</v>
      </c>
      <c r="D910" s="1568" t="s">
        <v>2961</v>
      </c>
      <c r="E910" s="1567">
        <v>43497</v>
      </c>
      <c r="F910" s="1566">
        <v>814</v>
      </c>
      <c r="G910" s="1566">
        <v>0</v>
      </c>
      <c r="H910" s="1567"/>
      <c r="I910" s="1567">
        <v>46614</v>
      </c>
      <c r="J910" s="1567">
        <v>46614</v>
      </c>
      <c r="K910" s="1568" t="str">
        <f t="shared" si="14"/>
        <v>No</v>
      </c>
      <c r="L910" s="1565"/>
    </row>
    <row r="911" spans="1:12" ht="20.100000000000001" customHeight="1">
      <c r="A911" s="1568" t="s">
        <v>3069</v>
      </c>
      <c r="B911" s="1567">
        <v>42963</v>
      </c>
      <c r="C911" s="1568" t="s">
        <v>3308</v>
      </c>
      <c r="D911" s="1568" t="s">
        <v>2961</v>
      </c>
      <c r="E911" s="1567">
        <v>43525</v>
      </c>
      <c r="F911" s="1566">
        <v>815</v>
      </c>
      <c r="G911" s="1566">
        <v>0</v>
      </c>
      <c r="H911" s="1567"/>
      <c r="I911" s="1567">
        <v>46614</v>
      </c>
      <c r="J911" s="1567">
        <v>46614</v>
      </c>
      <c r="K911" s="1568" t="str">
        <f t="shared" si="14"/>
        <v>No</v>
      </c>
      <c r="L911" s="1565"/>
    </row>
    <row r="912" spans="1:12" ht="20.100000000000001" customHeight="1">
      <c r="A912" s="1568" t="s">
        <v>3069</v>
      </c>
      <c r="B912" s="1567">
        <v>42963</v>
      </c>
      <c r="C912" s="1568" t="s">
        <v>3308</v>
      </c>
      <c r="D912" s="1568" t="s">
        <v>2961</v>
      </c>
      <c r="E912" s="1567">
        <v>43556</v>
      </c>
      <c r="F912" s="1566">
        <v>814</v>
      </c>
      <c r="G912" s="1566">
        <v>0</v>
      </c>
      <c r="H912" s="1567"/>
      <c r="I912" s="1567">
        <v>46614</v>
      </c>
      <c r="J912" s="1567">
        <v>46614</v>
      </c>
      <c r="K912" s="1568" t="str">
        <f t="shared" si="14"/>
        <v>No</v>
      </c>
      <c r="L912" s="1565"/>
    </row>
    <row r="913" spans="1:12" ht="20.100000000000001" customHeight="1">
      <c r="A913" s="1568" t="s">
        <v>3069</v>
      </c>
      <c r="B913" s="1567">
        <v>42963</v>
      </c>
      <c r="C913" s="1568" t="s">
        <v>3308</v>
      </c>
      <c r="D913" s="1568" t="s">
        <v>2961</v>
      </c>
      <c r="E913" s="1567">
        <v>43586</v>
      </c>
      <c r="F913" s="1566">
        <v>814</v>
      </c>
      <c r="G913" s="1566">
        <v>0</v>
      </c>
      <c r="H913" s="1567"/>
      <c r="I913" s="1567">
        <v>46614</v>
      </c>
      <c r="J913" s="1567">
        <v>46614</v>
      </c>
      <c r="K913" s="1568" t="str">
        <f t="shared" si="14"/>
        <v>No</v>
      </c>
      <c r="L913" s="1565"/>
    </row>
    <row r="914" spans="1:12" ht="20.100000000000001" customHeight="1">
      <c r="A914" s="1568" t="s">
        <v>3069</v>
      </c>
      <c r="B914" s="1567">
        <v>42963</v>
      </c>
      <c r="C914" s="1568" t="s">
        <v>3308</v>
      </c>
      <c r="D914" s="1568" t="s">
        <v>2961</v>
      </c>
      <c r="E914" s="1567">
        <v>43617</v>
      </c>
      <c r="F914" s="1566">
        <v>814</v>
      </c>
      <c r="G914" s="1566">
        <v>0</v>
      </c>
      <c r="H914" s="1567"/>
      <c r="I914" s="1567">
        <v>46614</v>
      </c>
      <c r="J914" s="1567">
        <v>46614</v>
      </c>
      <c r="K914" s="1568" t="str">
        <f t="shared" si="14"/>
        <v>No</v>
      </c>
      <c r="L914" s="1565"/>
    </row>
    <row r="915" spans="1:12" ht="20.100000000000001" customHeight="1">
      <c r="A915" s="1568" t="s">
        <v>3069</v>
      </c>
      <c r="B915" s="1567">
        <v>42963</v>
      </c>
      <c r="C915" s="1568" t="s">
        <v>3308</v>
      </c>
      <c r="D915" s="1568" t="s">
        <v>2961</v>
      </c>
      <c r="E915" s="1567">
        <v>43647</v>
      </c>
      <c r="F915" s="1566">
        <v>815</v>
      </c>
      <c r="G915" s="1566">
        <v>0</v>
      </c>
      <c r="H915" s="1567"/>
      <c r="I915" s="1567">
        <v>46614</v>
      </c>
      <c r="J915" s="1567">
        <v>46614</v>
      </c>
      <c r="K915" s="1568" t="str">
        <f t="shared" si="14"/>
        <v>No</v>
      </c>
      <c r="L915" s="1565"/>
    </row>
    <row r="916" spans="1:12" ht="20.100000000000001" customHeight="1">
      <c r="A916" s="1568" t="s">
        <v>3069</v>
      </c>
      <c r="B916" s="1567">
        <v>42963</v>
      </c>
      <c r="C916" s="1568" t="s">
        <v>3308</v>
      </c>
      <c r="D916" s="1568" t="s">
        <v>2961</v>
      </c>
      <c r="E916" s="1567">
        <v>43678</v>
      </c>
      <c r="F916" s="1566">
        <v>814</v>
      </c>
      <c r="G916" s="1566">
        <v>0</v>
      </c>
      <c r="H916" s="1567"/>
      <c r="I916" s="1567">
        <v>46614</v>
      </c>
      <c r="J916" s="1567">
        <v>46614</v>
      </c>
      <c r="K916" s="1568" t="str">
        <f t="shared" si="14"/>
        <v>No</v>
      </c>
      <c r="L916" s="1565"/>
    </row>
    <row r="917" spans="1:12" ht="20.100000000000001" customHeight="1">
      <c r="A917" s="1568" t="s">
        <v>3069</v>
      </c>
      <c r="B917" s="1567">
        <v>42963</v>
      </c>
      <c r="C917" s="1568" t="s">
        <v>3308</v>
      </c>
      <c r="D917" s="1568" t="s">
        <v>2961</v>
      </c>
      <c r="E917" s="1567">
        <v>43709</v>
      </c>
      <c r="F917" s="1566">
        <v>814</v>
      </c>
      <c r="G917" s="1566">
        <v>0</v>
      </c>
      <c r="H917" s="1567"/>
      <c r="I917" s="1567">
        <v>46614</v>
      </c>
      <c r="J917" s="1567">
        <v>46614</v>
      </c>
      <c r="K917" s="1568" t="str">
        <f t="shared" si="14"/>
        <v>No</v>
      </c>
      <c r="L917" s="1565"/>
    </row>
    <row r="918" spans="1:12" ht="20.100000000000001" customHeight="1">
      <c r="A918" s="1568" t="s">
        <v>3069</v>
      </c>
      <c r="B918" s="1567">
        <v>42963</v>
      </c>
      <c r="C918" s="1568" t="s">
        <v>3308</v>
      </c>
      <c r="D918" s="1568" t="s">
        <v>2961</v>
      </c>
      <c r="E918" s="1567">
        <v>43739</v>
      </c>
      <c r="F918" s="1566">
        <v>815</v>
      </c>
      <c r="G918" s="1566">
        <v>0</v>
      </c>
      <c r="H918" s="1567"/>
      <c r="I918" s="1567">
        <v>46614</v>
      </c>
      <c r="J918" s="1567">
        <v>46614</v>
      </c>
      <c r="K918" s="1568" t="str">
        <f t="shared" si="14"/>
        <v>No</v>
      </c>
      <c r="L918" s="1565"/>
    </row>
    <row r="919" spans="1:12" ht="20.100000000000001" customHeight="1">
      <c r="A919" s="1568" t="s">
        <v>3069</v>
      </c>
      <c r="B919" s="1567">
        <v>42963</v>
      </c>
      <c r="C919" s="1568" t="s">
        <v>3308</v>
      </c>
      <c r="D919" s="1568" t="s">
        <v>2961</v>
      </c>
      <c r="E919" s="1567">
        <v>43770</v>
      </c>
      <c r="F919" s="1566">
        <v>814</v>
      </c>
      <c r="G919" s="1566">
        <v>0</v>
      </c>
      <c r="H919" s="1567"/>
      <c r="I919" s="1567">
        <v>46614</v>
      </c>
      <c r="J919" s="1567">
        <v>46614</v>
      </c>
      <c r="K919" s="1568" t="str">
        <f t="shared" si="14"/>
        <v>No</v>
      </c>
      <c r="L919" s="1565"/>
    </row>
    <row r="920" spans="1:12" ht="20.100000000000001" customHeight="1">
      <c r="A920" s="1568" t="s">
        <v>3069</v>
      </c>
      <c r="B920" s="1567">
        <v>42963</v>
      </c>
      <c r="C920" s="1568" t="s">
        <v>3308</v>
      </c>
      <c r="D920" s="1568" t="s">
        <v>2961</v>
      </c>
      <c r="E920" s="1567">
        <v>43800</v>
      </c>
      <c r="F920" s="1566">
        <v>814</v>
      </c>
      <c r="G920" s="1566">
        <v>0</v>
      </c>
      <c r="H920" s="1567"/>
      <c r="I920" s="1567">
        <v>46614</v>
      </c>
      <c r="J920" s="1567">
        <v>46614</v>
      </c>
      <c r="K920" s="1568" t="str">
        <f t="shared" si="14"/>
        <v>No</v>
      </c>
      <c r="L920" s="1565"/>
    </row>
    <row r="921" spans="1:12" ht="20.100000000000001" customHeight="1">
      <c r="A921" s="1568" t="s">
        <v>3069</v>
      </c>
      <c r="B921" s="1567">
        <v>42963</v>
      </c>
      <c r="C921" s="1568" t="s">
        <v>3308</v>
      </c>
      <c r="D921" s="1568" t="s">
        <v>2961</v>
      </c>
      <c r="E921" s="1567">
        <v>43831</v>
      </c>
      <c r="F921" s="1566">
        <v>814</v>
      </c>
      <c r="G921" s="1566">
        <v>0</v>
      </c>
      <c r="H921" s="1567"/>
      <c r="I921" s="1567">
        <v>46614</v>
      </c>
      <c r="J921" s="1567">
        <v>46614</v>
      </c>
      <c r="K921" s="1568" t="str">
        <f t="shared" si="14"/>
        <v>No</v>
      </c>
      <c r="L921" s="1565"/>
    </row>
    <row r="922" spans="1:12" ht="20.100000000000001" customHeight="1">
      <c r="A922" s="1568" t="s">
        <v>3069</v>
      </c>
      <c r="B922" s="1567">
        <v>42963</v>
      </c>
      <c r="C922" s="1568" t="s">
        <v>3308</v>
      </c>
      <c r="D922" s="1568" t="s">
        <v>2961</v>
      </c>
      <c r="E922" s="1567">
        <v>43862</v>
      </c>
      <c r="F922" s="1566">
        <v>815</v>
      </c>
      <c r="G922" s="1566">
        <v>0</v>
      </c>
      <c r="H922" s="1567"/>
      <c r="I922" s="1567">
        <v>46614</v>
      </c>
      <c r="J922" s="1567">
        <v>46614</v>
      </c>
      <c r="K922" s="1568" t="str">
        <f t="shared" si="14"/>
        <v>No</v>
      </c>
      <c r="L922" s="1565"/>
    </row>
    <row r="923" spans="1:12" ht="20.100000000000001" customHeight="1">
      <c r="A923" s="1568" t="s">
        <v>3069</v>
      </c>
      <c r="B923" s="1567">
        <v>42963</v>
      </c>
      <c r="C923" s="1568" t="s">
        <v>3308</v>
      </c>
      <c r="D923" s="1568" t="s">
        <v>2961</v>
      </c>
      <c r="E923" s="1567">
        <v>43891</v>
      </c>
      <c r="F923" s="1566">
        <v>814</v>
      </c>
      <c r="G923" s="1566">
        <v>0</v>
      </c>
      <c r="H923" s="1567"/>
      <c r="I923" s="1567">
        <v>46614</v>
      </c>
      <c r="J923" s="1567">
        <v>46614</v>
      </c>
      <c r="K923" s="1568" t="str">
        <f t="shared" si="14"/>
        <v>No</v>
      </c>
      <c r="L923" s="1565"/>
    </row>
    <row r="924" spans="1:12" ht="20.100000000000001" customHeight="1">
      <c r="A924" s="1568" t="s">
        <v>3069</v>
      </c>
      <c r="B924" s="1567">
        <v>42963</v>
      </c>
      <c r="C924" s="1568" t="s">
        <v>3308</v>
      </c>
      <c r="D924" s="1568" t="s">
        <v>2961</v>
      </c>
      <c r="E924" s="1567">
        <v>43922</v>
      </c>
      <c r="F924" s="1566">
        <v>814</v>
      </c>
      <c r="G924" s="1566">
        <v>0</v>
      </c>
      <c r="H924" s="1567"/>
      <c r="I924" s="1567">
        <v>46614</v>
      </c>
      <c r="J924" s="1567">
        <v>46614</v>
      </c>
      <c r="K924" s="1568" t="str">
        <f t="shared" si="14"/>
        <v>No</v>
      </c>
      <c r="L924" s="1565"/>
    </row>
    <row r="925" spans="1:12" ht="20.100000000000001" customHeight="1">
      <c r="A925" s="1568" t="s">
        <v>3069</v>
      </c>
      <c r="B925" s="1567">
        <v>42963</v>
      </c>
      <c r="C925" s="1568" t="s">
        <v>3308</v>
      </c>
      <c r="D925" s="1568" t="s">
        <v>2961</v>
      </c>
      <c r="E925" s="1567">
        <v>43952</v>
      </c>
      <c r="F925" s="1566">
        <v>815</v>
      </c>
      <c r="G925" s="1566">
        <v>0</v>
      </c>
      <c r="H925" s="1567"/>
      <c r="I925" s="1567">
        <v>46614</v>
      </c>
      <c r="J925" s="1567">
        <v>46614</v>
      </c>
      <c r="K925" s="1568" t="str">
        <f t="shared" si="14"/>
        <v>No</v>
      </c>
      <c r="L925" s="1565"/>
    </row>
    <row r="926" spans="1:12" ht="20.100000000000001" customHeight="1">
      <c r="A926" s="1568" t="s">
        <v>3069</v>
      </c>
      <c r="B926" s="1567">
        <v>42963</v>
      </c>
      <c r="C926" s="1568" t="s">
        <v>3308</v>
      </c>
      <c r="D926" s="1568" t="s">
        <v>2961</v>
      </c>
      <c r="E926" s="1567">
        <v>43983</v>
      </c>
      <c r="F926" s="1566">
        <v>814</v>
      </c>
      <c r="G926" s="1566">
        <v>0</v>
      </c>
      <c r="H926" s="1567"/>
      <c r="I926" s="1567">
        <v>46614</v>
      </c>
      <c r="J926" s="1567">
        <v>46614</v>
      </c>
      <c r="K926" s="1568" t="str">
        <f t="shared" si="14"/>
        <v>No</v>
      </c>
      <c r="L926" s="1565"/>
    </row>
    <row r="927" spans="1:12" ht="20.100000000000001" customHeight="1">
      <c r="A927" s="1568" t="s">
        <v>3069</v>
      </c>
      <c r="B927" s="1567">
        <v>42963</v>
      </c>
      <c r="C927" s="1568" t="s">
        <v>3308</v>
      </c>
      <c r="D927" s="1568" t="s">
        <v>2961</v>
      </c>
      <c r="E927" s="1567">
        <v>44013</v>
      </c>
      <c r="F927" s="1566">
        <v>814</v>
      </c>
      <c r="G927" s="1566">
        <v>0</v>
      </c>
      <c r="H927" s="1567"/>
      <c r="I927" s="1567">
        <v>46614</v>
      </c>
      <c r="J927" s="1567">
        <v>46614</v>
      </c>
      <c r="K927" s="1568" t="str">
        <f t="shared" si="14"/>
        <v>No</v>
      </c>
      <c r="L927" s="1565"/>
    </row>
    <row r="928" spans="1:12" ht="20.100000000000001" customHeight="1">
      <c r="A928" s="1568" t="s">
        <v>3069</v>
      </c>
      <c r="B928" s="1567">
        <v>42963</v>
      </c>
      <c r="C928" s="1568" t="s">
        <v>3308</v>
      </c>
      <c r="D928" s="1568" t="s">
        <v>2961</v>
      </c>
      <c r="E928" s="1567">
        <v>44044</v>
      </c>
      <c r="F928" s="1566">
        <v>814</v>
      </c>
      <c r="G928" s="1566">
        <v>0</v>
      </c>
      <c r="H928" s="1567"/>
      <c r="I928" s="1567">
        <v>46614</v>
      </c>
      <c r="J928" s="1567">
        <v>46614</v>
      </c>
      <c r="K928" s="1568" t="str">
        <f t="shared" si="14"/>
        <v>No</v>
      </c>
      <c r="L928" s="1565"/>
    </row>
    <row r="929" spans="1:12" ht="20.100000000000001" customHeight="1">
      <c r="A929" s="1568" t="s">
        <v>3069</v>
      </c>
      <c r="B929" s="1567">
        <v>42963</v>
      </c>
      <c r="C929" s="1568" t="s">
        <v>3308</v>
      </c>
      <c r="D929" s="1568" t="s">
        <v>2961</v>
      </c>
      <c r="E929" s="1567">
        <v>44075</v>
      </c>
      <c r="F929" s="1566">
        <v>815</v>
      </c>
      <c r="G929" s="1566">
        <v>0</v>
      </c>
      <c r="H929" s="1567"/>
      <c r="I929" s="1567">
        <v>46614</v>
      </c>
      <c r="J929" s="1567">
        <v>46614</v>
      </c>
      <c r="K929" s="1568" t="str">
        <f t="shared" si="14"/>
        <v>No</v>
      </c>
      <c r="L929" s="1565"/>
    </row>
    <row r="930" spans="1:12" ht="20.100000000000001" customHeight="1">
      <c r="A930" s="1568" t="s">
        <v>3069</v>
      </c>
      <c r="B930" s="1567">
        <v>42963</v>
      </c>
      <c r="C930" s="1568" t="s">
        <v>3308</v>
      </c>
      <c r="D930" s="1568" t="s">
        <v>2961</v>
      </c>
      <c r="E930" s="1567">
        <v>44105</v>
      </c>
      <c r="F930" s="1566">
        <v>814</v>
      </c>
      <c r="G930" s="1566">
        <v>0</v>
      </c>
      <c r="H930" s="1567"/>
      <c r="I930" s="1567">
        <v>46614</v>
      </c>
      <c r="J930" s="1567">
        <v>46614</v>
      </c>
      <c r="K930" s="1568" t="str">
        <f t="shared" si="14"/>
        <v>No</v>
      </c>
      <c r="L930" s="1565"/>
    </row>
    <row r="931" spans="1:12" ht="20.100000000000001" customHeight="1">
      <c r="A931" s="1568" t="s">
        <v>3069</v>
      </c>
      <c r="B931" s="1567">
        <v>42963</v>
      </c>
      <c r="C931" s="1568" t="s">
        <v>3308</v>
      </c>
      <c r="D931" s="1568" t="s">
        <v>2961</v>
      </c>
      <c r="E931" s="1567">
        <v>44136</v>
      </c>
      <c r="F931" s="1566">
        <v>814</v>
      </c>
      <c r="G931" s="1566">
        <v>0</v>
      </c>
      <c r="H931" s="1567"/>
      <c r="I931" s="1567">
        <v>46614</v>
      </c>
      <c r="J931" s="1567">
        <v>46614</v>
      </c>
      <c r="K931" s="1568" t="str">
        <f t="shared" si="14"/>
        <v>No</v>
      </c>
      <c r="L931" s="1565"/>
    </row>
    <row r="932" spans="1:12" ht="20.100000000000001" customHeight="1">
      <c r="A932" s="1568" t="s">
        <v>3069</v>
      </c>
      <c r="B932" s="1567">
        <v>42963</v>
      </c>
      <c r="C932" s="1568" t="s">
        <v>3308</v>
      </c>
      <c r="D932" s="1568" t="s">
        <v>2961</v>
      </c>
      <c r="E932" s="1567">
        <v>44166</v>
      </c>
      <c r="F932" s="1566">
        <v>815</v>
      </c>
      <c r="G932" s="1566">
        <v>0</v>
      </c>
      <c r="H932" s="1567"/>
      <c r="I932" s="1567">
        <v>46614</v>
      </c>
      <c r="J932" s="1567">
        <v>46614</v>
      </c>
      <c r="K932" s="1568" t="str">
        <f t="shared" si="14"/>
        <v>No</v>
      </c>
      <c r="L932" s="1565"/>
    </row>
    <row r="933" spans="1:12" ht="20.100000000000001" customHeight="1">
      <c r="A933" s="1568" t="s">
        <v>3069</v>
      </c>
      <c r="B933" s="1567">
        <v>42963</v>
      </c>
      <c r="C933" s="1568" t="s">
        <v>3308</v>
      </c>
      <c r="D933" s="1568" t="s">
        <v>2961</v>
      </c>
      <c r="E933" s="1567">
        <v>44197</v>
      </c>
      <c r="F933" s="1566">
        <v>814</v>
      </c>
      <c r="G933" s="1566">
        <v>0</v>
      </c>
      <c r="H933" s="1567"/>
      <c r="I933" s="1567">
        <v>46614</v>
      </c>
      <c r="J933" s="1567">
        <v>46614</v>
      </c>
      <c r="K933" s="1568" t="str">
        <f t="shared" si="14"/>
        <v>No</v>
      </c>
      <c r="L933" s="1565"/>
    </row>
    <row r="934" spans="1:12" ht="20.100000000000001" customHeight="1">
      <c r="A934" s="1568" t="s">
        <v>3069</v>
      </c>
      <c r="B934" s="1567">
        <v>42963</v>
      </c>
      <c r="C934" s="1568" t="s">
        <v>3308</v>
      </c>
      <c r="D934" s="1568" t="s">
        <v>2961</v>
      </c>
      <c r="E934" s="1567">
        <v>44228</v>
      </c>
      <c r="F934" s="1566">
        <v>814</v>
      </c>
      <c r="G934" s="1566">
        <v>0</v>
      </c>
      <c r="H934" s="1567"/>
      <c r="I934" s="1567">
        <v>46614</v>
      </c>
      <c r="J934" s="1567">
        <v>46614</v>
      </c>
      <c r="K934" s="1568" t="str">
        <f t="shared" si="14"/>
        <v>No</v>
      </c>
      <c r="L934" s="1565"/>
    </row>
    <row r="935" spans="1:12" ht="20.100000000000001" customHeight="1">
      <c r="A935" s="1568" t="s">
        <v>3069</v>
      </c>
      <c r="B935" s="1567">
        <v>42963</v>
      </c>
      <c r="C935" s="1568" t="s">
        <v>3308</v>
      </c>
      <c r="D935" s="1568" t="s">
        <v>2961</v>
      </c>
      <c r="E935" s="1567">
        <v>44256</v>
      </c>
      <c r="F935" s="1566">
        <v>815</v>
      </c>
      <c r="G935" s="1566">
        <v>0</v>
      </c>
      <c r="H935" s="1567"/>
      <c r="I935" s="1567">
        <v>46614</v>
      </c>
      <c r="J935" s="1567">
        <v>46614</v>
      </c>
      <c r="K935" s="1568" t="str">
        <f t="shared" si="14"/>
        <v>No</v>
      </c>
      <c r="L935" s="1565"/>
    </row>
    <row r="936" spans="1:12" ht="20.100000000000001" customHeight="1">
      <c r="A936" s="1568" t="s">
        <v>3068</v>
      </c>
      <c r="B936" s="1567">
        <v>42963</v>
      </c>
      <c r="C936" s="1568" t="s">
        <v>3308</v>
      </c>
      <c r="D936" s="1568" t="s">
        <v>2992</v>
      </c>
      <c r="E936" s="1567">
        <v>43228</v>
      </c>
      <c r="F936" s="1566">
        <v>12500</v>
      </c>
      <c r="G936" s="1566">
        <v>12500</v>
      </c>
      <c r="H936" s="1567">
        <v>43247</v>
      </c>
      <c r="I936" s="1567">
        <v>46614</v>
      </c>
      <c r="J936" s="1567">
        <v>46614</v>
      </c>
      <c r="K936" s="1568" t="str">
        <f t="shared" si="14"/>
        <v>No</v>
      </c>
      <c r="L936" s="1565"/>
    </row>
    <row r="937" spans="1:12" ht="20.100000000000001" customHeight="1">
      <c r="A937" s="1568" t="s">
        <v>3068</v>
      </c>
      <c r="B937" s="1567">
        <v>42963</v>
      </c>
      <c r="C937" s="1568" t="s">
        <v>3308</v>
      </c>
      <c r="D937" s="1568" t="s">
        <v>2992</v>
      </c>
      <c r="E937" s="1567">
        <v>43228</v>
      </c>
      <c r="F937" s="1566">
        <v>0</v>
      </c>
      <c r="G937" s="1566">
        <v>0</v>
      </c>
      <c r="H937" s="1567"/>
      <c r="I937" s="1567">
        <v>46614</v>
      </c>
      <c r="J937" s="1567">
        <v>46614</v>
      </c>
      <c r="K937" s="1568" t="str">
        <f t="shared" si="14"/>
        <v>No</v>
      </c>
      <c r="L937" s="1565"/>
    </row>
    <row r="938" spans="1:12" ht="20.100000000000001" customHeight="1">
      <c r="A938" s="1568" t="s">
        <v>3068</v>
      </c>
      <c r="B938" s="1567">
        <v>42963</v>
      </c>
      <c r="C938" s="1568" t="s">
        <v>3308</v>
      </c>
      <c r="D938" s="1568" t="s">
        <v>2992</v>
      </c>
      <c r="E938" s="1567">
        <v>43259</v>
      </c>
      <c r="F938" s="1566">
        <v>1041</v>
      </c>
      <c r="G938" s="1566">
        <v>0</v>
      </c>
      <c r="H938" s="1567"/>
      <c r="I938" s="1567">
        <v>46614</v>
      </c>
      <c r="J938" s="1567">
        <v>46614</v>
      </c>
      <c r="K938" s="1568" t="str">
        <f t="shared" si="14"/>
        <v>No</v>
      </c>
      <c r="L938" s="1565"/>
    </row>
    <row r="939" spans="1:12" ht="20.100000000000001" customHeight="1">
      <c r="A939" s="1568" t="s">
        <v>3068</v>
      </c>
      <c r="B939" s="1567">
        <v>42963</v>
      </c>
      <c r="C939" s="1568" t="s">
        <v>3308</v>
      </c>
      <c r="D939" s="1568" t="s">
        <v>2992</v>
      </c>
      <c r="E939" s="1567">
        <v>43289</v>
      </c>
      <c r="F939" s="1566">
        <v>1042</v>
      </c>
      <c r="G939" s="1566">
        <v>0</v>
      </c>
      <c r="H939" s="1567"/>
      <c r="I939" s="1567">
        <v>46614</v>
      </c>
      <c r="J939" s="1567">
        <v>46614</v>
      </c>
      <c r="K939" s="1568" t="str">
        <f t="shared" si="14"/>
        <v>No</v>
      </c>
      <c r="L939" s="1565"/>
    </row>
    <row r="940" spans="1:12" ht="20.100000000000001" customHeight="1">
      <c r="A940" s="1568" t="s">
        <v>3068</v>
      </c>
      <c r="B940" s="1567">
        <v>42963</v>
      </c>
      <c r="C940" s="1568" t="s">
        <v>3308</v>
      </c>
      <c r="D940" s="1568" t="s">
        <v>2992</v>
      </c>
      <c r="E940" s="1567">
        <v>43320</v>
      </c>
      <c r="F940" s="1566">
        <v>1042</v>
      </c>
      <c r="G940" s="1566">
        <v>0</v>
      </c>
      <c r="H940" s="1567"/>
      <c r="I940" s="1567">
        <v>46614</v>
      </c>
      <c r="J940" s="1567">
        <v>46614</v>
      </c>
      <c r="K940" s="1568" t="str">
        <f t="shared" si="14"/>
        <v>No</v>
      </c>
      <c r="L940" s="1565"/>
    </row>
    <row r="941" spans="1:12" ht="20.100000000000001" customHeight="1">
      <c r="A941" s="1568" t="s">
        <v>3068</v>
      </c>
      <c r="B941" s="1567">
        <v>42963</v>
      </c>
      <c r="C941" s="1568" t="s">
        <v>3308</v>
      </c>
      <c r="D941" s="1568" t="s">
        <v>2992</v>
      </c>
      <c r="E941" s="1567">
        <v>43351</v>
      </c>
      <c r="F941" s="1566">
        <v>1041</v>
      </c>
      <c r="G941" s="1566">
        <v>0</v>
      </c>
      <c r="H941" s="1567"/>
      <c r="I941" s="1567">
        <v>46614</v>
      </c>
      <c r="J941" s="1567">
        <v>46614</v>
      </c>
      <c r="K941" s="1568" t="str">
        <f t="shared" si="14"/>
        <v>No</v>
      </c>
      <c r="L941" s="1565"/>
    </row>
    <row r="942" spans="1:12" ht="20.100000000000001" customHeight="1">
      <c r="A942" s="1568" t="s">
        <v>3068</v>
      </c>
      <c r="B942" s="1567">
        <v>42963</v>
      </c>
      <c r="C942" s="1568" t="s">
        <v>3308</v>
      </c>
      <c r="D942" s="1568" t="s">
        <v>2992</v>
      </c>
      <c r="E942" s="1567">
        <v>43381</v>
      </c>
      <c r="F942" s="1566">
        <v>1042</v>
      </c>
      <c r="G942" s="1566">
        <v>0</v>
      </c>
      <c r="H942" s="1567"/>
      <c r="I942" s="1567">
        <v>46614</v>
      </c>
      <c r="J942" s="1567">
        <v>46614</v>
      </c>
      <c r="K942" s="1568" t="str">
        <f t="shared" si="14"/>
        <v>No</v>
      </c>
      <c r="L942" s="1565"/>
    </row>
    <row r="943" spans="1:12" ht="20.100000000000001" customHeight="1">
      <c r="A943" s="1568" t="s">
        <v>3068</v>
      </c>
      <c r="B943" s="1567">
        <v>42963</v>
      </c>
      <c r="C943" s="1568" t="s">
        <v>3308</v>
      </c>
      <c r="D943" s="1568" t="s">
        <v>2992</v>
      </c>
      <c r="E943" s="1567">
        <v>43412</v>
      </c>
      <c r="F943" s="1566">
        <v>1042</v>
      </c>
      <c r="G943" s="1566">
        <v>0</v>
      </c>
      <c r="H943" s="1567"/>
      <c r="I943" s="1567">
        <v>46614</v>
      </c>
      <c r="J943" s="1567">
        <v>46614</v>
      </c>
      <c r="K943" s="1568" t="str">
        <f t="shared" si="14"/>
        <v>No</v>
      </c>
      <c r="L943" s="1565"/>
    </row>
    <row r="944" spans="1:12" ht="20.100000000000001" customHeight="1">
      <c r="A944" s="1568" t="s">
        <v>3068</v>
      </c>
      <c r="B944" s="1567">
        <v>42963</v>
      </c>
      <c r="C944" s="1568" t="s">
        <v>3308</v>
      </c>
      <c r="D944" s="1568" t="s">
        <v>2992</v>
      </c>
      <c r="E944" s="1567">
        <v>43442</v>
      </c>
      <c r="F944" s="1566">
        <v>1041</v>
      </c>
      <c r="G944" s="1566">
        <v>0</v>
      </c>
      <c r="H944" s="1567"/>
      <c r="I944" s="1567">
        <v>46614</v>
      </c>
      <c r="J944" s="1567">
        <v>46614</v>
      </c>
      <c r="K944" s="1568" t="str">
        <f t="shared" si="14"/>
        <v>No</v>
      </c>
      <c r="L944" s="1565"/>
    </row>
    <row r="945" spans="1:12" ht="20.100000000000001" customHeight="1">
      <c r="A945" s="1568" t="s">
        <v>3068</v>
      </c>
      <c r="B945" s="1567">
        <v>42963</v>
      </c>
      <c r="C945" s="1568" t="s">
        <v>3308</v>
      </c>
      <c r="D945" s="1568" t="s">
        <v>2992</v>
      </c>
      <c r="E945" s="1567">
        <v>43473</v>
      </c>
      <c r="F945" s="1566">
        <v>1042</v>
      </c>
      <c r="G945" s="1566">
        <v>0</v>
      </c>
      <c r="H945" s="1567"/>
      <c r="I945" s="1567">
        <v>46614</v>
      </c>
      <c r="J945" s="1567">
        <v>46614</v>
      </c>
      <c r="K945" s="1568" t="str">
        <f t="shared" si="14"/>
        <v>No</v>
      </c>
      <c r="L945" s="1565"/>
    </row>
    <row r="946" spans="1:12" ht="20.100000000000001" customHeight="1">
      <c r="A946" s="1568" t="s">
        <v>3068</v>
      </c>
      <c r="B946" s="1567">
        <v>42963</v>
      </c>
      <c r="C946" s="1568" t="s">
        <v>3308</v>
      </c>
      <c r="D946" s="1568" t="s">
        <v>2992</v>
      </c>
      <c r="E946" s="1567">
        <v>43504</v>
      </c>
      <c r="F946" s="1566">
        <v>1042</v>
      </c>
      <c r="G946" s="1566">
        <v>0</v>
      </c>
      <c r="H946" s="1567"/>
      <c r="I946" s="1567">
        <v>46614</v>
      </c>
      <c r="J946" s="1567">
        <v>46614</v>
      </c>
      <c r="K946" s="1568" t="str">
        <f t="shared" si="14"/>
        <v>No</v>
      </c>
      <c r="L946" s="1565"/>
    </row>
    <row r="947" spans="1:12" ht="20.100000000000001" customHeight="1">
      <c r="A947" s="1568" t="s">
        <v>3068</v>
      </c>
      <c r="B947" s="1567">
        <v>42963</v>
      </c>
      <c r="C947" s="1568" t="s">
        <v>3308</v>
      </c>
      <c r="D947" s="1568" t="s">
        <v>2992</v>
      </c>
      <c r="E947" s="1567">
        <v>43532</v>
      </c>
      <c r="F947" s="1566">
        <v>1041</v>
      </c>
      <c r="G947" s="1566">
        <v>0</v>
      </c>
      <c r="H947" s="1567"/>
      <c r="I947" s="1567">
        <v>46614</v>
      </c>
      <c r="J947" s="1567">
        <v>46614</v>
      </c>
      <c r="K947" s="1568" t="str">
        <f t="shared" si="14"/>
        <v>No</v>
      </c>
      <c r="L947" s="1565"/>
    </row>
    <row r="948" spans="1:12" ht="20.100000000000001" customHeight="1">
      <c r="A948" s="1568" t="s">
        <v>3068</v>
      </c>
      <c r="B948" s="1567">
        <v>42963</v>
      </c>
      <c r="C948" s="1568" t="s">
        <v>3308</v>
      </c>
      <c r="D948" s="1568" t="s">
        <v>2992</v>
      </c>
      <c r="E948" s="1567">
        <v>43563</v>
      </c>
      <c r="F948" s="1566">
        <v>1042</v>
      </c>
      <c r="G948" s="1566">
        <v>0</v>
      </c>
      <c r="H948" s="1567"/>
      <c r="I948" s="1567">
        <v>46614</v>
      </c>
      <c r="J948" s="1567">
        <v>46614</v>
      </c>
      <c r="K948" s="1568" t="str">
        <f t="shared" si="14"/>
        <v>No</v>
      </c>
      <c r="L948" s="1565"/>
    </row>
    <row r="949" spans="1:12" ht="20.100000000000001" customHeight="1">
      <c r="A949" s="1568" t="s">
        <v>3068</v>
      </c>
      <c r="B949" s="1567">
        <v>42963</v>
      </c>
      <c r="C949" s="1568" t="s">
        <v>3308</v>
      </c>
      <c r="D949" s="1568" t="s">
        <v>2992</v>
      </c>
      <c r="E949" s="1567">
        <v>43593</v>
      </c>
      <c r="F949" s="1566">
        <v>1042</v>
      </c>
      <c r="G949" s="1566">
        <v>0</v>
      </c>
      <c r="H949" s="1567"/>
      <c r="I949" s="1567">
        <v>46614</v>
      </c>
      <c r="J949" s="1567">
        <v>46614</v>
      </c>
      <c r="K949" s="1568" t="str">
        <f t="shared" si="14"/>
        <v>No</v>
      </c>
      <c r="L949" s="1565"/>
    </row>
    <row r="950" spans="1:12" ht="20.100000000000001" customHeight="1">
      <c r="A950" s="1568" t="s">
        <v>3068</v>
      </c>
      <c r="B950" s="1567">
        <v>42963</v>
      </c>
      <c r="C950" s="1568" t="s">
        <v>3308</v>
      </c>
      <c r="D950" s="1568" t="s">
        <v>2992</v>
      </c>
      <c r="E950" s="1567">
        <v>43624</v>
      </c>
      <c r="F950" s="1566">
        <v>1041</v>
      </c>
      <c r="G950" s="1566">
        <v>0</v>
      </c>
      <c r="H950" s="1567"/>
      <c r="I950" s="1567">
        <v>46614</v>
      </c>
      <c r="J950" s="1567">
        <v>46614</v>
      </c>
      <c r="K950" s="1568" t="str">
        <f t="shared" si="14"/>
        <v>No</v>
      </c>
      <c r="L950" s="1565"/>
    </row>
    <row r="951" spans="1:12" ht="20.100000000000001" customHeight="1">
      <c r="A951" s="1568" t="s">
        <v>3068</v>
      </c>
      <c r="B951" s="1567">
        <v>42963</v>
      </c>
      <c r="C951" s="1568" t="s">
        <v>3308</v>
      </c>
      <c r="D951" s="1568" t="s">
        <v>2992</v>
      </c>
      <c r="E951" s="1567">
        <v>43654</v>
      </c>
      <c r="F951" s="1566">
        <v>1042</v>
      </c>
      <c r="G951" s="1566">
        <v>0</v>
      </c>
      <c r="H951" s="1567"/>
      <c r="I951" s="1567">
        <v>46614</v>
      </c>
      <c r="J951" s="1567">
        <v>46614</v>
      </c>
      <c r="K951" s="1568" t="str">
        <f t="shared" si="14"/>
        <v>No</v>
      </c>
      <c r="L951" s="1565"/>
    </row>
    <row r="952" spans="1:12" ht="20.100000000000001" customHeight="1">
      <c r="A952" s="1568" t="s">
        <v>3068</v>
      </c>
      <c r="B952" s="1567">
        <v>42963</v>
      </c>
      <c r="C952" s="1568" t="s">
        <v>3308</v>
      </c>
      <c r="D952" s="1568" t="s">
        <v>2992</v>
      </c>
      <c r="E952" s="1567">
        <v>43685</v>
      </c>
      <c r="F952" s="1566">
        <v>1042</v>
      </c>
      <c r="G952" s="1566">
        <v>0</v>
      </c>
      <c r="H952" s="1567"/>
      <c r="I952" s="1567">
        <v>46614</v>
      </c>
      <c r="J952" s="1567">
        <v>46614</v>
      </c>
      <c r="K952" s="1568" t="str">
        <f t="shared" si="14"/>
        <v>No</v>
      </c>
      <c r="L952" s="1565"/>
    </row>
    <row r="953" spans="1:12" ht="20.100000000000001" customHeight="1">
      <c r="A953" s="1568" t="s">
        <v>3068</v>
      </c>
      <c r="B953" s="1567">
        <v>42963</v>
      </c>
      <c r="C953" s="1568" t="s">
        <v>3308</v>
      </c>
      <c r="D953" s="1568" t="s">
        <v>2992</v>
      </c>
      <c r="E953" s="1567">
        <v>43716</v>
      </c>
      <c r="F953" s="1566">
        <v>1041</v>
      </c>
      <c r="G953" s="1566">
        <v>0</v>
      </c>
      <c r="H953" s="1567"/>
      <c r="I953" s="1567">
        <v>46614</v>
      </c>
      <c r="J953" s="1567">
        <v>46614</v>
      </c>
      <c r="K953" s="1568" t="str">
        <f t="shared" si="14"/>
        <v>No</v>
      </c>
      <c r="L953" s="1565"/>
    </row>
    <row r="954" spans="1:12" ht="20.100000000000001" customHeight="1">
      <c r="A954" s="1568" t="s">
        <v>3068</v>
      </c>
      <c r="B954" s="1567">
        <v>42963</v>
      </c>
      <c r="C954" s="1568" t="s">
        <v>3308</v>
      </c>
      <c r="D954" s="1568" t="s">
        <v>2992</v>
      </c>
      <c r="E954" s="1567">
        <v>43746</v>
      </c>
      <c r="F954" s="1566">
        <v>1042</v>
      </c>
      <c r="G954" s="1566">
        <v>0</v>
      </c>
      <c r="H954" s="1567"/>
      <c r="I954" s="1567">
        <v>46614</v>
      </c>
      <c r="J954" s="1567">
        <v>46614</v>
      </c>
      <c r="K954" s="1568" t="str">
        <f t="shared" si="14"/>
        <v>No</v>
      </c>
      <c r="L954" s="1565"/>
    </row>
    <row r="955" spans="1:12" ht="20.100000000000001" customHeight="1">
      <c r="A955" s="1568" t="s">
        <v>3068</v>
      </c>
      <c r="B955" s="1567">
        <v>42963</v>
      </c>
      <c r="C955" s="1568" t="s">
        <v>3308</v>
      </c>
      <c r="D955" s="1568" t="s">
        <v>2992</v>
      </c>
      <c r="E955" s="1567">
        <v>43777</v>
      </c>
      <c r="F955" s="1566">
        <v>1042</v>
      </c>
      <c r="G955" s="1566">
        <v>0</v>
      </c>
      <c r="H955" s="1567"/>
      <c r="I955" s="1567">
        <v>46614</v>
      </c>
      <c r="J955" s="1567">
        <v>46614</v>
      </c>
      <c r="K955" s="1568" t="str">
        <f t="shared" si="14"/>
        <v>No</v>
      </c>
      <c r="L955" s="1565"/>
    </row>
    <row r="956" spans="1:12" ht="20.100000000000001" customHeight="1">
      <c r="A956" s="1568" t="s">
        <v>3068</v>
      </c>
      <c r="B956" s="1567">
        <v>42963</v>
      </c>
      <c r="C956" s="1568" t="s">
        <v>3308</v>
      </c>
      <c r="D956" s="1568" t="s">
        <v>2992</v>
      </c>
      <c r="E956" s="1567">
        <v>43807</v>
      </c>
      <c r="F956" s="1566">
        <v>1041</v>
      </c>
      <c r="G956" s="1566">
        <v>0</v>
      </c>
      <c r="H956" s="1567"/>
      <c r="I956" s="1567">
        <v>46614</v>
      </c>
      <c r="J956" s="1567">
        <v>46614</v>
      </c>
      <c r="K956" s="1568" t="str">
        <f t="shared" si="14"/>
        <v>No</v>
      </c>
      <c r="L956" s="1565"/>
    </row>
    <row r="957" spans="1:12" ht="20.100000000000001" customHeight="1">
      <c r="A957" s="1568" t="s">
        <v>3068</v>
      </c>
      <c r="B957" s="1567">
        <v>42963</v>
      </c>
      <c r="C957" s="1568" t="s">
        <v>3308</v>
      </c>
      <c r="D957" s="1568" t="s">
        <v>2992</v>
      </c>
      <c r="E957" s="1567">
        <v>43838</v>
      </c>
      <c r="F957" s="1566">
        <v>1042</v>
      </c>
      <c r="G957" s="1566">
        <v>0</v>
      </c>
      <c r="H957" s="1567"/>
      <c r="I957" s="1567">
        <v>46614</v>
      </c>
      <c r="J957" s="1567">
        <v>46614</v>
      </c>
      <c r="K957" s="1568" t="str">
        <f t="shared" si="14"/>
        <v>No</v>
      </c>
      <c r="L957" s="1565"/>
    </row>
    <row r="958" spans="1:12" ht="20.100000000000001" customHeight="1">
      <c r="A958" s="1568" t="s">
        <v>3068</v>
      </c>
      <c r="B958" s="1567">
        <v>42963</v>
      </c>
      <c r="C958" s="1568" t="s">
        <v>3308</v>
      </c>
      <c r="D958" s="1568" t="s">
        <v>2992</v>
      </c>
      <c r="E958" s="1567">
        <v>43869</v>
      </c>
      <c r="F958" s="1566">
        <v>1042</v>
      </c>
      <c r="G958" s="1566">
        <v>0</v>
      </c>
      <c r="H958" s="1567"/>
      <c r="I958" s="1567">
        <v>46614</v>
      </c>
      <c r="J958" s="1567">
        <v>46614</v>
      </c>
      <c r="K958" s="1568" t="str">
        <f t="shared" si="14"/>
        <v>No</v>
      </c>
      <c r="L958" s="1565"/>
    </row>
    <row r="959" spans="1:12" ht="20.100000000000001" customHeight="1">
      <c r="A959" s="1568" t="s">
        <v>3068</v>
      </c>
      <c r="B959" s="1567">
        <v>42963</v>
      </c>
      <c r="C959" s="1568" t="s">
        <v>3308</v>
      </c>
      <c r="D959" s="1568" t="s">
        <v>2992</v>
      </c>
      <c r="E959" s="1567">
        <v>43898</v>
      </c>
      <c r="F959" s="1566">
        <v>1041</v>
      </c>
      <c r="G959" s="1566">
        <v>0</v>
      </c>
      <c r="H959" s="1567"/>
      <c r="I959" s="1567">
        <v>46614</v>
      </c>
      <c r="J959" s="1567">
        <v>46614</v>
      </c>
      <c r="K959" s="1568" t="str">
        <f t="shared" si="14"/>
        <v>No</v>
      </c>
      <c r="L959" s="1565"/>
    </row>
    <row r="960" spans="1:12" ht="20.100000000000001" customHeight="1">
      <c r="A960" s="1568" t="s">
        <v>3068</v>
      </c>
      <c r="B960" s="1567">
        <v>42963</v>
      </c>
      <c r="C960" s="1568" t="s">
        <v>3308</v>
      </c>
      <c r="D960" s="1568" t="s">
        <v>2992</v>
      </c>
      <c r="E960" s="1567">
        <v>43929</v>
      </c>
      <c r="F960" s="1566">
        <v>1042</v>
      </c>
      <c r="G960" s="1566">
        <v>0</v>
      </c>
      <c r="H960" s="1567"/>
      <c r="I960" s="1567">
        <v>46614</v>
      </c>
      <c r="J960" s="1567">
        <v>46614</v>
      </c>
      <c r="K960" s="1568" t="str">
        <f t="shared" si="14"/>
        <v>No</v>
      </c>
      <c r="L960" s="1565"/>
    </row>
    <row r="961" spans="1:12" ht="20.100000000000001" customHeight="1">
      <c r="A961" s="1568" t="s">
        <v>3068</v>
      </c>
      <c r="B961" s="1567">
        <v>42963</v>
      </c>
      <c r="C961" s="1568" t="s">
        <v>3308</v>
      </c>
      <c r="D961" s="1568" t="s">
        <v>2992</v>
      </c>
      <c r="E961" s="1567">
        <v>43959</v>
      </c>
      <c r="F961" s="1566">
        <v>1042</v>
      </c>
      <c r="G961" s="1566">
        <v>0</v>
      </c>
      <c r="H961" s="1567"/>
      <c r="I961" s="1567">
        <v>46614</v>
      </c>
      <c r="J961" s="1567">
        <v>46614</v>
      </c>
      <c r="K961" s="1568" t="str">
        <f t="shared" si="14"/>
        <v>No</v>
      </c>
      <c r="L961" s="1565"/>
    </row>
    <row r="962" spans="1:12" ht="20.100000000000001" customHeight="1">
      <c r="A962" s="1568" t="s">
        <v>3068</v>
      </c>
      <c r="B962" s="1567">
        <v>42963</v>
      </c>
      <c r="C962" s="1568" t="s">
        <v>3308</v>
      </c>
      <c r="D962" s="1568" t="s">
        <v>2992</v>
      </c>
      <c r="E962" s="1567">
        <v>43990</v>
      </c>
      <c r="F962" s="1566">
        <v>1041</v>
      </c>
      <c r="G962" s="1566">
        <v>0</v>
      </c>
      <c r="H962" s="1567"/>
      <c r="I962" s="1567">
        <v>46614</v>
      </c>
      <c r="J962" s="1567">
        <v>46614</v>
      </c>
      <c r="K962" s="1568" t="str">
        <f t="shared" si="14"/>
        <v>No</v>
      </c>
      <c r="L962" s="1565"/>
    </row>
    <row r="963" spans="1:12" ht="20.100000000000001" customHeight="1">
      <c r="A963" s="1568" t="s">
        <v>3068</v>
      </c>
      <c r="B963" s="1567">
        <v>42963</v>
      </c>
      <c r="C963" s="1568" t="s">
        <v>3308</v>
      </c>
      <c r="D963" s="1568" t="s">
        <v>2992</v>
      </c>
      <c r="E963" s="1567">
        <v>44020</v>
      </c>
      <c r="F963" s="1566">
        <v>1042</v>
      </c>
      <c r="G963" s="1566">
        <v>0</v>
      </c>
      <c r="H963" s="1567"/>
      <c r="I963" s="1567">
        <v>46614</v>
      </c>
      <c r="J963" s="1567">
        <v>46614</v>
      </c>
      <c r="K963" s="1568" t="str">
        <f t="shared" si="14"/>
        <v>No</v>
      </c>
      <c r="L963" s="1565"/>
    </row>
    <row r="964" spans="1:12" ht="20.100000000000001" customHeight="1">
      <c r="A964" s="1568" t="s">
        <v>3068</v>
      </c>
      <c r="B964" s="1567">
        <v>42963</v>
      </c>
      <c r="C964" s="1568" t="s">
        <v>3308</v>
      </c>
      <c r="D964" s="1568" t="s">
        <v>2992</v>
      </c>
      <c r="E964" s="1567">
        <v>44051</v>
      </c>
      <c r="F964" s="1566">
        <v>1042</v>
      </c>
      <c r="G964" s="1566">
        <v>0</v>
      </c>
      <c r="H964" s="1567"/>
      <c r="I964" s="1567">
        <v>46614</v>
      </c>
      <c r="J964" s="1567">
        <v>46614</v>
      </c>
      <c r="K964" s="1568" t="str">
        <f t="shared" si="14"/>
        <v>No</v>
      </c>
      <c r="L964" s="1565"/>
    </row>
    <row r="965" spans="1:12" ht="20.100000000000001" customHeight="1">
      <c r="A965" s="1568" t="s">
        <v>3068</v>
      </c>
      <c r="B965" s="1567">
        <v>42963</v>
      </c>
      <c r="C965" s="1568" t="s">
        <v>3308</v>
      </c>
      <c r="D965" s="1568" t="s">
        <v>2992</v>
      </c>
      <c r="E965" s="1567">
        <v>44082</v>
      </c>
      <c r="F965" s="1566">
        <v>1041</v>
      </c>
      <c r="G965" s="1566">
        <v>0</v>
      </c>
      <c r="H965" s="1567"/>
      <c r="I965" s="1567">
        <v>46614</v>
      </c>
      <c r="J965" s="1567">
        <v>46614</v>
      </c>
      <c r="K965" s="1568" t="str">
        <f t="shared" ref="K965:K1028" si="15">IF(I965="N/A","No",IF(E965&lt;=I965,"No","Yes"))</f>
        <v>No</v>
      </c>
      <c r="L965" s="1565"/>
    </row>
    <row r="966" spans="1:12" ht="20.100000000000001" customHeight="1">
      <c r="A966" s="1568" t="s">
        <v>3068</v>
      </c>
      <c r="B966" s="1567">
        <v>42963</v>
      </c>
      <c r="C966" s="1568" t="s">
        <v>3308</v>
      </c>
      <c r="D966" s="1568" t="s">
        <v>2992</v>
      </c>
      <c r="E966" s="1567">
        <v>44112</v>
      </c>
      <c r="F966" s="1566">
        <v>1042</v>
      </c>
      <c r="G966" s="1566">
        <v>0</v>
      </c>
      <c r="H966" s="1567"/>
      <c r="I966" s="1567">
        <v>46614</v>
      </c>
      <c r="J966" s="1567">
        <v>46614</v>
      </c>
      <c r="K966" s="1568" t="str">
        <f t="shared" si="15"/>
        <v>No</v>
      </c>
      <c r="L966" s="1565"/>
    </row>
    <row r="967" spans="1:12" ht="20.100000000000001" customHeight="1">
      <c r="A967" s="1568" t="s">
        <v>3068</v>
      </c>
      <c r="B967" s="1567">
        <v>42963</v>
      </c>
      <c r="C967" s="1568" t="s">
        <v>3308</v>
      </c>
      <c r="D967" s="1568" t="s">
        <v>2992</v>
      </c>
      <c r="E967" s="1567">
        <v>44143</v>
      </c>
      <c r="F967" s="1566">
        <v>1042</v>
      </c>
      <c r="G967" s="1566">
        <v>0</v>
      </c>
      <c r="H967" s="1567"/>
      <c r="I967" s="1567">
        <v>46614</v>
      </c>
      <c r="J967" s="1567">
        <v>46614</v>
      </c>
      <c r="K967" s="1568" t="str">
        <f t="shared" si="15"/>
        <v>No</v>
      </c>
      <c r="L967" s="1565"/>
    </row>
    <row r="968" spans="1:12" ht="20.100000000000001" customHeight="1">
      <c r="A968" s="1568" t="s">
        <v>3068</v>
      </c>
      <c r="B968" s="1567">
        <v>42963</v>
      </c>
      <c r="C968" s="1568" t="s">
        <v>3308</v>
      </c>
      <c r="D968" s="1568" t="s">
        <v>2992</v>
      </c>
      <c r="E968" s="1567">
        <v>44173</v>
      </c>
      <c r="F968" s="1566">
        <v>1041</v>
      </c>
      <c r="G968" s="1566">
        <v>0</v>
      </c>
      <c r="H968" s="1567"/>
      <c r="I968" s="1567">
        <v>46614</v>
      </c>
      <c r="J968" s="1567">
        <v>46614</v>
      </c>
      <c r="K968" s="1568" t="str">
        <f t="shared" si="15"/>
        <v>No</v>
      </c>
      <c r="L968" s="1565"/>
    </row>
    <row r="969" spans="1:12" ht="20.100000000000001" customHeight="1">
      <c r="A969" s="1568" t="s">
        <v>3068</v>
      </c>
      <c r="B969" s="1567">
        <v>42963</v>
      </c>
      <c r="C969" s="1568" t="s">
        <v>3308</v>
      </c>
      <c r="D969" s="1568" t="s">
        <v>2992</v>
      </c>
      <c r="E969" s="1567">
        <v>44204</v>
      </c>
      <c r="F969" s="1566">
        <v>1042</v>
      </c>
      <c r="G969" s="1566">
        <v>0</v>
      </c>
      <c r="H969" s="1567"/>
      <c r="I969" s="1567">
        <v>46614</v>
      </c>
      <c r="J969" s="1567">
        <v>46614</v>
      </c>
      <c r="K969" s="1568" t="str">
        <f t="shared" si="15"/>
        <v>No</v>
      </c>
      <c r="L969" s="1565"/>
    </row>
    <row r="970" spans="1:12" ht="20.100000000000001" customHeight="1">
      <c r="A970" s="1568" t="s">
        <v>3068</v>
      </c>
      <c r="B970" s="1567">
        <v>42963</v>
      </c>
      <c r="C970" s="1568" t="s">
        <v>3308</v>
      </c>
      <c r="D970" s="1568" t="s">
        <v>2992</v>
      </c>
      <c r="E970" s="1567">
        <v>44235</v>
      </c>
      <c r="F970" s="1566">
        <v>1042</v>
      </c>
      <c r="G970" s="1566">
        <v>0</v>
      </c>
      <c r="H970" s="1567"/>
      <c r="I970" s="1567">
        <v>46614</v>
      </c>
      <c r="J970" s="1567">
        <v>46614</v>
      </c>
      <c r="K970" s="1568" t="str">
        <f t="shared" si="15"/>
        <v>No</v>
      </c>
      <c r="L970" s="1565"/>
    </row>
    <row r="971" spans="1:12" ht="20.100000000000001" customHeight="1">
      <c r="A971" s="1568" t="s">
        <v>3068</v>
      </c>
      <c r="B971" s="1567">
        <v>42963</v>
      </c>
      <c r="C971" s="1568" t="s">
        <v>3308</v>
      </c>
      <c r="D971" s="1568" t="s">
        <v>2992</v>
      </c>
      <c r="E971" s="1567">
        <v>44263</v>
      </c>
      <c r="F971" s="1566">
        <v>1041</v>
      </c>
      <c r="G971" s="1566">
        <v>0</v>
      </c>
      <c r="H971" s="1567"/>
      <c r="I971" s="1567">
        <v>46614</v>
      </c>
      <c r="J971" s="1567">
        <v>46614</v>
      </c>
      <c r="K971" s="1568" t="str">
        <f t="shared" si="15"/>
        <v>No</v>
      </c>
      <c r="L971" s="1565"/>
    </row>
    <row r="972" spans="1:12" ht="20.100000000000001" customHeight="1">
      <c r="A972" s="1568" t="s">
        <v>3068</v>
      </c>
      <c r="B972" s="1567">
        <v>42963</v>
      </c>
      <c r="C972" s="1568" t="s">
        <v>3308</v>
      </c>
      <c r="D972" s="1568" t="s">
        <v>2992</v>
      </c>
      <c r="E972" s="1567">
        <v>44294</v>
      </c>
      <c r="F972" s="1566">
        <v>1042</v>
      </c>
      <c r="G972" s="1566">
        <v>0</v>
      </c>
      <c r="H972" s="1567"/>
      <c r="I972" s="1567">
        <v>46614</v>
      </c>
      <c r="J972" s="1567">
        <v>46614</v>
      </c>
      <c r="K972" s="1568" t="str">
        <f t="shared" si="15"/>
        <v>No</v>
      </c>
      <c r="L972" s="1565"/>
    </row>
    <row r="973" spans="1:12" ht="20.100000000000001" customHeight="1">
      <c r="A973" s="1568" t="s">
        <v>3068</v>
      </c>
      <c r="B973" s="1567">
        <v>42963</v>
      </c>
      <c r="C973" s="1568" t="s">
        <v>3308</v>
      </c>
      <c r="D973" s="1568" t="s">
        <v>2992</v>
      </c>
      <c r="E973" s="1567">
        <v>44324</v>
      </c>
      <c r="F973" s="1566">
        <v>1042</v>
      </c>
      <c r="G973" s="1566">
        <v>0</v>
      </c>
      <c r="H973" s="1567"/>
      <c r="I973" s="1567">
        <v>46614</v>
      </c>
      <c r="J973" s="1567">
        <v>46614</v>
      </c>
      <c r="K973" s="1568" t="str">
        <f t="shared" si="15"/>
        <v>No</v>
      </c>
      <c r="L973" s="1565"/>
    </row>
    <row r="974" spans="1:12" ht="20.100000000000001" customHeight="1">
      <c r="A974" s="1568" t="s">
        <v>3067</v>
      </c>
      <c r="B974" s="1567">
        <v>43081</v>
      </c>
      <c r="C974" s="1568" t="s">
        <v>3308</v>
      </c>
      <c r="D974" s="1568" t="s">
        <v>2990</v>
      </c>
      <c r="E974" s="1567">
        <v>43081</v>
      </c>
      <c r="F974" s="1566">
        <v>416</v>
      </c>
      <c r="G974" s="1566">
        <v>0</v>
      </c>
      <c r="H974" s="1567"/>
      <c r="I974" s="1567">
        <v>46732</v>
      </c>
      <c r="J974" s="1567">
        <v>46732</v>
      </c>
      <c r="K974" s="1568" t="str">
        <f t="shared" si="15"/>
        <v>No</v>
      </c>
      <c r="L974" s="1565"/>
    </row>
    <row r="975" spans="1:12" ht="20.100000000000001" customHeight="1">
      <c r="A975" s="1568" t="s">
        <v>3067</v>
      </c>
      <c r="B975" s="1567">
        <v>43081</v>
      </c>
      <c r="C975" s="1568" t="s">
        <v>3308</v>
      </c>
      <c r="D975" s="1568" t="s">
        <v>2990</v>
      </c>
      <c r="E975" s="1567">
        <v>43081</v>
      </c>
      <c r="F975" s="1566">
        <v>417</v>
      </c>
      <c r="G975" s="1566">
        <v>0</v>
      </c>
      <c r="H975" s="1567"/>
      <c r="I975" s="1567">
        <v>46732</v>
      </c>
      <c r="J975" s="1567">
        <v>46732</v>
      </c>
      <c r="K975" s="1568" t="str">
        <f t="shared" si="15"/>
        <v>No</v>
      </c>
      <c r="L975" s="1565"/>
    </row>
    <row r="976" spans="1:12" ht="20.100000000000001" customHeight="1">
      <c r="A976" s="1568" t="s">
        <v>3067</v>
      </c>
      <c r="B976" s="1567">
        <v>43081</v>
      </c>
      <c r="C976" s="1568" t="s">
        <v>3308</v>
      </c>
      <c r="D976" s="1568" t="s">
        <v>2990</v>
      </c>
      <c r="E976" s="1567">
        <v>43081</v>
      </c>
      <c r="F976" s="1566">
        <v>417</v>
      </c>
      <c r="G976" s="1566">
        <v>0</v>
      </c>
      <c r="H976" s="1567"/>
      <c r="I976" s="1567">
        <v>46732</v>
      </c>
      <c r="J976" s="1567">
        <v>46732</v>
      </c>
      <c r="K976" s="1568" t="str">
        <f t="shared" si="15"/>
        <v>No</v>
      </c>
      <c r="L976" s="1565"/>
    </row>
    <row r="977" spans="1:12" ht="20.100000000000001" customHeight="1">
      <c r="A977" s="1568" t="s">
        <v>3067</v>
      </c>
      <c r="B977" s="1567">
        <v>43081</v>
      </c>
      <c r="C977" s="1568" t="s">
        <v>3308</v>
      </c>
      <c r="D977" s="1568" t="s">
        <v>2990</v>
      </c>
      <c r="E977" s="1567">
        <v>43081</v>
      </c>
      <c r="F977" s="1566">
        <v>416</v>
      </c>
      <c r="G977" s="1566">
        <v>0</v>
      </c>
      <c r="H977" s="1567"/>
      <c r="I977" s="1567">
        <v>46732</v>
      </c>
      <c r="J977" s="1567">
        <v>46732</v>
      </c>
      <c r="K977" s="1568" t="str">
        <f t="shared" si="15"/>
        <v>No</v>
      </c>
      <c r="L977" s="1565"/>
    </row>
    <row r="978" spans="1:12" ht="20.100000000000001" customHeight="1">
      <c r="A978" s="1568" t="s">
        <v>3067</v>
      </c>
      <c r="B978" s="1567">
        <v>43081</v>
      </c>
      <c r="C978" s="1568" t="s">
        <v>3308</v>
      </c>
      <c r="D978" s="1568" t="s">
        <v>2990</v>
      </c>
      <c r="E978" s="1567">
        <v>43081</v>
      </c>
      <c r="F978" s="1566">
        <v>417</v>
      </c>
      <c r="G978" s="1566">
        <v>0</v>
      </c>
      <c r="H978" s="1567"/>
      <c r="I978" s="1567">
        <v>46732</v>
      </c>
      <c r="J978" s="1567">
        <v>46732</v>
      </c>
      <c r="K978" s="1568" t="str">
        <f t="shared" si="15"/>
        <v>No</v>
      </c>
      <c r="L978" s="1565"/>
    </row>
    <row r="979" spans="1:12" ht="20.100000000000001" customHeight="1">
      <c r="A979" s="1568" t="s">
        <v>3067</v>
      </c>
      <c r="B979" s="1567">
        <v>43081</v>
      </c>
      <c r="C979" s="1568" t="s">
        <v>3308</v>
      </c>
      <c r="D979" s="1568" t="s">
        <v>2990</v>
      </c>
      <c r="E979" s="1567">
        <v>43081</v>
      </c>
      <c r="F979" s="1566">
        <v>417</v>
      </c>
      <c r="G979" s="1566">
        <v>0</v>
      </c>
      <c r="H979" s="1567"/>
      <c r="I979" s="1567">
        <v>46732</v>
      </c>
      <c r="J979" s="1567">
        <v>46732</v>
      </c>
      <c r="K979" s="1568" t="str">
        <f t="shared" si="15"/>
        <v>No</v>
      </c>
      <c r="L979" s="1565"/>
    </row>
    <row r="980" spans="1:12" ht="20.100000000000001" customHeight="1">
      <c r="A980" s="1568" t="s">
        <v>3067</v>
      </c>
      <c r="B980" s="1567">
        <v>43081</v>
      </c>
      <c r="C980" s="1568" t="s">
        <v>3308</v>
      </c>
      <c r="D980" s="1568" t="s">
        <v>2990</v>
      </c>
      <c r="E980" s="1567">
        <v>43081</v>
      </c>
      <c r="F980" s="1566">
        <v>416</v>
      </c>
      <c r="G980" s="1566">
        <v>0</v>
      </c>
      <c r="H980" s="1567"/>
      <c r="I980" s="1567">
        <v>46732</v>
      </c>
      <c r="J980" s="1567">
        <v>46732</v>
      </c>
      <c r="K980" s="1568" t="str">
        <f t="shared" si="15"/>
        <v>No</v>
      </c>
      <c r="L980" s="1565"/>
    </row>
    <row r="981" spans="1:12" ht="20.100000000000001" customHeight="1">
      <c r="A981" s="1568" t="s">
        <v>3067</v>
      </c>
      <c r="B981" s="1567">
        <v>43081</v>
      </c>
      <c r="C981" s="1568" t="s">
        <v>3308</v>
      </c>
      <c r="D981" s="1568" t="s">
        <v>2990</v>
      </c>
      <c r="E981" s="1567">
        <v>43081</v>
      </c>
      <c r="F981" s="1566">
        <v>417</v>
      </c>
      <c r="G981" s="1566">
        <v>0</v>
      </c>
      <c r="H981" s="1567"/>
      <c r="I981" s="1567">
        <v>46732</v>
      </c>
      <c r="J981" s="1567">
        <v>46732</v>
      </c>
      <c r="K981" s="1568" t="str">
        <f t="shared" si="15"/>
        <v>No</v>
      </c>
      <c r="L981" s="1565"/>
    </row>
    <row r="982" spans="1:12" ht="20.100000000000001" customHeight="1">
      <c r="A982" s="1568" t="s">
        <v>3067</v>
      </c>
      <c r="B982" s="1567">
        <v>43081</v>
      </c>
      <c r="C982" s="1568" t="s">
        <v>3308</v>
      </c>
      <c r="D982" s="1568" t="s">
        <v>2990</v>
      </c>
      <c r="E982" s="1567">
        <v>43081</v>
      </c>
      <c r="F982" s="1566">
        <v>417</v>
      </c>
      <c r="G982" s="1566">
        <v>0</v>
      </c>
      <c r="H982" s="1567"/>
      <c r="I982" s="1567">
        <v>46732</v>
      </c>
      <c r="J982" s="1567">
        <v>46732</v>
      </c>
      <c r="K982" s="1568" t="str">
        <f t="shared" si="15"/>
        <v>No</v>
      </c>
      <c r="L982" s="1565"/>
    </row>
    <row r="983" spans="1:12" ht="20.100000000000001" customHeight="1">
      <c r="A983" s="1568" t="s">
        <v>3067</v>
      </c>
      <c r="B983" s="1567">
        <v>43081</v>
      </c>
      <c r="C983" s="1568" t="s">
        <v>3308</v>
      </c>
      <c r="D983" s="1568" t="s">
        <v>2990</v>
      </c>
      <c r="E983" s="1567">
        <v>43083</v>
      </c>
      <c r="F983" s="1566">
        <v>416</v>
      </c>
      <c r="G983" s="1566">
        <v>0</v>
      </c>
      <c r="H983" s="1567"/>
      <c r="I983" s="1567">
        <v>46732</v>
      </c>
      <c r="J983" s="1567">
        <v>46732</v>
      </c>
      <c r="K983" s="1568" t="str">
        <f t="shared" si="15"/>
        <v>No</v>
      </c>
      <c r="L983" s="1565"/>
    </row>
    <row r="984" spans="1:12" ht="20.100000000000001" customHeight="1">
      <c r="A984" s="1568" t="s">
        <v>3067</v>
      </c>
      <c r="B984" s="1567">
        <v>43081</v>
      </c>
      <c r="C984" s="1568" t="s">
        <v>3308</v>
      </c>
      <c r="D984" s="1568" t="s">
        <v>2990</v>
      </c>
      <c r="E984" s="1567">
        <v>43114</v>
      </c>
      <c r="F984" s="1566">
        <v>417</v>
      </c>
      <c r="G984" s="1566">
        <v>0</v>
      </c>
      <c r="H984" s="1567"/>
      <c r="I984" s="1567">
        <v>46732</v>
      </c>
      <c r="J984" s="1567">
        <v>46732</v>
      </c>
      <c r="K984" s="1568" t="str">
        <f t="shared" si="15"/>
        <v>No</v>
      </c>
      <c r="L984" s="1565"/>
    </row>
    <row r="985" spans="1:12" ht="20.100000000000001" customHeight="1">
      <c r="A985" s="1568" t="s">
        <v>3067</v>
      </c>
      <c r="B985" s="1567">
        <v>43081</v>
      </c>
      <c r="C985" s="1568" t="s">
        <v>3308</v>
      </c>
      <c r="D985" s="1568" t="s">
        <v>2990</v>
      </c>
      <c r="E985" s="1567">
        <v>43145</v>
      </c>
      <c r="F985" s="1566">
        <v>417</v>
      </c>
      <c r="G985" s="1566">
        <v>0</v>
      </c>
      <c r="H985" s="1567"/>
      <c r="I985" s="1567">
        <v>46732</v>
      </c>
      <c r="J985" s="1567">
        <v>46732</v>
      </c>
      <c r="K985" s="1568" t="str">
        <f t="shared" si="15"/>
        <v>No</v>
      </c>
      <c r="L985" s="1565"/>
    </row>
    <row r="986" spans="1:12" ht="20.100000000000001" customHeight="1">
      <c r="A986" s="1568" t="s">
        <v>3067</v>
      </c>
      <c r="B986" s="1567">
        <v>43081</v>
      </c>
      <c r="C986" s="1568" t="s">
        <v>3308</v>
      </c>
      <c r="D986" s="1568" t="s">
        <v>2990</v>
      </c>
      <c r="E986" s="1567">
        <v>43173</v>
      </c>
      <c r="F986" s="1566">
        <v>416</v>
      </c>
      <c r="G986" s="1566">
        <v>0</v>
      </c>
      <c r="H986" s="1567"/>
      <c r="I986" s="1567">
        <v>46732</v>
      </c>
      <c r="J986" s="1567">
        <v>46732</v>
      </c>
      <c r="K986" s="1568" t="str">
        <f t="shared" si="15"/>
        <v>No</v>
      </c>
      <c r="L986" s="1565"/>
    </row>
    <row r="987" spans="1:12" ht="20.100000000000001" customHeight="1">
      <c r="A987" s="1568" t="s">
        <v>3067</v>
      </c>
      <c r="B987" s="1567">
        <v>43081</v>
      </c>
      <c r="C987" s="1568" t="s">
        <v>3308</v>
      </c>
      <c r="D987" s="1568" t="s">
        <v>2990</v>
      </c>
      <c r="E987" s="1567">
        <v>43204</v>
      </c>
      <c r="F987" s="1566">
        <v>417</v>
      </c>
      <c r="G987" s="1566">
        <v>0</v>
      </c>
      <c r="H987" s="1567"/>
      <c r="I987" s="1567">
        <v>46732</v>
      </c>
      <c r="J987" s="1567">
        <v>46732</v>
      </c>
      <c r="K987" s="1568" t="str">
        <f t="shared" si="15"/>
        <v>No</v>
      </c>
      <c r="L987" s="1565"/>
    </row>
    <row r="988" spans="1:12" ht="20.100000000000001" customHeight="1">
      <c r="A988" s="1568" t="s">
        <v>3067</v>
      </c>
      <c r="B988" s="1567">
        <v>43081</v>
      </c>
      <c r="C988" s="1568" t="s">
        <v>3308</v>
      </c>
      <c r="D988" s="1568" t="s">
        <v>2990</v>
      </c>
      <c r="E988" s="1567">
        <v>43234</v>
      </c>
      <c r="F988" s="1566">
        <v>417</v>
      </c>
      <c r="G988" s="1566">
        <v>0</v>
      </c>
      <c r="H988" s="1567"/>
      <c r="I988" s="1567">
        <v>46732</v>
      </c>
      <c r="J988" s="1567">
        <v>46732</v>
      </c>
      <c r="K988" s="1568" t="str">
        <f t="shared" si="15"/>
        <v>No</v>
      </c>
      <c r="L988" s="1565"/>
    </row>
    <row r="989" spans="1:12" ht="20.100000000000001" customHeight="1">
      <c r="A989" s="1568" t="s">
        <v>3067</v>
      </c>
      <c r="B989" s="1567">
        <v>43081</v>
      </c>
      <c r="C989" s="1568" t="s">
        <v>3308</v>
      </c>
      <c r="D989" s="1568" t="s">
        <v>2990</v>
      </c>
      <c r="E989" s="1567">
        <v>43265</v>
      </c>
      <c r="F989" s="1566">
        <v>416</v>
      </c>
      <c r="G989" s="1566">
        <v>0</v>
      </c>
      <c r="H989" s="1567"/>
      <c r="I989" s="1567">
        <v>46732</v>
      </c>
      <c r="J989" s="1567">
        <v>46732</v>
      </c>
      <c r="K989" s="1568" t="str">
        <f t="shared" si="15"/>
        <v>No</v>
      </c>
      <c r="L989" s="1565"/>
    </row>
    <row r="990" spans="1:12" ht="20.100000000000001" customHeight="1">
      <c r="A990" s="1568" t="s">
        <v>3067</v>
      </c>
      <c r="B990" s="1567">
        <v>43081</v>
      </c>
      <c r="C990" s="1568" t="s">
        <v>3308</v>
      </c>
      <c r="D990" s="1568" t="s">
        <v>2990</v>
      </c>
      <c r="E990" s="1567">
        <v>43295</v>
      </c>
      <c r="F990" s="1566">
        <v>417</v>
      </c>
      <c r="G990" s="1566">
        <v>0</v>
      </c>
      <c r="H990" s="1567"/>
      <c r="I990" s="1567">
        <v>46732</v>
      </c>
      <c r="J990" s="1567">
        <v>46732</v>
      </c>
      <c r="K990" s="1568" t="str">
        <f t="shared" si="15"/>
        <v>No</v>
      </c>
      <c r="L990" s="1565"/>
    </row>
    <row r="991" spans="1:12" ht="20.100000000000001" customHeight="1">
      <c r="A991" s="1568" t="s">
        <v>3067</v>
      </c>
      <c r="B991" s="1567">
        <v>43081</v>
      </c>
      <c r="C991" s="1568" t="s">
        <v>3308</v>
      </c>
      <c r="D991" s="1568" t="s">
        <v>2990</v>
      </c>
      <c r="E991" s="1567">
        <v>43326</v>
      </c>
      <c r="F991" s="1566">
        <v>417</v>
      </c>
      <c r="G991" s="1566">
        <v>0</v>
      </c>
      <c r="H991" s="1567"/>
      <c r="I991" s="1567">
        <v>46732</v>
      </c>
      <c r="J991" s="1567">
        <v>46732</v>
      </c>
      <c r="K991" s="1568" t="str">
        <f t="shared" si="15"/>
        <v>No</v>
      </c>
      <c r="L991" s="1565"/>
    </row>
    <row r="992" spans="1:12" ht="20.100000000000001" customHeight="1">
      <c r="A992" s="1568" t="s">
        <v>3067</v>
      </c>
      <c r="B992" s="1567">
        <v>43081</v>
      </c>
      <c r="C992" s="1568" t="s">
        <v>3308</v>
      </c>
      <c r="D992" s="1568" t="s">
        <v>2990</v>
      </c>
      <c r="E992" s="1567">
        <v>43357</v>
      </c>
      <c r="F992" s="1566">
        <v>416</v>
      </c>
      <c r="G992" s="1566">
        <v>0</v>
      </c>
      <c r="H992" s="1567"/>
      <c r="I992" s="1567">
        <v>46732</v>
      </c>
      <c r="J992" s="1567">
        <v>46732</v>
      </c>
      <c r="K992" s="1568" t="str">
        <f t="shared" si="15"/>
        <v>No</v>
      </c>
      <c r="L992" s="1565"/>
    </row>
    <row r="993" spans="1:12" ht="20.100000000000001" customHeight="1">
      <c r="A993" s="1568" t="s">
        <v>3067</v>
      </c>
      <c r="B993" s="1567">
        <v>43081</v>
      </c>
      <c r="C993" s="1568" t="s">
        <v>3308</v>
      </c>
      <c r="D993" s="1568" t="s">
        <v>2990</v>
      </c>
      <c r="E993" s="1567">
        <v>43387</v>
      </c>
      <c r="F993" s="1566">
        <v>417</v>
      </c>
      <c r="G993" s="1566">
        <v>0</v>
      </c>
      <c r="H993" s="1567"/>
      <c r="I993" s="1567">
        <v>46732</v>
      </c>
      <c r="J993" s="1567">
        <v>46732</v>
      </c>
      <c r="K993" s="1568" t="str">
        <f t="shared" si="15"/>
        <v>No</v>
      </c>
      <c r="L993" s="1565"/>
    </row>
    <row r="994" spans="1:12" ht="20.100000000000001" customHeight="1">
      <c r="A994" s="1568" t="s">
        <v>3067</v>
      </c>
      <c r="B994" s="1567">
        <v>43081</v>
      </c>
      <c r="C994" s="1568" t="s">
        <v>3308</v>
      </c>
      <c r="D994" s="1568" t="s">
        <v>2990</v>
      </c>
      <c r="E994" s="1567">
        <v>43418</v>
      </c>
      <c r="F994" s="1566">
        <v>417</v>
      </c>
      <c r="G994" s="1566">
        <v>0</v>
      </c>
      <c r="H994" s="1567"/>
      <c r="I994" s="1567">
        <v>46732</v>
      </c>
      <c r="J994" s="1567">
        <v>46732</v>
      </c>
      <c r="K994" s="1568" t="str">
        <f t="shared" si="15"/>
        <v>No</v>
      </c>
      <c r="L994" s="1565"/>
    </row>
    <row r="995" spans="1:12" ht="20.100000000000001" customHeight="1">
      <c r="A995" s="1568" t="s">
        <v>3067</v>
      </c>
      <c r="B995" s="1567">
        <v>43081</v>
      </c>
      <c r="C995" s="1568" t="s">
        <v>3308</v>
      </c>
      <c r="D995" s="1568" t="s">
        <v>2990</v>
      </c>
      <c r="E995" s="1567">
        <v>43448</v>
      </c>
      <c r="F995" s="1566">
        <v>416</v>
      </c>
      <c r="G995" s="1566">
        <v>0</v>
      </c>
      <c r="H995" s="1567"/>
      <c r="I995" s="1567">
        <v>46732</v>
      </c>
      <c r="J995" s="1567">
        <v>46732</v>
      </c>
      <c r="K995" s="1568" t="str">
        <f t="shared" si="15"/>
        <v>No</v>
      </c>
      <c r="L995" s="1565"/>
    </row>
    <row r="996" spans="1:12" ht="20.100000000000001" customHeight="1">
      <c r="A996" s="1568" t="s">
        <v>3067</v>
      </c>
      <c r="B996" s="1567">
        <v>43081</v>
      </c>
      <c r="C996" s="1568" t="s">
        <v>3308</v>
      </c>
      <c r="D996" s="1568" t="s">
        <v>2990</v>
      </c>
      <c r="E996" s="1567">
        <v>43479</v>
      </c>
      <c r="F996" s="1566">
        <v>417</v>
      </c>
      <c r="G996" s="1566">
        <v>0</v>
      </c>
      <c r="H996" s="1567"/>
      <c r="I996" s="1567">
        <v>46732</v>
      </c>
      <c r="J996" s="1567">
        <v>46732</v>
      </c>
      <c r="K996" s="1568" t="str">
        <f t="shared" si="15"/>
        <v>No</v>
      </c>
      <c r="L996" s="1565"/>
    </row>
    <row r="997" spans="1:12" ht="20.100000000000001" customHeight="1">
      <c r="A997" s="1568" t="s">
        <v>3067</v>
      </c>
      <c r="B997" s="1567">
        <v>43081</v>
      </c>
      <c r="C997" s="1568" t="s">
        <v>3308</v>
      </c>
      <c r="D997" s="1568" t="s">
        <v>2990</v>
      </c>
      <c r="E997" s="1567">
        <v>43510</v>
      </c>
      <c r="F997" s="1566">
        <v>417</v>
      </c>
      <c r="G997" s="1566">
        <v>0</v>
      </c>
      <c r="H997" s="1567"/>
      <c r="I997" s="1567">
        <v>46732</v>
      </c>
      <c r="J997" s="1567">
        <v>46732</v>
      </c>
      <c r="K997" s="1568" t="str">
        <f t="shared" si="15"/>
        <v>No</v>
      </c>
      <c r="L997" s="1565"/>
    </row>
    <row r="998" spans="1:12" ht="20.100000000000001" customHeight="1">
      <c r="A998" s="1568" t="s">
        <v>3067</v>
      </c>
      <c r="B998" s="1567">
        <v>43081</v>
      </c>
      <c r="C998" s="1568" t="s">
        <v>3308</v>
      </c>
      <c r="D998" s="1568" t="s">
        <v>2990</v>
      </c>
      <c r="E998" s="1567">
        <v>43538</v>
      </c>
      <c r="F998" s="1566">
        <v>416</v>
      </c>
      <c r="G998" s="1566">
        <v>0</v>
      </c>
      <c r="H998" s="1567"/>
      <c r="I998" s="1567">
        <v>46732</v>
      </c>
      <c r="J998" s="1567">
        <v>46732</v>
      </c>
      <c r="K998" s="1568" t="str">
        <f t="shared" si="15"/>
        <v>No</v>
      </c>
      <c r="L998" s="1565"/>
    </row>
    <row r="999" spans="1:12" ht="20.100000000000001" customHeight="1">
      <c r="A999" s="1568" t="s">
        <v>3067</v>
      </c>
      <c r="B999" s="1567">
        <v>43081</v>
      </c>
      <c r="C999" s="1568" t="s">
        <v>3308</v>
      </c>
      <c r="D999" s="1568" t="s">
        <v>2990</v>
      </c>
      <c r="E999" s="1567">
        <v>43569</v>
      </c>
      <c r="F999" s="1566">
        <v>417</v>
      </c>
      <c r="G999" s="1566">
        <v>0</v>
      </c>
      <c r="H999" s="1567"/>
      <c r="I999" s="1567">
        <v>46732</v>
      </c>
      <c r="J999" s="1567">
        <v>46732</v>
      </c>
      <c r="K999" s="1568" t="str">
        <f t="shared" si="15"/>
        <v>No</v>
      </c>
      <c r="L999" s="1565"/>
    </row>
    <row r="1000" spans="1:12" ht="20.100000000000001" customHeight="1">
      <c r="A1000" s="1568" t="s">
        <v>3067</v>
      </c>
      <c r="B1000" s="1567">
        <v>43081</v>
      </c>
      <c r="C1000" s="1568" t="s">
        <v>3308</v>
      </c>
      <c r="D1000" s="1568" t="s">
        <v>2990</v>
      </c>
      <c r="E1000" s="1567">
        <v>43599</v>
      </c>
      <c r="F1000" s="1566">
        <v>417</v>
      </c>
      <c r="G1000" s="1566">
        <v>0</v>
      </c>
      <c r="H1000" s="1567"/>
      <c r="I1000" s="1567">
        <v>46732</v>
      </c>
      <c r="J1000" s="1567">
        <v>46732</v>
      </c>
      <c r="K1000" s="1568" t="str">
        <f t="shared" si="15"/>
        <v>No</v>
      </c>
      <c r="L1000" s="1565"/>
    </row>
    <row r="1001" spans="1:12" ht="20.100000000000001" customHeight="1">
      <c r="A1001" s="1568" t="s">
        <v>3067</v>
      </c>
      <c r="B1001" s="1567">
        <v>43081</v>
      </c>
      <c r="C1001" s="1568" t="s">
        <v>3308</v>
      </c>
      <c r="D1001" s="1568" t="s">
        <v>2990</v>
      </c>
      <c r="E1001" s="1567">
        <v>43630</v>
      </c>
      <c r="F1001" s="1566">
        <v>416</v>
      </c>
      <c r="G1001" s="1566">
        <v>0</v>
      </c>
      <c r="H1001" s="1567"/>
      <c r="I1001" s="1567">
        <v>46732</v>
      </c>
      <c r="J1001" s="1567">
        <v>46732</v>
      </c>
      <c r="K1001" s="1568" t="str">
        <f t="shared" si="15"/>
        <v>No</v>
      </c>
      <c r="L1001" s="1565"/>
    </row>
    <row r="1002" spans="1:12" ht="20.100000000000001" customHeight="1">
      <c r="A1002" s="1568" t="s">
        <v>3067</v>
      </c>
      <c r="B1002" s="1567">
        <v>43081</v>
      </c>
      <c r="C1002" s="1568" t="s">
        <v>3308</v>
      </c>
      <c r="D1002" s="1568" t="s">
        <v>2990</v>
      </c>
      <c r="E1002" s="1567">
        <v>43660</v>
      </c>
      <c r="F1002" s="1566">
        <v>417</v>
      </c>
      <c r="G1002" s="1566">
        <v>0</v>
      </c>
      <c r="H1002" s="1567"/>
      <c r="I1002" s="1567">
        <v>46732</v>
      </c>
      <c r="J1002" s="1567">
        <v>46732</v>
      </c>
      <c r="K1002" s="1568" t="str">
        <f t="shared" si="15"/>
        <v>No</v>
      </c>
      <c r="L1002" s="1565"/>
    </row>
    <row r="1003" spans="1:12" ht="20.100000000000001" customHeight="1">
      <c r="A1003" s="1568" t="s">
        <v>3067</v>
      </c>
      <c r="B1003" s="1567">
        <v>43081</v>
      </c>
      <c r="C1003" s="1568" t="s">
        <v>3308</v>
      </c>
      <c r="D1003" s="1568" t="s">
        <v>2990</v>
      </c>
      <c r="E1003" s="1567">
        <v>43691</v>
      </c>
      <c r="F1003" s="1566">
        <v>417</v>
      </c>
      <c r="G1003" s="1566">
        <v>0</v>
      </c>
      <c r="H1003" s="1567"/>
      <c r="I1003" s="1567">
        <v>46732</v>
      </c>
      <c r="J1003" s="1567">
        <v>46732</v>
      </c>
      <c r="K1003" s="1568" t="str">
        <f t="shared" si="15"/>
        <v>No</v>
      </c>
      <c r="L1003" s="1565"/>
    </row>
    <row r="1004" spans="1:12" ht="20.100000000000001" customHeight="1">
      <c r="A1004" s="1568" t="s">
        <v>3067</v>
      </c>
      <c r="B1004" s="1567">
        <v>43081</v>
      </c>
      <c r="C1004" s="1568" t="s">
        <v>3308</v>
      </c>
      <c r="D1004" s="1568" t="s">
        <v>2990</v>
      </c>
      <c r="E1004" s="1567">
        <v>43722</v>
      </c>
      <c r="F1004" s="1566">
        <v>416</v>
      </c>
      <c r="G1004" s="1566">
        <v>0</v>
      </c>
      <c r="H1004" s="1567"/>
      <c r="I1004" s="1567">
        <v>46732</v>
      </c>
      <c r="J1004" s="1567">
        <v>46732</v>
      </c>
      <c r="K1004" s="1568" t="str">
        <f t="shared" si="15"/>
        <v>No</v>
      </c>
      <c r="L1004" s="1565"/>
    </row>
    <row r="1005" spans="1:12" ht="20.100000000000001" customHeight="1">
      <c r="A1005" s="1568" t="s">
        <v>3067</v>
      </c>
      <c r="B1005" s="1567">
        <v>43081</v>
      </c>
      <c r="C1005" s="1568" t="s">
        <v>3308</v>
      </c>
      <c r="D1005" s="1568" t="s">
        <v>2990</v>
      </c>
      <c r="E1005" s="1567">
        <v>43752</v>
      </c>
      <c r="F1005" s="1566">
        <v>417</v>
      </c>
      <c r="G1005" s="1566">
        <v>0</v>
      </c>
      <c r="H1005" s="1567"/>
      <c r="I1005" s="1567">
        <v>46732</v>
      </c>
      <c r="J1005" s="1567">
        <v>46732</v>
      </c>
      <c r="K1005" s="1568" t="str">
        <f t="shared" si="15"/>
        <v>No</v>
      </c>
      <c r="L1005" s="1565"/>
    </row>
    <row r="1006" spans="1:12" ht="20.100000000000001" customHeight="1">
      <c r="A1006" s="1568" t="s">
        <v>3067</v>
      </c>
      <c r="B1006" s="1567">
        <v>43081</v>
      </c>
      <c r="C1006" s="1568" t="s">
        <v>3308</v>
      </c>
      <c r="D1006" s="1568" t="s">
        <v>2990</v>
      </c>
      <c r="E1006" s="1567">
        <v>43783</v>
      </c>
      <c r="F1006" s="1566">
        <v>417</v>
      </c>
      <c r="G1006" s="1566">
        <v>0</v>
      </c>
      <c r="H1006" s="1567"/>
      <c r="I1006" s="1567">
        <v>46732</v>
      </c>
      <c r="J1006" s="1567">
        <v>46732</v>
      </c>
      <c r="K1006" s="1568" t="str">
        <f t="shared" si="15"/>
        <v>No</v>
      </c>
      <c r="L1006" s="1565"/>
    </row>
    <row r="1007" spans="1:12" ht="20.100000000000001" customHeight="1">
      <c r="A1007" s="1568" t="s">
        <v>3067</v>
      </c>
      <c r="B1007" s="1567">
        <v>43081</v>
      </c>
      <c r="C1007" s="1568" t="s">
        <v>3308</v>
      </c>
      <c r="D1007" s="1568" t="s">
        <v>2990</v>
      </c>
      <c r="E1007" s="1567">
        <v>43813</v>
      </c>
      <c r="F1007" s="1566">
        <v>416</v>
      </c>
      <c r="G1007" s="1566">
        <v>0</v>
      </c>
      <c r="H1007" s="1567"/>
      <c r="I1007" s="1567">
        <v>46732</v>
      </c>
      <c r="J1007" s="1567">
        <v>46732</v>
      </c>
      <c r="K1007" s="1568" t="str">
        <f t="shared" si="15"/>
        <v>No</v>
      </c>
      <c r="L1007" s="1565"/>
    </row>
    <row r="1008" spans="1:12" ht="20.100000000000001" customHeight="1">
      <c r="A1008" s="1568" t="s">
        <v>3067</v>
      </c>
      <c r="B1008" s="1567">
        <v>43081</v>
      </c>
      <c r="C1008" s="1568" t="s">
        <v>3308</v>
      </c>
      <c r="D1008" s="1568" t="s">
        <v>2990</v>
      </c>
      <c r="E1008" s="1567">
        <v>43844</v>
      </c>
      <c r="F1008" s="1566">
        <v>417</v>
      </c>
      <c r="G1008" s="1566">
        <v>0</v>
      </c>
      <c r="H1008" s="1567"/>
      <c r="I1008" s="1567">
        <v>46732</v>
      </c>
      <c r="J1008" s="1567">
        <v>46732</v>
      </c>
      <c r="K1008" s="1568" t="str">
        <f t="shared" si="15"/>
        <v>No</v>
      </c>
      <c r="L1008" s="1565"/>
    </row>
    <row r="1009" spans="1:12" ht="20.100000000000001" customHeight="1">
      <c r="A1009" s="1568" t="s">
        <v>3067</v>
      </c>
      <c r="B1009" s="1567">
        <v>43081</v>
      </c>
      <c r="C1009" s="1568" t="s">
        <v>3308</v>
      </c>
      <c r="D1009" s="1568" t="s">
        <v>2990</v>
      </c>
      <c r="E1009" s="1567">
        <v>43875</v>
      </c>
      <c r="F1009" s="1566">
        <v>417</v>
      </c>
      <c r="G1009" s="1566">
        <v>0</v>
      </c>
      <c r="H1009" s="1567"/>
      <c r="I1009" s="1567">
        <v>46732</v>
      </c>
      <c r="J1009" s="1567">
        <v>46732</v>
      </c>
      <c r="K1009" s="1568" t="str">
        <f t="shared" si="15"/>
        <v>No</v>
      </c>
      <c r="L1009" s="1565"/>
    </row>
    <row r="1010" spans="1:12" ht="20.100000000000001" customHeight="1">
      <c r="A1010" s="1568" t="s">
        <v>3067</v>
      </c>
      <c r="B1010" s="1567">
        <v>43081</v>
      </c>
      <c r="C1010" s="1568" t="s">
        <v>3308</v>
      </c>
      <c r="D1010" s="1568" t="s">
        <v>2990</v>
      </c>
      <c r="E1010" s="1567">
        <v>43904</v>
      </c>
      <c r="F1010" s="1566">
        <v>416</v>
      </c>
      <c r="G1010" s="1566">
        <v>0</v>
      </c>
      <c r="H1010" s="1567"/>
      <c r="I1010" s="1567">
        <v>46732</v>
      </c>
      <c r="J1010" s="1567">
        <v>46732</v>
      </c>
      <c r="K1010" s="1568" t="str">
        <f t="shared" si="15"/>
        <v>No</v>
      </c>
      <c r="L1010" s="1565"/>
    </row>
    <row r="1011" spans="1:12" ht="20.100000000000001" customHeight="1">
      <c r="A1011" s="1568" t="s">
        <v>3067</v>
      </c>
      <c r="B1011" s="1567">
        <v>43081</v>
      </c>
      <c r="C1011" s="1568" t="s">
        <v>3308</v>
      </c>
      <c r="D1011" s="1568" t="s">
        <v>2990</v>
      </c>
      <c r="E1011" s="1567">
        <v>43935</v>
      </c>
      <c r="F1011" s="1566">
        <v>417</v>
      </c>
      <c r="G1011" s="1566">
        <v>0</v>
      </c>
      <c r="H1011" s="1567"/>
      <c r="I1011" s="1567">
        <v>46732</v>
      </c>
      <c r="J1011" s="1567">
        <v>46732</v>
      </c>
      <c r="K1011" s="1568" t="str">
        <f t="shared" si="15"/>
        <v>No</v>
      </c>
      <c r="L1011" s="1565"/>
    </row>
    <row r="1012" spans="1:12" ht="20.100000000000001" customHeight="1">
      <c r="A1012" s="1568" t="s">
        <v>3067</v>
      </c>
      <c r="B1012" s="1567">
        <v>43081</v>
      </c>
      <c r="C1012" s="1568" t="s">
        <v>3308</v>
      </c>
      <c r="D1012" s="1568" t="s">
        <v>2990</v>
      </c>
      <c r="E1012" s="1567">
        <v>43965</v>
      </c>
      <c r="F1012" s="1566">
        <v>417</v>
      </c>
      <c r="G1012" s="1566">
        <v>0</v>
      </c>
      <c r="H1012" s="1567"/>
      <c r="I1012" s="1567">
        <v>46732</v>
      </c>
      <c r="J1012" s="1567">
        <v>46732</v>
      </c>
      <c r="K1012" s="1568" t="str">
        <f t="shared" si="15"/>
        <v>No</v>
      </c>
      <c r="L1012" s="1565"/>
    </row>
    <row r="1013" spans="1:12" ht="20.100000000000001" customHeight="1">
      <c r="A1013" s="1568" t="s">
        <v>3067</v>
      </c>
      <c r="B1013" s="1567">
        <v>43081</v>
      </c>
      <c r="C1013" s="1568" t="s">
        <v>3308</v>
      </c>
      <c r="D1013" s="1568" t="s">
        <v>2990</v>
      </c>
      <c r="E1013" s="1567">
        <v>43996</v>
      </c>
      <c r="F1013" s="1566">
        <v>416</v>
      </c>
      <c r="G1013" s="1566">
        <v>0</v>
      </c>
      <c r="H1013" s="1567"/>
      <c r="I1013" s="1567">
        <v>46732</v>
      </c>
      <c r="J1013" s="1567">
        <v>46732</v>
      </c>
      <c r="K1013" s="1568" t="str">
        <f t="shared" si="15"/>
        <v>No</v>
      </c>
      <c r="L1013" s="1565"/>
    </row>
    <row r="1014" spans="1:12" ht="20.100000000000001" customHeight="1">
      <c r="A1014" s="1568" t="s">
        <v>3067</v>
      </c>
      <c r="B1014" s="1567">
        <v>43081</v>
      </c>
      <c r="C1014" s="1568" t="s">
        <v>3308</v>
      </c>
      <c r="D1014" s="1568" t="s">
        <v>2990</v>
      </c>
      <c r="E1014" s="1567">
        <v>44026</v>
      </c>
      <c r="F1014" s="1566">
        <v>417</v>
      </c>
      <c r="G1014" s="1566">
        <v>0</v>
      </c>
      <c r="H1014" s="1567"/>
      <c r="I1014" s="1567">
        <v>46732</v>
      </c>
      <c r="J1014" s="1567">
        <v>46732</v>
      </c>
      <c r="K1014" s="1568" t="str">
        <f t="shared" si="15"/>
        <v>No</v>
      </c>
      <c r="L1014" s="1565"/>
    </row>
    <row r="1015" spans="1:12" ht="20.100000000000001" customHeight="1">
      <c r="A1015" s="1568" t="s">
        <v>3067</v>
      </c>
      <c r="B1015" s="1567">
        <v>43081</v>
      </c>
      <c r="C1015" s="1568" t="s">
        <v>3308</v>
      </c>
      <c r="D1015" s="1568" t="s">
        <v>2990</v>
      </c>
      <c r="E1015" s="1567">
        <v>44057</v>
      </c>
      <c r="F1015" s="1566">
        <v>417</v>
      </c>
      <c r="G1015" s="1566">
        <v>0</v>
      </c>
      <c r="H1015" s="1567"/>
      <c r="I1015" s="1567">
        <v>46732</v>
      </c>
      <c r="J1015" s="1567">
        <v>46732</v>
      </c>
      <c r="K1015" s="1568" t="str">
        <f t="shared" si="15"/>
        <v>No</v>
      </c>
      <c r="L1015" s="1565"/>
    </row>
    <row r="1016" spans="1:12" ht="20.100000000000001" customHeight="1">
      <c r="A1016" s="1568" t="s">
        <v>3067</v>
      </c>
      <c r="B1016" s="1567">
        <v>43081</v>
      </c>
      <c r="C1016" s="1568" t="s">
        <v>3308</v>
      </c>
      <c r="D1016" s="1568" t="s">
        <v>2990</v>
      </c>
      <c r="E1016" s="1567">
        <v>44088</v>
      </c>
      <c r="F1016" s="1566">
        <v>416</v>
      </c>
      <c r="G1016" s="1566">
        <v>0</v>
      </c>
      <c r="H1016" s="1567"/>
      <c r="I1016" s="1567">
        <v>46732</v>
      </c>
      <c r="J1016" s="1567">
        <v>46732</v>
      </c>
      <c r="K1016" s="1568" t="str">
        <f t="shared" si="15"/>
        <v>No</v>
      </c>
      <c r="L1016" s="1565"/>
    </row>
    <row r="1017" spans="1:12" ht="20.100000000000001" customHeight="1">
      <c r="A1017" s="1568" t="s">
        <v>3067</v>
      </c>
      <c r="B1017" s="1567">
        <v>43081</v>
      </c>
      <c r="C1017" s="1568" t="s">
        <v>3308</v>
      </c>
      <c r="D1017" s="1568" t="s">
        <v>2990</v>
      </c>
      <c r="E1017" s="1567">
        <v>44118</v>
      </c>
      <c r="F1017" s="1566">
        <v>417</v>
      </c>
      <c r="G1017" s="1566">
        <v>0</v>
      </c>
      <c r="H1017" s="1567"/>
      <c r="I1017" s="1567">
        <v>46732</v>
      </c>
      <c r="J1017" s="1567">
        <v>46732</v>
      </c>
      <c r="K1017" s="1568" t="str">
        <f t="shared" si="15"/>
        <v>No</v>
      </c>
      <c r="L1017" s="1565"/>
    </row>
    <row r="1018" spans="1:12" ht="20.100000000000001" customHeight="1">
      <c r="A1018" s="1568" t="s">
        <v>3067</v>
      </c>
      <c r="B1018" s="1567">
        <v>43081</v>
      </c>
      <c r="C1018" s="1568" t="s">
        <v>3308</v>
      </c>
      <c r="D1018" s="1568" t="s">
        <v>2990</v>
      </c>
      <c r="E1018" s="1567">
        <v>44149</v>
      </c>
      <c r="F1018" s="1566">
        <v>417</v>
      </c>
      <c r="G1018" s="1566">
        <v>0</v>
      </c>
      <c r="H1018" s="1567"/>
      <c r="I1018" s="1567">
        <v>46732</v>
      </c>
      <c r="J1018" s="1567">
        <v>46732</v>
      </c>
      <c r="K1018" s="1568" t="str">
        <f t="shared" si="15"/>
        <v>No</v>
      </c>
      <c r="L1018" s="1565"/>
    </row>
    <row r="1019" spans="1:12" ht="20.100000000000001" customHeight="1">
      <c r="A1019" s="1568" t="s">
        <v>3067</v>
      </c>
      <c r="B1019" s="1567">
        <v>43081</v>
      </c>
      <c r="C1019" s="1568" t="s">
        <v>3308</v>
      </c>
      <c r="D1019" s="1568" t="s">
        <v>2990</v>
      </c>
      <c r="E1019" s="1567">
        <v>44179</v>
      </c>
      <c r="F1019" s="1566">
        <v>416</v>
      </c>
      <c r="G1019" s="1566">
        <v>0</v>
      </c>
      <c r="H1019" s="1567"/>
      <c r="I1019" s="1567">
        <v>46732</v>
      </c>
      <c r="J1019" s="1567">
        <v>46732</v>
      </c>
      <c r="K1019" s="1568" t="str">
        <f t="shared" si="15"/>
        <v>No</v>
      </c>
      <c r="L1019" s="1565"/>
    </row>
    <row r="1020" spans="1:12" ht="20.100000000000001" customHeight="1">
      <c r="A1020" s="1568" t="s">
        <v>3067</v>
      </c>
      <c r="B1020" s="1567">
        <v>43081</v>
      </c>
      <c r="C1020" s="1568" t="s">
        <v>3308</v>
      </c>
      <c r="D1020" s="1568" t="s">
        <v>2990</v>
      </c>
      <c r="E1020" s="1567">
        <v>44210</v>
      </c>
      <c r="F1020" s="1566">
        <v>417</v>
      </c>
      <c r="G1020" s="1566">
        <v>0</v>
      </c>
      <c r="H1020" s="1567"/>
      <c r="I1020" s="1567">
        <v>46732</v>
      </c>
      <c r="J1020" s="1567">
        <v>46732</v>
      </c>
      <c r="K1020" s="1568" t="str">
        <f t="shared" si="15"/>
        <v>No</v>
      </c>
      <c r="L1020" s="1565"/>
    </row>
    <row r="1021" spans="1:12" ht="20.100000000000001" customHeight="1">
      <c r="A1021" s="1568" t="s">
        <v>3067</v>
      </c>
      <c r="B1021" s="1567">
        <v>43081</v>
      </c>
      <c r="C1021" s="1568" t="s">
        <v>3308</v>
      </c>
      <c r="D1021" s="1568" t="s">
        <v>2990</v>
      </c>
      <c r="E1021" s="1567">
        <v>44241</v>
      </c>
      <c r="F1021" s="1566">
        <v>417</v>
      </c>
      <c r="G1021" s="1566">
        <v>0</v>
      </c>
      <c r="H1021" s="1567"/>
      <c r="I1021" s="1567">
        <v>46732</v>
      </c>
      <c r="J1021" s="1567">
        <v>46732</v>
      </c>
      <c r="K1021" s="1568" t="str">
        <f t="shared" si="15"/>
        <v>No</v>
      </c>
      <c r="L1021" s="1565"/>
    </row>
    <row r="1022" spans="1:12" ht="20.100000000000001" customHeight="1">
      <c r="A1022" s="1568" t="s">
        <v>3065</v>
      </c>
      <c r="B1022" s="1567">
        <v>43081</v>
      </c>
      <c r="C1022" s="1568" t="s">
        <v>3308</v>
      </c>
      <c r="D1022" s="1568" t="s">
        <v>2967</v>
      </c>
      <c r="E1022" s="1567">
        <v>43368</v>
      </c>
      <c r="F1022" s="1566">
        <v>1000</v>
      </c>
      <c r="G1022" s="1566">
        <v>0</v>
      </c>
      <c r="H1022" s="1567"/>
      <c r="I1022" s="1567">
        <v>46732</v>
      </c>
      <c r="J1022" s="1567">
        <v>46732</v>
      </c>
      <c r="K1022" s="1568" t="str">
        <f t="shared" si="15"/>
        <v>No</v>
      </c>
      <c r="L1022" s="1565"/>
    </row>
    <row r="1023" spans="1:12" ht="20.100000000000001" customHeight="1">
      <c r="A1023" s="1568" t="s">
        <v>3065</v>
      </c>
      <c r="B1023" s="1567">
        <v>43081</v>
      </c>
      <c r="C1023" s="1568" t="s">
        <v>3308</v>
      </c>
      <c r="D1023" s="1568" t="s">
        <v>2967</v>
      </c>
      <c r="E1023" s="1567">
        <v>43398</v>
      </c>
      <c r="F1023" s="1566">
        <v>83</v>
      </c>
      <c r="G1023" s="1566">
        <v>0</v>
      </c>
      <c r="H1023" s="1567"/>
      <c r="I1023" s="1567">
        <v>46732</v>
      </c>
      <c r="J1023" s="1567">
        <v>46732</v>
      </c>
      <c r="K1023" s="1568" t="str">
        <f t="shared" si="15"/>
        <v>No</v>
      </c>
      <c r="L1023" s="1565"/>
    </row>
    <row r="1024" spans="1:12" ht="20.100000000000001" customHeight="1">
      <c r="A1024" s="1568" t="s">
        <v>3065</v>
      </c>
      <c r="B1024" s="1567">
        <v>43081</v>
      </c>
      <c r="C1024" s="1568" t="s">
        <v>3308</v>
      </c>
      <c r="D1024" s="1568" t="s">
        <v>2967</v>
      </c>
      <c r="E1024" s="1567">
        <v>43429</v>
      </c>
      <c r="F1024" s="1566">
        <v>83</v>
      </c>
      <c r="G1024" s="1566">
        <v>0</v>
      </c>
      <c r="H1024" s="1567"/>
      <c r="I1024" s="1567">
        <v>46732</v>
      </c>
      <c r="J1024" s="1567">
        <v>46732</v>
      </c>
      <c r="K1024" s="1568" t="str">
        <f t="shared" si="15"/>
        <v>No</v>
      </c>
      <c r="L1024" s="1565"/>
    </row>
    <row r="1025" spans="1:12" ht="20.100000000000001" customHeight="1">
      <c r="A1025" s="1568" t="s">
        <v>3065</v>
      </c>
      <c r="B1025" s="1567">
        <v>43081</v>
      </c>
      <c r="C1025" s="1568" t="s">
        <v>3308</v>
      </c>
      <c r="D1025" s="1568" t="s">
        <v>2967</v>
      </c>
      <c r="E1025" s="1567">
        <v>43459</v>
      </c>
      <c r="F1025" s="1566">
        <v>84</v>
      </c>
      <c r="G1025" s="1566">
        <v>0</v>
      </c>
      <c r="H1025" s="1567"/>
      <c r="I1025" s="1567">
        <v>46732</v>
      </c>
      <c r="J1025" s="1567">
        <v>46732</v>
      </c>
      <c r="K1025" s="1568" t="str">
        <f t="shared" si="15"/>
        <v>No</v>
      </c>
      <c r="L1025" s="1565"/>
    </row>
    <row r="1026" spans="1:12" ht="20.100000000000001" customHeight="1">
      <c r="A1026" s="1568" t="s">
        <v>3065</v>
      </c>
      <c r="B1026" s="1567">
        <v>43081</v>
      </c>
      <c r="C1026" s="1568" t="s">
        <v>3308</v>
      </c>
      <c r="D1026" s="1568" t="s">
        <v>2967</v>
      </c>
      <c r="E1026" s="1567">
        <v>43490</v>
      </c>
      <c r="F1026" s="1566">
        <v>83</v>
      </c>
      <c r="G1026" s="1566">
        <v>0</v>
      </c>
      <c r="H1026" s="1567"/>
      <c r="I1026" s="1567">
        <v>46732</v>
      </c>
      <c r="J1026" s="1567">
        <v>46732</v>
      </c>
      <c r="K1026" s="1568" t="str">
        <f t="shared" si="15"/>
        <v>No</v>
      </c>
      <c r="L1026" s="1565"/>
    </row>
    <row r="1027" spans="1:12" ht="20.100000000000001" customHeight="1">
      <c r="A1027" s="1568" t="s">
        <v>3065</v>
      </c>
      <c r="B1027" s="1567">
        <v>43081</v>
      </c>
      <c r="C1027" s="1568" t="s">
        <v>3308</v>
      </c>
      <c r="D1027" s="1568" t="s">
        <v>2967</v>
      </c>
      <c r="E1027" s="1567">
        <v>43521</v>
      </c>
      <c r="F1027" s="1566">
        <v>83</v>
      </c>
      <c r="G1027" s="1566">
        <v>0</v>
      </c>
      <c r="H1027" s="1567"/>
      <c r="I1027" s="1567">
        <v>46732</v>
      </c>
      <c r="J1027" s="1567">
        <v>46732</v>
      </c>
      <c r="K1027" s="1568" t="str">
        <f t="shared" si="15"/>
        <v>No</v>
      </c>
      <c r="L1027" s="1565"/>
    </row>
    <row r="1028" spans="1:12" ht="20.100000000000001" customHeight="1">
      <c r="A1028" s="1568" t="s">
        <v>3065</v>
      </c>
      <c r="B1028" s="1567">
        <v>43081</v>
      </c>
      <c r="C1028" s="1568" t="s">
        <v>3308</v>
      </c>
      <c r="D1028" s="1568" t="s">
        <v>2967</v>
      </c>
      <c r="E1028" s="1567">
        <v>43549</v>
      </c>
      <c r="F1028" s="1566">
        <v>84</v>
      </c>
      <c r="G1028" s="1566">
        <v>0</v>
      </c>
      <c r="H1028" s="1567"/>
      <c r="I1028" s="1567">
        <v>46732</v>
      </c>
      <c r="J1028" s="1567">
        <v>46732</v>
      </c>
      <c r="K1028" s="1568" t="str">
        <f t="shared" si="15"/>
        <v>No</v>
      </c>
      <c r="L1028" s="1565"/>
    </row>
    <row r="1029" spans="1:12" ht="20.100000000000001" customHeight="1">
      <c r="A1029" s="1568" t="s">
        <v>3065</v>
      </c>
      <c r="B1029" s="1567">
        <v>43081</v>
      </c>
      <c r="C1029" s="1568" t="s">
        <v>3308</v>
      </c>
      <c r="D1029" s="1568" t="s">
        <v>2967</v>
      </c>
      <c r="E1029" s="1567">
        <v>43580</v>
      </c>
      <c r="F1029" s="1566">
        <v>83</v>
      </c>
      <c r="G1029" s="1566">
        <v>0</v>
      </c>
      <c r="H1029" s="1567"/>
      <c r="I1029" s="1567">
        <v>46732</v>
      </c>
      <c r="J1029" s="1567">
        <v>46732</v>
      </c>
      <c r="K1029" s="1568" t="str">
        <f t="shared" ref="K1029:K1092" si="16">IF(I1029="N/A","No",IF(E1029&lt;=I1029,"No","Yes"))</f>
        <v>No</v>
      </c>
      <c r="L1029" s="1565"/>
    </row>
    <row r="1030" spans="1:12" ht="20.100000000000001" customHeight="1">
      <c r="A1030" s="1568" t="s">
        <v>3065</v>
      </c>
      <c r="B1030" s="1567">
        <v>43081</v>
      </c>
      <c r="C1030" s="1568" t="s">
        <v>3308</v>
      </c>
      <c r="D1030" s="1568" t="s">
        <v>2967</v>
      </c>
      <c r="E1030" s="1567">
        <v>43610</v>
      </c>
      <c r="F1030" s="1566">
        <v>83</v>
      </c>
      <c r="G1030" s="1566">
        <v>0</v>
      </c>
      <c r="H1030" s="1567"/>
      <c r="I1030" s="1567">
        <v>46732</v>
      </c>
      <c r="J1030" s="1567">
        <v>46732</v>
      </c>
      <c r="K1030" s="1568" t="str">
        <f t="shared" si="16"/>
        <v>No</v>
      </c>
      <c r="L1030" s="1565"/>
    </row>
    <row r="1031" spans="1:12" ht="20.100000000000001" customHeight="1">
      <c r="A1031" s="1568" t="s">
        <v>3065</v>
      </c>
      <c r="B1031" s="1567">
        <v>43081</v>
      </c>
      <c r="C1031" s="1568" t="s">
        <v>3308</v>
      </c>
      <c r="D1031" s="1568" t="s">
        <v>2967</v>
      </c>
      <c r="E1031" s="1567">
        <v>43641</v>
      </c>
      <c r="F1031" s="1566">
        <v>84</v>
      </c>
      <c r="G1031" s="1566">
        <v>0</v>
      </c>
      <c r="H1031" s="1567"/>
      <c r="I1031" s="1567">
        <v>46732</v>
      </c>
      <c r="J1031" s="1567">
        <v>46732</v>
      </c>
      <c r="K1031" s="1568" t="str">
        <f t="shared" si="16"/>
        <v>No</v>
      </c>
      <c r="L1031" s="1565"/>
    </row>
    <row r="1032" spans="1:12" ht="20.100000000000001" customHeight="1">
      <c r="A1032" s="1568" t="s">
        <v>3065</v>
      </c>
      <c r="B1032" s="1567">
        <v>43081</v>
      </c>
      <c r="C1032" s="1568" t="s">
        <v>3308</v>
      </c>
      <c r="D1032" s="1568" t="s">
        <v>2967</v>
      </c>
      <c r="E1032" s="1567">
        <v>43671</v>
      </c>
      <c r="F1032" s="1566">
        <v>83</v>
      </c>
      <c r="G1032" s="1566">
        <v>0</v>
      </c>
      <c r="H1032" s="1567"/>
      <c r="I1032" s="1567">
        <v>46732</v>
      </c>
      <c r="J1032" s="1567">
        <v>46732</v>
      </c>
      <c r="K1032" s="1568" t="str">
        <f t="shared" si="16"/>
        <v>No</v>
      </c>
      <c r="L1032" s="1565"/>
    </row>
    <row r="1033" spans="1:12" ht="20.100000000000001" customHeight="1">
      <c r="A1033" s="1568" t="s">
        <v>3065</v>
      </c>
      <c r="B1033" s="1567">
        <v>43081</v>
      </c>
      <c r="C1033" s="1568" t="s">
        <v>3308</v>
      </c>
      <c r="D1033" s="1568" t="s">
        <v>2967</v>
      </c>
      <c r="E1033" s="1567">
        <v>43702</v>
      </c>
      <c r="F1033" s="1566">
        <v>83</v>
      </c>
      <c r="G1033" s="1566">
        <v>0</v>
      </c>
      <c r="H1033" s="1567"/>
      <c r="I1033" s="1567">
        <v>46732</v>
      </c>
      <c r="J1033" s="1567">
        <v>46732</v>
      </c>
      <c r="K1033" s="1568" t="str">
        <f t="shared" si="16"/>
        <v>No</v>
      </c>
      <c r="L1033" s="1565"/>
    </row>
    <row r="1034" spans="1:12" ht="20.100000000000001" customHeight="1">
      <c r="A1034" s="1568" t="s">
        <v>3065</v>
      </c>
      <c r="B1034" s="1567">
        <v>43081</v>
      </c>
      <c r="C1034" s="1568" t="s">
        <v>3308</v>
      </c>
      <c r="D1034" s="1568" t="s">
        <v>2967</v>
      </c>
      <c r="E1034" s="1567">
        <v>43733</v>
      </c>
      <c r="F1034" s="1566">
        <v>84</v>
      </c>
      <c r="G1034" s="1566">
        <v>0</v>
      </c>
      <c r="H1034" s="1567"/>
      <c r="I1034" s="1567">
        <v>46732</v>
      </c>
      <c r="J1034" s="1567">
        <v>46732</v>
      </c>
      <c r="K1034" s="1568" t="str">
        <f t="shared" si="16"/>
        <v>No</v>
      </c>
      <c r="L1034" s="1565"/>
    </row>
    <row r="1035" spans="1:12" ht="20.100000000000001" customHeight="1">
      <c r="A1035" s="1568" t="s">
        <v>3065</v>
      </c>
      <c r="B1035" s="1567">
        <v>43081</v>
      </c>
      <c r="C1035" s="1568" t="s">
        <v>3308</v>
      </c>
      <c r="D1035" s="1568" t="s">
        <v>2967</v>
      </c>
      <c r="E1035" s="1567">
        <v>43763</v>
      </c>
      <c r="F1035" s="1566">
        <v>83</v>
      </c>
      <c r="G1035" s="1566">
        <v>0</v>
      </c>
      <c r="H1035" s="1567"/>
      <c r="I1035" s="1567">
        <v>46732</v>
      </c>
      <c r="J1035" s="1567">
        <v>46732</v>
      </c>
      <c r="K1035" s="1568" t="str">
        <f t="shared" si="16"/>
        <v>No</v>
      </c>
      <c r="L1035" s="1565"/>
    </row>
    <row r="1036" spans="1:12" ht="20.100000000000001" customHeight="1">
      <c r="A1036" s="1568" t="s">
        <v>3065</v>
      </c>
      <c r="B1036" s="1567">
        <v>43081</v>
      </c>
      <c r="C1036" s="1568" t="s">
        <v>3308</v>
      </c>
      <c r="D1036" s="1568" t="s">
        <v>2967</v>
      </c>
      <c r="E1036" s="1567">
        <v>43794</v>
      </c>
      <c r="F1036" s="1566">
        <v>83</v>
      </c>
      <c r="G1036" s="1566">
        <v>0</v>
      </c>
      <c r="H1036" s="1567"/>
      <c r="I1036" s="1567">
        <v>46732</v>
      </c>
      <c r="J1036" s="1567">
        <v>46732</v>
      </c>
      <c r="K1036" s="1568" t="str">
        <f t="shared" si="16"/>
        <v>No</v>
      </c>
      <c r="L1036" s="1565"/>
    </row>
    <row r="1037" spans="1:12" ht="20.100000000000001" customHeight="1">
      <c r="A1037" s="1568" t="s">
        <v>3065</v>
      </c>
      <c r="B1037" s="1567">
        <v>43081</v>
      </c>
      <c r="C1037" s="1568" t="s">
        <v>3308</v>
      </c>
      <c r="D1037" s="1568" t="s">
        <v>2967</v>
      </c>
      <c r="E1037" s="1567">
        <v>43824</v>
      </c>
      <c r="F1037" s="1566">
        <v>84</v>
      </c>
      <c r="G1037" s="1566">
        <v>0</v>
      </c>
      <c r="H1037" s="1567"/>
      <c r="I1037" s="1567">
        <v>46732</v>
      </c>
      <c r="J1037" s="1567">
        <v>46732</v>
      </c>
      <c r="K1037" s="1568" t="str">
        <f t="shared" si="16"/>
        <v>No</v>
      </c>
      <c r="L1037" s="1565"/>
    </row>
    <row r="1038" spans="1:12" ht="20.100000000000001" customHeight="1">
      <c r="A1038" s="1568" t="s">
        <v>3065</v>
      </c>
      <c r="B1038" s="1567">
        <v>43081</v>
      </c>
      <c r="C1038" s="1568" t="s">
        <v>3308</v>
      </c>
      <c r="D1038" s="1568" t="s">
        <v>2967</v>
      </c>
      <c r="E1038" s="1567">
        <v>43855</v>
      </c>
      <c r="F1038" s="1566">
        <v>83</v>
      </c>
      <c r="G1038" s="1566">
        <v>0</v>
      </c>
      <c r="H1038" s="1567"/>
      <c r="I1038" s="1567">
        <v>46732</v>
      </c>
      <c r="J1038" s="1567">
        <v>46732</v>
      </c>
      <c r="K1038" s="1568" t="str">
        <f t="shared" si="16"/>
        <v>No</v>
      </c>
      <c r="L1038" s="1565"/>
    </row>
    <row r="1039" spans="1:12" ht="20.100000000000001" customHeight="1">
      <c r="A1039" s="1568" t="s">
        <v>3065</v>
      </c>
      <c r="B1039" s="1567">
        <v>43081</v>
      </c>
      <c r="C1039" s="1568" t="s">
        <v>3308</v>
      </c>
      <c r="D1039" s="1568" t="s">
        <v>2967</v>
      </c>
      <c r="E1039" s="1567">
        <v>43886</v>
      </c>
      <c r="F1039" s="1566">
        <v>83</v>
      </c>
      <c r="G1039" s="1566">
        <v>0</v>
      </c>
      <c r="H1039" s="1567"/>
      <c r="I1039" s="1567">
        <v>46732</v>
      </c>
      <c r="J1039" s="1567">
        <v>46732</v>
      </c>
      <c r="K1039" s="1568" t="str">
        <f t="shared" si="16"/>
        <v>No</v>
      </c>
      <c r="L1039" s="1565"/>
    </row>
    <row r="1040" spans="1:12" ht="20.100000000000001" customHeight="1">
      <c r="A1040" s="1568" t="s">
        <v>3065</v>
      </c>
      <c r="B1040" s="1567">
        <v>43081</v>
      </c>
      <c r="C1040" s="1568" t="s">
        <v>3308</v>
      </c>
      <c r="D1040" s="1568" t="s">
        <v>2967</v>
      </c>
      <c r="E1040" s="1567">
        <v>43915</v>
      </c>
      <c r="F1040" s="1566">
        <v>84</v>
      </c>
      <c r="G1040" s="1566">
        <v>0</v>
      </c>
      <c r="H1040" s="1567"/>
      <c r="I1040" s="1567">
        <v>46732</v>
      </c>
      <c r="J1040" s="1567">
        <v>46732</v>
      </c>
      <c r="K1040" s="1568" t="str">
        <f t="shared" si="16"/>
        <v>No</v>
      </c>
      <c r="L1040" s="1565"/>
    </row>
    <row r="1041" spans="1:12" ht="20.100000000000001" customHeight="1">
      <c r="A1041" s="1568" t="s">
        <v>3065</v>
      </c>
      <c r="B1041" s="1567">
        <v>43081</v>
      </c>
      <c r="C1041" s="1568" t="s">
        <v>3308</v>
      </c>
      <c r="D1041" s="1568" t="s">
        <v>2967</v>
      </c>
      <c r="E1041" s="1567">
        <v>43946</v>
      </c>
      <c r="F1041" s="1566">
        <v>83</v>
      </c>
      <c r="G1041" s="1566">
        <v>0</v>
      </c>
      <c r="H1041" s="1567"/>
      <c r="I1041" s="1567">
        <v>46732</v>
      </c>
      <c r="J1041" s="1567">
        <v>46732</v>
      </c>
      <c r="K1041" s="1568" t="str">
        <f t="shared" si="16"/>
        <v>No</v>
      </c>
      <c r="L1041" s="1565"/>
    </row>
    <row r="1042" spans="1:12" ht="20.100000000000001" customHeight="1">
      <c r="A1042" s="1568" t="s">
        <v>3065</v>
      </c>
      <c r="B1042" s="1567">
        <v>43081</v>
      </c>
      <c r="C1042" s="1568" t="s">
        <v>3308</v>
      </c>
      <c r="D1042" s="1568" t="s">
        <v>2967</v>
      </c>
      <c r="E1042" s="1567">
        <v>43976</v>
      </c>
      <c r="F1042" s="1566">
        <v>83</v>
      </c>
      <c r="G1042" s="1566">
        <v>0</v>
      </c>
      <c r="H1042" s="1567"/>
      <c r="I1042" s="1567">
        <v>46732</v>
      </c>
      <c r="J1042" s="1567">
        <v>46732</v>
      </c>
      <c r="K1042" s="1568" t="str">
        <f t="shared" si="16"/>
        <v>No</v>
      </c>
      <c r="L1042" s="1565"/>
    </row>
    <row r="1043" spans="1:12" ht="20.100000000000001" customHeight="1">
      <c r="A1043" s="1568" t="s">
        <v>3065</v>
      </c>
      <c r="B1043" s="1567">
        <v>43081</v>
      </c>
      <c r="C1043" s="1568" t="s">
        <v>3308</v>
      </c>
      <c r="D1043" s="1568" t="s">
        <v>2967</v>
      </c>
      <c r="E1043" s="1567">
        <v>44007</v>
      </c>
      <c r="F1043" s="1566">
        <v>84</v>
      </c>
      <c r="G1043" s="1566">
        <v>0</v>
      </c>
      <c r="H1043" s="1567"/>
      <c r="I1043" s="1567">
        <v>46732</v>
      </c>
      <c r="J1043" s="1567">
        <v>46732</v>
      </c>
      <c r="K1043" s="1568" t="str">
        <f t="shared" si="16"/>
        <v>No</v>
      </c>
      <c r="L1043" s="1565"/>
    </row>
    <row r="1044" spans="1:12" ht="20.100000000000001" customHeight="1">
      <c r="A1044" s="1568" t="s">
        <v>3065</v>
      </c>
      <c r="B1044" s="1567">
        <v>43081</v>
      </c>
      <c r="C1044" s="1568" t="s">
        <v>3308</v>
      </c>
      <c r="D1044" s="1568" t="s">
        <v>2967</v>
      </c>
      <c r="E1044" s="1567">
        <v>44037</v>
      </c>
      <c r="F1044" s="1566">
        <v>83</v>
      </c>
      <c r="G1044" s="1566">
        <v>0</v>
      </c>
      <c r="H1044" s="1567"/>
      <c r="I1044" s="1567">
        <v>46732</v>
      </c>
      <c r="J1044" s="1567">
        <v>46732</v>
      </c>
      <c r="K1044" s="1568" t="str">
        <f t="shared" si="16"/>
        <v>No</v>
      </c>
      <c r="L1044" s="1565"/>
    </row>
    <row r="1045" spans="1:12" ht="20.100000000000001" customHeight="1">
      <c r="A1045" s="1568" t="s">
        <v>3065</v>
      </c>
      <c r="B1045" s="1567">
        <v>43081</v>
      </c>
      <c r="C1045" s="1568" t="s">
        <v>3308</v>
      </c>
      <c r="D1045" s="1568" t="s">
        <v>2967</v>
      </c>
      <c r="E1045" s="1567">
        <v>44068</v>
      </c>
      <c r="F1045" s="1566">
        <v>83</v>
      </c>
      <c r="G1045" s="1566">
        <v>0</v>
      </c>
      <c r="H1045" s="1567"/>
      <c r="I1045" s="1567">
        <v>46732</v>
      </c>
      <c r="J1045" s="1567">
        <v>46732</v>
      </c>
      <c r="K1045" s="1568" t="str">
        <f t="shared" si="16"/>
        <v>No</v>
      </c>
      <c r="L1045" s="1565"/>
    </row>
    <row r="1046" spans="1:12" ht="20.100000000000001" customHeight="1">
      <c r="A1046" s="1568" t="s">
        <v>3065</v>
      </c>
      <c r="B1046" s="1567">
        <v>43081</v>
      </c>
      <c r="C1046" s="1568" t="s">
        <v>3308</v>
      </c>
      <c r="D1046" s="1568" t="s">
        <v>2967</v>
      </c>
      <c r="E1046" s="1567">
        <v>44099</v>
      </c>
      <c r="F1046" s="1566">
        <v>84</v>
      </c>
      <c r="G1046" s="1566">
        <v>0</v>
      </c>
      <c r="H1046" s="1567"/>
      <c r="I1046" s="1567">
        <v>46732</v>
      </c>
      <c r="J1046" s="1567">
        <v>46732</v>
      </c>
      <c r="K1046" s="1568" t="str">
        <f t="shared" si="16"/>
        <v>No</v>
      </c>
      <c r="L1046" s="1565"/>
    </row>
    <row r="1047" spans="1:12" ht="20.100000000000001" customHeight="1">
      <c r="A1047" s="1568" t="s">
        <v>3065</v>
      </c>
      <c r="B1047" s="1567">
        <v>43081</v>
      </c>
      <c r="C1047" s="1568" t="s">
        <v>3308</v>
      </c>
      <c r="D1047" s="1568" t="s">
        <v>2967</v>
      </c>
      <c r="E1047" s="1567">
        <v>44129</v>
      </c>
      <c r="F1047" s="1566">
        <v>83</v>
      </c>
      <c r="G1047" s="1566">
        <v>0</v>
      </c>
      <c r="H1047" s="1567"/>
      <c r="I1047" s="1567">
        <v>46732</v>
      </c>
      <c r="J1047" s="1567">
        <v>46732</v>
      </c>
      <c r="K1047" s="1568" t="str">
        <f t="shared" si="16"/>
        <v>No</v>
      </c>
      <c r="L1047" s="1565"/>
    </row>
    <row r="1048" spans="1:12" ht="20.100000000000001" customHeight="1">
      <c r="A1048" s="1568" t="s">
        <v>3065</v>
      </c>
      <c r="B1048" s="1567">
        <v>43081</v>
      </c>
      <c r="C1048" s="1568" t="s">
        <v>3308</v>
      </c>
      <c r="D1048" s="1568" t="s">
        <v>2967</v>
      </c>
      <c r="E1048" s="1567">
        <v>44160</v>
      </c>
      <c r="F1048" s="1566">
        <v>83</v>
      </c>
      <c r="G1048" s="1566">
        <v>0</v>
      </c>
      <c r="H1048" s="1567"/>
      <c r="I1048" s="1567">
        <v>46732</v>
      </c>
      <c r="J1048" s="1567">
        <v>46732</v>
      </c>
      <c r="K1048" s="1568" t="str">
        <f t="shared" si="16"/>
        <v>No</v>
      </c>
      <c r="L1048" s="1565"/>
    </row>
    <row r="1049" spans="1:12" ht="20.100000000000001" customHeight="1">
      <c r="A1049" s="1568" t="s">
        <v>3065</v>
      </c>
      <c r="B1049" s="1567">
        <v>43081</v>
      </c>
      <c r="C1049" s="1568" t="s">
        <v>3308</v>
      </c>
      <c r="D1049" s="1568" t="s">
        <v>2967</v>
      </c>
      <c r="E1049" s="1567">
        <v>44190</v>
      </c>
      <c r="F1049" s="1566">
        <v>84</v>
      </c>
      <c r="G1049" s="1566">
        <v>0</v>
      </c>
      <c r="H1049" s="1567"/>
      <c r="I1049" s="1567">
        <v>46732</v>
      </c>
      <c r="J1049" s="1567">
        <v>46732</v>
      </c>
      <c r="K1049" s="1568" t="str">
        <f t="shared" si="16"/>
        <v>No</v>
      </c>
      <c r="L1049" s="1565"/>
    </row>
    <row r="1050" spans="1:12" ht="20.100000000000001" customHeight="1">
      <c r="A1050" s="1568" t="s">
        <v>3065</v>
      </c>
      <c r="B1050" s="1567">
        <v>43081</v>
      </c>
      <c r="C1050" s="1568" t="s">
        <v>3308</v>
      </c>
      <c r="D1050" s="1568" t="s">
        <v>2967</v>
      </c>
      <c r="E1050" s="1567">
        <v>44221</v>
      </c>
      <c r="F1050" s="1566">
        <v>83</v>
      </c>
      <c r="G1050" s="1566">
        <v>0</v>
      </c>
      <c r="H1050" s="1567"/>
      <c r="I1050" s="1567">
        <v>46732</v>
      </c>
      <c r="J1050" s="1567">
        <v>46732</v>
      </c>
      <c r="K1050" s="1568" t="str">
        <f t="shared" si="16"/>
        <v>No</v>
      </c>
      <c r="L1050" s="1565"/>
    </row>
    <row r="1051" spans="1:12" ht="20.100000000000001" customHeight="1">
      <c r="A1051" s="1568" t="s">
        <v>3065</v>
      </c>
      <c r="B1051" s="1567">
        <v>43081</v>
      </c>
      <c r="C1051" s="1568" t="s">
        <v>3308</v>
      </c>
      <c r="D1051" s="1568" t="s">
        <v>2967</v>
      </c>
      <c r="E1051" s="1567">
        <v>44252</v>
      </c>
      <c r="F1051" s="1566">
        <v>83</v>
      </c>
      <c r="G1051" s="1566">
        <v>0</v>
      </c>
      <c r="H1051" s="1567"/>
      <c r="I1051" s="1567">
        <v>46732</v>
      </c>
      <c r="J1051" s="1567">
        <v>46732</v>
      </c>
      <c r="K1051" s="1568" t="str">
        <f t="shared" si="16"/>
        <v>No</v>
      </c>
      <c r="L1051" s="1565"/>
    </row>
    <row r="1052" spans="1:12" ht="20.100000000000001" customHeight="1">
      <c r="A1052" s="1568" t="s">
        <v>3065</v>
      </c>
      <c r="B1052" s="1567">
        <v>43081</v>
      </c>
      <c r="C1052" s="1568" t="s">
        <v>3308</v>
      </c>
      <c r="D1052" s="1568" t="s">
        <v>2967</v>
      </c>
      <c r="E1052" s="1567">
        <v>44280</v>
      </c>
      <c r="F1052" s="1566">
        <v>84</v>
      </c>
      <c r="G1052" s="1566">
        <v>0</v>
      </c>
      <c r="H1052" s="1567"/>
      <c r="I1052" s="1567">
        <v>46732</v>
      </c>
      <c r="J1052" s="1567">
        <v>46732</v>
      </c>
      <c r="K1052" s="1568" t="str">
        <f t="shared" si="16"/>
        <v>No</v>
      </c>
      <c r="L1052" s="1565"/>
    </row>
    <row r="1053" spans="1:12" ht="20.100000000000001" customHeight="1">
      <c r="A1053" s="1568" t="s">
        <v>3065</v>
      </c>
      <c r="B1053" s="1567">
        <v>43081</v>
      </c>
      <c r="C1053" s="1568" t="s">
        <v>3308</v>
      </c>
      <c r="D1053" s="1568" t="s">
        <v>2967</v>
      </c>
      <c r="E1053" s="1567">
        <v>44311</v>
      </c>
      <c r="F1053" s="1566">
        <v>83</v>
      </c>
      <c r="G1053" s="1566">
        <v>0</v>
      </c>
      <c r="H1053" s="1567"/>
      <c r="I1053" s="1567">
        <v>46732</v>
      </c>
      <c r="J1053" s="1567">
        <v>46732</v>
      </c>
      <c r="K1053" s="1568" t="str">
        <f t="shared" si="16"/>
        <v>No</v>
      </c>
      <c r="L1053" s="1565"/>
    </row>
    <row r="1054" spans="1:12" ht="20.100000000000001" customHeight="1">
      <c r="A1054" s="1568" t="s">
        <v>3065</v>
      </c>
      <c r="B1054" s="1567">
        <v>43081</v>
      </c>
      <c r="C1054" s="1568" t="s">
        <v>3308</v>
      </c>
      <c r="D1054" s="1568" t="s">
        <v>2967</v>
      </c>
      <c r="E1054" s="1567">
        <v>44341</v>
      </c>
      <c r="F1054" s="1566">
        <v>83</v>
      </c>
      <c r="G1054" s="1566">
        <v>0</v>
      </c>
      <c r="H1054" s="1567"/>
      <c r="I1054" s="1567">
        <v>46732</v>
      </c>
      <c r="J1054" s="1567">
        <v>46732</v>
      </c>
      <c r="K1054" s="1568" t="str">
        <f t="shared" si="16"/>
        <v>No</v>
      </c>
      <c r="L1054" s="1565"/>
    </row>
    <row r="1055" spans="1:12" ht="20.100000000000001" customHeight="1">
      <c r="A1055" s="1568" t="s">
        <v>3065</v>
      </c>
      <c r="B1055" s="1567">
        <v>43081</v>
      </c>
      <c r="C1055" s="1568" t="s">
        <v>3308</v>
      </c>
      <c r="D1055" s="1568" t="s">
        <v>2967</v>
      </c>
      <c r="E1055" s="1567">
        <v>44372</v>
      </c>
      <c r="F1055" s="1566">
        <v>84</v>
      </c>
      <c r="G1055" s="1566">
        <v>0</v>
      </c>
      <c r="H1055" s="1567"/>
      <c r="I1055" s="1567">
        <v>46732</v>
      </c>
      <c r="J1055" s="1567">
        <v>46732</v>
      </c>
      <c r="K1055" s="1568" t="str">
        <f t="shared" si="16"/>
        <v>No</v>
      </c>
      <c r="L1055" s="1565"/>
    </row>
    <row r="1056" spans="1:12" ht="20.100000000000001" customHeight="1">
      <c r="A1056" s="1568" t="s">
        <v>3065</v>
      </c>
      <c r="B1056" s="1567">
        <v>43081</v>
      </c>
      <c r="C1056" s="1568" t="s">
        <v>3308</v>
      </c>
      <c r="D1056" s="1568" t="s">
        <v>2967</v>
      </c>
      <c r="E1056" s="1567">
        <v>44402</v>
      </c>
      <c r="F1056" s="1566">
        <v>83</v>
      </c>
      <c r="G1056" s="1566">
        <v>0</v>
      </c>
      <c r="H1056" s="1567"/>
      <c r="I1056" s="1567">
        <v>46732</v>
      </c>
      <c r="J1056" s="1567">
        <v>46732</v>
      </c>
      <c r="K1056" s="1568" t="str">
        <f t="shared" si="16"/>
        <v>No</v>
      </c>
      <c r="L1056" s="1565"/>
    </row>
    <row r="1057" spans="1:12" ht="20.100000000000001" customHeight="1">
      <c r="A1057" s="1568" t="s">
        <v>3065</v>
      </c>
      <c r="B1057" s="1567">
        <v>43081</v>
      </c>
      <c r="C1057" s="1568" t="s">
        <v>3308</v>
      </c>
      <c r="D1057" s="1568" t="s">
        <v>2967</v>
      </c>
      <c r="E1057" s="1567">
        <v>44433</v>
      </c>
      <c r="F1057" s="1566">
        <v>83</v>
      </c>
      <c r="G1057" s="1566">
        <v>0</v>
      </c>
      <c r="H1057" s="1567"/>
      <c r="I1057" s="1567">
        <v>46732</v>
      </c>
      <c r="J1057" s="1567">
        <v>46732</v>
      </c>
      <c r="K1057" s="1568" t="str">
        <f t="shared" si="16"/>
        <v>No</v>
      </c>
      <c r="L1057" s="1565"/>
    </row>
    <row r="1058" spans="1:12" ht="20.100000000000001" customHeight="1">
      <c r="A1058" s="1568" t="s">
        <v>3065</v>
      </c>
      <c r="B1058" s="1567">
        <v>43081</v>
      </c>
      <c r="C1058" s="1568" t="s">
        <v>3308</v>
      </c>
      <c r="D1058" s="1568" t="s">
        <v>2967</v>
      </c>
      <c r="E1058" s="1567">
        <v>44464</v>
      </c>
      <c r="F1058" s="1566">
        <v>84</v>
      </c>
      <c r="G1058" s="1566">
        <v>0</v>
      </c>
      <c r="H1058" s="1567"/>
      <c r="I1058" s="1567">
        <v>46732</v>
      </c>
      <c r="J1058" s="1567">
        <v>46732</v>
      </c>
      <c r="K1058" s="1568" t="str">
        <f t="shared" si="16"/>
        <v>No</v>
      </c>
      <c r="L1058" s="1565"/>
    </row>
    <row r="1059" spans="1:12" ht="20.100000000000001" customHeight="1">
      <c r="A1059" s="1568" t="s">
        <v>3064</v>
      </c>
      <c r="B1059" s="1567">
        <v>43081</v>
      </c>
      <c r="C1059" s="1568" t="s">
        <v>3308</v>
      </c>
      <c r="D1059" s="1568" t="s">
        <v>2952</v>
      </c>
      <c r="E1059" s="1567">
        <v>43347</v>
      </c>
      <c r="F1059" s="1566">
        <v>2500</v>
      </c>
      <c r="G1059" s="1566">
        <v>0</v>
      </c>
      <c r="H1059" s="1567"/>
      <c r="I1059" s="1567">
        <v>46732</v>
      </c>
      <c r="J1059" s="1567">
        <v>46732</v>
      </c>
      <c r="K1059" s="1568" t="str">
        <f t="shared" si="16"/>
        <v>No</v>
      </c>
      <c r="L1059" s="1565"/>
    </row>
    <row r="1060" spans="1:12" ht="20.100000000000001" customHeight="1">
      <c r="A1060" s="1568" t="s">
        <v>3064</v>
      </c>
      <c r="B1060" s="1567">
        <v>43081</v>
      </c>
      <c r="C1060" s="1568" t="s">
        <v>3308</v>
      </c>
      <c r="D1060" s="1568" t="s">
        <v>2952</v>
      </c>
      <c r="E1060" s="1567">
        <v>43377</v>
      </c>
      <c r="F1060" s="1566">
        <v>208</v>
      </c>
      <c r="G1060" s="1566">
        <v>0</v>
      </c>
      <c r="H1060" s="1567"/>
      <c r="I1060" s="1567">
        <v>46732</v>
      </c>
      <c r="J1060" s="1567">
        <v>46732</v>
      </c>
      <c r="K1060" s="1568" t="str">
        <f t="shared" si="16"/>
        <v>No</v>
      </c>
      <c r="L1060" s="1565"/>
    </row>
    <row r="1061" spans="1:12" ht="20.100000000000001" customHeight="1">
      <c r="A1061" s="1568" t="s">
        <v>3064</v>
      </c>
      <c r="B1061" s="1567">
        <v>43081</v>
      </c>
      <c r="C1061" s="1568" t="s">
        <v>3308</v>
      </c>
      <c r="D1061" s="1568" t="s">
        <v>2952</v>
      </c>
      <c r="E1061" s="1567">
        <v>43408</v>
      </c>
      <c r="F1061" s="1566">
        <v>208</v>
      </c>
      <c r="G1061" s="1566">
        <v>0</v>
      </c>
      <c r="H1061" s="1567"/>
      <c r="I1061" s="1567">
        <v>46732</v>
      </c>
      <c r="J1061" s="1567">
        <v>46732</v>
      </c>
      <c r="K1061" s="1568" t="str">
        <f t="shared" si="16"/>
        <v>No</v>
      </c>
      <c r="L1061" s="1565"/>
    </row>
    <row r="1062" spans="1:12" ht="20.100000000000001" customHeight="1">
      <c r="A1062" s="1568" t="s">
        <v>3064</v>
      </c>
      <c r="B1062" s="1567">
        <v>43081</v>
      </c>
      <c r="C1062" s="1568" t="s">
        <v>3308</v>
      </c>
      <c r="D1062" s="1568" t="s">
        <v>2952</v>
      </c>
      <c r="E1062" s="1567">
        <v>43438</v>
      </c>
      <c r="F1062" s="1566">
        <v>209</v>
      </c>
      <c r="G1062" s="1566">
        <v>0</v>
      </c>
      <c r="H1062" s="1567"/>
      <c r="I1062" s="1567">
        <v>46732</v>
      </c>
      <c r="J1062" s="1567">
        <v>46732</v>
      </c>
      <c r="K1062" s="1568" t="str">
        <f t="shared" si="16"/>
        <v>No</v>
      </c>
      <c r="L1062" s="1565"/>
    </row>
    <row r="1063" spans="1:12" ht="20.100000000000001" customHeight="1">
      <c r="A1063" s="1568" t="s">
        <v>3064</v>
      </c>
      <c r="B1063" s="1567">
        <v>43081</v>
      </c>
      <c r="C1063" s="1568" t="s">
        <v>3308</v>
      </c>
      <c r="D1063" s="1568" t="s">
        <v>2952</v>
      </c>
      <c r="E1063" s="1567">
        <v>43469</v>
      </c>
      <c r="F1063" s="1566">
        <v>208</v>
      </c>
      <c r="G1063" s="1566">
        <v>0</v>
      </c>
      <c r="H1063" s="1567"/>
      <c r="I1063" s="1567">
        <v>46732</v>
      </c>
      <c r="J1063" s="1567">
        <v>46732</v>
      </c>
      <c r="K1063" s="1568" t="str">
        <f t="shared" si="16"/>
        <v>No</v>
      </c>
      <c r="L1063" s="1565"/>
    </row>
    <row r="1064" spans="1:12" ht="20.100000000000001" customHeight="1">
      <c r="A1064" s="1568" t="s">
        <v>3064</v>
      </c>
      <c r="B1064" s="1567">
        <v>43081</v>
      </c>
      <c r="C1064" s="1568" t="s">
        <v>3308</v>
      </c>
      <c r="D1064" s="1568" t="s">
        <v>2952</v>
      </c>
      <c r="E1064" s="1567">
        <v>43500</v>
      </c>
      <c r="F1064" s="1566">
        <v>208</v>
      </c>
      <c r="G1064" s="1566">
        <v>0</v>
      </c>
      <c r="H1064" s="1567"/>
      <c r="I1064" s="1567">
        <v>46732</v>
      </c>
      <c r="J1064" s="1567">
        <v>46732</v>
      </c>
      <c r="K1064" s="1568" t="str">
        <f t="shared" si="16"/>
        <v>No</v>
      </c>
      <c r="L1064" s="1565"/>
    </row>
    <row r="1065" spans="1:12" ht="20.100000000000001" customHeight="1">
      <c r="A1065" s="1568" t="s">
        <v>3064</v>
      </c>
      <c r="B1065" s="1567">
        <v>43081</v>
      </c>
      <c r="C1065" s="1568" t="s">
        <v>3308</v>
      </c>
      <c r="D1065" s="1568" t="s">
        <v>2952</v>
      </c>
      <c r="E1065" s="1567">
        <v>43528</v>
      </c>
      <c r="F1065" s="1566">
        <v>209</v>
      </c>
      <c r="G1065" s="1566">
        <v>0</v>
      </c>
      <c r="H1065" s="1567"/>
      <c r="I1065" s="1567">
        <v>46732</v>
      </c>
      <c r="J1065" s="1567">
        <v>46732</v>
      </c>
      <c r="K1065" s="1568" t="str">
        <f t="shared" si="16"/>
        <v>No</v>
      </c>
      <c r="L1065" s="1565"/>
    </row>
    <row r="1066" spans="1:12" ht="20.100000000000001" customHeight="1">
      <c r="A1066" s="1568" t="s">
        <v>3064</v>
      </c>
      <c r="B1066" s="1567">
        <v>43081</v>
      </c>
      <c r="C1066" s="1568" t="s">
        <v>3308</v>
      </c>
      <c r="D1066" s="1568" t="s">
        <v>2952</v>
      </c>
      <c r="E1066" s="1567">
        <v>43559</v>
      </c>
      <c r="F1066" s="1566">
        <v>208</v>
      </c>
      <c r="G1066" s="1566">
        <v>0</v>
      </c>
      <c r="H1066" s="1567"/>
      <c r="I1066" s="1567">
        <v>46732</v>
      </c>
      <c r="J1066" s="1567">
        <v>46732</v>
      </c>
      <c r="K1066" s="1568" t="str">
        <f t="shared" si="16"/>
        <v>No</v>
      </c>
      <c r="L1066" s="1565"/>
    </row>
    <row r="1067" spans="1:12" ht="20.100000000000001" customHeight="1">
      <c r="A1067" s="1568" t="s">
        <v>3064</v>
      </c>
      <c r="B1067" s="1567">
        <v>43081</v>
      </c>
      <c r="C1067" s="1568" t="s">
        <v>3308</v>
      </c>
      <c r="D1067" s="1568" t="s">
        <v>2952</v>
      </c>
      <c r="E1067" s="1567">
        <v>43589</v>
      </c>
      <c r="F1067" s="1566">
        <v>208</v>
      </c>
      <c r="G1067" s="1566">
        <v>0</v>
      </c>
      <c r="H1067" s="1567"/>
      <c r="I1067" s="1567">
        <v>46732</v>
      </c>
      <c r="J1067" s="1567">
        <v>46732</v>
      </c>
      <c r="K1067" s="1568" t="str">
        <f t="shared" si="16"/>
        <v>No</v>
      </c>
      <c r="L1067" s="1565"/>
    </row>
    <row r="1068" spans="1:12" ht="20.100000000000001" customHeight="1">
      <c r="A1068" s="1568" t="s">
        <v>3064</v>
      </c>
      <c r="B1068" s="1567">
        <v>43081</v>
      </c>
      <c r="C1068" s="1568" t="s">
        <v>3308</v>
      </c>
      <c r="D1068" s="1568" t="s">
        <v>2952</v>
      </c>
      <c r="E1068" s="1567">
        <v>43620</v>
      </c>
      <c r="F1068" s="1566">
        <v>209</v>
      </c>
      <c r="G1068" s="1566">
        <v>0</v>
      </c>
      <c r="H1068" s="1567"/>
      <c r="I1068" s="1567">
        <v>46732</v>
      </c>
      <c r="J1068" s="1567">
        <v>46732</v>
      </c>
      <c r="K1068" s="1568" t="str">
        <f t="shared" si="16"/>
        <v>No</v>
      </c>
      <c r="L1068" s="1565"/>
    </row>
    <row r="1069" spans="1:12" ht="20.100000000000001" customHeight="1">
      <c r="A1069" s="1568" t="s">
        <v>3064</v>
      </c>
      <c r="B1069" s="1567">
        <v>43081</v>
      </c>
      <c r="C1069" s="1568" t="s">
        <v>3308</v>
      </c>
      <c r="D1069" s="1568" t="s">
        <v>2952</v>
      </c>
      <c r="E1069" s="1567">
        <v>43650</v>
      </c>
      <c r="F1069" s="1566">
        <v>208</v>
      </c>
      <c r="G1069" s="1566">
        <v>0</v>
      </c>
      <c r="H1069" s="1567"/>
      <c r="I1069" s="1567">
        <v>46732</v>
      </c>
      <c r="J1069" s="1567">
        <v>46732</v>
      </c>
      <c r="K1069" s="1568" t="str">
        <f t="shared" si="16"/>
        <v>No</v>
      </c>
      <c r="L1069" s="1565"/>
    </row>
    <row r="1070" spans="1:12" ht="20.100000000000001" customHeight="1">
      <c r="A1070" s="1568" t="s">
        <v>3064</v>
      </c>
      <c r="B1070" s="1567">
        <v>43081</v>
      </c>
      <c r="C1070" s="1568" t="s">
        <v>3308</v>
      </c>
      <c r="D1070" s="1568" t="s">
        <v>2952</v>
      </c>
      <c r="E1070" s="1567">
        <v>43681</v>
      </c>
      <c r="F1070" s="1566">
        <v>208</v>
      </c>
      <c r="G1070" s="1566">
        <v>0</v>
      </c>
      <c r="H1070" s="1567"/>
      <c r="I1070" s="1567">
        <v>46732</v>
      </c>
      <c r="J1070" s="1567">
        <v>46732</v>
      </c>
      <c r="K1070" s="1568" t="str">
        <f t="shared" si="16"/>
        <v>No</v>
      </c>
      <c r="L1070" s="1565"/>
    </row>
    <row r="1071" spans="1:12" ht="20.100000000000001" customHeight="1">
      <c r="A1071" s="1568" t="s">
        <v>3064</v>
      </c>
      <c r="B1071" s="1567">
        <v>43081</v>
      </c>
      <c r="C1071" s="1568" t="s">
        <v>3308</v>
      </c>
      <c r="D1071" s="1568" t="s">
        <v>2952</v>
      </c>
      <c r="E1071" s="1567">
        <v>43712</v>
      </c>
      <c r="F1071" s="1566">
        <v>209</v>
      </c>
      <c r="G1071" s="1566">
        <v>0</v>
      </c>
      <c r="H1071" s="1567"/>
      <c r="I1071" s="1567">
        <v>46732</v>
      </c>
      <c r="J1071" s="1567">
        <v>46732</v>
      </c>
      <c r="K1071" s="1568" t="str">
        <f t="shared" si="16"/>
        <v>No</v>
      </c>
      <c r="L1071" s="1565"/>
    </row>
    <row r="1072" spans="1:12" ht="20.100000000000001" customHeight="1">
      <c r="A1072" s="1568" t="s">
        <v>3064</v>
      </c>
      <c r="B1072" s="1567">
        <v>43081</v>
      </c>
      <c r="C1072" s="1568" t="s">
        <v>3308</v>
      </c>
      <c r="D1072" s="1568" t="s">
        <v>2952</v>
      </c>
      <c r="E1072" s="1567">
        <v>43742</v>
      </c>
      <c r="F1072" s="1566">
        <v>208</v>
      </c>
      <c r="G1072" s="1566">
        <v>0</v>
      </c>
      <c r="H1072" s="1567"/>
      <c r="I1072" s="1567">
        <v>46732</v>
      </c>
      <c r="J1072" s="1567">
        <v>46732</v>
      </c>
      <c r="K1072" s="1568" t="str">
        <f t="shared" si="16"/>
        <v>No</v>
      </c>
      <c r="L1072" s="1565"/>
    </row>
    <row r="1073" spans="1:12" ht="20.100000000000001" customHeight="1">
      <c r="A1073" s="1568" t="s">
        <v>3064</v>
      </c>
      <c r="B1073" s="1567">
        <v>43081</v>
      </c>
      <c r="C1073" s="1568" t="s">
        <v>3308</v>
      </c>
      <c r="D1073" s="1568" t="s">
        <v>2952</v>
      </c>
      <c r="E1073" s="1567">
        <v>43773</v>
      </c>
      <c r="F1073" s="1566">
        <v>208</v>
      </c>
      <c r="G1073" s="1566">
        <v>0</v>
      </c>
      <c r="H1073" s="1567"/>
      <c r="I1073" s="1567">
        <v>46732</v>
      </c>
      <c r="J1073" s="1567">
        <v>46732</v>
      </c>
      <c r="K1073" s="1568" t="str">
        <f t="shared" si="16"/>
        <v>No</v>
      </c>
      <c r="L1073" s="1565"/>
    </row>
    <row r="1074" spans="1:12" ht="20.100000000000001" customHeight="1">
      <c r="A1074" s="1568" t="s">
        <v>3064</v>
      </c>
      <c r="B1074" s="1567">
        <v>43081</v>
      </c>
      <c r="C1074" s="1568" t="s">
        <v>3308</v>
      </c>
      <c r="D1074" s="1568" t="s">
        <v>2952</v>
      </c>
      <c r="E1074" s="1567">
        <v>43803</v>
      </c>
      <c r="F1074" s="1566">
        <v>209</v>
      </c>
      <c r="G1074" s="1566">
        <v>0</v>
      </c>
      <c r="H1074" s="1567"/>
      <c r="I1074" s="1567">
        <v>46732</v>
      </c>
      <c r="J1074" s="1567">
        <v>46732</v>
      </c>
      <c r="K1074" s="1568" t="str">
        <f t="shared" si="16"/>
        <v>No</v>
      </c>
      <c r="L1074" s="1565"/>
    </row>
    <row r="1075" spans="1:12" ht="20.100000000000001" customHeight="1">
      <c r="A1075" s="1568" t="s">
        <v>3064</v>
      </c>
      <c r="B1075" s="1567">
        <v>43081</v>
      </c>
      <c r="C1075" s="1568" t="s">
        <v>3308</v>
      </c>
      <c r="D1075" s="1568" t="s">
        <v>2952</v>
      </c>
      <c r="E1075" s="1567">
        <v>43834</v>
      </c>
      <c r="F1075" s="1566">
        <v>208</v>
      </c>
      <c r="G1075" s="1566">
        <v>0</v>
      </c>
      <c r="H1075" s="1567"/>
      <c r="I1075" s="1567">
        <v>46732</v>
      </c>
      <c r="J1075" s="1567">
        <v>46732</v>
      </c>
      <c r="K1075" s="1568" t="str">
        <f t="shared" si="16"/>
        <v>No</v>
      </c>
      <c r="L1075" s="1565"/>
    </row>
    <row r="1076" spans="1:12" ht="20.100000000000001" customHeight="1">
      <c r="A1076" s="1568" t="s">
        <v>3064</v>
      </c>
      <c r="B1076" s="1567">
        <v>43081</v>
      </c>
      <c r="C1076" s="1568" t="s">
        <v>3308</v>
      </c>
      <c r="D1076" s="1568" t="s">
        <v>2952</v>
      </c>
      <c r="E1076" s="1567">
        <v>43865</v>
      </c>
      <c r="F1076" s="1566">
        <v>208</v>
      </c>
      <c r="G1076" s="1566">
        <v>0</v>
      </c>
      <c r="H1076" s="1567"/>
      <c r="I1076" s="1567">
        <v>46732</v>
      </c>
      <c r="J1076" s="1567">
        <v>46732</v>
      </c>
      <c r="K1076" s="1568" t="str">
        <f t="shared" si="16"/>
        <v>No</v>
      </c>
      <c r="L1076" s="1565"/>
    </row>
    <row r="1077" spans="1:12" ht="20.100000000000001" customHeight="1">
      <c r="A1077" s="1568" t="s">
        <v>3064</v>
      </c>
      <c r="B1077" s="1567">
        <v>43081</v>
      </c>
      <c r="C1077" s="1568" t="s">
        <v>3308</v>
      </c>
      <c r="D1077" s="1568" t="s">
        <v>2952</v>
      </c>
      <c r="E1077" s="1567">
        <v>43894</v>
      </c>
      <c r="F1077" s="1566">
        <v>209</v>
      </c>
      <c r="G1077" s="1566">
        <v>0</v>
      </c>
      <c r="H1077" s="1567"/>
      <c r="I1077" s="1567">
        <v>46732</v>
      </c>
      <c r="J1077" s="1567">
        <v>46732</v>
      </c>
      <c r="K1077" s="1568" t="str">
        <f t="shared" si="16"/>
        <v>No</v>
      </c>
      <c r="L1077" s="1565"/>
    </row>
    <row r="1078" spans="1:12" ht="20.100000000000001" customHeight="1">
      <c r="A1078" s="1568" t="s">
        <v>3064</v>
      </c>
      <c r="B1078" s="1567">
        <v>43081</v>
      </c>
      <c r="C1078" s="1568" t="s">
        <v>3308</v>
      </c>
      <c r="D1078" s="1568" t="s">
        <v>2952</v>
      </c>
      <c r="E1078" s="1567">
        <v>43925</v>
      </c>
      <c r="F1078" s="1566">
        <v>208</v>
      </c>
      <c r="G1078" s="1566">
        <v>0</v>
      </c>
      <c r="H1078" s="1567"/>
      <c r="I1078" s="1567">
        <v>46732</v>
      </c>
      <c r="J1078" s="1567">
        <v>46732</v>
      </c>
      <c r="K1078" s="1568" t="str">
        <f t="shared" si="16"/>
        <v>No</v>
      </c>
      <c r="L1078" s="1565"/>
    </row>
    <row r="1079" spans="1:12" ht="20.100000000000001" customHeight="1">
      <c r="A1079" s="1568" t="s">
        <v>3064</v>
      </c>
      <c r="B1079" s="1567">
        <v>43081</v>
      </c>
      <c r="C1079" s="1568" t="s">
        <v>3308</v>
      </c>
      <c r="D1079" s="1568" t="s">
        <v>2952</v>
      </c>
      <c r="E1079" s="1567">
        <v>43955</v>
      </c>
      <c r="F1079" s="1566">
        <v>208</v>
      </c>
      <c r="G1079" s="1566">
        <v>0</v>
      </c>
      <c r="H1079" s="1567"/>
      <c r="I1079" s="1567">
        <v>46732</v>
      </c>
      <c r="J1079" s="1567">
        <v>46732</v>
      </c>
      <c r="K1079" s="1568" t="str">
        <f t="shared" si="16"/>
        <v>No</v>
      </c>
      <c r="L1079" s="1565"/>
    </row>
    <row r="1080" spans="1:12" ht="20.100000000000001" customHeight="1">
      <c r="A1080" s="1568" t="s">
        <v>3064</v>
      </c>
      <c r="B1080" s="1567">
        <v>43081</v>
      </c>
      <c r="C1080" s="1568" t="s">
        <v>3308</v>
      </c>
      <c r="D1080" s="1568" t="s">
        <v>2952</v>
      </c>
      <c r="E1080" s="1567">
        <v>43986</v>
      </c>
      <c r="F1080" s="1566">
        <v>209</v>
      </c>
      <c r="G1080" s="1566">
        <v>0</v>
      </c>
      <c r="H1080" s="1567"/>
      <c r="I1080" s="1567">
        <v>46732</v>
      </c>
      <c r="J1080" s="1567">
        <v>46732</v>
      </c>
      <c r="K1080" s="1568" t="str">
        <f t="shared" si="16"/>
        <v>No</v>
      </c>
      <c r="L1080" s="1565"/>
    </row>
    <row r="1081" spans="1:12" ht="20.100000000000001" customHeight="1">
      <c r="A1081" s="1568" t="s">
        <v>3064</v>
      </c>
      <c r="B1081" s="1567">
        <v>43081</v>
      </c>
      <c r="C1081" s="1568" t="s">
        <v>3308</v>
      </c>
      <c r="D1081" s="1568" t="s">
        <v>2952</v>
      </c>
      <c r="E1081" s="1567">
        <v>44016</v>
      </c>
      <c r="F1081" s="1566">
        <v>208</v>
      </c>
      <c r="G1081" s="1566">
        <v>0</v>
      </c>
      <c r="H1081" s="1567"/>
      <c r="I1081" s="1567">
        <v>46732</v>
      </c>
      <c r="J1081" s="1567">
        <v>46732</v>
      </c>
      <c r="K1081" s="1568" t="str">
        <f t="shared" si="16"/>
        <v>No</v>
      </c>
      <c r="L1081" s="1565"/>
    </row>
    <row r="1082" spans="1:12" ht="20.100000000000001" customHeight="1">
      <c r="A1082" s="1568" t="s">
        <v>3064</v>
      </c>
      <c r="B1082" s="1567">
        <v>43081</v>
      </c>
      <c r="C1082" s="1568" t="s">
        <v>3308</v>
      </c>
      <c r="D1082" s="1568" t="s">
        <v>2952</v>
      </c>
      <c r="E1082" s="1567">
        <v>44047</v>
      </c>
      <c r="F1082" s="1566">
        <v>208</v>
      </c>
      <c r="G1082" s="1566">
        <v>0</v>
      </c>
      <c r="H1082" s="1567"/>
      <c r="I1082" s="1567">
        <v>46732</v>
      </c>
      <c r="J1082" s="1567">
        <v>46732</v>
      </c>
      <c r="K1082" s="1568" t="str">
        <f t="shared" si="16"/>
        <v>No</v>
      </c>
      <c r="L1082" s="1565"/>
    </row>
    <row r="1083" spans="1:12" ht="20.100000000000001" customHeight="1">
      <c r="A1083" s="1568" t="s">
        <v>3064</v>
      </c>
      <c r="B1083" s="1567">
        <v>43081</v>
      </c>
      <c r="C1083" s="1568" t="s">
        <v>3308</v>
      </c>
      <c r="D1083" s="1568" t="s">
        <v>2952</v>
      </c>
      <c r="E1083" s="1567">
        <v>44078</v>
      </c>
      <c r="F1083" s="1566">
        <v>209</v>
      </c>
      <c r="G1083" s="1566">
        <v>0</v>
      </c>
      <c r="H1083" s="1567"/>
      <c r="I1083" s="1567">
        <v>46732</v>
      </c>
      <c r="J1083" s="1567">
        <v>46732</v>
      </c>
      <c r="K1083" s="1568" t="str">
        <f t="shared" si="16"/>
        <v>No</v>
      </c>
      <c r="L1083" s="1565"/>
    </row>
    <row r="1084" spans="1:12" ht="20.100000000000001" customHeight="1">
      <c r="A1084" s="1568" t="s">
        <v>3064</v>
      </c>
      <c r="B1084" s="1567">
        <v>43081</v>
      </c>
      <c r="C1084" s="1568" t="s">
        <v>3308</v>
      </c>
      <c r="D1084" s="1568" t="s">
        <v>2952</v>
      </c>
      <c r="E1084" s="1567">
        <v>44108</v>
      </c>
      <c r="F1084" s="1566">
        <v>208</v>
      </c>
      <c r="G1084" s="1566">
        <v>0</v>
      </c>
      <c r="H1084" s="1567"/>
      <c r="I1084" s="1567">
        <v>46732</v>
      </c>
      <c r="J1084" s="1567">
        <v>46732</v>
      </c>
      <c r="K1084" s="1568" t="str">
        <f t="shared" si="16"/>
        <v>No</v>
      </c>
      <c r="L1084" s="1565"/>
    </row>
    <row r="1085" spans="1:12" ht="20.100000000000001" customHeight="1">
      <c r="A1085" s="1568" t="s">
        <v>3064</v>
      </c>
      <c r="B1085" s="1567">
        <v>43081</v>
      </c>
      <c r="C1085" s="1568" t="s">
        <v>3308</v>
      </c>
      <c r="D1085" s="1568" t="s">
        <v>2952</v>
      </c>
      <c r="E1085" s="1567">
        <v>44139</v>
      </c>
      <c r="F1085" s="1566">
        <v>208</v>
      </c>
      <c r="G1085" s="1566">
        <v>0</v>
      </c>
      <c r="H1085" s="1567"/>
      <c r="I1085" s="1567">
        <v>46732</v>
      </c>
      <c r="J1085" s="1567">
        <v>46732</v>
      </c>
      <c r="K1085" s="1568" t="str">
        <f t="shared" si="16"/>
        <v>No</v>
      </c>
      <c r="L1085" s="1565"/>
    </row>
    <row r="1086" spans="1:12" ht="20.100000000000001" customHeight="1">
      <c r="A1086" s="1568" t="s">
        <v>3064</v>
      </c>
      <c r="B1086" s="1567">
        <v>43081</v>
      </c>
      <c r="C1086" s="1568" t="s">
        <v>3308</v>
      </c>
      <c r="D1086" s="1568" t="s">
        <v>2952</v>
      </c>
      <c r="E1086" s="1567">
        <v>44169</v>
      </c>
      <c r="F1086" s="1566">
        <v>209</v>
      </c>
      <c r="G1086" s="1566">
        <v>0</v>
      </c>
      <c r="H1086" s="1567"/>
      <c r="I1086" s="1567">
        <v>46732</v>
      </c>
      <c r="J1086" s="1567">
        <v>46732</v>
      </c>
      <c r="K1086" s="1568" t="str">
        <f t="shared" si="16"/>
        <v>No</v>
      </c>
      <c r="L1086" s="1565"/>
    </row>
    <row r="1087" spans="1:12" ht="20.100000000000001" customHeight="1">
      <c r="A1087" s="1568" t="s">
        <v>3064</v>
      </c>
      <c r="B1087" s="1567">
        <v>43081</v>
      </c>
      <c r="C1087" s="1568" t="s">
        <v>3308</v>
      </c>
      <c r="D1087" s="1568" t="s">
        <v>2952</v>
      </c>
      <c r="E1087" s="1567">
        <v>44200</v>
      </c>
      <c r="F1087" s="1566">
        <v>208</v>
      </c>
      <c r="G1087" s="1566">
        <v>0</v>
      </c>
      <c r="H1087" s="1567"/>
      <c r="I1087" s="1567">
        <v>46732</v>
      </c>
      <c r="J1087" s="1567">
        <v>46732</v>
      </c>
      <c r="K1087" s="1568" t="str">
        <f t="shared" si="16"/>
        <v>No</v>
      </c>
      <c r="L1087" s="1565"/>
    </row>
    <row r="1088" spans="1:12" ht="20.100000000000001" customHeight="1">
      <c r="A1088" s="1568" t="s">
        <v>3064</v>
      </c>
      <c r="B1088" s="1567">
        <v>43081</v>
      </c>
      <c r="C1088" s="1568" t="s">
        <v>3308</v>
      </c>
      <c r="D1088" s="1568" t="s">
        <v>2952</v>
      </c>
      <c r="E1088" s="1567">
        <v>44231</v>
      </c>
      <c r="F1088" s="1566">
        <v>208</v>
      </c>
      <c r="G1088" s="1566">
        <v>0</v>
      </c>
      <c r="H1088" s="1567"/>
      <c r="I1088" s="1567">
        <v>46732</v>
      </c>
      <c r="J1088" s="1567">
        <v>46732</v>
      </c>
      <c r="K1088" s="1568" t="str">
        <f t="shared" si="16"/>
        <v>No</v>
      </c>
      <c r="L1088" s="1565"/>
    </row>
    <row r="1089" spans="1:12" ht="20.100000000000001" customHeight="1">
      <c r="A1089" s="1568" t="s">
        <v>3064</v>
      </c>
      <c r="B1089" s="1567">
        <v>43081</v>
      </c>
      <c r="C1089" s="1568" t="s">
        <v>3308</v>
      </c>
      <c r="D1089" s="1568" t="s">
        <v>2952</v>
      </c>
      <c r="E1089" s="1567">
        <v>44259</v>
      </c>
      <c r="F1089" s="1566">
        <v>209</v>
      </c>
      <c r="G1089" s="1566">
        <v>0</v>
      </c>
      <c r="H1089" s="1567"/>
      <c r="I1089" s="1567">
        <v>46732</v>
      </c>
      <c r="J1089" s="1567">
        <v>46732</v>
      </c>
      <c r="K1089" s="1568" t="str">
        <f t="shared" si="16"/>
        <v>No</v>
      </c>
      <c r="L1089" s="1565"/>
    </row>
    <row r="1090" spans="1:12" ht="20.100000000000001" customHeight="1">
      <c r="A1090" s="1568" t="s">
        <v>3064</v>
      </c>
      <c r="B1090" s="1567">
        <v>43081</v>
      </c>
      <c r="C1090" s="1568" t="s">
        <v>3308</v>
      </c>
      <c r="D1090" s="1568" t="s">
        <v>2952</v>
      </c>
      <c r="E1090" s="1567">
        <v>44290</v>
      </c>
      <c r="F1090" s="1566">
        <v>208</v>
      </c>
      <c r="G1090" s="1566">
        <v>0</v>
      </c>
      <c r="H1090" s="1567"/>
      <c r="I1090" s="1567">
        <v>46732</v>
      </c>
      <c r="J1090" s="1567">
        <v>46732</v>
      </c>
      <c r="K1090" s="1568" t="str">
        <f t="shared" si="16"/>
        <v>No</v>
      </c>
      <c r="L1090" s="1565"/>
    </row>
    <row r="1091" spans="1:12" ht="20.100000000000001" customHeight="1">
      <c r="A1091" s="1568" t="s">
        <v>3064</v>
      </c>
      <c r="B1091" s="1567">
        <v>43081</v>
      </c>
      <c r="C1091" s="1568" t="s">
        <v>3308</v>
      </c>
      <c r="D1091" s="1568" t="s">
        <v>2952</v>
      </c>
      <c r="E1091" s="1567">
        <v>44320</v>
      </c>
      <c r="F1091" s="1566">
        <v>208</v>
      </c>
      <c r="G1091" s="1566">
        <v>0</v>
      </c>
      <c r="H1091" s="1567"/>
      <c r="I1091" s="1567">
        <v>46732</v>
      </c>
      <c r="J1091" s="1567">
        <v>46732</v>
      </c>
      <c r="K1091" s="1568" t="str">
        <f t="shared" si="16"/>
        <v>No</v>
      </c>
      <c r="L1091" s="1565"/>
    </row>
    <row r="1092" spans="1:12" ht="20.100000000000001" customHeight="1">
      <c r="A1092" s="1568" t="s">
        <v>3064</v>
      </c>
      <c r="B1092" s="1567">
        <v>43081</v>
      </c>
      <c r="C1092" s="1568" t="s">
        <v>3308</v>
      </c>
      <c r="D1092" s="1568" t="s">
        <v>2952</v>
      </c>
      <c r="E1092" s="1567">
        <v>44351</v>
      </c>
      <c r="F1092" s="1566">
        <v>209</v>
      </c>
      <c r="G1092" s="1566">
        <v>0</v>
      </c>
      <c r="H1092" s="1567"/>
      <c r="I1092" s="1567">
        <v>46732</v>
      </c>
      <c r="J1092" s="1567">
        <v>46732</v>
      </c>
      <c r="K1092" s="1568" t="str">
        <f t="shared" si="16"/>
        <v>No</v>
      </c>
      <c r="L1092" s="1565"/>
    </row>
    <row r="1093" spans="1:12" ht="20.100000000000001" customHeight="1">
      <c r="A1093" s="1568" t="s">
        <v>3064</v>
      </c>
      <c r="B1093" s="1567">
        <v>43081</v>
      </c>
      <c r="C1093" s="1568" t="s">
        <v>3308</v>
      </c>
      <c r="D1093" s="1568" t="s">
        <v>2952</v>
      </c>
      <c r="E1093" s="1567">
        <v>44381</v>
      </c>
      <c r="F1093" s="1566">
        <v>208</v>
      </c>
      <c r="G1093" s="1566">
        <v>0</v>
      </c>
      <c r="H1093" s="1567"/>
      <c r="I1093" s="1567">
        <v>46732</v>
      </c>
      <c r="J1093" s="1567">
        <v>46732</v>
      </c>
      <c r="K1093" s="1568" t="str">
        <f t="shared" ref="K1093:K1156" si="17">IF(I1093="N/A","No",IF(E1093&lt;=I1093,"No","Yes"))</f>
        <v>No</v>
      </c>
      <c r="L1093" s="1565"/>
    </row>
    <row r="1094" spans="1:12" ht="20.100000000000001" customHeight="1">
      <c r="A1094" s="1568" t="s">
        <v>3064</v>
      </c>
      <c r="B1094" s="1567">
        <v>43081</v>
      </c>
      <c r="C1094" s="1568" t="s">
        <v>3308</v>
      </c>
      <c r="D1094" s="1568" t="s">
        <v>2952</v>
      </c>
      <c r="E1094" s="1567">
        <v>44412</v>
      </c>
      <c r="F1094" s="1566">
        <v>208</v>
      </c>
      <c r="G1094" s="1566">
        <v>0</v>
      </c>
      <c r="H1094" s="1567"/>
      <c r="I1094" s="1567">
        <v>46732</v>
      </c>
      <c r="J1094" s="1567">
        <v>46732</v>
      </c>
      <c r="K1094" s="1568" t="str">
        <f t="shared" si="17"/>
        <v>No</v>
      </c>
      <c r="L1094" s="1565"/>
    </row>
    <row r="1095" spans="1:12" ht="20.100000000000001" customHeight="1">
      <c r="A1095" s="1568" t="s">
        <v>3064</v>
      </c>
      <c r="B1095" s="1567">
        <v>43081</v>
      </c>
      <c r="C1095" s="1568" t="s">
        <v>3308</v>
      </c>
      <c r="D1095" s="1568" t="s">
        <v>2952</v>
      </c>
      <c r="E1095" s="1567">
        <v>44443</v>
      </c>
      <c r="F1095" s="1566">
        <v>209</v>
      </c>
      <c r="G1095" s="1566">
        <v>0</v>
      </c>
      <c r="H1095" s="1567"/>
      <c r="I1095" s="1567">
        <v>46732</v>
      </c>
      <c r="J1095" s="1567">
        <v>46732</v>
      </c>
      <c r="K1095" s="1568" t="str">
        <f t="shared" si="17"/>
        <v>No</v>
      </c>
      <c r="L1095" s="1565"/>
    </row>
    <row r="1096" spans="1:12" ht="20.100000000000001" customHeight="1">
      <c r="A1096" s="1568" t="s">
        <v>3063</v>
      </c>
      <c r="B1096" s="1567">
        <v>43088</v>
      </c>
      <c r="C1096" s="1568" t="s">
        <v>3308</v>
      </c>
      <c r="D1096" s="1568" t="s">
        <v>2960</v>
      </c>
      <c r="E1096" s="1567">
        <v>43410</v>
      </c>
      <c r="F1096" s="1566">
        <v>1000</v>
      </c>
      <c r="G1096" s="1566">
        <v>0</v>
      </c>
      <c r="H1096" s="1567"/>
      <c r="I1096" s="1567">
        <v>46739</v>
      </c>
      <c r="J1096" s="1567">
        <v>46739</v>
      </c>
      <c r="K1096" s="1568" t="str">
        <f t="shared" si="17"/>
        <v>No</v>
      </c>
      <c r="L1096" s="1565"/>
    </row>
    <row r="1097" spans="1:12" ht="20.100000000000001" customHeight="1">
      <c r="A1097" s="1568" t="s">
        <v>3063</v>
      </c>
      <c r="B1097" s="1567">
        <v>43088</v>
      </c>
      <c r="C1097" s="1568" t="s">
        <v>3308</v>
      </c>
      <c r="D1097" s="1568" t="s">
        <v>2960</v>
      </c>
      <c r="E1097" s="1567">
        <v>43440</v>
      </c>
      <c r="F1097" s="1566">
        <v>83</v>
      </c>
      <c r="G1097" s="1566">
        <v>0</v>
      </c>
      <c r="H1097" s="1567"/>
      <c r="I1097" s="1567">
        <v>46739</v>
      </c>
      <c r="J1097" s="1567">
        <v>46739</v>
      </c>
      <c r="K1097" s="1568" t="str">
        <f t="shared" si="17"/>
        <v>No</v>
      </c>
      <c r="L1097" s="1565"/>
    </row>
    <row r="1098" spans="1:12" ht="20.100000000000001" customHeight="1">
      <c r="A1098" s="1568" t="s">
        <v>3063</v>
      </c>
      <c r="B1098" s="1567">
        <v>43088</v>
      </c>
      <c r="C1098" s="1568" t="s">
        <v>3308</v>
      </c>
      <c r="D1098" s="1568" t="s">
        <v>2960</v>
      </c>
      <c r="E1098" s="1567">
        <v>43471</v>
      </c>
      <c r="F1098" s="1566">
        <v>83</v>
      </c>
      <c r="G1098" s="1566">
        <v>0</v>
      </c>
      <c r="H1098" s="1567"/>
      <c r="I1098" s="1567">
        <v>46739</v>
      </c>
      <c r="J1098" s="1567">
        <v>46739</v>
      </c>
      <c r="K1098" s="1568" t="str">
        <f t="shared" si="17"/>
        <v>No</v>
      </c>
      <c r="L1098" s="1565"/>
    </row>
    <row r="1099" spans="1:12" ht="20.100000000000001" customHeight="1">
      <c r="A1099" s="1568" t="s">
        <v>3063</v>
      </c>
      <c r="B1099" s="1567">
        <v>43088</v>
      </c>
      <c r="C1099" s="1568" t="s">
        <v>3308</v>
      </c>
      <c r="D1099" s="1568" t="s">
        <v>2960</v>
      </c>
      <c r="E1099" s="1567">
        <v>43502</v>
      </c>
      <c r="F1099" s="1566">
        <v>84</v>
      </c>
      <c r="G1099" s="1566">
        <v>0</v>
      </c>
      <c r="H1099" s="1567"/>
      <c r="I1099" s="1567">
        <v>46739</v>
      </c>
      <c r="J1099" s="1567">
        <v>46739</v>
      </c>
      <c r="K1099" s="1568" t="str">
        <f t="shared" si="17"/>
        <v>No</v>
      </c>
      <c r="L1099" s="1565"/>
    </row>
    <row r="1100" spans="1:12" ht="20.100000000000001" customHeight="1">
      <c r="A1100" s="1568" t="s">
        <v>3063</v>
      </c>
      <c r="B1100" s="1567">
        <v>43088</v>
      </c>
      <c r="C1100" s="1568" t="s">
        <v>3308</v>
      </c>
      <c r="D1100" s="1568" t="s">
        <v>2960</v>
      </c>
      <c r="E1100" s="1567">
        <v>43530</v>
      </c>
      <c r="F1100" s="1566">
        <v>83</v>
      </c>
      <c r="G1100" s="1566">
        <v>0</v>
      </c>
      <c r="H1100" s="1567"/>
      <c r="I1100" s="1567">
        <v>46739</v>
      </c>
      <c r="J1100" s="1567">
        <v>46739</v>
      </c>
      <c r="K1100" s="1568" t="str">
        <f t="shared" si="17"/>
        <v>No</v>
      </c>
      <c r="L1100" s="1565"/>
    </row>
    <row r="1101" spans="1:12" ht="20.100000000000001" customHeight="1">
      <c r="A1101" s="1568" t="s">
        <v>3063</v>
      </c>
      <c r="B1101" s="1567">
        <v>43088</v>
      </c>
      <c r="C1101" s="1568" t="s">
        <v>3308</v>
      </c>
      <c r="D1101" s="1568" t="s">
        <v>2960</v>
      </c>
      <c r="E1101" s="1567">
        <v>43561</v>
      </c>
      <c r="F1101" s="1566">
        <v>83</v>
      </c>
      <c r="G1101" s="1566">
        <v>0</v>
      </c>
      <c r="H1101" s="1567"/>
      <c r="I1101" s="1567">
        <v>46739</v>
      </c>
      <c r="J1101" s="1567">
        <v>46739</v>
      </c>
      <c r="K1101" s="1568" t="str">
        <f t="shared" si="17"/>
        <v>No</v>
      </c>
      <c r="L1101" s="1565"/>
    </row>
    <row r="1102" spans="1:12" ht="20.100000000000001" customHeight="1">
      <c r="A1102" s="1568" t="s">
        <v>3063</v>
      </c>
      <c r="B1102" s="1567">
        <v>43088</v>
      </c>
      <c r="C1102" s="1568" t="s">
        <v>3308</v>
      </c>
      <c r="D1102" s="1568" t="s">
        <v>2960</v>
      </c>
      <c r="E1102" s="1567">
        <v>43591</v>
      </c>
      <c r="F1102" s="1566">
        <v>84</v>
      </c>
      <c r="G1102" s="1566">
        <v>0</v>
      </c>
      <c r="H1102" s="1567"/>
      <c r="I1102" s="1567">
        <v>46739</v>
      </c>
      <c r="J1102" s="1567">
        <v>46739</v>
      </c>
      <c r="K1102" s="1568" t="str">
        <f t="shared" si="17"/>
        <v>No</v>
      </c>
      <c r="L1102" s="1565"/>
    </row>
    <row r="1103" spans="1:12" ht="20.100000000000001" customHeight="1">
      <c r="A1103" s="1568" t="s">
        <v>3063</v>
      </c>
      <c r="B1103" s="1567">
        <v>43088</v>
      </c>
      <c r="C1103" s="1568" t="s">
        <v>3308</v>
      </c>
      <c r="D1103" s="1568" t="s">
        <v>2960</v>
      </c>
      <c r="E1103" s="1567">
        <v>43622</v>
      </c>
      <c r="F1103" s="1566">
        <v>83</v>
      </c>
      <c r="G1103" s="1566">
        <v>0</v>
      </c>
      <c r="H1103" s="1567"/>
      <c r="I1103" s="1567">
        <v>46739</v>
      </c>
      <c r="J1103" s="1567">
        <v>46739</v>
      </c>
      <c r="K1103" s="1568" t="str">
        <f t="shared" si="17"/>
        <v>No</v>
      </c>
      <c r="L1103" s="1565"/>
    </row>
    <row r="1104" spans="1:12" ht="20.100000000000001" customHeight="1">
      <c r="A1104" s="1568" t="s">
        <v>3063</v>
      </c>
      <c r="B1104" s="1567">
        <v>43088</v>
      </c>
      <c r="C1104" s="1568" t="s">
        <v>3308</v>
      </c>
      <c r="D1104" s="1568" t="s">
        <v>2960</v>
      </c>
      <c r="E1104" s="1567">
        <v>43652</v>
      </c>
      <c r="F1104" s="1566">
        <v>83</v>
      </c>
      <c r="G1104" s="1566">
        <v>0</v>
      </c>
      <c r="H1104" s="1567"/>
      <c r="I1104" s="1567">
        <v>46739</v>
      </c>
      <c r="J1104" s="1567">
        <v>46739</v>
      </c>
      <c r="K1104" s="1568" t="str">
        <f t="shared" si="17"/>
        <v>No</v>
      </c>
      <c r="L1104" s="1565"/>
    </row>
    <row r="1105" spans="1:12" ht="20.100000000000001" customHeight="1">
      <c r="A1105" s="1568" t="s">
        <v>3063</v>
      </c>
      <c r="B1105" s="1567">
        <v>43088</v>
      </c>
      <c r="C1105" s="1568" t="s">
        <v>3308</v>
      </c>
      <c r="D1105" s="1568" t="s">
        <v>2960</v>
      </c>
      <c r="E1105" s="1567">
        <v>43683</v>
      </c>
      <c r="F1105" s="1566">
        <v>84</v>
      </c>
      <c r="G1105" s="1566">
        <v>0</v>
      </c>
      <c r="H1105" s="1567"/>
      <c r="I1105" s="1567">
        <v>46739</v>
      </c>
      <c r="J1105" s="1567">
        <v>46739</v>
      </c>
      <c r="K1105" s="1568" t="str">
        <f t="shared" si="17"/>
        <v>No</v>
      </c>
      <c r="L1105" s="1565"/>
    </row>
    <row r="1106" spans="1:12" ht="20.100000000000001" customHeight="1">
      <c r="A1106" s="1568" t="s">
        <v>3063</v>
      </c>
      <c r="B1106" s="1567">
        <v>43088</v>
      </c>
      <c r="C1106" s="1568" t="s">
        <v>3308</v>
      </c>
      <c r="D1106" s="1568" t="s">
        <v>2960</v>
      </c>
      <c r="E1106" s="1567">
        <v>43714</v>
      </c>
      <c r="F1106" s="1566">
        <v>83</v>
      </c>
      <c r="G1106" s="1566">
        <v>0</v>
      </c>
      <c r="H1106" s="1567"/>
      <c r="I1106" s="1567">
        <v>46739</v>
      </c>
      <c r="J1106" s="1567">
        <v>46739</v>
      </c>
      <c r="K1106" s="1568" t="str">
        <f t="shared" si="17"/>
        <v>No</v>
      </c>
      <c r="L1106" s="1565"/>
    </row>
    <row r="1107" spans="1:12" ht="20.100000000000001" customHeight="1">
      <c r="A1107" s="1568" t="s">
        <v>3063</v>
      </c>
      <c r="B1107" s="1567">
        <v>43088</v>
      </c>
      <c r="C1107" s="1568" t="s">
        <v>3308</v>
      </c>
      <c r="D1107" s="1568" t="s">
        <v>2960</v>
      </c>
      <c r="E1107" s="1567">
        <v>43744</v>
      </c>
      <c r="F1107" s="1566">
        <v>83</v>
      </c>
      <c r="G1107" s="1566">
        <v>0</v>
      </c>
      <c r="H1107" s="1567"/>
      <c r="I1107" s="1567">
        <v>46739</v>
      </c>
      <c r="J1107" s="1567">
        <v>46739</v>
      </c>
      <c r="K1107" s="1568" t="str">
        <f t="shared" si="17"/>
        <v>No</v>
      </c>
      <c r="L1107" s="1565"/>
    </row>
    <row r="1108" spans="1:12" ht="20.100000000000001" customHeight="1">
      <c r="A1108" s="1568" t="s">
        <v>3063</v>
      </c>
      <c r="B1108" s="1567">
        <v>43088</v>
      </c>
      <c r="C1108" s="1568" t="s">
        <v>3308</v>
      </c>
      <c r="D1108" s="1568" t="s">
        <v>2960</v>
      </c>
      <c r="E1108" s="1567">
        <v>43775</v>
      </c>
      <c r="F1108" s="1566">
        <v>84</v>
      </c>
      <c r="G1108" s="1566">
        <v>0</v>
      </c>
      <c r="H1108" s="1567"/>
      <c r="I1108" s="1567">
        <v>46739</v>
      </c>
      <c r="J1108" s="1567">
        <v>46739</v>
      </c>
      <c r="K1108" s="1568" t="str">
        <f t="shared" si="17"/>
        <v>No</v>
      </c>
      <c r="L1108" s="1565"/>
    </row>
    <row r="1109" spans="1:12" ht="20.100000000000001" customHeight="1">
      <c r="A1109" s="1568" t="s">
        <v>3063</v>
      </c>
      <c r="B1109" s="1567">
        <v>43088</v>
      </c>
      <c r="C1109" s="1568" t="s">
        <v>3308</v>
      </c>
      <c r="D1109" s="1568" t="s">
        <v>2960</v>
      </c>
      <c r="E1109" s="1567">
        <v>43805</v>
      </c>
      <c r="F1109" s="1566">
        <v>83</v>
      </c>
      <c r="G1109" s="1566">
        <v>0</v>
      </c>
      <c r="H1109" s="1567"/>
      <c r="I1109" s="1567">
        <v>46739</v>
      </c>
      <c r="J1109" s="1567">
        <v>46739</v>
      </c>
      <c r="K1109" s="1568" t="str">
        <f t="shared" si="17"/>
        <v>No</v>
      </c>
      <c r="L1109" s="1565"/>
    </row>
    <row r="1110" spans="1:12" ht="20.100000000000001" customHeight="1">
      <c r="A1110" s="1568" t="s">
        <v>3063</v>
      </c>
      <c r="B1110" s="1567">
        <v>43088</v>
      </c>
      <c r="C1110" s="1568" t="s">
        <v>3308</v>
      </c>
      <c r="D1110" s="1568" t="s">
        <v>2960</v>
      </c>
      <c r="E1110" s="1567">
        <v>43836</v>
      </c>
      <c r="F1110" s="1566">
        <v>83</v>
      </c>
      <c r="G1110" s="1566">
        <v>0</v>
      </c>
      <c r="H1110" s="1567"/>
      <c r="I1110" s="1567">
        <v>46739</v>
      </c>
      <c r="J1110" s="1567">
        <v>46739</v>
      </c>
      <c r="K1110" s="1568" t="str">
        <f t="shared" si="17"/>
        <v>No</v>
      </c>
      <c r="L1110" s="1565"/>
    </row>
    <row r="1111" spans="1:12" ht="20.100000000000001" customHeight="1">
      <c r="A1111" s="1568" t="s">
        <v>3063</v>
      </c>
      <c r="B1111" s="1567">
        <v>43088</v>
      </c>
      <c r="C1111" s="1568" t="s">
        <v>3308</v>
      </c>
      <c r="D1111" s="1568" t="s">
        <v>2960</v>
      </c>
      <c r="E1111" s="1567">
        <v>43867</v>
      </c>
      <c r="F1111" s="1566">
        <v>84</v>
      </c>
      <c r="G1111" s="1566">
        <v>0</v>
      </c>
      <c r="H1111" s="1567"/>
      <c r="I1111" s="1567">
        <v>46739</v>
      </c>
      <c r="J1111" s="1567">
        <v>46739</v>
      </c>
      <c r="K1111" s="1568" t="str">
        <f t="shared" si="17"/>
        <v>No</v>
      </c>
      <c r="L1111" s="1565"/>
    </row>
    <row r="1112" spans="1:12" ht="20.100000000000001" customHeight="1">
      <c r="A1112" s="1568" t="s">
        <v>3063</v>
      </c>
      <c r="B1112" s="1567">
        <v>43088</v>
      </c>
      <c r="C1112" s="1568" t="s">
        <v>3308</v>
      </c>
      <c r="D1112" s="1568" t="s">
        <v>2960</v>
      </c>
      <c r="E1112" s="1567">
        <v>43896</v>
      </c>
      <c r="F1112" s="1566">
        <v>83</v>
      </c>
      <c r="G1112" s="1566">
        <v>0</v>
      </c>
      <c r="H1112" s="1567"/>
      <c r="I1112" s="1567">
        <v>46739</v>
      </c>
      <c r="J1112" s="1567">
        <v>46739</v>
      </c>
      <c r="K1112" s="1568" t="str">
        <f t="shared" si="17"/>
        <v>No</v>
      </c>
      <c r="L1112" s="1565"/>
    </row>
    <row r="1113" spans="1:12" ht="20.100000000000001" customHeight="1">
      <c r="A1113" s="1568" t="s">
        <v>3063</v>
      </c>
      <c r="B1113" s="1567">
        <v>43088</v>
      </c>
      <c r="C1113" s="1568" t="s">
        <v>3308</v>
      </c>
      <c r="D1113" s="1568" t="s">
        <v>2960</v>
      </c>
      <c r="E1113" s="1567">
        <v>43927</v>
      </c>
      <c r="F1113" s="1566">
        <v>83</v>
      </c>
      <c r="G1113" s="1566">
        <v>0</v>
      </c>
      <c r="H1113" s="1567"/>
      <c r="I1113" s="1567">
        <v>46739</v>
      </c>
      <c r="J1113" s="1567">
        <v>46739</v>
      </c>
      <c r="K1113" s="1568" t="str">
        <f t="shared" si="17"/>
        <v>No</v>
      </c>
      <c r="L1113" s="1565"/>
    </row>
    <row r="1114" spans="1:12" ht="20.100000000000001" customHeight="1">
      <c r="A1114" s="1568" t="s">
        <v>3063</v>
      </c>
      <c r="B1114" s="1567">
        <v>43088</v>
      </c>
      <c r="C1114" s="1568" t="s">
        <v>3308</v>
      </c>
      <c r="D1114" s="1568" t="s">
        <v>2960</v>
      </c>
      <c r="E1114" s="1567">
        <v>43957</v>
      </c>
      <c r="F1114" s="1566">
        <v>84</v>
      </c>
      <c r="G1114" s="1566">
        <v>0</v>
      </c>
      <c r="H1114" s="1567"/>
      <c r="I1114" s="1567">
        <v>46739</v>
      </c>
      <c r="J1114" s="1567">
        <v>46739</v>
      </c>
      <c r="K1114" s="1568" t="str">
        <f t="shared" si="17"/>
        <v>No</v>
      </c>
      <c r="L1114" s="1565"/>
    </row>
    <row r="1115" spans="1:12" ht="20.100000000000001" customHeight="1">
      <c r="A1115" s="1568" t="s">
        <v>3063</v>
      </c>
      <c r="B1115" s="1567">
        <v>43088</v>
      </c>
      <c r="C1115" s="1568" t="s">
        <v>3308</v>
      </c>
      <c r="D1115" s="1568" t="s">
        <v>2960</v>
      </c>
      <c r="E1115" s="1567">
        <v>43988</v>
      </c>
      <c r="F1115" s="1566">
        <v>83</v>
      </c>
      <c r="G1115" s="1566">
        <v>0</v>
      </c>
      <c r="H1115" s="1567"/>
      <c r="I1115" s="1567">
        <v>46739</v>
      </c>
      <c r="J1115" s="1567">
        <v>46739</v>
      </c>
      <c r="K1115" s="1568" t="str">
        <f t="shared" si="17"/>
        <v>No</v>
      </c>
      <c r="L1115" s="1565"/>
    </row>
    <row r="1116" spans="1:12" ht="20.100000000000001" customHeight="1">
      <c r="A1116" s="1568" t="s">
        <v>3063</v>
      </c>
      <c r="B1116" s="1567">
        <v>43088</v>
      </c>
      <c r="C1116" s="1568" t="s">
        <v>3308</v>
      </c>
      <c r="D1116" s="1568" t="s">
        <v>2960</v>
      </c>
      <c r="E1116" s="1567">
        <v>44018</v>
      </c>
      <c r="F1116" s="1566">
        <v>83</v>
      </c>
      <c r="G1116" s="1566">
        <v>0</v>
      </c>
      <c r="H1116" s="1567"/>
      <c r="I1116" s="1567">
        <v>46739</v>
      </c>
      <c r="J1116" s="1567">
        <v>46739</v>
      </c>
      <c r="K1116" s="1568" t="str">
        <f t="shared" si="17"/>
        <v>No</v>
      </c>
      <c r="L1116" s="1565"/>
    </row>
    <row r="1117" spans="1:12" ht="20.100000000000001" customHeight="1">
      <c r="A1117" s="1568" t="s">
        <v>3063</v>
      </c>
      <c r="B1117" s="1567">
        <v>43088</v>
      </c>
      <c r="C1117" s="1568" t="s">
        <v>3308</v>
      </c>
      <c r="D1117" s="1568" t="s">
        <v>2960</v>
      </c>
      <c r="E1117" s="1567">
        <v>44049</v>
      </c>
      <c r="F1117" s="1566">
        <v>84</v>
      </c>
      <c r="G1117" s="1566">
        <v>0</v>
      </c>
      <c r="H1117" s="1567"/>
      <c r="I1117" s="1567">
        <v>46739</v>
      </c>
      <c r="J1117" s="1567">
        <v>46739</v>
      </c>
      <c r="K1117" s="1568" t="str">
        <f t="shared" si="17"/>
        <v>No</v>
      </c>
      <c r="L1117" s="1565"/>
    </row>
    <row r="1118" spans="1:12" ht="20.100000000000001" customHeight="1">
      <c r="A1118" s="1568" t="s">
        <v>3063</v>
      </c>
      <c r="B1118" s="1567">
        <v>43088</v>
      </c>
      <c r="C1118" s="1568" t="s">
        <v>3308</v>
      </c>
      <c r="D1118" s="1568" t="s">
        <v>2960</v>
      </c>
      <c r="E1118" s="1567">
        <v>44080</v>
      </c>
      <c r="F1118" s="1566">
        <v>83</v>
      </c>
      <c r="G1118" s="1566">
        <v>0</v>
      </c>
      <c r="H1118" s="1567"/>
      <c r="I1118" s="1567">
        <v>46739</v>
      </c>
      <c r="J1118" s="1567">
        <v>46739</v>
      </c>
      <c r="K1118" s="1568" t="str">
        <f t="shared" si="17"/>
        <v>No</v>
      </c>
      <c r="L1118" s="1565"/>
    </row>
    <row r="1119" spans="1:12" ht="20.100000000000001" customHeight="1">
      <c r="A1119" s="1568" t="s">
        <v>3063</v>
      </c>
      <c r="B1119" s="1567">
        <v>43088</v>
      </c>
      <c r="C1119" s="1568" t="s">
        <v>3308</v>
      </c>
      <c r="D1119" s="1568" t="s">
        <v>2960</v>
      </c>
      <c r="E1119" s="1567">
        <v>44110</v>
      </c>
      <c r="F1119" s="1566">
        <v>83</v>
      </c>
      <c r="G1119" s="1566">
        <v>0</v>
      </c>
      <c r="H1119" s="1567"/>
      <c r="I1119" s="1567">
        <v>46739</v>
      </c>
      <c r="J1119" s="1567">
        <v>46739</v>
      </c>
      <c r="K1119" s="1568" t="str">
        <f t="shared" si="17"/>
        <v>No</v>
      </c>
      <c r="L1119" s="1565"/>
    </row>
    <row r="1120" spans="1:12" ht="20.100000000000001" customHeight="1">
      <c r="A1120" s="1568" t="s">
        <v>3063</v>
      </c>
      <c r="B1120" s="1567">
        <v>43088</v>
      </c>
      <c r="C1120" s="1568" t="s">
        <v>3308</v>
      </c>
      <c r="D1120" s="1568" t="s">
        <v>2960</v>
      </c>
      <c r="E1120" s="1567">
        <v>44141</v>
      </c>
      <c r="F1120" s="1566">
        <v>84</v>
      </c>
      <c r="G1120" s="1566">
        <v>0</v>
      </c>
      <c r="H1120" s="1567"/>
      <c r="I1120" s="1567">
        <v>46739</v>
      </c>
      <c r="J1120" s="1567">
        <v>46739</v>
      </c>
      <c r="K1120" s="1568" t="str">
        <f t="shared" si="17"/>
        <v>No</v>
      </c>
      <c r="L1120" s="1565"/>
    </row>
    <row r="1121" spans="1:12" ht="20.100000000000001" customHeight="1">
      <c r="A1121" s="1568" t="s">
        <v>3063</v>
      </c>
      <c r="B1121" s="1567">
        <v>43088</v>
      </c>
      <c r="C1121" s="1568" t="s">
        <v>3308</v>
      </c>
      <c r="D1121" s="1568" t="s">
        <v>2960</v>
      </c>
      <c r="E1121" s="1567">
        <v>44171</v>
      </c>
      <c r="F1121" s="1566">
        <v>83</v>
      </c>
      <c r="G1121" s="1566">
        <v>0</v>
      </c>
      <c r="H1121" s="1567"/>
      <c r="I1121" s="1567">
        <v>46739</v>
      </c>
      <c r="J1121" s="1567">
        <v>46739</v>
      </c>
      <c r="K1121" s="1568" t="str">
        <f t="shared" si="17"/>
        <v>No</v>
      </c>
      <c r="L1121" s="1565"/>
    </row>
    <row r="1122" spans="1:12" ht="20.100000000000001" customHeight="1">
      <c r="A1122" s="1568" t="s">
        <v>3063</v>
      </c>
      <c r="B1122" s="1567">
        <v>43088</v>
      </c>
      <c r="C1122" s="1568" t="s">
        <v>3308</v>
      </c>
      <c r="D1122" s="1568" t="s">
        <v>2960</v>
      </c>
      <c r="E1122" s="1567">
        <v>44202</v>
      </c>
      <c r="F1122" s="1566">
        <v>83</v>
      </c>
      <c r="G1122" s="1566">
        <v>0</v>
      </c>
      <c r="H1122" s="1567"/>
      <c r="I1122" s="1567">
        <v>46739</v>
      </c>
      <c r="J1122" s="1567">
        <v>46739</v>
      </c>
      <c r="K1122" s="1568" t="str">
        <f t="shared" si="17"/>
        <v>No</v>
      </c>
      <c r="L1122" s="1565"/>
    </row>
    <row r="1123" spans="1:12" ht="20.100000000000001" customHeight="1">
      <c r="A1123" s="1568" t="s">
        <v>3063</v>
      </c>
      <c r="B1123" s="1567">
        <v>43088</v>
      </c>
      <c r="C1123" s="1568" t="s">
        <v>3308</v>
      </c>
      <c r="D1123" s="1568" t="s">
        <v>2960</v>
      </c>
      <c r="E1123" s="1567">
        <v>44233</v>
      </c>
      <c r="F1123" s="1566">
        <v>84</v>
      </c>
      <c r="G1123" s="1566">
        <v>0</v>
      </c>
      <c r="H1123" s="1567"/>
      <c r="I1123" s="1567">
        <v>46739</v>
      </c>
      <c r="J1123" s="1567">
        <v>46739</v>
      </c>
      <c r="K1123" s="1568" t="str">
        <f t="shared" si="17"/>
        <v>No</v>
      </c>
      <c r="L1123" s="1565"/>
    </row>
    <row r="1124" spans="1:12" ht="20.100000000000001" customHeight="1">
      <c r="A1124" s="1568" t="s">
        <v>3063</v>
      </c>
      <c r="B1124" s="1567">
        <v>43088</v>
      </c>
      <c r="C1124" s="1568" t="s">
        <v>3308</v>
      </c>
      <c r="D1124" s="1568" t="s">
        <v>2960</v>
      </c>
      <c r="E1124" s="1567">
        <v>44261</v>
      </c>
      <c r="F1124" s="1566">
        <v>83</v>
      </c>
      <c r="G1124" s="1566">
        <v>0</v>
      </c>
      <c r="H1124" s="1567"/>
      <c r="I1124" s="1567">
        <v>46739</v>
      </c>
      <c r="J1124" s="1567">
        <v>46739</v>
      </c>
      <c r="K1124" s="1568" t="str">
        <f t="shared" si="17"/>
        <v>No</v>
      </c>
      <c r="L1124" s="1565"/>
    </row>
    <row r="1125" spans="1:12" ht="20.100000000000001" customHeight="1">
      <c r="A1125" s="1568" t="s">
        <v>3063</v>
      </c>
      <c r="B1125" s="1567">
        <v>43088</v>
      </c>
      <c r="C1125" s="1568" t="s">
        <v>3308</v>
      </c>
      <c r="D1125" s="1568" t="s">
        <v>2960</v>
      </c>
      <c r="E1125" s="1567">
        <v>44292</v>
      </c>
      <c r="F1125" s="1566">
        <v>83</v>
      </c>
      <c r="G1125" s="1566">
        <v>0</v>
      </c>
      <c r="H1125" s="1567"/>
      <c r="I1125" s="1567">
        <v>46739</v>
      </c>
      <c r="J1125" s="1567">
        <v>46739</v>
      </c>
      <c r="K1125" s="1568" t="str">
        <f t="shared" si="17"/>
        <v>No</v>
      </c>
      <c r="L1125" s="1565"/>
    </row>
    <row r="1126" spans="1:12" ht="20.100000000000001" customHeight="1">
      <c r="A1126" s="1568" t="s">
        <v>3063</v>
      </c>
      <c r="B1126" s="1567">
        <v>43088</v>
      </c>
      <c r="C1126" s="1568" t="s">
        <v>3308</v>
      </c>
      <c r="D1126" s="1568" t="s">
        <v>2960</v>
      </c>
      <c r="E1126" s="1567">
        <v>44322</v>
      </c>
      <c r="F1126" s="1566">
        <v>84</v>
      </c>
      <c r="G1126" s="1566">
        <v>0</v>
      </c>
      <c r="H1126" s="1567"/>
      <c r="I1126" s="1567">
        <v>46739</v>
      </c>
      <c r="J1126" s="1567">
        <v>46739</v>
      </c>
      <c r="K1126" s="1568" t="str">
        <f t="shared" si="17"/>
        <v>No</v>
      </c>
      <c r="L1126" s="1565"/>
    </row>
    <row r="1127" spans="1:12" ht="20.100000000000001" customHeight="1">
      <c r="A1127" s="1568" t="s">
        <v>3063</v>
      </c>
      <c r="B1127" s="1567">
        <v>43088</v>
      </c>
      <c r="C1127" s="1568" t="s">
        <v>3308</v>
      </c>
      <c r="D1127" s="1568" t="s">
        <v>2960</v>
      </c>
      <c r="E1127" s="1567">
        <v>44353</v>
      </c>
      <c r="F1127" s="1566">
        <v>83</v>
      </c>
      <c r="G1127" s="1566">
        <v>0</v>
      </c>
      <c r="H1127" s="1567"/>
      <c r="I1127" s="1567">
        <v>46739</v>
      </c>
      <c r="J1127" s="1567">
        <v>46739</v>
      </c>
      <c r="K1127" s="1568" t="str">
        <f t="shared" si="17"/>
        <v>No</v>
      </c>
      <c r="L1127" s="1565"/>
    </row>
    <row r="1128" spans="1:12" ht="20.100000000000001" customHeight="1">
      <c r="A1128" s="1568" t="s">
        <v>3063</v>
      </c>
      <c r="B1128" s="1567">
        <v>43088</v>
      </c>
      <c r="C1128" s="1568" t="s">
        <v>3308</v>
      </c>
      <c r="D1128" s="1568" t="s">
        <v>2960</v>
      </c>
      <c r="E1128" s="1567">
        <v>44383</v>
      </c>
      <c r="F1128" s="1566">
        <v>83</v>
      </c>
      <c r="G1128" s="1566">
        <v>0</v>
      </c>
      <c r="H1128" s="1567"/>
      <c r="I1128" s="1567">
        <v>46739</v>
      </c>
      <c r="J1128" s="1567">
        <v>46739</v>
      </c>
      <c r="K1128" s="1568" t="str">
        <f t="shared" si="17"/>
        <v>No</v>
      </c>
      <c r="L1128" s="1565"/>
    </row>
    <row r="1129" spans="1:12" ht="20.100000000000001" customHeight="1">
      <c r="A1129" s="1568" t="s">
        <v>3063</v>
      </c>
      <c r="B1129" s="1567">
        <v>43088</v>
      </c>
      <c r="C1129" s="1568" t="s">
        <v>3308</v>
      </c>
      <c r="D1129" s="1568" t="s">
        <v>2960</v>
      </c>
      <c r="E1129" s="1567">
        <v>44414</v>
      </c>
      <c r="F1129" s="1566">
        <v>84</v>
      </c>
      <c r="G1129" s="1566">
        <v>0</v>
      </c>
      <c r="H1129" s="1567"/>
      <c r="I1129" s="1567">
        <v>46739</v>
      </c>
      <c r="J1129" s="1567">
        <v>46739</v>
      </c>
      <c r="K1129" s="1568" t="str">
        <f t="shared" si="17"/>
        <v>No</v>
      </c>
      <c r="L1129" s="1565"/>
    </row>
    <row r="1130" spans="1:12" ht="20.100000000000001" customHeight="1">
      <c r="A1130" s="1568" t="s">
        <v>3063</v>
      </c>
      <c r="B1130" s="1567">
        <v>43088</v>
      </c>
      <c r="C1130" s="1568" t="s">
        <v>3308</v>
      </c>
      <c r="D1130" s="1568" t="s">
        <v>2960</v>
      </c>
      <c r="E1130" s="1567">
        <v>44445</v>
      </c>
      <c r="F1130" s="1566">
        <v>83</v>
      </c>
      <c r="G1130" s="1566">
        <v>0</v>
      </c>
      <c r="H1130" s="1567"/>
      <c r="I1130" s="1567">
        <v>46739</v>
      </c>
      <c r="J1130" s="1567">
        <v>46739</v>
      </c>
      <c r="K1130" s="1568" t="str">
        <f t="shared" si="17"/>
        <v>No</v>
      </c>
      <c r="L1130" s="1565"/>
    </row>
    <row r="1131" spans="1:12" ht="20.100000000000001" customHeight="1">
      <c r="A1131" s="1568" t="s">
        <v>3063</v>
      </c>
      <c r="B1131" s="1567">
        <v>43088</v>
      </c>
      <c r="C1131" s="1568" t="s">
        <v>3308</v>
      </c>
      <c r="D1131" s="1568" t="s">
        <v>2960</v>
      </c>
      <c r="E1131" s="1567">
        <v>44475</v>
      </c>
      <c r="F1131" s="1566">
        <v>83</v>
      </c>
      <c r="G1131" s="1566">
        <v>0</v>
      </c>
      <c r="H1131" s="1567"/>
      <c r="I1131" s="1567">
        <v>46739</v>
      </c>
      <c r="J1131" s="1567">
        <v>46739</v>
      </c>
      <c r="K1131" s="1568" t="str">
        <f t="shared" si="17"/>
        <v>No</v>
      </c>
      <c r="L1131" s="1565"/>
    </row>
    <row r="1132" spans="1:12" ht="20.100000000000001" customHeight="1">
      <c r="A1132" s="1568" t="s">
        <v>3063</v>
      </c>
      <c r="B1132" s="1567">
        <v>43088</v>
      </c>
      <c r="C1132" s="1568" t="s">
        <v>3308</v>
      </c>
      <c r="D1132" s="1568" t="s">
        <v>2960</v>
      </c>
      <c r="E1132" s="1567">
        <v>44506</v>
      </c>
      <c r="F1132" s="1566">
        <v>84</v>
      </c>
      <c r="G1132" s="1566">
        <v>0</v>
      </c>
      <c r="H1132" s="1567"/>
      <c r="I1132" s="1567">
        <v>46739</v>
      </c>
      <c r="J1132" s="1567">
        <v>46739</v>
      </c>
      <c r="K1132" s="1568" t="str">
        <f t="shared" si="17"/>
        <v>No</v>
      </c>
      <c r="L1132" s="1565"/>
    </row>
    <row r="1133" spans="1:12" ht="20.100000000000001" customHeight="1">
      <c r="A1133" s="1568" t="s">
        <v>3062</v>
      </c>
      <c r="B1133" s="1567">
        <v>43088</v>
      </c>
      <c r="C1133" s="1568" t="s">
        <v>3308</v>
      </c>
      <c r="D1133" s="1568" t="s">
        <v>2998</v>
      </c>
      <c r="E1133" s="1567">
        <v>43088</v>
      </c>
      <c r="F1133" s="1566">
        <v>8000</v>
      </c>
      <c r="G1133" s="1566">
        <v>0</v>
      </c>
      <c r="H1133" s="1567"/>
      <c r="I1133" s="1567">
        <v>46739</v>
      </c>
      <c r="J1133" s="1567">
        <v>46739</v>
      </c>
      <c r="K1133" s="1568" t="str">
        <f t="shared" si="17"/>
        <v>No</v>
      </c>
      <c r="L1133" s="1565"/>
    </row>
    <row r="1134" spans="1:12" ht="20.100000000000001" customHeight="1">
      <c r="A1134" s="1568" t="s">
        <v>3061</v>
      </c>
      <c r="B1134" s="1567">
        <v>43088</v>
      </c>
      <c r="C1134" s="1568" t="s">
        <v>3308</v>
      </c>
      <c r="D1134" s="1568" t="s">
        <v>2984</v>
      </c>
      <c r="E1134" s="1567">
        <v>43088</v>
      </c>
      <c r="F1134" s="1566">
        <v>48401</v>
      </c>
      <c r="G1134" s="1566">
        <v>0</v>
      </c>
      <c r="H1134" s="1567"/>
      <c r="I1134" s="1567">
        <v>46739</v>
      </c>
      <c r="J1134" s="1567">
        <v>46739</v>
      </c>
      <c r="K1134" s="1568" t="str">
        <f t="shared" si="17"/>
        <v>No</v>
      </c>
      <c r="L1134" s="1565"/>
    </row>
    <row r="1135" spans="1:12" ht="20.100000000000001" customHeight="1">
      <c r="A1135" s="1568" t="s">
        <v>3060</v>
      </c>
      <c r="B1135" s="1567">
        <v>43088</v>
      </c>
      <c r="C1135" s="1568" t="s">
        <v>3308</v>
      </c>
      <c r="D1135" s="1568" t="s">
        <v>2966</v>
      </c>
      <c r="E1135" s="1567">
        <v>43088</v>
      </c>
      <c r="F1135" s="1566">
        <v>4000</v>
      </c>
      <c r="G1135" s="1566">
        <v>0</v>
      </c>
      <c r="H1135" s="1567"/>
      <c r="I1135" s="1567">
        <v>46739</v>
      </c>
      <c r="J1135" s="1567">
        <v>46739</v>
      </c>
      <c r="K1135" s="1568" t="str">
        <f t="shared" si="17"/>
        <v>No</v>
      </c>
      <c r="L1135" s="1565"/>
    </row>
    <row r="1136" spans="1:12" ht="20.100000000000001" customHeight="1">
      <c r="A1136" s="1568" t="s">
        <v>3058</v>
      </c>
      <c r="B1136" s="1567">
        <v>43159</v>
      </c>
      <c r="C1136" s="1568" t="s">
        <v>3308</v>
      </c>
      <c r="D1136" s="1568" t="s">
        <v>2993</v>
      </c>
      <c r="E1136" s="1567">
        <v>43512</v>
      </c>
      <c r="F1136" s="1566">
        <v>1250</v>
      </c>
      <c r="G1136" s="1566">
        <v>0</v>
      </c>
      <c r="H1136" s="1567"/>
      <c r="I1136" s="1567">
        <v>46810</v>
      </c>
      <c r="J1136" s="1567">
        <v>46810</v>
      </c>
      <c r="K1136" s="1568" t="str">
        <f t="shared" si="17"/>
        <v>No</v>
      </c>
      <c r="L1136" s="1565"/>
    </row>
    <row r="1137" spans="1:12" ht="20.100000000000001" customHeight="1">
      <c r="A1137" s="1568" t="s">
        <v>3058</v>
      </c>
      <c r="B1137" s="1567">
        <v>43159</v>
      </c>
      <c r="C1137" s="1568" t="s">
        <v>3308</v>
      </c>
      <c r="D1137" s="1568" t="s">
        <v>2993</v>
      </c>
      <c r="E1137" s="1567">
        <v>43540</v>
      </c>
      <c r="F1137" s="1566">
        <v>104</v>
      </c>
      <c r="G1137" s="1566">
        <v>0</v>
      </c>
      <c r="H1137" s="1567"/>
      <c r="I1137" s="1567">
        <v>46810</v>
      </c>
      <c r="J1137" s="1567">
        <v>46810</v>
      </c>
      <c r="K1137" s="1568" t="str">
        <f t="shared" si="17"/>
        <v>No</v>
      </c>
      <c r="L1137" s="1565"/>
    </row>
    <row r="1138" spans="1:12" ht="20.100000000000001" customHeight="1">
      <c r="A1138" s="1568" t="s">
        <v>3058</v>
      </c>
      <c r="B1138" s="1567">
        <v>43159</v>
      </c>
      <c r="C1138" s="1568" t="s">
        <v>3308</v>
      </c>
      <c r="D1138" s="1568" t="s">
        <v>2993</v>
      </c>
      <c r="E1138" s="1567">
        <v>43571</v>
      </c>
      <c r="F1138" s="1566">
        <v>104</v>
      </c>
      <c r="G1138" s="1566">
        <v>0</v>
      </c>
      <c r="H1138" s="1567"/>
      <c r="I1138" s="1567">
        <v>46810</v>
      </c>
      <c r="J1138" s="1567">
        <v>46810</v>
      </c>
      <c r="K1138" s="1568" t="str">
        <f t="shared" si="17"/>
        <v>No</v>
      </c>
      <c r="L1138" s="1565"/>
    </row>
    <row r="1139" spans="1:12" ht="20.100000000000001" customHeight="1">
      <c r="A1139" s="1568" t="s">
        <v>3058</v>
      </c>
      <c r="B1139" s="1567">
        <v>43159</v>
      </c>
      <c r="C1139" s="1568" t="s">
        <v>3308</v>
      </c>
      <c r="D1139" s="1568" t="s">
        <v>2993</v>
      </c>
      <c r="E1139" s="1567">
        <v>43601</v>
      </c>
      <c r="F1139" s="1566">
        <v>104</v>
      </c>
      <c r="G1139" s="1566">
        <v>0</v>
      </c>
      <c r="H1139" s="1567"/>
      <c r="I1139" s="1567">
        <v>46810</v>
      </c>
      <c r="J1139" s="1567">
        <v>46810</v>
      </c>
      <c r="K1139" s="1568" t="str">
        <f t="shared" si="17"/>
        <v>No</v>
      </c>
      <c r="L1139" s="1565"/>
    </row>
    <row r="1140" spans="1:12" ht="20.100000000000001" customHeight="1">
      <c r="A1140" s="1568" t="s">
        <v>3058</v>
      </c>
      <c r="B1140" s="1567">
        <v>43159</v>
      </c>
      <c r="C1140" s="1568" t="s">
        <v>3308</v>
      </c>
      <c r="D1140" s="1568" t="s">
        <v>2993</v>
      </c>
      <c r="E1140" s="1567">
        <v>43632</v>
      </c>
      <c r="F1140" s="1566">
        <v>104</v>
      </c>
      <c r="G1140" s="1566">
        <v>0</v>
      </c>
      <c r="H1140" s="1567"/>
      <c r="I1140" s="1567">
        <v>46810</v>
      </c>
      <c r="J1140" s="1567">
        <v>46810</v>
      </c>
      <c r="K1140" s="1568" t="str">
        <f t="shared" si="17"/>
        <v>No</v>
      </c>
      <c r="L1140" s="1565"/>
    </row>
    <row r="1141" spans="1:12" ht="20.100000000000001" customHeight="1">
      <c r="A1141" s="1568" t="s">
        <v>3058</v>
      </c>
      <c r="B1141" s="1567">
        <v>43159</v>
      </c>
      <c r="C1141" s="1568" t="s">
        <v>3308</v>
      </c>
      <c r="D1141" s="1568" t="s">
        <v>2993</v>
      </c>
      <c r="E1141" s="1567">
        <v>43662</v>
      </c>
      <c r="F1141" s="1566">
        <v>104</v>
      </c>
      <c r="G1141" s="1566">
        <v>0</v>
      </c>
      <c r="H1141" s="1567"/>
      <c r="I1141" s="1567">
        <v>46810</v>
      </c>
      <c r="J1141" s="1567">
        <v>46810</v>
      </c>
      <c r="K1141" s="1568" t="str">
        <f t="shared" si="17"/>
        <v>No</v>
      </c>
      <c r="L1141" s="1565"/>
    </row>
    <row r="1142" spans="1:12" ht="20.100000000000001" customHeight="1">
      <c r="A1142" s="1568" t="s">
        <v>3058</v>
      </c>
      <c r="B1142" s="1567">
        <v>43159</v>
      </c>
      <c r="C1142" s="1568" t="s">
        <v>3308</v>
      </c>
      <c r="D1142" s="1568" t="s">
        <v>2993</v>
      </c>
      <c r="E1142" s="1567">
        <v>43693</v>
      </c>
      <c r="F1142" s="1566">
        <v>105</v>
      </c>
      <c r="G1142" s="1566">
        <v>0</v>
      </c>
      <c r="H1142" s="1567"/>
      <c r="I1142" s="1567">
        <v>46810</v>
      </c>
      <c r="J1142" s="1567">
        <v>46810</v>
      </c>
      <c r="K1142" s="1568" t="str">
        <f t="shared" si="17"/>
        <v>No</v>
      </c>
      <c r="L1142" s="1565"/>
    </row>
    <row r="1143" spans="1:12" ht="20.100000000000001" customHeight="1">
      <c r="A1143" s="1568" t="s">
        <v>3058</v>
      </c>
      <c r="B1143" s="1567">
        <v>43159</v>
      </c>
      <c r="C1143" s="1568" t="s">
        <v>3308</v>
      </c>
      <c r="D1143" s="1568" t="s">
        <v>2993</v>
      </c>
      <c r="E1143" s="1567">
        <v>43724</v>
      </c>
      <c r="F1143" s="1566">
        <v>104</v>
      </c>
      <c r="G1143" s="1566">
        <v>0</v>
      </c>
      <c r="H1143" s="1567"/>
      <c r="I1143" s="1567">
        <v>46810</v>
      </c>
      <c r="J1143" s="1567">
        <v>46810</v>
      </c>
      <c r="K1143" s="1568" t="str">
        <f t="shared" si="17"/>
        <v>No</v>
      </c>
      <c r="L1143" s="1565"/>
    </row>
    <row r="1144" spans="1:12" ht="20.100000000000001" customHeight="1">
      <c r="A1144" s="1568" t="s">
        <v>3058</v>
      </c>
      <c r="B1144" s="1567">
        <v>43159</v>
      </c>
      <c r="C1144" s="1568" t="s">
        <v>3308</v>
      </c>
      <c r="D1144" s="1568" t="s">
        <v>2993</v>
      </c>
      <c r="E1144" s="1567">
        <v>43754</v>
      </c>
      <c r="F1144" s="1566">
        <v>104</v>
      </c>
      <c r="G1144" s="1566">
        <v>0</v>
      </c>
      <c r="H1144" s="1567"/>
      <c r="I1144" s="1567">
        <v>46810</v>
      </c>
      <c r="J1144" s="1567">
        <v>46810</v>
      </c>
      <c r="K1144" s="1568" t="str">
        <f t="shared" si="17"/>
        <v>No</v>
      </c>
      <c r="L1144" s="1565"/>
    </row>
    <row r="1145" spans="1:12" ht="20.100000000000001" customHeight="1">
      <c r="A1145" s="1568" t="s">
        <v>3058</v>
      </c>
      <c r="B1145" s="1567">
        <v>43159</v>
      </c>
      <c r="C1145" s="1568" t="s">
        <v>3308</v>
      </c>
      <c r="D1145" s="1568" t="s">
        <v>2993</v>
      </c>
      <c r="E1145" s="1567">
        <v>43785</v>
      </c>
      <c r="F1145" s="1566">
        <v>104</v>
      </c>
      <c r="G1145" s="1566">
        <v>0</v>
      </c>
      <c r="H1145" s="1567"/>
      <c r="I1145" s="1567">
        <v>46810</v>
      </c>
      <c r="J1145" s="1567">
        <v>46810</v>
      </c>
      <c r="K1145" s="1568" t="str">
        <f t="shared" si="17"/>
        <v>No</v>
      </c>
      <c r="L1145" s="1565"/>
    </row>
    <row r="1146" spans="1:12" ht="20.100000000000001" customHeight="1">
      <c r="A1146" s="1568" t="s">
        <v>3058</v>
      </c>
      <c r="B1146" s="1567">
        <v>43159</v>
      </c>
      <c r="C1146" s="1568" t="s">
        <v>3308</v>
      </c>
      <c r="D1146" s="1568" t="s">
        <v>2993</v>
      </c>
      <c r="E1146" s="1567">
        <v>43815</v>
      </c>
      <c r="F1146" s="1566">
        <v>104</v>
      </c>
      <c r="G1146" s="1566">
        <v>0</v>
      </c>
      <c r="H1146" s="1567"/>
      <c r="I1146" s="1567">
        <v>46810</v>
      </c>
      <c r="J1146" s="1567">
        <v>46810</v>
      </c>
      <c r="K1146" s="1568" t="str">
        <f t="shared" si="17"/>
        <v>No</v>
      </c>
      <c r="L1146" s="1565"/>
    </row>
    <row r="1147" spans="1:12" ht="20.100000000000001" customHeight="1">
      <c r="A1147" s="1568" t="s">
        <v>3058</v>
      </c>
      <c r="B1147" s="1567">
        <v>43159</v>
      </c>
      <c r="C1147" s="1568" t="s">
        <v>3308</v>
      </c>
      <c r="D1147" s="1568" t="s">
        <v>2993</v>
      </c>
      <c r="E1147" s="1567">
        <v>43846</v>
      </c>
      <c r="F1147" s="1566">
        <v>104</v>
      </c>
      <c r="G1147" s="1566">
        <v>0</v>
      </c>
      <c r="H1147" s="1567"/>
      <c r="I1147" s="1567">
        <v>46810</v>
      </c>
      <c r="J1147" s="1567">
        <v>46810</v>
      </c>
      <c r="K1147" s="1568" t="str">
        <f t="shared" si="17"/>
        <v>No</v>
      </c>
      <c r="L1147" s="1565"/>
    </row>
    <row r="1148" spans="1:12" ht="20.100000000000001" customHeight="1">
      <c r="A1148" s="1568" t="s">
        <v>3058</v>
      </c>
      <c r="B1148" s="1567">
        <v>43159</v>
      </c>
      <c r="C1148" s="1568" t="s">
        <v>3308</v>
      </c>
      <c r="D1148" s="1568" t="s">
        <v>2993</v>
      </c>
      <c r="E1148" s="1567">
        <v>43877</v>
      </c>
      <c r="F1148" s="1566">
        <v>105</v>
      </c>
      <c r="G1148" s="1566">
        <v>0</v>
      </c>
      <c r="H1148" s="1567"/>
      <c r="I1148" s="1567">
        <v>46810</v>
      </c>
      <c r="J1148" s="1567">
        <v>46810</v>
      </c>
      <c r="K1148" s="1568" t="str">
        <f t="shared" si="17"/>
        <v>No</v>
      </c>
      <c r="L1148" s="1565"/>
    </row>
    <row r="1149" spans="1:12" ht="20.100000000000001" customHeight="1">
      <c r="A1149" s="1568" t="s">
        <v>3058</v>
      </c>
      <c r="B1149" s="1567">
        <v>43159</v>
      </c>
      <c r="C1149" s="1568" t="s">
        <v>3308</v>
      </c>
      <c r="D1149" s="1568" t="s">
        <v>2993</v>
      </c>
      <c r="E1149" s="1567">
        <v>43906</v>
      </c>
      <c r="F1149" s="1566">
        <v>104</v>
      </c>
      <c r="G1149" s="1566">
        <v>0</v>
      </c>
      <c r="H1149" s="1567"/>
      <c r="I1149" s="1567">
        <v>46810</v>
      </c>
      <c r="J1149" s="1567">
        <v>46810</v>
      </c>
      <c r="K1149" s="1568" t="str">
        <f t="shared" si="17"/>
        <v>No</v>
      </c>
      <c r="L1149" s="1565"/>
    </row>
    <row r="1150" spans="1:12" ht="20.100000000000001" customHeight="1">
      <c r="A1150" s="1568" t="s">
        <v>3058</v>
      </c>
      <c r="B1150" s="1567">
        <v>43159</v>
      </c>
      <c r="C1150" s="1568" t="s">
        <v>3308</v>
      </c>
      <c r="D1150" s="1568" t="s">
        <v>2993</v>
      </c>
      <c r="E1150" s="1567">
        <v>43937</v>
      </c>
      <c r="F1150" s="1566">
        <v>104</v>
      </c>
      <c r="G1150" s="1566">
        <v>0</v>
      </c>
      <c r="H1150" s="1567"/>
      <c r="I1150" s="1567">
        <v>46810</v>
      </c>
      <c r="J1150" s="1567">
        <v>46810</v>
      </c>
      <c r="K1150" s="1568" t="str">
        <f t="shared" si="17"/>
        <v>No</v>
      </c>
      <c r="L1150" s="1565"/>
    </row>
    <row r="1151" spans="1:12" ht="20.100000000000001" customHeight="1">
      <c r="A1151" s="1568" t="s">
        <v>3058</v>
      </c>
      <c r="B1151" s="1567">
        <v>43159</v>
      </c>
      <c r="C1151" s="1568" t="s">
        <v>3308</v>
      </c>
      <c r="D1151" s="1568" t="s">
        <v>2993</v>
      </c>
      <c r="E1151" s="1567">
        <v>43967</v>
      </c>
      <c r="F1151" s="1566">
        <v>104</v>
      </c>
      <c r="G1151" s="1566">
        <v>0</v>
      </c>
      <c r="H1151" s="1567"/>
      <c r="I1151" s="1567">
        <v>46810</v>
      </c>
      <c r="J1151" s="1567">
        <v>46810</v>
      </c>
      <c r="K1151" s="1568" t="str">
        <f t="shared" si="17"/>
        <v>No</v>
      </c>
      <c r="L1151" s="1565"/>
    </row>
    <row r="1152" spans="1:12" ht="20.100000000000001" customHeight="1">
      <c r="A1152" s="1568" t="s">
        <v>3058</v>
      </c>
      <c r="B1152" s="1567">
        <v>43159</v>
      </c>
      <c r="C1152" s="1568" t="s">
        <v>3308</v>
      </c>
      <c r="D1152" s="1568" t="s">
        <v>2993</v>
      </c>
      <c r="E1152" s="1567">
        <v>43998</v>
      </c>
      <c r="F1152" s="1566">
        <v>104</v>
      </c>
      <c r="G1152" s="1566">
        <v>0</v>
      </c>
      <c r="H1152" s="1567"/>
      <c r="I1152" s="1567">
        <v>46810</v>
      </c>
      <c r="J1152" s="1567">
        <v>46810</v>
      </c>
      <c r="K1152" s="1568" t="str">
        <f t="shared" si="17"/>
        <v>No</v>
      </c>
      <c r="L1152" s="1565"/>
    </row>
    <row r="1153" spans="1:12" ht="20.100000000000001" customHeight="1">
      <c r="A1153" s="1568" t="s">
        <v>3058</v>
      </c>
      <c r="B1153" s="1567">
        <v>43159</v>
      </c>
      <c r="C1153" s="1568" t="s">
        <v>3308</v>
      </c>
      <c r="D1153" s="1568" t="s">
        <v>2993</v>
      </c>
      <c r="E1153" s="1567">
        <v>44028</v>
      </c>
      <c r="F1153" s="1566">
        <v>104</v>
      </c>
      <c r="G1153" s="1566">
        <v>0</v>
      </c>
      <c r="H1153" s="1567"/>
      <c r="I1153" s="1567">
        <v>46810</v>
      </c>
      <c r="J1153" s="1567">
        <v>46810</v>
      </c>
      <c r="K1153" s="1568" t="str">
        <f t="shared" si="17"/>
        <v>No</v>
      </c>
      <c r="L1153" s="1565"/>
    </row>
    <row r="1154" spans="1:12" ht="20.100000000000001" customHeight="1">
      <c r="A1154" s="1568" t="s">
        <v>3058</v>
      </c>
      <c r="B1154" s="1567">
        <v>43159</v>
      </c>
      <c r="C1154" s="1568" t="s">
        <v>3308</v>
      </c>
      <c r="D1154" s="1568" t="s">
        <v>2993</v>
      </c>
      <c r="E1154" s="1567">
        <v>44059</v>
      </c>
      <c r="F1154" s="1566">
        <v>105</v>
      </c>
      <c r="G1154" s="1566">
        <v>0</v>
      </c>
      <c r="H1154" s="1567"/>
      <c r="I1154" s="1567">
        <v>46810</v>
      </c>
      <c r="J1154" s="1567">
        <v>46810</v>
      </c>
      <c r="K1154" s="1568" t="str">
        <f t="shared" si="17"/>
        <v>No</v>
      </c>
      <c r="L1154" s="1565"/>
    </row>
    <row r="1155" spans="1:12" ht="20.100000000000001" customHeight="1">
      <c r="A1155" s="1568" t="s">
        <v>3058</v>
      </c>
      <c r="B1155" s="1567">
        <v>43159</v>
      </c>
      <c r="C1155" s="1568" t="s">
        <v>3308</v>
      </c>
      <c r="D1155" s="1568" t="s">
        <v>2993</v>
      </c>
      <c r="E1155" s="1567">
        <v>44090</v>
      </c>
      <c r="F1155" s="1566">
        <v>104</v>
      </c>
      <c r="G1155" s="1566">
        <v>0</v>
      </c>
      <c r="H1155" s="1567"/>
      <c r="I1155" s="1567">
        <v>46810</v>
      </c>
      <c r="J1155" s="1567">
        <v>46810</v>
      </c>
      <c r="K1155" s="1568" t="str">
        <f t="shared" si="17"/>
        <v>No</v>
      </c>
      <c r="L1155" s="1565"/>
    </row>
    <row r="1156" spans="1:12" ht="20.100000000000001" customHeight="1">
      <c r="A1156" s="1568" t="s">
        <v>3058</v>
      </c>
      <c r="B1156" s="1567">
        <v>43159</v>
      </c>
      <c r="C1156" s="1568" t="s">
        <v>3308</v>
      </c>
      <c r="D1156" s="1568" t="s">
        <v>2993</v>
      </c>
      <c r="E1156" s="1567">
        <v>44120</v>
      </c>
      <c r="F1156" s="1566">
        <v>104</v>
      </c>
      <c r="G1156" s="1566">
        <v>0</v>
      </c>
      <c r="H1156" s="1567"/>
      <c r="I1156" s="1567">
        <v>46810</v>
      </c>
      <c r="J1156" s="1567">
        <v>46810</v>
      </c>
      <c r="K1156" s="1568" t="str">
        <f t="shared" si="17"/>
        <v>No</v>
      </c>
      <c r="L1156" s="1565"/>
    </row>
    <row r="1157" spans="1:12" ht="20.100000000000001" customHeight="1">
      <c r="A1157" s="1568" t="s">
        <v>3058</v>
      </c>
      <c r="B1157" s="1567">
        <v>43159</v>
      </c>
      <c r="C1157" s="1568" t="s">
        <v>3308</v>
      </c>
      <c r="D1157" s="1568" t="s">
        <v>2993</v>
      </c>
      <c r="E1157" s="1567">
        <v>44151</v>
      </c>
      <c r="F1157" s="1566">
        <v>104</v>
      </c>
      <c r="G1157" s="1566">
        <v>0</v>
      </c>
      <c r="H1157" s="1567"/>
      <c r="I1157" s="1567">
        <v>46810</v>
      </c>
      <c r="J1157" s="1567">
        <v>46810</v>
      </c>
      <c r="K1157" s="1568" t="str">
        <f t="shared" ref="K1157:K1220" si="18">IF(I1157="N/A","No",IF(E1157&lt;=I1157,"No","Yes"))</f>
        <v>No</v>
      </c>
      <c r="L1157" s="1565"/>
    </row>
    <row r="1158" spans="1:12" ht="20.100000000000001" customHeight="1">
      <c r="A1158" s="1568" t="s">
        <v>3058</v>
      </c>
      <c r="B1158" s="1567">
        <v>43159</v>
      </c>
      <c r="C1158" s="1568" t="s">
        <v>3308</v>
      </c>
      <c r="D1158" s="1568" t="s">
        <v>2993</v>
      </c>
      <c r="E1158" s="1567">
        <v>44181</v>
      </c>
      <c r="F1158" s="1566">
        <v>104</v>
      </c>
      <c r="G1158" s="1566">
        <v>0</v>
      </c>
      <c r="H1158" s="1567"/>
      <c r="I1158" s="1567">
        <v>46810</v>
      </c>
      <c r="J1158" s="1567">
        <v>46810</v>
      </c>
      <c r="K1158" s="1568" t="str">
        <f t="shared" si="18"/>
        <v>No</v>
      </c>
      <c r="L1158" s="1565"/>
    </row>
    <row r="1159" spans="1:12" ht="20.100000000000001" customHeight="1">
      <c r="A1159" s="1568" t="s">
        <v>3058</v>
      </c>
      <c r="B1159" s="1567">
        <v>43159</v>
      </c>
      <c r="C1159" s="1568" t="s">
        <v>3308</v>
      </c>
      <c r="D1159" s="1568" t="s">
        <v>2993</v>
      </c>
      <c r="E1159" s="1567">
        <v>44212</v>
      </c>
      <c r="F1159" s="1566">
        <v>104</v>
      </c>
      <c r="G1159" s="1566">
        <v>0</v>
      </c>
      <c r="H1159" s="1567"/>
      <c r="I1159" s="1567">
        <v>46810</v>
      </c>
      <c r="J1159" s="1567">
        <v>46810</v>
      </c>
      <c r="K1159" s="1568" t="str">
        <f t="shared" si="18"/>
        <v>No</v>
      </c>
      <c r="L1159" s="1565"/>
    </row>
    <row r="1160" spans="1:12" ht="20.100000000000001" customHeight="1">
      <c r="A1160" s="1568" t="s">
        <v>3058</v>
      </c>
      <c r="B1160" s="1567">
        <v>43159</v>
      </c>
      <c r="C1160" s="1568" t="s">
        <v>3308</v>
      </c>
      <c r="D1160" s="1568" t="s">
        <v>2993</v>
      </c>
      <c r="E1160" s="1567">
        <v>44243</v>
      </c>
      <c r="F1160" s="1566">
        <v>105</v>
      </c>
      <c r="G1160" s="1566">
        <v>0</v>
      </c>
      <c r="H1160" s="1567"/>
      <c r="I1160" s="1567">
        <v>46810</v>
      </c>
      <c r="J1160" s="1567">
        <v>46810</v>
      </c>
      <c r="K1160" s="1568" t="str">
        <f t="shared" si="18"/>
        <v>No</v>
      </c>
      <c r="L1160" s="1565"/>
    </row>
    <row r="1161" spans="1:12" ht="20.100000000000001" customHeight="1">
      <c r="A1161" s="1568" t="s">
        <v>3058</v>
      </c>
      <c r="B1161" s="1567">
        <v>43159</v>
      </c>
      <c r="C1161" s="1568" t="s">
        <v>3308</v>
      </c>
      <c r="D1161" s="1568" t="s">
        <v>2993</v>
      </c>
      <c r="E1161" s="1567">
        <v>44271</v>
      </c>
      <c r="F1161" s="1566">
        <v>104</v>
      </c>
      <c r="G1161" s="1566">
        <v>0</v>
      </c>
      <c r="H1161" s="1567"/>
      <c r="I1161" s="1567">
        <v>46810</v>
      </c>
      <c r="J1161" s="1567">
        <v>46810</v>
      </c>
      <c r="K1161" s="1568" t="str">
        <f t="shared" si="18"/>
        <v>No</v>
      </c>
      <c r="L1161" s="1565"/>
    </row>
    <row r="1162" spans="1:12" ht="20.100000000000001" customHeight="1">
      <c r="A1162" s="1568" t="s">
        <v>3058</v>
      </c>
      <c r="B1162" s="1567">
        <v>43159</v>
      </c>
      <c r="C1162" s="1568" t="s">
        <v>3308</v>
      </c>
      <c r="D1162" s="1568" t="s">
        <v>2993</v>
      </c>
      <c r="E1162" s="1567">
        <v>44302</v>
      </c>
      <c r="F1162" s="1566">
        <v>104</v>
      </c>
      <c r="G1162" s="1566">
        <v>0</v>
      </c>
      <c r="H1162" s="1567"/>
      <c r="I1162" s="1567">
        <v>46810</v>
      </c>
      <c r="J1162" s="1567">
        <v>46810</v>
      </c>
      <c r="K1162" s="1568" t="str">
        <f t="shared" si="18"/>
        <v>No</v>
      </c>
      <c r="L1162" s="1565"/>
    </row>
    <row r="1163" spans="1:12" ht="20.100000000000001" customHeight="1">
      <c r="A1163" s="1568" t="s">
        <v>3058</v>
      </c>
      <c r="B1163" s="1567">
        <v>43159</v>
      </c>
      <c r="C1163" s="1568" t="s">
        <v>3308</v>
      </c>
      <c r="D1163" s="1568" t="s">
        <v>2993</v>
      </c>
      <c r="E1163" s="1567">
        <v>44332</v>
      </c>
      <c r="F1163" s="1566">
        <v>104</v>
      </c>
      <c r="G1163" s="1566">
        <v>0</v>
      </c>
      <c r="H1163" s="1567"/>
      <c r="I1163" s="1567">
        <v>46810</v>
      </c>
      <c r="J1163" s="1567">
        <v>46810</v>
      </c>
      <c r="K1163" s="1568" t="str">
        <f t="shared" si="18"/>
        <v>No</v>
      </c>
      <c r="L1163" s="1565"/>
    </row>
    <row r="1164" spans="1:12" ht="20.100000000000001" customHeight="1">
      <c r="A1164" s="1568" t="s">
        <v>3058</v>
      </c>
      <c r="B1164" s="1567">
        <v>43159</v>
      </c>
      <c r="C1164" s="1568" t="s">
        <v>3308</v>
      </c>
      <c r="D1164" s="1568" t="s">
        <v>2993</v>
      </c>
      <c r="E1164" s="1567">
        <v>44363</v>
      </c>
      <c r="F1164" s="1566">
        <v>104</v>
      </c>
      <c r="G1164" s="1566">
        <v>0</v>
      </c>
      <c r="H1164" s="1567"/>
      <c r="I1164" s="1567">
        <v>46810</v>
      </c>
      <c r="J1164" s="1567">
        <v>46810</v>
      </c>
      <c r="K1164" s="1568" t="str">
        <f t="shared" si="18"/>
        <v>No</v>
      </c>
      <c r="L1164" s="1565"/>
    </row>
    <row r="1165" spans="1:12" ht="20.100000000000001" customHeight="1">
      <c r="A1165" s="1568" t="s">
        <v>3058</v>
      </c>
      <c r="B1165" s="1567">
        <v>43159</v>
      </c>
      <c r="C1165" s="1568" t="s">
        <v>3308</v>
      </c>
      <c r="D1165" s="1568" t="s">
        <v>2993</v>
      </c>
      <c r="E1165" s="1567">
        <v>44393</v>
      </c>
      <c r="F1165" s="1566">
        <v>104</v>
      </c>
      <c r="G1165" s="1566">
        <v>0</v>
      </c>
      <c r="H1165" s="1567"/>
      <c r="I1165" s="1567">
        <v>46810</v>
      </c>
      <c r="J1165" s="1567">
        <v>46810</v>
      </c>
      <c r="K1165" s="1568" t="str">
        <f t="shared" si="18"/>
        <v>No</v>
      </c>
      <c r="L1165" s="1565"/>
    </row>
    <row r="1166" spans="1:12" ht="20.100000000000001" customHeight="1">
      <c r="A1166" s="1568" t="s">
        <v>3058</v>
      </c>
      <c r="B1166" s="1567">
        <v>43159</v>
      </c>
      <c r="C1166" s="1568" t="s">
        <v>3308</v>
      </c>
      <c r="D1166" s="1568" t="s">
        <v>2993</v>
      </c>
      <c r="E1166" s="1567">
        <v>44424</v>
      </c>
      <c r="F1166" s="1566">
        <v>105</v>
      </c>
      <c r="G1166" s="1566">
        <v>0</v>
      </c>
      <c r="H1166" s="1567"/>
      <c r="I1166" s="1567">
        <v>46810</v>
      </c>
      <c r="J1166" s="1567">
        <v>46810</v>
      </c>
      <c r="K1166" s="1568" t="str">
        <f t="shared" si="18"/>
        <v>No</v>
      </c>
      <c r="L1166" s="1565"/>
    </row>
    <row r="1167" spans="1:12" ht="20.100000000000001" customHeight="1">
      <c r="A1167" s="1568" t="s">
        <v>3058</v>
      </c>
      <c r="B1167" s="1567">
        <v>43159</v>
      </c>
      <c r="C1167" s="1568" t="s">
        <v>3308</v>
      </c>
      <c r="D1167" s="1568" t="s">
        <v>2993</v>
      </c>
      <c r="E1167" s="1567">
        <v>44455</v>
      </c>
      <c r="F1167" s="1566">
        <v>104</v>
      </c>
      <c r="G1167" s="1566">
        <v>0</v>
      </c>
      <c r="H1167" s="1567"/>
      <c r="I1167" s="1567">
        <v>46810</v>
      </c>
      <c r="J1167" s="1567">
        <v>46810</v>
      </c>
      <c r="K1167" s="1568" t="str">
        <f t="shared" si="18"/>
        <v>No</v>
      </c>
      <c r="L1167" s="1565"/>
    </row>
    <row r="1168" spans="1:12" ht="20.100000000000001" customHeight="1">
      <c r="A1168" s="1568" t="s">
        <v>3058</v>
      </c>
      <c r="B1168" s="1567">
        <v>43159</v>
      </c>
      <c r="C1168" s="1568" t="s">
        <v>3308</v>
      </c>
      <c r="D1168" s="1568" t="s">
        <v>2993</v>
      </c>
      <c r="E1168" s="1567">
        <v>44485</v>
      </c>
      <c r="F1168" s="1566">
        <v>104</v>
      </c>
      <c r="G1168" s="1566">
        <v>0</v>
      </c>
      <c r="H1168" s="1567"/>
      <c r="I1168" s="1567">
        <v>46810</v>
      </c>
      <c r="J1168" s="1567">
        <v>46810</v>
      </c>
      <c r="K1168" s="1568" t="str">
        <f t="shared" si="18"/>
        <v>No</v>
      </c>
      <c r="L1168" s="1565"/>
    </row>
    <row r="1169" spans="1:12" ht="20.100000000000001" customHeight="1">
      <c r="A1169" s="1568" t="s">
        <v>3058</v>
      </c>
      <c r="B1169" s="1567">
        <v>43159</v>
      </c>
      <c r="C1169" s="1568" t="s">
        <v>3308</v>
      </c>
      <c r="D1169" s="1568" t="s">
        <v>2993</v>
      </c>
      <c r="E1169" s="1567">
        <v>44516</v>
      </c>
      <c r="F1169" s="1566">
        <v>104</v>
      </c>
      <c r="G1169" s="1566">
        <v>0</v>
      </c>
      <c r="H1169" s="1567"/>
      <c r="I1169" s="1567">
        <v>46810</v>
      </c>
      <c r="J1169" s="1567">
        <v>46810</v>
      </c>
      <c r="K1169" s="1568" t="str">
        <f t="shared" si="18"/>
        <v>No</v>
      </c>
      <c r="L1169" s="1565"/>
    </row>
    <row r="1170" spans="1:12" ht="20.100000000000001" customHeight="1">
      <c r="A1170" s="1568" t="s">
        <v>3058</v>
      </c>
      <c r="B1170" s="1567">
        <v>43159</v>
      </c>
      <c r="C1170" s="1568" t="s">
        <v>3308</v>
      </c>
      <c r="D1170" s="1568" t="s">
        <v>2993</v>
      </c>
      <c r="E1170" s="1567">
        <v>44546</v>
      </c>
      <c r="F1170" s="1566">
        <v>104</v>
      </c>
      <c r="G1170" s="1566">
        <v>0</v>
      </c>
      <c r="H1170" s="1567"/>
      <c r="I1170" s="1567">
        <v>46810</v>
      </c>
      <c r="J1170" s="1567">
        <v>46810</v>
      </c>
      <c r="K1170" s="1568" t="str">
        <f t="shared" si="18"/>
        <v>No</v>
      </c>
      <c r="L1170" s="1565"/>
    </row>
    <row r="1171" spans="1:12" ht="20.100000000000001" customHeight="1">
      <c r="A1171" s="1568" t="s">
        <v>3058</v>
      </c>
      <c r="B1171" s="1567">
        <v>43159</v>
      </c>
      <c r="C1171" s="1568" t="s">
        <v>3308</v>
      </c>
      <c r="D1171" s="1568" t="s">
        <v>2993</v>
      </c>
      <c r="E1171" s="1567">
        <v>44577</v>
      </c>
      <c r="F1171" s="1566">
        <v>104</v>
      </c>
      <c r="G1171" s="1566">
        <v>0</v>
      </c>
      <c r="H1171" s="1567"/>
      <c r="I1171" s="1567">
        <v>46810</v>
      </c>
      <c r="J1171" s="1567">
        <v>46810</v>
      </c>
      <c r="K1171" s="1568" t="str">
        <f t="shared" si="18"/>
        <v>No</v>
      </c>
      <c r="L1171" s="1565"/>
    </row>
    <row r="1172" spans="1:12" ht="20.100000000000001" customHeight="1">
      <c r="A1172" s="1568" t="s">
        <v>3058</v>
      </c>
      <c r="B1172" s="1567">
        <v>43159</v>
      </c>
      <c r="C1172" s="1568" t="s">
        <v>3308</v>
      </c>
      <c r="D1172" s="1568" t="s">
        <v>2993</v>
      </c>
      <c r="E1172" s="1567">
        <v>44608</v>
      </c>
      <c r="F1172" s="1566">
        <v>105</v>
      </c>
      <c r="G1172" s="1566">
        <v>0</v>
      </c>
      <c r="H1172" s="1567"/>
      <c r="I1172" s="1567">
        <v>46810</v>
      </c>
      <c r="J1172" s="1567">
        <v>46810</v>
      </c>
      <c r="K1172" s="1568" t="str">
        <f t="shared" si="18"/>
        <v>No</v>
      </c>
      <c r="L1172" s="1565"/>
    </row>
    <row r="1173" spans="1:12" ht="20.100000000000001" customHeight="1">
      <c r="A1173" s="1568" t="s">
        <v>3057</v>
      </c>
      <c r="B1173" s="1567">
        <v>43159</v>
      </c>
      <c r="C1173" s="1568" t="s">
        <v>3308</v>
      </c>
      <c r="D1173" s="1568" t="s">
        <v>3056</v>
      </c>
      <c r="E1173" s="1567">
        <v>43512</v>
      </c>
      <c r="F1173" s="1566">
        <v>8750</v>
      </c>
      <c r="G1173" s="1566">
        <v>0</v>
      </c>
      <c r="H1173" s="1567"/>
      <c r="I1173" s="1567">
        <v>43385</v>
      </c>
      <c r="J1173" s="1567">
        <v>43385</v>
      </c>
      <c r="K1173" s="1568" t="str">
        <f t="shared" si="18"/>
        <v>Yes</v>
      </c>
      <c r="L1173" s="1565"/>
    </row>
    <row r="1174" spans="1:12" ht="20.100000000000001" customHeight="1">
      <c r="A1174" s="1568" t="s">
        <v>3057</v>
      </c>
      <c r="B1174" s="1567">
        <v>43159</v>
      </c>
      <c r="C1174" s="1568" t="s">
        <v>3308</v>
      </c>
      <c r="D1174" s="1568" t="s">
        <v>3056</v>
      </c>
      <c r="E1174" s="1567">
        <v>43540</v>
      </c>
      <c r="F1174" s="1566">
        <v>729</v>
      </c>
      <c r="G1174" s="1566">
        <v>0</v>
      </c>
      <c r="H1174" s="1567"/>
      <c r="I1174" s="1567">
        <v>43385</v>
      </c>
      <c r="J1174" s="1567">
        <v>43385</v>
      </c>
      <c r="K1174" s="1568" t="str">
        <f t="shared" si="18"/>
        <v>Yes</v>
      </c>
      <c r="L1174" s="1565"/>
    </row>
    <row r="1175" spans="1:12" ht="20.100000000000001" customHeight="1">
      <c r="A1175" s="1568" t="s">
        <v>3057</v>
      </c>
      <c r="B1175" s="1567">
        <v>43159</v>
      </c>
      <c r="C1175" s="1568" t="s">
        <v>3308</v>
      </c>
      <c r="D1175" s="1568" t="s">
        <v>3056</v>
      </c>
      <c r="E1175" s="1567">
        <v>43571</v>
      </c>
      <c r="F1175" s="1566">
        <v>729</v>
      </c>
      <c r="G1175" s="1566">
        <v>0</v>
      </c>
      <c r="H1175" s="1567"/>
      <c r="I1175" s="1567">
        <v>43385</v>
      </c>
      <c r="J1175" s="1567">
        <v>43385</v>
      </c>
      <c r="K1175" s="1568" t="str">
        <f t="shared" si="18"/>
        <v>Yes</v>
      </c>
      <c r="L1175" s="1565"/>
    </row>
    <row r="1176" spans="1:12" ht="20.100000000000001" customHeight="1">
      <c r="A1176" s="1568" t="s">
        <v>3057</v>
      </c>
      <c r="B1176" s="1567">
        <v>43159</v>
      </c>
      <c r="C1176" s="1568" t="s">
        <v>3308</v>
      </c>
      <c r="D1176" s="1568" t="s">
        <v>3056</v>
      </c>
      <c r="E1176" s="1567">
        <v>43601</v>
      </c>
      <c r="F1176" s="1566">
        <v>729</v>
      </c>
      <c r="G1176" s="1566">
        <v>0</v>
      </c>
      <c r="H1176" s="1567"/>
      <c r="I1176" s="1567">
        <v>43385</v>
      </c>
      <c r="J1176" s="1567">
        <v>43385</v>
      </c>
      <c r="K1176" s="1568" t="str">
        <f t="shared" si="18"/>
        <v>Yes</v>
      </c>
      <c r="L1176" s="1565"/>
    </row>
    <row r="1177" spans="1:12" ht="20.100000000000001" customHeight="1">
      <c r="A1177" s="1568" t="s">
        <v>3057</v>
      </c>
      <c r="B1177" s="1567">
        <v>43159</v>
      </c>
      <c r="C1177" s="1568" t="s">
        <v>3308</v>
      </c>
      <c r="D1177" s="1568" t="s">
        <v>3056</v>
      </c>
      <c r="E1177" s="1567">
        <v>43632</v>
      </c>
      <c r="F1177" s="1566">
        <v>729</v>
      </c>
      <c r="G1177" s="1566">
        <v>0</v>
      </c>
      <c r="H1177" s="1567"/>
      <c r="I1177" s="1567">
        <v>43385</v>
      </c>
      <c r="J1177" s="1567">
        <v>43385</v>
      </c>
      <c r="K1177" s="1568" t="str">
        <f t="shared" si="18"/>
        <v>Yes</v>
      </c>
      <c r="L1177" s="1565"/>
    </row>
    <row r="1178" spans="1:12" ht="20.100000000000001" customHeight="1">
      <c r="A1178" s="1568" t="s">
        <v>3057</v>
      </c>
      <c r="B1178" s="1567">
        <v>43159</v>
      </c>
      <c r="C1178" s="1568" t="s">
        <v>3308</v>
      </c>
      <c r="D1178" s="1568" t="s">
        <v>3056</v>
      </c>
      <c r="E1178" s="1567">
        <v>43662</v>
      </c>
      <c r="F1178" s="1566">
        <v>729</v>
      </c>
      <c r="G1178" s="1566">
        <v>0</v>
      </c>
      <c r="H1178" s="1567"/>
      <c r="I1178" s="1567">
        <v>43385</v>
      </c>
      <c r="J1178" s="1567">
        <v>43385</v>
      </c>
      <c r="K1178" s="1568" t="str">
        <f t="shared" si="18"/>
        <v>Yes</v>
      </c>
      <c r="L1178" s="1565"/>
    </row>
    <row r="1179" spans="1:12" ht="20.100000000000001" customHeight="1">
      <c r="A1179" s="1568" t="s">
        <v>3057</v>
      </c>
      <c r="B1179" s="1567">
        <v>43159</v>
      </c>
      <c r="C1179" s="1568" t="s">
        <v>3308</v>
      </c>
      <c r="D1179" s="1568" t="s">
        <v>3056</v>
      </c>
      <c r="E1179" s="1567">
        <v>43693</v>
      </c>
      <c r="F1179" s="1566">
        <v>730</v>
      </c>
      <c r="G1179" s="1566">
        <v>0</v>
      </c>
      <c r="H1179" s="1567"/>
      <c r="I1179" s="1567">
        <v>43385</v>
      </c>
      <c r="J1179" s="1567">
        <v>43385</v>
      </c>
      <c r="K1179" s="1568" t="str">
        <f t="shared" si="18"/>
        <v>Yes</v>
      </c>
      <c r="L1179" s="1565"/>
    </row>
    <row r="1180" spans="1:12" ht="20.100000000000001" customHeight="1">
      <c r="A1180" s="1568" t="s">
        <v>3057</v>
      </c>
      <c r="B1180" s="1567">
        <v>43159</v>
      </c>
      <c r="C1180" s="1568" t="s">
        <v>3308</v>
      </c>
      <c r="D1180" s="1568" t="s">
        <v>3056</v>
      </c>
      <c r="E1180" s="1567">
        <v>43724</v>
      </c>
      <c r="F1180" s="1566">
        <v>729</v>
      </c>
      <c r="G1180" s="1566">
        <v>0</v>
      </c>
      <c r="H1180" s="1567"/>
      <c r="I1180" s="1567">
        <v>43385</v>
      </c>
      <c r="J1180" s="1567">
        <v>43385</v>
      </c>
      <c r="K1180" s="1568" t="str">
        <f t="shared" si="18"/>
        <v>Yes</v>
      </c>
      <c r="L1180" s="1565"/>
    </row>
    <row r="1181" spans="1:12" ht="20.100000000000001" customHeight="1">
      <c r="A1181" s="1568" t="s">
        <v>3057</v>
      </c>
      <c r="B1181" s="1567">
        <v>43159</v>
      </c>
      <c r="C1181" s="1568" t="s">
        <v>3308</v>
      </c>
      <c r="D1181" s="1568" t="s">
        <v>3056</v>
      </c>
      <c r="E1181" s="1567">
        <v>43754</v>
      </c>
      <c r="F1181" s="1566">
        <v>729</v>
      </c>
      <c r="G1181" s="1566">
        <v>0</v>
      </c>
      <c r="H1181" s="1567"/>
      <c r="I1181" s="1567">
        <v>43385</v>
      </c>
      <c r="J1181" s="1567">
        <v>43385</v>
      </c>
      <c r="K1181" s="1568" t="str">
        <f t="shared" si="18"/>
        <v>Yes</v>
      </c>
      <c r="L1181" s="1565"/>
    </row>
    <row r="1182" spans="1:12" ht="20.100000000000001" customHeight="1">
      <c r="A1182" s="1568" t="s">
        <v>3057</v>
      </c>
      <c r="B1182" s="1567">
        <v>43159</v>
      </c>
      <c r="C1182" s="1568" t="s">
        <v>3308</v>
      </c>
      <c r="D1182" s="1568" t="s">
        <v>3056</v>
      </c>
      <c r="E1182" s="1567">
        <v>43785</v>
      </c>
      <c r="F1182" s="1566">
        <v>729</v>
      </c>
      <c r="G1182" s="1566">
        <v>0</v>
      </c>
      <c r="H1182" s="1567"/>
      <c r="I1182" s="1567">
        <v>43385</v>
      </c>
      <c r="J1182" s="1567">
        <v>43385</v>
      </c>
      <c r="K1182" s="1568" t="str">
        <f t="shared" si="18"/>
        <v>Yes</v>
      </c>
      <c r="L1182" s="1565"/>
    </row>
    <row r="1183" spans="1:12" ht="20.100000000000001" customHeight="1">
      <c r="A1183" s="1568" t="s">
        <v>3057</v>
      </c>
      <c r="B1183" s="1567">
        <v>43159</v>
      </c>
      <c r="C1183" s="1568" t="s">
        <v>3308</v>
      </c>
      <c r="D1183" s="1568" t="s">
        <v>3056</v>
      </c>
      <c r="E1183" s="1567">
        <v>43815</v>
      </c>
      <c r="F1183" s="1566">
        <v>729</v>
      </c>
      <c r="G1183" s="1566">
        <v>0</v>
      </c>
      <c r="H1183" s="1567"/>
      <c r="I1183" s="1567">
        <v>43385</v>
      </c>
      <c r="J1183" s="1567">
        <v>43385</v>
      </c>
      <c r="K1183" s="1568" t="str">
        <f t="shared" si="18"/>
        <v>Yes</v>
      </c>
      <c r="L1183" s="1565"/>
    </row>
    <row r="1184" spans="1:12" ht="20.100000000000001" customHeight="1">
      <c r="A1184" s="1568" t="s">
        <v>3057</v>
      </c>
      <c r="B1184" s="1567">
        <v>43159</v>
      </c>
      <c r="C1184" s="1568" t="s">
        <v>3308</v>
      </c>
      <c r="D1184" s="1568" t="s">
        <v>3056</v>
      </c>
      <c r="E1184" s="1567">
        <v>43846</v>
      </c>
      <c r="F1184" s="1566">
        <v>729</v>
      </c>
      <c r="G1184" s="1566">
        <v>0</v>
      </c>
      <c r="H1184" s="1567"/>
      <c r="I1184" s="1567">
        <v>43385</v>
      </c>
      <c r="J1184" s="1567">
        <v>43385</v>
      </c>
      <c r="K1184" s="1568" t="str">
        <f t="shared" si="18"/>
        <v>Yes</v>
      </c>
      <c r="L1184" s="1565"/>
    </row>
    <row r="1185" spans="1:12" ht="20.100000000000001" customHeight="1">
      <c r="A1185" s="1568" t="s">
        <v>3057</v>
      </c>
      <c r="B1185" s="1567">
        <v>43159</v>
      </c>
      <c r="C1185" s="1568" t="s">
        <v>3308</v>
      </c>
      <c r="D1185" s="1568" t="s">
        <v>3056</v>
      </c>
      <c r="E1185" s="1567">
        <v>43877</v>
      </c>
      <c r="F1185" s="1566">
        <v>730</v>
      </c>
      <c r="G1185" s="1566">
        <v>0</v>
      </c>
      <c r="H1185" s="1567"/>
      <c r="I1185" s="1567">
        <v>43385</v>
      </c>
      <c r="J1185" s="1567">
        <v>43385</v>
      </c>
      <c r="K1185" s="1568" t="str">
        <f t="shared" si="18"/>
        <v>Yes</v>
      </c>
      <c r="L1185" s="1565"/>
    </row>
    <row r="1186" spans="1:12" ht="20.100000000000001" customHeight="1">
      <c r="A1186" s="1568" t="s">
        <v>3057</v>
      </c>
      <c r="B1186" s="1567">
        <v>43159</v>
      </c>
      <c r="C1186" s="1568" t="s">
        <v>3308</v>
      </c>
      <c r="D1186" s="1568" t="s">
        <v>3056</v>
      </c>
      <c r="E1186" s="1567">
        <v>43906</v>
      </c>
      <c r="F1186" s="1566">
        <v>729</v>
      </c>
      <c r="G1186" s="1566">
        <v>0</v>
      </c>
      <c r="H1186" s="1567"/>
      <c r="I1186" s="1567">
        <v>43385</v>
      </c>
      <c r="J1186" s="1567">
        <v>43385</v>
      </c>
      <c r="K1186" s="1568" t="str">
        <f t="shared" si="18"/>
        <v>Yes</v>
      </c>
      <c r="L1186" s="1565"/>
    </row>
    <row r="1187" spans="1:12" ht="20.100000000000001" customHeight="1">
      <c r="A1187" s="1568" t="s">
        <v>3057</v>
      </c>
      <c r="B1187" s="1567">
        <v>43159</v>
      </c>
      <c r="C1187" s="1568" t="s">
        <v>3308</v>
      </c>
      <c r="D1187" s="1568" t="s">
        <v>3056</v>
      </c>
      <c r="E1187" s="1567">
        <v>43937</v>
      </c>
      <c r="F1187" s="1566">
        <v>729</v>
      </c>
      <c r="G1187" s="1566">
        <v>0</v>
      </c>
      <c r="H1187" s="1567"/>
      <c r="I1187" s="1567">
        <v>43385</v>
      </c>
      <c r="J1187" s="1567">
        <v>43385</v>
      </c>
      <c r="K1187" s="1568" t="str">
        <f t="shared" si="18"/>
        <v>Yes</v>
      </c>
      <c r="L1187" s="1565"/>
    </row>
    <row r="1188" spans="1:12" ht="20.100000000000001" customHeight="1">
      <c r="A1188" s="1568" t="s">
        <v>3057</v>
      </c>
      <c r="B1188" s="1567">
        <v>43159</v>
      </c>
      <c r="C1188" s="1568" t="s">
        <v>3308</v>
      </c>
      <c r="D1188" s="1568" t="s">
        <v>3056</v>
      </c>
      <c r="E1188" s="1567">
        <v>43967</v>
      </c>
      <c r="F1188" s="1566">
        <v>729</v>
      </c>
      <c r="G1188" s="1566">
        <v>0</v>
      </c>
      <c r="H1188" s="1567"/>
      <c r="I1188" s="1567">
        <v>43385</v>
      </c>
      <c r="J1188" s="1567">
        <v>43385</v>
      </c>
      <c r="K1188" s="1568" t="str">
        <f t="shared" si="18"/>
        <v>Yes</v>
      </c>
      <c r="L1188" s="1565"/>
    </row>
    <row r="1189" spans="1:12" ht="20.100000000000001" customHeight="1">
      <c r="A1189" s="1568" t="s">
        <v>3057</v>
      </c>
      <c r="B1189" s="1567">
        <v>43159</v>
      </c>
      <c r="C1189" s="1568" t="s">
        <v>3308</v>
      </c>
      <c r="D1189" s="1568" t="s">
        <v>3056</v>
      </c>
      <c r="E1189" s="1567">
        <v>43998</v>
      </c>
      <c r="F1189" s="1566">
        <v>729</v>
      </c>
      <c r="G1189" s="1566">
        <v>0</v>
      </c>
      <c r="H1189" s="1567"/>
      <c r="I1189" s="1567">
        <v>43385</v>
      </c>
      <c r="J1189" s="1567">
        <v>43385</v>
      </c>
      <c r="K1189" s="1568" t="str">
        <f t="shared" si="18"/>
        <v>Yes</v>
      </c>
      <c r="L1189" s="1565"/>
    </row>
    <row r="1190" spans="1:12" ht="20.100000000000001" customHeight="1">
      <c r="A1190" s="1568" t="s">
        <v>3057</v>
      </c>
      <c r="B1190" s="1567">
        <v>43159</v>
      </c>
      <c r="C1190" s="1568" t="s">
        <v>3308</v>
      </c>
      <c r="D1190" s="1568" t="s">
        <v>3056</v>
      </c>
      <c r="E1190" s="1567">
        <v>44028</v>
      </c>
      <c r="F1190" s="1566">
        <v>729</v>
      </c>
      <c r="G1190" s="1566">
        <v>0</v>
      </c>
      <c r="H1190" s="1567"/>
      <c r="I1190" s="1567">
        <v>43385</v>
      </c>
      <c r="J1190" s="1567">
        <v>43385</v>
      </c>
      <c r="K1190" s="1568" t="str">
        <f t="shared" si="18"/>
        <v>Yes</v>
      </c>
      <c r="L1190" s="1565"/>
    </row>
    <row r="1191" spans="1:12" ht="20.100000000000001" customHeight="1">
      <c r="A1191" s="1568" t="s">
        <v>3057</v>
      </c>
      <c r="B1191" s="1567">
        <v>43159</v>
      </c>
      <c r="C1191" s="1568" t="s">
        <v>3308</v>
      </c>
      <c r="D1191" s="1568" t="s">
        <v>3056</v>
      </c>
      <c r="E1191" s="1567">
        <v>44059</v>
      </c>
      <c r="F1191" s="1566">
        <v>730</v>
      </c>
      <c r="G1191" s="1566">
        <v>0</v>
      </c>
      <c r="H1191" s="1567"/>
      <c r="I1191" s="1567">
        <v>43385</v>
      </c>
      <c r="J1191" s="1567">
        <v>43385</v>
      </c>
      <c r="K1191" s="1568" t="str">
        <f t="shared" si="18"/>
        <v>Yes</v>
      </c>
      <c r="L1191" s="1565"/>
    </row>
    <row r="1192" spans="1:12" ht="20.100000000000001" customHeight="1">
      <c r="A1192" s="1568" t="s">
        <v>3057</v>
      </c>
      <c r="B1192" s="1567">
        <v>43159</v>
      </c>
      <c r="C1192" s="1568" t="s">
        <v>3308</v>
      </c>
      <c r="D1192" s="1568" t="s">
        <v>3056</v>
      </c>
      <c r="E1192" s="1567">
        <v>44090</v>
      </c>
      <c r="F1192" s="1566">
        <v>729</v>
      </c>
      <c r="G1192" s="1566">
        <v>0</v>
      </c>
      <c r="H1192" s="1567"/>
      <c r="I1192" s="1567">
        <v>43385</v>
      </c>
      <c r="J1192" s="1567">
        <v>43385</v>
      </c>
      <c r="K1192" s="1568" t="str">
        <f t="shared" si="18"/>
        <v>Yes</v>
      </c>
      <c r="L1192" s="1565"/>
    </row>
    <row r="1193" spans="1:12" ht="20.100000000000001" customHeight="1">
      <c r="A1193" s="1568" t="s">
        <v>3057</v>
      </c>
      <c r="B1193" s="1567">
        <v>43159</v>
      </c>
      <c r="C1193" s="1568" t="s">
        <v>3308</v>
      </c>
      <c r="D1193" s="1568" t="s">
        <v>3056</v>
      </c>
      <c r="E1193" s="1567">
        <v>44120</v>
      </c>
      <c r="F1193" s="1566">
        <v>729</v>
      </c>
      <c r="G1193" s="1566">
        <v>0</v>
      </c>
      <c r="H1193" s="1567"/>
      <c r="I1193" s="1567">
        <v>43385</v>
      </c>
      <c r="J1193" s="1567">
        <v>43385</v>
      </c>
      <c r="K1193" s="1568" t="str">
        <f t="shared" si="18"/>
        <v>Yes</v>
      </c>
      <c r="L1193" s="1565"/>
    </row>
    <row r="1194" spans="1:12" ht="20.100000000000001" customHeight="1">
      <c r="A1194" s="1568" t="s">
        <v>3057</v>
      </c>
      <c r="B1194" s="1567">
        <v>43159</v>
      </c>
      <c r="C1194" s="1568" t="s">
        <v>3308</v>
      </c>
      <c r="D1194" s="1568" t="s">
        <v>3056</v>
      </c>
      <c r="E1194" s="1567">
        <v>44151</v>
      </c>
      <c r="F1194" s="1566">
        <v>729</v>
      </c>
      <c r="G1194" s="1566">
        <v>0</v>
      </c>
      <c r="H1194" s="1567"/>
      <c r="I1194" s="1567">
        <v>43385</v>
      </c>
      <c r="J1194" s="1567">
        <v>43385</v>
      </c>
      <c r="K1194" s="1568" t="str">
        <f t="shared" si="18"/>
        <v>Yes</v>
      </c>
      <c r="L1194" s="1565"/>
    </row>
    <row r="1195" spans="1:12" ht="20.100000000000001" customHeight="1">
      <c r="A1195" s="1568" t="s">
        <v>3057</v>
      </c>
      <c r="B1195" s="1567">
        <v>43159</v>
      </c>
      <c r="C1195" s="1568" t="s">
        <v>3308</v>
      </c>
      <c r="D1195" s="1568" t="s">
        <v>3056</v>
      </c>
      <c r="E1195" s="1567">
        <v>44181</v>
      </c>
      <c r="F1195" s="1566">
        <v>729</v>
      </c>
      <c r="G1195" s="1566">
        <v>0</v>
      </c>
      <c r="H1195" s="1567"/>
      <c r="I1195" s="1567">
        <v>43385</v>
      </c>
      <c r="J1195" s="1567">
        <v>43385</v>
      </c>
      <c r="K1195" s="1568" t="str">
        <f t="shared" si="18"/>
        <v>Yes</v>
      </c>
      <c r="L1195" s="1565"/>
    </row>
    <row r="1196" spans="1:12" ht="20.100000000000001" customHeight="1">
      <c r="A1196" s="1568" t="s">
        <v>3057</v>
      </c>
      <c r="B1196" s="1567">
        <v>43159</v>
      </c>
      <c r="C1196" s="1568" t="s">
        <v>3308</v>
      </c>
      <c r="D1196" s="1568" t="s">
        <v>3056</v>
      </c>
      <c r="E1196" s="1567">
        <v>44212</v>
      </c>
      <c r="F1196" s="1566">
        <v>729</v>
      </c>
      <c r="G1196" s="1566">
        <v>0</v>
      </c>
      <c r="H1196" s="1567"/>
      <c r="I1196" s="1567">
        <v>43385</v>
      </c>
      <c r="J1196" s="1567">
        <v>43385</v>
      </c>
      <c r="K1196" s="1568" t="str">
        <f t="shared" si="18"/>
        <v>Yes</v>
      </c>
      <c r="L1196" s="1565"/>
    </row>
    <row r="1197" spans="1:12" ht="20.100000000000001" customHeight="1">
      <c r="A1197" s="1568" t="s">
        <v>3057</v>
      </c>
      <c r="B1197" s="1567">
        <v>43159</v>
      </c>
      <c r="C1197" s="1568" t="s">
        <v>3308</v>
      </c>
      <c r="D1197" s="1568" t="s">
        <v>3056</v>
      </c>
      <c r="E1197" s="1567">
        <v>44243</v>
      </c>
      <c r="F1197" s="1566">
        <v>730</v>
      </c>
      <c r="G1197" s="1566">
        <v>0</v>
      </c>
      <c r="H1197" s="1567"/>
      <c r="I1197" s="1567">
        <v>43385</v>
      </c>
      <c r="J1197" s="1567">
        <v>43385</v>
      </c>
      <c r="K1197" s="1568" t="str">
        <f t="shared" si="18"/>
        <v>Yes</v>
      </c>
      <c r="L1197" s="1565"/>
    </row>
    <row r="1198" spans="1:12" ht="20.100000000000001" customHeight="1">
      <c r="A1198" s="1568" t="s">
        <v>3057</v>
      </c>
      <c r="B1198" s="1567">
        <v>43159</v>
      </c>
      <c r="C1198" s="1568" t="s">
        <v>3308</v>
      </c>
      <c r="D1198" s="1568" t="s">
        <v>3056</v>
      </c>
      <c r="E1198" s="1567">
        <v>44271</v>
      </c>
      <c r="F1198" s="1566">
        <v>729</v>
      </c>
      <c r="G1198" s="1566">
        <v>0</v>
      </c>
      <c r="H1198" s="1567"/>
      <c r="I1198" s="1567">
        <v>43385</v>
      </c>
      <c r="J1198" s="1567">
        <v>43385</v>
      </c>
      <c r="K1198" s="1568" t="str">
        <f t="shared" si="18"/>
        <v>Yes</v>
      </c>
      <c r="L1198" s="1565"/>
    </row>
    <row r="1199" spans="1:12" ht="20.100000000000001" customHeight="1">
      <c r="A1199" s="1568" t="s">
        <v>3057</v>
      </c>
      <c r="B1199" s="1567">
        <v>43159</v>
      </c>
      <c r="C1199" s="1568" t="s">
        <v>3308</v>
      </c>
      <c r="D1199" s="1568" t="s">
        <v>3056</v>
      </c>
      <c r="E1199" s="1567">
        <v>44302</v>
      </c>
      <c r="F1199" s="1566">
        <v>729</v>
      </c>
      <c r="G1199" s="1566">
        <v>0</v>
      </c>
      <c r="H1199" s="1567"/>
      <c r="I1199" s="1567">
        <v>43385</v>
      </c>
      <c r="J1199" s="1567">
        <v>43385</v>
      </c>
      <c r="K1199" s="1568" t="str">
        <f t="shared" si="18"/>
        <v>Yes</v>
      </c>
      <c r="L1199" s="1565"/>
    </row>
    <row r="1200" spans="1:12" ht="20.100000000000001" customHeight="1">
      <c r="A1200" s="1568" t="s">
        <v>3057</v>
      </c>
      <c r="B1200" s="1567">
        <v>43159</v>
      </c>
      <c r="C1200" s="1568" t="s">
        <v>3308</v>
      </c>
      <c r="D1200" s="1568" t="s">
        <v>3056</v>
      </c>
      <c r="E1200" s="1567">
        <v>44332</v>
      </c>
      <c r="F1200" s="1566">
        <v>729</v>
      </c>
      <c r="G1200" s="1566">
        <v>0</v>
      </c>
      <c r="H1200" s="1567"/>
      <c r="I1200" s="1567">
        <v>43385</v>
      </c>
      <c r="J1200" s="1567">
        <v>43385</v>
      </c>
      <c r="K1200" s="1568" t="str">
        <f t="shared" si="18"/>
        <v>Yes</v>
      </c>
      <c r="L1200" s="1565"/>
    </row>
    <row r="1201" spans="1:12" ht="20.100000000000001" customHeight="1">
      <c r="A1201" s="1568" t="s">
        <v>3057</v>
      </c>
      <c r="B1201" s="1567">
        <v>43159</v>
      </c>
      <c r="C1201" s="1568" t="s">
        <v>3308</v>
      </c>
      <c r="D1201" s="1568" t="s">
        <v>3056</v>
      </c>
      <c r="E1201" s="1567">
        <v>44363</v>
      </c>
      <c r="F1201" s="1566">
        <v>729</v>
      </c>
      <c r="G1201" s="1566">
        <v>0</v>
      </c>
      <c r="H1201" s="1567"/>
      <c r="I1201" s="1567">
        <v>43385</v>
      </c>
      <c r="J1201" s="1567">
        <v>43385</v>
      </c>
      <c r="K1201" s="1568" t="str">
        <f t="shared" si="18"/>
        <v>Yes</v>
      </c>
      <c r="L1201" s="1565"/>
    </row>
    <row r="1202" spans="1:12" ht="20.100000000000001" customHeight="1">
      <c r="A1202" s="1568" t="s">
        <v>3057</v>
      </c>
      <c r="B1202" s="1567">
        <v>43159</v>
      </c>
      <c r="C1202" s="1568" t="s">
        <v>3308</v>
      </c>
      <c r="D1202" s="1568" t="s">
        <v>3056</v>
      </c>
      <c r="E1202" s="1567">
        <v>44393</v>
      </c>
      <c r="F1202" s="1566">
        <v>729</v>
      </c>
      <c r="G1202" s="1566">
        <v>0</v>
      </c>
      <c r="H1202" s="1567"/>
      <c r="I1202" s="1567">
        <v>43385</v>
      </c>
      <c r="J1202" s="1567">
        <v>43385</v>
      </c>
      <c r="K1202" s="1568" t="str">
        <f t="shared" si="18"/>
        <v>Yes</v>
      </c>
      <c r="L1202" s="1565"/>
    </row>
    <row r="1203" spans="1:12" ht="20.100000000000001" customHeight="1">
      <c r="A1203" s="1568" t="s">
        <v>3057</v>
      </c>
      <c r="B1203" s="1567">
        <v>43159</v>
      </c>
      <c r="C1203" s="1568" t="s">
        <v>3308</v>
      </c>
      <c r="D1203" s="1568" t="s">
        <v>3056</v>
      </c>
      <c r="E1203" s="1567">
        <v>44424</v>
      </c>
      <c r="F1203" s="1566">
        <v>730</v>
      </c>
      <c r="G1203" s="1566">
        <v>0</v>
      </c>
      <c r="H1203" s="1567"/>
      <c r="I1203" s="1567">
        <v>43385</v>
      </c>
      <c r="J1203" s="1567">
        <v>43385</v>
      </c>
      <c r="K1203" s="1568" t="str">
        <f t="shared" si="18"/>
        <v>Yes</v>
      </c>
      <c r="L1203" s="1565"/>
    </row>
    <row r="1204" spans="1:12" ht="20.100000000000001" customHeight="1">
      <c r="A1204" s="1568" t="s">
        <v>3057</v>
      </c>
      <c r="B1204" s="1567">
        <v>43159</v>
      </c>
      <c r="C1204" s="1568" t="s">
        <v>3308</v>
      </c>
      <c r="D1204" s="1568" t="s">
        <v>3056</v>
      </c>
      <c r="E1204" s="1567">
        <v>44455</v>
      </c>
      <c r="F1204" s="1566">
        <v>729</v>
      </c>
      <c r="G1204" s="1566">
        <v>0</v>
      </c>
      <c r="H1204" s="1567"/>
      <c r="I1204" s="1567">
        <v>43385</v>
      </c>
      <c r="J1204" s="1567">
        <v>43385</v>
      </c>
      <c r="K1204" s="1568" t="str">
        <f t="shared" si="18"/>
        <v>Yes</v>
      </c>
      <c r="L1204" s="1565"/>
    </row>
    <row r="1205" spans="1:12" ht="20.100000000000001" customHeight="1">
      <c r="A1205" s="1568" t="s">
        <v>3057</v>
      </c>
      <c r="B1205" s="1567">
        <v>43159</v>
      </c>
      <c r="C1205" s="1568" t="s">
        <v>3308</v>
      </c>
      <c r="D1205" s="1568" t="s">
        <v>3056</v>
      </c>
      <c r="E1205" s="1567">
        <v>44485</v>
      </c>
      <c r="F1205" s="1566">
        <v>729</v>
      </c>
      <c r="G1205" s="1566">
        <v>0</v>
      </c>
      <c r="H1205" s="1567"/>
      <c r="I1205" s="1567">
        <v>43385</v>
      </c>
      <c r="J1205" s="1567">
        <v>43385</v>
      </c>
      <c r="K1205" s="1568" t="str">
        <f t="shared" si="18"/>
        <v>Yes</v>
      </c>
      <c r="L1205" s="1565"/>
    </row>
    <row r="1206" spans="1:12" ht="20.100000000000001" customHeight="1">
      <c r="A1206" s="1568" t="s">
        <v>3057</v>
      </c>
      <c r="B1206" s="1567">
        <v>43159</v>
      </c>
      <c r="C1206" s="1568" t="s">
        <v>3308</v>
      </c>
      <c r="D1206" s="1568" t="s">
        <v>3056</v>
      </c>
      <c r="E1206" s="1567">
        <v>44516</v>
      </c>
      <c r="F1206" s="1566">
        <v>729</v>
      </c>
      <c r="G1206" s="1566">
        <v>0</v>
      </c>
      <c r="H1206" s="1567"/>
      <c r="I1206" s="1567">
        <v>43385</v>
      </c>
      <c r="J1206" s="1567">
        <v>43385</v>
      </c>
      <c r="K1206" s="1568" t="str">
        <f t="shared" si="18"/>
        <v>Yes</v>
      </c>
      <c r="L1206" s="1565"/>
    </row>
    <row r="1207" spans="1:12" ht="20.100000000000001" customHeight="1">
      <c r="A1207" s="1568" t="s">
        <v>3057</v>
      </c>
      <c r="B1207" s="1567">
        <v>43159</v>
      </c>
      <c r="C1207" s="1568" t="s">
        <v>3308</v>
      </c>
      <c r="D1207" s="1568" t="s">
        <v>3056</v>
      </c>
      <c r="E1207" s="1567">
        <v>44546</v>
      </c>
      <c r="F1207" s="1566">
        <v>729</v>
      </c>
      <c r="G1207" s="1566">
        <v>0</v>
      </c>
      <c r="H1207" s="1567"/>
      <c r="I1207" s="1567">
        <v>43385</v>
      </c>
      <c r="J1207" s="1567">
        <v>43385</v>
      </c>
      <c r="K1207" s="1568" t="str">
        <f t="shared" si="18"/>
        <v>Yes</v>
      </c>
      <c r="L1207" s="1565"/>
    </row>
    <row r="1208" spans="1:12" ht="20.100000000000001" customHeight="1">
      <c r="A1208" s="1568" t="s">
        <v>3057</v>
      </c>
      <c r="B1208" s="1567">
        <v>43159</v>
      </c>
      <c r="C1208" s="1568" t="s">
        <v>3308</v>
      </c>
      <c r="D1208" s="1568" t="s">
        <v>3056</v>
      </c>
      <c r="E1208" s="1567">
        <v>44577</v>
      </c>
      <c r="F1208" s="1566">
        <v>729</v>
      </c>
      <c r="G1208" s="1566">
        <v>0</v>
      </c>
      <c r="H1208" s="1567"/>
      <c r="I1208" s="1567">
        <v>43385</v>
      </c>
      <c r="J1208" s="1567">
        <v>43385</v>
      </c>
      <c r="K1208" s="1568" t="str">
        <f t="shared" si="18"/>
        <v>Yes</v>
      </c>
      <c r="L1208" s="1565"/>
    </row>
    <row r="1209" spans="1:12" ht="20.100000000000001" customHeight="1">
      <c r="A1209" s="1568" t="s">
        <v>3057</v>
      </c>
      <c r="B1209" s="1567">
        <v>43159</v>
      </c>
      <c r="C1209" s="1568" t="s">
        <v>3308</v>
      </c>
      <c r="D1209" s="1568" t="s">
        <v>3056</v>
      </c>
      <c r="E1209" s="1567">
        <v>44608</v>
      </c>
      <c r="F1209" s="1566">
        <v>730</v>
      </c>
      <c r="G1209" s="1566">
        <v>0</v>
      </c>
      <c r="H1209" s="1567"/>
      <c r="I1209" s="1567">
        <v>43385</v>
      </c>
      <c r="J1209" s="1567">
        <v>43385</v>
      </c>
      <c r="K1209" s="1568" t="str">
        <f t="shared" si="18"/>
        <v>Yes</v>
      </c>
      <c r="L1209" s="1565"/>
    </row>
    <row r="1210" spans="1:12" ht="20.100000000000001" customHeight="1">
      <c r="A1210" s="1568" t="s">
        <v>3055</v>
      </c>
      <c r="B1210" s="1567">
        <v>43159</v>
      </c>
      <c r="C1210" s="1568" t="s">
        <v>3308</v>
      </c>
      <c r="D1210" s="1568" t="s">
        <v>2980</v>
      </c>
      <c r="E1210" s="1567">
        <v>43512</v>
      </c>
      <c r="F1210" s="1566">
        <v>1000</v>
      </c>
      <c r="G1210" s="1566">
        <v>0</v>
      </c>
      <c r="H1210" s="1567"/>
      <c r="I1210" s="1567">
        <v>43378</v>
      </c>
      <c r="J1210" s="1567">
        <v>43378</v>
      </c>
      <c r="K1210" s="1568" t="str">
        <f t="shared" si="18"/>
        <v>Yes</v>
      </c>
      <c r="L1210" s="1565"/>
    </row>
    <row r="1211" spans="1:12" ht="20.100000000000001" customHeight="1">
      <c r="A1211" s="1568" t="s">
        <v>3055</v>
      </c>
      <c r="B1211" s="1567">
        <v>43159</v>
      </c>
      <c r="C1211" s="1568" t="s">
        <v>3308</v>
      </c>
      <c r="D1211" s="1568" t="s">
        <v>2980</v>
      </c>
      <c r="E1211" s="1567">
        <v>43540</v>
      </c>
      <c r="F1211" s="1566">
        <v>83</v>
      </c>
      <c r="G1211" s="1566">
        <v>0</v>
      </c>
      <c r="H1211" s="1567"/>
      <c r="I1211" s="1567">
        <v>43378</v>
      </c>
      <c r="J1211" s="1567">
        <v>43378</v>
      </c>
      <c r="K1211" s="1568" t="str">
        <f t="shared" si="18"/>
        <v>Yes</v>
      </c>
      <c r="L1211" s="1565"/>
    </row>
    <row r="1212" spans="1:12" ht="20.100000000000001" customHeight="1">
      <c r="A1212" s="1568" t="s">
        <v>3055</v>
      </c>
      <c r="B1212" s="1567">
        <v>43159</v>
      </c>
      <c r="C1212" s="1568" t="s">
        <v>3308</v>
      </c>
      <c r="D1212" s="1568" t="s">
        <v>2980</v>
      </c>
      <c r="E1212" s="1567">
        <v>43571</v>
      </c>
      <c r="F1212" s="1566">
        <v>83</v>
      </c>
      <c r="G1212" s="1566">
        <v>0</v>
      </c>
      <c r="H1212" s="1567"/>
      <c r="I1212" s="1567">
        <v>43378</v>
      </c>
      <c r="J1212" s="1567">
        <v>43378</v>
      </c>
      <c r="K1212" s="1568" t="str">
        <f t="shared" si="18"/>
        <v>Yes</v>
      </c>
      <c r="L1212" s="1565"/>
    </row>
    <row r="1213" spans="1:12" ht="20.100000000000001" customHeight="1">
      <c r="A1213" s="1568" t="s">
        <v>3055</v>
      </c>
      <c r="B1213" s="1567">
        <v>43159</v>
      </c>
      <c r="C1213" s="1568" t="s">
        <v>3308</v>
      </c>
      <c r="D1213" s="1568" t="s">
        <v>2980</v>
      </c>
      <c r="E1213" s="1567">
        <v>43601</v>
      </c>
      <c r="F1213" s="1566">
        <v>84</v>
      </c>
      <c r="G1213" s="1566">
        <v>0</v>
      </c>
      <c r="H1213" s="1567"/>
      <c r="I1213" s="1567">
        <v>43378</v>
      </c>
      <c r="J1213" s="1567">
        <v>43378</v>
      </c>
      <c r="K1213" s="1568" t="str">
        <f t="shared" si="18"/>
        <v>Yes</v>
      </c>
      <c r="L1213" s="1565"/>
    </row>
    <row r="1214" spans="1:12" ht="20.100000000000001" customHeight="1">
      <c r="A1214" s="1568" t="s">
        <v>3055</v>
      </c>
      <c r="B1214" s="1567">
        <v>43159</v>
      </c>
      <c r="C1214" s="1568" t="s">
        <v>3308</v>
      </c>
      <c r="D1214" s="1568" t="s">
        <v>2980</v>
      </c>
      <c r="E1214" s="1567">
        <v>43632</v>
      </c>
      <c r="F1214" s="1566">
        <v>83</v>
      </c>
      <c r="G1214" s="1566">
        <v>0</v>
      </c>
      <c r="H1214" s="1567"/>
      <c r="I1214" s="1567">
        <v>43378</v>
      </c>
      <c r="J1214" s="1567">
        <v>43378</v>
      </c>
      <c r="K1214" s="1568" t="str">
        <f t="shared" si="18"/>
        <v>Yes</v>
      </c>
      <c r="L1214" s="1565"/>
    </row>
    <row r="1215" spans="1:12" ht="20.100000000000001" customHeight="1">
      <c r="A1215" s="1568" t="s">
        <v>3055</v>
      </c>
      <c r="B1215" s="1567">
        <v>43159</v>
      </c>
      <c r="C1215" s="1568" t="s">
        <v>3308</v>
      </c>
      <c r="D1215" s="1568" t="s">
        <v>2980</v>
      </c>
      <c r="E1215" s="1567">
        <v>43662</v>
      </c>
      <c r="F1215" s="1566">
        <v>83</v>
      </c>
      <c r="G1215" s="1566">
        <v>0</v>
      </c>
      <c r="H1215" s="1567"/>
      <c r="I1215" s="1567">
        <v>43378</v>
      </c>
      <c r="J1215" s="1567">
        <v>43378</v>
      </c>
      <c r="K1215" s="1568" t="str">
        <f t="shared" si="18"/>
        <v>Yes</v>
      </c>
      <c r="L1215" s="1565"/>
    </row>
    <row r="1216" spans="1:12" ht="20.100000000000001" customHeight="1">
      <c r="A1216" s="1568" t="s">
        <v>3055</v>
      </c>
      <c r="B1216" s="1567">
        <v>43159</v>
      </c>
      <c r="C1216" s="1568" t="s">
        <v>3308</v>
      </c>
      <c r="D1216" s="1568" t="s">
        <v>2980</v>
      </c>
      <c r="E1216" s="1567">
        <v>43693</v>
      </c>
      <c r="F1216" s="1566">
        <v>84</v>
      </c>
      <c r="G1216" s="1566">
        <v>0</v>
      </c>
      <c r="H1216" s="1567"/>
      <c r="I1216" s="1567">
        <v>43378</v>
      </c>
      <c r="J1216" s="1567">
        <v>43378</v>
      </c>
      <c r="K1216" s="1568" t="str">
        <f t="shared" si="18"/>
        <v>Yes</v>
      </c>
      <c r="L1216" s="1565"/>
    </row>
    <row r="1217" spans="1:12" ht="20.100000000000001" customHeight="1">
      <c r="A1217" s="1568" t="s">
        <v>3055</v>
      </c>
      <c r="B1217" s="1567">
        <v>43159</v>
      </c>
      <c r="C1217" s="1568" t="s">
        <v>3308</v>
      </c>
      <c r="D1217" s="1568" t="s">
        <v>2980</v>
      </c>
      <c r="E1217" s="1567">
        <v>43724</v>
      </c>
      <c r="F1217" s="1566">
        <v>83</v>
      </c>
      <c r="G1217" s="1566">
        <v>0</v>
      </c>
      <c r="H1217" s="1567"/>
      <c r="I1217" s="1567">
        <v>43378</v>
      </c>
      <c r="J1217" s="1567">
        <v>43378</v>
      </c>
      <c r="K1217" s="1568" t="str">
        <f t="shared" si="18"/>
        <v>Yes</v>
      </c>
      <c r="L1217" s="1565"/>
    </row>
    <row r="1218" spans="1:12" ht="20.100000000000001" customHeight="1">
      <c r="A1218" s="1568" t="s">
        <v>3055</v>
      </c>
      <c r="B1218" s="1567">
        <v>43159</v>
      </c>
      <c r="C1218" s="1568" t="s">
        <v>3308</v>
      </c>
      <c r="D1218" s="1568" t="s">
        <v>2980</v>
      </c>
      <c r="E1218" s="1567">
        <v>43754</v>
      </c>
      <c r="F1218" s="1566">
        <v>83</v>
      </c>
      <c r="G1218" s="1566">
        <v>0</v>
      </c>
      <c r="H1218" s="1567"/>
      <c r="I1218" s="1567">
        <v>43378</v>
      </c>
      <c r="J1218" s="1567">
        <v>43378</v>
      </c>
      <c r="K1218" s="1568" t="str">
        <f t="shared" si="18"/>
        <v>Yes</v>
      </c>
      <c r="L1218" s="1565"/>
    </row>
    <row r="1219" spans="1:12" ht="20.100000000000001" customHeight="1">
      <c r="A1219" s="1568" t="s">
        <v>3055</v>
      </c>
      <c r="B1219" s="1567">
        <v>43159</v>
      </c>
      <c r="C1219" s="1568" t="s">
        <v>3308</v>
      </c>
      <c r="D1219" s="1568" t="s">
        <v>2980</v>
      </c>
      <c r="E1219" s="1567">
        <v>43785</v>
      </c>
      <c r="F1219" s="1566">
        <v>84</v>
      </c>
      <c r="G1219" s="1566">
        <v>0</v>
      </c>
      <c r="H1219" s="1567"/>
      <c r="I1219" s="1567">
        <v>43378</v>
      </c>
      <c r="J1219" s="1567">
        <v>43378</v>
      </c>
      <c r="K1219" s="1568" t="str">
        <f t="shared" si="18"/>
        <v>Yes</v>
      </c>
      <c r="L1219" s="1565"/>
    </row>
    <row r="1220" spans="1:12" ht="20.100000000000001" customHeight="1">
      <c r="A1220" s="1568" t="s">
        <v>3055</v>
      </c>
      <c r="B1220" s="1567">
        <v>43159</v>
      </c>
      <c r="C1220" s="1568" t="s">
        <v>3308</v>
      </c>
      <c r="D1220" s="1568" t="s">
        <v>2980</v>
      </c>
      <c r="E1220" s="1567">
        <v>43815</v>
      </c>
      <c r="F1220" s="1566">
        <v>83</v>
      </c>
      <c r="G1220" s="1566">
        <v>0</v>
      </c>
      <c r="H1220" s="1567"/>
      <c r="I1220" s="1567">
        <v>43378</v>
      </c>
      <c r="J1220" s="1567">
        <v>43378</v>
      </c>
      <c r="K1220" s="1568" t="str">
        <f t="shared" si="18"/>
        <v>Yes</v>
      </c>
      <c r="L1220" s="1565"/>
    </row>
    <row r="1221" spans="1:12" ht="20.100000000000001" customHeight="1">
      <c r="A1221" s="1568" t="s">
        <v>3055</v>
      </c>
      <c r="B1221" s="1567">
        <v>43159</v>
      </c>
      <c r="C1221" s="1568" t="s">
        <v>3308</v>
      </c>
      <c r="D1221" s="1568" t="s">
        <v>2980</v>
      </c>
      <c r="E1221" s="1567">
        <v>43846</v>
      </c>
      <c r="F1221" s="1566">
        <v>83</v>
      </c>
      <c r="G1221" s="1566">
        <v>0</v>
      </c>
      <c r="H1221" s="1567"/>
      <c r="I1221" s="1567">
        <v>43378</v>
      </c>
      <c r="J1221" s="1567">
        <v>43378</v>
      </c>
      <c r="K1221" s="1568" t="str">
        <f t="shared" ref="K1221:K1284" si="19">IF(I1221="N/A","No",IF(E1221&lt;=I1221,"No","Yes"))</f>
        <v>Yes</v>
      </c>
      <c r="L1221" s="1565"/>
    </row>
    <row r="1222" spans="1:12" ht="20.100000000000001" customHeight="1">
      <c r="A1222" s="1568" t="s">
        <v>3055</v>
      </c>
      <c r="B1222" s="1567">
        <v>43159</v>
      </c>
      <c r="C1222" s="1568" t="s">
        <v>3308</v>
      </c>
      <c r="D1222" s="1568" t="s">
        <v>2980</v>
      </c>
      <c r="E1222" s="1567">
        <v>43877</v>
      </c>
      <c r="F1222" s="1566">
        <v>84</v>
      </c>
      <c r="G1222" s="1566">
        <v>0</v>
      </c>
      <c r="H1222" s="1567"/>
      <c r="I1222" s="1567">
        <v>43378</v>
      </c>
      <c r="J1222" s="1567">
        <v>43378</v>
      </c>
      <c r="K1222" s="1568" t="str">
        <f t="shared" si="19"/>
        <v>Yes</v>
      </c>
      <c r="L1222" s="1565"/>
    </row>
    <row r="1223" spans="1:12" ht="20.100000000000001" customHeight="1">
      <c r="A1223" s="1568" t="s">
        <v>3055</v>
      </c>
      <c r="B1223" s="1567">
        <v>43159</v>
      </c>
      <c r="C1223" s="1568" t="s">
        <v>3308</v>
      </c>
      <c r="D1223" s="1568" t="s">
        <v>2980</v>
      </c>
      <c r="E1223" s="1567">
        <v>43906</v>
      </c>
      <c r="F1223" s="1566">
        <v>83</v>
      </c>
      <c r="G1223" s="1566">
        <v>0</v>
      </c>
      <c r="H1223" s="1567"/>
      <c r="I1223" s="1567">
        <v>43378</v>
      </c>
      <c r="J1223" s="1567">
        <v>43378</v>
      </c>
      <c r="K1223" s="1568" t="str">
        <f t="shared" si="19"/>
        <v>Yes</v>
      </c>
      <c r="L1223" s="1565"/>
    </row>
    <row r="1224" spans="1:12" ht="20.100000000000001" customHeight="1">
      <c r="A1224" s="1568" t="s">
        <v>3055</v>
      </c>
      <c r="B1224" s="1567">
        <v>43159</v>
      </c>
      <c r="C1224" s="1568" t="s">
        <v>3308</v>
      </c>
      <c r="D1224" s="1568" t="s">
        <v>2980</v>
      </c>
      <c r="E1224" s="1567">
        <v>43937</v>
      </c>
      <c r="F1224" s="1566">
        <v>83</v>
      </c>
      <c r="G1224" s="1566">
        <v>0</v>
      </c>
      <c r="H1224" s="1567"/>
      <c r="I1224" s="1567">
        <v>43378</v>
      </c>
      <c r="J1224" s="1567">
        <v>43378</v>
      </c>
      <c r="K1224" s="1568" t="str">
        <f t="shared" si="19"/>
        <v>Yes</v>
      </c>
      <c r="L1224" s="1565"/>
    </row>
    <row r="1225" spans="1:12" ht="20.100000000000001" customHeight="1">
      <c r="A1225" s="1568" t="s">
        <v>3055</v>
      </c>
      <c r="B1225" s="1567">
        <v>43159</v>
      </c>
      <c r="C1225" s="1568" t="s">
        <v>3308</v>
      </c>
      <c r="D1225" s="1568" t="s">
        <v>2980</v>
      </c>
      <c r="E1225" s="1567">
        <v>43967</v>
      </c>
      <c r="F1225" s="1566">
        <v>84</v>
      </c>
      <c r="G1225" s="1566">
        <v>0</v>
      </c>
      <c r="H1225" s="1567"/>
      <c r="I1225" s="1567">
        <v>43378</v>
      </c>
      <c r="J1225" s="1567">
        <v>43378</v>
      </c>
      <c r="K1225" s="1568" t="str">
        <f t="shared" si="19"/>
        <v>Yes</v>
      </c>
      <c r="L1225" s="1565"/>
    </row>
    <row r="1226" spans="1:12" ht="20.100000000000001" customHeight="1">
      <c r="A1226" s="1568" t="s">
        <v>3055</v>
      </c>
      <c r="B1226" s="1567">
        <v>43159</v>
      </c>
      <c r="C1226" s="1568" t="s">
        <v>3308</v>
      </c>
      <c r="D1226" s="1568" t="s">
        <v>2980</v>
      </c>
      <c r="E1226" s="1567">
        <v>43998</v>
      </c>
      <c r="F1226" s="1566">
        <v>83</v>
      </c>
      <c r="G1226" s="1566">
        <v>0</v>
      </c>
      <c r="H1226" s="1567"/>
      <c r="I1226" s="1567">
        <v>43378</v>
      </c>
      <c r="J1226" s="1567">
        <v>43378</v>
      </c>
      <c r="K1226" s="1568" t="str">
        <f t="shared" si="19"/>
        <v>Yes</v>
      </c>
      <c r="L1226" s="1565"/>
    </row>
    <row r="1227" spans="1:12" ht="20.100000000000001" customHeight="1">
      <c r="A1227" s="1568" t="s">
        <v>3055</v>
      </c>
      <c r="B1227" s="1567">
        <v>43159</v>
      </c>
      <c r="C1227" s="1568" t="s">
        <v>3308</v>
      </c>
      <c r="D1227" s="1568" t="s">
        <v>2980</v>
      </c>
      <c r="E1227" s="1567">
        <v>44028</v>
      </c>
      <c r="F1227" s="1566">
        <v>83</v>
      </c>
      <c r="G1227" s="1566">
        <v>0</v>
      </c>
      <c r="H1227" s="1567"/>
      <c r="I1227" s="1567">
        <v>43378</v>
      </c>
      <c r="J1227" s="1567">
        <v>43378</v>
      </c>
      <c r="K1227" s="1568" t="str">
        <f t="shared" si="19"/>
        <v>Yes</v>
      </c>
      <c r="L1227" s="1565"/>
    </row>
    <row r="1228" spans="1:12" ht="20.100000000000001" customHeight="1">
      <c r="A1228" s="1568" t="s">
        <v>3055</v>
      </c>
      <c r="B1228" s="1567">
        <v>43159</v>
      </c>
      <c r="C1228" s="1568" t="s">
        <v>3308</v>
      </c>
      <c r="D1228" s="1568" t="s">
        <v>2980</v>
      </c>
      <c r="E1228" s="1567">
        <v>44059</v>
      </c>
      <c r="F1228" s="1566">
        <v>84</v>
      </c>
      <c r="G1228" s="1566">
        <v>0</v>
      </c>
      <c r="H1228" s="1567"/>
      <c r="I1228" s="1567">
        <v>43378</v>
      </c>
      <c r="J1228" s="1567">
        <v>43378</v>
      </c>
      <c r="K1228" s="1568" t="str">
        <f t="shared" si="19"/>
        <v>Yes</v>
      </c>
      <c r="L1228" s="1565"/>
    </row>
    <row r="1229" spans="1:12" ht="20.100000000000001" customHeight="1">
      <c r="A1229" s="1568" t="s">
        <v>3055</v>
      </c>
      <c r="B1229" s="1567">
        <v>43159</v>
      </c>
      <c r="C1229" s="1568" t="s">
        <v>3308</v>
      </c>
      <c r="D1229" s="1568" t="s">
        <v>2980</v>
      </c>
      <c r="E1229" s="1567">
        <v>44090</v>
      </c>
      <c r="F1229" s="1566">
        <v>83</v>
      </c>
      <c r="G1229" s="1566">
        <v>0</v>
      </c>
      <c r="H1229" s="1567"/>
      <c r="I1229" s="1567">
        <v>43378</v>
      </c>
      <c r="J1229" s="1567">
        <v>43378</v>
      </c>
      <c r="K1229" s="1568" t="str">
        <f t="shared" si="19"/>
        <v>Yes</v>
      </c>
      <c r="L1229" s="1565"/>
    </row>
    <row r="1230" spans="1:12" ht="20.100000000000001" customHeight="1">
      <c r="A1230" s="1568" t="s">
        <v>3055</v>
      </c>
      <c r="B1230" s="1567">
        <v>43159</v>
      </c>
      <c r="C1230" s="1568" t="s">
        <v>3308</v>
      </c>
      <c r="D1230" s="1568" t="s">
        <v>2980</v>
      </c>
      <c r="E1230" s="1567">
        <v>44120</v>
      </c>
      <c r="F1230" s="1566">
        <v>83</v>
      </c>
      <c r="G1230" s="1566">
        <v>0</v>
      </c>
      <c r="H1230" s="1567"/>
      <c r="I1230" s="1567">
        <v>43378</v>
      </c>
      <c r="J1230" s="1567">
        <v>43378</v>
      </c>
      <c r="K1230" s="1568" t="str">
        <f t="shared" si="19"/>
        <v>Yes</v>
      </c>
      <c r="L1230" s="1565"/>
    </row>
    <row r="1231" spans="1:12" ht="20.100000000000001" customHeight="1">
      <c r="A1231" s="1568" t="s">
        <v>3055</v>
      </c>
      <c r="B1231" s="1567">
        <v>43159</v>
      </c>
      <c r="C1231" s="1568" t="s">
        <v>3308</v>
      </c>
      <c r="D1231" s="1568" t="s">
        <v>2980</v>
      </c>
      <c r="E1231" s="1567">
        <v>44151</v>
      </c>
      <c r="F1231" s="1566">
        <v>84</v>
      </c>
      <c r="G1231" s="1566">
        <v>0</v>
      </c>
      <c r="H1231" s="1567"/>
      <c r="I1231" s="1567">
        <v>43378</v>
      </c>
      <c r="J1231" s="1567">
        <v>43378</v>
      </c>
      <c r="K1231" s="1568" t="str">
        <f t="shared" si="19"/>
        <v>Yes</v>
      </c>
      <c r="L1231" s="1565"/>
    </row>
    <row r="1232" spans="1:12" ht="20.100000000000001" customHeight="1">
      <c r="A1232" s="1568" t="s">
        <v>3055</v>
      </c>
      <c r="B1232" s="1567">
        <v>43159</v>
      </c>
      <c r="C1232" s="1568" t="s">
        <v>3308</v>
      </c>
      <c r="D1232" s="1568" t="s">
        <v>2980</v>
      </c>
      <c r="E1232" s="1567">
        <v>44181</v>
      </c>
      <c r="F1232" s="1566">
        <v>83</v>
      </c>
      <c r="G1232" s="1566">
        <v>0</v>
      </c>
      <c r="H1232" s="1567"/>
      <c r="I1232" s="1567">
        <v>43378</v>
      </c>
      <c r="J1232" s="1567">
        <v>43378</v>
      </c>
      <c r="K1232" s="1568" t="str">
        <f t="shared" si="19"/>
        <v>Yes</v>
      </c>
      <c r="L1232" s="1565"/>
    </row>
    <row r="1233" spans="1:12" ht="20.100000000000001" customHeight="1">
      <c r="A1233" s="1568" t="s">
        <v>3055</v>
      </c>
      <c r="B1233" s="1567">
        <v>43159</v>
      </c>
      <c r="C1233" s="1568" t="s">
        <v>3308</v>
      </c>
      <c r="D1233" s="1568" t="s">
        <v>2980</v>
      </c>
      <c r="E1233" s="1567">
        <v>44212</v>
      </c>
      <c r="F1233" s="1566">
        <v>83</v>
      </c>
      <c r="G1233" s="1566">
        <v>0</v>
      </c>
      <c r="H1233" s="1567"/>
      <c r="I1233" s="1567">
        <v>43378</v>
      </c>
      <c r="J1233" s="1567">
        <v>43378</v>
      </c>
      <c r="K1233" s="1568" t="str">
        <f t="shared" si="19"/>
        <v>Yes</v>
      </c>
      <c r="L1233" s="1565"/>
    </row>
    <row r="1234" spans="1:12" ht="20.100000000000001" customHeight="1">
      <c r="A1234" s="1568" t="s">
        <v>3055</v>
      </c>
      <c r="B1234" s="1567">
        <v>43159</v>
      </c>
      <c r="C1234" s="1568" t="s">
        <v>3308</v>
      </c>
      <c r="D1234" s="1568" t="s">
        <v>2980</v>
      </c>
      <c r="E1234" s="1567">
        <v>44243</v>
      </c>
      <c r="F1234" s="1566">
        <v>84</v>
      </c>
      <c r="G1234" s="1566">
        <v>0</v>
      </c>
      <c r="H1234" s="1567"/>
      <c r="I1234" s="1567">
        <v>43378</v>
      </c>
      <c r="J1234" s="1567">
        <v>43378</v>
      </c>
      <c r="K1234" s="1568" t="str">
        <f t="shared" si="19"/>
        <v>Yes</v>
      </c>
      <c r="L1234" s="1565"/>
    </row>
    <row r="1235" spans="1:12" ht="20.100000000000001" customHeight="1">
      <c r="A1235" s="1568" t="s">
        <v>3055</v>
      </c>
      <c r="B1235" s="1567">
        <v>43159</v>
      </c>
      <c r="C1235" s="1568" t="s">
        <v>3308</v>
      </c>
      <c r="D1235" s="1568" t="s">
        <v>2980</v>
      </c>
      <c r="E1235" s="1567">
        <v>44271</v>
      </c>
      <c r="F1235" s="1566">
        <v>83</v>
      </c>
      <c r="G1235" s="1566">
        <v>0</v>
      </c>
      <c r="H1235" s="1567"/>
      <c r="I1235" s="1567">
        <v>43378</v>
      </c>
      <c r="J1235" s="1567">
        <v>43378</v>
      </c>
      <c r="K1235" s="1568" t="str">
        <f t="shared" si="19"/>
        <v>Yes</v>
      </c>
      <c r="L1235" s="1565"/>
    </row>
    <row r="1236" spans="1:12" ht="20.100000000000001" customHeight="1">
      <c r="A1236" s="1568" t="s">
        <v>3055</v>
      </c>
      <c r="B1236" s="1567">
        <v>43159</v>
      </c>
      <c r="C1236" s="1568" t="s">
        <v>3308</v>
      </c>
      <c r="D1236" s="1568" t="s">
        <v>2980</v>
      </c>
      <c r="E1236" s="1567">
        <v>44302</v>
      </c>
      <c r="F1236" s="1566">
        <v>83</v>
      </c>
      <c r="G1236" s="1566">
        <v>0</v>
      </c>
      <c r="H1236" s="1567"/>
      <c r="I1236" s="1567">
        <v>43378</v>
      </c>
      <c r="J1236" s="1567">
        <v>43378</v>
      </c>
      <c r="K1236" s="1568" t="str">
        <f t="shared" si="19"/>
        <v>Yes</v>
      </c>
      <c r="L1236" s="1565"/>
    </row>
    <row r="1237" spans="1:12" ht="20.100000000000001" customHeight="1">
      <c r="A1237" s="1568" t="s">
        <v>3055</v>
      </c>
      <c r="B1237" s="1567">
        <v>43159</v>
      </c>
      <c r="C1237" s="1568" t="s">
        <v>3308</v>
      </c>
      <c r="D1237" s="1568" t="s">
        <v>2980</v>
      </c>
      <c r="E1237" s="1567">
        <v>44332</v>
      </c>
      <c r="F1237" s="1566">
        <v>84</v>
      </c>
      <c r="G1237" s="1566">
        <v>0</v>
      </c>
      <c r="H1237" s="1567"/>
      <c r="I1237" s="1567">
        <v>43378</v>
      </c>
      <c r="J1237" s="1567">
        <v>43378</v>
      </c>
      <c r="K1237" s="1568" t="str">
        <f t="shared" si="19"/>
        <v>Yes</v>
      </c>
      <c r="L1237" s="1565"/>
    </row>
    <row r="1238" spans="1:12" ht="20.100000000000001" customHeight="1">
      <c r="A1238" s="1568" t="s">
        <v>3055</v>
      </c>
      <c r="B1238" s="1567">
        <v>43159</v>
      </c>
      <c r="C1238" s="1568" t="s">
        <v>3308</v>
      </c>
      <c r="D1238" s="1568" t="s">
        <v>2980</v>
      </c>
      <c r="E1238" s="1567">
        <v>44363</v>
      </c>
      <c r="F1238" s="1566">
        <v>83</v>
      </c>
      <c r="G1238" s="1566">
        <v>0</v>
      </c>
      <c r="H1238" s="1567"/>
      <c r="I1238" s="1567">
        <v>43378</v>
      </c>
      <c r="J1238" s="1567">
        <v>43378</v>
      </c>
      <c r="K1238" s="1568" t="str">
        <f t="shared" si="19"/>
        <v>Yes</v>
      </c>
      <c r="L1238" s="1565"/>
    </row>
    <row r="1239" spans="1:12" ht="20.100000000000001" customHeight="1">
      <c r="A1239" s="1568" t="s">
        <v>3055</v>
      </c>
      <c r="B1239" s="1567">
        <v>43159</v>
      </c>
      <c r="C1239" s="1568" t="s">
        <v>3308</v>
      </c>
      <c r="D1239" s="1568" t="s">
        <v>2980</v>
      </c>
      <c r="E1239" s="1567">
        <v>44393</v>
      </c>
      <c r="F1239" s="1566">
        <v>83</v>
      </c>
      <c r="G1239" s="1566">
        <v>0</v>
      </c>
      <c r="H1239" s="1567"/>
      <c r="I1239" s="1567">
        <v>43378</v>
      </c>
      <c r="J1239" s="1567">
        <v>43378</v>
      </c>
      <c r="K1239" s="1568" t="str">
        <f t="shared" si="19"/>
        <v>Yes</v>
      </c>
      <c r="L1239" s="1565"/>
    </row>
    <row r="1240" spans="1:12" ht="20.100000000000001" customHeight="1">
      <c r="A1240" s="1568" t="s">
        <v>3055</v>
      </c>
      <c r="B1240" s="1567">
        <v>43159</v>
      </c>
      <c r="C1240" s="1568" t="s">
        <v>3308</v>
      </c>
      <c r="D1240" s="1568" t="s">
        <v>2980</v>
      </c>
      <c r="E1240" s="1567">
        <v>44424</v>
      </c>
      <c r="F1240" s="1566">
        <v>84</v>
      </c>
      <c r="G1240" s="1566">
        <v>0</v>
      </c>
      <c r="H1240" s="1567"/>
      <c r="I1240" s="1567">
        <v>43378</v>
      </c>
      <c r="J1240" s="1567">
        <v>43378</v>
      </c>
      <c r="K1240" s="1568" t="str">
        <f t="shared" si="19"/>
        <v>Yes</v>
      </c>
      <c r="L1240" s="1565"/>
    </row>
    <row r="1241" spans="1:12" ht="20.100000000000001" customHeight="1">
      <c r="A1241" s="1568" t="s">
        <v>3055</v>
      </c>
      <c r="B1241" s="1567">
        <v>43159</v>
      </c>
      <c r="C1241" s="1568" t="s">
        <v>3308</v>
      </c>
      <c r="D1241" s="1568" t="s">
        <v>2980</v>
      </c>
      <c r="E1241" s="1567">
        <v>44455</v>
      </c>
      <c r="F1241" s="1566">
        <v>83</v>
      </c>
      <c r="G1241" s="1566">
        <v>0</v>
      </c>
      <c r="H1241" s="1567"/>
      <c r="I1241" s="1567">
        <v>43378</v>
      </c>
      <c r="J1241" s="1567">
        <v>43378</v>
      </c>
      <c r="K1241" s="1568" t="str">
        <f t="shared" si="19"/>
        <v>Yes</v>
      </c>
      <c r="L1241" s="1565"/>
    </row>
    <row r="1242" spans="1:12" ht="20.100000000000001" customHeight="1">
      <c r="A1242" s="1568" t="s">
        <v>3055</v>
      </c>
      <c r="B1242" s="1567">
        <v>43159</v>
      </c>
      <c r="C1242" s="1568" t="s">
        <v>3308</v>
      </c>
      <c r="D1242" s="1568" t="s">
        <v>2980</v>
      </c>
      <c r="E1242" s="1567">
        <v>44485</v>
      </c>
      <c r="F1242" s="1566">
        <v>83</v>
      </c>
      <c r="G1242" s="1566">
        <v>0</v>
      </c>
      <c r="H1242" s="1567"/>
      <c r="I1242" s="1567">
        <v>43378</v>
      </c>
      <c r="J1242" s="1567">
        <v>43378</v>
      </c>
      <c r="K1242" s="1568" t="str">
        <f t="shared" si="19"/>
        <v>Yes</v>
      </c>
      <c r="L1242" s="1565"/>
    </row>
    <row r="1243" spans="1:12" ht="20.100000000000001" customHeight="1">
      <c r="A1243" s="1568" t="s">
        <v>3055</v>
      </c>
      <c r="B1243" s="1567">
        <v>43159</v>
      </c>
      <c r="C1243" s="1568" t="s">
        <v>3308</v>
      </c>
      <c r="D1243" s="1568" t="s">
        <v>2980</v>
      </c>
      <c r="E1243" s="1567">
        <v>44516</v>
      </c>
      <c r="F1243" s="1566">
        <v>84</v>
      </c>
      <c r="G1243" s="1566">
        <v>0</v>
      </c>
      <c r="H1243" s="1567"/>
      <c r="I1243" s="1567">
        <v>43378</v>
      </c>
      <c r="J1243" s="1567">
        <v>43378</v>
      </c>
      <c r="K1243" s="1568" t="str">
        <f t="shared" si="19"/>
        <v>Yes</v>
      </c>
      <c r="L1243" s="1565"/>
    </row>
    <row r="1244" spans="1:12" ht="20.100000000000001" customHeight="1">
      <c r="A1244" s="1568" t="s">
        <v>3055</v>
      </c>
      <c r="B1244" s="1567">
        <v>43159</v>
      </c>
      <c r="C1244" s="1568" t="s">
        <v>3308</v>
      </c>
      <c r="D1244" s="1568" t="s">
        <v>2980</v>
      </c>
      <c r="E1244" s="1567">
        <v>44546</v>
      </c>
      <c r="F1244" s="1566">
        <v>83</v>
      </c>
      <c r="G1244" s="1566">
        <v>0</v>
      </c>
      <c r="H1244" s="1567"/>
      <c r="I1244" s="1567">
        <v>43378</v>
      </c>
      <c r="J1244" s="1567">
        <v>43378</v>
      </c>
      <c r="K1244" s="1568" t="str">
        <f t="shared" si="19"/>
        <v>Yes</v>
      </c>
      <c r="L1244" s="1565"/>
    </row>
    <row r="1245" spans="1:12" ht="20.100000000000001" customHeight="1">
      <c r="A1245" s="1568" t="s">
        <v>3055</v>
      </c>
      <c r="B1245" s="1567">
        <v>43159</v>
      </c>
      <c r="C1245" s="1568" t="s">
        <v>3308</v>
      </c>
      <c r="D1245" s="1568" t="s">
        <v>2980</v>
      </c>
      <c r="E1245" s="1567">
        <v>44577</v>
      </c>
      <c r="F1245" s="1566">
        <v>83</v>
      </c>
      <c r="G1245" s="1566">
        <v>0</v>
      </c>
      <c r="H1245" s="1567"/>
      <c r="I1245" s="1567">
        <v>43378</v>
      </c>
      <c r="J1245" s="1567">
        <v>43378</v>
      </c>
      <c r="K1245" s="1568" t="str">
        <f t="shared" si="19"/>
        <v>Yes</v>
      </c>
      <c r="L1245" s="1565"/>
    </row>
    <row r="1246" spans="1:12" ht="20.100000000000001" customHeight="1">
      <c r="A1246" s="1568" t="s">
        <v>3055</v>
      </c>
      <c r="B1246" s="1567">
        <v>43159</v>
      </c>
      <c r="C1246" s="1568" t="s">
        <v>3308</v>
      </c>
      <c r="D1246" s="1568" t="s">
        <v>2980</v>
      </c>
      <c r="E1246" s="1567">
        <v>44608</v>
      </c>
      <c r="F1246" s="1566">
        <v>84</v>
      </c>
      <c r="G1246" s="1566">
        <v>0</v>
      </c>
      <c r="H1246" s="1567"/>
      <c r="I1246" s="1567">
        <v>43378</v>
      </c>
      <c r="J1246" s="1567">
        <v>43378</v>
      </c>
      <c r="K1246" s="1568" t="str">
        <f t="shared" si="19"/>
        <v>Yes</v>
      </c>
      <c r="L1246" s="1565"/>
    </row>
    <row r="1247" spans="1:12" ht="20.100000000000001" customHeight="1">
      <c r="A1247" s="1568" t="s">
        <v>3054</v>
      </c>
      <c r="B1247" s="1567">
        <v>43159</v>
      </c>
      <c r="C1247" s="1568" t="s">
        <v>3308</v>
      </c>
      <c r="D1247" s="1568" t="s">
        <v>3000</v>
      </c>
      <c r="E1247" s="1567">
        <v>43512</v>
      </c>
      <c r="F1247" s="1566">
        <v>1250</v>
      </c>
      <c r="G1247" s="1566">
        <v>0</v>
      </c>
      <c r="H1247" s="1567"/>
      <c r="I1247" s="1567">
        <v>46810</v>
      </c>
      <c r="J1247" s="1567">
        <v>46810</v>
      </c>
      <c r="K1247" s="1568" t="str">
        <f t="shared" si="19"/>
        <v>No</v>
      </c>
      <c r="L1247" s="1565"/>
    </row>
    <row r="1248" spans="1:12" ht="20.100000000000001" customHeight="1">
      <c r="A1248" s="1568" t="s">
        <v>3054</v>
      </c>
      <c r="B1248" s="1567">
        <v>43159</v>
      </c>
      <c r="C1248" s="1568" t="s">
        <v>3308</v>
      </c>
      <c r="D1248" s="1568" t="s">
        <v>3000</v>
      </c>
      <c r="E1248" s="1567">
        <v>43540</v>
      </c>
      <c r="F1248" s="1566">
        <v>104</v>
      </c>
      <c r="G1248" s="1566">
        <v>0</v>
      </c>
      <c r="H1248" s="1567"/>
      <c r="I1248" s="1567">
        <v>46810</v>
      </c>
      <c r="J1248" s="1567">
        <v>46810</v>
      </c>
      <c r="K1248" s="1568" t="str">
        <f t="shared" si="19"/>
        <v>No</v>
      </c>
      <c r="L1248" s="1565"/>
    </row>
    <row r="1249" spans="1:12" ht="20.100000000000001" customHeight="1">
      <c r="A1249" s="1568" t="s">
        <v>3054</v>
      </c>
      <c r="B1249" s="1567">
        <v>43159</v>
      </c>
      <c r="C1249" s="1568" t="s">
        <v>3308</v>
      </c>
      <c r="D1249" s="1568" t="s">
        <v>3000</v>
      </c>
      <c r="E1249" s="1567">
        <v>43571</v>
      </c>
      <c r="F1249" s="1566">
        <v>104</v>
      </c>
      <c r="G1249" s="1566">
        <v>0</v>
      </c>
      <c r="H1249" s="1567"/>
      <c r="I1249" s="1567">
        <v>46810</v>
      </c>
      <c r="J1249" s="1567">
        <v>46810</v>
      </c>
      <c r="K1249" s="1568" t="str">
        <f t="shared" si="19"/>
        <v>No</v>
      </c>
      <c r="L1249" s="1565"/>
    </row>
    <row r="1250" spans="1:12" ht="20.100000000000001" customHeight="1">
      <c r="A1250" s="1568" t="s">
        <v>3054</v>
      </c>
      <c r="B1250" s="1567">
        <v>43159</v>
      </c>
      <c r="C1250" s="1568" t="s">
        <v>3308</v>
      </c>
      <c r="D1250" s="1568" t="s">
        <v>3000</v>
      </c>
      <c r="E1250" s="1567">
        <v>43601</v>
      </c>
      <c r="F1250" s="1566">
        <v>104</v>
      </c>
      <c r="G1250" s="1566">
        <v>0</v>
      </c>
      <c r="H1250" s="1567"/>
      <c r="I1250" s="1567">
        <v>46810</v>
      </c>
      <c r="J1250" s="1567">
        <v>46810</v>
      </c>
      <c r="K1250" s="1568" t="str">
        <f t="shared" si="19"/>
        <v>No</v>
      </c>
      <c r="L1250" s="1565"/>
    </row>
    <row r="1251" spans="1:12" ht="20.100000000000001" customHeight="1">
      <c r="A1251" s="1568" t="s">
        <v>3054</v>
      </c>
      <c r="B1251" s="1567">
        <v>43159</v>
      </c>
      <c r="C1251" s="1568" t="s">
        <v>3308</v>
      </c>
      <c r="D1251" s="1568" t="s">
        <v>3000</v>
      </c>
      <c r="E1251" s="1567">
        <v>43632</v>
      </c>
      <c r="F1251" s="1566">
        <v>104</v>
      </c>
      <c r="G1251" s="1566">
        <v>0</v>
      </c>
      <c r="H1251" s="1567"/>
      <c r="I1251" s="1567">
        <v>46810</v>
      </c>
      <c r="J1251" s="1567">
        <v>46810</v>
      </c>
      <c r="K1251" s="1568" t="str">
        <f t="shared" si="19"/>
        <v>No</v>
      </c>
      <c r="L1251" s="1565"/>
    </row>
    <row r="1252" spans="1:12" ht="20.100000000000001" customHeight="1">
      <c r="A1252" s="1568" t="s">
        <v>3054</v>
      </c>
      <c r="B1252" s="1567">
        <v>43159</v>
      </c>
      <c r="C1252" s="1568" t="s">
        <v>3308</v>
      </c>
      <c r="D1252" s="1568" t="s">
        <v>3000</v>
      </c>
      <c r="E1252" s="1567">
        <v>43662</v>
      </c>
      <c r="F1252" s="1566">
        <v>104</v>
      </c>
      <c r="G1252" s="1566">
        <v>0</v>
      </c>
      <c r="H1252" s="1567"/>
      <c r="I1252" s="1567">
        <v>46810</v>
      </c>
      <c r="J1252" s="1567">
        <v>46810</v>
      </c>
      <c r="K1252" s="1568" t="str">
        <f t="shared" si="19"/>
        <v>No</v>
      </c>
      <c r="L1252" s="1565"/>
    </row>
    <row r="1253" spans="1:12" ht="20.100000000000001" customHeight="1">
      <c r="A1253" s="1568" t="s">
        <v>3054</v>
      </c>
      <c r="B1253" s="1567">
        <v>43159</v>
      </c>
      <c r="C1253" s="1568" t="s">
        <v>3308</v>
      </c>
      <c r="D1253" s="1568" t="s">
        <v>3000</v>
      </c>
      <c r="E1253" s="1567">
        <v>43693</v>
      </c>
      <c r="F1253" s="1566">
        <v>105</v>
      </c>
      <c r="G1253" s="1566">
        <v>0</v>
      </c>
      <c r="H1253" s="1567"/>
      <c r="I1253" s="1567">
        <v>46810</v>
      </c>
      <c r="J1253" s="1567">
        <v>46810</v>
      </c>
      <c r="K1253" s="1568" t="str">
        <f t="shared" si="19"/>
        <v>No</v>
      </c>
      <c r="L1253" s="1565"/>
    </row>
    <row r="1254" spans="1:12" ht="20.100000000000001" customHeight="1">
      <c r="A1254" s="1568" t="s">
        <v>3054</v>
      </c>
      <c r="B1254" s="1567">
        <v>43159</v>
      </c>
      <c r="C1254" s="1568" t="s">
        <v>3308</v>
      </c>
      <c r="D1254" s="1568" t="s">
        <v>3000</v>
      </c>
      <c r="E1254" s="1567">
        <v>43724</v>
      </c>
      <c r="F1254" s="1566">
        <v>104</v>
      </c>
      <c r="G1254" s="1566">
        <v>0</v>
      </c>
      <c r="H1254" s="1567"/>
      <c r="I1254" s="1567">
        <v>46810</v>
      </c>
      <c r="J1254" s="1567">
        <v>46810</v>
      </c>
      <c r="K1254" s="1568" t="str">
        <f t="shared" si="19"/>
        <v>No</v>
      </c>
      <c r="L1254" s="1565"/>
    </row>
    <row r="1255" spans="1:12" ht="20.100000000000001" customHeight="1">
      <c r="A1255" s="1568" t="s">
        <v>3054</v>
      </c>
      <c r="B1255" s="1567">
        <v>43159</v>
      </c>
      <c r="C1255" s="1568" t="s">
        <v>3308</v>
      </c>
      <c r="D1255" s="1568" t="s">
        <v>3000</v>
      </c>
      <c r="E1255" s="1567">
        <v>43754</v>
      </c>
      <c r="F1255" s="1566">
        <v>104</v>
      </c>
      <c r="G1255" s="1566">
        <v>0</v>
      </c>
      <c r="H1255" s="1567"/>
      <c r="I1255" s="1567">
        <v>46810</v>
      </c>
      <c r="J1255" s="1567">
        <v>46810</v>
      </c>
      <c r="K1255" s="1568" t="str">
        <f t="shared" si="19"/>
        <v>No</v>
      </c>
      <c r="L1255" s="1565"/>
    </row>
    <row r="1256" spans="1:12" ht="20.100000000000001" customHeight="1">
      <c r="A1256" s="1568" t="s">
        <v>3054</v>
      </c>
      <c r="B1256" s="1567">
        <v>43159</v>
      </c>
      <c r="C1256" s="1568" t="s">
        <v>3308</v>
      </c>
      <c r="D1256" s="1568" t="s">
        <v>3000</v>
      </c>
      <c r="E1256" s="1567">
        <v>43785</v>
      </c>
      <c r="F1256" s="1566">
        <v>104</v>
      </c>
      <c r="G1256" s="1566">
        <v>0</v>
      </c>
      <c r="H1256" s="1567"/>
      <c r="I1256" s="1567">
        <v>46810</v>
      </c>
      <c r="J1256" s="1567">
        <v>46810</v>
      </c>
      <c r="K1256" s="1568" t="str">
        <f t="shared" si="19"/>
        <v>No</v>
      </c>
      <c r="L1256" s="1565"/>
    </row>
    <row r="1257" spans="1:12" ht="20.100000000000001" customHeight="1">
      <c r="A1257" s="1568" t="s">
        <v>3054</v>
      </c>
      <c r="B1257" s="1567">
        <v>43159</v>
      </c>
      <c r="C1257" s="1568" t="s">
        <v>3308</v>
      </c>
      <c r="D1257" s="1568" t="s">
        <v>3000</v>
      </c>
      <c r="E1257" s="1567">
        <v>43815</v>
      </c>
      <c r="F1257" s="1566">
        <v>104</v>
      </c>
      <c r="G1257" s="1566">
        <v>0</v>
      </c>
      <c r="H1257" s="1567"/>
      <c r="I1257" s="1567">
        <v>46810</v>
      </c>
      <c r="J1257" s="1567">
        <v>46810</v>
      </c>
      <c r="K1257" s="1568" t="str">
        <f t="shared" si="19"/>
        <v>No</v>
      </c>
      <c r="L1257" s="1565"/>
    </row>
    <row r="1258" spans="1:12" ht="20.100000000000001" customHeight="1">
      <c r="A1258" s="1568" t="s">
        <v>3054</v>
      </c>
      <c r="B1258" s="1567">
        <v>43159</v>
      </c>
      <c r="C1258" s="1568" t="s">
        <v>3308</v>
      </c>
      <c r="D1258" s="1568" t="s">
        <v>3000</v>
      </c>
      <c r="E1258" s="1567">
        <v>43846</v>
      </c>
      <c r="F1258" s="1566">
        <v>104</v>
      </c>
      <c r="G1258" s="1566">
        <v>0</v>
      </c>
      <c r="H1258" s="1567"/>
      <c r="I1258" s="1567">
        <v>46810</v>
      </c>
      <c r="J1258" s="1567">
        <v>46810</v>
      </c>
      <c r="K1258" s="1568" t="str">
        <f t="shared" si="19"/>
        <v>No</v>
      </c>
      <c r="L1258" s="1565"/>
    </row>
    <row r="1259" spans="1:12" ht="20.100000000000001" customHeight="1">
      <c r="A1259" s="1568" t="s">
        <v>3054</v>
      </c>
      <c r="B1259" s="1567">
        <v>43159</v>
      </c>
      <c r="C1259" s="1568" t="s">
        <v>3308</v>
      </c>
      <c r="D1259" s="1568" t="s">
        <v>3000</v>
      </c>
      <c r="E1259" s="1567">
        <v>43877</v>
      </c>
      <c r="F1259" s="1566">
        <v>105</v>
      </c>
      <c r="G1259" s="1566">
        <v>0</v>
      </c>
      <c r="H1259" s="1567"/>
      <c r="I1259" s="1567">
        <v>46810</v>
      </c>
      <c r="J1259" s="1567">
        <v>46810</v>
      </c>
      <c r="K1259" s="1568" t="str">
        <f t="shared" si="19"/>
        <v>No</v>
      </c>
      <c r="L1259" s="1565"/>
    </row>
    <row r="1260" spans="1:12" ht="20.100000000000001" customHeight="1">
      <c r="A1260" s="1568" t="s">
        <v>3054</v>
      </c>
      <c r="B1260" s="1567">
        <v>43159</v>
      </c>
      <c r="C1260" s="1568" t="s">
        <v>3308</v>
      </c>
      <c r="D1260" s="1568" t="s">
        <v>3000</v>
      </c>
      <c r="E1260" s="1567">
        <v>43906</v>
      </c>
      <c r="F1260" s="1566">
        <v>104</v>
      </c>
      <c r="G1260" s="1566">
        <v>0</v>
      </c>
      <c r="H1260" s="1567"/>
      <c r="I1260" s="1567">
        <v>46810</v>
      </c>
      <c r="J1260" s="1567">
        <v>46810</v>
      </c>
      <c r="K1260" s="1568" t="str">
        <f t="shared" si="19"/>
        <v>No</v>
      </c>
      <c r="L1260" s="1565"/>
    </row>
    <row r="1261" spans="1:12" ht="20.100000000000001" customHeight="1">
      <c r="A1261" s="1568" t="s">
        <v>3054</v>
      </c>
      <c r="B1261" s="1567">
        <v>43159</v>
      </c>
      <c r="C1261" s="1568" t="s">
        <v>3308</v>
      </c>
      <c r="D1261" s="1568" t="s">
        <v>3000</v>
      </c>
      <c r="E1261" s="1567">
        <v>43937</v>
      </c>
      <c r="F1261" s="1566">
        <v>104</v>
      </c>
      <c r="G1261" s="1566">
        <v>0</v>
      </c>
      <c r="H1261" s="1567"/>
      <c r="I1261" s="1567">
        <v>46810</v>
      </c>
      <c r="J1261" s="1567">
        <v>46810</v>
      </c>
      <c r="K1261" s="1568" t="str">
        <f t="shared" si="19"/>
        <v>No</v>
      </c>
      <c r="L1261" s="1565"/>
    </row>
    <row r="1262" spans="1:12" ht="20.100000000000001" customHeight="1">
      <c r="A1262" s="1568" t="s">
        <v>3054</v>
      </c>
      <c r="B1262" s="1567">
        <v>43159</v>
      </c>
      <c r="C1262" s="1568" t="s">
        <v>3308</v>
      </c>
      <c r="D1262" s="1568" t="s">
        <v>3000</v>
      </c>
      <c r="E1262" s="1567">
        <v>43967</v>
      </c>
      <c r="F1262" s="1566">
        <v>104</v>
      </c>
      <c r="G1262" s="1566">
        <v>0</v>
      </c>
      <c r="H1262" s="1567"/>
      <c r="I1262" s="1567">
        <v>46810</v>
      </c>
      <c r="J1262" s="1567">
        <v>46810</v>
      </c>
      <c r="K1262" s="1568" t="str">
        <f t="shared" si="19"/>
        <v>No</v>
      </c>
      <c r="L1262" s="1565"/>
    </row>
    <row r="1263" spans="1:12" ht="20.100000000000001" customHeight="1">
      <c r="A1263" s="1568" t="s">
        <v>3054</v>
      </c>
      <c r="B1263" s="1567">
        <v>43159</v>
      </c>
      <c r="C1263" s="1568" t="s">
        <v>3308</v>
      </c>
      <c r="D1263" s="1568" t="s">
        <v>3000</v>
      </c>
      <c r="E1263" s="1567">
        <v>43998</v>
      </c>
      <c r="F1263" s="1566">
        <v>104</v>
      </c>
      <c r="G1263" s="1566">
        <v>0</v>
      </c>
      <c r="H1263" s="1567"/>
      <c r="I1263" s="1567">
        <v>46810</v>
      </c>
      <c r="J1263" s="1567">
        <v>46810</v>
      </c>
      <c r="K1263" s="1568" t="str">
        <f t="shared" si="19"/>
        <v>No</v>
      </c>
      <c r="L1263" s="1565"/>
    </row>
    <row r="1264" spans="1:12" ht="20.100000000000001" customHeight="1">
      <c r="A1264" s="1568" t="s">
        <v>3054</v>
      </c>
      <c r="B1264" s="1567">
        <v>43159</v>
      </c>
      <c r="C1264" s="1568" t="s">
        <v>3308</v>
      </c>
      <c r="D1264" s="1568" t="s">
        <v>3000</v>
      </c>
      <c r="E1264" s="1567">
        <v>44028</v>
      </c>
      <c r="F1264" s="1566">
        <v>104</v>
      </c>
      <c r="G1264" s="1566">
        <v>0</v>
      </c>
      <c r="H1264" s="1567"/>
      <c r="I1264" s="1567">
        <v>46810</v>
      </c>
      <c r="J1264" s="1567">
        <v>46810</v>
      </c>
      <c r="K1264" s="1568" t="str">
        <f t="shared" si="19"/>
        <v>No</v>
      </c>
      <c r="L1264" s="1565"/>
    </row>
    <row r="1265" spans="1:12" ht="20.100000000000001" customHeight="1">
      <c r="A1265" s="1568" t="s">
        <v>3054</v>
      </c>
      <c r="B1265" s="1567">
        <v>43159</v>
      </c>
      <c r="C1265" s="1568" t="s">
        <v>3308</v>
      </c>
      <c r="D1265" s="1568" t="s">
        <v>3000</v>
      </c>
      <c r="E1265" s="1567">
        <v>44059</v>
      </c>
      <c r="F1265" s="1566">
        <v>105</v>
      </c>
      <c r="G1265" s="1566">
        <v>0</v>
      </c>
      <c r="H1265" s="1567"/>
      <c r="I1265" s="1567">
        <v>46810</v>
      </c>
      <c r="J1265" s="1567">
        <v>46810</v>
      </c>
      <c r="K1265" s="1568" t="str">
        <f t="shared" si="19"/>
        <v>No</v>
      </c>
      <c r="L1265" s="1565"/>
    </row>
    <row r="1266" spans="1:12" ht="20.100000000000001" customHeight="1">
      <c r="A1266" s="1568" t="s">
        <v>3054</v>
      </c>
      <c r="B1266" s="1567">
        <v>43159</v>
      </c>
      <c r="C1266" s="1568" t="s">
        <v>3308</v>
      </c>
      <c r="D1266" s="1568" t="s">
        <v>3000</v>
      </c>
      <c r="E1266" s="1567">
        <v>44090</v>
      </c>
      <c r="F1266" s="1566">
        <v>104</v>
      </c>
      <c r="G1266" s="1566">
        <v>0</v>
      </c>
      <c r="H1266" s="1567"/>
      <c r="I1266" s="1567">
        <v>46810</v>
      </c>
      <c r="J1266" s="1567">
        <v>46810</v>
      </c>
      <c r="K1266" s="1568" t="str">
        <f t="shared" si="19"/>
        <v>No</v>
      </c>
      <c r="L1266" s="1565"/>
    </row>
    <row r="1267" spans="1:12" ht="20.100000000000001" customHeight="1">
      <c r="A1267" s="1568" t="s">
        <v>3054</v>
      </c>
      <c r="B1267" s="1567">
        <v>43159</v>
      </c>
      <c r="C1267" s="1568" t="s">
        <v>3308</v>
      </c>
      <c r="D1267" s="1568" t="s">
        <v>3000</v>
      </c>
      <c r="E1267" s="1567">
        <v>44120</v>
      </c>
      <c r="F1267" s="1566">
        <v>104</v>
      </c>
      <c r="G1267" s="1566">
        <v>0</v>
      </c>
      <c r="H1267" s="1567"/>
      <c r="I1267" s="1567">
        <v>46810</v>
      </c>
      <c r="J1267" s="1567">
        <v>46810</v>
      </c>
      <c r="K1267" s="1568" t="str">
        <f t="shared" si="19"/>
        <v>No</v>
      </c>
      <c r="L1267" s="1565"/>
    </row>
    <row r="1268" spans="1:12" ht="20.100000000000001" customHeight="1">
      <c r="A1268" s="1568" t="s">
        <v>3054</v>
      </c>
      <c r="B1268" s="1567">
        <v>43159</v>
      </c>
      <c r="C1268" s="1568" t="s">
        <v>3308</v>
      </c>
      <c r="D1268" s="1568" t="s">
        <v>3000</v>
      </c>
      <c r="E1268" s="1567">
        <v>44151</v>
      </c>
      <c r="F1268" s="1566">
        <v>104</v>
      </c>
      <c r="G1268" s="1566">
        <v>0</v>
      </c>
      <c r="H1268" s="1567"/>
      <c r="I1268" s="1567">
        <v>46810</v>
      </c>
      <c r="J1268" s="1567">
        <v>46810</v>
      </c>
      <c r="K1268" s="1568" t="str">
        <f t="shared" si="19"/>
        <v>No</v>
      </c>
      <c r="L1268" s="1565"/>
    </row>
    <row r="1269" spans="1:12" ht="20.100000000000001" customHeight="1">
      <c r="A1269" s="1568" t="s">
        <v>3054</v>
      </c>
      <c r="B1269" s="1567">
        <v>43159</v>
      </c>
      <c r="C1269" s="1568" t="s">
        <v>3308</v>
      </c>
      <c r="D1269" s="1568" t="s">
        <v>3000</v>
      </c>
      <c r="E1269" s="1567">
        <v>44181</v>
      </c>
      <c r="F1269" s="1566">
        <v>104</v>
      </c>
      <c r="G1269" s="1566">
        <v>0</v>
      </c>
      <c r="H1269" s="1567"/>
      <c r="I1269" s="1567">
        <v>46810</v>
      </c>
      <c r="J1269" s="1567">
        <v>46810</v>
      </c>
      <c r="K1269" s="1568" t="str">
        <f t="shared" si="19"/>
        <v>No</v>
      </c>
      <c r="L1269" s="1565"/>
    </row>
    <row r="1270" spans="1:12" ht="20.100000000000001" customHeight="1">
      <c r="A1270" s="1568" t="s">
        <v>3054</v>
      </c>
      <c r="B1270" s="1567">
        <v>43159</v>
      </c>
      <c r="C1270" s="1568" t="s">
        <v>3308</v>
      </c>
      <c r="D1270" s="1568" t="s">
        <v>3000</v>
      </c>
      <c r="E1270" s="1567">
        <v>44212</v>
      </c>
      <c r="F1270" s="1566">
        <v>104</v>
      </c>
      <c r="G1270" s="1566">
        <v>0</v>
      </c>
      <c r="H1270" s="1567"/>
      <c r="I1270" s="1567">
        <v>46810</v>
      </c>
      <c r="J1270" s="1567">
        <v>46810</v>
      </c>
      <c r="K1270" s="1568" t="str">
        <f t="shared" si="19"/>
        <v>No</v>
      </c>
      <c r="L1270" s="1565"/>
    </row>
    <row r="1271" spans="1:12" ht="20.100000000000001" customHeight="1">
      <c r="A1271" s="1568" t="s">
        <v>3054</v>
      </c>
      <c r="B1271" s="1567">
        <v>43159</v>
      </c>
      <c r="C1271" s="1568" t="s">
        <v>3308</v>
      </c>
      <c r="D1271" s="1568" t="s">
        <v>3000</v>
      </c>
      <c r="E1271" s="1567">
        <v>44243</v>
      </c>
      <c r="F1271" s="1566">
        <v>105</v>
      </c>
      <c r="G1271" s="1566">
        <v>0</v>
      </c>
      <c r="H1271" s="1567"/>
      <c r="I1271" s="1567">
        <v>46810</v>
      </c>
      <c r="J1271" s="1567">
        <v>46810</v>
      </c>
      <c r="K1271" s="1568" t="str">
        <f t="shared" si="19"/>
        <v>No</v>
      </c>
      <c r="L1271" s="1565"/>
    </row>
    <row r="1272" spans="1:12" ht="20.100000000000001" customHeight="1">
      <c r="A1272" s="1568" t="s">
        <v>3054</v>
      </c>
      <c r="B1272" s="1567">
        <v>43159</v>
      </c>
      <c r="C1272" s="1568" t="s">
        <v>3308</v>
      </c>
      <c r="D1272" s="1568" t="s">
        <v>3000</v>
      </c>
      <c r="E1272" s="1567">
        <v>44271</v>
      </c>
      <c r="F1272" s="1566">
        <v>104</v>
      </c>
      <c r="G1272" s="1566">
        <v>0</v>
      </c>
      <c r="H1272" s="1567"/>
      <c r="I1272" s="1567">
        <v>46810</v>
      </c>
      <c r="J1272" s="1567">
        <v>46810</v>
      </c>
      <c r="K1272" s="1568" t="str">
        <f t="shared" si="19"/>
        <v>No</v>
      </c>
      <c r="L1272" s="1565"/>
    </row>
    <row r="1273" spans="1:12" ht="20.100000000000001" customHeight="1">
      <c r="A1273" s="1568" t="s">
        <v>3054</v>
      </c>
      <c r="B1273" s="1567">
        <v>43159</v>
      </c>
      <c r="C1273" s="1568" t="s">
        <v>3308</v>
      </c>
      <c r="D1273" s="1568" t="s">
        <v>3000</v>
      </c>
      <c r="E1273" s="1567">
        <v>44302</v>
      </c>
      <c r="F1273" s="1566">
        <v>104</v>
      </c>
      <c r="G1273" s="1566">
        <v>0</v>
      </c>
      <c r="H1273" s="1567"/>
      <c r="I1273" s="1567">
        <v>46810</v>
      </c>
      <c r="J1273" s="1567">
        <v>46810</v>
      </c>
      <c r="K1273" s="1568" t="str">
        <f t="shared" si="19"/>
        <v>No</v>
      </c>
      <c r="L1273" s="1565"/>
    </row>
    <row r="1274" spans="1:12" ht="20.100000000000001" customHeight="1">
      <c r="A1274" s="1568" t="s">
        <v>3054</v>
      </c>
      <c r="B1274" s="1567">
        <v>43159</v>
      </c>
      <c r="C1274" s="1568" t="s">
        <v>3308</v>
      </c>
      <c r="D1274" s="1568" t="s">
        <v>3000</v>
      </c>
      <c r="E1274" s="1567">
        <v>44332</v>
      </c>
      <c r="F1274" s="1566">
        <v>104</v>
      </c>
      <c r="G1274" s="1566">
        <v>0</v>
      </c>
      <c r="H1274" s="1567"/>
      <c r="I1274" s="1567">
        <v>46810</v>
      </c>
      <c r="J1274" s="1567">
        <v>46810</v>
      </c>
      <c r="K1274" s="1568" t="str">
        <f t="shared" si="19"/>
        <v>No</v>
      </c>
      <c r="L1274" s="1565"/>
    </row>
    <row r="1275" spans="1:12" ht="20.100000000000001" customHeight="1">
      <c r="A1275" s="1568" t="s">
        <v>3054</v>
      </c>
      <c r="B1275" s="1567">
        <v>43159</v>
      </c>
      <c r="C1275" s="1568" t="s">
        <v>3308</v>
      </c>
      <c r="D1275" s="1568" t="s">
        <v>3000</v>
      </c>
      <c r="E1275" s="1567">
        <v>44363</v>
      </c>
      <c r="F1275" s="1566">
        <v>104</v>
      </c>
      <c r="G1275" s="1566">
        <v>0</v>
      </c>
      <c r="H1275" s="1567"/>
      <c r="I1275" s="1567">
        <v>46810</v>
      </c>
      <c r="J1275" s="1567">
        <v>46810</v>
      </c>
      <c r="K1275" s="1568" t="str">
        <f t="shared" si="19"/>
        <v>No</v>
      </c>
      <c r="L1275" s="1565"/>
    </row>
    <row r="1276" spans="1:12" ht="20.100000000000001" customHeight="1">
      <c r="A1276" s="1568" t="s">
        <v>3054</v>
      </c>
      <c r="B1276" s="1567">
        <v>43159</v>
      </c>
      <c r="C1276" s="1568" t="s">
        <v>3308</v>
      </c>
      <c r="D1276" s="1568" t="s">
        <v>3000</v>
      </c>
      <c r="E1276" s="1567">
        <v>44393</v>
      </c>
      <c r="F1276" s="1566">
        <v>104</v>
      </c>
      <c r="G1276" s="1566">
        <v>0</v>
      </c>
      <c r="H1276" s="1567"/>
      <c r="I1276" s="1567">
        <v>46810</v>
      </c>
      <c r="J1276" s="1567">
        <v>46810</v>
      </c>
      <c r="K1276" s="1568" t="str">
        <f t="shared" si="19"/>
        <v>No</v>
      </c>
      <c r="L1276" s="1565"/>
    </row>
    <row r="1277" spans="1:12" ht="20.100000000000001" customHeight="1">
      <c r="A1277" s="1568" t="s">
        <v>3054</v>
      </c>
      <c r="B1277" s="1567">
        <v>43159</v>
      </c>
      <c r="C1277" s="1568" t="s">
        <v>3308</v>
      </c>
      <c r="D1277" s="1568" t="s">
        <v>3000</v>
      </c>
      <c r="E1277" s="1567">
        <v>44424</v>
      </c>
      <c r="F1277" s="1566">
        <v>105</v>
      </c>
      <c r="G1277" s="1566">
        <v>0</v>
      </c>
      <c r="H1277" s="1567"/>
      <c r="I1277" s="1567">
        <v>46810</v>
      </c>
      <c r="J1277" s="1567">
        <v>46810</v>
      </c>
      <c r="K1277" s="1568" t="str">
        <f t="shared" si="19"/>
        <v>No</v>
      </c>
      <c r="L1277" s="1565"/>
    </row>
    <row r="1278" spans="1:12" ht="20.100000000000001" customHeight="1">
      <c r="A1278" s="1568" t="s">
        <v>3054</v>
      </c>
      <c r="B1278" s="1567">
        <v>43159</v>
      </c>
      <c r="C1278" s="1568" t="s">
        <v>3308</v>
      </c>
      <c r="D1278" s="1568" t="s">
        <v>3000</v>
      </c>
      <c r="E1278" s="1567">
        <v>44455</v>
      </c>
      <c r="F1278" s="1566">
        <v>104</v>
      </c>
      <c r="G1278" s="1566">
        <v>0</v>
      </c>
      <c r="H1278" s="1567"/>
      <c r="I1278" s="1567">
        <v>46810</v>
      </c>
      <c r="J1278" s="1567">
        <v>46810</v>
      </c>
      <c r="K1278" s="1568" t="str">
        <f t="shared" si="19"/>
        <v>No</v>
      </c>
      <c r="L1278" s="1565"/>
    </row>
    <row r="1279" spans="1:12" ht="20.100000000000001" customHeight="1">
      <c r="A1279" s="1568" t="s">
        <v>3054</v>
      </c>
      <c r="B1279" s="1567">
        <v>43159</v>
      </c>
      <c r="C1279" s="1568" t="s">
        <v>3308</v>
      </c>
      <c r="D1279" s="1568" t="s">
        <v>3000</v>
      </c>
      <c r="E1279" s="1567">
        <v>44485</v>
      </c>
      <c r="F1279" s="1566">
        <v>104</v>
      </c>
      <c r="G1279" s="1566">
        <v>0</v>
      </c>
      <c r="H1279" s="1567"/>
      <c r="I1279" s="1567">
        <v>46810</v>
      </c>
      <c r="J1279" s="1567">
        <v>46810</v>
      </c>
      <c r="K1279" s="1568" t="str">
        <f t="shared" si="19"/>
        <v>No</v>
      </c>
      <c r="L1279" s="1565"/>
    </row>
    <row r="1280" spans="1:12" ht="20.100000000000001" customHeight="1">
      <c r="A1280" s="1568" t="s">
        <v>3054</v>
      </c>
      <c r="B1280" s="1567">
        <v>43159</v>
      </c>
      <c r="C1280" s="1568" t="s">
        <v>3308</v>
      </c>
      <c r="D1280" s="1568" t="s">
        <v>3000</v>
      </c>
      <c r="E1280" s="1567">
        <v>44516</v>
      </c>
      <c r="F1280" s="1566">
        <v>104</v>
      </c>
      <c r="G1280" s="1566">
        <v>0</v>
      </c>
      <c r="H1280" s="1567"/>
      <c r="I1280" s="1567">
        <v>46810</v>
      </c>
      <c r="J1280" s="1567">
        <v>46810</v>
      </c>
      <c r="K1280" s="1568" t="str">
        <f t="shared" si="19"/>
        <v>No</v>
      </c>
      <c r="L1280" s="1565"/>
    </row>
    <row r="1281" spans="1:12" ht="20.100000000000001" customHeight="1">
      <c r="A1281" s="1568" t="s">
        <v>3054</v>
      </c>
      <c r="B1281" s="1567">
        <v>43159</v>
      </c>
      <c r="C1281" s="1568" t="s">
        <v>3308</v>
      </c>
      <c r="D1281" s="1568" t="s">
        <v>3000</v>
      </c>
      <c r="E1281" s="1567">
        <v>44546</v>
      </c>
      <c r="F1281" s="1566">
        <v>104</v>
      </c>
      <c r="G1281" s="1566">
        <v>0</v>
      </c>
      <c r="H1281" s="1567"/>
      <c r="I1281" s="1567">
        <v>46810</v>
      </c>
      <c r="J1281" s="1567">
        <v>46810</v>
      </c>
      <c r="K1281" s="1568" t="str">
        <f t="shared" si="19"/>
        <v>No</v>
      </c>
      <c r="L1281" s="1565"/>
    </row>
    <row r="1282" spans="1:12" ht="20.100000000000001" customHeight="1">
      <c r="A1282" s="1568" t="s">
        <v>3054</v>
      </c>
      <c r="B1282" s="1567">
        <v>43159</v>
      </c>
      <c r="C1282" s="1568" t="s">
        <v>3308</v>
      </c>
      <c r="D1282" s="1568" t="s">
        <v>3000</v>
      </c>
      <c r="E1282" s="1567">
        <v>44577</v>
      </c>
      <c r="F1282" s="1566">
        <v>104</v>
      </c>
      <c r="G1282" s="1566">
        <v>0</v>
      </c>
      <c r="H1282" s="1567"/>
      <c r="I1282" s="1567">
        <v>46810</v>
      </c>
      <c r="J1282" s="1567">
        <v>46810</v>
      </c>
      <c r="K1282" s="1568" t="str">
        <f t="shared" si="19"/>
        <v>No</v>
      </c>
      <c r="L1282" s="1565"/>
    </row>
    <row r="1283" spans="1:12" ht="20.100000000000001" customHeight="1">
      <c r="A1283" s="1568" t="s">
        <v>3054</v>
      </c>
      <c r="B1283" s="1567">
        <v>43159</v>
      </c>
      <c r="C1283" s="1568" t="s">
        <v>3308</v>
      </c>
      <c r="D1283" s="1568" t="s">
        <v>3000</v>
      </c>
      <c r="E1283" s="1567">
        <v>44608</v>
      </c>
      <c r="F1283" s="1566">
        <v>105</v>
      </c>
      <c r="G1283" s="1566">
        <v>0</v>
      </c>
      <c r="H1283" s="1567"/>
      <c r="I1283" s="1567">
        <v>46810</v>
      </c>
      <c r="J1283" s="1567">
        <v>46810</v>
      </c>
      <c r="K1283" s="1568" t="str">
        <f t="shared" si="19"/>
        <v>No</v>
      </c>
      <c r="L1283" s="1565"/>
    </row>
    <row r="1284" spans="1:12" ht="20.100000000000001" customHeight="1">
      <c r="A1284" s="1568" t="s">
        <v>3053</v>
      </c>
      <c r="B1284" s="1567">
        <v>43159</v>
      </c>
      <c r="C1284" s="1568" t="s">
        <v>3308</v>
      </c>
      <c r="D1284" s="1568" t="s">
        <v>2983</v>
      </c>
      <c r="E1284" s="1567">
        <v>43512</v>
      </c>
      <c r="F1284" s="1566">
        <v>17500</v>
      </c>
      <c r="G1284" s="1566">
        <v>0</v>
      </c>
      <c r="H1284" s="1567"/>
      <c r="I1284" s="1567">
        <v>46810</v>
      </c>
      <c r="J1284" s="1567">
        <v>46810</v>
      </c>
      <c r="K1284" s="1568" t="str">
        <f t="shared" si="19"/>
        <v>No</v>
      </c>
      <c r="L1284" s="1565" t="s">
        <v>3052</v>
      </c>
    </row>
    <row r="1285" spans="1:12" ht="20.100000000000001" customHeight="1">
      <c r="A1285" s="1568" t="s">
        <v>3053</v>
      </c>
      <c r="B1285" s="1567">
        <v>43159</v>
      </c>
      <c r="C1285" s="1568" t="s">
        <v>3308</v>
      </c>
      <c r="D1285" s="1568" t="s">
        <v>2983</v>
      </c>
      <c r="E1285" s="1567">
        <v>43540</v>
      </c>
      <c r="F1285" s="1566">
        <v>1458</v>
      </c>
      <c r="G1285" s="1566">
        <v>0</v>
      </c>
      <c r="H1285" s="1567"/>
      <c r="I1285" s="1567">
        <v>46810</v>
      </c>
      <c r="J1285" s="1567">
        <v>46810</v>
      </c>
      <c r="K1285" s="1568" t="str">
        <f t="shared" ref="K1285:K1348" si="20">IF(I1285="N/A","No",IF(E1285&lt;=I1285,"No","Yes"))</f>
        <v>No</v>
      </c>
      <c r="L1285" s="1565" t="s">
        <v>3052</v>
      </c>
    </row>
    <row r="1286" spans="1:12" ht="20.100000000000001" customHeight="1">
      <c r="A1286" s="1568" t="s">
        <v>3053</v>
      </c>
      <c r="B1286" s="1567">
        <v>43159</v>
      </c>
      <c r="C1286" s="1568" t="s">
        <v>3308</v>
      </c>
      <c r="D1286" s="1568" t="s">
        <v>2983</v>
      </c>
      <c r="E1286" s="1567">
        <v>43571</v>
      </c>
      <c r="F1286" s="1566">
        <v>1458</v>
      </c>
      <c r="G1286" s="1566">
        <v>0</v>
      </c>
      <c r="H1286" s="1567"/>
      <c r="I1286" s="1567">
        <v>46810</v>
      </c>
      <c r="J1286" s="1567">
        <v>46810</v>
      </c>
      <c r="K1286" s="1568" t="str">
        <f t="shared" si="20"/>
        <v>No</v>
      </c>
      <c r="L1286" s="1565" t="s">
        <v>3052</v>
      </c>
    </row>
    <row r="1287" spans="1:12" ht="20.100000000000001" customHeight="1">
      <c r="A1287" s="1568" t="s">
        <v>3053</v>
      </c>
      <c r="B1287" s="1567">
        <v>43159</v>
      </c>
      <c r="C1287" s="1568" t="s">
        <v>3308</v>
      </c>
      <c r="D1287" s="1568" t="s">
        <v>2983</v>
      </c>
      <c r="E1287" s="1567">
        <v>43601</v>
      </c>
      <c r="F1287" s="1566">
        <v>1459</v>
      </c>
      <c r="G1287" s="1566">
        <v>0</v>
      </c>
      <c r="H1287" s="1567"/>
      <c r="I1287" s="1567">
        <v>46810</v>
      </c>
      <c r="J1287" s="1567">
        <v>46810</v>
      </c>
      <c r="K1287" s="1568" t="str">
        <f t="shared" si="20"/>
        <v>No</v>
      </c>
      <c r="L1287" s="1565" t="s">
        <v>3052</v>
      </c>
    </row>
    <row r="1288" spans="1:12" ht="20.100000000000001" customHeight="1">
      <c r="A1288" s="1568" t="s">
        <v>3053</v>
      </c>
      <c r="B1288" s="1567">
        <v>43159</v>
      </c>
      <c r="C1288" s="1568" t="s">
        <v>3308</v>
      </c>
      <c r="D1288" s="1568" t="s">
        <v>2983</v>
      </c>
      <c r="E1288" s="1567">
        <v>43632</v>
      </c>
      <c r="F1288" s="1566">
        <v>1458</v>
      </c>
      <c r="G1288" s="1566">
        <v>0</v>
      </c>
      <c r="H1288" s="1567"/>
      <c r="I1288" s="1567">
        <v>46810</v>
      </c>
      <c r="J1288" s="1567">
        <v>46810</v>
      </c>
      <c r="K1288" s="1568" t="str">
        <f t="shared" si="20"/>
        <v>No</v>
      </c>
      <c r="L1288" s="1565" t="s">
        <v>3052</v>
      </c>
    </row>
    <row r="1289" spans="1:12" ht="20.100000000000001" customHeight="1">
      <c r="A1289" s="1568" t="s">
        <v>3053</v>
      </c>
      <c r="B1289" s="1567">
        <v>43159</v>
      </c>
      <c r="C1289" s="1568" t="s">
        <v>3308</v>
      </c>
      <c r="D1289" s="1568" t="s">
        <v>2983</v>
      </c>
      <c r="E1289" s="1567">
        <v>43662</v>
      </c>
      <c r="F1289" s="1566">
        <v>1458</v>
      </c>
      <c r="G1289" s="1566">
        <v>0</v>
      </c>
      <c r="H1289" s="1567"/>
      <c r="I1289" s="1567">
        <v>46810</v>
      </c>
      <c r="J1289" s="1567">
        <v>46810</v>
      </c>
      <c r="K1289" s="1568" t="str">
        <f t="shared" si="20"/>
        <v>No</v>
      </c>
      <c r="L1289" s="1565" t="s">
        <v>3052</v>
      </c>
    </row>
    <row r="1290" spans="1:12" ht="20.100000000000001" customHeight="1">
      <c r="A1290" s="1568" t="s">
        <v>3053</v>
      </c>
      <c r="B1290" s="1567">
        <v>43159</v>
      </c>
      <c r="C1290" s="1568" t="s">
        <v>3308</v>
      </c>
      <c r="D1290" s="1568" t="s">
        <v>2983</v>
      </c>
      <c r="E1290" s="1567">
        <v>43693</v>
      </c>
      <c r="F1290" s="1566">
        <v>1459</v>
      </c>
      <c r="G1290" s="1566">
        <v>0</v>
      </c>
      <c r="H1290" s="1567"/>
      <c r="I1290" s="1567">
        <v>46810</v>
      </c>
      <c r="J1290" s="1567">
        <v>46810</v>
      </c>
      <c r="K1290" s="1568" t="str">
        <f t="shared" si="20"/>
        <v>No</v>
      </c>
      <c r="L1290" s="1565" t="s">
        <v>3052</v>
      </c>
    </row>
    <row r="1291" spans="1:12" ht="20.100000000000001" customHeight="1">
      <c r="A1291" s="1568" t="s">
        <v>3053</v>
      </c>
      <c r="B1291" s="1567">
        <v>43159</v>
      </c>
      <c r="C1291" s="1568" t="s">
        <v>3308</v>
      </c>
      <c r="D1291" s="1568" t="s">
        <v>2983</v>
      </c>
      <c r="E1291" s="1567">
        <v>43724</v>
      </c>
      <c r="F1291" s="1566">
        <v>1458</v>
      </c>
      <c r="G1291" s="1566">
        <v>0</v>
      </c>
      <c r="H1291" s="1567"/>
      <c r="I1291" s="1567">
        <v>46810</v>
      </c>
      <c r="J1291" s="1567">
        <v>46810</v>
      </c>
      <c r="K1291" s="1568" t="str">
        <f t="shared" si="20"/>
        <v>No</v>
      </c>
      <c r="L1291" s="1565" t="s">
        <v>3052</v>
      </c>
    </row>
    <row r="1292" spans="1:12" ht="20.100000000000001" customHeight="1">
      <c r="A1292" s="1568" t="s">
        <v>3053</v>
      </c>
      <c r="B1292" s="1567">
        <v>43159</v>
      </c>
      <c r="C1292" s="1568" t="s">
        <v>3308</v>
      </c>
      <c r="D1292" s="1568" t="s">
        <v>2983</v>
      </c>
      <c r="E1292" s="1567">
        <v>43754</v>
      </c>
      <c r="F1292" s="1566">
        <v>1458</v>
      </c>
      <c r="G1292" s="1566">
        <v>0</v>
      </c>
      <c r="H1292" s="1567"/>
      <c r="I1292" s="1567">
        <v>46810</v>
      </c>
      <c r="J1292" s="1567">
        <v>46810</v>
      </c>
      <c r="K1292" s="1568" t="str">
        <f t="shared" si="20"/>
        <v>No</v>
      </c>
      <c r="L1292" s="1565" t="s">
        <v>3052</v>
      </c>
    </row>
    <row r="1293" spans="1:12" ht="20.100000000000001" customHeight="1">
      <c r="A1293" s="1568" t="s">
        <v>3053</v>
      </c>
      <c r="B1293" s="1567">
        <v>43159</v>
      </c>
      <c r="C1293" s="1568" t="s">
        <v>3308</v>
      </c>
      <c r="D1293" s="1568" t="s">
        <v>2983</v>
      </c>
      <c r="E1293" s="1567">
        <v>43785</v>
      </c>
      <c r="F1293" s="1566">
        <v>1459</v>
      </c>
      <c r="G1293" s="1566">
        <v>0</v>
      </c>
      <c r="H1293" s="1567"/>
      <c r="I1293" s="1567">
        <v>46810</v>
      </c>
      <c r="J1293" s="1567">
        <v>46810</v>
      </c>
      <c r="K1293" s="1568" t="str">
        <f t="shared" si="20"/>
        <v>No</v>
      </c>
      <c r="L1293" s="1565" t="s">
        <v>3052</v>
      </c>
    </row>
    <row r="1294" spans="1:12" ht="20.100000000000001" customHeight="1">
      <c r="A1294" s="1568" t="s">
        <v>3053</v>
      </c>
      <c r="B1294" s="1567">
        <v>43159</v>
      </c>
      <c r="C1294" s="1568" t="s">
        <v>3308</v>
      </c>
      <c r="D1294" s="1568" t="s">
        <v>2983</v>
      </c>
      <c r="E1294" s="1567">
        <v>43815</v>
      </c>
      <c r="F1294" s="1566">
        <v>1458</v>
      </c>
      <c r="G1294" s="1566">
        <v>0</v>
      </c>
      <c r="H1294" s="1567"/>
      <c r="I1294" s="1567">
        <v>46810</v>
      </c>
      <c r="J1294" s="1567">
        <v>46810</v>
      </c>
      <c r="K1294" s="1568" t="str">
        <f t="shared" si="20"/>
        <v>No</v>
      </c>
      <c r="L1294" s="1565" t="s">
        <v>3052</v>
      </c>
    </row>
    <row r="1295" spans="1:12" ht="20.100000000000001" customHeight="1">
      <c r="A1295" s="1568" t="s">
        <v>3053</v>
      </c>
      <c r="B1295" s="1567">
        <v>43159</v>
      </c>
      <c r="C1295" s="1568" t="s">
        <v>3308</v>
      </c>
      <c r="D1295" s="1568" t="s">
        <v>2983</v>
      </c>
      <c r="E1295" s="1567">
        <v>43846</v>
      </c>
      <c r="F1295" s="1566">
        <v>1458</v>
      </c>
      <c r="G1295" s="1566">
        <v>0</v>
      </c>
      <c r="H1295" s="1567"/>
      <c r="I1295" s="1567">
        <v>46810</v>
      </c>
      <c r="J1295" s="1567">
        <v>46810</v>
      </c>
      <c r="K1295" s="1568" t="str">
        <f t="shared" si="20"/>
        <v>No</v>
      </c>
      <c r="L1295" s="1565" t="s">
        <v>3052</v>
      </c>
    </row>
    <row r="1296" spans="1:12" ht="20.100000000000001" customHeight="1">
      <c r="A1296" s="1568" t="s">
        <v>3053</v>
      </c>
      <c r="B1296" s="1567">
        <v>43159</v>
      </c>
      <c r="C1296" s="1568" t="s">
        <v>3308</v>
      </c>
      <c r="D1296" s="1568" t="s">
        <v>2983</v>
      </c>
      <c r="E1296" s="1567">
        <v>43877</v>
      </c>
      <c r="F1296" s="1566">
        <v>1459</v>
      </c>
      <c r="G1296" s="1566">
        <v>0</v>
      </c>
      <c r="H1296" s="1567"/>
      <c r="I1296" s="1567">
        <v>46810</v>
      </c>
      <c r="J1296" s="1567">
        <v>46810</v>
      </c>
      <c r="K1296" s="1568" t="str">
        <f t="shared" si="20"/>
        <v>No</v>
      </c>
      <c r="L1296" s="1565" t="s">
        <v>3052</v>
      </c>
    </row>
    <row r="1297" spans="1:12" ht="20.100000000000001" customHeight="1">
      <c r="A1297" s="1568" t="s">
        <v>3053</v>
      </c>
      <c r="B1297" s="1567">
        <v>43159</v>
      </c>
      <c r="C1297" s="1568" t="s">
        <v>3308</v>
      </c>
      <c r="D1297" s="1568" t="s">
        <v>2983</v>
      </c>
      <c r="E1297" s="1567">
        <v>43906</v>
      </c>
      <c r="F1297" s="1566">
        <v>1458</v>
      </c>
      <c r="G1297" s="1566">
        <v>0</v>
      </c>
      <c r="H1297" s="1567"/>
      <c r="I1297" s="1567">
        <v>46810</v>
      </c>
      <c r="J1297" s="1567">
        <v>46810</v>
      </c>
      <c r="K1297" s="1568" t="str">
        <f t="shared" si="20"/>
        <v>No</v>
      </c>
      <c r="L1297" s="1565" t="s">
        <v>3052</v>
      </c>
    </row>
    <row r="1298" spans="1:12" ht="20.100000000000001" customHeight="1">
      <c r="A1298" s="1568" t="s">
        <v>3053</v>
      </c>
      <c r="B1298" s="1567">
        <v>43159</v>
      </c>
      <c r="C1298" s="1568" t="s">
        <v>3308</v>
      </c>
      <c r="D1298" s="1568" t="s">
        <v>2983</v>
      </c>
      <c r="E1298" s="1567">
        <v>43937</v>
      </c>
      <c r="F1298" s="1566">
        <v>1458</v>
      </c>
      <c r="G1298" s="1566">
        <v>0</v>
      </c>
      <c r="H1298" s="1567"/>
      <c r="I1298" s="1567">
        <v>46810</v>
      </c>
      <c r="J1298" s="1567">
        <v>46810</v>
      </c>
      <c r="K1298" s="1568" t="str">
        <f t="shared" si="20"/>
        <v>No</v>
      </c>
      <c r="L1298" s="1565" t="s">
        <v>3052</v>
      </c>
    </row>
    <row r="1299" spans="1:12" ht="20.100000000000001" customHeight="1">
      <c r="A1299" s="1568" t="s">
        <v>3053</v>
      </c>
      <c r="B1299" s="1567">
        <v>43159</v>
      </c>
      <c r="C1299" s="1568" t="s">
        <v>3308</v>
      </c>
      <c r="D1299" s="1568" t="s">
        <v>2983</v>
      </c>
      <c r="E1299" s="1567">
        <v>43967</v>
      </c>
      <c r="F1299" s="1566">
        <v>1459</v>
      </c>
      <c r="G1299" s="1566">
        <v>0</v>
      </c>
      <c r="H1299" s="1567"/>
      <c r="I1299" s="1567">
        <v>46810</v>
      </c>
      <c r="J1299" s="1567">
        <v>46810</v>
      </c>
      <c r="K1299" s="1568" t="str">
        <f t="shared" si="20"/>
        <v>No</v>
      </c>
      <c r="L1299" s="1565" t="s">
        <v>3052</v>
      </c>
    </row>
    <row r="1300" spans="1:12" ht="20.100000000000001" customHeight="1">
      <c r="A1300" s="1568" t="s">
        <v>3053</v>
      </c>
      <c r="B1300" s="1567">
        <v>43159</v>
      </c>
      <c r="C1300" s="1568" t="s">
        <v>3308</v>
      </c>
      <c r="D1300" s="1568" t="s">
        <v>2983</v>
      </c>
      <c r="E1300" s="1567">
        <v>43998</v>
      </c>
      <c r="F1300" s="1566">
        <v>1458</v>
      </c>
      <c r="G1300" s="1566">
        <v>0</v>
      </c>
      <c r="H1300" s="1567"/>
      <c r="I1300" s="1567">
        <v>46810</v>
      </c>
      <c r="J1300" s="1567">
        <v>46810</v>
      </c>
      <c r="K1300" s="1568" t="str">
        <f t="shared" si="20"/>
        <v>No</v>
      </c>
      <c r="L1300" s="1565" t="s">
        <v>3052</v>
      </c>
    </row>
    <row r="1301" spans="1:12" ht="20.100000000000001" customHeight="1">
      <c r="A1301" s="1568" t="s">
        <v>3053</v>
      </c>
      <c r="B1301" s="1567">
        <v>43159</v>
      </c>
      <c r="C1301" s="1568" t="s">
        <v>3308</v>
      </c>
      <c r="D1301" s="1568" t="s">
        <v>2983</v>
      </c>
      <c r="E1301" s="1567">
        <v>44028</v>
      </c>
      <c r="F1301" s="1566">
        <v>1458</v>
      </c>
      <c r="G1301" s="1566">
        <v>0</v>
      </c>
      <c r="H1301" s="1567"/>
      <c r="I1301" s="1567">
        <v>46810</v>
      </c>
      <c r="J1301" s="1567">
        <v>46810</v>
      </c>
      <c r="K1301" s="1568" t="str">
        <f t="shared" si="20"/>
        <v>No</v>
      </c>
      <c r="L1301" s="1565" t="s">
        <v>3052</v>
      </c>
    </row>
    <row r="1302" spans="1:12" ht="20.100000000000001" customHeight="1">
      <c r="A1302" s="1568" t="s">
        <v>3053</v>
      </c>
      <c r="B1302" s="1567">
        <v>43159</v>
      </c>
      <c r="C1302" s="1568" t="s">
        <v>3308</v>
      </c>
      <c r="D1302" s="1568" t="s">
        <v>2983</v>
      </c>
      <c r="E1302" s="1567">
        <v>44059</v>
      </c>
      <c r="F1302" s="1566">
        <v>1459</v>
      </c>
      <c r="G1302" s="1566">
        <v>0</v>
      </c>
      <c r="H1302" s="1567"/>
      <c r="I1302" s="1567">
        <v>46810</v>
      </c>
      <c r="J1302" s="1567">
        <v>46810</v>
      </c>
      <c r="K1302" s="1568" t="str">
        <f t="shared" si="20"/>
        <v>No</v>
      </c>
      <c r="L1302" s="1565" t="s">
        <v>3052</v>
      </c>
    </row>
    <row r="1303" spans="1:12" ht="20.100000000000001" customHeight="1">
      <c r="A1303" s="1568" t="s">
        <v>3053</v>
      </c>
      <c r="B1303" s="1567">
        <v>43159</v>
      </c>
      <c r="C1303" s="1568" t="s">
        <v>3308</v>
      </c>
      <c r="D1303" s="1568" t="s">
        <v>2983</v>
      </c>
      <c r="E1303" s="1567">
        <v>44090</v>
      </c>
      <c r="F1303" s="1566">
        <v>1458</v>
      </c>
      <c r="G1303" s="1566">
        <v>0</v>
      </c>
      <c r="H1303" s="1567"/>
      <c r="I1303" s="1567">
        <v>46810</v>
      </c>
      <c r="J1303" s="1567">
        <v>46810</v>
      </c>
      <c r="K1303" s="1568" t="str">
        <f t="shared" si="20"/>
        <v>No</v>
      </c>
      <c r="L1303" s="1565" t="s">
        <v>3052</v>
      </c>
    </row>
    <row r="1304" spans="1:12" ht="20.100000000000001" customHeight="1">
      <c r="A1304" s="1568" t="s">
        <v>3053</v>
      </c>
      <c r="B1304" s="1567">
        <v>43159</v>
      </c>
      <c r="C1304" s="1568" t="s">
        <v>3308</v>
      </c>
      <c r="D1304" s="1568" t="s">
        <v>2983</v>
      </c>
      <c r="E1304" s="1567">
        <v>44120</v>
      </c>
      <c r="F1304" s="1566">
        <v>1458</v>
      </c>
      <c r="G1304" s="1566">
        <v>0</v>
      </c>
      <c r="H1304" s="1567"/>
      <c r="I1304" s="1567">
        <v>46810</v>
      </c>
      <c r="J1304" s="1567">
        <v>46810</v>
      </c>
      <c r="K1304" s="1568" t="str">
        <f t="shared" si="20"/>
        <v>No</v>
      </c>
      <c r="L1304" s="1565" t="s">
        <v>3052</v>
      </c>
    </row>
    <row r="1305" spans="1:12" ht="20.100000000000001" customHeight="1">
      <c r="A1305" s="1568" t="s">
        <v>3053</v>
      </c>
      <c r="B1305" s="1567">
        <v>43159</v>
      </c>
      <c r="C1305" s="1568" t="s">
        <v>3308</v>
      </c>
      <c r="D1305" s="1568" t="s">
        <v>2983</v>
      </c>
      <c r="E1305" s="1567">
        <v>44151</v>
      </c>
      <c r="F1305" s="1566">
        <v>1459</v>
      </c>
      <c r="G1305" s="1566">
        <v>0</v>
      </c>
      <c r="H1305" s="1567"/>
      <c r="I1305" s="1567">
        <v>46810</v>
      </c>
      <c r="J1305" s="1567">
        <v>46810</v>
      </c>
      <c r="K1305" s="1568" t="str">
        <f t="shared" si="20"/>
        <v>No</v>
      </c>
      <c r="L1305" s="1565" t="s">
        <v>3052</v>
      </c>
    </row>
    <row r="1306" spans="1:12" ht="20.100000000000001" customHeight="1">
      <c r="A1306" s="1568" t="s">
        <v>3053</v>
      </c>
      <c r="B1306" s="1567">
        <v>43159</v>
      </c>
      <c r="C1306" s="1568" t="s">
        <v>3308</v>
      </c>
      <c r="D1306" s="1568" t="s">
        <v>2983</v>
      </c>
      <c r="E1306" s="1567">
        <v>44181</v>
      </c>
      <c r="F1306" s="1566">
        <v>1458</v>
      </c>
      <c r="G1306" s="1566">
        <v>0</v>
      </c>
      <c r="H1306" s="1567"/>
      <c r="I1306" s="1567">
        <v>46810</v>
      </c>
      <c r="J1306" s="1567">
        <v>46810</v>
      </c>
      <c r="K1306" s="1568" t="str">
        <f t="shared" si="20"/>
        <v>No</v>
      </c>
      <c r="L1306" s="1565" t="s">
        <v>3052</v>
      </c>
    </row>
    <row r="1307" spans="1:12" ht="20.100000000000001" customHeight="1">
      <c r="A1307" s="1568" t="s">
        <v>3053</v>
      </c>
      <c r="B1307" s="1567">
        <v>43159</v>
      </c>
      <c r="C1307" s="1568" t="s">
        <v>3308</v>
      </c>
      <c r="D1307" s="1568" t="s">
        <v>2983</v>
      </c>
      <c r="E1307" s="1567">
        <v>44212</v>
      </c>
      <c r="F1307" s="1566">
        <v>1458</v>
      </c>
      <c r="G1307" s="1566">
        <v>0</v>
      </c>
      <c r="H1307" s="1567"/>
      <c r="I1307" s="1567">
        <v>46810</v>
      </c>
      <c r="J1307" s="1567">
        <v>46810</v>
      </c>
      <c r="K1307" s="1568" t="str">
        <f t="shared" si="20"/>
        <v>No</v>
      </c>
      <c r="L1307" s="1565" t="s">
        <v>3052</v>
      </c>
    </row>
    <row r="1308" spans="1:12" ht="20.100000000000001" customHeight="1">
      <c r="A1308" s="1568" t="s">
        <v>3053</v>
      </c>
      <c r="B1308" s="1567">
        <v>43159</v>
      </c>
      <c r="C1308" s="1568" t="s">
        <v>3308</v>
      </c>
      <c r="D1308" s="1568" t="s">
        <v>2983</v>
      </c>
      <c r="E1308" s="1567">
        <v>44243</v>
      </c>
      <c r="F1308" s="1566">
        <v>1459</v>
      </c>
      <c r="G1308" s="1566">
        <v>0</v>
      </c>
      <c r="H1308" s="1567"/>
      <c r="I1308" s="1567">
        <v>46810</v>
      </c>
      <c r="J1308" s="1567">
        <v>46810</v>
      </c>
      <c r="K1308" s="1568" t="str">
        <f t="shared" si="20"/>
        <v>No</v>
      </c>
      <c r="L1308" s="1565" t="s">
        <v>3052</v>
      </c>
    </row>
    <row r="1309" spans="1:12" ht="20.100000000000001" customHeight="1">
      <c r="A1309" s="1568" t="s">
        <v>3053</v>
      </c>
      <c r="B1309" s="1567">
        <v>43159</v>
      </c>
      <c r="C1309" s="1568" t="s">
        <v>3308</v>
      </c>
      <c r="D1309" s="1568" t="s">
        <v>2983</v>
      </c>
      <c r="E1309" s="1567">
        <v>44271</v>
      </c>
      <c r="F1309" s="1566">
        <v>1458</v>
      </c>
      <c r="G1309" s="1566">
        <v>0</v>
      </c>
      <c r="H1309" s="1567"/>
      <c r="I1309" s="1567">
        <v>46810</v>
      </c>
      <c r="J1309" s="1567">
        <v>46810</v>
      </c>
      <c r="K1309" s="1568" t="str">
        <f t="shared" si="20"/>
        <v>No</v>
      </c>
      <c r="L1309" s="1565" t="s">
        <v>3052</v>
      </c>
    </row>
    <row r="1310" spans="1:12" ht="20.100000000000001" customHeight="1">
      <c r="A1310" s="1568" t="s">
        <v>3053</v>
      </c>
      <c r="B1310" s="1567">
        <v>43159</v>
      </c>
      <c r="C1310" s="1568" t="s">
        <v>3308</v>
      </c>
      <c r="D1310" s="1568" t="s">
        <v>2983</v>
      </c>
      <c r="E1310" s="1567">
        <v>44302</v>
      </c>
      <c r="F1310" s="1566">
        <v>1458</v>
      </c>
      <c r="G1310" s="1566">
        <v>0</v>
      </c>
      <c r="H1310" s="1567"/>
      <c r="I1310" s="1567">
        <v>46810</v>
      </c>
      <c r="J1310" s="1567">
        <v>46810</v>
      </c>
      <c r="K1310" s="1568" t="str">
        <f t="shared" si="20"/>
        <v>No</v>
      </c>
      <c r="L1310" s="1565" t="s">
        <v>3052</v>
      </c>
    </row>
    <row r="1311" spans="1:12" ht="20.100000000000001" customHeight="1">
      <c r="A1311" s="1568" t="s">
        <v>3053</v>
      </c>
      <c r="B1311" s="1567">
        <v>43159</v>
      </c>
      <c r="C1311" s="1568" t="s">
        <v>3308</v>
      </c>
      <c r="D1311" s="1568" t="s">
        <v>2983</v>
      </c>
      <c r="E1311" s="1567">
        <v>44332</v>
      </c>
      <c r="F1311" s="1566">
        <v>1459</v>
      </c>
      <c r="G1311" s="1566">
        <v>0</v>
      </c>
      <c r="H1311" s="1567"/>
      <c r="I1311" s="1567">
        <v>46810</v>
      </c>
      <c r="J1311" s="1567">
        <v>46810</v>
      </c>
      <c r="K1311" s="1568" t="str">
        <f t="shared" si="20"/>
        <v>No</v>
      </c>
      <c r="L1311" s="1565" t="s">
        <v>3052</v>
      </c>
    </row>
    <row r="1312" spans="1:12" ht="20.100000000000001" customHeight="1">
      <c r="A1312" s="1568" t="s">
        <v>3053</v>
      </c>
      <c r="B1312" s="1567">
        <v>43159</v>
      </c>
      <c r="C1312" s="1568" t="s">
        <v>3308</v>
      </c>
      <c r="D1312" s="1568" t="s">
        <v>2983</v>
      </c>
      <c r="E1312" s="1567">
        <v>44363</v>
      </c>
      <c r="F1312" s="1566">
        <v>1458</v>
      </c>
      <c r="G1312" s="1566">
        <v>0</v>
      </c>
      <c r="H1312" s="1567"/>
      <c r="I1312" s="1567">
        <v>46810</v>
      </c>
      <c r="J1312" s="1567">
        <v>46810</v>
      </c>
      <c r="K1312" s="1568" t="str">
        <f t="shared" si="20"/>
        <v>No</v>
      </c>
      <c r="L1312" s="1565" t="s">
        <v>3052</v>
      </c>
    </row>
    <row r="1313" spans="1:12" ht="20.100000000000001" customHeight="1">
      <c r="A1313" s="1568" t="s">
        <v>3053</v>
      </c>
      <c r="B1313" s="1567">
        <v>43159</v>
      </c>
      <c r="C1313" s="1568" t="s">
        <v>3308</v>
      </c>
      <c r="D1313" s="1568" t="s">
        <v>2983</v>
      </c>
      <c r="E1313" s="1567">
        <v>44393</v>
      </c>
      <c r="F1313" s="1566">
        <v>1458</v>
      </c>
      <c r="G1313" s="1566">
        <v>0</v>
      </c>
      <c r="H1313" s="1567"/>
      <c r="I1313" s="1567">
        <v>46810</v>
      </c>
      <c r="J1313" s="1567">
        <v>46810</v>
      </c>
      <c r="K1313" s="1568" t="str">
        <f t="shared" si="20"/>
        <v>No</v>
      </c>
      <c r="L1313" s="1565" t="s">
        <v>3052</v>
      </c>
    </row>
    <row r="1314" spans="1:12" ht="20.100000000000001" customHeight="1">
      <c r="A1314" s="1568" t="s">
        <v>3053</v>
      </c>
      <c r="B1314" s="1567">
        <v>43159</v>
      </c>
      <c r="C1314" s="1568" t="s">
        <v>3308</v>
      </c>
      <c r="D1314" s="1568" t="s">
        <v>2983</v>
      </c>
      <c r="E1314" s="1567">
        <v>44424</v>
      </c>
      <c r="F1314" s="1566">
        <v>1459</v>
      </c>
      <c r="G1314" s="1566">
        <v>0</v>
      </c>
      <c r="H1314" s="1567"/>
      <c r="I1314" s="1567">
        <v>46810</v>
      </c>
      <c r="J1314" s="1567">
        <v>46810</v>
      </c>
      <c r="K1314" s="1568" t="str">
        <f t="shared" si="20"/>
        <v>No</v>
      </c>
      <c r="L1314" s="1565" t="s">
        <v>3052</v>
      </c>
    </row>
    <row r="1315" spans="1:12" ht="20.100000000000001" customHeight="1">
      <c r="A1315" s="1568" t="s">
        <v>3053</v>
      </c>
      <c r="B1315" s="1567">
        <v>43159</v>
      </c>
      <c r="C1315" s="1568" t="s">
        <v>3308</v>
      </c>
      <c r="D1315" s="1568" t="s">
        <v>2983</v>
      </c>
      <c r="E1315" s="1567">
        <v>44455</v>
      </c>
      <c r="F1315" s="1566">
        <v>1458</v>
      </c>
      <c r="G1315" s="1566">
        <v>0</v>
      </c>
      <c r="H1315" s="1567"/>
      <c r="I1315" s="1567">
        <v>46810</v>
      </c>
      <c r="J1315" s="1567">
        <v>46810</v>
      </c>
      <c r="K1315" s="1568" t="str">
        <f t="shared" si="20"/>
        <v>No</v>
      </c>
      <c r="L1315" s="1565" t="s">
        <v>3052</v>
      </c>
    </row>
    <row r="1316" spans="1:12" ht="20.100000000000001" customHeight="1">
      <c r="A1316" s="1568" t="s">
        <v>3053</v>
      </c>
      <c r="B1316" s="1567">
        <v>43159</v>
      </c>
      <c r="C1316" s="1568" t="s">
        <v>3308</v>
      </c>
      <c r="D1316" s="1568" t="s">
        <v>2983</v>
      </c>
      <c r="E1316" s="1567">
        <v>44485</v>
      </c>
      <c r="F1316" s="1566">
        <v>1458</v>
      </c>
      <c r="G1316" s="1566">
        <v>0</v>
      </c>
      <c r="H1316" s="1567"/>
      <c r="I1316" s="1567">
        <v>46810</v>
      </c>
      <c r="J1316" s="1567">
        <v>46810</v>
      </c>
      <c r="K1316" s="1568" t="str">
        <f t="shared" si="20"/>
        <v>No</v>
      </c>
      <c r="L1316" s="1565" t="s">
        <v>3052</v>
      </c>
    </row>
    <row r="1317" spans="1:12" ht="20.100000000000001" customHeight="1">
      <c r="A1317" s="1568" t="s">
        <v>3053</v>
      </c>
      <c r="B1317" s="1567">
        <v>43159</v>
      </c>
      <c r="C1317" s="1568" t="s">
        <v>3308</v>
      </c>
      <c r="D1317" s="1568" t="s">
        <v>2983</v>
      </c>
      <c r="E1317" s="1567">
        <v>44516</v>
      </c>
      <c r="F1317" s="1566">
        <v>1459</v>
      </c>
      <c r="G1317" s="1566">
        <v>0</v>
      </c>
      <c r="H1317" s="1567"/>
      <c r="I1317" s="1567">
        <v>46810</v>
      </c>
      <c r="J1317" s="1567">
        <v>46810</v>
      </c>
      <c r="K1317" s="1568" t="str">
        <f t="shared" si="20"/>
        <v>No</v>
      </c>
      <c r="L1317" s="1565" t="s">
        <v>3052</v>
      </c>
    </row>
    <row r="1318" spans="1:12" ht="20.100000000000001" customHeight="1">
      <c r="A1318" s="1568" t="s">
        <v>3053</v>
      </c>
      <c r="B1318" s="1567">
        <v>43159</v>
      </c>
      <c r="C1318" s="1568" t="s">
        <v>3308</v>
      </c>
      <c r="D1318" s="1568" t="s">
        <v>2983</v>
      </c>
      <c r="E1318" s="1567">
        <v>44546</v>
      </c>
      <c r="F1318" s="1566">
        <v>1458</v>
      </c>
      <c r="G1318" s="1566">
        <v>0</v>
      </c>
      <c r="H1318" s="1567"/>
      <c r="I1318" s="1567">
        <v>46810</v>
      </c>
      <c r="J1318" s="1567">
        <v>46810</v>
      </c>
      <c r="K1318" s="1568" t="str">
        <f t="shared" si="20"/>
        <v>No</v>
      </c>
      <c r="L1318" s="1565" t="s">
        <v>3052</v>
      </c>
    </row>
    <row r="1319" spans="1:12" ht="20.100000000000001" customHeight="1">
      <c r="A1319" s="1568" t="s">
        <v>3053</v>
      </c>
      <c r="B1319" s="1567">
        <v>43159</v>
      </c>
      <c r="C1319" s="1568" t="s">
        <v>3308</v>
      </c>
      <c r="D1319" s="1568" t="s">
        <v>2983</v>
      </c>
      <c r="E1319" s="1567">
        <v>44577</v>
      </c>
      <c r="F1319" s="1566">
        <v>1458</v>
      </c>
      <c r="G1319" s="1566">
        <v>0</v>
      </c>
      <c r="H1319" s="1567"/>
      <c r="I1319" s="1567">
        <v>46810</v>
      </c>
      <c r="J1319" s="1567">
        <v>46810</v>
      </c>
      <c r="K1319" s="1568" t="str">
        <f t="shared" si="20"/>
        <v>No</v>
      </c>
      <c r="L1319" s="1565" t="s">
        <v>3052</v>
      </c>
    </row>
    <row r="1320" spans="1:12" ht="20.100000000000001" customHeight="1">
      <c r="A1320" s="1568" t="s">
        <v>3053</v>
      </c>
      <c r="B1320" s="1567">
        <v>43159</v>
      </c>
      <c r="C1320" s="1568" t="s">
        <v>3308</v>
      </c>
      <c r="D1320" s="1568" t="s">
        <v>2983</v>
      </c>
      <c r="E1320" s="1567">
        <v>44608</v>
      </c>
      <c r="F1320" s="1566">
        <v>1459</v>
      </c>
      <c r="G1320" s="1566">
        <v>0</v>
      </c>
      <c r="H1320" s="1567"/>
      <c r="I1320" s="1567">
        <v>46810</v>
      </c>
      <c r="J1320" s="1567">
        <v>46810</v>
      </c>
      <c r="K1320" s="1568" t="str">
        <f t="shared" si="20"/>
        <v>No</v>
      </c>
      <c r="L1320" s="1565" t="s">
        <v>3052</v>
      </c>
    </row>
    <row r="1321" spans="1:12" ht="20.100000000000001" customHeight="1">
      <c r="A1321" s="1568" t="s">
        <v>3051</v>
      </c>
      <c r="B1321" s="1567">
        <v>43159</v>
      </c>
      <c r="C1321" s="1568" t="s">
        <v>3308</v>
      </c>
      <c r="D1321" s="1568" t="s">
        <v>2961</v>
      </c>
      <c r="E1321" s="1567">
        <v>43512</v>
      </c>
      <c r="F1321" s="1566">
        <v>20000</v>
      </c>
      <c r="G1321" s="1566">
        <v>0</v>
      </c>
      <c r="H1321" s="1567"/>
      <c r="I1321" s="1567">
        <v>46810</v>
      </c>
      <c r="J1321" s="1567">
        <v>46810</v>
      </c>
      <c r="K1321" s="1568" t="str">
        <f t="shared" si="20"/>
        <v>No</v>
      </c>
      <c r="L1321" s="1565"/>
    </row>
    <row r="1322" spans="1:12" ht="20.100000000000001" customHeight="1">
      <c r="A1322" s="1568" t="s">
        <v>3051</v>
      </c>
      <c r="B1322" s="1567">
        <v>43159</v>
      </c>
      <c r="C1322" s="1568" t="s">
        <v>3308</v>
      </c>
      <c r="D1322" s="1568" t="s">
        <v>2961</v>
      </c>
      <c r="E1322" s="1567">
        <v>43540</v>
      </c>
      <c r="F1322" s="1566">
        <v>1666</v>
      </c>
      <c r="G1322" s="1566">
        <v>0</v>
      </c>
      <c r="H1322" s="1567"/>
      <c r="I1322" s="1567">
        <v>46810</v>
      </c>
      <c r="J1322" s="1567">
        <v>46810</v>
      </c>
      <c r="K1322" s="1568" t="str">
        <f t="shared" si="20"/>
        <v>No</v>
      </c>
      <c r="L1322" s="1565"/>
    </row>
    <row r="1323" spans="1:12" ht="20.100000000000001" customHeight="1">
      <c r="A1323" s="1568" t="s">
        <v>3051</v>
      </c>
      <c r="B1323" s="1567">
        <v>43159</v>
      </c>
      <c r="C1323" s="1568" t="s">
        <v>3308</v>
      </c>
      <c r="D1323" s="1568" t="s">
        <v>2961</v>
      </c>
      <c r="E1323" s="1567">
        <v>43571</v>
      </c>
      <c r="F1323" s="1566">
        <v>1667</v>
      </c>
      <c r="G1323" s="1566">
        <v>0</v>
      </c>
      <c r="H1323" s="1567"/>
      <c r="I1323" s="1567">
        <v>46810</v>
      </c>
      <c r="J1323" s="1567">
        <v>46810</v>
      </c>
      <c r="K1323" s="1568" t="str">
        <f t="shared" si="20"/>
        <v>No</v>
      </c>
      <c r="L1323" s="1565"/>
    </row>
    <row r="1324" spans="1:12" ht="20.100000000000001" customHeight="1">
      <c r="A1324" s="1568" t="s">
        <v>3051</v>
      </c>
      <c r="B1324" s="1567">
        <v>43159</v>
      </c>
      <c r="C1324" s="1568" t="s">
        <v>3308</v>
      </c>
      <c r="D1324" s="1568" t="s">
        <v>2961</v>
      </c>
      <c r="E1324" s="1567">
        <v>43601</v>
      </c>
      <c r="F1324" s="1566">
        <v>1667</v>
      </c>
      <c r="G1324" s="1566">
        <v>0</v>
      </c>
      <c r="H1324" s="1567"/>
      <c r="I1324" s="1567">
        <v>46810</v>
      </c>
      <c r="J1324" s="1567">
        <v>46810</v>
      </c>
      <c r="K1324" s="1568" t="str">
        <f t="shared" si="20"/>
        <v>No</v>
      </c>
      <c r="L1324" s="1565"/>
    </row>
    <row r="1325" spans="1:12" ht="20.100000000000001" customHeight="1">
      <c r="A1325" s="1568" t="s">
        <v>3051</v>
      </c>
      <c r="B1325" s="1567">
        <v>43159</v>
      </c>
      <c r="C1325" s="1568" t="s">
        <v>3308</v>
      </c>
      <c r="D1325" s="1568" t="s">
        <v>2961</v>
      </c>
      <c r="E1325" s="1567">
        <v>43632</v>
      </c>
      <c r="F1325" s="1566">
        <v>1666</v>
      </c>
      <c r="G1325" s="1566">
        <v>0</v>
      </c>
      <c r="H1325" s="1567"/>
      <c r="I1325" s="1567">
        <v>46810</v>
      </c>
      <c r="J1325" s="1567">
        <v>46810</v>
      </c>
      <c r="K1325" s="1568" t="str">
        <f t="shared" si="20"/>
        <v>No</v>
      </c>
      <c r="L1325" s="1565"/>
    </row>
    <row r="1326" spans="1:12" ht="20.100000000000001" customHeight="1">
      <c r="A1326" s="1568" t="s">
        <v>3051</v>
      </c>
      <c r="B1326" s="1567">
        <v>43159</v>
      </c>
      <c r="C1326" s="1568" t="s">
        <v>3308</v>
      </c>
      <c r="D1326" s="1568" t="s">
        <v>2961</v>
      </c>
      <c r="E1326" s="1567">
        <v>43662</v>
      </c>
      <c r="F1326" s="1566">
        <v>1667</v>
      </c>
      <c r="G1326" s="1566">
        <v>0</v>
      </c>
      <c r="H1326" s="1567"/>
      <c r="I1326" s="1567">
        <v>46810</v>
      </c>
      <c r="J1326" s="1567">
        <v>46810</v>
      </c>
      <c r="K1326" s="1568" t="str">
        <f t="shared" si="20"/>
        <v>No</v>
      </c>
      <c r="L1326" s="1565"/>
    </row>
    <row r="1327" spans="1:12" ht="20.100000000000001" customHeight="1">
      <c r="A1327" s="1568" t="s">
        <v>3051</v>
      </c>
      <c r="B1327" s="1567">
        <v>43159</v>
      </c>
      <c r="C1327" s="1568" t="s">
        <v>3308</v>
      </c>
      <c r="D1327" s="1568" t="s">
        <v>2961</v>
      </c>
      <c r="E1327" s="1567">
        <v>43693</v>
      </c>
      <c r="F1327" s="1566">
        <v>1667</v>
      </c>
      <c r="G1327" s="1566">
        <v>0</v>
      </c>
      <c r="H1327" s="1567"/>
      <c r="I1327" s="1567">
        <v>46810</v>
      </c>
      <c r="J1327" s="1567">
        <v>46810</v>
      </c>
      <c r="K1327" s="1568" t="str">
        <f t="shared" si="20"/>
        <v>No</v>
      </c>
      <c r="L1327" s="1565"/>
    </row>
    <row r="1328" spans="1:12" ht="20.100000000000001" customHeight="1">
      <c r="A1328" s="1568" t="s">
        <v>3051</v>
      </c>
      <c r="B1328" s="1567">
        <v>43159</v>
      </c>
      <c r="C1328" s="1568" t="s">
        <v>3308</v>
      </c>
      <c r="D1328" s="1568" t="s">
        <v>2961</v>
      </c>
      <c r="E1328" s="1567">
        <v>43724</v>
      </c>
      <c r="F1328" s="1566">
        <v>1666</v>
      </c>
      <c r="G1328" s="1566">
        <v>0</v>
      </c>
      <c r="H1328" s="1567"/>
      <c r="I1328" s="1567">
        <v>46810</v>
      </c>
      <c r="J1328" s="1567">
        <v>46810</v>
      </c>
      <c r="K1328" s="1568" t="str">
        <f t="shared" si="20"/>
        <v>No</v>
      </c>
      <c r="L1328" s="1565"/>
    </row>
    <row r="1329" spans="1:12" ht="20.100000000000001" customHeight="1">
      <c r="A1329" s="1568" t="s">
        <v>3051</v>
      </c>
      <c r="B1329" s="1567">
        <v>43159</v>
      </c>
      <c r="C1329" s="1568" t="s">
        <v>3308</v>
      </c>
      <c r="D1329" s="1568" t="s">
        <v>2961</v>
      </c>
      <c r="E1329" s="1567">
        <v>43754</v>
      </c>
      <c r="F1329" s="1566">
        <v>1667</v>
      </c>
      <c r="G1329" s="1566">
        <v>0</v>
      </c>
      <c r="H1329" s="1567"/>
      <c r="I1329" s="1567">
        <v>46810</v>
      </c>
      <c r="J1329" s="1567">
        <v>46810</v>
      </c>
      <c r="K1329" s="1568" t="str">
        <f t="shared" si="20"/>
        <v>No</v>
      </c>
      <c r="L1329" s="1565"/>
    </row>
    <row r="1330" spans="1:12" ht="20.100000000000001" customHeight="1">
      <c r="A1330" s="1568" t="s">
        <v>3051</v>
      </c>
      <c r="B1330" s="1567">
        <v>43159</v>
      </c>
      <c r="C1330" s="1568" t="s">
        <v>3308</v>
      </c>
      <c r="D1330" s="1568" t="s">
        <v>2961</v>
      </c>
      <c r="E1330" s="1567">
        <v>43785</v>
      </c>
      <c r="F1330" s="1566">
        <v>1667</v>
      </c>
      <c r="G1330" s="1566">
        <v>0</v>
      </c>
      <c r="H1330" s="1567"/>
      <c r="I1330" s="1567">
        <v>46810</v>
      </c>
      <c r="J1330" s="1567">
        <v>46810</v>
      </c>
      <c r="K1330" s="1568" t="str">
        <f t="shared" si="20"/>
        <v>No</v>
      </c>
      <c r="L1330" s="1565"/>
    </row>
    <row r="1331" spans="1:12" ht="20.100000000000001" customHeight="1">
      <c r="A1331" s="1568" t="s">
        <v>3051</v>
      </c>
      <c r="B1331" s="1567">
        <v>43159</v>
      </c>
      <c r="C1331" s="1568" t="s">
        <v>3308</v>
      </c>
      <c r="D1331" s="1568" t="s">
        <v>2961</v>
      </c>
      <c r="E1331" s="1567">
        <v>43815</v>
      </c>
      <c r="F1331" s="1566">
        <v>1666</v>
      </c>
      <c r="G1331" s="1566">
        <v>0</v>
      </c>
      <c r="H1331" s="1567"/>
      <c r="I1331" s="1567">
        <v>46810</v>
      </c>
      <c r="J1331" s="1567">
        <v>46810</v>
      </c>
      <c r="K1331" s="1568" t="str">
        <f t="shared" si="20"/>
        <v>No</v>
      </c>
      <c r="L1331" s="1565"/>
    </row>
    <row r="1332" spans="1:12" ht="20.100000000000001" customHeight="1">
      <c r="A1332" s="1568" t="s">
        <v>3051</v>
      </c>
      <c r="B1332" s="1567">
        <v>43159</v>
      </c>
      <c r="C1332" s="1568" t="s">
        <v>3308</v>
      </c>
      <c r="D1332" s="1568" t="s">
        <v>2961</v>
      </c>
      <c r="E1332" s="1567">
        <v>43846</v>
      </c>
      <c r="F1332" s="1566">
        <v>1667</v>
      </c>
      <c r="G1332" s="1566">
        <v>0</v>
      </c>
      <c r="H1332" s="1567"/>
      <c r="I1332" s="1567">
        <v>46810</v>
      </c>
      <c r="J1332" s="1567">
        <v>46810</v>
      </c>
      <c r="K1332" s="1568" t="str">
        <f t="shared" si="20"/>
        <v>No</v>
      </c>
      <c r="L1332" s="1565"/>
    </row>
    <row r="1333" spans="1:12" ht="20.100000000000001" customHeight="1">
      <c r="A1333" s="1568" t="s">
        <v>3051</v>
      </c>
      <c r="B1333" s="1567">
        <v>43159</v>
      </c>
      <c r="C1333" s="1568" t="s">
        <v>3308</v>
      </c>
      <c r="D1333" s="1568" t="s">
        <v>2961</v>
      </c>
      <c r="E1333" s="1567">
        <v>43877</v>
      </c>
      <c r="F1333" s="1566">
        <v>1667</v>
      </c>
      <c r="G1333" s="1566">
        <v>0</v>
      </c>
      <c r="H1333" s="1567"/>
      <c r="I1333" s="1567">
        <v>46810</v>
      </c>
      <c r="J1333" s="1567">
        <v>46810</v>
      </c>
      <c r="K1333" s="1568" t="str">
        <f t="shared" si="20"/>
        <v>No</v>
      </c>
      <c r="L1333" s="1565"/>
    </row>
    <row r="1334" spans="1:12" ht="20.100000000000001" customHeight="1">
      <c r="A1334" s="1568" t="s">
        <v>3051</v>
      </c>
      <c r="B1334" s="1567">
        <v>43159</v>
      </c>
      <c r="C1334" s="1568" t="s">
        <v>3308</v>
      </c>
      <c r="D1334" s="1568" t="s">
        <v>2961</v>
      </c>
      <c r="E1334" s="1567">
        <v>43906</v>
      </c>
      <c r="F1334" s="1566">
        <v>1666</v>
      </c>
      <c r="G1334" s="1566">
        <v>0</v>
      </c>
      <c r="H1334" s="1567"/>
      <c r="I1334" s="1567">
        <v>46810</v>
      </c>
      <c r="J1334" s="1567">
        <v>46810</v>
      </c>
      <c r="K1334" s="1568" t="str">
        <f t="shared" si="20"/>
        <v>No</v>
      </c>
      <c r="L1334" s="1565"/>
    </row>
    <row r="1335" spans="1:12" ht="20.100000000000001" customHeight="1">
      <c r="A1335" s="1568" t="s">
        <v>3051</v>
      </c>
      <c r="B1335" s="1567">
        <v>43159</v>
      </c>
      <c r="C1335" s="1568" t="s">
        <v>3308</v>
      </c>
      <c r="D1335" s="1568" t="s">
        <v>2961</v>
      </c>
      <c r="E1335" s="1567">
        <v>43937</v>
      </c>
      <c r="F1335" s="1566">
        <v>1667</v>
      </c>
      <c r="G1335" s="1566">
        <v>0</v>
      </c>
      <c r="H1335" s="1567"/>
      <c r="I1335" s="1567">
        <v>46810</v>
      </c>
      <c r="J1335" s="1567">
        <v>46810</v>
      </c>
      <c r="K1335" s="1568" t="str">
        <f t="shared" si="20"/>
        <v>No</v>
      </c>
      <c r="L1335" s="1565"/>
    </row>
    <row r="1336" spans="1:12" ht="20.100000000000001" customHeight="1">
      <c r="A1336" s="1568" t="s">
        <v>3051</v>
      </c>
      <c r="B1336" s="1567">
        <v>43159</v>
      </c>
      <c r="C1336" s="1568" t="s">
        <v>3308</v>
      </c>
      <c r="D1336" s="1568" t="s">
        <v>2961</v>
      </c>
      <c r="E1336" s="1567">
        <v>43967</v>
      </c>
      <c r="F1336" s="1566">
        <v>1667</v>
      </c>
      <c r="G1336" s="1566">
        <v>0</v>
      </c>
      <c r="H1336" s="1567"/>
      <c r="I1336" s="1567">
        <v>46810</v>
      </c>
      <c r="J1336" s="1567">
        <v>46810</v>
      </c>
      <c r="K1336" s="1568" t="str">
        <f t="shared" si="20"/>
        <v>No</v>
      </c>
      <c r="L1336" s="1565"/>
    </row>
    <row r="1337" spans="1:12" ht="20.100000000000001" customHeight="1">
      <c r="A1337" s="1568" t="s">
        <v>3051</v>
      </c>
      <c r="B1337" s="1567">
        <v>43159</v>
      </c>
      <c r="C1337" s="1568" t="s">
        <v>3308</v>
      </c>
      <c r="D1337" s="1568" t="s">
        <v>2961</v>
      </c>
      <c r="E1337" s="1567">
        <v>43998</v>
      </c>
      <c r="F1337" s="1566">
        <v>1666</v>
      </c>
      <c r="G1337" s="1566">
        <v>0</v>
      </c>
      <c r="H1337" s="1567"/>
      <c r="I1337" s="1567">
        <v>46810</v>
      </c>
      <c r="J1337" s="1567">
        <v>46810</v>
      </c>
      <c r="K1337" s="1568" t="str">
        <f t="shared" si="20"/>
        <v>No</v>
      </c>
      <c r="L1337" s="1565"/>
    </row>
    <row r="1338" spans="1:12" ht="20.100000000000001" customHeight="1">
      <c r="A1338" s="1568" t="s">
        <v>3051</v>
      </c>
      <c r="B1338" s="1567">
        <v>43159</v>
      </c>
      <c r="C1338" s="1568" t="s">
        <v>3308</v>
      </c>
      <c r="D1338" s="1568" t="s">
        <v>2961</v>
      </c>
      <c r="E1338" s="1567">
        <v>44028</v>
      </c>
      <c r="F1338" s="1566">
        <v>1667</v>
      </c>
      <c r="G1338" s="1566">
        <v>0</v>
      </c>
      <c r="H1338" s="1567"/>
      <c r="I1338" s="1567">
        <v>46810</v>
      </c>
      <c r="J1338" s="1567">
        <v>46810</v>
      </c>
      <c r="K1338" s="1568" t="str">
        <f t="shared" si="20"/>
        <v>No</v>
      </c>
      <c r="L1338" s="1565"/>
    </row>
    <row r="1339" spans="1:12" ht="20.100000000000001" customHeight="1">
      <c r="A1339" s="1568" t="s">
        <v>3051</v>
      </c>
      <c r="B1339" s="1567">
        <v>43159</v>
      </c>
      <c r="C1339" s="1568" t="s">
        <v>3308</v>
      </c>
      <c r="D1339" s="1568" t="s">
        <v>2961</v>
      </c>
      <c r="E1339" s="1567">
        <v>44059</v>
      </c>
      <c r="F1339" s="1566">
        <v>1667</v>
      </c>
      <c r="G1339" s="1566">
        <v>0</v>
      </c>
      <c r="H1339" s="1567"/>
      <c r="I1339" s="1567">
        <v>46810</v>
      </c>
      <c r="J1339" s="1567">
        <v>46810</v>
      </c>
      <c r="K1339" s="1568" t="str">
        <f t="shared" si="20"/>
        <v>No</v>
      </c>
      <c r="L1339" s="1565"/>
    </row>
    <row r="1340" spans="1:12" ht="20.100000000000001" customHeight="1">
      <c r="A1340" s="1568" t="s">
        <v>3051</v>
      </c>
      <c r="B1340" s="1567">
        <v>43159</v>
      </c>
      <c r="C1340" s="1568" t="s">
        <v>3308</v>
      </c>
      <c r="D1340" s="1568" t="s">
        <v>2961</v>
      </c>
      <c r="E1340" s="1567">
        <v>44090</v>
      </c>
      <c r="F1340" s="1566">
        <v>1666</v>
      </c>
      <c r="G1340" s="1566">
        <v>0</v>
      </c>
      <c r="H1340" s="1567"/>
      <c r="I1340" s="1567">
        <v>46810</v>
      </c>
      <c r="J1340" s="1567">
        <v>46810</v>
      </c>
      <c r="K1340" s="1568" t="str">
        <f t="shared" si="20"/>
        <v>No</v>
      </c>
      <c r="L1340" s="1565"/>
    </row>
    <row r="1341" spans="1:12" ht="20.100000000000001" customHeight="1">
      <c r="A1341" s="1568" t="s">
        <v>3051</v>
      </c>
      <c r="B1341" s="1567">
        <v>43159</v>
      </c>
      <c r="C1341" s="1568" t="s">
        <v>3308</v>
      </c>
      <c r="D1341" s="1568" t="s">
        <v>2961</v>
      </c>
      <c r="E1341" s="1567">
        <v>44120</v>
      </c>
      <c r="F1341" s="1566">
        <v>1667</v>
      </c>
      <c r="G1341" s="1566">
        <v>0</v>
      </c>
      <c r="H1341" s="1567"/>
      <c r="I1341" s="1567">
        <v>46810</v>
      </c>
      <c r="J1341" s="1567">
        <v>46810</v>
      </c>
      <c r="K1341" s="1568" t="str">
        <f t="shared" si="20"/>
        <v>No</v>
      </c>
      <c r="L1341" s="1565"/>
    </row>
    <row r="1342" spans="1:12" ht="20.100000000000001" customHeight="1">
      <c r="A1342" s="1568" t="s">
        <v>3051</v>
      </c>
      <c r="B1342" s="1567">
        <v>43159</v>
      </c>
      <c r="C1342" s="1568" t="s">
        <v>3308</v>
      </c>
      <c r="D1342" s="1568" t="s">
        <v>2961</v>
      </c>
      <c r="E1342" s="1567">
        <v>44151</v>
      </c>
      <c r="F1342" s="1566">
        <v>1667</v>
      </c>
      <c r="G1342" s="1566">
        <v>0</v>
      </c>
      <c r="H1342" s="1567"/>
      <c r="I1342" s="1567">
        <v>46810</v>
      </c>
      <c r="J1342" s="1567">
        <v>46810</v>
      </c>
      <c r="K1342" s="1568" t="str">
        <f t="shared" si="20"/>
        <v>No</v>
      </c>
      <c r="L1342" s="1565"/>
    </row>
    <row r="1343" spans="1:12" ht="20.100000000000001" customHeight="1">
      <c r="A1343" s="1568" t="s">
        <v>3051</v>
      </c>
      <c r="B1343" s="1567">
        <v>43159</v>
      </c>
      <c r="C1343" s="1568" t="s">
        <v>3308</v>
      </c>
      <c r="D1343" s="1568" t="s">
        <v>2961</v>
      </c>
      <c r="E1343" s="1567">
        <v>44181</v>
      </c>
      <c r="F1343" s="1566">
        <v>1666</v>
      </c>
      <c r="G1343" s="1566">
        <v>0</v>
      </c>
      <c r="H1343" s="1567"/>
      <c r="I1343" s="1567">
        <v>46810</v>
      </c>
      <c r="J1343" s="1567">
        <v>46810</v>
      </c>
      <c r="K1343" s="1568" t="str">
        <f t="shared" si="20"/>
        <v>No</v>
      </c>
      <c r="L1343" s="1565"/>
    </row>
    <row r="1344" spans="1:12" ht="20.100000000000001" customHeight="1">
      <c r="A1344" s="1568" t="s">
        <v>3051</v>
      </c>
      <c r="B1344" s="1567">
        <v>43159</v>
      </c>
      <c r="C1344" s="1568" t="s">
        <v>3308</v>
      </c>
      <c r="D1344" s="1568" t="s">
        <v>2961</v>
      </c>
      <c r="E1344" s="1567">
        <v>44212</v>
      </c>
      <c r="F1344" s="1566">
        <v>1667</v>
      </c>
      <c r="G1344" s="1566">
        <v>0</v>
      </c>
      <c r="H1344" s="1567"/>
      <c r="I1344" s="1567">
        <v>46810</v>
      </c>
      <c r="J1344" s="1567">
        <v>46810</v>
      </c>
      <c r="K1344" s="1568" t="str">
        <f t="shared" si="20"/>
        <v>No</v>
      </c>
      <c r="L1344" s="1565"/>
    </row>
    <row r="1345" spans="1:12" ht="20.100000000000001" customHeight="1">
      <c r="A1345" s="1568" t="s">
        <v>3051</v>
      </c>
      <c r="B1345" s="1567">
        <v>43159</v>
      </c>
      <c r="C1345" s="1568" t="s">
        <v>3308</v>
      </c>
      <c r="D1345" s="1568" t="s">
        <v>2961</v>
      </c>
      <c r="E1345" s="1567">
        <v>44243</v>
      </c>
      <c r="F1345" s="1566">
        <v>1667</v>
      </c>
      <c r="G1345" s="1566">
        <v>0</v>
      </c>
      <c r="H1345" s="1567"/>
      <c r="I1345" s="1567">
        <v>46810</v>
      </c>
      <c r="J1345" s="1567">
        <v>46810</v>
      </c>
      <c r="K1345" s="1568" t="str">
        <f t="shared" si="20"/>
        <v>No</v>
      </c>
      <c r="L1345" s="1565"/>
    </row>
    <row r="1346" spans="1:12" ht="20.100000000000001" customHeight="1">
      <c r="A1346" s="1568" t="s">
        <v>3051</v>
      </c>
      <c r="B1346" s="1567">
        <v>43159</v>
      </c>
      <c r="C1346" s="1568" t="s">
        <v>3308</v>
      </c>
      <c r="D1346" s="1568" t="s">
        <v>2961</v>
      </c>
      <c r="E1346" s="1567">
        <v>44271</v>
      </c>
      <c r="F1346" s="1566">
        <v>1666</v>
      </c>
      <c r="G1346" s="1566">
        <v>0</v>
      </c>
      <c r="H1346" s="1567"/>
      <c r="I1346" s="1567">
        <v>46810</v>
      </c>
      <c r="J1346" s="1567">
        <v>46810</v>
      </c>
      <c r="K1346" s="1568" t="str">
        <f t="shared" si="20"/>
        <v>No</v>
      </c>
      <c r="L1346" s="1565"/>
    </row>
    <row r="1347" spans="1:12" ht="20.100000000000001" customHeight="1">
      <c r="A1347" s="1568" t="s">
        <v>3051</v>
      </c>
      <c r="B1347" s="1567">
        <v>43159</v>
      </c>
      <c r="C1347" s="1568" t="s">
        <v>3308</v>
      </c>
      <c r="D1347" s="1568" t="s">
        <v>2961</v>
      </c>
      <c r="E1347" s="1567">
        <v>44302</v>
      </c>
      <c r="F1347" s="1566">
        <v>1667</v>
      </c>
      <c r="G1347" s="1566">
        <v>0</v>
      </c>
      <c r="H1347" s="1567"/>
      <c r="I1347" s="1567">
        <v>46810</v>
      </c>
      <c r="J1347" s="1567">
        <v>46810</v>
      </c>
      <c r="K1347" s="1568" t="str">
        <f t="shared" si="20"/>
        <v>No</v>
      </c>
      <c r="L1347" s="1565"/>
    </row>
    <row r="1348" spans="1:12" ht="20.100000000000001" customHeight="1">
      <c r="A1348" s="1568" t="s">
        <v>3051</v>
      </c>
      <c r="B1348" s="1567">
        <v>43159</v>
      </c>
      <c r="C1348" s="1568" t="s">
        <v>3308</v>
      </c>
      <c r="D1348" s="1568" t="s">
        <v>2961</v>
      </c>
      <c r="E1348" s="1567">
        <v>44332</v>
      </c>
      <c r="F1348" s="1566">
        <v>1667</v>
      </c>
      <c r="G1348" s="1566">
        <v>0</v>
      </c>
      <c r="H1348" s="1567"/>
      <c r="I1348" s="1567">
        <v>46810</v>
      </c>
      <c r="J1348" s="1567">
        <v>46810</v>
      </c>
      <c r="K1348" s="1568" t="str">
        <f t="shared" si="20"/>
        <v>No</v>
      </c>
      <c r="L1348" s="1565"/>
    </row>
    <row r="1349" spans="1:12" ht="20.100000000000001" customHeight="1">
      <c r="A1349" s="1568" t="s">
        <v>3051</v>
      </c>
      <c r="B1349" s="1567">
        <v>43159</v>
      </c>
      <c r="C1349" s="1568" t="s">
        <v>3308</v>
      </c>
      <c r="D1349" s="1568" t="s">
        <v>2961</v>
      </c>
      <c r="E1349" s="1567">
        <v>44363</v>
      </c>
      <c r="F1349" s="1566">
        <v>1666</v>
      </c>
      <c r="G1349" s="1566">
        <v>0</v>
      </c>
      <c r="H1349" s="1567"/>
      <c r="I1349" s="1567">
        <v>46810</v>
      </c>
      <c r="J1349" s="1567">
        <v>46810</v>
      </c>
      <c r="K1349" s="1568" t="str">
        <f t="shared" ref="K1349:K1412" si="21">IF(I1349="N/A","No",IF(E1349&lt;=I1349,"No","Yes"))</f>
        <v>No</v>
      </c>
      <c r="L1349" s="1565"/>
    </row>
    <row r="1350" spans="1:12" ht="20.100000000000001" customHeight="1">
      <c r="A1350" s="1568" t="s">
        <v>3051</v>
      </c>
      <c r="B1350" s="1567">
        <v>43159</v>
      </c>
      <c r="C1350" s="1568" t="s">
        <v>3308</v>
      </c>
      <c r="D1350" s="1568" t="s">
        <v>2961</v>
      </c>
      <c r="E1350" s="1567">
        <v>44393</v>
      </c>
      <c r="F1350" s="1566">
        <v>1667</v>
      </c>
      <c r="G1350" s="1566">
        <v>0</v>
      </c>
      <c r="H1350" s="1567"/>
      <c r="I1350" s="1567">
        <v>46810</v>
      </c>
      <c r="J1350" s="1567">
        <v>46810</v>
      </c>
      <c r="K1350" s="1568" t="str">
        <f t="shared" si="21"/>
        <v>No</v>
      </c>
      <c r="L1350" s="1565"/>
    </row>
    <row r="1351" spans="1:12" ht="20.100000000000001" customHeight="1">
      <c r="A1351" s="1568" t="s">
        <v>3051</v>
      </c>
      <c r="B1351" s="1567">
        <v>43159</v>
      </c>
      <c r="C1351" s="1568" t="s">
        <v>3308</v>
      </c>
      <c r="D1351" s="1568" t="s">
        <v>2961</v>
      </c>
      <c r="E1351" s="1567">
        <v>44424</v>
      </c>
      <c r="F1351" s="1566">
        <v>1667</v>
      </c>
      <c r="G1351" s="1566">
        <v>0</v>
      </c>
      <c r="H1351" s="1567"/>
      <c r="I1351" s="1567">
        <v>46810</v>
      </c>
      <c r="J1351" s="1567">
        <v>46810</v>
      </c>
      <c r="K1351" s="1568" t="str">
        <f t="shared" si="21"/>
        <v>No</v>
      </c>
      <c r="L1351" s="1565"/>
    </row>
    <row r="1352" spans="1:12" ht="20.100000000000001" customHeight="1">
      <c r="A1352" s="1568" t="s">
        <v>3051</v>
      </c>
      <c r="B1352" s="1567">
        <v>43159</v>
      </c>
      <c r="C1352" s="1568" t="s">
        <v>3308</v>
      </c>
      <c r="D1352" s="1568" t="s">
        <v>2961</v>
      </c>
      <c r="E1352" s="1567">
        <v>44455</v>
      </c>
      <c r="F1352" s="1566">
        <v>1666</v>
      </c>
      <c r="G1352" s="1566">
        <v>0</v>
      </c>
      <c r="H1352" s="1567"/>
      <c r="I1352" s="1567">
        <v>46810</v>
      </c>
      <c r="J1352" s="1567">
        <v>46810</v>
      </c>
      <c r="K1352" s="1568" t="str">
        <f t="shared" si="21"/>
        <v>No</v>
      </c>
      <c r="L1352" s="1565"/>
    </row>
    <row r="1353" spans="1:12" ht="20.100000000000001" customHeight="1">
      <c r="A1353" s="1568" t="s">
        <v>3051</v>
      </c>
      <c r="B1353" s="1567">
        <v>43159</v>
      </c>
      <c r="C1353" s="1568" t="s">
        <v>3308</v>
      </c>
      <c r="D1353" s="1568" t="s">
        <v>2961</v>
      </c>
      <c r="E1353" s="1567">
        <v>44485</v>
      </c>
      <c r="F1353" s="1566">
        <v>1667</v>
      </c>
      <c r="G1353" s="1566">
        <v>0</v>
      </c>
      <c r="H1353" s="1567"/>
      <c r="I1353" s="1567">
        <v>46810</v>
      </c>
      <c r="J1353" s="1567">
        <v>46810</v>
      </c>
      <c r="K1353" s="1568" t="str">
        <f t="shared" si="21"/>
        <v>No</v>
      </c>
      <c r="L1353" s="1565"/>
    </row>
    <row r="1354" spans="1:12" ht="20.100000000000001" customHeight="1">
      <c r="A1354" s="1568" t="s">
        <v>3051</v>
      </c>
      <c r="B1354" s="1567">
        <v>43159</v>
      </c>
      <c r="C1354" s="1568" t="s">
        <v>3308</v>
      </c>
      <c r="D1354" s="1568" t="s">
        <v>2961</v>
      </c>
      <c r="E1354" s="1567">
        <v>44516</v>
      </c>
      <c r="F1354" s="1566">
        <v>1667</v>
      </c>
      <c r="G1354" s="1566">
        <v>0</v>
      </c>
      <c r="H1354" s="1567"/>
      <c r="I1354" s="1567">
        <v>46810</v>
      </c>
      <c r="J1354" s="1567">
        <v>46810</v>
      </c>
      <c r="K1354" s="1568" t="str">
        <f t="shared" si="21"/>
        <v>No</v>
      </c>
      <c r="L1354" s="1565"/>
    </row>
    <row r="1355" spans="1:12" ht="20.100000000000001" customHeight="1">
      <c r="A1355" s="1568" t="s">
        <v>3051</v>
      </c>
      <c r="B1355" s="1567">
        <v>43159</v>
      </c>
      <c r="C1355" s="1568" t="s">
        <v>3308</v>
      </c>
      <c r="D1355" s="1568" t="s">
        <v>2961</v>
      </c>
      <c r="E1355" s="1567">
        <v>44546</v>
      </c>
      <c r="F1355" s="1566">
        <v>1666</v>
      </c>
      <c r="G1355" s="1566">
        <v>0</v>
      </c>
      <c r="H1355" s="1567"/>
      <c r="I1355" s="1567">
        <v>46810</v>
      </c>
      <c r="J1355" s="1567">
        <v>46810</v>
      </c>
      <c r="K1355" s="1568" t="str">
        <f t="shared" si="21"/>
        <v>No</v>
      </c>
      <c r="L1355" s="1565"/>
    </row>
    <row r="1356" spans="1:12" ht="20.100000000000001" customHeight="1">
      <c r="A1356" s="1568" t="s">
        <v>3051</v>
      </c>
      <c r="B1356" s="1567">
        <v>43159</v>
      </c>
      <c r="C1356" s="1568" t="s">
        <v>3308</v>
      </c>
      <c r="D1356" s="1568" t="s">
        <v>2961</v>
      </c>
      <c r="E1356" s="1567">
        <v>44577</v>
      </c>
      <c r="F1356" s="1566">
        <v>1667</v>
      </c>
      <c r="G1356" s="1566">
        <v>0</v>
      </c>
      <c r="H1356" s="1567"/>
      <c r="I1356" s="1567">
        <v>46810</v>
      </c>
      <c r="J1356" s="1567">
        <v>46810</v>
      </c>
      <c r="K1356" s="1568" t="str">
        <f t="shared" si="21"/>
        <v>No</v>
      </c>
      <c r="L1356" s="1565"/>
    </row>
    <row r="1357" spans="1:12" ht="20.100000000000001" customHeight="1">
      <c r="A1357" s="1568" t="s">
        <v>3051</v>
      </c>
      <c r="B1357" s="1567">
        <v>43159</v>
      </c>
      <c r="C1357" s="1568" t="s">
        <v>3308</v>
      </c>
      <c r="D1357" s="1568" t="s">
        <v>2961</v>
      </c>
      <c r="E1357" s="1567">
        <v>44608</v>
      </c>
      <c r="F1357" s="1566">
        <v>1667</v>
      </c>
      <c r="G1357" s="1566">
        <v>0</v>
      </c>
      <c r="H1357" s="1567"/>
      <c r="I1357" s="1567">
        <v>46810</v>
      </c>
      <c r="J1357" s="1567">
        <v>46810</v>
      </c>
      <c r="K1357" s="1568" t="str">
        <f t="shared" si="21"/>
        <v>No</v>
      </c>
      <c r="L1357" s="1565"/>
    </row>
    <row r="1358" spans="1:12" ht="20.100000000000001" customHeight="1">
      <c r="A1358" s="1568" t="s">
        <v>3050</v>
      </c>
      <c r="B1358" s="1567">
        <v>43159</v>
      </c>
      <c r="C1358" s="1568" t="s">
        <v>3308</v>
      </c>
      <c r="D1358" s="1568" t="s">
        <v>2955</v>
      </c>
      <c r="E1358" s="1567">
        <v>43512</v>
      </c>
      <c r="F1358" s="1566">
        <v>8750</v>
      </c>
      <c r="G1358" s="1566">
        <v>0</v>
      </c>
      <c r="H1358" s="1567"/>
      <c r="I1358" s="1567">
        <v>46810</v>
      </c>
      <c r="J1358" s="1567">
        <v>46810</v>
      </c>
      <c r="K1358" s="1568" t="str">
        <f t="shared" si="21"/>
        <v>No</v>
      </c>
      <c r="L1358" s="1565"/>
    </row>
    <row r="1359" spans="1:12" ht="20.100000000000001" customHeight="1">
      <c r="A1359" s="1568" t="s">
        <v>3050</v>
      </c>
      <c r="B1359" s="1567">
        <v>43159</v>
      </c>
      <c r="C1359" s="1568" t="s">
        <v>3308</v>
      </c>
      <c r="D1359" s="1568" t="s">
        <v>2955</v>
      </c>
      <c r="E1359" s="1567">
        <v>43540</v>
      </c>
      <c r="F1359" s="1566">
        <v>729</v>
      </c>
      <c r="G1359" s="1566">
        <v>0</v>
      </c>
      <c r="H1359" s="1567"/>
      <c r="I1359" s="1567">
        <v>46810</v>
      </c>
      <c r="J1359" s="1567">
        <v>46810</v>
      </c>
      <c r="K1359" s="1568" t="str">
        <f t="shared" si="21"/>
        <v>No</v>
      </c>
      <c r="L1359" s="1565"/>
    </row>
    <row r="1360" spans="1:12" ht="20.100000000000001" customHeight="1">
      <c r="A1360" s="1568" t="s">
        <v>3050</v>
      </c>
      <c r="B1360" s="1567">
        <v>43159</v>
      </c>
      <c r="C1360" s="1568" t="s">
        <v>3308</v>
      </c>
      <c r="D1360" s="1568" t="s">
        <v>2955</v>
      </c>
      <c r="E1360" s="1567">
        <v>43571</v>
      </c>
      <c r="F1360" s="1566">
        <v>729</v>
      </c>
      <c r="G1360" s="1566">
        <v>0</v>
      </c>
      <c r="H1360" s="1567"/>
      <c r="I1360" s="1567">
        <v>46810</v>
      </c>
      <c r="J1360" s="1567">
        <v>46810</v>
      </c>
      <c r="K1360" s="1568" t="str">
        <f t="shared" si="21"/>
        <v>No</v>
      </c>
      <c r="L1360" s="1565"/>
    </row>
    <row r="1361" spans="1:12" ht="20.100000000000001" customHeight="1">
      <c r="A1361" s="1568" t="s">
        <v>3050</v>
      </c>
      <c r="B1361" s="1567">
        <v>43159</v>
      </c>
      <c r="C1361" s="1568" t="s">
        <v>3308</v>
      </c>
      <c r="D1361" s="1568" t="s">
        <v>2955</v>
      </c>
      <c r="E1361" s="1567">
        <v>43601</v>
      </c>
      <c r="F1361" s="1566">
        <v>729</v>
      </c>
      <c r="G1361" s="1566">
        <v>0</v>
      </c>
      <c r="H1361" s="1567"/>
      <c r="I1361" s="1567">
        <v>46810</v>
      </c>
      <c r="J1361" s="1567">
        <v>46810</v>
      </c>
      <c r="K1361" s="1568" t="str">
        <f t="shared" si="21"/>
        <v>No</v>
      </c>
      <c r="L1361" s="1565"/>
    </row>
    <row r="1362" spans="1:12" ht="20.100000000000001" customHeight="1">
      <c r="A1362" s="1568" t="s">
        <v>3050</v>
      </c>
      <c r="B1362" s="1567">
        <v>43159</v>
      </c>
      <c r="C1362" s="1568" t="s">
        <v>3308</v>
      </c>
      <c r="D1362" s="1568" t="s">
        <v>2955</v>
      </c>
      <c r="E1362" s="1567">
        <v>43632</v>
      </c>
      <c r="F1362" s="1566">
        <v>729</v>
      </c>
      <c r="G1362" s="1566">
        <v>0</v>
      </c>
      <c r="H1362" s="1567"/>
      <c r="I1362" s="1567">
        <v>46810</v>
      </c>
      <c r="J1362" s="1567">
        <v>46810</v>
      </c>
      <c r="K1362" s="1568" t="str">
        <f t="shared" si="21"/>
        <v>No</v>
      </c>
      <c r="L1362" s="1565"/>
    </row>
    <row r="1363" spans="1:12" ht="20.100000000000001" customHeight="1">
      <c r="A1363" s="1568" t="s">
        <v>3050</v>
      </c>
      <c r="B1363" s="1567">
        <v>43159</v>
      </c>
      <c r="C1363" s="1568" t="s">
        <v>3308</v>
      </c>
      <c r="D1363" s="1568" t="s">
        <v>2955</v>
      </c>
      <c r="E1363" s="1567">
        <v>43662</v>
      </c>
      <c r="F1363" s="1566">
        <v>729</v>
      </c>
      <c r="G1363" s="1566">
        <v>0</v>
      </c>
      <c r="H1363" s="1567"/>
      <c r="I1363" s="1567">
        <v>46810</v>
      </c>
      <c r="J1363" s="1567">
        <v>46810</v>
      </c>
      <c r="K1363" s="1568" t="str">
        <f t="shared" si="21"/>
        <v>No</v>
      </c>
      <c r="L1363" s="1565"/>
    </row>
    <row r="1364" spans="1:12" ht="20.100000000000001" customHeight="1">
      <c r="A1364" s="1568" t="s">
        <v>3050</v>
      </c>
      <c r="B1364" s="1567">
        <v>43159</v>
      </c>
      <c r="C1364" s="1568" t="s">
        <v>3308</v>
      </c>
      <c r="D1364" s="1568" t="s">
        <v>2955</v>
      </c>
      <c r="E1364" s="1567">
        <v>43693</v>
      </c>
      <c r="F1364" s="1566">
        <v>730</v>
      </c>
      <c r="G1364" s="1566">
        <v>0</v>
      </c>
      <c r="H1364" s="1567"/>
      <c r="I1364" s="1567">
        <v>46810</v>
      </c>
      <c r="J1364" s="1567">
        <v>46810</v>
      </c>
      <c r="K1364" s="1568" t="str">
        <f t="shared" si="21"/>
        <v>No</v>
      </c>
      <c r="L1364" s="1565"/>
    </row>
    <row r="1365" spans="1:12" ht="20.100000000000001" customHeight="1">
      <c r="A1365" s="1568" t="s">
        <v>3050</v>
      </c>
      <c r="B1365" s="1567">
        <v>43159</v>
      </c>
      <c r="C1365" s="1568" t="s">
        <v>3308</v>
      </c>
      <c r="D1365" s="1568" t="s">
        <v>2955</v>
      </c>
      <c r="E1365" s="1567">
        <v>43724</v>
      </c>
      <c r="F1365" s="1566">
        <v>729</v>
      </c>
      <c r="G1365" s="1566">
        <v>0</v>
      </c>
      <c r="H1365" s="1567"/>
      <c r="I1365" s="1567">
        <v>46810</v>
      </c>
      <c r="J1365" s="1567">
        <v>46810</v>
      </c>
      <c r="K1365" s="1568" t="str">
        <f t="shared" si="21"/>
        <v>No</v>
      </c>
      <c r="L1365" s="1565"/>
    </row>
    <row r="1366" spans="1:12" ht="20.100000000000001" customHeight="1">
      <c r="A1366" s="1568" t="s">
        <v>3050</v>
      </c>
      <c r="B1366" s="1567">
        <v>43159</v>
      </c>
      <c r="C1366" s="1568" t="s">
        <v>3308</v>
      </c>
      <c r="D1366" s="1568" t="s">
        <v>2955</v>
      </c>
      <c r="E1366" s="1567">
        <v>43754</v>
      </c>
      <c r="F1366" s="1566">
        <v>729</v>
      </c>
      <c r="G1366" s="1566">
        <v>0</v>
      </c>
      <c r="H1366" s="1567"/>
      <c r="I1366" s="1567">
        <v>46810</v>
      </c>
      <c r="J1366" s="1567">
        <v>46810</v>
      </c>
      <c r="K1366" s="1568" t="str">
        <f t="shared" si="21"/>
        <v>No</v>
      </c>
      <c r="L1366" s="1565"/>
    </row>
    <row r="1367" spans="1:12" ht="20.100000000000001" customHeight="1">
      <c r="A1367" s="1568" t="s">
        <v>3050</v>
      </c>
      <c r="B1367" s="1567">
        <v>43159</v>
      </c>
      <c r="C1367" s="1568" t="s">
        <v>3308</v>
      </c>
      <c r="D1367" s="1568" t="s">
        <v>2955</v>
      </c>
      <c r="E1367" s="1567">
        <v>43785</v>
      </c>
      <c r="F1367" s="1566">
        <v>729</v>
      </c>
      <c r="G1367" s="1566">
        <v>0</v>
      </c>
      <c r="H1367" s="1567"/>
      <c r="I1367" s="1567">
        <v>46810</v>
      </c>
      <c r="J1367" s="1567">
        <v>46810</v>
      </c>
      <c r="K1367" s="1568" t="str">
        <f t="shared" si="21"/>
        <v>No</v>
      </c>
      <c r="L1367" s="1565"/>
    </row>
    <row r="1368" spans="1:12" ht="20.100000000000001" customHeight="1">
      <c r="A1368" s="1568" t="s">
        <v>3050</v>
      </c>
      <c r="B1368" s="1567">
        <v>43159</v>
      </c>
      <c r="C1368" s="1568" t="s">
        <v>3308</v>
      </c>
      <c r="D1368" s="1568" t="s">
        <v>2955</v>
      </c>
      <c r="E1368" s="1567">
        <v>43815</v>
      </c>
      <c r="F1368" s="1566">
        <v>729</v>
      </c>
      <c r="G1368" s="1566">
        <v>0</v>
      </c>
      <c r="H1368" s="1567"/>
      <c r="I1368" s="1567">
        <v>46810</v>
      </c>
      <c r="J1368" s="1567">
        <v>46810</v>
      </c>
      <c r="K1368" s="1568" t="str">
        <f t="shared" si="21"/>
        <v>No</v>
      </c>
      <c r="L1368" s="1565"/>
    </row>
    <row r="1369" spans="1:12" ht="20.100000000000001" customHeight="1">
      <c r="A1369" s="1568" t="s">
        <v>3050</v>
      </c>
      <c r="B1369" s="1567">
        <v>43159</v>
      </c>
      <c r="C1369" s="1568" t="s">
        <v>3308</v>
      </c>
      <c r="D1369" s="1568" t="s">
        <v>2955</v>
      </c>
      <c r="E1369" s="1567">
        <v>43846</v>
      </c>
      <c r="F1369" s="1566">
        <v>729</v>
      </c>
      <c r="G1369" s="1566">
        <v>0</v>
      </c>
      <c r="H1369" s="1567"/>
      <c r="I1369" s="1567">
        <v>46810</v>
      </c>
      <c r="J1369" s="1567">
        <v>46810</v>
      </c>
      <c r="K1369" s="1568" t="str">
        <f t="shared" si="21"/>
        <v>No</v>
      </c>
      <c r="L1369" s="1565"/>
    </row>
    <row r="1370" spans="1:12" ht="20.100000000000001" customHeight="1">
      <c r="A1370" s="1568" t="s">
        <v>3050</v>
      </c>
      <c r="B1370" s="1567">
        <v>43159</v>
      </c>
      <c r="C1370" s="1568" t="s">
        <v>3308</v>
      </c>
      <c r="D1370" s="1568" t="s">
        <v>2955</v>
      </c>
      <c r="E1370" s="1567">
        <v>43877</v>
      </c>
      <c r="F1370" s="1566">
        <v>730</v>
      </c>
      <c r="G1370" s="1566">
        <v>0</v>
      </c>
      <c r="H1370" s="1567"/>
      <c r="I1370" s="1567">
        <v>46810</v>
      </c>
      <c r="J1370" s="1567">
        <v>46810</v>
      </c>
      <c r="K1370" s="1568" t="str">
        <f t="shared" si="21"/>
        <v>No</v>
      </c>
      <c r="L1370" s="1565"/>
    </row>
    <row r="1371" spans="1:12" ht="20.100000000000001" customHeight="1">
      <c r="A1371" s="1568" t="s">
        <v>3050</v>
      </c>
      <c r="B1371" s="1567">
        <v>43159</v>
      </c>
      <c r="C1371" s="1568" t="s">
        <v>3308</v>
      </c>
      <c r="D1371" s="1568" t="s">
        <v>2955</v>
      </c>
      <c r="E1371" s="1567">
        <v>43906</v>
      </c>
      <c r="F1371" s="1566">
        <v>729</v>
      </c>
      <c r="G1371" s="1566">
        <v>0</v>
      </c>
      <c r="H1371" s="1567"/>
      <c r="I1371" s="1567">
        <v>46810</v>
      </c>
      <c r="J1371" s="1567">
        <v>46810</v>
      </c>
      <c r="K1371" s="1568" t="str">
        <f t="shared" si="21"/>
        <v>No</v>
      </c>
      <c r="L1371" s="1565"/>
    </row>
    <row r="1372" spans="1:12" ht="20.100000000000001" customHeight="1">
      <c r="A1372" s="1568" t="s">
        <v>3050</v>
      </c>
      <c r="B1372" s="1567">
        <v>43159</v>
      </c>
      <c r="C1372" s="1568" t="s">
        <v>3308</v>
      </c>
      <c r="D1372" s="1568" t="s">
        <v>2955</v>
      </c>
      <c r="E1372" s="1567">
        <v>43937</v>
      </c>
      <c r="F1372" s="1566">
        <v>729</v>
      </c>
      <c r="G1372" s="1566">
        <v>0</v>
      </c>
      <c r="H1372" s="1567"/>
      <c r="I1372" s="1567">
        <v>46810</v>
      </c>
      <c r="J1372" s="1567">
        <v>46810</v>
      </c>
      <c r="K1372" s="1568" t="str">
        <f t="shared" si="21"/>
        <v>No</v>
      </c>
      <c r="L1372" s="1565"/>
    </row>
    <row r="1373" spans="1:12" ht="20.100000000000001" customHeight="1">
      <c r="A1373" s="1568" t="s">
        <v>3050</v>
      </c>
      <c r="B1373" s="1567">
        <v>43159</v>
      </c>
      <c r="C1373" s="1568" t="s">
        <v>3308</v>
      </c>
      <c r="D1373" s="1568" t="s">
        <v>2955</v>
      </c>
      <c r="E1373" s="1567">
        <v>43967</v>
      </c>
      <c r="F1373" s="1566">
        <v>729</v>
      </c>
      <c r="G1373" s="1566">
        <v>0</v>
      </c>
      <c r="H1373" s="1567"/>
      <c r="I1373" s="1567">
        <v>46810</v>
      </c>
      <c r="J1373" s="1567">
        <v>46810</v>
      </c>
      <c r="K1373" s="1568" t="str">
        <f t="shared" si="21"/>
        <v>No</v>
      </c>
      <c r="L1373" s="1565"/>
    </row>
    <row r="1374" spans="1:12" ht="20.100000000000001" customHeight="1">
      <c r="A1374" s="1568" t="s">
        <v>3050</v>
      </c>
      <c r="B1374" s="1567">
        <v>43159</v>
      </c>
      <c r="C1374" s="1568" t="s">
        <v>3308</v>
      </c>
      <c r="D1374" s="1568" t="s">
        <v>2955</v>
      </c>
      <c r="E1374" s="1567">
        <v>43998</v>
      </c>
      <c r="F1374" s="1566">
        <v>729</v>
      </c>
      <c r="G1374" s="1566">
        <v>0</v>
      </c>
      <c r="H1374" s="1567"/>
      <c r="I1374" s="1567">
        <v>46810</v>
      </c>
      <c r="J1374" s="1567">
        <v>46810</v>
      </c>
      <c r="K1374" s="1568" t="str">
        <f t="shared" si="21"/>
        <v>No</v>
      </c>
      <c r="L1374" s="1565"/>
    </row>
    <row r="1375" spans="1:12" ht="20.100000000000001" customHeight="1">
      <c r="A1375" s="1568" t="s">
        <v>3050</v>
      </c>
      <c r="B1375" s="1567">
        <v>43159</v>
      </c>
      <c r="C1375" s="1568" t="s">
        <v>3308</v>
      </c>
      <c r="D1375" s="1568" t="s">
        <v>2955</v>
      </c>
      <c r="E1375" s="1567">
        <v>44028</v>
      </c>
      <c r="F1375" s="1566">
        <v>729</v>
      </c>
      <c r="G1375" s="1566">
        <v>0</v>
      </c>
      <c r="H1375" s="1567"/>
      <c r="I1375" s="1567">
        <v>46810</v>
      </c>
      <c r="J1375" s="1567">
        <v>46810</v>
      </c>
      <c r="K1375" s="1568" t="str">
        <f t="shared" si="21"/>
        <v>No</v>
      </c>
      <c r="L1375" s="1565"/>
    </row>
    <row r="1376" spans="1:12" ht="20.100000000000001" customHeight="1">
      <c r="A1376" s="1568" t="s">
        <v>3050</v>
      </c>
      <c r="B1376" s="1567">
        <v>43159</v>
      </c>
      <c r="C1376" s="1568" t="s">
        <v>3308</v>
      </c>
      <c r="D1376" s="1568" t="s">
        <v>2955</v>
      </c>
      <c r="E1376" s="1567">
        <v>44059</v>
      </c>
      <c r="F1376" s="1566">
        <v>730</v>
      </c>
      <c r="G1376" s="1566">
        <v>0</v>
      </c>
      <c r="H1376" s="1567"/>
      <c r="I1376" s="1567">
        <v>46810</v>
      </c>
      <c r="J1376" s="1567">
        <v>46810</v>
      </c>
      <c r="K1376" s="1568" t="str">
        <f t="shared" si="21"/>
        <v>No</v>
      </c>
      <c r="L1376" s="1565"/>
    </row>
    <row r="1377" spans="1:12" ht="20.100000000000001" customHeight="1">
      <c r="A1377" s="1568" t="s">
        <v>3050</v>
      </c>
      <c r="B1377" s="1567">
        <v>43159</v>
      </c>
      <c r="C1377" s="1568" t="s">
        <v>3308</v>
      </c>
      <c r="D1377" s="1568" t="s">
        <v>2955</v>
      </c>
      <c r="E1377" s="1567">
        <v>44090</v>
      </c>
      <c r="F1377" s="1566">
        <v>729</v>
      </c>
      <c r="G1377" s="1566">
        <v>0</v>
      </c>
      <c r="H1377" s="1567"/>
      <c r="I1377" s="1567">
        <v>46810</v>
      </c>
      <c r="J1377" s="1567">
        <v>46810</v>
      </c>
      <c r="K1377" s="1568" t="str">
        <f t="shared" si="21"/>
        <v>No</v>
      </c>
      <c r="L1377" s="1565"/>
    </row>
    <row r="1378" spans="1:12" ht="20.100000000000001" customHeight="1">
      <c r="A1378" s="1568" t="s">
        <v>3050</v>
      </c>
      <c r="B1378" s="1567">
        <v>43159</v>
      </c>
      <c r="C1378" s="1568" t="s">
        <v>3308</v>
      </c>
      <c r="D1378" s="1568" t="s">
        <v>2955</v>
      </c>
      <c r="E1378" s="1567">
        <v>44120</v>
      </c>
      <c r="F1378" s="1566">
        <v>729</v>
      </c>
      <c r="G1378" s="1566">
        <v>0</v>
      </c>
      <c r="H1378" s="1567"/>
      <c r="I1378" s="1567">
        <v>46810</v>
      </c>
      <c r="J1378" s="1567">
        <v>46810</v>
      </c>
      <c r="K1378" s="1568" t="str">
        <f t="shared" si="21"/>
        <v>No</v>
      </c>
      <c r="L1378" s="1565"/>
    </row>
    <row r="1379" spans="1:12" ht="20.100000000000001" customHeight="1">
      <c r="A1379" s="1568" t="s">
        <v>3050</v>
      </c>
      <c r="B1379" s="1567">
        <v>43159</v>
      </c>
      <c r="C1379" s="1568" t="s">
        <v>3308</v>
      </c>
      <c r="D1379" s="1568" t="s">
        <v>2955</v>
      </c>
      <c r="E1379" s="1567">
        <v>44151</v>
      </c>
      <c r="F1379" s="1566">
        <v>729</v>
      </c>
      <c r="G1379" s="1566">
        <v>0</v>
      </c>
      <c r="H1379" s="1567"/>
      <c r="I1379" s="1567">
        <v>46810</v>
      </c>
      <c r="J1379" s="1567">
        <v>46810</v>
      </c>
      <c r="K1379" s="1568" t="str">
        <f t="shared" si="21"/>
        <v>No</v>
      </c>
      <c r="L1379" s="1565"/>
    </row>
    <row r="1380" spans="1:12" ht="20.100000000000001" customHeight="1">
      <c r="A1380" s="1568" t="s">
        <v>3050</v>
      </c>
      <c r="B1380" s="1567">
        <v>43159</v>
      </c>
      <c r="C1380" s="1568" t="s">
        <v>3308</v>
      </c>
      <c r="D1380" s="1568" t="s">
        <v>2955</v>
      </c>
      <c r="E1380" s="1567">
        <v>44181</v>
      </c>
      <c r="F1380" s="1566">
        <v>729</v>
      </c>
      <c r="G1380" s="1566">
        <v>0</v>
      </c>
      <c r="H1380" s="1567"/>
      <c r="I1380" s="1567">
        <v>46810</v>
      </c>
      <c r="J1380" s="1567">
        <v>46810</v>
      </c>
      <c r="K1380" s="1568" t="str">
        <f t="shared" si="21"/>
        <v>No</v>
      </c>
      <c r="L1380" s="1565"/>
    </row>
    <row r="1381" spans="1:12" ht="20.100000000000001" customHeight="1">
      <c r="A1381" s="1568" t="s">
        <v>3050</v>
      </c>
      <c r="B1381" s="1567">
        <v>43159</v>
      </c>
      <c r="C1381" s="1568" t="s">
        <v>3308</v>
      </c>
      <c r="D1381" s="1568" t="s">
        <v>2955</v>
      </c>
      <c r="E1381" s="1567">
        <v>44212</v>
      </c>
      <c r="F1381" s="1566">
        <v>729</v>
      </c>
      <c r="G1381" s="1566">
        <v>0</v>
      </c>
      <c r="H1381" s="1567"/>
      <c r="I1381" s="1567">
        <v>46810</v>
      </c>
      <c r="J1381" s="1567">
        <v>46810</v>
      </c>
      <c r="K1381" s="1568" t="str">
        <f t="shared" si="21"/>
        <v>No</v>
      </c>
      <c r="L1381" s="1565"/>
    </row>
    <row r="1382" spans="1:12" ht="20.100000000000001" customHeight="1">
      <c r="A1382" s="1568" t="s">
        <v>3050</v>
      </c>
      <c r="B1382" s="1567">
        <v>43159</v>
      </c>
      <c r="C1382" s="1568" t="s">
        <v>3308</v>
      </c>
      <c r="D1382" s="1568" t="s">
        <v>2955</v>
      </c>
      <c r="E1382" s="1567">
        <v>44243</v>
      </c>
      <c r="F1382" s="1566">
        <v>730</v>
      </c>
      <c r="G1382" s="1566">
        <v>0</v>
      </c>
      <c r="H1382" s="1567"/>
      <c r="I1382" s="1567">
        <v>46810</v>
      </c>
      <c r="J1382" s="1567">
        <v>46810</v>
      </c>
      <c r="K1382" s="1568" t="str">
        <f t="shared" si="21"/>
        <v>No</v>
      </c>
      <c r="L1382" s="1565"/>
    </row>
    <row r="1383" spans="1:12" ht="20.100000000000001" customHeight="1">
      <c r="A1383" s="1568" t="s">
        <v>3050</v>
      </c>
      <c r="B1383" s="1567">
        <v>43159</v>
      </c>
      <c r="C1383" s="1568" t="s">
        <v>3308</v>
      </c>
      <c r="D1383" s="1568" t="s">
        <v>2955</v>
      </c>
      <c r="E1383" s="1567">
        <v>44271</v>
      </c>
      <c r="F1383" s="1566">
        <v>729</v>
      </c>
      <c r="G1383" s="1566">
        <v>0</v>
      </c>
      <c r="H1383" s="1567"/>
      <c r="I1383" s="1567">
        <v>46810</v>
      </c>
      <c r="J1383" s="1567">
        <v>46810</v>
      </c>
      <c r="K1383" s="1568" t="str">
        <f t="shared" si="21"/>
        <v>No</v>
      </c>
      <c r="L1383" s="1565"/>
    </row>
    <row r="1384" spans="1:12" ht="20.100000000000001" customHeight="1">
      <c r="A1384" s="1568" t="s">
        <v>3050</v>
      </c>
      <c r="B1384" s="1567">
        <v>43159</v>
      </c>
      <c r="C1384" s="1568" t="s">
        <v>3308</v>
      </c>
      <c r="D1384" s="1568" t="s">
        <v>2955</v>
      </c>
      <c r="E1384" s="1567">
        <v>44302</v>
      </c>
      <c r="F1384" s="1566">
        <v>729</v>
      </c>
      <c r="G1384" s="1566">
        <v>0</v>
      </c>
      <c r="H1384" s="1567"/>
      <c r="I1384" s="1567">
        <v>46810</v>
      </c>
      <c r="J1384" s="1567">
        <v>46810</v>
      </c>
      <c r="K1384" s="1568" t="str">
        <f t="shared" si="21"/>
        <v>No</v>
      </c>
      <c r="L1384" s="1565"/>
    </row>
    <row r="1385" spans="1:12" ht="20.100000000000001" customHeight="1">
      <c r="A1385" s="1568" t="s">
        <v>3050</v>
      </c>
      <c r="B1385" s="1567">
        <v>43159</v>
      </c>
      <c r="C1385" s="1568" t="s">
        <v>3308</v>
      </c>
      <c r="D1385" s="1568" t="s">
        <v>2955</v>
      </c>
      <c r="E1385" s="1567">
        <v>44332</v>
      </c>
      <c r="F1385" s="1566">
        <v>729</v>
      </c>
      <c r="G1385" s="1566">
        <v>0</v>
      </c>
      <c r="H1385" s="1567"/>
      <c r="I1385" s="1567">
        <v>46810</v>
      </c>
      <c r="J1385" s="1567">
        <v>46810</v>
      </c>
      <c r="K1385" s="1568" t="str">
        <f t="shared" si="21"/>
        <v>No</v>
      </c>
      <c r="L1385" s="1565"/>
    </row>
    <row r="1386" spans="1:12" ht="20.100000000000001" customHeight="1">
      <c r="A1386" s="1568" t="s">
        <v>3050</v>
      </c>
      <c r="B1386" s="1567">
        <v>43159</v>
      </c>
      <c r="C1386" s="1568" t="s">
        <v>3308</v>
      </c>
      <c r="D1386" s="1568" t="s">
        <v>2955</v>
      </c>
      <c r="E1386" s="1567">
        <v>44363</v>
      </c>
      <c r="F1386" s="1566">
        <v>729</v>
      </c>
      <c r="G1386" s="1566">
        <v>0</v>
      </c>
      <c r="H1386" s="1567"/>
      <c r="I1386" s="1567">
        <v>46810</v>
      </c>
      <c r="J1386" s="1567">
        <v>46810</v>
      </c>
      <c r="K1386" s="1568" t="str">
        <f t="shared" si="21"/>
        <v>No</v>
      </c>
      <c r="L1386" s="1565"/>
    </row>
    <row r="1387" spans="1:12" ht="20.100000000000001" customHeight="1">
      <c r="A1387" s="1568" t="s">
        <v>3050</v>
      </c>
      <c r="B1387" s="1567">
        <v>43159</v>
      </c>
      <c r="C1387" s="1568" t="s">
        <v>3308</v>
      </c>
      <c r="D1387" s="1568" t="s">
        <v>2955</v>
      </c>
      <c r="E1387" s="1567">
        <v>44393</v>
      </c>
      <c r="F1387" s="1566">
        <v>729</v>
      </c>
      <c r="G1387" s="1566">
        <v>0</v>
      </c>
      <c r="H1387" s="1567"/>
      <c r="I1387" s="1567">
        <v>46810</v>
      </c>
      <c r="J1387" s="1567">
        <v>46810</v>
      </c>
      <c r="K1387" s="1568" t="str">
        <f t="shared" si="21"/>
        <v>No</v>
      </c>
      <c r="L1387" s="1565"/>
    </row>
    <row r="1388" spans="1:12" ht="20.100000000000001" customHeight="1">
      <c r="A1388" s="1568" t="s">
        <v>3050</v>
      </c>
      <c r="B1388" s="1567">
        <v>43159</v>
      </c>
      <c r="C1388" s="1568" t="s">
        <v>3308</v>
      </c>
      <c r="D1388" s="1568" t="s">
        <v>2955</v>
      </c>
      <c r="E1388" s="1567">
        <v>44424</v>
      </c>
      <c r="F1388" s="1566">
        <v>730</v>
      </c>
      <c r="G1388" s="1566">
        <v>0</v>
      </c>
      <c r="H1388" s="1567"/>
      <c r="I1388" s="1567">
        <v>46810</v>
      </c>
      <c r="J1388" s="1567">
        <v>46810</v>
      </c>
      <c r="K1388" s="1568" t="str">
        <f t="shared" si="21"/>
        <v>No</v>
      </c>
      <c r="L1388" s="1565"/>
    </row>
    <row r="1389" spans="1:12" ht="20.100000000000001" customHeight="1">
      <c r="A1389" s="1568" t="s">
        <v>3050</v>
      </c>
      <c r="B1389" s="1567">
        <v>43159</v>
      </c>
      <c r="C1389" s="1568" t="s">
        <v>3308</v>
      </c>
      <c r="D1389" s="1568" t="s">
        <v>2955</v>
      </c>
      <c r="E1389" s="1567">
        <v>44455</v>
      </c>
      <c r="F1389" s="1566">
        <v>729</v>
      </c>
      <c r="G1389" s="1566">
        <v>0</v>
      </c>
      <c r="H1389" s="1567"/>
      <c r="I1389" s="1567">
        <v>46810</v>
      </c>
      <c r="J1389" s="1567">
        <v>46810</v>
      </c>
      <c r="K1389" s="1568" t="str">
        <f t="shared" si="21"/>
        <v>No</v>
      </c>
      <c r="L1389" s="1565"/>
    </row>
    <row r="1390" spans="1:12" ht="20.100000000000001" customHeight="1">
      <c r="A1390" s="1568" t="s">
        <v>3050</v>
      </c>
      <c r="B1390" s="1567">
        <v>43159</v>
      </c>
      <c r="C1390" s="1568" t="s">
        <v>3308</v>
      </c>
      <c r="D1390" s="1568" t="s">
        <v>2955</v>
      </c>
      <c r="E1390" s="1567">
        <v>44485</v>
      </c>
      <c r="F1390" s="1566">
        <v>729</v>
      </c>
      <c r="G1390" s="1566">
        <v>0</v>
      </c>
      <c r="H1390" s="1567"/>
      <c r="I1390" s="1567">
        <v>46810</v>
      </c>
      <c r="J1390" s="1567">
        <v>46810</v>
      </c>
      <c r="K1390" s="1568" t="str">
        <f t="shared" si="21"/>
        <v>No</v>
      </c>
      <c r="L1390" s="1565"/>
    </row>
    <row r="1391" spans="1:12" ht="20.100000000000001" customHeight="1">
      <c r="A1391" s="1568" t="s">
        <v>3050</v>
      </c>
      <c r="B1391" s="1567">
        <v>43159</v>
      </c>
      <c r="C1391" s="1568" t="s">
        <v>3308</v>
      </c>
      <c r="D1391" s="1568" t="s">
        <v>2955</v>
      </c>
      <c r="E1391" s="1567">
        <v>44516</v>
      </c>
      <c r="F1391" s="1566">
        <v>729</v>
      </c>
      <c r="G1391" s="1566">
        <v>0</v>
      </c>
      <c r="H1391" s="1567"/>
      <c r="I1391" s="1567">
        <v>46810</v>
      </c>
      <c r="J1391" s="1567">
        <v>46810</v>
      </c>
      <c r="K1391" s="1568" t="str">
        <f t="shared" si="21"/>
        <v>No</v>
      </c>
      <c r="L1391" s="1565"/>
    </row>
    <row r="1392" spans="1:12" ht="20.100000000000001" customHeight="1">
      <c r="A1392" s="1568" t="s">
        <v>3050</v>
      </c>
      <c r="B1392" s="1567">
        <v>43159</v>
      </c>
      <c r="C1392" s="1568" t="s">
        <v>3308</v>
      </c>
      <c r="D1392" s="1568" t="s">
        <v>2955</v>
      </c>
      <c r="E1392" s="1567">
        <v>44546</v>
      </c>
      <c r="F1392" s="1566">
        <v>729</v>
      </c>
      <c r="G1392" s="1566">
        <v>0</v>
      </c>
      <c r="H1392" s="1567"/>
      <c r="I1392" s="1567">
        <v>46810</v>
      </c>
      <c r="J1392" s="1567">
        <v>46810</v>
      </c>
      <c r="K1392" s="1568" t="str">
        <f t="shared" si="21"/>
        <v>No</v>
      </c>
      <c r="L1392" s="1565"/>
    </row>
    <row r="1393" spans="1:12" ht="20.100000000000001" customHeight="1">
      <c r="A1393" s="1568" t="s">
        <v>3050</v>
      </c>
      <c r="B1393" s="1567">
        <v>43159</v>
      </c>
      <c r="C1393" s="1568" t="s">
        <v>3308</v>
      </c>
      <c r="D1393" s="1568" t="s">
        <v>2955</v>
      </c>
      <c r="E1393" s="1567">
        <v>44577</v>
      </c>
      <c r="F1393" s="1566">
        <v>729</v>
      </c>
      <c r="G1393" s="1566">
        <v>0</v>
      </c>
      <c r="H1393" s="1567"/>
      <c r="I1393" s="1567">
        <v>46810</v>
      </c>
      <c r="J1393" s="1567">
        <v>46810</v>
      </c>
      <c r="K1393" s="1568" t="str">
        <f t="shared" si="21"/>
        <v>No</v>
      </c>
      <c r="L1393" s="1565"/>
    </row>
    <row r="1394" spans="1:12" ht="20.100000000000001" customHeight="1">
      <c r="A1394" s="1568" t="s">
        <v>3050</v>
      </c>
      <c r="B1394" s="1567">
        <v>43159</v>
      </c>
      <c r="C1394" s="1568" t="s">
        <v>3308</v>
      </c>
      <c r="D1394" s="1568" t="s">
        <v>2955</v>
      </c>
      <c r="E1394" s="1567">
        <v>44608</v>
      </c>
      <c r="F1394" s="1566">
        <v>730</v>
      </c>
      <c r="G1394" s="1566">
        <v>0</v>
      </c>
      <c r="H1394" s="1567"/>
      <c r="I1394" s="1567">
        <v>46810</v>
      </c>
      <c r="J1394" s="1567">
        <v>46810</v>
      </c>
      <c r="K1394" s="1568" t="str">
        <f t="shared" si="21"/>
        <v>No</v>
      </c>
      <c r="L1394" s="1565"/>
    </row>
    <row r="1395" spans="1:12" ht="20.100000000000001" customHeight="1">
      <c r="A1395" s="1568" t="s">
        <v>3049</v>
      </c>
      <c r="B1395" s="1567">
        <v>43159</v>
      </c>
      <c r="C1395" s="1568" t="s">
        <v>3308</v>
      </c>
      <c r="D1395" s="1568" t="s">
        <v>2952</v>
      </c>
      <c r="E1395" s="1567">
        <v>43512</v>
      </c>
      <c r="F1395" s="1566">
        <v>1250</v>
      </c>
      <c r="G1395" s="1566">
        <v>0</v>
      </c>
      <c r="H1395" s="1567"/>
      <c r="I1395" s="1567">
        <v>46810</v>
      </c>
      <c r="J1395" s="1567">
        <v>46810</v>
      </c>
      <c r="K1395" s="1568" t="str">
        <f t="shared" si="21"/>
        <v>No</v>
      </c>
      <c r="L1395" s="1565"/>
    </row>
    <row r="1396" spans="1:12" ht="20.100000000000001" customHeight="1">
      <c r="A1396" s="1568" t="s">
        <v>3049</v>
      </c>
      <c r="B1396" s="1567">
        <v>43159</v>
      </c>
      <c r="C1396" s="1568" t="s">
        <v>3308</v>
      </c>
      <c r="D1396" s="1568" t="s">
        <v>2952</v>
      </c>
      <c r="E1396" s="1567">
        <v>43540</v>
      </c>
      <c r="F1396" s="1566">
        <v>104</v>
      </c>
      <c r="G1396" s="1566">
        <v>0</v>
      </c>
      <c r="H1396" s="1567"/>
      <c r="I1396" s="1567">
        <v>46810</v>
      </c>
      <c r="J1396" s="1567">
        <v>46810</v>
      </c>
      <c r="K1396" s="1568" t="str">
        <f t="shared" si="21"/>
        <v>No</v>
      </c>
      <c r="L1396" s="1565"/>
    </row>
    <row r="1397" spans="1:12" ht="20.100000000000001" customHeight="1">
      <c r="A1397" s="1568" t="s">
        <v>3049</v>
      </c>
      <c r="B1397" s="1567">
        <v>43159</v>
      </c>
      <c r="C1397" s="1568" t="s">
        <v>3308</v>
      </c>
      <c r="D1397" s="1568" t="s">
        <v>2952</v>
      </c>
      <c r="E1397" s="1567">
        <v>43571</v>
      </c>
      <c r="F1397" s="1566">
        <v>104</v>
      </c>
      <c r="G1397" s="1566">
        <v>0</v>
      </c>
      <c r="H1397" s="1567"/>
      <c r="I1397" s="1567">
        <v>46810</v>
      </c>
      <c r="J1397" s="1567">
        <v>46810</v>
      </c>
      <c r="K1397" s="1568" t="str">
        <f t="shared" si="21"/>
        <v>No</v>
      </c>
      <c r="L1397" s="1565"/>
    </row>
    <row r="1398" spans="1:12" ht="20.100000000000001" customHeight="1">
      <c r="A1398" s="1568" t="s">
        <v>3049</v>
      </c>
      <c r="B1398" s="1567">
        <v>43159</v>
      </c>
      <c r="C1398" s="1568" t="s">
        <v>3308</v>
      </c>
      <c r="D1398" s="1568" t="s">
        <v>2952</v>
      </c>
      <c r="E1398" s="1567">
        <v>43601</v>
      </c>
      <c r="F1398" s="1566">
        <v>104</v>
      </c>
      <c r="G1398" s="1566">
        <v>0</v>
      </c>
      <c r="H1398" s="1567"/>
      <c r="I1398" s="1567">
        <v>46810</v>
      </c>
      <c r="J1398" s="1567">
        <v>46810</v>
      </c>
      <c r="K1398" s="1568" t="str">
        <f t="shared" si="21"/>
        <v>No</v>
      </c>
      <c r="L1398" s="1565"/>
    </row>
    <row r="1399" spans="1:12" ht="20.100000000000001" customHeight="1">
      <c r="A1399" s="1568" t="s">
        <v>3049</v>
      </c>
      <c r="B1399" s="1567">
        <v>43159</v>
      </c>
      <c r="C1399" s="1568" t="s">
        <v>3308</v>
      </c>
      <c r="D1399" s="1568" t="s">
        <v>2952</v>
      </c>
      <c r="E1399" s="1567">
        <v>43632</v>
      </c>
      <c r="F1399" s="1566">
        <v>104</v>
      </c>
      <c r="G1399" s="1566">
        <v>0</v>
      </c>
      <c r="H1399" s="1567"/>
      <c r="I1399" s="1567">
        <v>46810</v>
      </c>
      <c r="J1399" s="1567">
        <v>46810</v>
      </c>
      <c r="K1399" s="1568" t="str">
        <f t="shared" si="21"/>
        <v>No</v>
      </c>
      <c r="L1399" s="1565"/>
    </row>
    <row r="1400" spans="1:12" ht="20.100000000000001" customHeight="1">
      <c r="A1400" s="1568" t="s">
        <v>3049</v>
      </c>
      <c r="B1400" s="1567">
        <v>43159</v>
      </c>
      <c r="C1400" s="1568" t="s">
        <v>3308</v>
      </c>
      <c r="D1400" s="1568" t="s">
        <v>2952</v>
      </c>
      <c r="E1400" s="1567">
        <v>43662</v>
      </c>
      <c r="F1400" s="1566">
        <v>104</v>
      </c>
      <c r="G1400" s="1566">
        <v>0</v>
      </c>
      <c r="H1400" s="1567"/>
      <c r="I1400" s="1567">
        <v>46810</v>
      </c>
      <c r="J1400" s="1567">
        <v>46810</v>
      </c>
      <c r="K1400" s="1568" t="str">
        <f t="shared" si="21"/>
        <v>No</v>
      </c>
      <c r="L1400" s="1565"/>
    </row>
    <row r="1401" spans="1:12" ht="20.100000000000001" customHeight="1">
      <c r="A1401" s="1568" t="s">
        <v>3049</v>
      </c>
      <c r="B1401" s="1567">
        <v>43159</v>
      </c>
      <c r="C1401" s="1568" t="s">
        <v>3308</v>
      </c>
      <c r="D1401" s="1568" t="s">
        <v>2952</v>
      </c>
      <c r="E1401" s="1567">
        <v>43693</v>
      </c>
      <c r="F1401" s="1566">
        <v>105</v>
      </c>
      <c r="G1401" s="1566">
        <v>0</v>
      </c>
      <c r="H1401" s="1567"/>
      <c r="I1401" s="1567">
        <v>46810</v>
      </c>
      <c r="J1401" s="1567">
        <v>46810</v>
      </c>
      <c r="K1401" s="1568" t="str">
        <f t="shared" si="21"/>
        <v>No</v>
      </c>
      <c r="L1401" s="1565"/>
    </row>
    <row r="1402" spans="1:12" ht="20.100000000000001" customHeight="1">
      <c r="A1402" s="1568" t="s">
        <v>3049</v>
      </c>
      <c r="B1402" s="1567">
        <v>43159</v>
      </c>
      <c r="C1402" s="1568" t="s">
        <v>3308</v>
      </c>
      <c r="D1402" s="1568" t="s">
        <v>2952</v>
      </c>
      <c r="E1402" s="1567">
        <v>43724</v>
      </c>
      <c r="F1402" s="1566">
        <v>104</v>
      </c>
      <c r="G1402" s="1566">
        <v>0</v>
      </c>
      <c r="H1402" s="1567"/>
      <c r="I1402" s="1567">
        <v>46810</v>
      </c>
      <c r="J1402" s="1567">
        <v>46810</v>
      </c>
      <c r="K1402" s="1568" t="str">
        <f t="shared" si="21"/>
        <v>No</v>
      </c>
      <c r="L1402" s="1565"/>
    </row>
    <row r="1403" spans="1:12" ht="20.100000000000001" customHeight="1">
      <c r="A1403" s="1568" t="s">
        <v>3049</v>
      </c>
      <c r="B1403" s="1567">
        <v>43159</v>
      </c>
      <c r="C1403" s="1568" t="s">
        <v>3308</v>
      </c>
      <c r="D1403" s="1568" t="s">
        <v>2952</v>
      </c>
      <c r="E1403" s="1567">
        <v>43754</v>
      </c>
      <c r="F1403" s="1566">
        <v>104</v>
      </c>
      <c r="G1403" s="1566">
        <v>0</v>
      </c>
      <c r="H1403" s="1567"/>
      <c r="I1403" s="1567">
        <v>46810</v>
      </c>
      <c r="J1403" s="1567">
        <v>46810</v>
      </c>
      <c r="K1403" s="1568" t="str">
        <f t="shared" si="21"/>
        <v>No</v>
      </c>
      <c r="L1403" s="1565"/>
    </row>
    <row r="1404" spans="1:12" ht="20.100000000000001" customHeight="1">
      <c r="A1404" s="1568" t="s">
        <v>3049</v>
      </c>
      <c r="B1404" s="1567">
        <v>43159</v>
      </c>
      <c r="C1404" s="1568" t="s">
        <v>3308</v>
      </c>
      <c r="D1404" s="1568" t="s">
        <v>2952</v>
      </c>
      <c r="E1404" s="1567">
        <v>43785</v>
      </c>
      <c r="F1404" s="1566">
        <v>104</v>
      </c>
      <c r="G1404" s="1566">
        <v>0</v>
      </c>
      <c r="H1404" s="1567"/>
      <c r="I1404" s="1567">
        <v>46810</v>
      </c>
      <c r="J1404" s="1567">
        <v>46810</v>
      </c>
      <c r="K1404" s="1568" t="str">
        <f t="shared" si="21"/>
        <v>No</v>
      </c>
      <c r="L1404" s="1565"/>
    </row>
    <row r="1405" spans="1:12" ht="20.100000000000001" customHeight="1">
      <c r="A1405" s="1568" t="s">
        <v>3049</v>
      </c>
      <c r="B1405" s="1567">
        <v>43159</v>
      </c>
      <c r="C1405" s="1568" t="s">
        <v>3308</v>
      </c>
      <c r="D1405" s="1568" t="s">
        <v>2952</v>
      </c>
      <c r="E1405" s="1567">
        <v>43815</v>
      </c>
      <c r="F1405" s="1566">
        <v>104</v>
      </c>
      <c r="G1405" s="1566">
        <v>0</v>
      </c>
      <c r="H1405" s="1567"/>
      <c r="I1405" s="1567">
        <v>46810</v>
      </c>
      <c r="J1405" s="1567">
        <v>46810</v>
      </c>
      <c r="K1405" s="1568" t="str">
        <f t="shared" si="21"/>
        <v>No</v>
      </c>
      <c r="L1405" s="1565"/>
    </row>
    <row r="1406" spans="1:12" ht="20.100000000000001" customHeight="1">
      <c r="A1406" s="1568" t="s">
        <v>3049</v>
      </c>
      <c r="B1406" s="1567">
        <v>43159</v>
      </c>
      <c r="C1406" s="1568" t="s">
        <v>3308</v>
      </c>
      <c r="D1406" s="1568" t="s">
        <v>2952</v>
      </c>
      <c r="E1406" s="1567">
        <v>43846</v>
      </c>
      <c r="F1406" s="1566">
        <v>104</v>
      </c>
      <c r="G1406" s="1566">
        <v>0</v>
      </c>
      <c r="H1406" s="1567"/>
      <c r="I1406" s="1567">
        <v>46810</v>
      </c>
      <c r="J1406" s="1567">
        <v>46810</v>
      </c>
      <c r="K1406" s="1568" t="str">
        <f t="shared" si="21"/>
        <v>No</v>
      </c>
      <c r="L1406" s="1565"/>
    </row>
    <row r="1407" spans="1:12" ht="20.100000000000001" customHeight="1">
      <c r="A1407" s="1568" t="s">
        <v>3049</v>
      </c>
      <c r="B1407" s="1567">
        <v>43159</v>
      </c>
      <c r="C1407" s="1568" t="s">
        <v>3308</v>
      </c>
      <c r="D1407" s="1568" t="s">
        <v>2952</v>
      </c>
      <c r="E1407" s="1567">
        <v>43877</v>
      </c>
      <c r="F1407" s="1566">
        <v>105</v>
      </c>
      <c r="G1407" s="1566">
        <v>0</v>
      </c>
      <c r="H1407" s="1567"/>
      <c r="I1407" s="1567">
        <v>46810</v>
      </c>
      <c r="J1407" s="1567">
        <v>46810</v>
      </c>
      <c r="K1407" s="1568" t="str">
        <f t="shared" si="21"/>
        <v>No</v>
      </c>
      <c r="L1407" s="1565"/>
    </row>
    <row r="1408" spans="1:12" ht="20.100000000000001" customHeight="1">
      <c r="A1408" s="1568" t="s">
        <v>3049</v>
      </c>
      <c r="B1408" s="1567">
        <v>43159</v>
      </c>
      <c r="C1408" s="1568" t="s">
        <v>3308</v>
      </c>
      <c r="D1408" s="1568" t="s">
        <v>2952</v>
      </c>
      <c r="E1408" s="1567">
        <v>43906</v>
      </c>
      <c r="F1408" s="1566">
        <v>104</v>
      </c>
      <c r="G1408" s="1566">
        <v>0</v>
      </c>
      <c r="H1408" s="1567"/>
      <c r="I1408" s="1567">
        <v>46810</v>
      </c>
      <c r="J1408" s="1567">
        <v>46810</v>
      </c>
      <c r="K1408" s="1568" t="str">
        <f t="shared" si="21"/>
        <v>No</v>
      </c>
      <c r="L1408" s="1565"/>
    </row>
    <row r="1409" spans="1:12" ht="20.100000000000001" customHeight="1">
      <c r="A1409" s="1568" t="s">
        <v>3049</v>
      </c>
      <c r="B1409" s="1567">
        <v>43159</v>
      </c>
      <c r="C1409" s="1568" t="s">
        <v>3308</v>
      </c>
      <c r="D1409" s="1568" t="s">
        <v>2952</v>
      </c>
      <c r="E1409" s="1567">
        <v>43937</v>
      </c>
      <c r="F1409" s="1566">
        <v>104</v>
      </c>
      <c r="G1409" s="1566">
        <v>0</v>
      </c>
      <c r="H1409" s="1567"/>
      <c r="I1409" s="1567">
        <v>46810</v>
      </c>
      <c r="J1409" s="1567">
        <v>46810</v>
      </c>
      <c r="K1409" s="1568" t="str">
        <f t="shared" si="21"/>
        <v>No</v>
      </c>
      <c r="L1409" s="1565"/>
    </row>
    <row r="1410" spans="1:12" ht="20.100000000000001" customHeight="1">
      <c r="A1410" s="1568" t="s">
        <v>3049</v>
      </c>
      <c r="B1410" s="1567">
        <v>43159</v>
      </c>
      <c r="C1410" s="1568" t="s">
        <v>3308</v>
      </c>
      <c r="D1410" s="1568" t="s">
        <v>2952</v>
      </c>
      <c r="E1410" s="1567">
        <v>43967</v>
      </c>
      <c r="F1410" s="1566">
        <v>104</v>
      </c>
      <c r="G1410" s="1566">
        <v>0</v>
      </c>
      <c r="H1410" s="1567"/>
      <c r="I1410" s="1567">
        <v>46810</v>
      </c>
      <c r="J1410" s="1567">
        <v>46810</v>
      </c>
      <c r="K1410" s="1568" t="str">
        <f t="shared" si="21"/>
        <v>No</v>
      </c>
      <c r="L1410" s="1565"/>
    </row>
    <row r="1411" spans="1:12" ht="20.100000000000001" customHeight="1">
      <c r="A1411" s="1568" t="s">
        <v>3049</v>
      </c>
      <c r="B1411" s="1567">
        <v>43159</v>
      </c>
      <c r="C1411" s="1568" t="s">
        <v>3308</v>
      </c>
      <c r="D1411" s="1568" t="s">
        <v>2952</v>
      </c>
      <c r="E1411" s="1567">
        <v>43998</v>
      </c>
      <c r="F1411" s="1566">
        <v>104</v>
      </c>
      <c r="G1411" s="1566">
        <v>0</v>
      </c>
      <c r="H1411" s="1567"/>
      <c r="I1411" s="1567">
        <v>46810</v>
      </c>
      <c r="J1411" s="1567">
        <v>46810</v>
      </c>
      <c r="K1411" s="1568" t="str">
        <f t="shared" si="21"/>
        <v>No</v>
      </c>
      <c r="L1411" s="1565"/>
    </row>
    <row r="1412" spans="1:12" ht="20.100000000000001" customHeight="1">
      <c r="A1412" s="1568" t="s">
        <v>3049</v>
      </c>
      <c r="B1412" s="1567">
        <v>43159</v>
      </c>
      <c r="C1412" s="1568" t="s">
        <v>3308</v>
      </c>
      <c r="D1412" s="1568" t="s">
        <v>2952</v>
      </c>
      <c r="E1412" s="1567">
        <v>44028</v>
      </c>
      <c r="F1412" s="1566">
        <v>104</v>
      </c>
      <c r="G1412" s="1566">
        <v>0</v>
      </c>
      <c r="H1412" s="1567"/>
      <c r="I1412" s="1567">
        <v>46810</v>
      </c>
      <c r="J1412" s="1567">
        <v>46810</v>
      </c>
      <c r="K1412" s="1568" t="str">
        <f t="shared" si="21"/>
        <v>No</v>
      </c>
      <c r="L1412" s="1565"/>
    </row>
    <row r="1413" spans="1:12" ht="20.100000000000001" customHeight="1">
      <c r="A1413" s="1568" t="s">
        <v>3049</v>
      </c>
      <c r="B1413" s="1567">
        <v>43159</v>
      </c>
      <c r="C1413" s="1568" t="s">
        <v>3308</v>
      </c>
      <c r="D1413" s="1568" t="s">
        <v>2952</v>
      </c>
      <c r="E1413" s="1567">
        <v>44059</v>
      </c>
      <c r="F1413" s="1566">
        <v>105</v>
      </c>
      <c r="G1413" s="1566">
        <v>0</v>
      </c>
      <c r="H1413" s="1567"/>
      <c r="I1413" s="1567">
        <v>46810</v>
      </c>
      <c r="J1413" s="1567">
        <v>46810</v>
      </c>
      <c r="K1413" s="1568" t="str">
        <f t="shared" ref="K1413:K1476" si="22">IF(I1413="N/A","No",IF(E1413&lt;=I1413,"No","Yes"))</f>
        <v>No</v>
      </c>
      <c r="L1413" s="1565"/>
    </row>
    <row r="1414" spans="1:12" ht="20.100000000000001" customHeight="1">
      <c r="A1414" s="1568" t="s">
        <v>3049</v>
      </c>
      <c r="B1414" s="1567">
        <v>43159</v>
      </c>
      <c r="C1414" s="1568" t="s">
        <v>3308</v>
      </c>
      <c r="D1414" s="1568" t="s">
        <v>2952</v>
      </c>
      <c r="E1414" s="1567">
        <v>44090</v>
      </c>
      <c r="F1414" s="1566">
        <v>104</v>
      </c>
      <c r="G1414" s="1566">
        <v>0</v>
      </c>
      <c r="H1414" s="1567"/>
      <c r="I1414" s="1567">
        <v>46810</v>
      </c>
      <c r="J1414" s="1567">
        <v>46810</v>
      </c>
      <c r="K1414" s="1568" t="str">
        <f t="shared" si="22"/>
        <v>No</v>
      </c>
      <c r="L1414" s="1565"/>
    </row>
    <row r="1415" spans="1:12" ht="20.100000000000001" customHeight="1">
      <c r="A1415" s="1568" t="s">
        <v>3049</v>
      </c>
      <c r="B1415" s="1567">
        <v>43159</v>
      </c>
      <c r="C1415" s="1568" t="s">
        <v>3308</v>
      </c>
      <c r="D1415" s="1568" t="s">
        <v>2952</v>
      </c>
      <c r="E1415" s="1567">
        <v>44120</v>
      </c>
      <c r="F1415" s="1566">
        <v>104</v>
      </c>
      <c r="G1415" s="1566">
        <v>0</v>
      </c>
      <c r="H1415" s="1567"/>
      <c r="I1415" s="1567">
        <v>46810</v>
      </c>
      <c r="J1415" s="1567">
        <v>46810</v>
      </c>
      <c r="K1415" s="1568" t="str">
        <f t="shared" si="22"/>
        <v>No</v>
      </c>
      <c r="L1415" s="1565"/>
    </row>
    <row r="1416" spans="1:12" ht="20.100000000000001" customHeight="1">
      <c r="A1416" s="1568" t="s">
        <v>3049</v>
      </c>
      <c r="B1416" s="1567">
        <v>43159</v>
      </c>
      <c r="C1416" s="1568" t="s">
        <v>3308</v>
      </c>
      <c r="D1416" s="1568" t="s">
        <v>2952</v>
      </c>
      <c r="E1416" s="1567">
        <v>44151</v>
      </c>
      <c r="F1416" s="1566">
        <v>104</v>
      </c>
      <c r="G1416" s="1566">
        <v>0</v>
      </c>
      <c r="H1416" s="1567"/>
      <c r="I1416" s="1567">
        <v>46810</v>
      </c>
      <c r="J1416" s="1567">
        <v>46810</v>
      </c>
      <c r="K1416" s="1568" t="str">
        <f t="shared" si="22"/>
        <v>No</v>
      </c>
      <c r="L1416" s="1565"/>
    </row>
    <row r="1417" spans="1:12" ht="20.100000000000001" customHeight="1">
      <c r="A1417" s="1568" t="s">
        <v>3049</v>
      </c>
      <c r="B1417" s="1567">
        <v>43159</v>
      </c>
      <c r="C1417" s="1568" t="s">
        <v>3308</v>
      </c>
      <c r="D1417" s="1568" t="s">
        <v>2952</v>
      </c>
      <c r="E1417" s="1567">
        <v>44181</v>
      </c>
      <c r="F1417" s="1566">
        <v>104</v>
      </c>
      <c r="G1417" s="1566">
        <v>0</v>
      </c>
      <c r="H1417" s="1567"/>
      <c r="I1417" s="1567">
        <v>46810</v>
      </c>
      <c r="J1417" s="1567">
        <v>46810</v>
      </c>
      <c r="K1417" s="1568" t="str">
        <f t="shared" si="22"/>
        <v>No</v>
      </c>
      <c r="L1417" s="1565"/>
    </row>
    <row r="1418" spans="1:12" ht="20.100000000000001" customHeight="1">
      <c r="A1418" s="1568" t="s">
        <v>3049</v>
      </c>
      <c r="B1418" s="1567">
        <v>43159</v>
      </c>
      <c r="C1418" s="1568" t="s">
        <v>3308</v>
      </c>
      <c r="D1418" s="1568" t="s">
        <v>2952</v>
      </c>
      <c r="E1418" s="1567">
        <v>44212</v>
      </c>
      <c r="F1418" s="1566">
        <v>104</v>
      </c>
      <c r="G1418" s="1566">
        <v>0</v>
      </c>
      <c r="H1418" s="1567"/>
      <c r="I1418" s="1567">
        <v>46810</v>
      </c>
      <c r="J1418" s="1567">
        <v>46810</v>
      </c>
      <c r="K1418" s="1568" t="str">
        <f t="shared" si="22"/>
        <v>No</v>
      </c>
      <c r="L1418" s="1565"/>
    </row>
    <row r="1419" spans="1:12" ht="20.100000000000001" customHeight="1">
      <c r="A1419" s="1568" t="s">
        <v>3049</v>
      </c>
      <c r="B1419" s="1567">
        <v>43159</v>
      </c>
      <c r="C1419" s="1568" t="s">
        <v>3308</v>
      </c>
      <c r="D1419" s="1568" t="s">
        <v>2952</v>
      </c>
      <c r="E1419" s="1567">
        <v>44243</v>
      </c>
      <c r="F1419" s="1566">
        <v>105</v>
      </c>
      <c r="G1419" s="1566">
        <v>0</v>
      </c>
      <c r="H1419" s="1567"/>
      <c r="I1419" s="1567">
        <v>46810</v>
      </c>
      <c r="J1419" s="1567">
        <v>46810</v>
      </c>
      <c r="K1419" s="1568" t="str">
        <f t="shared" si="22"/>
        <v>No</v>
      </c>
      <c r="L1419" s="1565"/>
    </row>
    <row r="1420" spans="1:12" ht="20.100000000000001" customHeight="1">
      <c r="A1420" s="1568" t="s">
        <v>3049</v>
      </c>
      <c r="B1420" s="1567">
        <v>43159</v>
      </c>
      <c r="C1420" s="1568" t="s">
        <v>3308</v>
      </c>
      <c r="D1420" s="1568" t="s">
        <v>2952</v>
      </c>
      <c r="E1420" s="1567">
        <v>44271</v>
      </c>
      <c r="F1420" s="1566">
        <v>104</v>
      </c>
      <c r="G1420" s="1566">
        <v>0</v>
      </c>
      <c r="H1420" s="1567"/>
      <c r="I1420" s="1567">
        <v>46810</v>
      </c>
      <c r="J1420" s="1567">
        <v>46810</v>
      </c>
      <c r="K1420" s="1568" t="str">
        <f t="shared" si="22"/>
        <v>No</v>
      </c>
      <c r="L1420" s="1565"/>
    </row>
    <row r="1421" spans="1:12" ht="20.100000000000001" customHeight="1">
      <c r="A1421" s="1568" t="s">
        <v>3049</v>
      </c>
      <c r="B1421" s="1567">
        <v>43159</v>
      </c>
      <c r="C1421" s="1568" t="s">
        <v>3308</v>
      </c>
      <c r="D1421" s="1568" t="s">
        <v>2952</v>
      </c>
      <c r="E1421" s="1567">
        <v>44302</v>
      </c>
      <c r="F1421" s="1566">
        <v>104</v>
      </c>
      <c r="G1421" s="1566">
        <v>0</v>
      </c>
      <c r="H1421" s="1567"/>
      <c r="I1421" s="1567">
        <v>46810</v>
      </c>
      <c r="J1421" s="1567">
        <v>46810</v>
      </c>
      <c r="K1421" s="1568" t="str">
        <f t="shared" si="22"/>
        <v>No</v>
      </c>
      <c r="L1421" s="1565"/>
    </row>
    <row r="1422" spans="1:12" ht="20.100000000000001" customHeight="1">
      <c r="A1422" s="1568" t="s">
        <v>3049</v>
      </c>
      <c r="B1422" s="1567">
        <v>43159</v>
      </c>
      <c r="C1422" s="1568" t="s">
        <v>3308</v>
      </c>
      <c r="D1422" s="1568" t="s">
        <v>2952</v>
      </c>
      <c r="E1422" s="1567">
        <v>44332</v>
      </c>
      <c r="F1422" s="1566">
        <v>104</v>
      </c>
      <c r="G1422" s="1566">
        <v>0</v>
      </c>
      <c r="H1422" s="1567"/>
      <c r="I1422" s="1567">
        <v>46810</v>
      </c>
      <c r="J1422" s="1567">
        <v>46810</v>
      </c>
      <c r="K1422" s="1568" t="str">
        <f t="shared" si="22"/>
        <v>No</v>
      </c>
      <c r="L1422" s="1565"/>
    </row>
    <row r="1423" spans="1:12" ht="20.100000000000001" customHeight="1">
      <c r="A1423" s="1568" t="s">
        <v>3049</v>
      </c>
      <c r="B1423" s="1567">
        <v>43159</v>
      </c>
      <c r="C1423" s="1568" t="s">
        <v>3308</v>
      </c>
      <c r="D1423" s="1568" t="s">
        <v>2952</v>
      </c>
      <c r="E1423" s="1567">
        <v>44363</v>
      </c>
      <c r="F1423" s="1566">
        <v>104</v>
      </c>
      <c r="G1423" s="1566">
        <v>0</v>
      </c>
      <c r="H1423" s="1567"/>
      <c r="I1423" s="1567">
        <v>46810</v>
      </c>
      <c r="J1423" s="1567">
        <v>46810</v>
      </c>
      <c r="K1423" s="1568" t="str">
        <f t="shared" si="22"/>
        <v>No</v>
      </c>
      <c r="L1423" s="1565"/>
    </row>
    <row r="1424" spans="1:12" ht="20.100000000000001" customHeight="1">
      <c r="A1424" s="1568" t="s">
        <v>3049</v>
      </c>
      <c r="B1424" s="1567">
        <v>43159</v>
      </c>
      <c r="C1424" s="1568" t="s">
        <v>3308</v>
      </c>
      <c r="D1424" s="1568" t="s">
        <v>2952</v>
      </c>
      <c r="E1424" s="1567">
        <v>44393</v>
      </c>
      <c r="F1424" s="1566">
        <v>104</v>
      </c>
      <c r="G1424" s="1566">
        <v>0</v>
      </c>
      <c r="H1424" s="1567"/>
      <c r="I1424" s="1567">
        <v>46810</v>
      </c>
      <c r="J1424" s="1567">
        <v>46810</v>
      </c>
      <c r="K1424" s="1568" t="str">
        <f t="shared" si="22"/>
        <v>No</v>
      </c>
      <c r="L1424" s="1565"/>
    </row>
    <row r="1425" spans="1:12" ht="20.100000000000001" customHeight="1">
      <c r="A1425" s="1568" t="s">
        <v>3049</v>
      </c>
      <c r="B1425" s="1567">
        <v>43159</v>
      </c>
      <c r="C1425" s="1568" t="s">
        <v>3308</v>
      </c>
      <c r="D1425" s="1568" t="s">
        <v>2952</v>
      </c>
      <c r="E1425" s="1567">
        <v>44424</v>
      </c>
      <c r="F1425" s="1566">
        <v>105</v>
      </c>
      <c r="G1425" s="1566">
        <v>0</v>
      </c>
      <c r="H1425" s="1567"/>
      <c r="I1425" s="1567">
        <v>46810</v>
      </c>
      <c r="J1425" s="1567">
        <v>46810</v>
      </c>
      <c r="K1425" s="1568" t="str">
        <f t="shared" si="22"/>
        <v>No</v>
      </c>
      <c r="L1425" s="1565"/>
    </row>
    <row r="1426" spans="1:12" ht="20.100000000000001" customHeight="1">
      <c r="A1426" s="1568" t="s">
        <v>3049</v>
      </c>
      <c r="B1426" s="1567">
        <v>43159</v>
      </c>
      <c r="C1426" s="1568" t="s">
        <v>3308</v>
      </c>
      <c r="D1426" s="1568" t="s">
        <v>2952</v>
      </c>
      <c r="E1426" s="1567">
        <v>44455</v>
      </c>
      <c r="F1426" s="1566">
        <v>104</v>
      </c>
      <c r="G1426" s="1566">
        <v>0</v>
      </c>
      <c r="H1426" s="1567"/>
      <c r="I1426" s="1567">
        <v>46810</v>
      </c>
      <c r="J1426" s="1567">
        <v>46810</v>
      </c>
      <c r="K1426" s="1568" t="str">
        <f t="shared" si="22"/>
        <v>No</v>
      </c>
      <c r="L1426" s="1565"/>
    </row>
    <row r="1427" spans="1:12" ht="20.100000000000001" customHeight="1">
      <c r="A1427" s="1568" t="s">
        <v>3049</v>
      </c>
      <c r="B1427" s="1567">
        <v>43159</v>
      </c>
      <c r="C1427" s="1568" t="s">
        <v>3308</v>
      </c>
      <c r="D1427" s="1568" t="s">
        <v>2952</v>
      </c>
      <c r="E1427" s="1567">
        <v>44485</v>
      </c>
      <c r="F1427" s="1566">
        <v>104</v>
      </c>
      <c r="G1427" s="1566">
        <v>0</v>
      </c>
      <c r="H1427" s="1567"/>
      <c r="I1427" s="1567">
        <v>46810</v>
      </c>
      <c r="J1427" s="1567">
        <v>46810</v>
      </c>
      <c r="K1427" s="1568" t="str">
        <f t="shared" si="22"/>
        <v>No</v>
      </c>
      <c r="L1427" s="1565"/>
    </row>
    <row r="1428" spans="1:12" ht="20.100000000000001" customHeight="1">
      <c r="A1428" s="1568" t="s">
        <v>3049</v>
      </c>
      <c r="B1428" s="1567">
        <v>43159</v>
      </c>
      <c r="C1428" s="1568" t="s">
        <v>3308</v>
      </c>
      <c r="D1428" s="1568" t="s">
        <v>2952</v>
      </c>
      <c r="E1428" s="1567">
        <v>44516</v>
      </c>
      <c r="F1428" s="1566">
        <v>104</v>
      </c>
      <c r="G1428" s="1566">
        <v>0</v>
      </c>
      <c r="H1428" s="1567"/>
      <c r="I1428" s="1567">
        <v>46810</v>
      </c>
      <c r="J1428" s="1567">
        <v>46810</v>
      </c>
      <c r="K1428" s="1568" t="str">
        <f t="shared" si="22"/>
        <v>No</v>
      </c>
      <c r="L1428" s="1565"/>
    </row>
    <row r="1429" spans="1:12" ht="20.100000000000001" customHeight="1">
      <c r="A1429" s="1568" t="s">
        <v>3049</v>
      </c>
      <c r="B1429" s="1567">
        <v>43159</v>
      </c>
      <c r="C1429" s="1568" t="s">
        <v>3308</v>
      </c>
      <c r="D1429" s="1568" t="s">
        <v>2952</v>
      </c>
      <c r="E1429" s="1567">
        <v>44546</v>
      </c>
      <c r="F1429" s="1566">
        <v>104</v>
      </c>
      <c r="G1429" s="1566">
        <v>0</v>
      </c>
      <c r="H1429" s="1567"/>
      <c r="I1429" s="1567">
        <v>46810</v>
      </c>
      <c r="J1429" s="1567">
        <v>46810</v>
      </c>
      <c r="K1429" s="1568" t="str">
        <f t="shared" si="22"/>
        <v>No</v>
      </c>
      <c r="L1429" s="1565"/>
    </row>
    <row r="1430" spans="1:12" ht="20.100000000000001" customHeight="1">
      <c r="A1430" s="1568" t="s">
        <v>3049</v>
      </c>
      <c r="B1430" s="1567">
        <v>43159</v>
      </c>
      <c r="C1430" s="1568" t="s">
        <v>3308</v>
      </c>
      <c r="D1430" s="1568" t="s">
        <v>2952</v>
      </c>
      <c r="E1430" s="1567">
        <v>44577</v>
      </c>
      <c r="F1430" s="1566">
        <v>104</v>
      </c>
      <c r="G1430" s="1566">
        <v>0</v>
      </c>
      <c r="H1430" s="1567"/>
      <c r="I1430" s="1567">
        <v>46810</v>
      </c>
      <c r="J1430" s="1567">
        <v>46810</v>
      </c>
      <c r="K1430" s="1568" t="str">
        <f t="shared" si="22"/>
        <v>No</v>
      </c>
      <c r="L1430" s="1565"/>
    </row>
    <row r="1431" spans="1:12" ht="20.100000000000001" customHeight="1">
      <c r="A1431" s="1568" t="s">
        <v>3049</v>
      </c>
      <c r="B1431" s="1567">
        <v>43159</v>
      </c>
      <c r="C1431" s="1568" t="s">
        <v>3308</v>
      </c>
      <c r="D1431" s="1568" t="s">
        <v>2952</v>
      </c>
      <c r="E1431" s="1567">
        <v>44608</v>
      </c>
      <c r="F1431" s="1566">
        <v>105</v>
      </c>
      <c r="G1431" s="1566">
        <v>0</v>
      </c>
      <c r="H1431" s="1567"/>
      <c r="I1431" s="1567">
        <v>46810</v>
      </c>
      <c r="J1431" s="1567">
        <v>46810</v>
      </c>
      <c r="K1431" s="1568" t="str">
        <f t="shared" si="22"/>
        <v>No</v>
      </c>
      <c r="L1431" s="1565"/>
    </row>
    <row r="1432" spans="1:12" ht="20.100000000000001" customHeight="1">
      <c r="A1432" s="1568" t="s">
        <v>3048</v>
      </c>
      <c r="B1432" s="1567">
        <v>43159</v>
      </c>
      <c r="C1432" s="1568" t="s">
        <v>3308</v>
      </c>
      <c r="D1432" s="1568" t="s">
        <v>2978</v>
      </c>
      <c r="E1432" s="1567">
        <v>43512</v>
      </c>
      <c r="F1432" s="1566">
        <v>1000</v>
      </c>
      <c r="G1432" s="1566">
        <v>0</v>
      </c>
      <c r="H1432" s="1567"/>
      <c r="I1432" s="1567">
        <v>46810</v>
      </c>
      <c r="J1432" s="1567">
        <v>46810</v>
      </c>
      <c r="K1432" s="1568" t="str">
        <f t="shared" si="22"/>
        <v>No</v>
      </c>
      <c r="L1432" s="1565"/>
    </row>
    <row r="1433" spans="1:12" ht="20.100000000000001" customHeight="1">
      <c r="A1433" s="1568" t="s">
        <v>3048</v>
      </c>
      <c r="B1433" s="1567">
        <v>43159</v>
      </c>
      <c r="C1433" s="1568" t="s">
        <v>3308</v>
      </c>
      <c r="D1433" s="1568" t="s">
        <v>2978</v>
      </c>
      <c r="E1433" s="1567">
        <v>43540</v>
      </c>
      <c r="F1433" s="1566">
        <v>83</v>
      </c>
      <c r="G1433" s="1566">
        <v>0</v>
      </c>
      <c r="H1433" s="1567"/>
      <c r="I1433" s="1567">
        <v>46810</v>
      </c>
      <c r="J1433" s="1567">
        <v>46810</v>
      </c>
      <c r="K1433" s="1568" t="str">
        <f t="shared" si="22"/>
        <v>No</v>
      </c>
      <c r="L1433" s="1565"/>
    </row>
    <row r="1434" spans="1:12" ht="20.100000000000001" customHeight="1">
      <c r="A1434" s="1568" t="s">
        <v>3048</v>
      </c>
      <c r="B1434" s="1567">
        <v>43159</v>
      </c>
      <c r="C1434" s="1568" t="s">
        <v>3308</v>
      </c>
      <c r="D1434" s="1568" t="s">
        <v>2978</v>
      </c>
      <c r="E1434" s="1567">
        <v>43571</v>
      </c>
      <c r="F1434" s="1566">
        <v>83</v>
      </c>
      <c r="G1434" s="1566">
        <v>0</v>
      </c>
      <c r="H1434" s="1567"/>
      <c r="I1434" s="1567">
        <v>46810</v>
      </c>
      <c r="J1434" s="1567">
        <v>46810</v>
      </c>
      <c r="K1434" s="1568" t="str">
        <f t="shared" si="22"/>
        <v>No</v>
      </c>
      <c r="L1434" s="1565"/>
    </row>
    <row r="1435" spans="1:12" ht="20.100000000000001" customHeight="1">
      <c r="A1435" s="1568" t="s">
        <v>3048</v>
      </c>
      <c r="B1435" s="1567">
        <v>43159</v>
      </c>
      <c r="C1435" s="1568" t="s">
        <v>3308</v>
      </c>
      <c r="D1435" s="1568" t="s">
        <v>2978</v>
      </c>
      <c r="E1435" s="1567">
        <v>43601</v>
      </c>
      <c r="F1435" s="1566">
        <v>84</v>
      </c>
      <c r="G1435" s="1566">
        <v>0</v>
      </c>
      <c r="H1435" s="1567"/>
      <c r="I1435" s="1567">
        <v>46810</v>
      </c>
      <c r="J1435" s="1567">
        <v>46810</v>
      </c>
      <c r="K1435" s="1568" t="str">
        <f t="shared" si="22"/>
        <v>No</v>
      </c>
      <c r="L1435" s="1565"/>
    </row>
    <row r="1436" spans="1:12" ht="20.100000000000001" customHeight="1">
      <c r="A1436" s="1568" t="s">
        <v>3048</v>
      </c>
      <c r="B1436" s="1567">
        <v>43159</v>
      </c>
      <c r="C1436" s="1568" t="s">
        <v>3308</v>
      </c>
      <c r="D1436" s="1568" t="s">
        <v>2978</v>
      </c>
      <c r="E1436" s="1567">
        <v>43632</v>
      </c>
      <c r="F1436" s="1566">
        <v>83</v>
      </c>
      <c r="G1436" s="1566">
        <v>0</v>
      </c>
      <c r="H1436" s="1567"/>
      <c r="I1436" s="1567">
        <v>46810</v>
      </c>
      <c r="J1436" s="1567">
        <v>46810</v>
      </c>
      <c r="K1436" s="1568" t="str">
        <f t="shared" si="22"/>
        <v>No</v>
      </c>
      <c r="L1436" s="1565"/>
    </row>
    <row r="1437" spans="1:12" ht="20.100000000000001" customHeight="1">
      <c r="A1437" s="1568" t="s">
        <v>3048</v>
      </c>
      <c r="B1437" s="1567">
        <v>43159</v>
      </c>
      <c r="C1437" s="1568" t="s">
        <v>3308</v>
      </c>
      <c r="D1437" s="1568" t="s">
        <v>2978</v>
      </c>
      <c r="E1437" s="1567">
        <v>43662</v>
      </c>
      <c r="F1437" s="1566">
        <v>83</v>
      </c>
      <c r="G1437" s="1566">
        <v>0</v>
      </c>
      <c r="H1437" s="1567"/>
      <c r="I1437" s="1567">
        <v>46810</v>
      </c>
      <c r="J1437" s="1567">
        <v>46810</v>
      </c>
      <c r="K1437" s="1568" t="str">
        <f t="shared" si="22"/>
        <v>No</v>
      </c>
      <c r="L1437" s="1565"/>
    </row>
    <row r="1438" spans="1:12" ht="20.100000000000001" customHeight="1">
      <c r="A1438" s="1568" t="s">
        <v>3048</v>
      </c>
      <c r="B1438" s="1567">
        <v>43159</v>
      </c>
      <c r="C1438" s="1568" t="s">
        <v>3308</v>
      </c>
      <c r="D1438" s="1568" t="s">
        <v>2978</v>
      </c>
      <c r="E1438" s="1567">
        <v>43693</v>
      </c>
      <c r="F1438" s="1566">
        <v>84</v>
      </c>
      <c r="G1438" s="1566">
        <v>0</v>
      </c>
      <c r="H1438" s="1567"/>
      <c r="I1438" s="1567">
        <v>46810</v>
      </c>
      <c r="J1438" s="1567">
        <v>46810</v>
      </c>
      <c r="K1438" s="1568" t="str">
        <f t="shared" si="22"/>
        <v>No</v>
      </c>
      <c r="L1438" s="1565"/>
    </row>
    <row r="1439" spans="1:12" ht="20.100000000000001" customHeight="1">
      <c r="A1439" s="1568" t="s">
        <v>3048</v>
      </c>
      <c r="B1439" s="1567">
        <v>43159</v>
      </c>
      <c r="C1439" s="1568" t="s">
        <v>3308</v>
      </c>
      <c r="D1439" s="1568" t="s">
        <v>2978</v>
      </c>
      <c r="E1439" s="1567">
        <v>43724</v>
      </c>
      <c r="F1439" s="1566">
        <v>83</v>
      </c>
      <c r="G1439" s="1566">
        <v>0</v>
      </c>
      <c r="H1439" s="1567"/>
      <c r="I1439" s="1567">
        <v>46810</v>
      </c>
      <c r="J1439" s="1567">
        <v>46810</v>
      </c>
      <c r="K1439" s="1568" t="str">
        <f t="shared" si="22"/>
        <v>No</v>
      </c>
      <c r="L1439" s="1565"/>
    </row>
    <row r="1440" spans="1:12" ht="20.100000000000001" customHeight="1">
      <c r="A1440" s="1568" t="s">
        <v>3048</v>
      </c>
      <c r="B1440" s="1567">
        <v>43159</v>
      </c>
      <c r="C1440" s="1568" t="s">
        <v>3308</v>
      </c>
      <c r="D1440" s="1568" t="s">
        <v>2978</v>
      </c>
      <c r="E1440" s="1567">
        <v>43754</v>
      </c>
      <c r="F1440" s="1566">
        <v>83</v>
      </c>
      <c r="G1440" s="1566">
        <v>0</v>
      </c>
      <c r="H1440" s="1567"/>
      <c r="I1440" s="1567">
        <v>46810</v>
      </c>
      <c r="J1440" s="1567">
        <v>46810</v>
      </c>
      <c r="K1440" s="1568" t="str">
        <f t="shared" si="22"/>
        <v>No</v>
      </c>
      <c r="L1440" s="1565"/>
    </row>
    <row r="1441" spans="1:12" ht="20.100000000000001" customHeight="1">
      <c r="A1441" s="1568" t="s">
        <v>3048</v>
      </c>
      <c r="B1441" s="1567">
        <v>43159</v>
      </c>
      <c r="C1441" s="1568" t="s">
        <v>3308</v>
      </c>
      <c r="D1441" s="1568" t="s">
        <v>2978</v>
      </c>
      <c r="E1441" s="1567">
        <v>43785</v>
      </c>
      <c r="F1441" s="1566">
        <v>84</v>
      </c>
      <c r="G1441" s="1566">
        <v>0</v>
      </c>
      <c r="H1441" s="1567"/>
      <c r="I1441" s="1567">
        <v>46810</v>
      </c>
      <c r="J1441" s="1567">
        <v>46810</v>
      </c>
      <c r="K1441" s="1568" t="str">
        <f t="shared" si="22"/>
        <v>No</v>
      </c>
      <c r="L1441" s="1565"/>
    </row>
    <row r="1442" spans="1:12" ht="20.100000000000001" customHeight="1">
      <c r="A1442" s="1568" t="s">
        <v>3048</v>
      </c>
      <c r="B1442" s="1567">
        <v>43159</v>
      </c>
      <c r="C1442" s="1568" t="s">
        <v>3308</v>
      </c>
      <c r="D1442" s="1568" t="s">
        <v>2978</v>
      </c>
      <c r="E1442" s="1567">
        <v>43815</v>
      </c>
      <c r="F1442" s="1566">
        <v>83</v>
      </c>
      <c r="G1442" s="1566">
        <v>0</v>
      </c>
      <c r="H1442" s="1567"/>
      <c r="I1442" s="1567">
        <v>46810</v>
      </c>
      <c r="J1442" s="1567">
        <v>46810</v>
      </c>
      <c r="K1442" s="1568" t="str">
        <f t="shared" si="22"/>
        <v>No</v>
      </c>
      <c r="L1442" s="1565"/>
    </row>
    <row r="1443" spans="1:12" ht="20.100000000000001" customHeight="1">
      <c r="A1443" s="1568" t="s">
        <v>3048</v>
      </c>
      <c r="B1443" s="1567">
        <v>43159</v>
      </c>
      <c r="C1443" s="1568" t="s">
        <v>3308</v>
      </c>
      <c r="D1443" s="1568" t="s">
        <v>2978</v>
      </c>
      <c r="E1443" s="1567">
        <v>43846</v>
      </c>
      <c r="F1443" s="1566">
        <v>83</v>
      </c>
      <c r="G1443" s="1566">
        <v>0</v>
      </c>
      <c r="H1443" s="1567"/>
      <c r="I1443" s="1567">
        <v>46810</v>
      </c>
      <c r="J1443" s="1567">
        <v>46810</v>
      </c>
      <c r="K1443" s="1568" t="str">
        <f t="shared" si="22"/>
        <v>No</v>
      </c>
      <c r="L1443" s="1565"/>
    </row>
    <row r="1444" spans="1:12" ht="20.100000000000001" customHeight="1">
      <c r="A1444" s="1568" t="s">
        <v>3048</v>
      </c>
      <c r="B1444" s="1567">
        <v>43159</v>
      </c>
      <c r="C1444" s="1568" t="s">
        <v>3308</v>
      </c>
      <c r="D1444" s="1568" t="s">
        <v>2978</v>
      </c>
      <c r="E1444" s="1567">
        <v>43877</v>
      </c>
      <c r="F1444" s="1566">
        <v>84</v>
      </c>
      <c r="G1444" s="1566">
        <v>0</v>
      </c>
      <c r="H1444" s="1567"/>
      <c r="I1444" s="1567">
        <v>46810</v>
      </c>
      <c r="J1444" s="1567">
        <v>46810</v>
      </c>
      <c r="K1444" s="1568" t="str">
        <f t="shared" si="22"/>
        <v>No</v>
      </c>
      <c r="L1444" s="1565"/>
    </row>
    <row r="1445" spans="1:12" ht="20.100000000000001" customHeight="1">
      <c r="A1445" s="1568" t="s">
        <v>3048</v>
      </c>
      <c r="B1445" s="1567">
        <v>43159</v>
      </c>
      <c r="C1445" s="1568" t="s">
        <v>3308</v>
      </c>
      <c r="D1445" s="1568" t="s">
        <v>2978</v>
      </c>
      <c r="E1445" s="1567">
        <v>43906</v>
      </c>
      <c r="F1445" s="1566">
        <v>83</v>
      </c>
      <c r="G1445" s="1566">
        <v>0</v>
      </c>
      <c r="H1445" s="1567"/>
      <c r="I1445" s="1567">
        <v>46810</v>
      </c>
      <c r="J1445" s="1567">
        <v>46810</v>
      </c>
      <c r="K1445" s="1568" t="str">
        <f t="shared" si="22"/>
        <v>No</v>
      </c>
      <c r="L1445" s="1565"/>
    </row>
    <row r="1446" spans="1:12" ht="20.100000000000001" customHeight="1">
      <c r="A1446" s="1568" t="s">
        <v>3048</v>
      </c>
      <c r="B1446" s="1567">
        <v>43159</v>
      </c>
      <c r="C1446" s="1568" t="s">
        <v>3308</v>
      </c>
      <c r="D1446" s="1568" t="s">
        <v>2978</v>
      </c>
      <c r="E1446" s="1567">
        <v>43937</v>
      </c>
      <c r="F1446" s="1566">
        <v>83</v>
      </c>
      <c r="G1446" s="1566">
        <v>0</v>
      </c>
      <c r="H1446" s="1567"/>
      <c r="I1446" s="1567">
        <v>46810</v>
      </c>
      <c r="J1446" s="1567">
        <v>46810</v>
      </c>
      <c r="K1446" s="1568" t="str">
        <f t="shared" si="22"/>
        <v>No</v>
      </c>
      <c r="L1446" s="1565"/>
    </row>
    <row r="1447" spans="1:12" ht="20.100000000000001" customHeight="1">
      <c r="A1447" s="1568" t="s">
        <v>3048</v>
      </c>
      <c r="B1447" s="1567">
        <v>43159</v>
      </c>
      <c r="C1447" s="1568" t="s">
        <v>3308</v>
      </c>
      <c r="D1447" s="1568" t="s">
        <v>2978</v>
      </c>
      <c r="E1447" s="1567">
        <v>43967</v>
      </c>
      <c r="F1447" s="1566">
        <v>84</v>
      </c>
      <c r="G1447" s="1566">
        <v>0</v>
      </c>
      <c r="H1447" s="1567"/>
      <c r="I1447" s="1567">
        <v>46810</v>
      </c>
      <c r="J1447" s="1567">
        <v>46810</v>
      </c>
      <c r="K1447" s="1568" t="str">
        <f t="shared" si="22"/>
        <v>No</v>
      </c>
      <c r="L1447" s="1565"/>
    </row>
    <row r="1448" spans="1:12" ht="20.100000000000001" customHeight="1">
      <c r="A1448" s="1568" t="s">
        <v>3048</v>
      </c>
      <c r="B1448" s="1567">
        <v>43159</v>
      </c>
      <c r="C1448" s="1568" t="s">
        <v>3308</v>
      </c>
      <c r="D1448" s="1568" t="s">
        <v>2978</v>
      </c>
      <c r="E1448" s="1567">
        <v>43998</v>
      </c>
      <c r="F1448" s="1566">
        <v>83</v>
      </c>
      <c r="G1448" s="1566">
        <v>0</v>
      </c>
      <c r="H1448" s="1567"/>
      <c r="I1448" s="1567">
        <v>46810</v>
      </c>
      <c r="J1448" s="1567">
        <v>46810</v>
      </c>
      <c r="K1448" s="1568" t="str">
        <f t="shared" si="22"/>
        <v>No</v>
      </c>
      <c r="L1448" s="1565"/>
    </row>
    <row r="1449" spans="1:12" ht="20.100000000000001" customHeight="1">
      <c r="A1449" s="1568" t="s">
        <v>3048</v>
      </c>
      <c r="B1449" s="1567">
        <v>43159</v>
      </c>
      <c r="C1449" s="1568" t="s">
        <v>3308</v>
      </c>
      <c r="D1449" s="1568" t="s">
        <v>2978</v>
      </c>
      <c r="E1449" s="1567">
        <v>44028</v>
      </c>
      <c r="F1449" s="1566">
        <v>83</v>
      </c>
      <c r="G1449" s="1566">
        <v>0</v>
      </c>
      <c r="H1449" s="1567"/>
      <c r="I1449" s="1567">
        <v>46810</v>
      </c>
      <c r="J1449" s="1567">
        <v>46810</v>
      </c>
      <c r="K1449" s="1568" t="str">
        <f t="shared" si="22"/>
        <v>No</v>
      </c>
      <c r="L1449" s="1565"/>
    </row>
    <row r="1450" spans="1:12" ht="20.100000000000001" customHeight="1">
      <c r="A1450" s="1568" t="s">
        <v>3048</v>
      </c>
      <c r="B1450" s="1567">
        <v>43159</v>
      </c>
      <c r="C1450" s="1568" t="s">
        <v>3308</v>
      </c>
      <c r="D1450" s="1568" t="s">
        <v>2978</v>
      </c>
      <c r="E1450" s="1567">
        <v>44059</v>
      </c>
      <c r="F1450" s="1566">
        <v>84</v>
      </c>
      <c r="G1450" s="1566">
        <v>0</v>
      </c>
      <c r="H1450" s="1567"/>
      <c r="I1450" s="1567">
        <v>46810</v>
      </c>
      <c r="J1450" s="1567">
        <v>46810</v>
      </c>
      <c r="K1450" s="1568" t="str">
        <f t="shared" si="22"/>
        <v>No</v>
      </c>
      <c r="L1450" s="1565"/>
    </row>
    <row r="1451" spans="1:12" ht="20.100000000000001" customHeight="1">
      <c r="A1451" s="1568" t="s">
        <v>3048</v>
      </c>
      <c r="B1451" s="1567">
        <v>43159</v>
      </c>
      <c r="C1451" s="1568" t="s">
        <v>3308</v>
      </c>
      <c r="D1451" s="1568" t="s">
        <v>2978</v>
      </c>
      <c r="E1451" s="1567">
        <v>44090</v>
      </c>
      <c r="F1451" s="1566">
        <v>83</v>
      </c>
      <c r="G1451" s="1566">
        <v>0</v>
      </c>
      <c r="H1451" s="1567"/>
      <c r="I1451" s="1567">
        <v>46810</v>
      </c>
      <c r="J1451" s="1567">
        <v>46810</v>
      </c>
      <c r="K1451" s="1568" t="str">
        <f t="shared" si="22"/>
        <v>No</v>
      </c>
      <c r="L1451" s="1565"/>
    </row>
    <row r="1452" spans="1:12" ht="20.100000000000001" customHeight="1">
      <c r="A1452" s="1568" t="s">
        <v>3048</v>
      </c>
      <c r="B1452" s="1567">
        <v>43159</v>
      </c>
      <c r="C1452" s="1568" t="s">
        <v>3308</v>
      </c>
      <c r="D1452" s="1568" t="s">
        <v>2978</v>
      </c>
      <c r="E1452" s="1567">
        <v>44120</v>
      </c>
      <c r="F1452" s="1566">
        <v>83</v>
      </c>
      <c r="G1452" s="1566">
        <v>0</v>
      </c>
      <c r="H1452" s="1567"/>
      <c r="I1452" s="1567">
        <v>46810</v>
      </c>
      <c r="J1452" s="1567">
        <v>46810</v>
      </c>
      <c r="K1452" s="1568" t="str">
        <f t="shared" si="22"/>
        <v>No</v>
      </c>
      <c r="L1452" s="1565"/>
    </row>
    <row r="1453" spans="1:12" ht="20.100000000000001" customHeight="1">
      <c r="A1453" s="1568" t="s">
        <v>3048</v>
      </c>
      <c r="B1453" s="1567">
        <v>43159</v>
      </c>
      <c r="C1453" s="1568" t="s">
        <v>3308</v>
      </c>
      <c r="D1453" s="1568" t="s">
        <v>2978</v>
      </c>
      <c r="E1453" s="1567">
        <v>44151</v>
      </c>
      <c r="F1453" s="1566">
        <v>84</v>
      </c>
      <c r="G1453" s="1566">
        <v>0</v>
      </c>
      <c r="H1453" s="1567"/>
      <c r="I1453" s="1567">
        <v>46810</v>
      </c>
      <c r="J1453" s="1567">
        <v>46810</v>
      </c>
      <c r="K1453" s="1568" t="str">
        <f t="shared" si="22"/>
        <v>No</v>
      </c>
      <c r="L1453" s="1565"/>
    </row>
    <row r="1454" spans="1:12" ht="20.100000000000001" customHeight="1">
      <c r="A1454" s="1568" t="s">
        <v>3048</v>
      </c>
      <c r="B1454" s="1567">
        <v>43159</v>
      </c>
      <c r="C1454" s="1568" t="s">
        <v>3308</v>
      </c>
      <c r="D1454" s="1568" t="s">
        <v>2978</v>
      </c>
      <c r="E1454" s="1567">
        <v>44181</v>
      </c>
      <c r="F1454" s="1566">
        <v>83</v>
      </c>
      <c r="G1454" s="1566">
        <v>0</v>
      </c>
      <c r="H1454" s="1567"/>
      <c r="I1454" s="1567">
        <v>46810</v>
      </c>
      <c r="J1454" s="1567">
        <v>46810</v>
      </c>
      <c r="K1454" s="1568" t="str">
        <f t="shared" si="22"/>
        <v>No</v>
      </c>
      <c r="L1454" s="1565"/>
    </row>
    <row r="1455" spans="1:12" ht="20.100000000000001" customHeight="1">
      <c r="A1455" s="1568" t="s">
        <v>3048</v>
      </c>
      <c r="B1455" s="1567">
        <v>43159</v>
      </c>
      <c r="C1455" s="1568" t="s">
        <v>3308</v>
      </c>
      <c r="D1455" s="1568" t="s">
        <v>2978</v>
      </c>
      <c r="E1455" s="1567">
        <v>44212</v>
      </c>
      <c r="F1455" s="1566">
        <v>83</v>
      </c>
      <c r="G1455" s="1566">
        <v>0</v>
      </c>
      <c r="H1455" s="1567"/>
      <c r="I1455" s="1567">
        <v>46810</v>
      </c>
      <c r="J1455" s="1567">
        <v>46810</v>
      </c>
      <c r="K1455" s="1568" t="str">
        <f t="shared" si="22"/>
        <v>No</v>
      </c>
      <c r="L1455" s="1565"/>
    </row>
    <row r="1456" spans="1:12" ht="20.100000000000001" customHeight="1">
      <c r="A1456" s="1568" t="s">
        <v>3048</v>
      </c>
      <c r="B1456" s="1567">
        <v>43159</v>
      </c>
      <c r="C1456" s="1568" t="s">
        <v>3308</v>
      </c>
      <c r="D1456" s="1568" t="s">
        <v>2978</v>
      </c>
      <c r="E1456" s="1567">
        <v>44243</v>
      </c>
      <c r="F1456" s="1566">
        <v>84</v>
      </c>
      <c r="G1456" s="1566">
        <v>0</v>
      </c>
      <c r="H1456" s="1567"/>
      <c r="I1456" s="1567">
        <v>46810</v>
      </c>
      <c r="J1456" s="1567">
        <v>46810</v>
      </c>
      <c r="K1456" s="1568" t="str">
        <f t="shared" si="22"/>
        <v>No</v>
      </c>
      <c r="L1456" s="1565"/>
    </row>
    <row r="1457" spans="1:12" ht="20.100000000000001" customHeight="1">
      <c r="A1457" s="1568" t="s">
        <v>3048</v>
      </c>
      <c r="B1457" s="1567">
        <v>43159</v>
      </c>
      <c r="C1457" s="1568" t="s">
        <v>3308</v>
      </c>
      <c r="D1457" s="1568" t="s">
        <v>2978</v>
      </c>
      <c r="E1457" s="1567">
        <v>44271</v>
      </c>
      <c r="F1457" s="1566">
        <v>83</v>
      </c>
      <c r="G1457" s="1566">
        <v>0</v>
      </c>
      <c r="H1457" s="1567"/>
      <c r="I1457" s="1567">
        <v>46810</v>
      </c>
      <c r="J1457" s="1567">
        <v>46810</v>
      </c>
      <c r="K1457" s="1568" t="str">
        <f t="shared" si="22"/>
        <v>No</v>
      </c>
      <c r="L1457" s="1565"/>
    </row>
    <row r="1458" spans="1:12" ht="20.100000000000001" customHeight="1">
      <c r="A1458" s="1568" t="s">
        <v>3048</v>
      </c>
      <c r="B1458" s="1567">
        <v>43159</v>
      </c>
      <c r="C1458" s="1568" t="s">
        <v>3308</v>
      </c>
      <c r="D1458" s="1568" t="s">
        <v>2978</v>
      </c>
      <c r="E1458" s="1567">
        <v>44302</v>
      </c>
      <c r="F1458" s="1566">
        <v>83</v>
      </c>
      <c r="G1458" s="1566">
        <v>0</v>
      </c>
      <c r="H1458" s="1567"/>
      <c r="I1458" s="1567">
        <v>46810</v>
      </c>
      <c r="J1458" s="1567">
        <v>46810</v>
      </c>
      <c r="K1458" s="1568" t="str">
        <f t="shared" si="22"/>
        <v>No</v>
      </c>
      <c r="L1458" s="1565"/>
    </row>
    <row r="1459" spans="1:12" ht="20.100000000000001" customHeight="1">
      <c r="A1459" s="1568" t="s">
        <v>3048</v>
      </c>
      <c r="B1459" s="1567">
        <v>43159</v>
      </c>
      <c r="C1459" s="1568" t="s">
        <v>3308</v>
      </c>
      <c r="D1459" s="1568" t="s">
        <v>2978</v>
      </c>
      <c r="E1459" s="1567">
        <v>44332</v>
      </c>
      <c r="F1459" s="1566">
        <v>84</v>
      </c>
      <c r="G1459" s="1566">
        <v>0</v>
      </c>
      <c r="H1459" s="1567"/>
      <c r="I1459" s="1567">
        <v>46810</v>
      </c>
      <c r="J1459" s="1567">
        <v>46810</v>
      </c>
      <c r="K1459" s="1568" t="str">
        <f t="shared" si="22"/>
        <v>No</v>
      </c>
      <c r="L1459" s="1565"/>
    </row>
    <row r="1460" spans="1:12" ht="20.100000000000001" customHeight="1">
      <c r="A1460" s="1568" t="s">
        <v>3048</v>
      </c>
      <c r="B1460" s="1567">
        <v>43159</v>
      </c>
      <c r="C1460" s="1568" t="s">
        <v>3308</v>
      </c>
      <c r="D1460" s="1568" t="s">
        <v>2978</v>
      </c>
      <c r="E1460" s="1567">
        <v>44363</v>
      </c>
      <c r="F1460" s="1566">
        <v>83</v>
      </c>
      <c r="G1460" s="1566">
        <v>0</v>
      </c>
      <c r="H1460" s="1567"/>
      <c r="I1460" s="1567">
        <v>46810</v>
      </c>
      <c r="J1460" s="1567">
        <v>46810</v>
      </c>
      <c r="K1460" s="1568" t="str">
        <f t="shared" si="22"/>
        <v>No</v>
      </c>
      <c r="L1460" s="1565"/>
    </row>
    <row r="1461" spans="1:12" ht="20.100000000000001" customHeight="1">
      <c r="A1461" s="1568" t="s">
        <v>3048</v>
      </c>
      <c r="B1461" s="1567">
        <v>43159</v>
      </c>
      <c r="C1461" s="1568" t="s">
        <v>3308</v>
      </c>
      <c r="D1461" s="1568" t="s">
        <v>2978</v>
      </c>
      <c r="E1461" s="1567">
        <v>44393</v>
      </c>
      <c r="F1461" s="1566">
        <v>83</v>
      </c>
      <c r="G1461" s="1566">
        <v>0</v>
      </c>
      <c r="H1461" s="1567"/>
      <c r="I1461" s="1567">
        <v>46810</v>
      </c>
      <c r="J1461" s="1567">
        <v>46810</v>
      </c>
      <c r="K1461" s="1568" t="str">
        <f t="shared" si="22"/>
        <v>No</v>
      </c>
      <c r="L1461" s="1565"/>
    </row>
    <row r="1462" spans="1:12" ht="20.100000000000001" customHeight="1">
      <c r="A1462" s="1568" t="s">
        <v>3048</v>
      </c>
      <c r="B1462" s="1567">
        <v>43159</v>
      </c>
      <c r="C1462" s="1568" t="s">
        <v>3308</v>
      </c>
      <c r="D1462" s="1568" t="s">
        <v>2978</v>
      </c>
      <c r="E1462" s="1567">
        <v>44424</v>
      </c>
      <c r="F1462" s="1566">
        <v>84</v>
      </c>
      <c r="G1462" s="1566">
        <v>0</v>
      </c>
      <c r="H1462" s="1567"/>
      <c r="I1462" s="1567">
        <v>46810</v>
      </c>
      <c r="J1462" s="1567">
        <v>46810</v>
      </c>
      <c r="K1462" s="1568" t="str">
        <f t="shared" si="22"/>
        <v>No</v>
      </c>
      <c r="L1462" s="1565"/>
    </row>
    <row r="1463" spans="1:12" ht="20.100000000000001" customHeight="1">
      <c r="A1463" s="1568" t="s">
        <v>3048</v>
      </c>
      <c r="B1463" s="1567">
        <v>43159</v>
      </c>
      <c r="C1463" s="1568" t="s">
        <v>3308</v>
      </c>
      <c r="D1463" s="1568" t="s">
        <v>2978</v>
      </c>
      <c r="E1463" s="1567">
        <v>44455</v>
      </c>
      <c r="F1463" s="1566">
        <v>83</v>
      </c>
      <c r="G1463" s="1566">
        <v>0</v>
      </c>
      <c r="H1463" s="1567"/>
      <c r="I1463" s="1567">
        <v>46810</v>
      </c>
      <c r="J1463" s="1567">
        <v>46810</v>
      </c>
      <c r="K1463" s="1568" t="str">
        <f t="shared" si="22"/>
        <v>No</v>
      </c>
      <c r="L1463" s="1565"/>
    </row>
    <row r="1464" spans="1:12" ht="20.100000000000001" customHeight="1">
      <c r="A1464" s="1568" t="s">
        <v>3048</v>
      </c>
      <c r="B1464" s="1567">
        <v>43159</v>
      </c>
      <c r="C1464" s="1568" t="s">
        <v>3308</v>
      </c>
      <c r="D1464" s="1568" t="s">
        <v>2978</v>
      </c>
      <c r="E1464" s="1567">
        <v>44485</v>
      </c>
      <c r="F1464" s="1566">
        <v>83</v>
      </c>
      <c r="G1464" s="1566">
        <v>0</v>
      </c>
      <c r="H1464" s="1567"/>
      <c r="I1464" s="1567">
        <v>46810</v>
      </c>
      <c r="J1464" s="1567">
        <v>46810</v>
      </c>
      <c r="K1464" s="1568" t="str">
        <f t="shared" si="22"/>
        <v>No</v>
      </c>
      <c r="L1464" s="1565"/>
    </row>
    <row r="1465" spans="1:12" ht="20.100000000000001" customHeight="1">
      <c r="A1465" s="1568" t="s">
        <v>3048</v>
      </c>
      <c r="B1465" s="1567">
        <v>43159</v>
      </c>
      <c r="C1465" s="1568" t="s">
        <v>3308</v>
      </c>
      <c r="D1465" s="1568" t="s">
        <v>2978</v>
      </c>
      <c r="E1465" s="1567">
        <v>44516</v>
      </c>
      <c r="F1465" s="1566">
        <v>84</v>
      </c>
      <c r="G1465" s="1566">
        <v>0</v>
      </c>
      <c r="H1465" s="1567"/>
      <c r="I1465" s="1567">
        <v>46810</v>
      </c>
      <c r="J1465" s="1567">
        <v>46810</v>
      </c>
      <c r="K1465" s="1568" t="str">
        <f t="shared" si="22"/>
        <v>No</v>
      </c>
      <c r="L1465" s="1565"/>
    </row>
    <row r="1466" spans="1:12" ht="20.100000000000001" customHeight="1">
      <c r="A1466" s="1568" t="s">
        <v>3048</v>
      </c>
      <c r="B1466" s="1567">
        <v>43159</v>
      </c>
      <c r="C1466" s="1568" t="s">
        <v>3308</v>
      </c>
      <c r="D1466" s="1568" t="s">
        <v>2978</v>
      </c>
      <c r="E1466" s="1567">
        <v>44546</v>
      </c>
      <c r="F1466" s="1566">
        <v>83</v>
      </c>
      <c r="G1466" s="1566">
        <v>0</v>
      </c>
      <c r="H1466" s="1567"/>
      <c r="I1466" s="1567">
        <v>46810</v>
      </c>
      <c r="J1466" s="1567">
        <v>46810</v>
      </c>
      <c r="K1466" s="1568" t="str">
        <f t="shared" si="22"/>
        <v>No</v>
      </c>
      <c r="L1466" s="1565"/>
    </row>
    <row r="1467" spans="1:12" ht="20.100000000000001" customHeight="1">
      <c r="A1467" s="1568" t="s">
        <v>3048</v>
      </c>
      <c r="B1467" s="1567">
        <v>43159</v>
      </c>
      <c r="C1467" s="1568" t="s">
        <v>3308</v>
      </c>
      <c r="D1467" s="1568" t="s">
        <v>2978</v>
      </c>
      <c r="E1467" s="1567">
        <v>44577</v>
      </c>
      <c r="F1467" s="1566">
        <v>83</v>
      </c>
      <c r="G1467" s="1566">
        <v>0</v>
      </c>
      <c r="H1467" s="1567"/>
      <c r="I1467" s="1567">
        <v>46810</v>
      </c>
      <c r="J1467" s="1567">
        <v>46810</v>
      </c>
      <c r="K1467" s="1568" t="str">
        <f t="shared" si="22"/>
        <v>No</v>
      </c>
      <c r="L1467" s="1565"/>
    </row>
    <row r="1468" spans="1:12" ht="20.100000000000001" customHeight="1">
      <c r="A1468" s="1568" t="s">
        <v>3048</v>
      </c>
      <c r="B1468" s="1567">
        <v>43159</v>
      </c>
      <c r="C1468" s="1568" t="s">
        <v>3308</v>
      </c>
      <c r="D1468" s="1568" t="s">
        <v>2978</v>
      </c>
      <c r="E1468" s="1567">
        <v>44608</v>
      </c>
      <c r="F1468" s="1566">
        <v>84</v>
      </c>
      <c r="G1468" s="1566">
        <v>0</v>
      </c>
      <c r="H1468" s="1567"/>
      <c r="I1468" s="1567">
        <v>46810</v>
      </c>
      <c r="J1468" s="1567">
        <v>46810</v>
      </c>
      <c r="K1468" s="1568" t="str">
        <f t="shared" si="22"/>
        <v>No</v>
      </c>
      <c r="L1468" s="1565"/>
    </row>
    <row r="1469" spans="1:12" ht="20.100000000000001" customHeight="1">
      <c r="A1469" s="1568" t="s">
        <v>3047</v>
      </c>
      <c r="B1469" s="1567">
        <v>43159</v>
      </c>
      <c r="C1469" s="1568" t="s">
        <v>3308</v>
      </c>
      <c r="D1469" s="1568" t="s">
        <v>2999</v>
      </c>
      <c r="E1469" s="1567">
        <v>43512</v>
      </c>
      <c r="F1469" s="1566">
        <v>15000</v>
      </c>
      <c r="G1469" s="1566">
        <v>0</v>
      </c>
      <c r="H1469" s="1567"/>
      <c r="I1469" s="1567">
        <v>46810</v>
      </c>
      <c r="J1469" s="1567">
        <v>46810</v>
      </c>
      <c r="K1469" s="1568" t="str">
        <f t="shared" si="22"/>
        <v>No</v>
      </c>
      <c r="L1469" s="1565"/>
    </row>
    <row r="1470" spans="1:12" ht="20.100000000000001" customHeight="1">
      <c r="A1470" s="1568" t="s">
        <v>3047</v>
      </c>
      <c r="B1470" s="1567">
        <v>43159</v>
      </c>
      <c r="C1470" s="1568" t="s">
        <v>3308</v>
      </c>
      <c r="D1470" s="1568" t="s">
        <v>2999</v>
      </c>
      <c r="E1470" s="1567">
        <v>43540</v>
      </c>
      <c r="F1470" s="1566">
        <v>1250</v>
      </c>
      <c r="G1470" s="1566">
        <v>0</v>
      </c>
      <c r="H1470" s="1567"/>
      <c r="I1470" s="1567">
        <v>46810</v>
      </c>
      <c r="J1470" s="1567">
        <v>46810</v>
      </c>
      <c r="K1470" s="1568" t="str">
        <f t="shared" si="22"/>
        <v>No</v>
      </c>
      <c r="L1470" s="1565"/>
    </row>
    <row r="1471" spans="1:12" ht="20.100000000000001" customHeight="1">
      <c r="A1471" s="1568" t="s">
        <v>3047</v>
      </c>
      <c r="B1471" s="1567">
        <v>43159</v>
      </c>
      <c r="C1471" s="1568" t="s">
        <v>3308</v>
      </c>
      <c r="D1471" s="1568" t="s">
        <v>2999</v>
      </c>
      <c r="E1471" s="1567">
        <v>43571</v>
      </c>
      <c r="F1471" s="1566">
        <v>1250</v>
      </c>
      <c r="G1471" s="1566">
        <v>0</v>
      </c>
      <c r="H1471" s="1567"/>
      <c r="I1471" s="1567">
        <v>46810</v>
      </c>
      <c r="J1471" s="1567">
        <v>46810</v>
      </c>
      <c r="K1471" s="1568" t="str">
        <f t="shared" si="22"/>
        <v>No</v>
      </c>
      <c r="L1471" s="1565"/>
    </row>
    <row r="1472" spans="1:12" ht="20.100000000000001" customHeight="1">
      <c r="A1472" s="1568" t="s">
        <v>3047</v>
      </c>
      <c r="B1472" s="1567">
        <v>43159</v>
      </c>
      <c r="C1472" s="1568" t="s">
        <v>3308</v>
      </c>
      <c r="D1472" s="1568" t="s">
        <v>2999</v>
      </c>
      <c r="E1472" s="1567">
        <v>43601</v>
      </c>
      <c r="F1472" s="1566">
        <v>1250</v>
      </c>
      <c r="G1472" s="1566">
        <v>0</v>
      </c>
      <c r="H1472" s="1567"/>
      <c r="I1472" s="1567">
        <v>46810</v>
      </c>
      <c r="J1472" s="1567">
        <v>46810</v>
      </c>
      <c r="K1472" s="1568" t="str">
        <f t="shared" si="22"/>
        <v>No</v>
      </c>
      <c r="L1472" s="1565"/>
    </row>
    <row r="1473" spans="1:12" ht="20.100000000000001" customHeight="1">
      <c r="A1473" s="1568" t="s">
        <v>3047</v>
      </c>
      <c r="B1473" s="1567">
        <v>43159</v>
      </c>
      <c r="C1473" s="1568" t="s">
        <v>3308</v>
      </c>
      <c r="D1473" s="1568" t="s">
        <v>2999</v>
      </c>
      <c r="E1473" s="1567">
        <v>43632</v>
      </c>
      <c r="F1473" s="1566">
        <v>1250</v>
      </c>
      <c r="G1473" s="1566">
        <v>0</v>
      </c>
      <c r="H1473" s="1567"/>
      <c r="I1473" s="1567">
        <v>46810</v>
      </c>
      <c r="J1473" s="1567">
        <v>46810</v>
      </c>
      <c r="K1473" s="1568" t="str">
        <f t="shared" si="22"/>
        <v>No</v>
      </c>
      <c r="L1473" s="1565"/>
    </row>
    <row r="1474" spans="1:12" ht="20.100000000000001" customHeight="1">
      <c r="A1474" s="1568" t="s">
        <v>3047</v>
      </c>
      <c r="B1474" s="1567">
        <v>43159</v>
      </c>
      <c r="C1474" s="1568" t="s">
        <v>3308</v>
      </c>
      <c r="D1474" s="1568" t="s">
        <v>2999</v>
      </c>
      <c r="E1474" s="1567">
        <v>43662</v>
      </c>
      <c r="F1474" s="1566">
        <v>1250</v>
      </c>
      <c r="G1474" s="1566">
        <v>0</v>
      </c>
      <c r="H1474" s="1567"/>
      <c r="I1474" s="1567">
        <v>46810</v>
      </c>
      <c r="J1474" s="1567">
        <v>46810</v>
      </c>
      <c r="K1474" s="1568" t="str">
        <f t="shared" si="22"/>
        <v>No</v>
      </c>
      <c r="L1474" s="1565"/>
    </row>
    <row r="1475" spans="1:12" ht="20.100000000000001" customHeight="1">
      <c r="A1475" s="1568" t="s">
        <v>3047</v>
      </c>
      <c r="B1475" s="1567">
        <v>43159</v>
      </c>
      <c r="C1475" s="1568" t="s">
        <v>3308</v>
      </c>
      <c r="D1475" s="1568" t="s">
        <v>2999</v>
      </c>
      <c r="E1475" s="1567">
        <v>43693</v>
      </c>
      <c r="F1475" s="1566">
        <v>1250</v>
      </c>
      <c r="G1475" s="1566">
        <v>0</v>
      </c>
      <c r="H1475" s="1567"/>
      <c r="I1475" s="1567">
        <v>46810</v>
      </c>
      <c r="J1475" s="1567">
        <v>46810</v>
      </c>
      <c r="K1475" s="1568" t="str">
        <f t="shared" si="22"/>
        <v>No</v>
      </c>
      <c r="L1475" s="1565"/>
    </row>
    <row r="1476" spans="1:12" ht="20.100000000000001" customHeight="1">
      <c r="A1476" s="1568" t="s">
        <v>3047</v>
      </c>
      <c r="B1476" s="1567">
        <v>43159</v>
      </c>
      <c r="C1476" s="1568" t="s">
        <v>3308</v>
      </c>
      <c r="D1476" s="1568" t="s">
        <v>2999</v>
      </c>
      <c r="E1476" s="1567">
        <v>43724</v>
      </c>
      <c r="F1476" s="1566">
        <v>1250</v>
      </c>
      <c r="G1476" s="1566">
        <v>0</v>
      </c>
      <c r="H1476" s="1567"/>
      <c r="I1476" s="1567">
        <v>46810</v>
      </c>
      <c r="J1476" s="1567">
        <v>46810</v>
      </c>
      <c r="K1476" s="1568" t="str">
        <f t="shared" si="22"/>
        <v>No</v>
      </c>
      <c r="L1476" s="1565"/>
    </row>
    <row r="1477" spans="1:12" ht="20.100000000000001" customHeight="1">
      <c r="A1477" s="1568" t="s">
        <v>3047</v>
      </c>
      <c r="B1477" s="1567">
        <v>43159</v>
      </c>
      <c r="C1477" s="1568" t="s">
        <v>3308</v>
      </c>
      <c r="D1477" s="1568" t="s">
        <v>2999</v>
      </c>
      <c r="E1477" s="1567">
        <v>43754</v>
      </c>
      <c r="F1477" s="1566">
        <v>1250</v>
      </c>
      <c r="G1477" s="1566">
        <v>0</v>
      </c>
      <c r="H1477" s="1567"/>
      <c r="I1477" s="1567">
        <v>46810</v>
      </c>
      <c r="J1477" s="1567">
        <v>46810</v>
      </c>
      <c r="K1477" s="1568" t="str">
        <f t="shared" ref="K1477:K1540" si="23">IF(I1477="N/A","No",IF(E1477&lt;=I1477,"No","Yes"))</f>
        <v>No</v>
      </c>
      <c r="L1477" s="1565"/>
    </row>
    <row r="1478" spans="1:12" ht="20.100000000000001" customHeight="1">
      <c r="A1478" s="1568" t="s">
        <v>3047</v>
      </c>
      <c r="B1478" s="1567">
        <v>43159</v>
      </c>
      <c r="C1478" s="1568" t="s">
        <v>3308</v>
      </c>
      <c r="D1478" s="1568" t="s">
        <v>2999</v>
      </c>
      <c r="E1478" s="1567">
        <v>43785</v>
      </c>
      <c r="F1478" s="1566">
        <v>1250</v>
      </c>
      <c r="G1478" s="1566">
        <v>0</v>
      </c>
      <c r="H1478" s="1567"/>
      <c r="I1478" s="1567">
        <v>46810</v>
      </c>
      <c r="J1478" s="1567">
        <v>46810</v>
      </c>
      <c r="K1478" s="1568" t="str">
        <f t="shared" si="23"/>
        <v>No</v>
      </c>
      <c r="L1478" s="1565"/>
    </row>
    <row r="1479" spans="1:12" ht="20.100000000000001" customHeight="1">
      <c r="A1479" s="1568" t="s">
        <v>3047</v>
      </c>
      <c r="B1479" s="1567">
        <v>43159</v>
      </c>
      <c r="C1479" s="1568" t="s">
        <v>3308</v>
      </c>
      <c r="D1479" s="1568" t="s">
        <v>2999</v>
      </c>
      <c r="E1479" s="1567">
        <v>43815</v>
      </c>
      <c r="F1479" s="1566">
        <v>1250</v>
      </c>
      <c r="G1479" s="1566">
        <v>0</v>
      </c>
      <c r="H1479" s="1567"/>
      <c r="I1479" s="1567">
        <v>46810</v>
      </c>
      <c r="J1479" s="1567">
        <v>46810</v>
      </c>
      <c r="K1479" s="1568" t="str">
        <f t="shared" si="23"/>
        <v>No</v>
      </c>
      <c r="L1479" s="1565"/>
    </row>
    <row r="1480" spans="1:12" ht="20.100000000000001" customHeight="1">
      <c r="A1480" s="1568" t="s">
        <v>3047</v>
      </c>
      <c r="B1480" s="1567">
        <v>43159</v>
      </c>
      <c r="C1480" s="1568" t="s">
        <v>3308</v>
      </c>
      <c r="D1480" s="1568" t="s">
        <v>2999</v>
      </c>
      <c r="E1480" s="1567">
        <v>43846</v>
      </c>
      <c r="F1480" s="1566">
        <v>1250</v>
      </c>
      <c r="G1480" s="1566">
        <v>0</v>
      </c>
      <c r="H1480" s="1567"/>
      <c r="I1480" s="1567">
        <v>46810</v>
      </c>
      <c r="J1480" s="1567">
        <v>46810</v>
      </c>
      <c r="K1480" s="1568" t="str">
        <f t="shared" si="23"/>
        <v>No</v>
      </c>
      <c r="L1480" s="1565"/>
    </row>
    <row r="1481" spans="1:12" ht="20.100000000000001" customHeight="1">
      <c r="A1481" s="1568" t="s">
        <v>3047</v>
      </c>
      <c r="B1481" s="1567">
        <v>43159</v>
      </c>
      <c r="C1481" s="1568" t="s">
        <v>3308</v>
      </c>
      <c r="D1481" s="1568" t="s">
        <v>2999</v>
      </c>
      <c r="E1481" s="1567">
        <v>43877</v>
      </c>
      <c r="F1481" s="1566">
        <v>1250</v>
      </c>
      <c r="G1481" s="1566">
        <v>0</v>
      </c>
      <c r="H1481" s="1567"/>
      <c r="I1481" s="1567">
        <v>46810</v>
      </c>
      <c r="J1481" s="1567">
        <v>46810</v>
      </c>
      <c r="K1481" s="1568" t="str">
        <f t="shared" si="23"/>
        <v>No</v>
      </c>
      <c r="L1481" s="1565"/>
    </row>
    <row r="1482" spans="1:12" ht="20.100000000000001" customHeight="1">
      <c r="A1482" s="1568" t="s">
        <v>3047</v>
      </c>
      <c r="B1482" s="1567">
        <v>43159</v>
      </c>
      <c r="C1482" s="1568" t="s">
        <v>3308</v>
      </c>
      <c r="D1482" s="1568" t="s">
        <v>2999</v>
      </c>
      <c r="E1482" s="1567">
        <v>43906</v>
      </c>
      <c r="F1482" s="1566">
        <v>1250</v>
      </c>
      <c r="G1482" s="1566">
        <v>0</v>
      </c>
      <c r="H1482" s="1567"/>
      <c r="I1482" s="1567">
        <v>46810</v>
      </c>
      <c r="J1482" s="1567">
        <v>46810</v>
      </c>
      <c r="K1482" s="1568" t="str">
        <f t="shared" si="23"/>
        <v>No</v>
      </c>
      <c r="L1482" s="1565"/>
    </row>
    <row r="1483" spans="1:12" ht="20.100000000000001" customHeight="1">
      <c r="A1483" s="1568" t="s">
        <v>3047</v>
      </c>
      <c r="B1483" s="1567">
        <v>43159</v>
      </c>
      <c r="C1483" s="1568" t="s">
        <v>3308</v>
      </c>
      <c r="D1483" s="1568" t="s">
        <v>2999</v>
      </c>
      <c r="E1483" s="1567">
        <v>43937</v>
      </c>
      <c r="F1483" s="1566">
        <v>1250</v>
      </c>
      <c r="G1483" s="1566">
        <v>0</v>
      </c>
      <c r="H1483" s="1567"/>
      <c r="I1483" s="1567">
        <v>46810</v>
      </c>
      <c r="J1483" s="1567">
        <v>46810</v>
      </c>
      <c r="K1483" s="1568" t="str">
        <f t="shared" si="23"/>
        <v>No</v>
      </c>
      <c r="L1483" s="1565"/>
    </row>
    <row r="1484" spans="1:12" ht="20.100000000000001" customHeight="1">
      <c r="A1484" s="1568" t="s">
        <v>3047</v>
      </c>
      <c r="B1484" s="1567">
        <v>43159</v>
      </c>
      <c r="C1484" s="1568" t="s">
        <v>3308</v>
      </c>
      <c r="D1484" s="1568" t="s">
        <v>2999</v>
      </c>
      <c r="E1484" s="1567">
        <v>43967</v>
      </c>
      <c r="F1484" s="1566">
        <v>1250</v>
      </c>
      <c r="G1484" s="1566">
        <v>0</v>
      </c>
      <c r="H1484" s="1567"/>
      <c r="I1484" s="1567">
        <v>46810</v>
      </c>
      <c r="J1484" s="1567">
        <v>46810</v>
      </c>
      <c r="K1484" s="1568" t="str">
        <f t="shared" si="23"/>
        <v>No</v>
      </c>
      <c r="L1484" s="1565"/>
    </row>
    <row r="1485" spans="1:12" ht="20.100000000000001" customHeight="1">
      <c r="A1485" s="1568" t="s">
        <v>3047</v>
      </c>
      <c r="B1485" s="1567">
        <v>43159</v>
      </c>
      <c r="C1485" s="1568" t="s">
        <v>3308</v>
      </c>
      <c r="D1485" s="1568" t="s">
        <v>2999</v>
      </c>
      <c r="E1485" s="1567">
        <v>43998</v>
      </c>
      <c r="F1485" s="1566">
        <v>1250</v>
      </c>
      <c r="G1485" s="1566">
        <v>0</v>
      </c>
      <c r="H1485" s="1567"/>
      <c r="I1485" s="1567">
        <v>46810</v>
      </c>
      <c r="J1485" s="1567">
        <v>46810</v>
      </c>
      <c r="K1485" s="1568" t="str">
        <f t="shared" si="23"/>
        <v>No</v>
      </c>
      <c r="L1485" s="1565"/>
    </row>
    <row r="1486" spans="1:12" ht="20.100000000000001" customHeight="1">
      <c r="A1486" s="1568" t="s">
        <v>3047</v>
      </c>
      <c r="B1486" s="1567">
        <v>43159</v>
      </c>
      <c r="C1486" s="1568" t="s">
        <v>3308</v>
      </c>
      <c r="D1486" s="1568" t="s">
        <v>2999</v>
      </c>
      <c r="E1486" s="1567">
        <v>44028</v>
      </c>
      <c r="F1486" s="1566">
        <v>1250</v>
      </c>
      <c r="G1486" s="1566">
        <v>0</v>
      </c>
      <c r="H1486" s="1567"/>
      <c r="I1486" s="1567">
        <v>46810</v>
      </c>
      <c r="J1486" s="1567">
        <v>46810</v>
      </c>
      <c r="K1486" s="1568" t="str">
        <f t="shared" si="23"/>
        <v>No</v>
      </c>
      <c r="L1486" s="1565"/>
    </row>
    <row r="1487" spans="1:12" ht="20.100000000000001" customHeight="1">
      <c r="A1487" s="1568" t="s">
        <v>3047</v>
      </c>
      <c r="B1487" s="1567">
        <v>43159</v>
      </c>
      <c r="C1487" s="1568" t="s">
        <v>3308</v>
      </c>
      <c r="D1487" s="1568" t="s">
        <v>2999</v>
      </c>
      <c r="E1487" s="1567">
        <v>44059</v>
      </c>
      <c r="F1487" s="1566">
        <v>1250</v>
      </c>
      <c r="G1487" s="1566">
        <v>0</v>
      </c>
      <c r="H1487" s="1567"/>
      <c r="I1487" s="1567">
        <v>46810</v>
      </c>
      <c r="J1487" s="1567">
        <v>46810</v>
      </c>
      <c r="K1487" s="1568" t="str">
        <f t="shared" si="23"/>
        <v>No</v>
      </c>
      <c r="L1487" s="1565"/>
    </row>
    <row r="1488" spans="1:12" ht="20.100000000000001" customHeight="1">
      <c r="A1488" s="1568" t="s">
        <v>3047</v>
      </c>
      <c r="B1488" s="1567">
        <v>43159</v>
      </c>
      <c r="C1488" s="1568" t="s">
        <v>3308</v>
      </c>
      <c r="D1488" s="1568" t="s">
        <v>2999</v>
      </c>
      <c r="E1488" s="1567">
        <v>44090</v>
      </c>
      <c r="F1488" s="1566">
        <v>1250</v>
      </c>
      <c r="G1488" s="1566">
        <v>0</v>
      </c>
      <c r="H1488" s="1567"/>
      <c r="I1488" s="1567">
        <v>46810</v>
      </c>
      <c r="J1488" s="1567">
        <v>46810</v>
      </c>
      <c r="K1488" s="1568" t="str">
        <f t="shared" si="23"/>
        <v>No</v>
      </c>
      <c r="L1488" s="1565"/>
    </row>
    <row r="1489" spans="1:12" ht="20.100000000000001" customHeight="1">
      <c r="A1489" s="1568" t="s">
        <v>3047</v>
      </c>
      <c r="B1489" s="1567">
        <v>43159</v>
      </c>
      <c r="C1489" s="1568" t="s">
        <v>3308</v>
      </c>
      <c r="D1489" s="1568" t="s">
        <v>2999</v>
      </c>
      <c r="E1489" s="1567">
        <v>44120</v>
      </c>
      <c r="F1489" s="1566">
        <v>1250</v>
      </c>
      <c r="G1489" s="1566">
        <v>0</v>
      </c>
      <c r="H1489" s="1567"/>
      <c r="I1489" s="1567">
        <v>46810</v>
      </c>
      <c r="J1489" s="1567">
        <v>46810</v>
      </c>
      <c r="K1489" s="1568" t="str">
        <f t="shared" si="23"/>
        <v>No</v>
      </c>
      <c r="L1489" s="1565"/>
    </row>
    <row r="1490" spans="1:12" ht="20.100000000000001" customHeight="1">
      <c r="A1490" s="1568" t="s">
        <v>3047</v>
      </c>
      <c r="B1490" s="1567">
        <v>43159</v>
      </c>
      <c r="C1490" s="1568" t="s">
        <v>3308</v>
      </c>
      <c r="D1490" s="1568" t="s">
        <v>2999</v>
      </c>
      <c r="E1490" s="1567">
        <v>44151</v>
      </c>
      <c r="F1490" s="1566">
        <v>1250</v>
      </c>
      <c r="G1490" s="1566">
        <v>0</v>
      </c>
      <c r="H1490" s="1567"/>
      <c r="I1490" s="1567">
        <v>46810</v>
      </c>
      <c r="J1490" s="1567">
        <v>46810</v>
      </c>
      <c r="K1490" s="1568" t="str">
        <f t="shared" si="23"/>
        <v>No</v>
      </c>
      <c r="L1490" s="1565"/>
    </row>
    <row r="1491" spans="1:12" ht="20.100000000000001" customHeight="1">
      <c r="A1491" s="1568" t="s">
        <v>3047</v>
      </c>
      <c r="B1491" s="1567">
        <v>43159</v>
      </c>
      <c r="C1491" s="1568" t="s">
        <v>3308</v>
      </c>
      <c r="D1491" s="1568" t="s">
        <v>2999</v>
      </c>
      <c r="E1491" s="1567">
        <v>44181</v>
      </c>
      <c r="F1491" s="1566">
        <v>1250</v>
      </c>
      <c r="G1491" s="1566">
        <v>0</v>
      </c>
      <c r="H1491" s="1567"/>
      <c r="I1491" s="1567">
        <v>46810</v>
      </c>
      <c r="J1491" s="1567">
        <v>46810</v>
      </c>
      <c r="K1491" s="1568" t="str">
        <f t="shared" si="23"/>
        <v>No</v>
      </c>
      <c r="L1491" s="1565"/>
    </row>
    <row r="1492" spans="1:12" ht="20.100000000000001" customHeight="1">
      <c r="A1492" s="1568" t="s">
        <v>3047</v>
      </c>
      <c r="B1492" s="1567">
        <v>43159</v>
      </c>
      <c r="C1492" s="1568" t="s">
        <v>3308</v>
      </c>
      <c r="D1492" s="1568" t="s">
        <v>2999</v>
      </c>
      <c r="E1492" s="1567">
        <v>44212</v>
      </c>
      <c r="F1492" s="1566">
        <v>1250</v>
      </c>
      <c r="G1492" s="1566">
        <v>0</v>
      </c>
      <c r="H1492" s="1567"/>
      <c r="I1492" s="1567">
        <v>46810</v>
      </c>
      <c r="J1492" s="1567">
        <v>46810</v>
      </c>
      <c r="K1492" s="1568" t="str">
        <f t="shared" si="23"/>
        <v>No</v>
      </c>
      <c r="L1492" s="1565"/>
    </row>
    <row r="1493" spans="1:12" ht="20.100000000000001" customHeight="1">
      <c r="A1493" s="1568" t="s">
        <v>3047</v>
      </c>
      <c r="B1493" s="1567">
        <v>43159</v>
      </c>
      <c r="C1493" s="1568" t="s">
        <v>3308</v>
      </c>
      <c r="D1493" s="1568" t="s">
        <v>2999</v>
      </c>
      <c r="E1493" s="1567">
        <v>44243</v>
      </c>
      <c r="F1493" s="1566">
        <v>1250</v>
      </c>
      <c r="G1493" s="1566">
        <v>0</v>
      </c>
      <c r="H1493" s="1567"/>
      <c r="I1493" s="1567">
        <v>46810</v>
      </c>
      <c r="J1493" s="1567">
        <v>46810</v>
      </c>
      <c r="K1493" s="1568" t="str">
        <f t="shared" si="23"/>
        <v>No</v>
      </c>
      <c r="L1493" s="1565"/>
    </row>
    <row r="1494" spans="1:12" ht="20.100000000000001" customHeight="1">
      <c r="A1494" s="1568" t="s">
        <v>3047</v>
      </c>
      <c r="B1494" s="1567">
        <v>43159</v>
      </c>
      <c r="C1494" s="1568" t="s">
        <v>3308</v>
      </c>
      <c r="D1494" s="1568" t="s">
        <v>2999</v>
      </c>
      <c r="E1494" s="1567">
        <v>44271</v>
      </c>
      <c r="F1494" s="1566">
        <v>1250</v>
      </c>
      <c r="G1494" s="1566">
        <v>0</v>
      </c>
      <c r="H1494" s="1567"/>
      <c r="I1494" s="1567">
        <v>46810</v>
      </c>
      <c r="J1494" s="1567">
        <v>46810</v>
      </c>
      <c r="K1494" s="1568" t="str">
        <f t="shared" si="23"/>
        <v>No</v>
      </c>
      <c r="L1494" s="1565"/>
    </row>
    <row r="1495" spans="1:12" ht="20.100000000000001" customHeight="1">
      <c r="A1495" s="1568" t="s">
        <v>3047</v>
      </c>
      <c r="B1495" s="1567">
        <v>43159</v>
      </c>
      <c r="C1495" s="1568" t="s">
        <v>3308</v>
      </c>
      <c r="D1495" s="1568" t="s">
        <v>2999</v>
      </c>
      <c r="E1495" s="1567">
        <v>44302</v>
      </c>
      <c r="F1495" s="1566">
        <v>1250</v>
      </c>
      <c r="G1495" s="1566">
        <v>0</v>
      </c>
      <c r="H1495" s="1567"/>
      <c r="I1495" s="1567">
        <v>46810</v>
      </c>
      <c r="J1495" s="1567">
        <v>46810</v>
      </c>
      <c r="K1495" s="1568" t="str">
        <f t="shared" si="23"/>
        <v>No</v>
      </c>
      <c r="L1495" s="1565"/>
    </row>
    <row r="1496" spans="1:12" ht="20.100000000000001" customHeight="1">
      <c r="A1496" s="1568" t="s">
        <v>3047</v>
      </c>
      <c r="B1496" s="1567">
        <v>43159</v>
      </c>
      <c r="C1496" s="1568" t="s">
        <v>3308</v>
      </c>
      <c r="D1496" s="1568" t="s">
        <v>2999</v>
      </c>
      <c r="E1496" s="1567">
        <v>44332</v>
      </c>
      <c r="F1496" s="1566">
        <v>1250</v>
      </c>
      <c r="G1496" s="1566">
        <v>0</v>
      </c>
      <c r="H1496" s="1567"/>
      <c r="I1496" s="1567">
        <v>46810</v>
      </c>
      <c r="J1496" s="1567">
        <v>46810</v>
      </c>
      <c r="K1496" s="1568" t="str">
        <f t="shared" si="23"/>
        <v>No</v>
      </c>
      <c r="L1496" s="1565"/>
    </row>
    <row r="1497" spans="1:12" ht="20.100000000000001" customHeight="1">
      <c r="A1497" s="1568" t="s">
        <v>3047</v>
      </c>
      <c r="B1497" s="1567">
        <v>43159</v>
      </c>
      <c r="C1497" s="1568" t="s">
        <v>3308</v>
      </c>
      <c r="D1497" s="1568" t="s">
        <v>2999</v>
      </c>
      <c r="E1497" s="1567">
        <v>44363</v>
      </c>
      <c r="F1497" s="1566">
        <v>1250</v>
      </c>
      <c r="G1497" s="1566">
        <v>0</v>
      </c>
      <c r="H1497" s="1567"/>
      <c r="I1497" s="1567">
        <v>46810</v>
      </c>
      <c r="J1497" s="1567">
        <v>46810</v>
      </c>
      <c r="K1497" s="1568" t="str">
        <f t="shared" si="23"/>
        <v>No</v>
      </c>
      <c r="L1497" s="1565"/>
    </row>
    <row r="1498" spans="1:12" ht="20.100000000000001" customHeight="1">
      <c r="A1498" s="1568" t="s">
        <v>3047</v>
      </c>
      <c r="B1498" s="1567">
        <v>43159</v>
      </c>
      <c r="C1498" s="1568" t="s">
        <v>3308</v>
      </c>
      <c r="D1498" s="1568" t="s">
        <v>2999</v>
      </c>
      <c r="E1498" s="1567">
        <v>44393</v>
      </c>
      <c r="F1498" s="1566">
        <v>1250</v>
      </c>
      <c r="G1498" s="1566">
        <v>0</v>
      </c>
      <c r="H1498" s="1567"/>
      <c r="I1498" s="1567">
        <v>46810</v>
      </c>
      <c r="J1498" s="1567">
        <v>46810</v>
      </c>
      <c r="K1498" s="1568" t="str">
        <f t="shared" si="23"/>
        <v>No</v>
      </c>
      <c r="L1498" s="1565"/>
    </row>
    <row r="1499" spans="1:12" ht="20.100000000000001" customHeight="1">
      <c r="A1499" s="1568" t="s">
        <v>3047</v>
      </c>
      <c r="B1499" s="1567">
        <v>43159</v>
      </c>
      <c r="C1499" s="1568" t="s">
        <v>3308</v>
      </c>
      <c r="D1499" s="1568" t="s">
        <v>2999</v>
      </c>
      <c r="E1499" s="1567">
        <v>44424</v>
      </c>
      <c r="F1499" s="1566">
        <v>1250</v>
      </c>
      <c r="G1499" s="1566">
        <v>0</v>
      </c>
      <c r="H1499" s="1567"/>
      <c r="I1499" s="1567">
        <v>46810</v>
      </c>
      <c r="J1499" s="1567">
        <v>46810</v>
      </c>
      <c r="K1499" s="1568" t="str">
        <f t="shared" si="23"/>
        <v>No</v>
      </c>
      <c r="L1499" s="1565"/>
    </row>
    <row r="1500" spans="1:12" ht="20.100000000000001" customHeight="1">
      <c r="A1500" s="1568" t="s">
        <v>3047</v>
      </c>
      <c r="B1500" s="1567">
        <v>43159</v>
      </c>
      <c r="C1500" s="1568" t="s">
        <v>3308</v>
      </c>
      <c r="D1500" s="1568" t="s">
        <v>2999</v>
      </c>
      <c r="E1500" s="1567">
        <v>44455</v>
      </c>
      <c r="F1500" s="1566">
        <v>1250</v>
      </c>
      <c r="G1500" s="1566">
        <v>0</v>
      </c>
      <c r="H1500" s="1567"/>
      <c r="I1500" s="1567">
        <v>46810</v>
      </c>
      <c r="J1500" s="1567">
        <v>46810</v>
      </c>
      <c r="K1500" s="1568" t="str">
        <f t="shared" si="23"/>
        <v>No</v>
      </c>
      <c r="L1500" s="1565"/>
    </row>
    <row r="1501" spans="1:12" ht="20.100000000000001" customHeight="1">
      <c r="A1501" s="1568" t="s">
        <v>3047</v>
      </c>
      <c r="B1501" s="1567">
        <v>43159</v>
      </c>
      <c r="C1501" s="1568" t="s">
        <v>3308</v>
      </c>
      <c r="D1501" s="1568" t="s">
        <v>2999</v>
      </c>
      <c r="E1501" s="1567">
        <v>44485</v>
      </c>
      <c r="F1501" s="1566">
        <v>1250</v>
      </c>
      <c r="G1501" s="1566">
        <v>0</v>
      </c>
      <c r="H1501" s="1567"/>
      <c r="I1501" s="1567">
        <v>46810</v>
      </c>
      <c r="J1501" s="1567">
        <v>46810</v>
      </c>
      <c r="K1501" s="1568" t="str">
        <f t="shared" si="23"/>
        <v>No</v>
      </c>
      <c r="L1501" s="1565"/>
    </row>
    <row r="1502" spans="1:12" ht="20.100000000000001" customHeight="1">
      <c r="A1502" s="1568" t="s">
        <v>3047</v>
      </c>
      <c r="B1502" s="1567">
        <v>43159</v>
      </c>
      <c r="C1502" s="1568" t="s">
        <v>3308</v>
      </c>
      <c r="D1502" s="1568" t="s">
        <v>2999</v>
      </c>
      <c r="E1502" s="1567">
        <v>44516</v>
      </c>
      <c r="F1502" s="1566">
        <v>1250</v>
      </c>
      <c r="G1502" s="1566">
        <v>0</v>
      </c>
      <c r="H1502" s="1567"/>
      <c r="I1502" s="1567">
        <v>46810</v>
      </c>
      <c r="J1502" s="1567">
        <v>46810</v>
      </c>
      <c r="K1502" s="1568" t="str">
        <f t="shared" si="23"/>
        <v>No</v>
      </c>
      <c r="L1502" s="1565"/>
    </row>
    <row r="1503" spans="1:12" ht="20.100000000000001" customHeight="1">
      <c r="A1503" s="1568" t="s">
        <v>3047</v>
      </c>
      <c r="B1503" s="1567">
        <v>43159</v>
      </c>
      <c r="C1503" s="1568" t="s">
        <v>3308</v>
      </c>
      <c r="D1503" s="1568" t="s">
        <v>2999</v>
      </c>
      <c r="E1503" s="1567">
        <v>44546</v>
      </c>
      <c r="F1503" s="1566">
        <v>1250</v>
      </c>
      <c r="G1503" s="1566">
        <v>0</v>
      </c>
      <c r="H1503" s="1567"/>
      <c r="I1503" s="1567">
        <v>46810</v>
      </c>
      <c r="J1503" s="1567">
        <v>46810</v>
      </c>
      <c r="K1503" s="1568" t="str">
        <f t="shared" si="23"/>
        <v>No</v>
      </c>
      <c r="L1503" s="1565"/>
    </row>
    <row r="1504" spans="1:12" ht="20.100000000000001" customHeight="1">
      <c r="A1504" s="1568" t="s">
        <v>3047</v>
      </c>
      <c r="B1504" s="1567">
        <v>43159</v>
      </c>
      <c r="C1504" s="1568" t="s">
        <v>3308</v>
      </c>
      <c r="D1504" s="1568" t="s">
        <v>2999</v>
      </c>
      <c r="E1504" s="1567">
        <v>44577</v>
      </c>
      <c r="F1504" s="1566">
        <v>1250</v>
      </c>
      <c r="G1504" s="1566">
        <v>0</v>
      </c>
      <c r="H1504" s="1567"/>
      <c r="I1504" s="1567">
        <v>46810</v>
      </c>
      <c r="J1504" s="1567">
        <v>46810</v>
      </c>
      <c r="K1504" s="1568" t="str">
        <f t="shared" si="23"/>
        <v>No</v>
      </c>
      <c r="L1504" s="1565"/>
    </row>
    <row r="1505" spans="1:12" ht="20.100000000000001" customHeight="1">
      <c r="A1505" s="1568" t="s">
        <v>3047</v>
      </c>
      <c r="B1505" s="1567">
        <v>43159</v>
      </c>
      <c r="C1505" s="1568" t="s">
        <v>3308</v>
      </c>
      <c r="D1505" s="1568" t="s">
        <v>2999</v>
      </c>
      <c r="E1505" s="1567">
        <v>44608</v>
      </c>
      <c r="F1505" s="1566">
        <v>1250</v>
      </c>
      <c r="G1505" s="1566">
        <v>0</v>
      </c>
      <c r="H1505" s="1567"/>
      <c r="I1505" s="1567">
        <v>46810</v>
      </c>
      <c r="J1505" s="1567">
        <v>46810</v>
      </c>
      <c r="K1505" s="1568" t="str">
        <f t="shared" si="23"/>
        <v>No</v>
      </c>
      <c r="L1505" s="1565"/>
    </row>
    <row r="1506" spans="1:12" ht="20.100000000000001" customHeight="1">
      <c r="A1506" s="1568" t="s">
        <v>3046</v>
      </c>
      <c r="B1506" s="1567">
        <v>43159</v>
      </c>
      <c r="C1506" s="1568" t="s">
        <v>3308</v>
      </c>
      <c r="D1506" s="1568" t="s">
        <v>2972</v>
      </c>
      <c r="E1506" s="1567">
        <v>43512</v>
      </c>
      <c r="F1506" s="1566">
        <v>3750</v>
      </c>
      <c r="G1506" s="1566">
        <v>0</v>
      </c>
      <c r="H1506" s="1567"/>
      <c r="I1506" s="1567">
        <v>46810</v>
      </c>
      <c r="J1506" s="1567">
        <v>46810</v>
      </c>
      <c r="K1506" s="1568" t="str">
        <f t="shared" si="23"/>
        <v>No</v>
      </c>
      <c r="L1506" s="1565"/>
    </row>
    <row r="1507" spans="1:12" ht="20.100000000000001" customHeight="1">
      <c r="A1507" s="1568" t="s">
        <v>3046</v>
      </c>
      <c r="B1507" s="1567">
        <v>43159</v>
      </c>
      <c r="C1507" s="1568" t="s">
        <v>3308</v>
      </c>
      <c r="D1507" s="1568" t="s">
        <v>2972</v>
      </c>
      <c r="E1507" s="1567">
        <v>43540</v>
      </c>
      <c r="F1507" s="1566">
        <v>312</v>
      </c>
      <c r="G1507" s="1566">
        <v>0</v>
      </c>
      <c r="H1507" s="1567"/>
      <c r="I1507" s="1567">
        <v>46810</v>
      </c>
      <c r="J1507" s="1567">
        <v>46810</v>
      </c>
      <c r="K1507" s="1568" t="str">
        <f t="shared" si="23"/>
        <v>No</v>
      </c>
      <c r="L1507" s="1565"/>
    </row>
    <row r="1508" spans="1:12" ht="20.100000000000001" customHeight="1">
      <c r="A1508" s="1568" t="s">
        <v>3046</v>
      </c>
      <c r="B1508" s="1567">
        <v>43159</v>
      </c>
      <c r="C1508" s="1568" t="s">
        <v>3308</v>
      </c>
      <c r="D1508" s="1568" t="s">
        <v>2972</v>
      </c>
      <c r="E1508" s="1567">
        <v>43571</v>
      </c>
      <c r="F1508" s="1566">
        <v>313</v>
      </c>
      <c r="G1508" s="1566">
        <v>0</v>
      </c>
      <c r="H1508" s="1567"/>
      <c r="I1508" s="1567">
        <v>46810</v>
      </c>
      <c r="J1508" s="1567">
        <v>46810</v>
      </c>
      <c r="K1508" s="1568" t="str">
        <f t="shared" si="23"/>
        <v>No</v>
      </c>
      <c r="L1508" s="1565"/>
    </row>
    <row r="1509" spans="1:12" ht="20.100000000000001" customHeight="1">
      <c r="A1509" s="1568" t="s">
        <v>3046</v>
      </c>
      <c r="B1509" s="1567">
        <v>43159</v>
      </c>
      <c r="C1509" s="1568" t="s">
        <v>3308</v>
      </c>
      <c r="D1509" s="1568" t="s">
        <v>2972</v>
      </c>
      <c r="E1509" s="1567">
        <v>43601</v>
      </c>
      <c r="F1509" s="1566">
        <v>312</v>
      </c>
      <c r="G1509" s="1566">
        <v>0</v>
      </c>
      <c r="H1509" s="1567"/>
      <c r="I1509" s="1567">
        <v>46810</v>
      </c>
      <c r="J1509" s="1567">
        <v>46810</v>
      </c>
      <c r="K1509" s="1568" t="str">
        <f t="shared" si="23"/>
        <v>No</v>
      </c>
      <c r="L1509" s="1565"/>
    </row>
    <row r="1510" spans="1:12" ht="20.100000000000001" customHeight="1">
      <c r="A1510" s="1568" t="s">
        <v>3046</v>
      </c>
      <c r="B1510" s="1567">
        <v>43159</v>
      </c>
      <c r="C1510" s="1568" t="s">
        <v>3308</v>
      </c>
      <c r="D1510" s="1568" t="s">
        <v>2972</v>
      </c>
      <c r="E1510" s="1567">
        <v>43632</v>
      </c>
      <c r="F1510" s="1566">
        <v>313</v>
      </c>
      <c r="G1510" s="1566">
        <v>0</v>
      </c>
      <c r="H1510" s="1567"/>
      <c r="I1510" s="1567">
        <v>46810</v>
      </c>
      <c r="J1510" s="1567">
        <v>46810</v>
      </c>
      <c r="K1510" s="1568" t="str">
        <f t="shared" si="23"/>
        <v>No</v>
      </c>
      <c r="L1510" s="1565"/>
    </row>
    <row r="1511" spans="1:12" ht="20.100000000000001" customHeight="1">
      <c r="A1511" s="1568" t="s">
        <v>3046</v>
      </c>
      <c r="B1511" s="1567">
        <v>43159</v>
      </c>
      <c r="C1511" s="1568" t="s">
        <v>3308</v>
      </c>
      <c r="D1511" s="1568" t="s">
        <v>2972</v>
      </c>
      <c r="E1511" s="1567">
        <v>43662</v>
      </c>
      <c r="F1511" s="1566">
        <v>312</v>
      </c>
      <c r="G1511" s="1566">
        <v>0</v>
      </c>
      <c r="H1511" s="1567"/>
      <c r="I1511" s="1567">
        <v>46810</v>
      </c>
      <c r="J1511" s="1567">
        <v>46810</v>
      </c>
      <c r="K1511" s="1568" t="str">
        <f t="shared" si="23"/>
        <v>No</v>
      </c>
      <c r="L1511" s="1565"/>
    </row>
    <row r="1512" spans="1:12" ht="20.100000000000001" customHeight="1">
      <c r="A1512" s="1568" t="s">
        <v>3046</v>
      </c>
      <c r="B1512" s="1567">
        <v>43159</v>
      </c>
      <c r="C1512" s="1568" t="s">
        <v>3308</v>
      </c>
      <c r="D1512" s="1568" t="s">
        <v>2972</v>
      </c>
      <c r="E1512" s="1567">
        <v>43693</v>
      </c>
      <c r="F1512" s="1566">
        <v>313</v>
      </c>
      <c r="G1512" s="1566">
        <v>0</v>
      </c>
      <c r="H1512" s="1567"/>
      <c r="I1512" s="1567">
        <v>46810</v>
      </c>
      <c r="J1512" s="1567">
        <v>46810</v>
      </c>
      <c r="K1512" s="1568" t="str">
        <f t="shared" si="23"/>
        <v>No</v>
      </c>
      <c r="L1512" s="1565"/>
    </row>
    <row r="1513" spans="1:12" ht="20.100000000000001" customHeight="1">
      <c r="A1513" s="1568" t="s">
        <v>3046</v>
      </c>
      <c r="B1513" s="1567">
        <v>43159</v>
      </c>
      <c r="C1513" s="1568" t="s">
        <v>3308</v>
      </c>
      <c r="D1513" s="1568" t="s">
        <v>2972</v>
      </c>
      <c r="E1513" s="1567">
        <v>43724</v>
      </c>
      <c r="F1513" s="1566">
        <v>312</v>
      </c>
      <c r="G1513" s="1566">
        <v>0</v>
      </c>
      <c r="H1513" s="1567"/>
      <c r="I1513" s="1567">
        <v>46810</v>
      </c>
      <c r="J1513" s="1567">
        <v>46810</v>
      </c>
      <c r="K1513" s="1568" t="str">
        <f t="shared" si="23"/>
        <v>No</v>
      </c>
      <c r="L1513" s="1565"/>
    </row>
    <row r="1514" spans="1:12" ht="20.100000000000001" customHeight="1">
      <c r="A1514" s="1568" t="s">
        <v>3046</v>
      </c>
      <c r="B1514" s="1567">
        <v>43159</v>
      </c>
      <c r="C1514" s="1568" t="s">
        <v>3308</v>
      </c>
      <c r="D1514" s="1568" t="s">
        <v>2972</v>
      </c>
      <c r="E1514" s="1567">
        <v>43754</v>
      </c>
      <c r="F1514" s="1566">
        <v>313</v>
      </c>
      <c r="G1514" s="1566">
        <v>0</v>
      </c>
      <c r="H1514" s="1567"/>
      <c r="I1514" s="1567">
        <v>46810</v>
      </c>
      <c r="J1514" s="1567">
        <v>46810</v>
      </c>
      <c r="K1514" s="1568" t="str">
        <f t="shared" si="23"/>
        <v>No</v>
      </c>
      <c r="L1514" s="1565"/>
    </row>
    <row r="1515" spans="1:12" ht="20.100000000000001" customHeight="1">
      <c r="A1515" s="1568" t="s">
        <v>3046</v>
      </c>
      <c r="B1515" s="1567">
        <v>43159</v>
      </c>
      <c r="C1515" s="1568" t="s">
        <v>3308</v>
      </c>
      <c r="D1515" s="1568" t="s">
        <v>2972</v>
      </c>
      <c r="E1515" s="1567">
        <v>43785</v>
      </c>
      <c r="F1515" s="1566">
        <v>312</v>
      </c>
      <c r="G1515" s="1566">
        <v>0</v>
      </c>
      <c r="H1515" s="1567"/>
      <c r="I1515" s="1567">
        <v>46810</v>
      </c>
      <c r="J1515" s="1567">
        <v>46810</v>
      </c>
      <c r="K1515" s="1568" t="str">
        <f t="shared" si="23"/>
        <v>No</v>
      </c>
      <c r="L1515" s="1565"/>
    </row>
    <row r="1516" spans="1:12" ht="20.100000000000001" customHeight="1">
      <c r="A1516" s="1568" t="s">
        <v>3046</v>
      </c>
      <c r="B1516" s="1567">
        <v>43159</v>
      </c>
      <c r="C1516" s="1568" t="s">
        <v>3308</v>
      </c>
      <c r="D1516" s="1568" t="s">
        <v>2972</v>
      </c>
      <c r="E1516" s="1567">
        <v>43815</v>
      </c>
      <c r="F1516" s="1566">
        <v>313</v>
      </c>
      <c r="G1516" s="1566">
        <v>0</v>
      </c>
      <c r="H1516" s="1567"/>
      <c r="I1516" s="1567">
        <v>46810</v>
      </c>
      <c r="J1516" s="1567">
        <v>46810</v>
      </c>
      <c r="K1516" s="1568" t="str">
        <f t="shared" si="23"/>
        <v>No</v>
      </c>
      <c r="L1516" s="1565"/>
    </row>
    <row r="1517" spans="1:12" ht="20.100000000000001" customHeight="1">
      <c r="A1517" s="1568" t="s">
        <v>3046</v>
      </c>
      <c r="B1517" s="1567">
        <v>43159</v>
      </c>
      <c r="C1517" s="1568" t="s">
        <v>3308</v>
      </c>
      <c r="D1517" s="1568" t="s">
        <v>2972</v>
      </c>
      <c r="E1517" s="1567">
        <v>43846</v>
      </c>
      <c r="F1517" s="1566">
        <v>312</v>
      </c>
      <c r="G1517" s="1566">
        <v>0</v>
      </c>
      <c r="H1517" s="1567"/>
      <c r="I1517" s="1567">
        <v>46810</v>
      </c>
      <c r="J1517" s="1567">
        <v>46810</v>
      </c>
      <c r="K1517" s="1568" t="str">
        <f t="shared" si="23"/>
        <v>No</v>
      </c>
      <c r="L1517" s="1565"/>
    </row>
    <row r="1518" spans="1:12" ht="20.100000000000001" customHeight="1">
      <c r="A1518" s="1568" t="s">
        <v>3046</v>
      </c>
      <c r="B1518" s="1567">
        <v>43159</v>
      </c>
      <c r="C1518" s="1568" t="s">
        <v>3308</v>
      </c>
      <c r="D1518" s="1568" t="s">
        <v>2972</v>
      </c>
      <c r="E1518" s="1567">
        <v>43877</v>
      </c>
      <c r="F1518" s="1566">
        <v>313</v>
      </c>
      <c r="G1518" s="1566">
        <v>0</v>
      </c>
      <c r="H1518" s="1567"/>
      <c r="I1518" s="1567">
        <v>46810</v>
      </c>
      <c r="J1518" s="1567">
        <v>46810</v>
      </c>
      <c r="K1518" s="1568" t="str">
        <f t="shared" si="23"/>
        <v>No</v>
      </c>
      <c r="L1518" s="1565"/>
    </row>
    <row r="1519" spans="1:12" ht="20.100000000000001" customHeight="1">
      <c r="A1519" s="1568" t="s">
        <v>3046</v>
      </c>
      <c r="B1519" s="1567">
        <v>43159</v>
      </c>
      <c r="C1519" s="1568" t="s">
        <v>3308</v>
      </c>
      <c r="D1519" s="1568" t="s">
        <v>2972</v>
      </c>
      <c r="E1519" s="1567">
        <v>43906</v>
      </c>
      <c r="F1519" s="1566">
        <v>312</v>
      </c>
      <c r="G1519" s="1566">
        <v>0</v>
      </c>
      <c r="H1519" s="1567"/>
      <c r="I1519" s="1567">
        <v>46810</v>
      </c>
      <c r="J1519" s="1567">
        <v>46810</v>
      </c>
      <c r="K1519" s="1568" t="str">
        <f t="shared" si="23"/>
        <v>No</v>
      </c>
      <c r="L1519" s="1565"/>
    </row>
    <row r="1520" spans="1:12" ht="20.100000000000001" customHeight="1">
      <c r="A1520" s="1568" t="s">
        <v>3046</v>
      </c>
      <c r="B1520" s="1567">
        <v>43159</v>
      </c>
      <c r="C1520" s="1568" t="s">
        <v>3308</v>
      </c>
      <c r="D1520" s="1568" t="s">
        <v>2972</v>
      </c>
      <c r="E1520" s="1567">
        <v>43937</v>
      </c>
      <c r="F1520" s="1566">
        <v>313</v>
      </c>
      <c r="G1520" s="1566">
        <v>0</v>
      </c>
      <c r="H1520" s="1567"/>
      <c r="I1520" s="1567">
        <v>46810</v>
      </c>
      <c r="J1520" s="1567">
        <v>46810</v>
      </c>
      <c r="K1520" s="1568" t="str">
        <f t="shared" si="23"/>
        <v>No</v>
      </c>
      <c r="L1520" s="1565"/>
    </row>
    <row r="1521" spans="1:12" ht="20.100000000000001" customHeight="1">
      <c r="A1521" s="1568" t="s">
        <v>3046</v>
      </c>
      <c r="B1521" s="1567">
        <v>43159</v>
      </c>
      <c r="C1521" s="1568" t="s">
        <v>3308</v>
      </c>
      <c r="D1521" s="1568" t="s">
        <v>2972</v>
      </c>
      <c r="E1521" s="1567">
        <v>43967</v>
      </c>
      <c r="F1521" s="1566">
        <v>312</v>
      </c>
      <c r="G1521" s="1566">
        <v>0</v>
      </c>
      <c r="H1521" s="1567"/>
      <c r="I1521" s="1567">
        <v>46810</v>
      </c>
      <c r="J1521" s="1567">
        <v>46810</v>
      </c>
      <c r="K1521" s="1568" t="str">
        <f t="shared" si="23"/>
        <v>No</v>
      </c>
      <c r="L1521" s="1565"/>
    </row>
    <row r="1522" spans="1:12" ht="20.100000000000001" customHeight="1">
      <c r="A1522" s="1568" t="s">
        <v>3046</v>
      </c>
      <c r="B1522" s="1567">
        <v>43159</v>
      </c>
      <c r="C1522" s="1568" t="s">
        <v>3308</v>
      </c>
      <c r="D1522" s="1568" t="s">
        <v>2972</v>
      </c>
      <c r="E1522" s="1567">
        <v>43998</v>
      </c>
      <c r="F1522" s="1566">
        <v>313</v>
      </c>
      <c r="G1522" s="1566">
        <v>0</v>
      </c>
      <c r="H1522" s="1567"/>
      <c r="I1522" s="1567">
        <v>46810</v>
      </c>
      <c r="J1522" s="1567">
        <v>46810</v>
      </c>
      <c r="K1522" s="1568" t="str">
        <f t="shared" si="23"/>
        <v>No</v>
      </c>
      <c r="L1522" s="1565"/>
    </row>
    <row r="1523" spans="1:12" ht="20.100000000000001" customHeight="1">
      <c r="A1523" s="1568" t="s">
        <v>3046</v>
      </c>
      <c r="B1523" s="1567">
        <v>43159</v>
      </c>
      <c r="C1523" s="1568" t="s">
        <v>3308</v>
      </c>
      <c r="D1523" s="1568" t="s">
        <v>2972</v>
      </c>
      <c r="E1523" s="1567">
        <v>44028</v>
      </c>
      <c r="F1523" s="1566">
        <v>312</v>
      </c>
      <c r="G1523" s="1566">
        <v>0</v>
      </c>
      <c r="H1523" s="1567"/>
      <c r="I1523" s="1567">
        <v>46810</v>
      </c>
      <c r="J1523" s="1567">
        <v>46810</v>
      </c>
      <c r="K1523" s="1568" t="str">
        <f t="shared" si="23"/>
        <v>No</v>
      </c>
      <c r="L1523" s="1565"/>
    </row>
    <row r="1524" spans="1:12" ht="20.100000000000001" customHeight="1">
      <c r="A1524" s="1568" t="s">
        <v>3046</v>
      </c>
      <c r="B1524" s="1567">
        <v>43159</v>
      </c>
      <c r="C1524" s="1568" t="s">
        <v>3308</v>
      </c>
      <c r="D1524" s="1568" t="s">
        <v>2972</v>
      </c>
      <c r="E1524" s="1567">
        <v>44059</v>
      </c>
      <c r="F1524" s="1566">
        <v>313</v>
      </c>
      <c r="G1524" s="1566">
        <v>0</v>
      </c>
      <c r="H1524" s="1567"/>
      <c r="I1524" s="1567">
        <v>46810</v>
      </c>
      <c r="J1524" s="1567">
        <v>46810</v>
      </c>
      <c r="K1524" s="1568" t="str">
        <f t="shared" si="23"/>
        <v>No</v>
      </c>
      <c r="L1524" s="1565"/>
    </row>
    <row r="1525" spans="1:12" ht="20.100000000000001" customHeight="1">
      <c r="A1525" s="1568" t="s">
        <v>3046</v>
      </c>
      <c r="B1525" s="1567">
        <v>43159</v>
      </c>
      <c r="C1525" s="1568" t="s">
        <v>3308</v>
      </c>
      <c r="D1525" s="1568" t="s">
        <v>2972</v>
      </c>
      <c r="E1525" s="1567">
        <v>44090</v>
      </c>
      <c r="F1525" s="1566">
        <v>312</v>
      </c>
      <c r="G1525" s="1566">
        <v>0</v>
      </c>
      <c r="H1525" s="1567"/>
      <c r="I1525" s="1567">
        <v>46810</v>
      </c>
      <c r="J1525" s="1567">
        <v>46810</v>
      </c>
      <c r="K1525" s="1568" t="str">
        <f t="shared" si="23"/>
        <v>No</v>
      </c>
      <c r="L1525" s="1565"/>
    </row>
    <row r="1526" spans="1:12" ht="20.100000000000001" customHeight="1">
      <c r="A1526" s="1568" t="s">
        <v>3046</v>
      </c>
      <c r="B1526" s="1567">
        <v>43159</v>
      </c>
      <c r="C1526" s="1568" t="s">
        <v>3308</v>
      </c>
      <c r="D1526" s="1568" t="s">
        <v>2972</v>
      </c>
      <c r="E1526" s="1567">
        <v>44120</v>
      </c>
      <c r="F1526" s="1566">
        <v>313</v>
      </c>
      <c r="G1526" s="1566">
        <v>0</v>
      </c>
      <c r="H1526" s="1567"/>
      <c r="I1526" s="1567">
        <v>46810</v>
      </c>
      <c r="J1526" s="1567">
        <v>46810</v>
      </c>
      <c r="K1526" s="1568" t="str">
        <f t="shared" si="23"/>
        <v>No</v>
      </c>
      <c r="L1526" s="1565"/>
    </row>
    <row r="1527" spans="1:12" ht="20.100000000000001" customHeight="1">
      <c r="A1527" s="1568" t="s">
        <v>3046</v>
      </c>
      <c r="B1527" s="1567">
        <v>43159</v>
      </c>
      <c r="C1527" s="1568" t="s">
        <v>3308</v>
      </c>
      <c r="D1527" s="1568" t="s">
        <v>2972</v>
      </c>
      <c r="E1527" s="1567">
        <v>44151</v>
      </c>
      <c r="F1527" s="1566">
        <v>312</v>
      </c>
      <c r="G1527" s="1566">
        <v>0</v>
      </c>
      <c r="H1527" s="1567"/>
      <c r="I1527" s="1567">
        <v>46810</v>
      </c>
      <c r="J1527" s="1567">
        <v>46810</v>
      </c>
      <c r="K1527" s="1568" t="str">
        <f t="shared" si="23"/>
        <v>No</v>
      </c>
      <c r="L1527" s="1565"/>
    </row>
    <row r="1528" spans="1:12" ht="20.100000000000001" customHeight="1">
      <c r="A1528" s="1568" t="s">
        <v>3046</v>
      </c>
      <c r="B1528" s="1567">
        <v>43159</v>
      </c>
      <c r="C1528" s="1568" t="s">
        <v>3308</v>
      </c>
      <c r="D1528" s="1568" t="s">
        <v>2972</v>
      </c>
      <c r="E1528" s="1567">
        <v>44181</v>
      </c>
      <c r="F1528" s="1566">
        <v>313</v>
      </c>
      <c r="G1528" s="1566">
        <v>0</v>
      </c>
      <c r="H1528" s="1567"/>
      <c r="I1528" s="1567">
        <v>46810</v>
      </c>
      <c r="J1528" s="1567">
        <v>46810</v>
      </c>
      <c r="K1528" s="1568" t="str">
        <f t="shared" si="23"/>
        <v>No</v>
      </c>
      <c r="L1528" s="1565"/>
    </row>
    <row r="1529" spans="1:12" ht="20.100000000000001" customHeight="1">
      <c r="A1529" s="1568" t="s">
        <v>3046</v>
      </c>
      <c r="B1529" s="1567">
        <v>43159</v>
      </c>
      <c r="C1529" s="1568" t="s">
        <v>3308</v>
      </c>
      <c r="D1529" s="1568" t="s">
        <v>2972</v>
      </c>
      <c r="E1529" s="1567">
        <v>44212</v>
      </c>
      <c r="F1529" s="1566">
        <v>312</v>
      </c>
      <c r="G1529" s="1566">
        <v>0</v>
      </c>
      <c r="H1529" s="1567"/>
      <c r="I1529" s="1567">
        <v>46810</v>
      </c>
      <c r="J1529" s="1567">
        <v>46810</v>
      </c>
      <c r="K1529" s="1568" t="str">
        <f t="shared" si="23"/>
        <v>No</v>
      </c>
      <c r="L1529" s="1565"/>
    </row>
    <row r="1530" spans="1:12" ht="20.100000000000001" customHeight="1">
      <c r="A1530" s="1568" t="s">
        <v>3046</v>
      </c>
      <c r="B1530" s="1567">
        <v>43159</v>
      </c>
      <c r="C1530" s="1568" t="s">
        <v>3308</v>
      </c>
      <c r="D1530" s="1568" t="s">
        <v>2972</v>
      </c>
      <c r="E1530" s="1567">
        <v>44243</v>
      </c>
      <c r="F1530" s="1566">
        <v>313</v>
      </c>
      <c r="G1530" s="1566">
        <v>0</v>
      </c>
      <c r="H1530" s="1567"/>
      <c r="I1530" s="1567">
        <v>46810</v>
      </c>
      <c r="J1530" s="1567">
        <v>46810</v>
      </c>
      <c r="K1530" s="1568" t="str">
        <f t="shared" si="23"/>
        <v>No</v>
      </c>
      <c r="L1530" s="1565"/>
    </row>
    <row r="1531" spans="1:12" ht="20.100000000000001" customHeight="1">
      <c r="A1531" s="1568" t="s">
        <v>3046</v>
      </c>
      <c r="B1531" s="1567">
        <v>43159</v>
      </c>
      <c r="C1531" s="1568" t="s">
        <v>3308</v>
      </c>
      <c r="D1531" s="1568" t="s">
        <v>2972</v>
      </c>
      <c r="E1531" s="1567">
        <v>44271</v>
      </c>
      <c r="F1531" s="1566">
        <v>312</v>
      </c>
      <c r="G1531" s="1566">
        <v>0</v>
      </c>
      <c r="H1531" s="1567"/>
      <c r="I1531" s="1567">
        <v>46810</v>
      </c>
      <c r="J1531" s="1567">
        <v>46810</v>
      </c>
      <c r="K1531" s="1568" t="str">
        <f t="shared" si="23"/>
        <v>No</v>
      </c>
      <c r="L1531" s="1565"/>
    </row>
    <row r="1532" spans="1:12" ht="20.100000000000001" customHeight="1">
      <c r="A1532" s="1568" t="s">
        <v>3046</v>
      </c>
      <c r="B1532" s="1567">
        <v>43159</v>
      </c>
      <c r="C1532" s="1568" t="s">
        <v>3308</v>
      </c>
      <c r="D1532" s="1568" t="s">
        <v>2972</v>
      </c>
      <c r="E1532" s="1567">
        <v>44302</v>
      </c>
      <c r="F1532" s="1566">
        <v>313</v>
      </c>
      <c r="G1532" s="1566">
        <v>0</v>
      </c>
      <c r="H1532" s="1567"/>
      <c r="I1532" s="1567">
        <v>46810</v>
      </c>
      <c r="J1532" s="1567">
        <v>46810</v>
      </c>
      <c r="K1532" s="1568" t="str">
        <f t="shared" si="23"/>
        <v>No</v>
      </c>
      <c r="L1532" s="1565"/>
    </row>
    <row r="1533" spans="1:12" ht="20.100000000000001" customHeight="1">
      <c r="A1533" s="1568" t="s">
        <v>3046</v>
      </c>
      <c r="B1533" s="1567">
        <v>43159</v>
      </c>
      <c r="C1533" s="1568" t="s">
        <v>3308</v>
      </c>
      <c r="D1533" s="1568" t="s">
        <v>2972</v>
      </c>
      <c r="E1533" s="1567">
        <v>44332</v>
      </c>
      <c r="F1533" s="1566">
        <v>312</v>
      </c>
      <c r="G1533" s="1566">
        <v>0</v>
      </c>
      <c r="H1533" s="1567"/>
      <c r="I1533" s="1567">
        <v>46810</v>
      </c>
      <c r="J1533" s="1567">
        <v>46810</v>
      </c>
      <c r="K1533" s="1568" t="str">
        <f t="shared" si="23"/>
        <v>No</v>
      </c>
      <c r="L1533" s="1565"/>
    </row>
    <row r="1534" spans="1:12" ht="20.100000000000001" customHeight="1">
      <c r="A1534" s="1568" t="s">
        <v>3046</v>
      </c>
      <c r="B1534" s="1567">
        <v>43159</v>
      </c>
      <c r="C1534" s="1568" t="s">
        <v>3308</v>
      </c>
      <c r="D1534" s="1568" t="s">
        <v>2972</v>
      </c>
      <c r="E1534" s="1567">
        <v>44363</v>
      </c>
      <c r="F1534" s="1566">
        <v>313</v>
      </c>
      <c r="G1534" s="1566">
        <v>0</v>
      </c>
      <c r="H1534" s="1567"/>
      <c r="I1534" s="1567">
        <v>46810</v>
      </c>
      <c r="J1534" s="1567">
        <v>46810</v>
      </c>
      <c r="K1534" s="1568" t="str">
        <f t="shared" si="23"/>
        <v>No</v>
      </c>
      <c r="L1534" s="1565"/>
    </row>
    <row r="1535" spans="1:12" ht="20.100000000000001" customHeight="1">
      <c r="A1535" s="1568" t="s">
        <v>3046</v>
      </c>
      <c r="B1535" s="1567">
        <v>43159</v>
      </c>
      <c r="C1535" s="1568" t="s">
        <v>3308</v>
      </c>
      <c r="D1535" s="1568" t="s">
        <v>2972</v>
      </c>
      <c r="E1535" s="1567">
        <v>44393</v>
      </c>
      <c r="F1535" s="1566">
        <v>312</v>
      </c>
      <c r="G1535" s="1566">
        <v>0</v>
      </c>
      <c r="H1535" s="1567"/>
      <c r="I1535" s="1567">
        <v>46810</v>
      </c>
      <c r="J1535" s="1567">
        <v>46810</v>
      </c>
      <c r="K1535" s="1568" t="str">
        <f t="shared" si="23"/>
        <v>No</v>
      </c>
      <c r="L1535" s="1565"/>
    </row>
    <row r="1536" spans="1:12" ht="20.100000000000001" customHeight="1">
      <c r="A1536" s="1568" t="s">
        <v>3046</v>
      </c>
      <c r="B1536" s="1567">
        <v>43159</v>
      </c>
      <c r="C1536" s="1568" t="s">
        <v>3308</v>
      </c>
      <c r="D1536" s="1568" t="s">
        <v>2972</v>
      </c>
      <c r="E1536" s="1567">
        <v>44424</v>
      </c>
      <c r="F1536" s="1566">
        <v>313</v>
      </c>
      <c r="G1536" s="1566">
        <v>0</v>
      </c>
      <c r="H1536" s="1567"/>
      <c r="I1536" s="1567">
        <v>46810</v>
      </c>
      <c r="J1536" s="1567">
        <v>46810</v>
      </c>
      <c r="K1536" s="1568" t="str">
        <f t="shared" si="23"/>
        <v>No</v>
      </c>
      <c r="L1536" s="1565"/>
    </row>
    <row r="1537" spans="1:12" ht="20.100000000000001" customHeight="1">
      <c r="A1537" s="1568" t="s">
        <v>3046</v>
      </c>
      <c r="B1537" s="1567">
        <v>43159</v>
      </c>
      <c r="C1537" s="1568" t="s">
        <v>3308</v>
      </c>
      <c r="D1537" s="1568" t="s">
        <v>2972</v>
      </c>
      <c r="E1537" s="1567">
        <v>44455</v>
      </c>
      <c r="F1537" s="1566">
        <v>312</v>
      </c>
      <c r="G1537" s="1566">
        <v>0</v>
      </c>
      <c r="H1537" s="1567"/>
      <c r="I1537" s="1567">
        <v>46810</v>
      </c>
      <c r="J1537" s="1567">
        <v>46810</v>
      </c>
      <c r="K1537" s="1568" t="str">
        <f t="shared" si="23"/>
        <v>No</v>
      </c>
      <c r="L1537" s="1565"/>
    </row>
    <row r="1538" spans="1:12" ht="20.100000000000001" customHeight="1">
      <c r="A1538" s="1568" t="s">
        <v>3046</v>
      </c>
      <c r="B1538" s="1567">
        <v>43159</v>
      </c>
      <c r="C1538" s="1568" t="s">
        <v>3308</v>
      </c>
      <c r="D1538" s="1568" t="s">
        <v>2972</v>
      </c>
      <c r="E1538" s="1567">
        <v>44485</v>
      </c>
      <c r="F1538" s="1566">
        <v>313</v>
      </c>
      <c r="G1538" s="1566">
        <v>0</v>
      </c>
      <c r="H1538" s="1567"/>
      <c r="I1538" s="1567">
        <v>46810</v>
      </c>
      <c r="J1538" s="1567">
        <v>46810</v>
      </c>
      <c r="K1538" s="1568" t="str">
        <f t="shared" si="23"/>
        <v>No</v>
      </c>
      <c r="L1538" s="1565"/>
    </row>
    <row r="1539" spans="1:12" ht="20.100000000000001" customHeight="1">
      <c r="A1539" s="1568" t="s">
        <v>3046</v>
      </c>
      <c r="B1539" s="1567">
        <v>43159</v>
      </c>
      <c r="C1539" s="1568" t="s">
        <v>3308</v>
      </c>
      <c r="D1539" s="1568" t="s">
        <v>2972</v>
      </c>
      <c r="E1539" s="1567">
        <v>44516</v>
      </c>
      <c r="F1539" s="1566">
        <v>312</v>
      </c>
      <c r="G1539" s="1566">
        <v>0</v>
      </c>
      <c r="H1539" s="1567"/>
      <c r="I1539" s="1567">
        <v>46810</v>
      </c>
      <c r="J1539" s="1567">
        <v>46810</v>
      </c>
      <c r="K1539" s="1568" t="str">
        <f t="shared" si="23"/>
        <v>No</v>
      </c>
      <c r="L1539" s="1565"/>
    </row>
    <row r="1540" spans="1:12" ht="20.100000000000001" customHeight="1">
      <c r="A1540" s="1568" t="s">
        <v>3046</v>
      </c>
      <c r="B1540" s="1567">
        <v>43159</v>
      </c>
      <c r="C1540" s="1568" t="s">
        <v>3308</v>
      </c>
      <c r="D1540" s="1568" t="s">
        <v>2972</v>
      </c>
      <c r="E1540" s="1567">
        <v>44546</v>
      </c>
      <c r="F1540" s="1566">
        <v>313</v>
      </c>
      <c r="G1540" s="1566">
        <v>0</v>
      </c>
      <c r="H1540" s="1567"/>
      <c r="I1540" s="1567">
        <v>46810</v>
      </c>
      <c r="J1540" s="1567">
        <v>46810</v>
      </c>
      <c r="K1540" s="1568" t="str">
        <f t="shared" si="23"/>
        <v>No</v>
      </c>
      <c r="L1540" s="1565"/>
    </row>
    <row r="1541" spans="1:12" ht="20.100000000000001" customHeight="1">
      <c r="A1541" s="1568" t="s">
        <v>3046</v>
      </c>
      <c r="B1541" s="1567">
        <v>43159</v>
      </c>
      <c r="C1541" s="1568" t="s">
        <v>3308</v>
      </c>
      <c r="D1541" s="1568" t="s">
        <v>2972</v>
      </c>
      <c r="E1541" s="1567">
        <v>44577</v>
      </c>
      <c r="F1541" s="1566">
        <v>312</v>
      </c>
      <c r="G1541" s="1566">
        <v>0</v>
      </c>
      <c r="H1541" s="1567"/>
      <c r="I1541" s="1567">
        <v>46810</v>
      </c>
      <c r="J1541" s="1567">
        <v>46810</v>
      </c>
      <c r="K1541" s="1568" t="str">
        <f t="shared" ref="K1541:K1604" si="24">IF(I1541="N/A","No",IF(E1541&lt;=I1541,"No","Yes"))</f>
        <v>No</v>
      </c>
      <c r="L1541" s="1565"/>
    </row>
    <row r="1542" spans="1:12" ht="20.100000000000001" customHeight="1">
      <c r="A1542" s="1568" t="s">
        <v>3046</v>
      </c>
      <c r="B1542" s="1567">
        <v>43159</v>
      </c>
      <c r="C1542" s="1568" t="s">
        <v>3308</v>
      </c>
      <c r="D1542" s="1568" t="s">
        <v>2972</v>
      </c>
      <c r="E1542" s="1567">
        <v>44608</v>
      </c>
      <c r="F1542" s="1566">
        <v>313</v>
      </c>
      <c r="G1542" s="1566">
        <v>0</v>
      </c>
      <c r="H1542" s="1567"/>
      <c r="I1542" s="1567">
        <v>46810</v>
      </c>
      <c r="J1542" s="1567">
        <v>46810</v>
      </c>
      <c r="K1542" s="1568" t="str">
        <f t="shared" si="24"/>
        <v>No</v>
      </c>
      <c r="L1542" s="1565"/>
    </row>
    <row r="1543" spans="1:12" ht="20.100000000000001" customHeight="1">
      <c r="A1543" s="1568" t="s">
        <v>3045</v>
      </c>
      <c r="B1543" s="1567">
        <v>43159</v>
      </c>
      <c r="C1543" s="1568" t="s">
        <v>3308</v>
      </c>
      <c r="D1543" s="1568" t="s">
        <v>2969</v>
      </c>
      <c r="E1543" s="1567">
        <v>43512</v>
      </c>
      <c r="F1543" s="1566">
        <v>50000</v>
      </c>
      <c r="G1543" s="1566">
        <v>0</v>
      </c>
      <c r="H1543" s="1567"/>
      <c r="I1543" s="1567">
        <v>46810</v>
      </c>
      <c r="J1543" s="1567">
        <v>46810</v>
      </c>
      <c r="K1543" s="1568" t="str">
        <f t="shared" si="24"/>
        <v>No</v>
      </c>
      <c r="L1543" s="1565"/>
    </row>
    <row r="1544" spans="1:12" ht="20.100000000000001" customHeight="1">
      <c r="A1544" s="1568" t="s">
        <v>3045</v>
      </c>
      <c r="B1544" s="1567">
        <v>43159</v>
      </c>
      <c r="C1544" s="1568" t="s">
        <v>3308</v>
      </c>
      <c r="D1544" s="1568" t="s">
        <v>2969</v>
      </c>
      <c r="E1544" s="1567">
        <v>43540</v>
      </c>
      <c r="F1544" s="1566">
        <v>4166</v>
      </c>
      <c r="G1544" s="1566">
        <v>0</v>
      </c>
      <c r="H1544" s="1567"/>
      <c r="I1544" s="1567">
        <v>46810</v>
      </c>
      <c r="J1544" s="1567">
        <v>46810</v>
      </c>
      <c r="K1544" s="1568" t="str">
        <f t="shared" si="24"/>
        <v>No</v>
      </c>
      <c r="L1544" s="1565"/>
    </row>
    <row r="1545" spans="1:12" ht="20.100000000000001" customHeight="1">
      <c r="A1545" s="1568" t="s">
        <v>3045</v>
      </c>
      <c r="B1545" s="1567">
        <v>43159</v>
      </c>
      <c r="C1545" s="1568" t="s">
        <v>3308</v>
      </c>
      <c r="D1545" s="1568" t="s">
        <v>2969</v>
      </c>
      <c r="E1545" s="1567">
        <v>43571</v>
      </c>
      <c r="F1545" s="1566">
        <v>4167</v>
      </c>
      <c r="G1545" s="1566">
        <v>0</v>
      </c>
      <c r="H1545" s="1567"/>
      <c r="I1545" s="1567">
        <v>46810</v>
      </c>
      <c r="J1545" s="1567">
        <v>46810</v>
      </c>
      <c r="K1545" s="1568" t="str">
        <f t="shared" si="24"/>
        <v>No</v>
      </c>
      <c r="L1545" s="1565"/>
    </row>
    <row r="1546" spans="1:12" ht="20.100000000000001" customHeight="1">
      <c r="A1546" s="1568" t="s">
        <v>3045</v>
      </c>
      <c r="B1546" s="1567">
        <v>43159</v>
      </c>
      <c r="C1546" s="1568" t="s">
        <v>3308</v>
      </c>
      <c r="D1546" s="1568" t="s">
        <v>2969</v>
      </c>
      <c r="E1546" s="1567">
        <v>43601</v>
      </c>
      <c r="F1546" s="1566">
        <v>4167</v>
      </c>
      <c r="G1546" s="1566">
        <v>0</v>
      </c>
      <c r="H1546" s="1567"/>
      <c r="I1546" s="1567">
        <v>46810</v>
      </c>
      <c r="J1546" s="1567">
        <v>46810</v>
      </c>
      <c r="K1546" s="1568" t="str">
        <f t="shared" si="24"/>
        <v>No</v>
      </c>
      <c r="L1546" s="1565"/>
    </row>
    <row r="1547" spans="1:12" ht="20.100000000000001" customHeight="1">
      <c r="A1547" s="1568" t="s">
        <v>3045</v>
      </c>
      <c r="B1547" s="1567">
        <v>43159</v>
      </c>
      <c r="C1547" s="1568" t="s">
        <v>3308</v>
      </c>
      <c r="D1547" s="1568" t="s">
        <v>2969</v>
      </c>
      <c r="E1547" s="1567">
        <v>43632</v>
      </c>
      <c r="F1547" s="1566">
        <v>4166</v>
      </c>
      <c r="G1547" s="1566">
        <v>0</v>
      </c>
      <c r="H1547" s="1567"/>
      <c r="I1547" s="1567">
        <v>46810</v>
      </c>
      <c r="J1547" s="1567">
        <v>46810</v>
      </c>
      <c r="K1547" s="1568" t="str">
        <f t="shared" si="24"/>
        <v>No</v>
      </c>
      <c r="L1547" s="1565"/>
    </row>
    <row r="1548" spans="1:12" ht="20.100000000000001" customHeight="1">
      <c r="A1548" s="1568" t="s">
        <v>3045</v>
      </c>
      <c r="B1548" s="1567">
        <v>43159</v>
      </c>
      <c r="C1548" s="1568" t="s">
        <v>3308</v>
      </c>
      <c r="D1548" s="1568" t="s">
        <v>2969</v>
      </c>
      <c r="E1548" s="1567">
        <v>43662</v>
      </c>
      <c r="F1548" s="1566">
        <v>4167</v>
      </c>
      <c r="G1548" s="1566">
        <v>0</v>
      </c>
      <c r="H1548" s="1567"/>
      <c r="I1548" s="1567">
        <v>46810</v>
      </c>
      <c r="J1548" s="1567">
        <v>46810</v>
      </c>
      <c r="K1548" s="1568" t="str">
        <f t="shared" si="24"/>
        <v>No</v>
      </c>
      <c r="L1548" s="1565"/>
    </row>
    <row r="1549" spans="1:12" ht="20.100000000000001" customHeight="1">
      <c r="A1549" s="1568" t="s">
        <v>3045</v>
      </c>
      <c r="B1549" s="1567">
        <v>43159</v>
      </c>
      <c r="C1549" s="1568" t="s">
        <v>3308</v>
      </c>
      <c r="D1549" s="1568" t="s">
        <v>2969</v>
      </c>
      <c r="E1549" s="1567">
        <v>43693</v>
      </c>
      <c r="F1549" s="1566">
        <v>4167</v>
      </c>
      <c r="G1549" s="1566">
        <v>0</v>
      </c>
      <c r="H1549" s="1567"/>
      <c r="I1549" s="1567">
        <v>46810</v>
      </c>
      <c r="J1549" s="1567">
        <v>46810</v>
      </c>
      <c r="K1549" s="1568" t="str">
        <f t="shared" si="24"/>
        <v>No</v>
      </c>
      <c r="L1549" s="1565"/>
    </row>
    <row r="1550" spans="1:12" ht="20.100000000000001" customHeight="1">
      <c r="A1550" s="1568" t="s">
        <v>3045</v>
      </c>
      <c r="B1550" s="1567">
        <v>43159</v>
      </c>
      <c r="C1550" s="1568" t="s">
        <v>3308</v>
      </c>
      <c r="D1550" s="1568" t="s">
        <v>2969</v>
      </c>
      <c r="E1550" s="1567">
        <v>43724</v>
      </c>
      <c r="F1550" s="1566">
        <v>4166</v>
      </c>
      <c r="G1550" s="1566">
        <v>0</v>
      </c>
      <c r="H1550" s="1567"/>
      <c r="I1550" s="1567">
        <v>46810</v>
      </c>
      <c r="J1550" s="1567">
        <v>46810</v>
      </c>
      <c r="K1550" s="1568" t="str">
        <f t="shared" si="24"/>
        <v>No</v>
      </c>
      <c r="L1550" s="1565"/>
    </row>
    <row r="1551" spans="1:12" ht="20.100000000000001" customHeight="1">
      <c r="A1551" s="1568" t="s">
        <v>3045</v>
      </c>
      <c r="B1551" s="1567">
        <v>43159</v>
      </c>
      <c r="C1551" s="1568" t="s">
        <v>3308</v>
      </c>
      <c r="D1551" s="1568" t="s">
        <v>2969</v>
      </c>
      <c r="E1551" s="1567">
        <v>43754</v>
      </c>
      <c r="F1551" s="1566">
        <v>4167</v>
      </c>
      <c r="G1551" s="1566">
        <v>0</v>
      </c>
      <c r="H1551" s="1567"/>
      <c r="I1551" s="1567">
        <v>46810</v>
      </c>
      <c r="J1551" s="1567">
        <v>46810</v>
      </c>
      <c r="K1551" s="1568" t="str">
        <f t="shared" si="24"/>
        <v>No</v>
      </c>
      <c r="L1551" s="1565"/>
    </row>
    <row r="1552" spans="1:12" ht="20.100000000000001" customHeight="1">
      <c r="A1552" s="1568" t="s">
        <v>3045</v>
      </c>
      <c r="B1552" s="1567">
        <v>43159</v>
      </c>
      <c r="C1552" s="1568" t="s">
        <v>3308</v>
      </c>
      <c r="D1552" s="1568" t="s">
        <v>2969</v>
      </c>
      <c r="E1552" s="1567">
        <v>43785</v>
      </c>
      <c r="F1552" s="1566">
        <v>4167</v>
      </c>
      <c r="G1552" s="1566">
        <v>0</v>
      </c>
      <c r="H1552" s="1567"/>
      <c r="I1552" s="1567">
        <v>46810</v>
      </c>
      <c r="J1552" s="1567">
        <v>46810</v>
      </c>
      <c r="K1552" s="1568" t="str">
        <f t="shared" si="24"/>
        <v>No</v>
      </c>
      <c r="L1552" s="1565"/>
    </row>
    <row r="1553" spans="1:12" ht="20.100000000000001" customHeight="1">
      <c r="A1553" s="1568" t="s">
        <v>3045</v>
      </c>
      <c r="B1553" s="1567">
        <v>43159</v>
      </c>
      <c r="C1553" s="1568" t="s">
        <v>3308</v>
      </c>
      <c r="D1553" s="1568" t="s">
        <v>2969</v>
      </c>
      <c r="E1553" s="1567">
        <v>43815</v>
      </c>
      <c r="F1553" s="1566">
        <v>4166</v>
      </c>
      <c r="G1553" s="1566">
        <v>0</v>
      </c>
      <c r="H1553" s="1567"/>
      <c r="I1553" s="1567">
        <v>46810</v>
      </c>
      <c r="J1553" s="1567">
        <v>46810</v>
      </c>
      <c r="K1553" s="1568" t="str">
        <f t="shared" si="24"/>
        <v>No</v>
      </c>
      <c r="L1553" s="1565"/>
    </row>
    <row r="1554" spans="1:12" ht="20.100000000000001" customHeight="1">
      <c r="A1554" s="1568" t="s">
        <v>3045</v>
      </c>
      <c r="B1554" s="1567">
        <v>43159</v>
      </c>
      <c r="C1554" s="1568" t="s">
        <v>3308</v>
      </c>
      <c r="D1554" s="1568" t="s">
        <v>2969</v>
      </c>
      <c r="E1554" s="1567">
        <v>43846</v>
      </c>
      <c r="F1554" s="1566">
        <v>4167</v>
      </c>
      <c r="G1554" s="1566">
        <v>0</v>
      </c>
      <c r="H1554" s="1567"/>
      <c r="I1554" s="1567">
        <v>46810</v>
      </c>
      <c r="J1554" s="1567">
        <v>46810</v>
      </c>
      <c r="K1554" s="1568" t="str">
        <f t="shared" si="24"/>
        <v>No</v>
      </c>
      <c r="L1554" s="1565"/>
    </row>
    <row r="1555" spans="1:12" ht="20.100000000000001" customHeight="1">
      <c r="A1555" s="1568" t="s">
        <v>3045</v>
      </c>
      <c r="B1555" s="1567">
        <v>43159</v>
      </c>
      <c r="C1555" s="1568" t="s">
        <v>3308</v>
      </c>
      <c r="D1555" s="1568" t="s">
        <v>2969</v>
      </c>
      <c r="E1555" s="1567">
        <v>43877</v>
      </c>
      <c r="F1555" s="1566">
        <v>4167</v>
      </c>
      <c r="G1555" s="1566">
        <v>0</v>
      </c>
      <c r="H1555" s="1567"/>
      <c r="I1555" s="1567">
        <v>46810</v>
      </c>
      <c r="J1555" s="1567">
        <v>46810</v>
      </c>
      <c r="K1555" s="1568" t="str">
        <f t="shared" si="24"/>
        <v>No</v>
      </c>
      <c r="L1555" s="1565"/>
    </row>
    <row r="1556" spans="1:12" ht="20.100000000000001" customHeight="1">
      <c r="A1556" s="1568" t="s">
        <v>3045</v>
      </c>
      <c r="B1556" s="1567">
        <v>43159</v>
      </c>
      <c r="C1556" s="1568" t="s">
        <v>3308</v>
      </c>
      <c r="D1556" s="1568" t="s">
        <v>2969</v>
      </c>
      <c r="E1556" s="1567">
        <v>43906</v>
      </c>
      <c r="F1556" s="1566">
        <v>4166</v>
      </c>
      <c r="G1556" s="1566">
        <v>0</v>
      </c>
      <c r="H1556" s="1567"/>
      <c r="I1556" s="1567">
        <v>46810</v>
      </c>
      <c r="J1556" s="1567">
        <v>46810</v>
      </c>
      <c r="K1556" s="1568" t="str">
        <f t="shared" si="24"/>
        <v>No</v>
      </c>
      <c r="L1556" s="1565"/>
    </row>
    <row r="1557" spans="1:12" ht="20.100000000000001" customHeight="1">
      <c r="A1557" s="1568" t="s">
        <v>3045</v>
      </c>
      <c r="B1557" s="1567">
        <v>43159</v>
      </c>
      <c r="C1557" s="1568" t="s">
        <v>3308</v>
      </c>
      <c r="D1557" s="1568" t="s">
        <v>2969</v>
      </c>
      <c r="E1557" s="1567">
        <v>43937</v>
      </c>
      <c r="F1557" s="1566">
        <v>4167</v>
      </c>
      <c r="G1557" s="1566">
        <v>0</v>
      </c>
      <c r="H1557" s="1567"/>
      <c r="I1557" s="1567">
        <v>46810</v>
      </c>
      <c r="J1557" s="1567">
        <v>46810</v>
      </c>
      <c r="K1557" s="1568" t="str">
        <f t="shared" si="24"/>
        <v>No</v>
      </c>
      <c r="L1557" s="1565"/>
    </row>
    <row r="1558" spans="1:12" ht="20.100000000000001" customHeight="1">
      <c r="A1558" s="1568" t="s">
        <v>3045</v>
      </c>
      <c r="B1558" s="1567">
        <v>43159</v>
      </c>
      <c r="C1558" s="1568" t="s">
        <v>3308</v>
      </c>
      <c r="D1558" s="1568" t="s">
        <v>2969</v>
      </c>
      <c r="E1558" s="1567">
        <v>43967</v>
      </c>
      <c r="F1558" s="1566">
        <v>4167</v>
      </c>
      <c r="G1558" s="1566">
        <v>0</v>
      </c>
      <c r="H1558" s="1567"/>
      <c r="I1558" s="1567">
        <v>46810</v>
      </c>
      <c r="J1558" s="1567">
        <v>46810</v>
      </c>
      <c r="K1558" s="1568" t="str">
        <f t="shared" si="24"/>
        <v>No</v>
      </c>
      <c r="L1558" s="1565"/>
    </row>
    <row r="1559" spans="1:12" ht="20.100000000000001" customHeight="1">
      <c r="A1559" s="1568" t="s">
        <v>3045</v>
      </c>
      <c r="B1559" s="1567">
        <v>43159</v>
      </c>
      <c r="C1559" s="1568" t="s">
        <v>3308</v>
      </c>
      <c r="D1559" s="1568" t="s">
        <v>2969</v>
      </c>
      <c r="E1559" s="1567">
        <v>43998</v>
      </c>
      <c r="F1559" s="1566">
        <v>4166</v>
      </c>
      <c r="G1559" s="1566">
        <v>0</v>
      </c>
      <c r="H1559" s="1567"/>
      <c r="I1559" s="1567">
        <v>46810</v>
      </c>
      <c r="J1559" s="1567">
        <v>46810</v>
      </c>
      <c r="K1559" s="1568" t="str">
        <f t="shared" si="24"/>
        <v>No</v>
      </c>
      <c r="L1559" s="1565"/>
    </row>
    <row r="1560" spans="1:12" ht="20.100000000000001" customHeight="1">
      <c r="A1560" s="1568" t="s">
        <v>3045</v>
      </c>
      <c r="B1560" s="1567">
        <v>43159</v>
      </c>
      <c r="C1560" s="1568" t="s">
        <v>3308</v>
      </c>
      <c r="D1560" s="1568" t="s">
        <v>2969</v>
      </c>
      <c r="E1560" s="1567">
        <v>44028</v>
      </c>
      <c r="F1560" s="1566">
        <v>4167</v>
      </c>
      <c r="G1560" s="1566">
        <v>0</v>
      </c>
      <c r="H1560" s="1567"/>
      <c r="I1560" s="1567">
        <v>46810</v>
      </c>
      <c r="J1560" s="1567">
        <v>46810</v>
      </c>
      <c r="K1560" s="1568" t="str">
        <f t="shared" si="24"/>
        <v>No</v>
      </c>
      <c r="L1560" s="1565"/>
    </row>
    <row r="1561" spans="1:12" ht="20.100000000000001" customHeight="1">
      <c r="A1561" s="1568" t="s">
        <v>3045</v>
      </c>
      <c r="B1561" s="1567">
        <v>43159</v>
      </c>
      <c r="C1561" s="1568" t="s">
        <v>3308</v>
      </c>
      <c r="D1561" s="1568" t="s">
        <v>2969</v>
      </c>
      <c r="E1561" s="1567">
        <v>44059</v>
      </c>
      <c r="F1561" s="1566">
        <v>4167</v>
      </c>
      <c r="G1561" s="1566">
        <v>0</v>
      </c>
      <c r="H1561" s="1567"/>
      <c r="I1561" s="1567">
        <v>46810</v>
      </c>
      <c r="J1561" s="1567">
        <v>46810</v>
      </c>
      <c r="K1561" s="1568" t="str">
        <f t="shared" si="24"/>
        <v>No</v>
      </c>
      <c r="L1561" s="1565"/>
    </row>
    <row r="1562" spans="1:12" ht="20.100000000000001" customHeight="1">
      <c r="A1562" s="1568" t="s">
        <v>3045</v>
      </c>
      <c r="B1562" s="1567">
        <v>43159</v>
      </c>
      <c r="C1562" s="1568" t="s">
        <v>3308</v>
      </c>
      <c r="D1562" s="1568" t="s">
        <v>2969</v>
      </c>
      <c r="E1562" s="1567">
        <v>44090</v>
      </c>
      <c r="F1562" s="1566">
        <v>4166</v>
      </c>
      <c r="G1562" s="1566">
        <v>0</v>
      </c>
      <c r="H1562" s="1567"/>
      <c r="I1562" s="1567">
        <v>46810</v>
      </c>
      <c r="J1562" s="1567">
        <v>46810</v>
      </c>
      <c r="K1562" s="1568" t="str">
        <f t="shared" si="24"/>
        <v>No</v>
      </c>
      <c r="L1562" s="1565"/>
    </row>
    <row r="1563" spans="1:12" ht="20.100000000000001" customHeight="1">
      <c r="A1563" s="1568" t="s">
        <v>3045</v>
      </c>
      <c r="B1563" s="1567">
        <v>43159</v>
      </c>
      <c r="C1563" s="1568" t="s">
        <v>3308</v>
      </c>
      <c r="D1563" s="1568" t="s">
        <v>2969</v>
      </c>
      <c r="E1563" s="1567">
        <v>44120</v>
      </c>
      <c r="F1563" s="1566">
        <v>4167</v>
      </c>
      <c r="G1563" s="1566">
        <v>0</v>
      </c>
      <c r="H1563" s="1567"/>
      <c r="I1563" s="1567">
        <v>46810</v>
      </c>
      <c r="J1563" s="1567">
        <v>46810</v>
      </c>
      <c r="K1563" s="1568" t="str">
        <f t="shared" si="24"/>
        <v>No</v>
      </c>
      <c r="L1563" s="1565"/>
    </row>
    <row r="1564" spans="1:12" ht="20.100000000000001" customHeight="1">
      <c r="A1564" s="1568" t="s">
        <v>3045</v>
      </c>
      <c r="B1564" s="1567">
        <v>43159</v>
      </c>
      <c r="C1564" s="1568" t="s">
        <v>3308</v>
      </c>
      <c r="D1564" s="1568" t="s">
        <v>2969</v>
      </c>
      <c r="E1564" s="1567">
        <v>44151</v>
      </c>
      <c r="F1564" s="1566">
        <v>4167</v>
      </c>
      <c r="G1564" s="1566">
        <v>0</v>
      </c>
      <c r="H1564" s="1567"/>
      <c r="I1564" s="1567">
        <v>46810</v>
      </c>
      <c r="J1564" s="1567">
        <v>46810</v>
      </c>
      <c r="K1564" s="1568" t="str">
        <f t="shared" si="24"/>
        <v>No</v>
      </c>
      <c r="L1564" s="1565"/>
    </row>
    <row r="1565" spans="1:12" ht="20.100000000000001" customHeight="1">
      <c r="A1565" s="1568" t="s">
        <v>3045</v>
      </c>
      <c r="B1565" s="1567">
        <v>43159</v>
      </c>
      <c r="C1565" s="1568" t="s">
        <v>3308</v>
      </c>
      <c r="D1565" s="1568" t="s">
        <v>2969</v>
      </c>
      <c r="E1565" s="1567">
        <v>44181</v>
      </c>
      <c r="F1565" s="1566">
        <v>4166</v>
      </c>
      <c r="G1565" s="1566">
        <v>0</v>
      </c>
      <c r="H1565" s="1567"/>
      <c r="I1565" s="1567">
        <v>46810</v>
      </c>
      <c r="J1565" s="1567">
        <v>46810</v>
      </c>
      <c r="K1565" s="1568" t="str">
        <f t="shared" si="24"/>
        <v>No</v>
      </c>
      <c r="L1565" s="1565"/>
    </row>
    <row r="1566" spans="1:12" ht="20.100000000000001" customHeight="1">
      <c r="A1566" s="1568" t="s">
        <v>3045</v>
      </c>
      <c r="B1566" s="1567">
        <v>43159</v>
      </c>
      <c r="C1566" s="1568" t="s">
        <v>3308</v>
      </c>
      <c r="D1566" s="1568" t="s">
        <v>2969</v>
      </c>
      <c r="E1566" s="1567">
        <v>44212</v>
      </c>
      <c r="F1566" s="1566">
        <v>4167</v>
      </c>
      <c r="G1566" s="1566">
        <v>0</v>
      </c>
      <c r="H1566" s="1567"/>
      <c r="I1566" s="1567">
        <v>46810</v>
      </c>
      <c r="J1566" s="1567">
        <v>46810</v>
      </c>
      <c r="K1566" s="1568" t="str">
        <f t="shared" si="24"/>
        <v>No</v>
      </c>
      <c r="L1566" s="1565"/>
    </row>
    <row r="1567" spans="1:12" ht="20.100000000000001" customHeight="1">
      <c r="A1567" s="1568" t="s">
        <v>3045</v>
      </c>
      <c r="B1567" s="1567">
        <v>43159</v>
      </c>
      <c r="C1567" s="1568" t="s">
        <v>3308</v>
      </c>
      <c r="D1567" s="1568" t="s">
        <v>2969</v>
      </c>
      <c r="E1567" s="1567">
        <v>44243</v>
      </c>
      <c r="F1567" s="1566">
        <v>4167</v>
      </c>
      <c r="G1567" s="1566">
        <v>0</v>
      </c>
      <c r="H1567" s="1567"/>
      <c r="I1567" s="1567">
        <v>46810</v>
      </c>
      <c r="J1567" s="1567">
        <v>46810</v>
      </c>
      <c r="K1567" s="1568" t="str">
        <f t="shared" si="24"/>
        <v>No</v>
      </c>
      <c r="L1567" s="1565"/>
    </row>
    <row r="1568" spans="1:12" ht="20.100000000000001" customHeight="1">
      <c r="A1568" s="1568" t="s">
        <v>3045</v>
      </c>
      <c r="B1568" s="1567">
        <v>43159</v>
      </c>
      <c r="C1568" s="1568" t="s">
        <v>3308</v>
      </c>
      <c r="D1568" s="1568" t="s">
        <v>2969</v>
      </c>
      <c r="E1568" s="1567">
        <v>44271</v>
      </c>
      <c r="F1568" s="1566">
        <v>4166</v>
      </c>
      <c r="G1568" s="1566">
        <v>0</v>
      </c>
      <c r="H1568" s="1567"/>
      <c r="I1568" s="1567">
        <v>46810</v>
      </c>
      <c r="J1568" s="1567">
        <v>46810</v>
      </c>
      <c r="K1568" s="1568" t="str">
        <f t="shared" si="24"/>
        <v>No</v>
      </c>
      <c r="L1568" s="1565"/>
    </row>
    <row r="1569" spans="1:12" ht="20.100000000000001" customHeight="1">
      <c r="A1569" s="1568" t="s">
        <v>3045</v>
      </c>
      <c r="B1569" s="1567">
        <v>43159</v>
      </c>
      <c r="C1569" s="1568" t="s">
        <v>3308</v>
      </c>
      <c r="D1569" s="1568" t="s">
        <v>2969</v>
      </c>
      <c r="E1569" s="1567">
        <v>44302</v>
      </c>
      <c r="F1569" s="1566">
        <v>4167</v>
      </c>
      <c r="G1569" s="1566">
        <v>0</v>
      </c>
      <c r="H1569" s="1567"/>
      <c r="I1569" s="1567">
        <v>46810</v>
      </c>
      <c r="J1569" s="1567">
        <v>46810</v>
      </c>
      <c r="K1569" s="1568" t="str">
        <f t="shared" si="24"/>
        <v>No</v>
      </c>
      <c r="L1569" s="1565"/>
    </row>
    <row r="1570" spans="1:12" ht="20.100000000000001" customHeight="1">
      <c r="A1570" s="1568" t="s">
        <v>3045</v>
      </c>
      <c r="B1570" s="1567">
        <v>43159</v>
      </c>
      <c r="C1570" s="1568" t="s">
        <v>3308</v>
      </c>
      <c r="D1570" s="1568" t="s">
        <v>2969</v>
      </c>
      <c r="E1570" s="1567">
        <v>44332</v>
      </c>
      <c r="F1570" s="1566">
        <v>4167</v>
      </c>
      <c r="G1570" s="1566">
        <v>0</v>
      </c>
      <c r="H1570" s="1567"/>
      <c r="I1570" s="1567">
        <v>46810</v>
      </c>
      <c r="J1570" s="1567">
        <v>46810</v>
      </c>
      <c r="K1570" s="1568" t="str">
        <f t="shared" si="24"/>
        <v>No</v>
      </c>
      <c r="L1570" s="1565"/>
    </row>
    <row r="1571" spans="1:12" ht="20.100000000000001" customHeight="1">
      <c r="A1571" s="1568" t="s">
        <v>3045</v>
      </c>
      <c r="B1571" s="1567">
        <v>43159</v>
      </c>
      <c r="C1571" s="1568" t="s">
        <v>3308</v>
      </c>
      <c r="D1571" s="1568" t="s">
        <v>2969</v>
      </c>
      <c r="E1571" s="1567">
        <v>44363</v>
      </c>
      <c r="F1571" s="1566">
        <v>4166</v>
      </c>
      <c r="G1571" s="1566">
        <v>0</v>
      </c>
      <c r="H1571" s="1567"/>
      <c r="I1571" s="1567">
        <v>46810</v>
      </c>
      <c r="J1571" s="1567">
        <v>46810</v>
      </c>
      <c r="K1571" s="1568" t="str">
        <f t="shared" si="24"/>
        <v>No</v>
      </c>
      <c r="L1571" s="1565"/>
    </row>
    <row r="1572" spans="1:12" ht="20.100000000000001" customHeight="1">
      <c r="A1572" s="1568" t="s">
        <v>3045</v>
      </c>
      <c r="B1572" s="1567">
        <v>43159</v>
      </c>
      <c r="C1572" s="1568" t="s">
        <v>3308</v>
      </c>
      <c r="D1572" s="1568" t="s">
        <v>2969</v>
      </c>
      <c r="E1572" s="1567">
        <v>44393</v>
      </c>
      <c r="F1572" s="1566">
        <v>4167</v>
      </c>
      <c r="G1572" s="1566">
        <v>0</v>
      </c>
      <c r="H1572" s="1567"/>
      <c r="I1572" s="1567">
        <v>46810</v>
      </c>
      <c r="J1572" s="1567">
        <v>46810</v>
      </c>
      <c r="K1572" s="1568" t="str">
        <f t="shared" si="24"/>
        <v>No</v>
      </c>
      <c r="L1572" s="1565"/>
    </row>
    <row r="1573" spans="1:12" ht="20.100000000000001" customHeight="1">
      <c r="A1573" s="1568" t="s">
        <v>3045</v>
      </c>
      <c r="B1573" s="1567">
        <v>43159</v>
      </c>
      <c r="C1573" s="1568" t="s">
        <v>3308</v>
      </c>
      <c r="D1573" s="1568" t="s">
        <v>2969</v>
      </c>
      <c r="E1573" s="1567">
        <v>44424</v>
      </c>
      <c r="F1573" s="1566">
        <v>4167</v>
      </c>
      <c r="G1573" s="1566">
        <v>0</v>
      </c>
      <c r="H1573" s="1567"/>
      <c r="I1573" s="1567">
        <v>46810</v>
      </c>
      <c r="J1573" s="1567">
        <v>46810</v>
      </c>
      <c r="K1573" s="1568" t="str">
        <f t="shared" si="24"/>
        <v>No</v>
      </c>
      <c r="L1573" s="1565"/>
    </row>
    <row r="1574" spans="1:12" ht="20.100000000000001" customHeight="1">
      <c r="A1574" s="1568" t="s">
        <v>3045</v>
      </c>
      <c r="B1574" s="1567">
        <v>43159</v>
      </c>
      <c r="C1574" s="1568" t="s">
        <v>3308</v>
      </c>
      <c r="D1574" s="1568" t="s">
        <v>2969</v>
      </c>
      <c r="E1574" s="1567">
        <v>44455</v>
      </c>
      <c r="F1574" s="1566">
        <v>4166</v>
      </c>
      <c r="G1574" s="1566">
        <v>0</v>
      </c>
      <c r="H1574" s="1567"/>
      <c r="I1574" s="1567">
        <v>46810</v>
      </c>
      <c r="J1574" s="1567">
        <v>46810</v>
      </c>
      <c r="K1574" s="1568" t="str">
        <f t="shared" si="24"/>
        <v>No</v>
      </c>
      <c r="L1574" s="1565"/>
    </row>
    <row r="1575" spans="1:12" ht="20.100000000000001" customHeight="1">
      <c r="A1575" s="1568" t="s">
        <v>3045</v>
      </c>
      <c r="B1575" s="1567">
        <v>43159</v>
      </c>
      <c r="C1575" s="1568" t="s">
        <v>3308</v>
      </c>
      <c r="D1575" s="1568" t="s">
        <v>2969</v>
      </c>
      <c r="E1575" s="1567">
        <v>44485</v>
      </c>
      <c r="F1575" s="1566">
        <v>4167</v>
      </c>
      <c r="G1575" s="1566">
        <v>0</v>
      </c>
      <c r="H1575" s="1567"/>
      <c r="I1575" s="1567">
        <v>46810</v>
      </c>
      <c r="J1575" s="1567">
        <v>46810</v>
      </c>
      <c r="K1575" s="1568" t="str">
        <f t="shared" si="24"/>
        <v>No</v>
      </c>
      <c r="L1575" s="1565"/>
    </row>
    <row r="1576" spans="1:12" ht="20.100000000000001" customHeight="1">
      <c r="A1576" s="1568" t="s">
        <v>3045</v>
      </c>
      <c r="B1576" s="1567">
        <v>43159</v>
      </c>
      <c r="C1576" s="1568" t="s">
        <v>3308</v>
      </c>
      <c r="D1576" s="1568" t="s">
        <v>2969</v>
      </c>
      <c r="E1576" s="1567">
        <v>44516</v>
      </c>
      <c r="F1576" s="1566">
        <v>4167</v>
      </c>
      <c r="G1576" s="1566">
        <v>0</v>
      </c>
      <c r="H1576" s="1567"/>
      <c r="I1576" s="1567">
        <v>46810</v>
      </c>
      <c r="J1576" s="1567">
        <v>46810</v>
      </c>
      <c r="K1576" s="1568" t="str">
        <f t="shared" si="24"/>
        <v>No</v>
      </c>
      <c r="L1576" s="1565"/>
    </row>
    <row r="1577" spans="1:12" ht="20.100000000000001" customHeight="1">
      <c r="A1577" s="1568" t="s">
        <v>3045</v>
      </c>
      <c r="B1577" s="1567">
        <v>43159</v>
      </c>
      <c r="C1577" s="1568" t="s">
        <v>3308</v>
      </c>
      <c r="D1577" s="1568" t="s">
        <v>2969</v>
      </c>
      <c r="E1577" s="1567">
        <v>44546</v>
      </c>
      <c r="F1577" s="1566">
        <v>4166</v>
      </c>
      <c r="G1577" s="1566">
        <v>0</v>
      </c>
      <c r="H1577" s="1567"/>
      <c r="I1577" s="1567">
        <v>46810</v>
      </c>
      <c r="J1577" s="1567">
        <v>46810</v>
      </c>
      <c r="K1577" s="1568" t="str">
        <f t="shared" si="24"/>
        <v>No</v>
      </c>
      <c r="L1577" s="1565"/>
    </row>
    <row r="1578" spans="1:12" ht="20.100000000000001" customHeight="1">
      <c r="A1578" s="1568" t="s">
        <v>3045</v>
      </c>
      <c r="B1578" s="1567">
        <v>43159</v>
      </c>
      <c r="C1578" s="1568" t="s">
        <v>3308</v>
      </c>
      <c r="D1578" s="1568" t="s">
        <v>2969</v>
      </c>
      <c r="E1578" s="1567">
        <v>44577</v>
      </c>
      <c r="F1578" s="1566">
        <v>4167</v>
      </c>
      <c r="G1578" s="1566">
        <v>0</v>
      </c>
      <c r="H1578" s="1567"/>
      <c r="I1578" s="1567">
        <v>46810</v>
      </c>
      <c r="J1578" s="1567">
        <v>46810</v>
      </c>
      <c r="K1578" s="1568" t="str">
        <f t="shared" si="24"/>
        <v>No</v>
      </c>
      <c r="L1578" s="1565"/>
    </row>
    <row r="1579" spans="1:12" ht="20.100000000000001" customHeight="1">
      <c r="A1579" s="1568" t="s">
        <v>3045</v>
      </c>
      <c r="B1579" s="1567">
        <v>43159</v>
      </c>
      <c r="C1579" s="1568" t="s">
        <v>3308</v>
      </c>
      <c r="D1579" s="1568" t="s">
        <v>2969</v>
      </c>
      <c r="E1579" s="1567">
        <v>44608</v>
      </c>
      <c r="F1579" s="1566">
        <v>4167</v>
      </c>
      <c r="G1579" s="1566">
        <v>0</v>
      </c>
      <c r="H1579" s="1567"/>
      <c r="I1579" s="1567">
        <v>46810</v>
      </c>
      <c r="J1579" s="1567">
        <v>46810</v>
      </c>
      <c r="K1579" s="1568" t="str">
        <f t="shared" si="24"/>
        <v>No</v>
      </c>
      <c r="L1579" s="1565"/>
    </row>
    <row r="1580" spans="1:12" ht="20.100000000000001" customHeight="1">
      <c r="A1580" s="1568" t="s">
        <v>3044</v>
      </c>
      <c r="B1580" s="1567">
        <v>43159</v>
      </c>
      <c r="C1580" s="1568" t="s">
        <v>3308</v>
      </c>
      <c r="D1580" s="1568" t="s">
        <v>2964</v>
      </c>
      <c r="E1580" s="1567">
        <v>43512</v>
      </c>
      <c r="F1580" s="1566">
        <v>1250</v>
      </c>
      <c r="G1580" s="1566">
        <v>0</v>
      </c>
      <c r="H1580" s="1567"/>
      <c r="I1580" s="1567">
        <v>46810</v>
      </c>
      <c r="J1580" s="1567">
        <v>46810</v>
      </c>
      <c r="K1580" s="1568" t="str">
        <f t="shared" si="24"/>
        <v>No</v>
      </c>
      <c r="L1580" s="1565"/>
    </row>
    <row r="1581" spans="1:12" ht="20.100000000000001" customHeight="1">
      <c r="A1581" s="1568" t="s">
        <v>3044</v>
      </c>
      <c r="B1581" s="1567">
        <v>43159</v>
      </c>
      <c r="C1581" s="1568" t="s">
        <v>3308</v>
      </c>
      <c r="D1581" s="1568" t="s">
        <v>2964</v>
      </c>
      <c r="E1581" s="1567">
        <v>43540</v>
      </c>
      <c r="F1581" s="1566">
        <v>104</v>
      </c>
      <c r="G1581" s="1566">
        <v>0</v>
      </c>
      <c r="H1581" s="1567"/>
      <c r="I1581" s="1567">
        <v>46810</v>
      </c>
      <c r="J1581" s="1567">
        <v>46810</v>
      </c>
      <c r="K1581" s="1568" t="str">
        <f t="shared" si="24"/>
        <v>No</v>
      </c>
      <c r="L1581" s="1565"/>
    </row>
    <row r="1582" spans="1:12" ht="20.100000000000001" customHeight="1">
      <c r="A1582" s="1568" t="s">
        <v>3044</v>
      </c>
      <c r="B1582" s="1567">
        <v>43159</v>
      </c>
      <c r="C1582" s="1568" t="s">
        <v>3308</v>
      </c>
      <c r="D1582" s="1568" t="s">
        <v>2964</v>
      </c>
      <c r="E1582" s="1567">
        <v>43571</v>
      </c>
      <c r="F1582" s="1566">
        <v>104</v>
      </c>
      <c r="G1582" s="1566">
        <v>0</v>
      </c>
      <c r="H1582" s="1567"/>
      <c r="I1582" s="1567">
        <v>46810</v>
      </c>
      <c r="J1582" s="1567">
        <v>46810</v>
      </c>
      <c r="K1582" s="1568" t="str">
        <f t="shared" si="24"/>
        <v>No</v>
      </c>
      <c r="L1582" s="1565"/>
    </row>
    <row r="1583" spans="1:12" ht="20.100000000000001" customHeight="1">
      <c r="A1583" s="1568" t="s">
        <v>3044</v>
      </c>
      <c r="B1583" s="1567">
        <v>43159</v>
      </c>
      <c r="C1583" s="1568" t="s">
        <v>3308</v>
      </c>
      <c r="D1583" s="1568" t="s">
        <v>2964</v>
      </c>
      <c r="E1583" s="1567">
        <v>43601</v>
      </c>
      <c r="F1583" s="1566">
        <v>104</v>
      </c>
      <c r="G1583" s="1566">
        <v>0</v>
      </c>
      <c r="H1583" s="1567"/>
      <c r="I1583" s="1567">
        <v>46810</v>
      </c>
      <c r="J1583" s="1567">
        <v>46810</v>
      </c>
      <c r="K1583" s="1568" t="str">
        <f t="shared" si="24"/>
        <v>No</v>
      </c>
      <c r="L1583" s="1565"/>
    </row>
    <row r="1584" spans="1:12" ht="20.100000000000001" customHeight="1">
      <c r="A1584" s="1568" t="s">
        <v>3044</v>
      </c>
      <c r="B1584" s="1567">
        <v>43159</v>
      </c>
      <c r="C1584" s="1568" t="s">
        <v>3308</v>
      </c>
      <c r="D1584" s="1568" t="s">
        <v>2964</v>
      </c>
      <c r="E1584" s="1567">
        <v>43632</v>
      </c>
      <c r="F1584" s="1566">
        <v>104</v>
      </c>
      <c r="G1584" s="1566">
        <v>0</v>
      </c>
      <c r="H1584" s="1567"/>
      <c r="I1584" s="1567">
        <v>46810</v>
      </c>
      <c r="J1584" s="1567">
        <v>46810</v>
      </c>
      <c r="K1584" s="1568" t="str">
        <f t="shared" si="24"/>
        <v>No</v>
      </c>
      <c r="L1584" s="1565"/>
    </row>
    <row r="1585" spans="1:12" ht="20.100000000000001" customHeight="1">
      <c r="A1585" s="1568" t="s">
        <v>3044</v>
      </c>
      <c r="B1585" s="1567">
        <v>43159</v>
      </c>
      <c r="C1585" s="1568" t="s">
        <v>3308</v>
      </c>
      <c r="D1585" s="1568" t="s">
        <v>2964</v>
      </c>
      <c r="E1585" s="1567">
        <v>43662</v>
      </c>
      <c r="F1585" s="1566">
        <v>104</v>
      </c>
      <c r="G1585" s="1566">
        <v>0</v>
      </c>
      <c r="H1585" s="1567"/>
      <c r="I1585" s="1567">
        <v>46810</v>
      </c>
      <c r="J1585" s="1567">
        <v>46810</v>
      </c>
      <c r="K1585" s="1568" t="str">
        <f t="shared" si="24"/>
        <v>No</v>
      </c>
      <c r="L1585" s="1565"/>
    </row>
    <row r="1586" spans="1:12" ht="20.100000000000001" customHeight="1">
      <c r="A1586" s="1568" t="s">
        <v>3044</v>
      </c>
      <c r="B1586" s="1567">
        <v>43159</v>
      </c>
      <c r="C1586" s="1568" t="s">
        <v>3308</v>
      </c>
      <c r="D1586" s="1568" t="s">
        <v>2964</v>
      </c>
      <c r="E1586" s="1567">
        <v>43693</v>
      </c>
      <c r="F1586" s="1566">
        <v>105</v>
      </c>
      <c r="G1586" s="1566">
        <v>0</v>
      </c>
      <c r="H1586" s="1567"/>
      <c r="I1586" s="1567">
        <v>46810</v>
      </c>
      <c r="J1586" s="1567">
        <v>46810</v>
      </c>
      <c r="K1586" s="1568" t="str">
        <f t="shared" si="24"/>
        <v>No</v>
      </c>
      <c r="L1586" s="1565"/>
    </row>
    <row r="1587" spans="1:12" ht="20.100000000000001" customHeight="1">
      <c r="A1587" s="1568" t="s">
        <v>3044</v>
      </c>
      <c r="B1587" s="1567">
        <v>43159</v>
      </c>
      <c r="C1587" s="1568" t="s">
        <v>3308</v>
      </c>
      <c r="D1587" s="1568" t="s">
        <v>2964</v>
      </c>
      <c r="E1587" s="1567">
        <v>43724</v>
      </c>
      <c r="F1587" s="1566">
        <v>104</v>
      </c>
      <c r="G1587" s="1566">
        <v>0</v>
      </c>
      <c r="H1587" s="1567"/>
      <c r="I1587" s="1567">
        <v>46810</v>
      </c>
      <c r="J1587" s="1567">
        <v>46810</v>
      </c>
      <c r="K1587" s="1568" t="str">
        <f t="shared" si="24"/>
        <v>No</v>
      </c>
      <c r="L1587" s="1565"/>
    </row>
    <row r="1588" spans="1:12" ht="20.100000000000001" customHeight="1">
      <c r="A1588" s="1568" t="s">
        <v>3044</v>
      </c>
      <c r="B1588" s="1567">
        <v>43159</v>
      </c>
      <c r="C1588" s="1568" t="s">
        <v>3308</v>
      </c>
      <c r="D1588" s="1568" t="s">
        <v>2964</v>
      </c>
      <c r="E1588" s="1567">
        <v>43754</v>
      </c>
      <c r="F1588" s="1566">
        <v>104</v>
      </c>
      <c r="G1588" s="1566">
        <v>0</v>
      </c>
      <c r="H1588" s="1567"/>
      <c r="I1588" s="1567">
        <v>46810</v>
      </c>
      <c r="J1588" s="1567">
        <v>46810</v>
      </c>
      <c r="K1588" s="1568" t="str">
        <f t="shared" si="24"/>
        <v>No</v>
      </c>
      <c r="L1588" s="1565"/>
    </row>
    <row r="1589" spans="1:12" ht="20.100000000000001" customHeight="1">
      <c r="A1589" s="1568" t="s">
        <v>3044</v>
      </c>
      <c r="B1589" s="1567">
        <v>43159</v>
      </c>
      <c r="C1589" s="1568" t="s">
        <v>3308</v>
      </c>
      <c r="D1589" s="1568" t="s">
        <v>2964</v>
      </c>
      <c r="E1589" s="1567">
        <v>43785</v>
      </c>
      <c r="F1589" s="1566">
        <v>104</v>
      </c>
      <c r="G1589" s="1566">
        <v>0</v>
      </c>
      <c r="H1589" s="1567"/>
      <c r="I1589" s="1567">
        <v>46810</v>
      </c>
      <c r="J1589" s="1567">
        <v>46810</v>
      </c>
      <c r="K1589" s="1568" t="str">
        <f t="shared" si="24"/>
        <v>No</v>
      </c>
      <c r="L1589" s="1565"/>
    </row>
    <row r="1590" spans="1:12" ht="20.100000000000001" customHeight="1">
      <c r="A1590" s="1568" t="s">
        <v>3044</v>
      </c>
      <c r="B1590" s="1567">
        <v>43159</v>
      </c>
      <c r="C1590" s="1568" t="s">
        <v>3308</v>
      </c>
      <c r="D1590" s="1568" t="s">
        <v>2964</v>
      </c>
      <c r="E1590" s="1567">
        <v>43815</v>
      </c>
      <c r="F1590" s="1566">
        <v>104</v>
      </c>
      <c r="G1590" s="1566">
        <v>0</v>
      </c>
      <c r="H1590" s="1567"/>
      <c r="I1590" s="1567">
        <v>46810</v>
      </c>
      <c r="J1590" s="1567">
        <v>46810</v>
      </c>
      <c r="K1590" s="1568" t="str">
        <f t="shared" si="24"/>
        <v>No</v>
      </c>
      <c r="L1590" s="1565"/>
    </row>
    <row r="1591" spans="1:12" ht="20.100000000000001" customHeight="1">
      <c r="A1591" s="1568" t="s">
        <v>3044</v>
      </c>
      <c r="B1591" s="1567">
        <v>43159</v>
      </c>
      <c r="C1591" s="1568" t="s">
        <v>3308</v>
      </c>
      <c r="D1591" s="1568" t="s">
        <v>2964</v>
      </c>
      <c r="E1591" s="1567">
        <v>43846</v>
      </c>
      <c r="F1591" s="1566">
        <v>104</v>
      </c>
      <c r="G1591" s="1566">
        <v>0</v>
      </c>
      <c r="H1591" s="1567"/>
      <c r="I1591" s="1567">
        <v>46810</v>
      </c>
      <c r="J1591" s="1567">
        <v>46810</v>
      </c>
      <c r="K1591" s="1568" t="str">
        <f t="shared" si="24"/>
        <v>No</v>
      </c>
      <c r="L1591" s="1565"/>
    </row>
    <row r="1592" spans="1:12" ht="20.100000000000001" customHeight="1">
      <c r="A1592" s="1568" t="s">
        <v>3044</v>
      </c>
      <c r="B1592" s="1567">
        <v>43159</v>
      </c>
      <c r="C1592" s="1568" t="s">
        <v>3308</v>
      </c>
      <c r="D1592" s="1568" t="s">
        <v>2964</v>
      </c>
      <c r="E1592" s="1567">
        <v>43877</v>
      </c>
      <c r="F1592" s="1566">
        <v>105</v>
      </c>
      <c r="G1592" s="1566">
        <v>0</v>
      </c>
      <c r="H1592" s="1567"/>
      <c r="I1592" s="1567">
        <v>46810</v>
      </c>
      <c r="J1592" s="1567">
        <v>46810</v>
      </c>
      <c r="K1592" s="1568" t="str">
        <f t="shared" si="24"/>
        <v>No</v>
      </c>
      <c r="L1592" s="1565"/>
    </row>
    <row r="1593" spans="1:12" ht="20.100000000000001" customHeight="1">
      <c r="A1593" s="1568" t="s">
        <v>3044</v>
      </c>
      <c r="B1593" s="1567">
        <v>43159</v>
      </c>
      <c r="C1593" s="1568" t="s">
        <v>3308</v>
      </c>
      <c r="D1593" s="1568" t="s">
        <v>2964</v>
      </c>
      <c r="E1593" s="1567">
        <v>43906</v>
      </c>
      <c r="F1593" s="1566">
        <v>104</v>
      </c>
      <c r="G1593" s="1566">
        <v>0</v>
      </c>
      <c r="H1593" s="1567"/>
      <c r="I1593" s="1567">
        <v>46810</v>
      </c>
      <c r="J1593" s="1567">
        <v>46810</v>
      </c>
      <c r="K1593" s="1568" t="str">
        <f t="shared" si="24"/>
        <v>No</v>
      </c>
      <c r="L1593" s="1565"/>
    </row>
    <row r="1594" spans="1:12" ht="20.100000000000001" customHeight="1">
      <c r="A1594" s="1568" t="s">
        <v>3044</v>
      </c>
      <c r="B1594" s="1567">
        <v>43159</v>
      </c>
      <c r="C1594" s="1568" t="s">
        <v>3308</v>
      </c>
      <c r="D1594" s="1568" t="s">
        <v>2964</v>
      </c>
      <c r="E1594" s="1567">
        <v>43937</v>
      </c>
      <c r="F1594" s="1566">
        <v>104</v>
      </c>
      <c r="G1594" s="1566">
        <v>0</v>
      </c>
      <c r="H1594" s="1567"/>
      <c r="I1594" s="1567">
        <v>46810</v>
      </c>
      <c r="J1594" s="1567">
        <v>46810</v>
      </c>
      <c r="K1594" s="1568" t="str">
        <f t="shared" si="24"/>
        <v>No</v>
      </c>
      <c r="L1594" s="1565"/>
    </row>
    <row r="1595" spans="1:12" ht="20.100000000000001" customHeight="1">
      <c r="A1595" s="1568" t="s">
        <v>3044</v>
      </c>
      <c r="B1595" s="1567">
        <v>43159</v>
      </c>
      <c r="C1595" s="1568" t="s">
        <v>3308</v>
      </c>
      <c r="D1595" s="1568" t="s">
        <v>2964</v>
      </c>
      <c r="E1595" s="1567">
        <v>43967</v>
      </c>
      <c r="F1595" s="1566">
        <v>104</v>
      </c>
      <c r="G1595" s="1566">
        <v>0</v>
      </c>
      <c r="H1595" s="1567"/>
      <c r="I1595" s="1567">
        <v>46810</v>
      </c>
      <c r="J1595" s="1567">
        <v>46810</v>
      </c>
      <c r="K1595" s="1568" t="str">
        <f t="shared" si="24"/>
        <v>No</v>
      </c>
      <c r="L1595" s="1565"/>
    </row>
    <row r="1596" spans="1:12" ht="20.100000000000001" customHeight="1">
      <c r="A1596" s="1568" t="s">
        <v>3044</v>
      </c>
      <c r="B1596" s="1567">
        <v>43159</v>
      </c>
      <c r="C1596" s="1568" t="s">
        <v>3308</v>
      </c>
      <c r="D1596" s="1568" t="s">
        <v>2964</v>
      </c>
      <c r="E1596" s="1567">
        <v>43998</v>
      </c>
      <c r="F1596" s="1566">
        <v>104</v>
      </c>
      <c r="G1596" s="1566">
        <v>0</v>
      </c>
      <c r="H1596" s="1567"/>
      <c r="I1596" s="1567">
        <v>46810</v>
      </c>
      <c r="J1596" s="1567">
        <v>46810</v>
      </c>
      <c r="K1596" s="1568" t="str">
        <f t="shared" si="24"/>
        <v>No</v>
      </c>
      <c r="L1596" s="1565"/>
    </row>
    <row r="1597" spans="1:12" ht="20.100000000000001" customHeight="1">
      <c r="A1597" s="1568" t="s">
        <v>3044</v>
      </c>
      <c r="B1597" s="1567">
        <v>43159</v>
      </c>
      <c r="C1597" s="1568" t="s">
        <v>3308</v>
      </c>
      <c r="D1597" s="1568" t="s">
        <v>2964</v>
      </c>
      <c r="E1597" s="1567">
        <v>44028</v>
      </c>
      <c r="F1597" s="1566">
        <v>104</v>
      </c>
      <c r="G1597" s="1566">
        <v>0</v>
      </c>
      <c r="H1597" s="1567"/>
      <c r="I1597" s="1567">
        <v>46810</v>
      </c>
      <c r="J1597" s="1567">
        <v>46810</v>
      </c>
      <c r="K1597" s="1568" t="str">
        <f t="shared" si="24"/>
        <v>No</v>
      </c>
      <c r="L1597" s="1565"/>
    </row>
    <row r="1598" spans="1:12" ht="20.100000000000001" customHeight="1">
      <c r="A1598" s="1568" t="s">
        <v>3044</v>
      </c>
      <c r="B1598" s="1567">
        <v>43159</v>
      </c>
      <c r="C1598" s="1568" t="s">
        <v>3308</v>
      </c>
      <c r="D1598" s="1568" t="s">
        <v>2964</v>
      </c>
      <c r="E1598" s="1567">
        <v>44059</v>
      </c>
      <c r="F1598" s="1566">
        <v>105</v>
      </c>
      <c r="G1598" s="1566">
        <v>0</v>
      </c>
      <c r="H1598" s="1567"/>
      <c r="I1598" s="1567">
        <v>46810</v>
      </c>
      <c r="J1598" s="1567">
        <v>46810</v>
      </c>
      <c r="K1598" s="1568" t="str">
        <f t="shared" si="24"/>
        <v>No</v>
      </c>
      <c r="L1598" s="1565"/>
    </row>
    <row r="1599" spans="1:12" ht="20.100000000000001" customHeight="1">
      <c r="A1599" s="1568" t="s">
        <v>3044</v>
      </c>
      <c r="B1599" s="1567">
        <v>43159</v>
      </c>
      <c r="C1599" s="1568" t="s">
        <v>3308</v>
      </c>
      <c r="D1599" s="1568" t="s">
        <v>2964</v>
      </c>
      <c r="E1599" s="1567">
        <v>44090</v>
      </c>
      <c r="F1599" s="1566">
        <v>104</v>
      </c>
      <c r="G1599" s="1566">
        <v>0</v>
      </c>
      <c r="H1599" s="1567"/>
      <c r="I1599" s="1567">
        <v>46810</v>
      </c>
      <c r="J1599" s="1567">
        <v>46810</v>
      </c>
      <c r="K1599" s="1568" t="str">
        <f t="shared" si="24"/>
        <v>No</v>
      </c>
      <c r="L1599" s="1565"/>
    </row>
    <row r="1600" spans="1:12" ht="20.100000000000001" customHeight="1">
      <c r="A1600" s="1568" t="s">
        <v>3044</v>
      </c>
      <c r="B1600" s="1567">
        <v>43159</v>
      </c>
      <c r="C1600" s="1568" t="s">
        <v>3308</v>
      </c>
      <c r="D1600" s="1568" t="s">
        <v>2964</v>
      </c>
      <c r="E1600" s="1567">
        <v>44120</v>
      </c>
      <c r="F1600" s="1566">
        <v>104</v>
      </c>
      <c r="G1600" s="1566">
        <v>0</v>
      </c>
      <c r="H1600" s="1567"/>
      <c r="I1600" s="1567">
        <v>46810</v>
      </c>
      <c r="J1600" s="1567">
        <v>46810</v>
      </c>
      <c r="K1600" s="1568" t="str">
        <f t="shared" si="24"/>
        <v>No</v>
      </c>
      <c r="L1600" s="1565"/>
    </row>
    <row r="1601" spans="1:12" ht="20.100000000000001" customHeight="1">
      <c r="A1601" s="1568" t="s">
        <v>3044</v>
      </c>
      <c r="B1601" s="1567">
        <v>43159</v>
      </c>
      <c r="C1601" s="1568" t="s">
        <v>3308</v>
      </c>
      <c r="D1601" s="1568" t="s">
        <v>2964</v>
      </c>
      <c r="E1601" s="1567">
        <v>44151</v>
      </c>
      <c r="F1601" s="1566">
        <v>104</v>
      </c>
      <c r="G1601" s="1566">
        <v>0</v>
      </c>
      <c r="H1601" s="1567"/>
      <c r="I1601" s="1567">
        <v>46810</v>
      </c>
      <c r="J1601" s="1567">
        <v>46810</v>
      </c>
      <c r="K1601" s="1568" t="str">
        <f t="shared" si="24"/>
        <v>No</v>
      </c>
      <c r="L1601" s="1565"/>
    </row>
    <row r="1602" spans="1:12" ht="20.100000000000001" customHeight="1">
      <c r="A1602" s="1568" t="s">
        <v>3044</v>
      </c>
      <c r="B1602" s="1567">
        <v>43159</v>
      </c>
      <c r="C1602" s="1568" t="s">
        <v>3308</v>
      </c>
      <c r="D1602" s="1568" t="s">
        <v>2964</v>
      </c>
      <c r="E1602" s="1567">
        <v>44181</v>
      </c>
      <c r="F1602" s="1566">
        <v>104</v>
      </c>
      <c r="G1602" s="1566">
        <v>0</v>
      </c>
      <c r="H1602" s="1567"/>
      <c r="I1602" s="1567">
        <v>46810</v>
      </c>
      <c r="J1602" s="1567">
        <v>46810</v>
      </c>
      <c r="K1602" s="1568" t="str">
        <f t="shared" si="24"/>
        <v>No</v>
      </c>
      <c r="L1602" s="1565"/>
    </row>
    <row r="1603" spans="1:12" ht="20.100000000000001" customHeight="1">
      <c r="A1603" s="1568" t="s">
        <v>3044</v>
      </c>
      <c r="B1603" s="1567">
        <v>43159</v>
      </c>
      <c r="C1603" s="1568" t="s">
        <v>3308</v>
      </c>
      <c r="D1603" s="1568" t="s">
        <v>2964</v>
      </c>
      <c r="E1603" s="1567">
        <v>44212</v>
      </c>
      <c r="F1603" s="1566">
        <v>104</v>
      </c>
      <c r="G1603" s="1566">
        <v>0</v>
      </c>
      <c r="H1603" s="1567"/>
      <c r="I1603" s="1567">
        <v>46810</v>
      </c>
      <c r="J1603" s="1567">
        <v>46810</v>
      </c>
      <c r="K1603" s="1568" t="str">
        <f t="shared" si="24"/>
        <v>No</v>
      </c>
      <c r="L1603" s="1565"/>
    </row>
    <row r="1604" spans="1:12" ht="20.100000000000001" customHeight="1">
      <c r="A1604" s="1568" t="s">
        <v>3044</v>
      </c>
      <c r="B1604" s="1567">
        <v>43159</v>
      </c>
      <c r="C1604" s="1568" t="s">
        <v>3308</v>
      </c>
      <c r="D1604" s="1568" t="s">
        <v>2964</v>
      </c>
      <c r="E1604" s="1567">
        <v>44243</v>
      </c>
      <c r="F1604" s="1566">
        <v>105</v>
      </c>
      <c r="G1604" s="1566">
        <v>0</v>
      </c>
      <c r="H1604" s="1567"/>
      <c r="I1604" s="1567">
        <v>46810</v>
      </c>
      <c r="J1604" s="1567">
        <v>46810</v>
      </c>
      <c r="K1604" s="1568" t="str">
        <f t="shared" si="24"/>
        <v>No</v>
      </c>
      <c r="L1604" s="1565"/>
    </row>
    <row r="1605" spans="1:12" ht="20.100000000000001" customHeight="1">
      <c r="A1605" s="1568" t="s">
        <v>3044</v>
      </c>
      <c r="B1605" s="1567">
        <v>43159</v>
      </c>
      <c r="C1605" s="1568" t="s">
        <v>3308</v>
      </c>
      <c r="D1605" s="1568" t="s">
        <v>2964</v>
      </c>
      <c r="E1605" s="1567">
        <v>44271</v>
      </c>
      <c r="F1605" s="1566">
        <v>104</v>
      </c>
      <c r="G1605" s="1566">
        <v>0</v>
      </c>
      <c r="H1605" s="1567"/>
      <c r="I1605" s="1567">
        <v>46810</v>
      </c>
      <c r="J1605" s="1567">
        <v>46810</v>
      </c>
      <c r="K1605" s="1568" t="str">
        <f t="shared" ref="K1605:K1668" si="25">IF(I1605="N/A","No",IF(E1605&lt;=I1605,"No","Yes"))</f>
        <v>No</v>
      </c>
      <c r="L1605" s="1565"/>
    </row>
    <row r="1606" spans="1:12" ht="20.100000000000001" customHeight="1">
      <c r="A1606" s="1568" t="s">
        <v>3044</v>
      </c>
      <c r="B1606" s="1567">
        <v>43159</v>
      </c>
      <c r="C1606" s="1568" t="s">
        <v>3308</v>
      </c>
      <c r="D1606" s="1568" t="s">
        <v>2964</v>
      </c>
      <c r="E1606" s="1567">
        <v>44302</v>
      </c>
      <c r="F1606" s="1566">
        <v>104</v>
      </c>
      <c r="G1606" s="1566">
        <v>0</v>
      </c>
      <c r="H1606" s="1567"/>
      <c r="I1606" s="1567">
        <v>46810</v>
      </c>
      <c r="J1606" s="1567">
        <v>46810</v>
      </c>
      <c r="K1606" s="1568" t="str">
        <f t="shared" si="25"/>
        <v>No</v>
      </c>
      <c r="L1606" s="1565"/>
    </row>
    <row r="1607" spans="1:12" ht="20.100000000000001" customHeight="1">
      <c r="A1607" s="1568" t="s">
        <v>3044</v>
      </c>
      <c r="B1607" s="1567">
        <v>43159</v>
      </c>
      <c r="C1607" s="1568" t="s">
        <v>3308</v>
      </c>
      <c r="D1607" s="1568" t="s">
        <v>2964</v>
      </c>
      <c r="E1607" s="1567">
        <v>44332</v>
      </c>
      <c r="F1607" s="1566">
        <v>104</v>
      </c>
      <c r="G1607" s="1566">
        <v>0</v>
      </c>
      <c r="H1607" s="1567"/>
      <c r="I1607" s="1567">
        <v>46810</v>
      </c>
      <c r="J1607" s="1567">
        <v>46810</v>
      </c>
      <c r="K1607" s="1568" t="str">
        <f t="shared" si="25"/>
        <v>No</v>
      </c>
      <c r="L1607" s="1565"/>
    </row>
    <row r="1608" spans="1:12" ht="20.100000000000001" customHeight="1">
      <c r="A1608" s="1568" t="s">
        <v>3044</v>
      </c>
      <c r="B1608" s="1567">
        <v>43159</v>
      </c>
      <c r="C1608" s="1568" t="s">
        <v>3308</v>
      </c>
      <c r="D1608" s="1568" t="s">
        <v>2964</v>
      </c>
      <c r="E1608" s="1567">
        <v>44363</v>
      </c>
      <c r="F1608" s="1566">
        <v>104</v>
      </c>
      <c r="G1608" s="1566">
        <v>0</v>
      </c>
      <c r="H1608" s="1567"/>
      <c r="I1608" s="1567">
        <v>46810</v>
      </c>
      <c r="J1608" s="1567">
        <v>46810</v>
      </c>
      <c r="K1608" s="1568" t="str">
        <f t="shared" si="25"/>
        <v>No</v>
      </c>
      <c r="L1608" s="1565"/>
    </row>
    <row r="1609" spans="1:12" ht="20.100000000000001" customHeight="1">
      <c r="A1609" s="1568" t="s">
        <v>3044</v>
      </c>
      <c r="B1609" s="1567">
        <v>43159</v>
      </c>
      <c r="C1609" s="1568" t="s">
        <v>3308</v>
      </c>
      <c r="D1609" s="1568" t="s">
        <v>2964</v>
      </c>
      <c r="E1609" s="1567">
        <v>44393</v>
      </c>
      <c r="F1609" s="1566">
        <v>104</v>
      </c>
      <c r="G1609" s="1566">
        <v>0</v>
      </c>
      <c r="H1609" s="1567"/>
      <c r="I1609" s="1567">
        <v>46810</v>
      </c>
      <c r="J1609" s="1567">
        <v>46810</v>
      </c>
      <c r="K1609" s="1568" t="str">
        <f t="shared" si="25"/>
        <v>No</v>
      </c>
      <c r="L1609" s="1565"/>
    </row>
    <row r="1610" spans="1:12" ht="20.100000000000001" customHeight="1">
      <c r="A1610" s="1568" t="s">
        <v>3044</v>
      </c>
      <c r="B1610" s="1567">
        <v>43159</v>
      </c>
      <c r="C1610" s="1568" t="s">
        <v>3308</v>
      </c>
      <c r="D1610" s="1568" t="s">
        <v>2964</v>
      </c>
      <c r="E1610" s="1567">
        <v>44424</v>
      </c>
      <c r="F1610" s="1566">
        <v>105</v>
      </c>
      <c r="G1610" s="1566">
        <v>0</v>
      </c>
      <c r="H1610" s="1567"/>
      <c r="I1610" s="1567">
        <v>46810</v>
      </c>
      <c r="J1610" s="1567">
        <v>46810</v>
      </c>
      <c r="K1610" s="1568" t="str">
        <f t="shared" si="25"/>
        <v>No</v>
      </c>
      <c r="L1610" s="1565"/>
    </row>
    <row r="1611" spans="1:12" ht="20.100000000000001" customHeight="1">
      <c r="A1611" s="1568" t="s">
        <v>3044</v>
      </c>
      <c r="B1611" s="1567">
        <v>43159</v>
      </c>
      <c r="C1611" s="1568" t="s">
        <v>3308</v>
      </c>
      <c r="D1611" s="1568" t="s">
        <v>2964</v>
      </c>
      <c r="E1611" s="1567">
        <v>44455</v>
      </c>
      <c r="F1611" s="1566">
        <v>104</v>
      </c>
      <c r="G1611" s="1566">
        <v>0</v>
      </c>
      <c r="H1611" s="1567"/>
      <c r="I1611" s="1567">
        <v>46810</v>
      </c>
      <c r="J1611" s="1567">
        <v>46810</v>
      </c>
      <c r="K1611" s="1568" t="str">
        <f t="shared" si="25"/>
        <v>No</v>
      </c>
      <c r="L1611" s="1565"/>
    </row>
    <row r="1612" spans="1:12" ht="20.100000000000001" customHeight="1">
      <c r="A1612" s="1568" t="s">
        <v>3044</v>
      </c>
      <c r="B1612" s="1567">
        <v>43159</v>
      </c>
      <c r="C1612" s="1568" t="s">
        <v>3308</v>
      </c>
      <c r="D1612" s="1568" t="s">
        <v>2964</v>
      </c>
      <c r="E1612" s="1567">
        <v>44485</v>
      </c>
      <c r="F1612" s="1566">
        <v>104</v>
      </c>
      <c r="G1612" s="1566">
        <v>0</v>
      </c>
      <c r="H1612" s="1567"/>
      <c r="I1612" s="1567">
        <v>46810</v>
      </c>
      <c r="J1612" s="1567">
        <v>46810</v>
      </c>
      <c r="K1612" s="1568" t="str">
        <f t="shared" si="25"/>
        <v>No</v>
      </c>
      <c r="L1612" s="1565"/>
    </row>
    <row r="1613" spans="1:12" ht="20.100000000000001" customHeight="1">
      <c r="A1613" s="1568" t="s">
        <v>3044</v>
      </c>
      <c r="B1613" s="1567">
        <v>43159</v>
      </c>
      <c r="C1613" s="1568" t="s">
        <v>3308</v>
      </c>
      <c r="D1613" s="1568" t="s">
        <v>2964</v>
      </c>
      <c r="E1613" s="1567">
        <v>44516</v>
      </c>
      <c r="F1613" s="1566">
        <v>104</v>
      </c>
      <c r="G1613" s="1566">
        <v>0</v>
      </c>
      <c r="H1613" s="1567"/>
      <c r="I1613" s="1567">
        <v>46810</v>
      </c>
      <c r="J1613" s="1567">
        <v>46810</v>
      </c>
      <c r="K1613" s="1568" t="str">
        <f t="shared" si="25"/>
        <v>No</v>
      </c>
      <c r="L1613" s="1565"/>
    </row>
    <row r="1614" spans="1:12" ht="20.100000000000001" customHeight="1">
      <c r="A1614" s="1568" t="s">
        <v>3044</v>
      </c>
      <c r="B1614" s="1567">
        <v>43159</v>
      </c>
      <c r="C1614" s="1568" t="s">
        <v>3308</v>
      </c>
      <c r="D1614" s="1568" t="s">
        <v>2964</v>
      </c>
      <c r="E1614" s="1567">
        <v>44546</v>
      </c>
      <c r="F1614" s="1566">
        <v>104</v>
      </c>
      <c r="G1614" s="1566">
        <v>0</v>
      </c>
      <c r="H1614" s="1567"/>
      <c r="I1614" s="1567">
        <v>46810</v>
      </c>
      <c r="J1614" s="1567">
        <v>46810</v>
      </c>
      <c r="K1614" s="1568" t="str">
        <f t="shared" si="25"/>
        <v>No</v>
      </c>
      <c r="L1614" s="1565"/>
    </row>
    <row r="1615" spans="1:12" ht="20.100000000000001" customHeight="1">
      <c r="A1615" s="1568" t="s">
        <v>3044</v>
      </c>
      <c r="B1615" s="1567">
        <v>43159</v>
      </c>
      <c r="C1615" s="1568" t="s">
        <v>3308</v>
      </c>
      <c r="D1615" s="1568" t="s">
        <v>2964</v>
      </c>
      <c r="E1615" s="1567">
        <v>44577</v>
      </c>
      <c r="F1615" s="1566">
        <v>104</v>
      </c>
      <c r="G1615" s="1566">
        <v>0</v>
      </c>
      <c r="H1615" s="1567"/>
      <c r="I1615" s="1567">
        <v>46810</v>
      </c>
      <c r="J1615" s="1567">
        <v>46810</v>
      </c>
      <c r="K1615" s="1568" t="str">
        <f t="shared" si="25"/>
        <v>No</v>
      </c>
      <c r="L1615" s="1565"/>
    </row>
    <row r="1616" spans="1:12" ht="20.100000000000001" customHeight="1">
      <c r="A1616" s="1568" t="s">
        <v>3044</v>
      </c>
      <c r="B1616" s="1567">
        <v>43159</v>
      </c>
      <c r="C1616" s="1568" t="s">
        <v>3308</v>
      </c>
      <c r="D1616" s="1568" t="s">
        <v>2964</v>
      </c>
      <c r="E1616" s="1567">
        <v>44608</v>
      </c>
      <c r="F1616" s="1566">
        <v>105</v>
      </c>
      <c r="G1616" s="1566">
        <v>0</v>
      </c>
      <c r="H1616" s="1567"/>
      <c r="I1616" s="1567">
        <v>46810</v>
      </c>
      <c r="J1616" s="1567">
        <v>46810</v>
      </c>
      <c r="K1616" s="1568" t="str">
        <f t="shared" si="25"/>
        <v>No</v>
      </c>
      <c r="L1616" s="1565"/>
    </row>
    <row r="1617" spans="1:12" ht="20.100000000000001" customHeight="1">
      <c r="A1617" s="1568" t="s">
        <v>3043</v>
      </c>
      <c r="B1617" s="1567">
        <v>43159</v>
      </c>
      <c r="C1617" s="1568" t="s">
        <v>3308</v>
      </c>
      <c r="D1617" s="1568" t="s">
        <v>2975</v>
      </c>
      <c r="E1617" s="1567">
        <v>43512</v>
      </c>
      <c r="F1617" s="1566">
        <v>30000</v>
      </c>
      <c r="G1617" s="1566">
        <v>0</v>
      </c>
      <c r="H1617" s="1567"/>
      <c r="I1617" s="1567">
        <v>46810</v>
      </c>
      <c r="J1617" s="1567">
        <v>46810</v>
      </c>
      <c r="K1617" s="1568" t="str">
        <f t="shared" si="25"/>
        <v>No</v>
      </c>
      <c r="L1617" s="1565"/>
    </row>
    <row r="1618" spans="1:12" ht="20.100000000000001" customHeight="1">
      <c r="A1618" s="1568" t="s">
        <v>3043</v>
      </c>
      <c r="B1618" s="1567">
        <v>43159</v>
      </c>
      <c r="C1618" s="1568" t="s">
        <v>3308</v>
      </c>
      <c r="D1618" s="1568" t="s">
        <v>2975</v>
      </c>
      <c r="E1618" s="1567">
        <v>43540</v>
      </c>
      <c r="F1618" s="1566">
        <v>2500</v>
      </c>
      <c r="G1618" s="1566">
        <v>0</v>
      </c>
      <c r="H1618" s="1567"/>
      <c r="I1618" s="1567">
        <v>46810</v>
      </c>
      <c r="J1618" s="1567">
        <v>46810</v>
      </c>
      <c r="K1618" s="1568" t="str">
        <f t="shared" si="25"/>
        <v>No</v>
      </c>
      <c r="L1618" s="1565"/>
    </row>
    <row r="1619" spans="1:12" ht="20.100000000000001" customHeight="1">
      <c r="A1619" s="1568" t="s">
        <v>3043</v>
      </c>
      <c r="B1619" s="1567">
        <v>43159</v>
      </c>
      <c r="C1619" s="1568" t="s">
        <v>3308</v>
      </c>
      <c r="D1619" s="1568" t="s">
        <v>2975</v>
      </c>
      <c r="E1619" s="1567">
        <v>43571</v>
      </c>
      <c r="F1619" s="1566">
        <v>2500</v>
      </c>
      <c r="G1619" s="1566">
        <v>0</v>
      </c>
      <c r="H1619" s="1567"/>
      <c r="I1619" s="1567">
        <v>46810</v>
      </c>
      <c r="J1619" s="1567">
        <v>46810</v>
      </c>
      <c r="K1619" s="1568" t="str">
        <f t="shared" si="25"/>
        <v>No</v>
      </c>
      <c r="L1619" s="1565"/>
    </row>
    <row r="1620" spans="1:12" ht="20.100000000000001" customHeight="1">
      <c r="A1620" s="1568" t="s">
        <v>3043</v>
      </c>
      <c r="B1620" s="1567">
        <v>43159</v>
      </c>
      <c r="C1620" s="1568" t="s">
        <v>3308</v>
      </c>
      <c r="D1620" s="1568" t="s">
        <v>2975</v>
      </c>
      <c r="E1620" s="1567">
        <v>43601</v>
      </c>
      <c r="F1620" s="1566">
        <v>2500</v>
      </c>
      <c r="G1620" s="1566">
        <v>0</v>
      </c>
      <c r="H1620" s="1567"/>
      <c r="I1620" s="1567">
        <v>46810</v>
      </c>
      <c r="J1620" s="1567">
        <v>46810</v>
      </c>
      <c r="K1620" s="1568" t="str">
        <f t="shared" si="25"/>
        <v>No</v>
      </c>
      <c r="L1620" s="1565"/>
    </row>
    <row r="1621" spans="1:12" ht="20.100000000000001" customHeight="1">
      <c r="A1621" s="1568" t="s">
        <v>3043</v>
      </c>
      <c r="B1621" s="1567">
        <v>43159</v>
      </c>
      <c r="C1621" s="1568" t="s">
        <v>3308</v>
      </c>
      <c r="D1621" s="1568" t="s">
        <v>2975</v>
      </c>
      <c r="E1621" s="1567">
        <v>43632</v>
      </c>
      <c r="F1621" s="1566">
        <v>2500</v>
      </c>
      <c r="G1621" s="1566">
        <v>0</v>
      </c>
      <c r="H1621" s="1567"/>
      <c r="I1621" s="1567">
        <v>46810</v>
      </c>
      <c r="J1621" s="1567">
        <v>46810</v>
      </c>
      <c r="K1621" s="1568" t="str">
        <f t="shared" si="25"/>
        <v>No</v>
      </c>
      <c r="L1621" s="1565"/>
    </row>
    <row r="1622" spans="1:12" ht="20.100000000000001" customHeight="1">
      <c r="A1622" s="1568" t="s">
        <v>3043</v>
      </c>
      <c r="B1622" s="1567">
        <v>43159</v>
      </c>
      <c r="C1622" s="1568" t="s">
        <v>3308</v>
      </c>
      <c r="D1622" s="1568" t="s">
        <v>2975</v>
      </c>
      <c r="E1622" s="1567">
        <v>43662</v>
      </c>
      <c r="F1622" s="1566">
        <v>2500</v>
      </c>
      <c r="G1622" s="1566">
        <v>0</v>
      </c>
      <c r="H1622" s="1567"/>
      <c r="I1622" s="1567">
        <v>46810</v>
      </c>
      <c r="J1622" s="1567">
        <v>46810</v>
      </c>
      <c r="K1622" s="1568" t="str">
        <f t="shared" si="25"/>
        <v>No</v>
      </c>
      <c r="L1622" s="1565"/>
    </row>
    <row r="1623" spans="1:12" ht="20.100000000000001" customHeight="1">
      <c r="A1623" s="1568" t="s">
        <v>3043</v>
      </c>
      <c r="B1623" s="1567">
        <v>43159</v>
      </c>
      <c r="C1623" s="1568" t="s">
        <v>3308</v>
      </c>
      <c r="D1623" s="1568" t="s">
        <v>2975</v>
      </c>
      <c r="E1623" s="1567">
        <v>43693</v>
      </c>
      <c r="F1623" s="1566">
        <v>2500</v>
      </c>
      <c r="G1623" s="1566">
        <v>0</v>
      </c>
      <c r="H1623" s="1567"/>
      <c r="I1623" s="1567">
        <v>46810</v>
      </c>
      <c r="J1623" s="1567">
        <v>46810</v>
      </c>
      <c r="K1623" s="1568" t="str">
        <f t="shared" si="25"/>
        <v>No</v>
      </c>
      <c r="L1623" s="1565"/>
    </row>
    <row r="1624" spans="1:12" ht="20.100000000000001" customHeight="1">
      <c r="A1624" s="1568" t="s">
        <v>3043</v>
      </c>
      <c r="B1624" s="1567">
        <v>43159</v>
      </c>
      <c r="C1624" s="1568" t="s">
        <v>3308</v>
      </c>
      <c r="D1624" s="1568" t="s">
        <v>2975</v>
      </c>
      <c r="E1624" s="1567">
        <v>43724</v>
      </c>
      <c r="F1624" s="1566">
        <v>2500</v>
      </c>
      <c r="G1624" s="1566">
        <v>0</v>
      </c>
      <c r="H1624" s="1567"/>
      <c r="I1624" s="1567">
        <v>46810</v>
      </c>
      <c r="J1624" s="1567">
        <v>46810</v>
      </c>
      <c r="K1624" s="1568" t="str">
        <f t="shared" si="25"/>
        <v>No</v>
      </c>
      <c r="L1624" s="1565"/>
    </row>
    <row r="1625" spans="1:12" ht="20.100000000000001" customHeight="1">
      <c r="A1625" s="1568" t="s">
        <v>3043</v>
      </c>
      <c r="B1625" s="1567">
        <v>43159</v>
      </c>
      <c r="C1625" s="1568" t="s">
        <v>3308</v>
      </c>
      <c r="D1625" s="1568" t="s">
        <v>2975</v>
      </c>
      <c r="E1625" s="1567">
        <v>43754</v>
      </c>
      <c r="F1625" s="1566">
        <v>2500</v>
      </c>
      <c r="G1625" s="1566">
        <v>0</v>
      </c>
      <c r="H1625" s="1567"/>
      <c r="I1625" s="1567">
        <v>46810</v>
      </c>
      <c r="J1625" s="1567">
        <v>46810</v>
      </c>
      <c r="K1625" s="1568" t="str">
        <f t="shared" si="25"/>
        <v>No</v>
      </c>
      <c r="L1625" s="1565"/>
    </row>
    <row r="1626" spans="1:12" ht="20.100000000000001" customHeight="1">
      <c r="A1626" s="1568" t="s">
        <v>3043</v>
      </c>
      <c r="B1626" s="1567">
        <v>43159</v>
      </c>
      <c r="C1626" s="1568" t="s">
        <v>3308</v>
      </c>
      <c r="D1626" s="1568" t="s">
        <v>2975</v>
      </c>
      <c r="E1626" s="1567">
        <v>43785</v>
      </c>
      <c r="F1626" s="1566">
        <v>2500</v>
      </c>
      <c r="G1626" s="1566">
        <v>0</v>
      </c>
      <c r="H1626" s="1567"/>
      <c r="I1626" s="1567">
        <v>46810</v>
      </c>
      <c r="J1626" s="1567">
        <v>46810</v>
      </c>
      <c r="K1626" s="1568" t="str">
        <f t="shared" si="25"/>
        <v>No</v>
      </c>
      <c r="L1626" s="1565"/>
    </row>
    <row r="1627" spans="1:12" ht="20.100000000000001" customHeight="1">
      <c r="A1627" s="1568" t="s">
        <v>3043</v>
      </c>
      <c r="B1627" s="1567">
        <v>43159</v>
      </c>
      <c r="C1627" s="1568" t="s">
        <v>3308</v>
      </c>
      <c r="D1627" s="1568" t="s">
        <v>2975</v>
      </c>
      <c r="E1627" s="1567">
        <v>43815</v>
      </c>
      <c r="F1627" s="1566">
        <v>2500</v>
      </c>
      <c r="G1627" s="1566">
        <v>0</v>
      </c>
      <c r="H1627" s="1567"/>
      <c r="I1627" s="1567">
        <v>46810</v>
      </c>
      <c r="J1627" s="1567">
        <v>46810</v>
      </c>
      <c r="K1627" s="1568" t="str">
        <f t="shared" si="25"/>
        <v>No</v>
      </c>
      <c r="L1627" s="1565"/>
    </row>
    <row r="1628" spans="1:12" ht="20.100000000000001" customHeight="1">
      <c r="A1628" s="1568" t="s">
        <v>3043</v>
      </c>
      <c r="B1628" s="1567">
        <v>43159</v>
      </c>
      <c r="C1628" s="1568" t="s">
        <v>3308</v>
      </c>
      <c r="D1628" s="1568" t="s">
        <v>2975</v>
      </c>
      <c r="E1628" s="1567">
        <v>43846</v>
      </c>
      <c r="F1628" s="1566">
        <v>2500</v>
      </c>
      <c r="G1628" s="1566">
        <v>0</v>
      </c>
      <c r="H1628" s="1567"/>
      <c r="I1628" s="1567">
        <v>46810</v>
      </c>
      <c r="J1628" s="1567">
        <v>46810</v>
      </c>
      <c r="K1628" s="1568" t="str">
        <f t="shared" si="25"/>
        <v>No</v>
      </c>
      <c r="L1628" s="1565"/>
    </row>
    <row r="1629" spans="1:12" ht="20.100000000000001" customHeight="1">
      <c r="A1629" s="1568" t="s">
        <v>3043</v>
      </c>
      <c r="B1629" s="1567">
        <v>43159</v>
      </c>
      <c r="C1629" s="1568" t="s">
        <v>3308</v>
      </c>
      <c r="D1629" s="1568" t="s">
        <v>2975</v>
      </c>
      <c r="E1629" s="1567">
        <v>43877</v>
      </c>
      <c r="F1629" s="1566">
        <v>2500</v>
      </c>
      <c r="G1629" s="1566">
        <v>0</v>
      </c>
      <c r="H1629" s="1567"/>
      <c r="I1629" s="1567">
        <v>46810</v>
      </c>
      <c r="J1629" s="1567">
        <v>46810</v>
      </c>
      <c r="K1629" s="1568" t="str">
        <f t="shared" si="25"/>
        <v>No</v>
      </c>
      <c r="L1629" s="1565"/>
    </row>
    <row r="1630" spans="1:12" ht="20.100000000000001" customHeight="1">
      <c r="A1630" s="1568" t="s">
        <v>3043</v>
      </c>
      <c r="B1630" s="1567">
        <v>43159</v>
      </c>
      <c r="C1630" s="1568" t="s">
        <v>3308</v>
      </c>
      <c r="D1630" s="1568" t="s">
        <v>2975</v>
      </c>
      <c r="E1630" s="1567">
        <v>43906</v>
      </c>
      <c r="F1630" s="1566">
        <v>2500</v>
      </c>
      <c r="G1630" s="1566">
        <v>0</v>
      </c>
      <c r="H1630" s="1567"/>
      <c r="I1630" s="1567">
        <v>46810</v>
      </c>
      <c r="J1630" s="1567">
        <v>46810</v>
      </c>
      <c r="K1630" s="1568" t="str">
        <f t="shared" si="25"/>
        <v>No</v>
      </c>
      <c r="L1630" s="1565"/>
    </row>
    <row r="1631" spans="1:12" ht="20.100000000000001" customHeight="1">
      <c r="A1631" s="1568" t="s">
        <v>3043</v>
      </c>
      <c r="B1631" s="1567">
        <v>43159</v>
      </c>
      <c r="C1631" s="1568" t="s">
        <v>3308</v>
      </c>
      <c r="D1631" s="1568" t="s">
        <v>2975</v>
      </c>
      <c r="E1631" s="1567">
        <v>43937</v>
      </c>
      <c r="F1631" s="1566">
        <v>2500</v>
      </c>
      <c r="G1631" s="1566">
        <v>0</v>
      </c>
      <c r="H1631" s="1567"/>
      <c r="I1631" s="1567">
        <v>46810</v>
      </c>
      <c r="J1631" s="1567">
        <v>46810</v>
      </c>
      <c r="K1631" s="1568" t="str">
        <f t="shared" si="25"/>
        <v>No</v>
      </c>
      <c r="L1631" s="1565"/>
    </row>
    <row r="1632" spans="1:12" ht="20.100000000000001" customHeight="1">
      <c r="A1632" s="1568" t="s">
        <v>3043</v>
      </c>
      <c r="B1632" s="1567">
        <v>43159</v>
      </c>
      <c r="C1632" s="1568" t="s">
        <v>3308</v>
      </c>
      <c r="D1632" s="1568" t="s">
        <v>2975</v>
      </c>
      <c r="E1632" s="1567">
        <v>43967</v>
      </c>
      <c r="F1632" s="1566">
        <v>2500</v>
      </c>
      <c r="G1632" s="1566">
        <v>0</v>
      </c>
      <c r="H1632" s="1567"/>
      <c r="I1632" s="1567">
        <v>46810</v>
      </c>
      <c r="J1632" s="1567">
        <v>46810</v>
      </c>
      <c r="K1632" s="1568" t="str">
        <f t="shared" si="25"/>
        <v>No</v>
      </c>
      <c r="L1632" s="1565"/>
    </row>
    <row r="1633" spans="1:12" ht="20.100000000000001" customHeight="1">
      <c r="A1633" s="1568" t="s">
        <v>3043</v>
      </c>
      <c r="B1633" s="1567">
        <v>43159</v>
      </c>
      <c r="C1633" s="1568" t="s">
        <v>3308</v>
      </c>
      <c r="D1633" s="1568" t="s">
        <v>2975</v>
      </c>
      <c r="E1633" s="1567">
        <v>43998</v>
      </c>
      <c r="F1633" s="1566">
        <v>2500</v>
      </c>
      <c r="G1633" s="1566">
        <v>0</v>
      </c>
      <c r="H1633" s="1567"/>
      <c r="I1633" s="1567">
        <v>46810</v>
      </c>
      <c r="J1633" s="1567">
        <v>46810</v>
      </c>
      <c r="K1633" s="1568" t="str">
        <f t="shared" si="25"/>
        <v>No</v>
      </c>
      <c r="L1633" s="1565"/>
    </row>
    <row r="1634" spans="1:12" ht="20.100000000000001" customHeight="1">
      <c r="A1634" s="1568" t="s">
        <v>3043</v>
      </c>
      <c r="B1634" s="1567">
        <v>43159</v>
      </c>
      <c r="C1634" s="1568" t="s">
        <v>3308</v>
      </c>
      <c r="D1634" s="1568" t="s">
        <v>2975</v>
      </c>
      <c r="E1634" s="1567">
        <v>44028</v>
      </c>
      <c r="F1634" s="1566">
        <v>2500</v>
      </c>
      <c r="G1634" s="1566">
        <v>0</v>
      </c>
      <c r="H1634" s="1567"/>
      <c r="I1634" s="1567">
        <v>46810</v>
      </c>
      <c r="J1634" s="1567">
        <v>46810</v>
      </c>
      <c r="K1634" s="1568" t="str">
        <f t="shared" si="25"/>
        <v>No</v>
      </c>
      <c r="L1634" s="1565"/>
    </row>
    <row r="1635" spans="1:12" ht="20.100000000000001" customHeight="1">
      <c r="A1635" s="1568" t="s">
        <v>3043</v>
      </c>
      <c r="B1635" s="1567">
        <v>43159</v>
      </c>
      <c r="C1635" s="1568" t="s">
        <v>3308</v>
      </c>
      <c r="D1635" s="1568" t="s">
        <v>2975</v>
      </c>
      <c r="E1635" s="1567">
        <v>44059</v>
      </c>
      <c r="F1635" s="1566">
        <v>2500</v>
      </c>
      <c r="G1635" s="1566">
        <v>0</v>
      </c>
      <c r="H1635" s="1567"/>
      <c r="I1635" s="1567">
        <v>46810</v>
      </c>
      <c r="J1635" s="1567">
        <v>46810</v>
      </c>
      <c r="K1635" s="1568" t="str">
        <f t="shared" si="25"/>
        <v>No</v>
      </c>
      <c r="L1635" s="1565"/>
    </row>
    <row r="1636" spans="1:12" ht="20.100000000000001" customHeight="1">
      <c r="A1636" s="1568" t="s">
        <v>3043</v>
      </c>
      <c r="B1636" s="1567">
        <v>43159</v>
      </c>
      <c r="C1636" s="1568" t="s">
        <v>3308</v>
      </c>
      <c r="D1636" s="1568" t="s">
        <v>2975</v>
      </c>
      <c r="E1636" s="1567">
        <v>44090</v>
      </c>
      <c r="F1636" s="1566">
        <v>2500</v>
      </c>
      <c r="G1636" s="1566">
        <v>0</v>
      </c>
      <c r="H1636" s="1567"/>
      <c r="I1636" s="1567">
        <v>46810</v>
      </c>
      <c r="J1636" s="1567">
        <v>46810</v>
      </c>
      <c r="K1636" s="1568" t="str">
        <f t="shared" si="25"/>
        <v>No</v>
      </c>
      <c r="L1636" s="1565"/>
    </row>
    <row r="1637" spans="1:12" ht="20.100000000000001" customHeight="1">
      <c r="A1637" s="1568" t="s">
        <v>3043</v>
      </c>
      <c r="B1637" s="1567">
        <v>43159</v>
      </c>
      <c r="C1637" s="1568" t="s">
        <v>3308</v>
      </c>
      <c r="D1637" s="1568" t="s">
        <v>2975</v>
      </c>
      <c r="E1637" s="1567">
        <v>44120</v>
      </c>
      <c r="F1637" s="1566">
        <v>2500</v>
      </c>
      <c r="G1637" s="1566">
        <v>0</v>
      </c>
      <c r="H1637" s="1567"/>
      <c r="I1637" s="1567">
        <v>46810</v>
      </c>
      <c r="J1637" s="1567">
        <v>46810</v>
      </c>
      <c r="K1637" s="1568" t="str">
        <f t="shared" si="25"/>
        <v>No</v>
      </c>
      <c r="L1637" s="1565"/>
    </row>
    <row r="1638" spans="1:12" ht="20.100000000000001" customHeight="1">
      <c r="A1638" s="1568" t="s">
        <v>3043</v>
      </c>
      <c r="B1638" s="1567">
        <v>43159</v>
      </c>
      <c r="C1638" s="1568" t="s">
        <v>3308</v>
      </c>
      <c r="D1638" s="1568" t="s">
        <v>2975</v>
      </c>
      <c r="E1638" s="1567">
        <v>44151</v>
      </c>
      <c r="F1638" s="1566">
        <v>2500</v>
      </c>
      <c r="G1638" s="1566">
        <v>0</v>
      </c>
      <c r="H1638" s="1567"/>
      <c r="I1638" s="1567">
        <v>46810</v>
      </c>
      <c r="J1638" s="1567">
        <v>46810</v>
      </c>
      <c r="K1638" s="1568" t="str">
        <f t="shared" si="25"/>
        <v>No</v>
      </c>
      <c r="L1638" s="1565"/>
    </row>
    <row r="1639" spans="1:12" ht="20.100000000000001" customHeight="1">
      <c r="A1639" s="1568" t="s">
        <v>3043</v>
      </c>
      <c r="B1639" s="1567">
        <v>43159</v>
      </c>
      <c r="C1639" s="1568" t="s">
        <v>3308</v>
      </c>
      <c r="D1639" s="1568" t="s">
        <v>2975</v>
      </c>
      <c r="E1639" s="1567">
        <v>44181</v>
      </c>
      <c r="F1639" s="1566">
        <v>2500</v>
      </c>
      <c r="G1639" s="1566">
        <v>0</v>
      </c>
      <c r="H1639" s="1567"/>
      <c r="I1639" s="1567">
        <v>46810</v>
      </c>
      <c r="J1639" s="1567">
        <v>46810</v>
      </c>
      <c r="K1639" s="1568" t="str">
        <f t="shared" si="25"/>
        <v>No</v>
      </c>
      <c r="L1639" s="1565"/>
    </row>
    <row r="1640" spans="1:12" ht="20.100000000000001" customHeight="1">
      <c r="A1640" s="1568" t="s">
        <v>3043</v>
      </c>
      <c r="B1640" s="1567">
        <v>43159</v>
      </c>
      <c r="C1640" s="1568" t="s">
        <v>3308</v>
      </c>
      <c r="D1640" s="1568" t="s">
        <v>2975</v>
      </c>
      <c r="E1640" s="1567">
        <v>44212</v>
      </c>
      <c r="F1640" s="1566">
        <v>2500</v>
      </c>
      <c r="G1640" s="1566">
        <v>0</v>
      </c>
      <c r="H1640" s="1567"/>
      <c r="I1640" s="1567">
        <v>46810</v>
      </c>
      <c r="J1640" s="1567">
        <v>46810</v>
      </c>
      <c r="K1640" s="1568" t="str">
        <f t="shared" si="25"/>
        <v>No</v>
      </c>
      <c r="L1640" s="1565"/>
    </row>
    <row r="1641" spans="1:12" ht="20.100000000000001" customHeight="1">
      <c r="A1641" s="1568" t="s">
        <v>3043</v>
      </c>
      <c r="B1641" s="1567">
        <v>43159</v>
      </c>
      <c r="C1641" s="1568" t="s">
        <v>3308</v>
      </c>
      <c r="D1641" s="1568" t="s">
        <v>2975</v>
      </c>
      <c r="E1641" s="1567">
        <v>44243</v>
      </c>
      <c r="F1641" s="1566">
        <v>2500</v>
      </c>
      <c r="G1641" s="1566">
        <v>0</v>
      </c>
      <c r="H1641" s="1567"/>
      <c r="I1641" s="1567">
        <v>46810</v>
      </c>
      <c r="J1641" s="1567">
        <v>46810</v>
      </c>
      <c r="K1641" s="1568" t="str">
        <f t="shared" si="25"/>
        <v>No</v>
      </c>
      <c r="L1641" s="1565"/>
    </row>
    <row r="1642" spans="1:12" ht="20.100000000000001" customHeight="1">
      <c r="A1642" s="1568" t="s">
        <v>3043</v>
      </c>
      <c r="B1642" s="1567">
        <v>43159</v>
      </c>
      <c r="C1642" s="1568" t="s">
        <v>3308</v>
      </c>
      <c r="D1642" s="1568" t="s">
        <v>2975</v>
      </c>
      <c r="E1642" s="1567">
        <v>44271</v>
      </c>
      <c r="F1642" s="1566">
        <v>2500</v>
      </c>
      <c r="G1642" s="1566">
        <v>0</v>
      </c>
      <c r="H1642" s="1567"/>
      <c r="I1642" s="1567">
        <v>46810</v>
      </c>
      <c r="J1642" s="1567">
        <v>46810</v>
      </c>
      <c r="K1642" s="1568" t="str">
        <f t="shared" si="25"/>
        <v>No</v>
      </c>
      <c r="L1642" s="1565"/>
    </row>
    <row r="1643" spans="1:12" ht="20.100000000000001" customHeight="1">
      <c r="A1643" s="1568" t="s">
        <v>3043</v>
      </c>
      <c r="B1643" s="1567">
        <v>43159</v>
      </c>
      <c r="C1643" s="1568" t="s">
        <v>3308</v>
      </c>
      <c r="D1643" s="1568" t="s">
        <v>2975</v>
      </c>
      <c r="E1643" s="1567">
        <v>44302</v>
      </c>
      <c r="F1643" s="1566">
        <v>2500</v>
      </c>
      <c r="G1643" s="1566">
        <v>0</v>
      </c>
      <c r="H1643" s="1567"/>
      <c r="I1643" s="1567">
        <v>46810</v>
      </c>
      <c r="J1643" s="1567">
        <v>46810</v>
      </c>
      <c r="K1643" s="1568" t="str">
        <f t="shared" si="25"/>
        <v>No</v>
      </c>
      <c r="L1643" s="1565"/>
    </row>
    <row r="1644" spans="1:12" ht="20.100000000000001" customHeight="1">
      <c r="A1644" s="1568" t="s">
        <v>3043</v>
      </c>
      <c r="B1644" s="1567">
        <v>43159</v>
      </c>
      <c r="C1644" s="1568" t="s">
        <v>3308</v>
      </c>
      <c r="D1644" s="1568" t="s">
        <v>2975</v>
      </c>
      <c r="E1644" s="1567">
        <v>44332</v>
      </c>
      <c r="F1644" s="1566">
        <v>2500</v>
      </c>
      <c r="G1644" s="1566">
        <v>0</v>
      </c>
      <c r="H1644" s="1567"/>
      <c r="I1644" s="1567">
        <v>46810</v>
      </c>
      <c r="J1644" s="1567">
        <v>46810</v>
      </c>
      <c r="K1644" s="1568" t="str">
        <f t="shared" si="25"/>
        <v>No</v>
      </c>
      <c r="L1644" s="1565"/>
    </row>
    <row r="1645" spans="1:12" ht="20.100000000000001" customHeight="1">
      <c r="A1645" s="1568" t="s">
        <v>3043</v>
      </c>
      <c r="B1645" s="1567">
        <v>43159</v>
      </c>
      <c r="C1645" s="1568" t="s">
        <v>3308</v>
      </c>
      <c r="D1645" s="1568" t="s">
        <v>2975</v>
      </c>
      <c r="E1645" s="1567">
        <v>44363</v>
      </c>
      <c r="F1645" s="1566">
        <v>2500</v>
      </c>
      <c r="G1645" s="1566">
        <v>0</v>
      </c>
      <c r="H1645" s="1567"/>
      <c r="I1645" s="1567">
        <v>46810</v>
      </c>
      <c r="J1645" s="1567">
        <v>46810</v>
      </c>
      <c r="K1645" s="1568" t="str">
        <f t="shared" si="25"/>
        <v>No</v>
      </c>
      <c r="L1645" s="1565"/>
    </row>
    <row r="1646" spans="1:12" ht="20.100000000000001" customHeight="1">
      <c r="A1646" s="1568" t="s">
        <v>3043</v>
      </c>
      <c r="B1646" s="1567">
        <v>43159</v>
      </c>
      <c r="C1646" s="1568" t="s">
        <v>3308</v>
      </c>
      <c r="D1646" s="1568" t="s">
        <v>2975</v>
      </c>
      <c r="E1646" s="1567">
        <v>44393</v>
      </c>
      <c r="F1646" s="1566">
        <v>2500</v>
      </c>
      <c r="G1646" s="1566">
        <v>0</v>
      </c>
      <c r="H1646" s="1567"/>
      <c r="I1646" s="1567">
        <v>46810</v>
      </c>
      <c r="J1646" s="1567">
        <v>46810</v>
      </c>
      <c r="K1646" s="1568" t="str">
        <f t="shared" si="25"/>
        <v>No</v>
      </c>
      <c r="L1646" s="1565"/>
    </row>
    <row r="1647" spans="1:12" ht="20.100000000000001" customHeight="1">
      <c r="A1647" s="1568" t="s">
        <v>3043</v>
      </c>
      <c r="B1647" s="1567">
        <v>43159</v>
      </c>
      <c r="C1647" s="1568" t="s">
        <v>3308</v>
      </c>
      <c r="D1647" s="1568" t="s">
        <v>2975</v>
      </c>
      <c r="E1647" s="1567">
        <v>44424</v>
      </c>
      <c r="F1647" s="1566">
        <v>2500</v>
      </c>
      <c r="G1647" s="1566">
        <v>0</v>
      </c>
      <c r="H1647" s="1567"/>
      <c r="I1647" s="1567">
        <v>46810</v>
      </c>
      <c r="J1647" s="1567">
        <v>46810</v>
      </c>
      <c r="K1647" s="1568" t="str">
        <f t="shared" si="25"/>
        <v>No</v>
      </c>
      <c r="L1647" s="1565"/>
    </row>
    <row r="1648" spans="1:12" ht="20.100000000000001" customHeight="1">
      <c r="A1648" s="1568" t="s">
        <v>3043</v>
      </c>
      <c r="B1648" s="1567">
        <v>43159</v>
      </c>
      <c r="C1648" s="1568" t="s">
        <v>3308</v>
      </c>
      <c r="D1648" s="1568" t="s">
        <v>2975</v>
      </c>
      <c r="E1648" s="1567">
        <v>44455</v>
      </c>
      <c r="F1648" s="1566">
        <v>2500</v>
      </c>
      <c r="G1648" s="1566">
        <v>0</v>
      </c>
      <c r="H1648" s="1567"/>
      <c r="I1648" s="1567">
        <v>46810</v>
      </c>
      <c r="J1648" s="1567">
        <v>46810</v>
      </c>
      <c r="K1648" s="1568" t="str">
        <f t="shared" si="25"/>
        <v>No</v>
      </c>
      <c r="L1648" s="1565"/>
    </row>
    <row r="1649" spans="1:12" ht="20.100000000000001" customHeight="1">
      <c r="A1649" s="1568" t="s">
        <v>3043</v>
      </c>
      <c r="B1649" s="1567">
        <v>43159</v>
      </c>
      <c r="C1649" s="1568" t="s">
        <v>3308</v>
      </c>
      <c r="D1649" s="1568" t="s">
        <v>2975</v>
      </c>
      <c r="E1649" s="1567">
        <v>44485</v>
      </c>
      <c r="F1649" s="1566">
        <v>2500</v>
      </c>
      <c r="G1649" s="1566">
        <v>0</v>
      </c>
      <c r="H1649" s="1567"/>
      <c r="I1649" s="1567">
        <v>46810</v>
      </c>
      <c r="J1649" s="1567">
        <v>46810</v>
      </c>
      <c r="K1649" s="1568" t="str">
        <f t="shared" si="25"/>
        <v>No</v>
      </c>
      <c r="L1649" s="1565"/>
    </row>
    <row r="1650" spans="1:12" ht="20.100000000000001" customHeight="1">
      <c r="A1650" s="1568" t="s">
        <v>3043</v>
      </c>
      <c r="B1650" s="1567">
        <v>43159</v>
      </c>
      <c r="C1650" s="1568" t="s">
        <v>3308</v>
      </c>
      <c r="D1650" s="1568" t="s">
        <v>2975</v>
      </c>
      <c r="E1650" s="1567">
        <v>44516</v>
      </c>
      <c r="F1650" s="1566">
        <v>2500</v>
      </c>
      <c r="G1650" s="1566">
        <v>0</v>
      </c>
      <c r="H1650" s="1567"/>
      <c r="I1650" s="1567">
        <v>46810</v>
      </c>
      <c r="J1650" s="1567">
        <v>46810</v>
      </c>
      <c r="K1650" s="1568" t="str">
        <f t="shared" si="25"/>
        <v>No</v>
      </c>
      <c r="L1650" s="1565"/>
    </row>
    <row r="1651" spans="1:12" ht="20.100000000000001" customHeight="1">
      <c r="A1651" s="1568" t="s">
        <v>3043</v>
      </c>
      <c r="B1651" s="1567">
        <v>43159</v>
      </c>
      <c r="C1651" s="1568" t="s">
        <v>3308</v>
      </c>
      <c r="D1651" s="1568" t="s">
        <v>2975</v>
      </c>
      <c r="E1651" s="1567">
        <v>44546</v>
      </c>
      <c r="F1651" s="1566">
        <v>2500</v>
      </c>
      <c r="G1651" s="1566">
        <v>0</v>
      </c>
      <c r="H1651" s="1567"/>
      <c r="I1651" s="1567">
        <v>46810</v>
      </c>
      <c r="J1651" s="1567">
        <v>46810</v>
      </c>
      <c r="K1651" s="1568" t="str">
        <f t="shared" si="25"/>
        <v>No</v>
      </c>
      <c r="L1651" s="1565"/>
    </row>
    <row r="1652" spans="1:12" ht="20.100000000000001" customHeight="1">
      <c r="A1652" s="1568" t="s">
        <v>3043</v>
      </c>
      <c r="B1652" s="1567">
        <v>43159</v>
      </c>
      <c r="C1652" s="1568" t="s">
        <v>3308</v>
      </c>
      <c r="D1652" s="1568" t="s">
        <v>2975</v>
      </c>
      <c r="E1652" s="1567">
        <v>44577</v>
      </c>
      <c r="F1652" s="1566">
        <v>2500</v>
      </c>
      <c r="G1652" s="1566">
        <v>0</v>
      </c>
      <c r="H1652" s="1567"/>
      <c r="I1652" s="1567">
        <v>46810</v>
      </c>
      <c r="J1652" s="1567">
        <v>46810</v>
      </c>
      <c r="K1652" s="1568" t="str">
        <f t="shared" si="25"/>
        <v>No</v>
      </c>
      <c r="L1652" s="1565"/>
    </row>
    <row r="1653" spans="1:12" ht="20.100000000000001" customHeight="1">
      <c r="A1653" s="1568" t="s">
        <v>3043</v>
      </c>
      <c r="B1653" s="1567">
        <v>43159</v>
      </c>
      <c r="C1653" s="1568" t="s">
        <v>3308</v>
      </c>
      <c r="D1653" s="1568" t="s">
        <v>2975</v>
      </c>
      <c r="E1653" s="1567">
        <v>44608</v>
      </c>
      <c r="F1653" s="1566">
        <v>2500</v>
      </c>
      <c r="G1653" s="1566">
        <v>0</v>
      </c>
      <c r="H1653" s="1567"/>
      <c r="I1653" s="1567">
        <v>46810</v>
      </c>
      <c r="J1653" s="1567">
        <v>46810</v>
      </c>
      <c r="K1653" s="1568" t="str">
        <f t="shared" si="25"/>
        <v>No</v>
      </c>
      <c r="L1653" s="1565"/>
    </row>
    <row r="1654" spans="1:12" ht="20.100000000000001" customHeight="1">
      <c r="A1654" s="1568" t="s">
        <v>3042</v>
      </c>
      <c r="B1654" s="1567">
        <v>43159</v>
      </c>
      <c r="C1654" s="1568" t="s">
        <v>3308</v>
      </c>
      <c r="D1654" s="1568" t="s">
        <v>2957</v>
      </c>
      <c r="E1654" s="1567">
        <v>43512</v>
      </c>
      <c r="F1654" s="1566">
        <v>1250</v>
      </c>
      <c r="G1654" s="1566">
        <v>0</v>
      </c>
      <c r="H1654" s="1567"/>
      <c r="I1654" s="1567">
        <v>46810</v>
      </c>
      <c r="J1654" s="1567">
        <v>46810</v>
      </c>
      <c r="K1654" s="1568" t="str">
        <f t="shared" si="25"/>
        <v>No</v>
      </c>
      <c r="L1654" s="1565"/>
    </row>
    <row r="1655" spans="1:12" ht="20.100000000000001" customHeight="1">
      <c r="A1655" s="1568" t="s">
        <v>3042</v>
      </c>
      <c r="B1655" s="1567">
        <v>43159</v>
      </c>
      <c r="C1655" s="1568" t="s">
        <v>3308</v>
      </c>
      <c r="D1655" s="1568" t="s">
        <v>2957</v>
      </c>
      <c r="E1655" s="1567">
        <v>43540</v>
      </c>
      <c r="F1655" s="1566">
        <v>104</v>
      </c>
      <c r="G1655" s="1566">
        <v>0</v>
      </c>
      <c r="H1655" s="1567"/>
      <c r="I1655" s="1567">
        <v>46810</v>
      </c>
      <c r="J1655" s="1567">
        <v>46810</v>
      </c>
      <c r="K1655" s="1568" t="str">
        <f t="shared" si="25"/>
        <v>No</v>
      </c>
      <c r="L1655" s="1565"/>
    </row>
    <row r="1656" spans="1:12" ht="20.100000000000001" customHeight="1">
      <c r="A1656" s="1568" t="s">
        <v>3042</v>
      </c>
      <c r="B1656" s="1567">
        <v>43159</v>
      </c>
      <c r="C1656" s="1568" t="s">
        <v>3308</v>
      </c>
      <c r="D1656" s="1568" t="s">
        <v>2957</v>
      </c>
      <c r="E1656" s="1567">
        <v>43571</v>
      </c>
      <c r="F1656" s="1566">
        <v>104</v>
      </c>
      <c r="G1656" s="1566">
        <v>0</v>
      </c>
      <c r="H1656" s="1567"/>
      <c r="I1656" s="1567">
        <v>46810</v>
      </c>
      <c r="J1656" s="1567">
        <v>46810</v>
      </c>
      <c r="K1656" s="1568" t="str">
        <f t="shared" si="25"/>
        <v>No</v>
      </c>
      <c r="L1656" s="1565"/>
    </row>
    <row r="1657" spans="1:12" ht="20.100000000000001" customHeight="1">
      <c r="A1657" s="1568" t="s">
        <v>3042</v>
      </c>
      <c r="B1657" s="1567">
        <v>43159</v>
      </c>
      <c r="C1657" s="1568" t="s">
        <v>3308</v>
      </c>
      <c r="D1657" s="1568" t="s">
        <v>2957</v>
      </c>
      <c r="E1657" s="1567">
        <v>43601</v>
      </c>
      <c r="F1657" s="1566">
        <v>104</v>
      </c>
      <c r="G1657" s="1566">
        <v>0</v>
      </c>
      <c r="H1657" s="1567"/>
      <c r="I1657" s="1567">
        <v>46810</v>
      </c>
      <c r="J1657" s="1567">
        <v>46810</v>
      </c>
      <c r="K1657" s="1568" t="str">
        <f t="shared" si="25"/>
        <v>No</v>
      </c>
      <c r="L1657" s="1565"/>
    </row>
    <row r="1658" spans="1:12" ht="20.100000000000001" customHeight="1">
      <c r="A1658" s="1568" t="s">
        <v>3042</v>
      </c>
      <c r="B1658" s="1567">
        <v>43159</v>
      </c>
      <c r="C1658" s="1568" t="s">
        <v>3308</v>
      </c>
      <c r="D1658" s="1568" t="s">
        <v>2957</v>
      </c>
      <c r="E1658" s="1567">
        <v>43632</v>
      </c>
      <c r="F1658" s="1566">
        <v>104</v>
      </c>
      <c r="G1658" s="1566">
        <v>0</v>
      </c>
      <c r="H1658" s="1567"/>
      <c r="I1658" s="1567">
        <v>46810</v>
      </c>
      <c r="J1658" s="1567">
        <v>46810</v>
      </c>
      <c r="K1658" s="1568" t="str">
        <f t="shared" si="25"/>
        <v>No</v>
      </c>
      <c r="L1658" s="1565"/>
    </row>
    <row r="1659" spans="1:12" ht="20.100000000000001" customHeight="1">
      <c r="A1659" s="1568" t="s">
        <v>3042</v>
      </c>
      <c r="B1659" s="1567">
        <v>43159</v>
      </c>
      <c r="C1659" s="1568" t="s">
        <v>3308</v>
      </c>
      <c r="D1659" s="1568" t="s">
        <v>2957</v>
      </c>
      <c r="E1659" s="1567">
        <v>43662</v>
      </c>
      <c r="F1659" s="1566">
        <v>104</v>
      </c>
      <c r="G1659" s="1566">
        <v>0</v>
      </c>
      <c r="H1659" s="1567"/>
      <c r="I1659" s="1567">
        <v>46810</v>
      </c>
      <c r="J1659" s="1567">
        <v>46810</v>
      </c>
      <c r="K1659" s="1568" t="str">
        <f t="shared" si="25"/>
        <v>No</v>
      </c>
      <c r="L1659" s="1565"/>
    </row>
    <row r="1660" spans="1:12" ht="20.100000000000001" customHeight="1">
      <c r="A1660" s="1568" t="s">
        <v>3042</v>
      </c>
      <c r="B1660" s="1567">
        <v>43159</v>
      </c>
      <c r="C1660" s="1568" t="s">
        <v>3308</v>
      </c>
      <c r="D1660" s="1568" t="s">
        <v>2957</v>
      </c>
      <c r="E1660" s="1567">
        <v>43693</v>
      </c>
      <c r="F1660" s="1566">
        <v>105</v>
      </c>
      <c r="G1660" s="1566">
        <v>0</v>
      </c>
      <c r="H1660" s="1567"/>
      <c r="I1660" s="1567">
        <v>46810</v>
      </c>
      <c r="J1660" s="1567">
        <v>46810</v>
      </c>
      <c r="K1660" s="1568" t="str">
        <f t="shared" si="25"/>
        <v>No</v>
      </c>
      <c r="L1660" s="1565"/>
    </row>
    <row r="1661" spans="1:12" ht="20.100000000000001" customHeight="1">
      <c r="A1661" s="1568" t="s">
        <v>3042</v>
      </c>
      <c r="B1661" s="1567">
        <v>43159</v>
      </c>
      <c r="C1661" s="1568" t="s">
        <v>3308</v>
      </c>
      <c r="D1661" s="1568" t="s">
        <v>2957</v>
      </c>
      <c r="E1661" s="1567">
        <v>43724</v>
      </c>
      <c r="F1661" s="1566">
        <v>104</v>
      </c>
      <c r="G1661" s="1566">
        <v>0</v>
      </c>
      <c r="H1661" s="1567"/>
      <c r="I1661" s="1567">
        <v>46810</v>
      </c>
      <c r="J1661" s="1567">
        <v>46810</v>
      </c>
      <c r="K1661" s="1568" t="str">
        <f t="shared" si="25"/>
        <v>No</v>
      </c>
      <c r="L1661" s="1565"/>
    </row>
    <row r="1662" spans="1:12" ht="20.100000000000001" customHeight="1">
      <c r="A1662" s="1568" t="s">
        <v>3042</v>
      </c>
      <c r="B1662" s="1567">
        <v>43159</v>
      </c>
      <c r="C1662" s="1568" t="s">
        <v>3308</v>
      </c>
      <c r="D1662" s="1568" t="s">
        <v>2957</v>
      </c>
      <c r="E1662" s="1567">
        <v>43754</v>
      </c>
      <c r="F1662" s="1566">
        <v>104</v>
      </c>
      <c r="G1662" s="1566">
        <v>0</v>
      </c>
      <c r="H1662" s="1567"/>
      <c r="I1662" s="1567">
        <v>46810</v>
      </c>
      <c r="J1662" s="1567">
        <v>46810</v>
      </c>
      <c r="K1662" s="1568" t="str">
        <f t="shared" si="25"/>
        <v>No</v>
      </c>
      <c r="L1662" s="1565"/>
    </row>
    <row r="1663" spans="1:12" ht="20.100000000000001" customHeight="1">
      <c r="A1663" s="1568" t="s">
        <v>3042</v>
      </c>
      <c r="B1663" s="1567">
        <v>43159</v>
      </c>
      <c r="C1663" s="1568" t="s">
        <v>3308</v>
      </c>
      <c r="D1663" s="1568" t="s">
        <v>2957</v>
      </c>
      <c r="E1663" s="1567">
        <v>43785</v>
      </c>
      <c r="F1663" s="1566">
        <v>104</v>
      </c>
      <c r="G1663" s="1566">
        <v>0</v>
      </c>
      <c r="H1663" s="1567"/>
      <c r="I1663" s="1567">
        <v>46810</v>
      </c>
      <c r="J1663" s="1567">
        <v>46810</v>
      </c>
      <c r="K1663" s="1568" t="str">
        <f t="shared" si="25"/>
        <v>No</v>
      </c>
      <c r="L1663" s="1565"/>
    </row>
    <row r="1664" spans="1:12" ht="20.100000000000001" customHeight="1">
      <c r="A1664" s="1568" t="s">
        <v>3042</v>
      </c>
      <c r="B1664" s="1567">
        <v>43159</v>
      </c>
      <c r="C1664" s="1568" t="s">
        <v>3308</v>
      </c>
      <c r="D1664" s="1568" t="s">
        <v>2957</v>
      </c>
      <c r="E1664" s="1567">
        <v>43815</v>
      </c>
      <c r="F1664" s="1566">
        <v>104</v>
      </c>
      <c r="G1664" s="1566">
        <v>0</v>
      </c>
      <c r="H1664" s="1567"/>
      <c r="I1664" s="1567">
        <v>46810</v>
      </c>
      <c r="J1664" s="1567">
        <v>46810</v>
      </c>
      <c r="K1664" s="1568" t="str">
        <f t="shared" si="25"/>
        <v>No</v>
      </c>
      <c r="L1664" s="1565"/>
    </row>
    <row r="1665" spans="1:12" ht="20.100000000000001" customHeight="1">
      <c r="A1665" s="1568" t="s">
        <v>3042</v>
      </c>
      <c r="B1665" s="1567">
        <v>43159</v>
      </c>
      <c r="C1665" s="1568" t="s">
        <v>3308</v>
      </c>
      <c r="D1665" s="1568" t="s">
        <v>2957</v>
      </c>
      <c r="E1665" s="1567">
        <v>43846</v>
      </c>
      <c r="F1665" s="1566">
        <v>104</v>
      </c>
      <c r="G1665" s="1566">
        <v>0</v>
      </c>
      <c r="H1665" s="1567"/>
      <c r="I1665" s="1567">
        <v>46810</v>
      </c>
      <c r="J1665" s="1567">
        <v>46810</v>
      </c>
      <c r="K1665" s="1568" t="str">
        <f t="shared" si="25"/>
        <v>No</v>
      </c>
      <c r="L1665" s="1565"/>
    </row>
    <row r="1666" spans="1:12" ht="20.100000000000001" customHeight="1">
      <c r="A1666" s="1568" t="s">
        <v>3042</v>
      </c>
      <c r="B1666" s="1567">
        <v>43159</v>
      </c>
      <c r="C1666" s="1568" t="s">
        <v>3308</v>
      </c>
      <c r="D1666" s="1568" t="s">
        <v>2957</v>
      </c>
      <c r="E1666" s="1567">
        <v>43877</v>
      </c>
      <c r="F1666" s="1566">
        <v>105</v>
      </c>
      <c r="G1666" s="1566">
        <v>0</v>
      </c>
      <c r="H1666" s="1567"/>
      <c r="I1666" s="1567">
        <v>46810</v>
      </c>
      <c r="J1666" s="1567">
        <v>46810</v>
      </c>
      <c r="K1666" s="1568" t="str">
        <f t="shared" si="25"/>
        <v>No</v>
      </c>
      <c r="L1666" s="1565"/>
    </row>
    <row r="1667" spans="1:12" ht="20.100000000000001" customHeight="1">
      <c r="A1667" s="1568" t="s">
        <v>3042</v>
      </c>
      <c r="B1667" s="1567">
        <v>43159</v>
      </c>
      <c r="C1667" s="1568" t="s">
        <v>3308</v>
      </c>
      <c r="D1667" s="1568" t="s">
        <v>2957</v>
      </c>
      <c r="E1667" s="1567">
        <v>43906</v>
      </c>
      <c r="F1667" s="1566">
        <v>104</v>
      </c>
      <c r="G1667" s="1566">
        <v>0</v>
      </c>
      <c r="H1667" s="1567"/>
      <c r="I1667" s="1567">
        <v>46810</v>
      </c>
      <c r="J1667" s="1567">
        <v>46810</v>
      </c>
      <c r="K1667" s="1568" t="str">
        <f t="shared" si="25"/>
        <v>No</v>
      </c>
      <c r="L1667" s="1565"/>
    </row>
    <row r="1668" spans="1:12" ht="20.100000000000001" customHeight="1">
      <c r="A1668" s="1568" t="s">
        <v>3042</v>
      </c>
      <c r="B1668" s="1567">
        <v>43159</v>
      </c>
      <c r="C1668" s="1568" t="s">
        <v>3308</v>
      </c>
      <c r="D1668" s="1568" t="s">
        <v>2957</v>
      </c>
      <c r="E1668" s="1567">
        <v>43937</v>
      </c>
      <c r="F1668" s="1566">
        <v>104</v>
      </c>
      <c r="G1668" s="1566">
        <v>0</v>
      </c>
      <c r="H1668" s="1567"/>
      <c r="I1668" s="1567">
        <v>46810</v>
      </c>
      <c r="J1668" s="1567">
        <v>46810</v>
      </c>
      <c r="K1668" s="1568" t="str">
        <f t="shared" si="25"/>
        <v>No</v>
      </c>
      <c r="L1668" s="1565"/>
    </row>
    <row r="1669" spans="1:12" ht="20.100000000000001" customHeight="1">
      <c r="A1669" s="1568" t="s">
        <v>3042</v>
      </c>
      <c r="B1669" s="1567">
        <v>43159</v>
      </c>
      <c r="C1669" s="1568" t="s">
        <v>3308</v>
      </c>
      <c r="D1669" s="1568" t="s">
        <v>2957</v>
      </c>
      <c r="E1669" s="1567">
        <v>43967</v>
      </c>
      <c r="F1669" s="1566">
        <v>104</v>
      </c>
      <c r="G1669" s="1566">
        <v>0</v>
      </c>
      <c r="H1669" s="1567"/>
      <c r="I1669" s="1567">
        <v>46810</v>
      </c>
      <c r="J1669" s="1567">
        <v>46810</v>
      </c>
      <c r="K1669" s="1568" t="str">
        <f t="shared" ref="K1669:K1732" si="26">IF(I1669="N/A","No",IF(E1669&lt;=I1669,"No","Yes"))</f>
        <v>No</v>
      </c>
      <c r="L1669" s="1565"/>
    </row>
    <row r="1670" spans="1:12" ht="20.100000000000001" customHeight="1">
      <c r="A1670" s="1568" t="s">
        <v>3042</v>
      </c>
      <c r="B1670" s="1567">
        <v>43159</v>
      </c>
      <c r="C1670" s="1568" t="s">
        <v>3308</v>
      </c>
      <c r="D1670" s="1568" t="s">
        <v>2957</v>
      </c>
      <c r="E1670" s="1567">
        <v>43998</v>
      </c>
      <c r="F1670" s="1566">
        <v>104</v>
      </c>
      <c r="G1670" s="1566">
        <v>0</v>
      </c>
      <c r="H1670" s="1567"/>
      <c r="I1670" s="1567">
        <v>46810</v>
      </c>
      <c r="J1670" s="1567">
        <v>46810</v>
      </c>
      <c r="K1670" s="1568" t="str">
        <f t="shared" si="26"/>
        <v>No</v>
      </c>
      <c r="L1670" s="1565"/>
    </row>
    <row r="1671" spans="1:12" ht="20.100000000000001" customHeight="1">
      <c r="A1671" s="1568" t="s">
        <v>3042</v>
      </c>
      <c r="B1671" s="1567">
        <v>43159</v>
      </c>
      <c r="C1671" s="1568" t="s">
        <v>3308</v>
      </c>
      <c r="D1671" s="1568" t="s">
        <v>2957</v>
      </c>
      <c r="E1671" s="1567">
        <v>44028</v>
      </c>
      <c r="F1671" s="1566">
        <v>104</v>
      </c>
      <c r="G1671" s="1566">
        <v>0</v>
      </c>
      <c r="H1671" s="1567"/>
      <c r="I1671" s="1567">
        <v>46810</v>
      </c>
      <c r="J1671" s="1567">
        <v>46810</v>
      </c>
      <c r="K1671" s="1568" t="str">
        <f t="shared" si="26"/>
        <v>No</v>
      </c>
      <c r="L1671" s="1565"/>
    </row>
    <row r="1672" spans="1:12" ht="20.100000000000001" customHeight="1">
      <c r="A1672" s="1568" t="s">
        <v>3042</v>
      </c>
      <c r="B1672" s="1567">
        <v>43159</v>
      </c>
      <c r="C1672" s="1568" t="s">
        <v>3308</v>
      </c>
      <c r="D1672" s="1568" t="s">
        <v>2957</v>
      </c>
      <c r="E1672" s="1567">
        <v>44059</v>
      </c>
      <c r="F1672" s="1566">
        <v>105</v>
      </c>
      <c r="G1672" s="1566">
        <v>0</v>
      </c>
      <c r="H1672" s="1567"/>
      <c r="I1672" s="1567">
        <v>46810</v>
      </c>
      <c r="J1672" s="1567">
        <v>46810</v>
      </c>
      <c r="K1672" s="1568" t="str">
        <f t="shared" si="26"/>
        <v>No</v>
      </c>
      <c r="L1672" s="1565"/>
    </row>
    <row r="1673" spans="1:12" ht="20.100000000000001" customHeight="1">
      <c r="A1673" s="1568" t="s">
        <v>3042</v>
      </c>
      <c r="B1673" s="1567">
        <v>43159</v>
      </c>
      <c r="C1673" s="1568" t="s">
        <v>3308</v>
      </c>
      <c r="D1673" s="1568" t="s">
        <v>2957</v>
      </c>
      <c r="E1673" s="1567">
        <v>44090</v>
      </c>
      <c r="F1673" s="1566">
        <v>104</v>
      </c>
      <c r="G1673" s="1566">
        <v>0</v>
      </c>
      <c r="H1673" s="1567"/>
      <c r="I1673" s="1567">
        <v>46810</v>
      </c>
      <c r="J1673" s="1567">
        <v>46810</v>
      </c>
      <c r="K1673" s="1568" t="str">
        <f t="shared" si="26"/>
        <v>No</v>
      </c>
      <c r="L1673" s="1565"/>
    </row>
    <row r="1674" spans="1:12" ht="20.100000000000001" customHeight="1">
      <c r="A1674" s="1568" t="s">
        <v>3042</v>
      </c>
      <c r="B1674" s="1567">
        <v>43159</v>
      </c>
      <c r="C1674" s="1568" t="s">
        <v>3308</v>
      </c>
      <c r="D1674" s="1568" t="s">
        <v>2957</v>
      </c>
      <c r="E1674" s="1567">
        <v>44120</v>
      </c>
      <c r="F1674" s="1566">
        <v>104</v>
      </c>
      <c r="G1674" s="1566">
        <v>0</v>
      </c>
      <c r="H1674" s="1567"/>
      <c r="I1674" s="1567">
        <v>46810</v>
      </c>
      <c r="J1674" s="1567">
        <v>46810</v>
      </c>
      <c r="K1674" s="1568" t="str">
        <f t="shared" si="26"/>
        <v>No</v>
      </c>
      <c r="L1674" s="1565"/>
    </row>
    <row r="1675" spans="1:12" ht="20.100000000000001" customHeight="1">
      <c r="A1675" s="1568" t="s">
        <v>3042</v>
      </c>
      <c r="B1675" s="1567">
        <v>43159</v>
      </c>
      <c r="C1675" s="1568" t="s">
        <v>3308</v>
      </c>
      <c r="D1675" s="1568" t="s">
        <v>2957</v>
      </c>
      <c r="E1675" s="1567">
        <v>44151</v>
      </c>
      <c r="F1675" s="1566">
        <v>104</v>
      </c>
      <c r="G1675" s="1566">
        <v>0</v>
      </c>
      <c r="H1675" s="1567"/>
      <c r="I1675" s="1567">
        <v>46810</v>
      </c>
      <c r="J1675" s="1567">
        <v>46810</v>
      </c>
      <c r="K1675" s="1568" t="str">
        <f t="shared" si="26"/>
        <v>No</v>
      </c>
      <c r="L1675" s="1565"/>
    </row>
    <row r="1676" spans="1:12" ht="20.100000000000001" customHeight="1">
      <c r="A1676" s="1568" t="s">
        <v>3042</v>
      </c>
      <c r="B1676" s="1567">
        <v>43159</v>
      </c>
      <c r="C1676" s="1568" t="s">
        <v>3308</v>
      </c>
      <c r="D1676" s="1568" t="s">
        <v>2957</v>
      </c>
      <c r="E1676" s="1567">
        <v>44181</v>
      </c>
      <c r="F1676" s="1566">
        <v>104</v>
      </c>
      <c r="G1676" s="1566">
        <v>0</v>
      </c>
      <c r="H1676" s="1567"/>
      <c r="I1676" s="1567">
        <v>46810</v>
      </c>
      <c r="J1676" s="1567">
        <v>46810</v>
      </c>
      <c r="K1676" s="1568" t="str">
        <f t="shared" si="26"/>
        <v>No</v>
      </c>
      <c r="L1676" s="1565"/>
    </row>
    <row r="1677" spans="1:12" ht="20.100000000000001" customHeight="1">
      <c r="A1677" s="1568" t="s">
        <v>3042</v>
      </c>
      <c r="B1677" s="1567">
        <v>43159</v>
      </c>
      <c r="C1677" s="1568" t="s">
        <v>3308</v>
      </c>
      <c r="D1677" s="1568" t="s">
        <v>2957</v>
      </c>
      <c r="E1677" s="1567">
        <v>44212</v>
      </c>
      <c r="F1677" s="1566">
        <v>104</v>
      </c>
      <c r="G1677" s="1566">
        <v>0</v>
      </c>
      <c r="H1677" s="1567"/>
      <c r="I1677" s="1567">
        <v>46810</v>
      </c>
      <c r="J1677" s="1567">
        <v>46810</v>
      </c>
      <c r="K1677" s="1568" t="str">
        <f t="shared" si="26"/>
        <v>No</v>
      </c>
      <c r="L1677" s="1565"/>
    </row>
    <row r="1678" spans="1:12" ht="20.100000000000001" customHeight="1">
      <c r="A1678" s="1568" t="s">
        <v>3042</v>
      </c>
      <c r="B1678" s="1567">
        <v>43159</v>
      </c>
      <c r="C1678" s="1568" t="s">
        <v>3308</v>
      </c>
      <c r="D1678" s="1568" t="s">
        <v>2957</v>
      </c>
      <c r="E1678" s="1567">
        <v>44243</v>
      </c>
      <c r="F1678" s="1566">
        <v>105</v>
      </c>
      <c r="G1678" s="1566">
        <v>0</v>
      </c>
      <c r="H1678" s="1567"/>
      <c r="I1678" s="1567">
        <v>46810</v>
      </c>
      <c r="J1678" s="1567">
        <v>46810</v>
      </c>
      <c r="K1678" s="1568" t="str">
        <f t="shared" si="26"/>
        <v>No</v>
      </c>
      <c r="L1678" s="1565"/>
    </row>
    <row r="1679" spans="1:12" ht="20.100000000000001" customHeight="1">
      <c r="A1679" s="1568" t="s">
        <v>3042</v>
      </c>
      <c r="B1679" s="1567">
        <v>43159</v>
      </c>
      <c r="C1679" s="1568" t="s">
        <v>3308</v>
      </c>
      <c r="D1679" s="1568" t="s">
        <v>2957</v>
      </c>
      <c r="E1679" s="1567">
        <v>44271</v>
      </c>
      <c r="F1679" s="1566">
        <v>104</v>
      </c>
      <c r="G1679" s="1566">
        <v>0</v>
      </c>
      <c r="H1679" s="1567"/>
      <c r="I1679" s="1567">
        <v>46810</v>
      </c>
      <c r="J1679" s="1567">
        <v>46810</v>
      </c>
      <c r="K1679" s="1568" t="str">
        <f t="shared" si="26"/>
        <v>No</v>
      </c>
      <c r="L1679" s="1565"/>
    </row>
    <row r="1680" spans="1:12" ht="20.100000000000001" customHeight="1">
      <c r="A1680" s="1568" t="s">
        <v>3042</v>
      </c>
      <c r="B1680" s="1567">
        <v>43159</v>
      </c>
      <c r="C1680" s="1568" t="s">
        <v>3308</v>
      </c>
      <c r="D1680" s="1568" t="s">
        <v>2957</v>
      </c>
      <c r="E1680" s="1567">
        <v>44302</v>
      </c>
      <c r="F1680" s="1566">
        <v>104</v>
      </c>
      <c r="G1680" s="1566">
        <v>0</v>
      </c>
      <c r="H1680" s="1567"/>
      <c r="I1680" s="1567">
        <v>46810</v>
      </c>
      <c r="J1680" s="1567">
        <v>46810</v>
      </c>
      <c r="K1680" s="1568" t="str">
        <f t="shared" si="26"/>
        <v>No</v>
      </c>
      <c r="L1680" s="1565"/>
    </row>
    <row r="1681" spans="1:12" ht="20.100000000000001" customHeight="1">
      <c r="A1681" s="1568" t="s">
        <v>3042</v>
      </c>
      <c r="B1681" s="1567">
        <v>43159</v>
      </c>
      <c r="C1681" s="1568" t="s">
        <v>3308</v>
      </c>
      <c r="D1681" s="1568" t="s">
        <v>2957</v>
      </c>
      <c r="E1681" s="1567">
        <v>44332</v>
      </c>
      <c r="F1681" s="1566">
        <v>104</v>
      </c>
      <c r="G1681" s="1566">
        <v>0</v>
      </c>
      <c r="H1681" s="1567"/>
      <c r="I1681" s="1567">
        <v>46810</v>
      </c>
      <c r="J1681" s="1567">
        <v>46810</v>
      </c>
      <c r="K1681" s="1568" t="str">
        <f t="shared" si="26"/>
        <v>No</v>
      </c>
      <c r="L1681" s="1565"/>
    </row>
    <row r="1682" spans="1:12" ht="20.100000000000001" customHeight="1">
      <c r="A1682" s="1568" t="s">
        <v>3042</v>
      </c>
      <c r="B1682" s="1567">
        <v>43159</v>
      </c>
      <c r="C1682" s="1568" t="s">
        <v>3308</v>
      </c>
      <c r="D1682" s="1568" t="s">
        <v>2957</v>
      </c>
      <c r="E1682" s="1567">
        <v>44363</v>
      </c>
      <c r="F1682" s="1566">
        <v>104</v>
      </c>
      <c r="G1682" s="1566">
        <v>0</v>
      </c>
      <c r="H1682" s="1567"/>
      <c r="I1682" s="1567">
        <v>46810</v>
      </c>
      <c r="J1682" s="1567">
        <v>46810</v>
      </c>
      <c r="K1682" s="1568" t="str">
        <f t="shared" si="26"/>
        <v>No</v>
      </c>
      <c r="L1682" s="1565"/>
    </row>
    <row r="1683" spans="1:12" ht="20.100000000000001" customHeight="1">
      <c r="A1683" s="1568" t="s">
        <v>3042</v>
      </c>
      <c r="B1683" s="1567">
        <v>43159</v>
      </c>
      <c r="C1683" s="1568" t="s">
        <v>3308</v>
      </c>
      <c r="D1683" s="1568" t="s">
        <v>2957</v>
      </c>
      <c r="E1683" s="1567">
        <v>44393</v>
      </c>
      <c r="F1683" s="1566">
        <v>104</v>
      </c>
      <c r="G1683" s="1566">
        <v>0</v>
      </c>
      <c r="H1683" s="1567"/>
      <c r="I1683" s="1567">
        <v>46810</v>
      </c>
      <c r="J1683" s="1567">
        <v>46810</v>
      </c>
      <c r="K1683" s="1568" t="str">
        <f t="shared" si="26"/>
        <v>No</v>
      </c>
      <c r="L1683" s="1565"/>
    </row>
    <row r="1684" spans="1:12" ht="20.100000000000001" customHeight="1">
      <c r="A1684" s="1568" t="s">
        <v>3042</v>
      </c>
      <c r="B1684" s="1567">
        <v>43159</v>
      </c>
      <c r="C1684" s="1568" t="s">
        <v>3308</v>
      </c>
      <c r="D1684" s="1568" t="s">
        <v>2957</v>
      </c>
      <c r="E1684" s="1567">
        <v>44424</v>
      </c>
      <c r="F1684" s="1566">
        <v>105</v>
      </c>
      <c r="G1684" s="1566">
        <v>0</v>
      </c>
      <c r="H1684" s="1567"/>
      <c r="I1684" s="1567">
        <v>46810</v>
      </c>
      <c r="J1684" s="1567">
        <v>46810</v>
      </c>
      <c r="K1684" s="1568" t="str">
        <f t="shared" si="26"/>
        <v>No</v>
      </c>
      <c r="L1684" s="1565"/>
    </row>
    <row r="1685" spans="1:12" ht="20.100000000000001" customHeight="1">
      <c r="A1685" s="1568" t="s">
        <v>3042</v>
      </c>
      <c r="B1685" s="1567">
        <v>43159</v>
      </c>
      <c r="C1685" s="1568" t="s">
        <v>3308</v>
      </c>
      <c r="D1685" s="1568" t="s">
        <v>2957</v>
      </c>
      <c r="E1685" s="1567">
        <v>44455</v>
      </c>
      <c r="F1685" s="1566">
        <v>104</v>
      </c>
      <c r="G1685" s="1566">
        <v>0</v>
      </c>
      <c r="H1685" s="1567"/>
      <c r="I1685" s="1567">
        <v>46810</v>
      </c>
      <c r="J1685" s="1567">
        <v>46810</v>
      </c>
      <c r="K1685" s="1568" t="str">
        <f t="shared" si="26"/>
        <v>No</v>
      </c>
      <c r="L1685" s="1565"/>
    </row>
    <row r="1686" spans="1:12" ht="20.100000000000001" customHeight="1">
      <c r="A1686" s="1568" t="s">
        <v>3042</v>
      </c>
      <c r="B1686" s="1567">
        <v>43159</v>
      </c>
      <c r="C1686" s="1568" t="s">
        <v>3308</v>
      </c>
      <c r="D1686" s="1568" t="s">
        <v>2957</v>
      </c>
      <c r="E1686" s="1567">
        <v>44485</v>
      </c>
      <c r="F1686" s="1566">
        <v>104</v>
      </c>
      <c r="G1686" s="1566">
        <v>0</v>
      </c>
      <c r="H1686" s="1567"/>
      <c r="I1686" s="1567">
        <v>46810</v>
      </c>
      <c r="J1686" s="1567">
        <v>46810</v>
      </c>
      <c r="K1686" s="1568" t="str">
        <f t="shared" si="26"/>
        <v>No</v>
      </c>
      <c r="L1686" s="1565"/>
    </row>
    <row r="1687" spans="1:12" ht="20.100000000000001" customHeight="1">
      <c r="A1687" s="1568" t="s">
        <v>3042</v>
      </c>
      <c r="B1687" s="1567">
        <v>43159</v>
      </c>
      <c r="C1687" s="1568" t="s">
        <v>3308</v>
      </c>
      <c r="D1687" s="1568" t="s">
        <v>2957</v>
      </c>
      <c r="E1687" s="1567">
        <v>44516</v>
      </c>
      <c r="F1687" s="1566">
        <v>104</v>
      </c>
      <c r="G1687" s="1566">
        <v>0</v>
      </c>
      <c r="H1687" s="1567"/>
      <c r="I1687" s="1567">
        <v>46810</v>
      </c>
      <c r="J1687" s="1567">
        <v>46810</v>
      </c>
      <c r="K1687" s="1568" t="str">
        <f t="shared" si="26"/>
        <v>No</v>
      </c>
      <c r="L1687" s="1565"/>
    </row>
    <row r="1688" spans="1:12" ht="20.100000000000001" customHeight="1">
      <c r="A1688" s="1568" t="s">
        <v>3042</v>
      </c>
      <c r="B1688" s="1567">
        <v>43159</v>
      </c>
      <c r="C1688" s="1568" t="s">
        <v>3308</v>
      </c>
      <c r="D1688" s="1568" t="s">
        <v>2957</v>
      </c>
      <c r="E1688" s="1567">
        <v>44546</v>
      </c>
      <c r="F1688" s="1566">
        <v>104</v>
      </c>
      <c r="G1688" s="1566">
        <v>0</v>
      </c>
      <c r="H1688" s="1567"/>
      <c r="I1688" s="1567">
        <v>46810</v>
      </c>
      <c r="J1688" s="1567">
        <v>46810</v>
      </c>
      <c r="K1688" s="1568" t="str">
        <f t="shared" si="26"/>
        <v>No</v>
      </c>
      <c r="L1688" s="1565"/>
    </row>
    <row r="1689" spans="1:12" ht="20.100000000000001" customHeight="1">
      <c r="A1689" s="1568" t="s">
        <v>3042</v>
      </c>
      <c r="B1689" s="1567">
        <v>43159</v>
      </c>
      <c r="C1689" s="1568" t="s">
        <v>3308</v>
      </c>
      <c r="D1689" s="1568" t="s">
        <v>2957</v>
      </c>
      <c r="E1689" s="1567">
        <v>44577</v>
      </c>
      <c r="F1689" s="1566">
        <v>104</v>
      </c>
      <c r="G1689" s="1566">
        <v>0</v>
      </c>
      <c r="H1689" s="1567"/>
      <c r="I1689" s="1567">
        <v>46810</v>
      </c>
      <c r="J1689" s="1567">
        <v>46810</v>
      </c>
      <c r="K1689" s="1568" t="str">
        <f t="shared" si="26"/>
        <v>No</v>
      </c>
      <c r="L1689" s="1565"/>
    </row>
    <row r="1690" spans="1:12" ht="20.100000000000001" customHeight="1">
      <c r="A1690" s="1568" t="s">
        <v>3042</v>
      </c>
      <c r="B1690" s="1567">
        <v>43159</v>
      </c>
      <c r="C1690" s="1568" t="s">
        <v>3308</v>
      </c>
      <c r="D1690" s="1568" t="s">
        <v>2957</v>
      </c>
      <c r="E1690" s="1567">
        <v>44608</v>
      </c>
      <c r="F1690" s="1566">
        <v>105</v>
      </c>
      <c r="G1690" s="1566">
        <v>0</v>
      </c>
      <c r="H1690" s="1567"/>
      <c r="I1690" s="1567">
        <v>46810</v>
      </c>
      <c r="J1690" s="1567">
        <v>46810</v>
      </c>
      <c r="K1690" s="1568" t="str">
        <f t="shared" si="26"/>
        <v>No</v>
      </c>
      <c r="L1690" s="1565"/>
    </row>
    <row r="1691" spans="1:12" ht="20.100000000000001" customHeight="1">
      <c r="A1691" s="1568" t="s">
        <v>3041</v>
      </c>
      <c r="B1691" s="1567">
        <v>43159</v>
      </c>
      <c r="C1691" s="1568" t="s">
        <v>3308</v>
      </c>
      <c r="D1691" s="1568" t="s">
        <v>2992</v>
      </c>
      <c r="E1691" s="1567">
        <v>43512</v>
      </c>
      <c r="F1691" s="1566">
        <v>7500</v>
      </c>
      <c r="G1691" s="1566">
        <v>0</v>
      </c>
      <c r="H1691" s="1567"/>
      <c r="I1691" s="1567">
        <v>46810</v>
      </c>
      <c r="J1691" s="1567">
        <v>46810</v>
      </c>
      <c r="K1691" s="1568" t="str">
        <f t="shared" si="26"/>
        <v>No</v>
      </c>
      <c r="L1691" s="1565"/>
    </row>
    <row r="1692" spans="1:12" ht="20.100000000000001" customHeight="1">
      <c r="A1692" s="1568" t="s">
        <v>3041</v>
      </c>
      <c r="B1692" s="1567">
        <v>43159</v>
      </c>
      <c r="C1692" s="1568" t="s">
        <v>3308</v>
      </c>
      <c r="D1692" s="1568" t="s">
        <v>2992</v>
      </c>
      <c r="E1692" s="1567">
        <v>43540</v>
      </c>
      <c r="F1692" s="1566">
        <v>625</v>
      </c>
      <c r="G1692" s="1566">
        <v>0</v>
      </c>
      <c r="H1692" s="1567"/>
      <c r="I1692" s="1567">
        <v>46810</v>
      </c>
      <c r="J1692" s="1567">
        <v>46810</v>
      </c>
      <c r="K1692" s="1568" t="str">
        <f t="shared" si="26"/>
        <v>No</v>
      </c>
      <c r="L1692" s="1565"/>
    </row>
    <row r="1693" spans="1:12" ht="20.100000000000001" customHeight="1">
      <c r="A1693" s="1568" t="s">
        <v>3041</v>
      </c>
      <c r="B1693" s="1567">
        <v>43159</v>
      </c>
      <c r="C1693" s="1568" t="s">
        <v>3308</v>
      </c>
      <c r="D1693" s="1568" t="s">
        <v>2992</v>
      </c>
      <c r="E1693" s="1567">
        <v>43571</v>
      </c>
      <c r="F1693" s="1566">
        <v>625</v>
      </c>
      <c r="G1693" s="1566">
        <v>0</v>
      </c>
      <c r="H1693" s="1567"/>
      <c r="I1693" s="1567">
        <v>46810</v>
      </c>
      <c r="J1693" s="1567">
        <v>46810</v>
      </c>
      <c r="K1693" s="1568" t="str">
        <f t="shared" si="26"/>
        <v>No</v>
      </c>
      <c r="L1693" s="1565"/>
    </row>
    <row r="1694" spans="1:12" ht="20.100000000000001" customHeight="1">
      <c r="A1694" s="1568" t="s">
        <v>3041</v>
      </c>
      <c r="B1694" s="1567">
        <v>43159</v>
      </c>
      <c r="C1694" s="1568" t="s">
        <v>3308</v>
      </c>
      <c r="D1694" s="1568" t="s">
        <v>2992</v>
      </c>
      <c r="E1694" s="1567">
        <v>43601</v>
      </c>
      <c r="F1694" s="1566">
        <v>625</v>
      </c>
      <c r="G1694" s="1566">
        <v>0</v>
      </c>
      <c r="H1694" s="1567"/>
      <c r="I1694" s="1567">
        <v>46810</v>
      </c>
      <c r="J1694" s="1567">
        <v>46810</v>
      </c>
      <c r="K1694" s="1568" t="str">
        <f t="shared" si="26"/>
        <v>No</v>
      </c>
      <c r="L1694" s="1565"/>
    </row>
    <row r="1695" spans="1:12" ht="20.100000000000001" customHeight="1">
      <c r="A1695" s="1568" t="s">
        <v>3041</v>
      </c>
      <c r="B1695" s="1567">
        <v>43159</v>
      </c>
      <c r="C1695" s="1568" t="s">
        <v>3308</v>
      </c>
      <c r="D1695" s="1568" t="s">
        <v>2992</v>
      </c>
      <c r="E1695" s="1567">
        <v>43632</v>
      </c>
      <c r="F1695" s="1566">
        <v>625</v>
      </c>
      <c r="G1695" s="1566">
        <v>0</v>
      </c>
      <c r="H1695" s="1567"/>
      <c r="I1695" s="1567">
        <v>46810</v>
      </c>
      <c r="J1695" s="1567">
        <v>46810</v>
      </c>
      <c r="K1695" s="1568" t="str">
        <f t="shared" si="26"/>
        <v>No</v>
      </c>
      <c r="L1695" s="1565"/>
    </row>
    <row r="1696" spans="1:12" ht="20.100000000000001" customHeight="1">
      <c r="A1696" s="1568" t="s">
        <v>3041</v>
      </c>
      <c r="B1696" s="1567">
        <v>43159</v>
      </c>
      <c r="C1696" s="1568" t="s">
        <v>3308</v>
      </c>
      <c r="D1696" s="1568" t="s">
        <v>2992</v>
      </c>
      <c r="E1696" s="1567">
        <v>43662</v>
      </c>
      <c r="F1696" s="1566">
        <v>625</v>
      </c>
      <c r="G1696" s="1566">
        <v>0</v>
      </c>
      <c r="H1696" s="1567"/>
      <c r="I1696" s="1567">
        <v>46810</v>
      </c>
      <c r="J1696" s="1567">
        <v>46810</v>
      </c>
      <c r="K1696" s="1568" t="str">
        <f t="shared" si="26"/>
        <v>No</v>
      </c>
      <c r="L1696" s="1565"/>
    </row>
    <row r="1697" spans="1:12" ht="20.100000000000001" customHeight="1">
      <c r="A1697" s="1568" t="s">
        <v>3041</v>
      </c>
      <c r="B1697" s="1567">
        <v>43159</v>
      </c>
      <c r="C1697" s="1568" t="s">
        <v>3308</v>
      </c>
      <c r="D1697" s="1568" t="s">
        <v>2992</v>
      </c>
      <c r="E1697" s="1567">
        <v>43693</v>
      </c>
      <c r="F1697" s="1566">
        <v>625</v>
      </c>
      <c r="G1697" s="1566">
        <v>0</v>
      </c>
      <c r="H1697" s="1567"/>
      <c r="I1697" s="1567">
        <v>46810</v>
      </c>
      <c r="J1697" s="1567">
        <v>46810</v>
      </c>
      <c r="K1697" s="1568" t="str">
        <f t="shared" si="26"/>
        <v>No</v>
      </c>
      <c r="L1697" s="1565"/>
    </row>
    <row r="1698" spans="1:12" ht="20.100000000000001" customHeight="1">
      <c r="A1698" s="1568" t="s">
        <v>3041</v>
      </c>
      <c r="B1698" s="1567">
        <v>43159</v>
      </c>
      <c r="C1698" s="1568" t="s">
        <v>3308</v>
      </c>
      <c r="D1698" s="1568" t="s">
        <v>2992</v>
      </c>
      <c r="E1698" s="1567">
        <v>43724</v>
      </c>
      <c r="F1698" s="1566">
        <v>625</v>
      </c>
      <c r="G1698" s="1566">
        <v>0</v>
      </c>
      <c r="H1698" s="1567"/>
      <c r="I1698" s="1567">
        <v>46810</v>
      </c>
      <c r="J1698" s="1567">
        <v>46810</v>
      </c>
      <c r="K1698" s="1568" t="str">
        <f t="shared" si="26"/>
        <v>No</v>
      </c>
      <c r="L1698" s="1565"/>
    </row>
    <row r="1699" spans="1:12" ht="20.100000000000001" customHeight="1">
      <c r="A1699" s="1568" t="s">
        <v>3041</v>
      </c>
      <c r="B1699" s="1567">
        <v>43159</v>
      </c>
      <c r="C1699" s="1568" t="s">
        <v>3308</v>
      </c>
      <c r="D1699" s="1568" t="s">
        <v>2992</v>
      </c>
      <c r="E1699" s="1567">
        <v>43754</v>
      </c>
      <c r="F1699" s="1566">
        <v>625</v>
      </c>
      <c r="G1699" s="1566">
        <v>0</v>
      </c>
      <c r="H1699" s="1567"/>
      <c r="I1699" s="1567">
        <v>46810</v>
      </c>
      <c r="J1699" s="1567">
        <v>46810</v>
      </c>
      <c r="K1699" s="1568" t="str">
        <f t="shared" si="26"/>
        <v>No</v>
      </c>
      <c r="L1699" s="1565"/>
    </row>
    <row r="1700" spans="1:12" ht="20.100000000000001" customHeight="1">
      <c r="A1700" s="1568" t="s">
        <v>3041</v>
      </c>
      <c r="B1700" s="1567">
        <v>43159</v>
      </c>
      <c r="C1700" s="1568" t="s">
        <v>3308</v>
      </c>
      <c r="D1700" s="1568" t="s">
        <v>2992</v>
      </c>
      <c r="E1700" s="1567">
        <v>43785</v>
      </c>
      <c r="F1700" s="1566">
        <v>625</v>
      </c>
      <c r="G1700" s="1566">
        <v>0</v>
      </c>
      <c r="H1700" s="1567"/>
      <c r="I1700" s="1567">
        <v>46810</v>
      </c>
      <c r="J1700" s="1567">
        <v>46810</v>
      </c>
      <c r="K1700" s="1568" t="str">
        <f t="shared" si="26"/>
        <v>No</v>
      </c>
      <c r="L1700" s="1565"/>
    </row>
    <row r="1701" spans="1:12" ht="20.100000000000001" customHeight="1">
      <c r="A1701" s="1568" t="s">
        <v>3041</v>
      </c>
      <c r="B1701" s="1567">
        <v>43159</v>
      </c>
      <c r="C1701" s="1568" t="s">
        <v>3308</v>
      </c>
      <c r="D1701" s="1568" t="s">
        <v>2992</v>
      </c>
      <c r="E1701" s="1567">
        <v>43815</v>
      </c>
      <c r="F1701" s="1566">
        <v>625</v>
      </c>
      <c r="G1701" s="1566">
        <v>0</v>
      </c>
      <c r="H1701" s="1567"/>
      <c r="I1701" s="1567">
        <v>46810</v>
      </c>
      <c r="J1701" s="1567">
        <v>46810</v>
      </c>
      <c r="K1701" s="1568" t="str">
        <f t="shared" si="26"/>
        <v>No</v>
      </c>
      <c r="L1701" s="1565"/>
    </row>
    <row r="1702" spans="1:12" ht="20.100000000000001" customHeight="1">
      <c r="A1702" s="1568" t="s">
        <v>3041</v>
      </c>
      <c r="B1702" s="1567">
        <v>43159</v>
      </c>
      <c r="C1702" s="1568" t="s">
        <v>3308</v>
      </c>
      <c r="D1702" s="1568" t="s">
        <v>2992</v>
      </c>
      <c r="E1702" s="1567">
        <v>43846</v>
      </c>
      <c r="F1702" s="1566">
        <v>625</v>
      </c>
      <c r="G1702" s="1566">
        <v>0</v>
      </c>
      <c r="H1702" s="1567"/>
      <c r="I1702" s="1567">
        <v>46810</v>
      </c>
      <c r="J1702" s="1567">
        <v>46810</v>
      </c>
      <c r="K1702" s="1568" t="str">
        <f t="shared" si="26"/>
        <v>No</v>
      </c>
      <c r="L1702" s="1565"/>
    </row>
    <row r="1703" spans="1:12" ht="20.100000000000001" customHeight="1">
      <c r="A1703" s="1568" t="s">
        <v>3041</v>
      </c>
      <c r="B1703" s="1567">
        <v>43159</v>
      </c>
      <c r="C1703" s="1568" t="s">
        <v>3308</v>
      </c>
      <c r="D1703" s="1568" t="s">
        <v>2992</v>
      </c>
      <c r="E1703" s="1567">
        <v>43877</v>
      </c>
      <c r="F1703" s="1566">
        <v>625</v>
      </c>
      <c r="G1703" s="1566">
        <v>0</v>
      </c>
      <c r="H1703" s="1567"/>
      <c r="I1703" s="1567">
        <v>46810</v>
      </c>
      <c r="J1703" s="1567">
        <v>46810</v>
      </c>
      <c r="K1703" s="1568" t="str">
        <f t="shared" si="26"/>
        <v>No</v>
      </c>
      <c r="L1703" s="1565"/>
    </row>
    <row r="1704" spans="1:12" ht="20.100000000000001" customHeight="1">
      <c r="A1704" s="1568" t="s">
        <v>3041</v>
      </c>
      <c r="B1704" s="1567">
        <v>43159</v>
      </c>
      <c r="C1704" s="1568" t="s">
        <v>3308</v>
      </c>
      <c r="D1704" s="1568" t="s">
        <v>2992</v>
      </c>
      <c r="E1704" s="1567">
        <v>43906</v>
      </c>
      <c r="F1704" s="1566">
        <v>625</v>
      </c>
      <c r="G1704" s="1566">
        <v>0</v>
      </c>
      <c r="H1704" s="1567"/>
      <c r="I1704" s="1567">
        <v>46810</v>
      </c>
      <c r="J1704" s="1567">
        <v>46810</v>
      </c>
      <c r="K1704" s="1568" t="str">
        <f t="shared" si="26"/>
        <v>No</v>
      </c>
      <c r="L1704" s="1565"/>
    </row>
    <row r="1705" spans="1:12" ht="20.100000000000001" customHeight="1">
      <c r="A1705" s="1568" t="s">
        <v>3041</v>
      </c>
      <c r="B1705" s="1567">
        <v>43159</v>
      </c>
      <c r="C1705" s="1568" t="s">
        <v>3308</v>
      </c>
      <c r="D1705" s="1568" t="s">
        <v>2992</v>
      </c>
      <c r="E1705" s="1567">
        <v>43937</v>
      </c>
      <c r="F1705" s="1566">
        <v>625</v>
      </c>
      <c r="G1705" s="1566">
        <v>0</v>
      </c>
      <c r="H1705" s="1567"/>
      <c r="I1705" s="1567">
        <v>46810</v>
      </c>
      <c r="J1705" s="1567">
        <v>46810</v>
      </c>
      <c r="K1705" s="1568" t="str">
        <f t="shared" si="26"/>
        <v>No</v>
      </c>
      <c r="L1705" s="1565"/>
    </row>
    <row r="1706" spans="1:12" ht="20.100000000000001" customHeight="1">
      <c r="A1706" s="1568" t="s">
        <v>3041</v>
      </c>
      <c r="B1706" s="1567">
        <v>43159</v>
      </c>
      <c r="C1706" s="1568" t="s">
        <v>3308</v>
      </c>
      <c r="D1706" s="1568" t="s">
        <v>2992</v>
      </c>
      <c r="E1706" s="1567">
        <v>43967</v>
      </c>
      <c r="F1706" s="1566">
        <v>625</v>
      </c>
      <c r="G1706" s="1566">
        <v>0</v>
      </c>
      <c r="H1706" s="1567"/>
      <c r="I1706" s="1567">
        <v>46810</v>
      </c>
      <c r="J1706" s="1567">
        <v>46810</v>
      </c>
      <c r="K1706" s="1568" t="str">
        <f t="shared" si="26"/>
        <v>No</v>
      </c>
      <c r="L1706" s="1565"/>
    </row>
    <row r="1707" spans="1:12" ht="20.100000000000001" customHeight="1">
      <c r="A1707" s="1568" t="s">
        <v>3041</v>
      </c>
      <c r="B1707" s="1567">
        <v>43159</v>
      </c>
      <c r="C1707" s="1568" t="s">
        <v>3308</v>
      </c>
      <c r="D1707" s="1568" t="s">
        <v>2992</v>
      </c>
      <c r="E1707" s="1567">
        <v>43998</v>
      </c>
      <c r="F1707" s="1566">
        <v>625</v>
      </c>
      <c r="G1707" s="1566">
        <v>0</v>
      </c>
      <c r="H1707" s="1567"/>
      <c r="I1707" s="1567">
        <v>46810</v>
      </c>
      <c r="J1707" s="1567">
        <v>46810</v>
      </c>
      <c r="K1707" s="1568" t="str">
        <f t="shared" si="26"/>
        <v>No</v>
      </c>
      <c r="L1707" s="1565"/>
    </row>
    <row r="1708" spans="1:12" ht="20.100000000000001" customHeight="1">
      <c r="A1708" s="1568" t="s">
        <v>3041</v>
      </c>
      <c r="B1708" s="1567">
        <v>43159</v>
      </c>
      <c r="C1708" s="1568" t="s">
        <v>3308</v>
      </c>
      <c r="D1708" s="1568" t="s">
        <v>2992</v>
      </c>
      <c r="E1708" s="1567">
        <v>44028</v>
      </c>
      <c r="F1708" s="1566">
        <v>625</v>
      </c>
      <c r="G1708" s="1566">
        <v>0</v>
      </c>
      <c r="H1708" s="1567"/>
      <c r="I1708" s="1567">
        <v>46810</v>
      </c>
      <c r="J1708" s="1567">
        <v>46810</v>
      </c>
      <c r="K1708" s="1568" t="str">
        <f t="shared" si="26"/>
        <v>No</v>
      </c>
      <c r="L1708" s="1565"/>
    </row>
    <row r="1709" spans="1:12" ht="20.100000000000001" customHeight="1">
      <c r="A1709" s="1568" t="s">
        <v>3041</v>
      </c>
      <c r="B1709" s="1567">
        <v>43159</v>
      </c>
      <c r="C1709" s="1568" t="s">
        <v>3308</v>
      </c>
      <c r="D1709" s="1568" t="s">
        <v>2992</v>
      </c>
      <c r="E1709" s="1567">
        <v>44059</v>
      </c>
      <c r="F1709" s="1566">
        <v>625</v>
      </c>
      <c r="G1709" s="1566">
        <v>0</v>
      </c>
      <c r="H1709" s="1567"/>
      <c r="I1709" s="1567">
        <v>46810</v>
      </c>
      <c r="J1709" s="1567">
        <v>46810</v>
      </c>
      <c r="K1709" s="1568" t="str">
        <f t="shared" si="26"/>
        <v>No</v>
      </c>
      <c r="L1709" s="1565"/>
    </row>
    <row r="1710" spans="1:12" ht="20.100000000000001" customHeight="1">
      <c r="A1710" s="1568" t="s">
        <v>3041</v>
      </c>
      <c r="B1710" s="1567">
        <v>43159</v>
      </c>
      <c r="C1710" s="1568" t="s">
        <v>3308</v>
      </c>
      <c r="D1710" s="1568" t="s">
        <v>2992</v>
      </c>
      <c r="E1710" s="1567">
        <v>44090</v>
      </c>
      <c r="F1710" s="1566">
        <v>625</v>
      </c>
      <c r="G1710" s="1566">
        <v>0</v>
      </c>
      <c r="H1710" s="1567"/>
      <c r="I1710" s="1567">
        <v>46810</v>
      </c>
      <c r="J1710" s="1567">
        <v>46810</v>
      </c>
      <c r="K1710" s="1568" t="str">
        <f t="shared" si="26"/>
        <v>No</v>
      </c>
      <c r="L1710" s="1565"/>
    </row>
    <row r="1711" spans="1:12" ht="20.100000000000001" customHeight="1">
      <c r="A1711" s="1568" t="s">
        <v>3041</v>
      </c>
      <c r="B1711" s="1567">
        <v>43159</v>
      </c>
      <c r="C1711" s="1568" t="s">
        <v>3308</v>
      </c>
      <c r="D1711" s="1568" t="s">
        <v>2992</v>
      </c>
      <c r="E1711" s="1567">
        <v>44120</v>
      </c>
      <c r="F1711" s="1566">
        <v>625</v>
      </c>
      <c r="G1711" s="1566">
        <v>0</v>
      </c>
      <c r="H1711" s="1567"/>
      <c r="I1711" s="1567">
        <v>46810</v>
      </c>
      <c r="J1711" s="1567">
        <v>46810</v>
      </c>
      <c r="K1711" s="1568" t="str">
        <f t="shared" si="26"/>
        <v>No</v>
      </c>
      <c r="L1711" s="1565"/>
    </row>
    <row r="1712" spans="1:12" ht="20.100000000000001" customHeight="1">
      <c r="A1712" s="1568" t="s">
        <v>3041</v>
      </c>
      <c r="B1712" s="1567">
        <v>43159</v>
      </c>
      <c r="C1712" s="1568" t="s">
        <v>3308</v>
      </c>
      <c r="D1712" s="1568" t="s">
        <v>2992</v>
      </c>
      <c r="E1712" s="1567">
        <v>44151</v>
      </c>
      <c r="F1712" s="1566">
        <v>625</v>
      </c>
      <c r="G1712" s="1566">
        <v>0</v>
      </c>
      <c r="H1712" s="1567"/>
      <c r="I1712" s="1567">
        <v>46810</v>
      </c>
      <c r="J1712" s="1567">
        <v>46810</v>
      </c>
      <c r="K1712" s="1568" t="str">
        <f t="shared" si="26"/>
        <v>No</v>
      </c>
      <c r="L1712" s="1565"/>
    </row>
    <row r="1713" spans="1:12" ht="20.100000000000001" customHeight="1">
      <c r="A1713" s="1568" t="s">
        <v>3041</v>
      </c>
      <c r="B1713" s="1567">
        <v>43159</v>
      </c>
      <c r="C1713" s="1568" t="s">
        <v>3308</v>
      </c>
      <c r="D1713" s="1568" t="s">
        <v>2992</v>
      </c>
      <c r="E1713" s="1567">
        <v>44181</v>
      </c>
      <c r="F1713" s="1566">
        <v>625</v>
      </c>
      <c r="G1713" s="1566">
        <v>0</v>
      </c>
      <c r="H1713" s="1567"/>
      <c r="I1713" s="1567">
        <v>46810</v>
      </c>
      <c r="J1713" s="1567">
        <v>46810</v>
      </c>
      <c r="K1713" s="1568" t="str">
        <f t="shared" si="26"/>
        <v>No</v>
      </c>
      <c r="L1713" s="1565"/>
    </row>
    <row r="1714" spans="1:12" ht="20.100000000000001" customHeight="1">
      <c r="A1714" s="1568" t="s">
        <v>3041</v>
      </c>
      <c r="B1714" s="1567">
        <v>43159</v>
      </c>
      <c r="C1714" s="1568" t="s">
        <v>3308</v>
      </c>
      <c r="D1714" s="1568" t="s">
        <v>2992</v>
      </c>
      <c r="E1714" s="1567">
        <v>44212</v>
      </c>
      <c r="F1714" s="1566">
        <v>625</v>
      </c>
      <c r="G1714" s="1566">
        <v>0</v>
      </c>
      <c r="H1714" s="1567"/>
      <c r="I1714" s="1567">
        <v>46810</v>
      </c>
      <c r="J1714" s="1567">
        <v>46810</v>
      </c>
      <c r="K1714" s="1568" t="str">
        <f t="shared" si="26"/>
        <v>No</v>
      </c>
      <c r="L1714" s="1565"/>
    </row>
    <row r="1715" spans="1:12" ht="20.100000000000001" customHeight="1">
      <c r="A1715" s="1568" t="s">
        <v>3041</v>
      </c>
      <c r="B1715" s="1567">
        <v>43159</v>
      </c>
      <c r="C1715" s="1568" t="s">
        <v>3308</v>
      </c>
      <c r="D1715" s="1568" t="s">
        <v>2992</v>
      </c>
      <c r="E1715" s="1567">
        <v>44243</v>
      </c>
      <c r="F1715" s="1566">
        <v>625</v>
      </c>
      <c r="G1715" s="1566">
        <v>0</v>
      </c>
      <c r="H1715" s="1567"/>
      <c r="I1715" s="1567">
        <v>46810</v>
      </c>
      <c r="J1715" s="1567">
        <v>46810</v>
      </c>
      <c r="K1715" s="1568" t="str">
        <f t="shared" si="26"/>
        <v>No</v>
      </c>
      <c r="L1715" s="1565"/>
    </row>
    <row r="1716" spans="1:12" ht="20.100000000000001" customHeight="1">
      <c r="A1716" s="1568" t="s">
        <v>3041</v>
      </c>
      <c r="B1716" s="1567">
        <v>43159</v>
      </c>
      <c r="C1716" s="1568" t="s">
        <v>3308</v>
      </c>
      <c r="D1716" s="1568" t="s">
        <v>2992</v>
      </c>
      <c r="E1716" s="1567">
        <v>44271</v>
      </c>
      <c r="F1716" s="1566">
        <v>625</v>
      </c>
      <c r="G1716" s="1566">
        <v>0</v>
      </c>
      <c r="H1716" s="1567"/>
      <c r="I1716" s="1567">
        <v>46810</v>
      </c>
      <c r="J1716" s="1567">
        <v>46810</v>
      </c>
      <c r="K1716" s="1568" t="str">
        <f t="shared" si="26"/>
        <v>No</v>
      </c>
      <c r="L1716" s="1565"/>
    </row>
    <row r="1717" spans="1:12" ht="20.100000000000001" customHeight="1">
      <c r="A1717" s="1568" t="s">
        <v>3041</v>
      </c>
      <c r="B1717" s="1567">
        <v>43159</v>
      </c>
      <c r="C1717" s="1568" t="s">
        <v>3308</v>
      </c>
      <c r="D1717" s="1568" t="s">
        <v>2992</v>
      </c>
      <c r="E1717" s="1567">
        <v>44302</v>
      </c>
      <c r="F1717" s="1566">
        <v>625</v>
      </c>
      <c r="G1717" s="1566">
        <v>0</v>
      </c>
      <c r="H1717" s="1567"/>
      <c r="I1717" s="1567">
        <v>46810</v>
      </c>
      <c r="J1717" s="1567">
        <v>46810</v>
      </c>
      <c r="K1717" s="1568" t="str">
        <f t="shared" si="26"/>
        <v>No</v>
      </c>
      <c r="L1717" s="1565"/>
    </row>
    <row r="1718" spans="1:12" ht="20.100000000000001" customHeight="1">
      <c r="A1718" s="1568" t="s">
        <v>3041</v>
      </c>
      <c r="B1718" s="1567">
        <v>43159</v>
      </c>
      <c r="C1718" s="1568" t="s">
        <v>3308</v>
      </c>
      <c r="D1718" s="1568" t="s">
        <v>2992</v>
      </c>
      <c r="E1718" s="1567">
        <v>44332</v>
      </c>
      <c r="F1718" s="1566">
        <v>625</v>
      </c>
      <c r="G1718" s="1566">
        <v>0</v>
      </c>
      <c r="H1718" s="1567"/>
      <c r="I1718" s="1567">
        <v>46810</v>
      </c>
      <c r="J1718" s="1567">
        <v>46810</v>
      </c>
      <c r="K1718" s="1568" t="str">
        <f t="shared" si="26"/>
        <v>No</v>
      </c>
      <c r="L1718" s="1565"/>
    </row>
    <row r="1719" spans="1:12" ht="20.100000000000001" customHeight="1">
      <c r="A1719" s="1568" t="s">
        <v>3041</v>
      </c>
      <c r="B1719" s="1567">
        <v>43159</v>
      </c>
      <c r="C1719" s="1568" t="s">
        <v>3308</v>
      </c>
      <c r="D1719" s="1568" t="s">
        <v>2992</v>
      </c>
      <c r="E1719" s="1567">
        <v>44363</v>
      </c>
      <c r="F1719" s="1566">
        <v>625</v>
      </c>
      <c r="G1719" s="1566">
        <v>0</v>
      </c>
      <c r="H1719" s="1567"/>
      <c r="I1719" s="1567">
        <v>46810</v>
      </c>
      <c r="J1719" s="1567">
        <v>46810</v>
      </c>
      <c r="K1719" s="1568" t="str">
        <f t="shared" si="26"/>
        <v>No</v>
      </c>
      <c r="L1719" s="1565"/>
    </row>
    <row r="1720" spans="1:12" ht="20.100000000000001" customHeight="1">
      <c r="A1720" s="1568" t="s">
        <v>3041</v>
      </c>
      <c r="B1720" s="1567">
        <v>43159</v>
      </c>
      <c r="C1720" s="1568" t="s">
        <v>3308</v>
      </c>
      <c r="D1720" s="1568" t="s">
        <v>2992</v>
      </c>
      <c r="E1720" s="1567">
        <v>44393</v>
      </c>
      <c r="F1720" s="1566">
        <v>625</v>
      </c>
      <c r="G1720" s="1566">
        <v>0</v>
      </c>
      <c r="H1720" s="1567"/>
      <c r="I1720" s="1567">
        <v>46810</v>
      </c>
      <c r="J1720" s="1567">
        <v>46810</v>
      </c>
      <c r="K1720" s="1568" t="str">
        <f t="shared" si="26"/>
        <v>No</v>
      </c>
      <c r="L1720" s="1565"/>
    </row>
    <row r="1721" spans="1:12" ht="20.100000000000001" customHeight="1">
      <c r="A1721" s="1568" t="s">
        <v>3041</v>
      </c>
      <c r="B1721" s="1567">
        <v>43159</v>
      </c>
      <c r="C1721" s="1568" t="s">
        <v>3308</v>
      </c>
      <c r="D1721" s="1568" t="s">
        <v>2992</v>
      </c>
      <c r="E1721" s="1567">
        <v>44424</v>
      </c>
      <c r="F1721" s="1566">
        <v>625</v>
      </c>
      <c r="G1721" s="1566">
        <v>0</v>
      </c>
      <c r="H1721" s="1567"/>
      <c r="I1721" s="1567">
        <v>46810</v>
      </c>
      <c r="J1721" s="1567">
        <v>46810</v>
      </c>
      <c r="K1721" s="1568" t="str">
        <f t="shared" si="26"/>
        <v>No</v>
      </c>
      <c r="L1721" s="1565"/>
    </row>
    <row r="1722" spans="1:12" ht="20.100000000000001" customHeight="1">
      <c r="A1722" s="1568" t="s">
        <v>3041</v>
      </c>
      <c r="B1722" s="1567">
        <v>43159</v>
      </c>
      <c r="C1722" s="1568" t="s">
        <v>3308</v>
      </c>
      <c r="D1722" s="1568" t="s">
        <v>2992</v>
      </c>
      <c r="E1722" s="1567">
        <v>44455</v>
      </c>
      <c r="F1722" s="1566">
        <v>625</v>
      </c>
      <c r="G1722" s="1566">
        <v>0</v>
      </c>
      <c r="H1722" s="1567"/>
      <c r="I1722" s="1567">
        <v>46810</v>
      </c>
      <c r="J1722" s="1567">
        <v>46810</v>
      </c>
      <c r="K1722" s="1568" t="str">
        <f t="shared" si="26"/>
        <v>No</v>
      </c>
      <c r="L1722" s="1565"/>
    </row>
    <row r="1723" spans="1:12" ht="20.100000000000001" customHeight="1">
      <c r="A1723" s="1568" t="s">
        <v>3041</v>
      </c>
      <c r="B1723" s="1567">
        <v>43159</v>
      </c>
      <c r="C1723" s="1568" t="s">
        <v>3308</v>
      </c>
      <c r="D1723" s="1568" t="s">
        <v>2992</v>
      </c>
      <c r="E1723" s="1567">
        <v>44485</v>
      </c>
      <c r="F1723" s="1566">
        <v>625</v>
      </c>
      <c r="G1723" s="1566">
        <v>0</v>
      </c>
      <c r="H1723" s="1567"/>
      <c r="I1723" s="1567">
        <v>46810</v>
      </c>
      <c r="J1723" s="1567">
        <v>46810</v>
      </c>
      <c r="K1723" s="1568" t="str">
        <f t="shared" si="26"/>
        <v>No</v>
      </c>
      <c r="L1723" s="1565"/>
    </row>
    <row r="1724" spans="1:12" ht="20.100000000000001" customHeight="1">
      <c r="A1724" s="1568" t="s">
        <v>3041</v>
      </c>
      <c r="B1724" s="1567">
        <v>43159</v>
      </c>
      <c r="C1724" s="1568" t="s">
        <v>3308</v>
      </c>
      <c r="D1724" s="1568" t="s">
        <v>2992</v>
      </c>
      <c r="E1724" s="1567">
        <v>44516</v>
      </c>
      <c r="F1724" s="1566">
        <v>625</v>
      </c>
      <c r="G1724" s="1566">
        <v>0</v>
      </c>
      <c r="H1724" s="1567"/>
      <c r="I1724" s="1567">
        <v>46810</v>
      </c>
      <c r="J1724" s="1567">
        <v>46810</v>
      </c>
      <c r="K1724" s="1568" t="str">
        <f t="shared" si="26"/>
        <v>No</v>
      </c>
      <c r="L1724" s="1565"/>
    </row>
    <row r="1725" spans="1:12" ht="20.100000000000001" customHeight="1">
      <c r="A1725" s="1568" t="s">
        <v>3041</v>
      </c>
      <c r="B1725" s="1567">
        <v>43159</v>
      </c>
      <c r="C1725" s="1568" t="s">
        <v>3308</v>
      </c>
      <c r="D1725" s="1568" t="s">
        <v>2992</v>
      </c>
      <c r="E1725" s="1567">
        <v>44546</v>
      </c>
      <c r="F1725" s="1566">
        <v>625</v>
      </c>
      <c r="G1725" s="1566">
        <v>0</v>
      </c>
      <c r="H1725" s="1567"/>
      <c r="I1725" s="1567">
        <v>46810</v>
      </c>
      <c r="J1725" s="1567">
        <v>46810</v>
      </c>
      <c r="K1725" s="1568" t="str">
        <f t="shared" si="26"/>
        <v>No</v>
      </c>
      <c r="L1725" s="1565"/>
    </row>
    <row r="1726" spans="1:12" ht="20.100000000000001" customHeight="1">
      <c r="A1726" s="1568" t="s">
        <v>3041</v>
      </c>
      <c r="B1726" s="1567">
        <v>43159</v>
      </c>
      <c r="C1726" s="1568" t="s">
        <v>3308</v>
      </c>
      <c r="D1726" s="1568" t="s">
        <v>2992</v>
      </c>
      <c r="E1726" s="1567">
        <v>44577</v>
      </c>
      <c r="F1726" s="1566">
        <v>625</v>
      </c>
      <c r="G1726" s="1566">
        <v>0</v>
      </c>
      <c r="H1726" s="1567"/>
      <c r="I1726" s="1567">
        <v>46810</v>
      </c>
      <c r="J1726" s="1567">
        <v>46810</v>
      </c>
      <c r="K1726" s="1568" t="str">
        <f t="shared" si="26"/>
        <v>No</v>
      </c>
      <c r="L1726" s="1565"/>
    </row>
    <row r="1727" spans="1:12" ht="20.100000000000001" customHeight="1">
      <c r="A1727" s="1568" t="s">
        <v>3041</v>
      </c>
      <c r="B1727" s="1567">
        <v>43159</v>
      </c>
      <c r="C1727" s="1568" t="s">
        <v>3308</v>
      </c>
      <c r="D1727" s="1568" t="s">
        <v>2992</v>
      </c>
      <c r="E1727" s="1567">
        <v>44608</v>
      </c>
      <c r="F1727" s="1566">
        <v>625</v>
      </c>
      <c r="G1727" s="1566">
        <v>0</v>
      </c>
      <c r="H1727" s="1567"/>
      <c r="I1727" s="1567">
        <v>46810</v>
      </c>
      <c r="J1727" s="1567">
        <v>46810</v>
      </c>
      <c r="K1727" s="1568" t="str">
        <f t="shared" si="26"/>
        <v>No</v>
      </c>
      <c r="L1727" s="1565"/>
    </row>
    <row r="1728" spans="1:12" ht="20.100000000000001" customHeight="1">
      <c r="A1728" s="1568" t="s">
        <v>3040</v>
      </c>
      <c r="B1728" s="1567">
        <v>43201</v>
      </c>
      <c r="C1728" s="1568" t="s">
        <v>3308</v>
      </c>
      <c r="D1728" s="1568" t="s">
        <v>2962</v>
      </c>
      <c r="E1728" s="1567">
        <v>43508</v>
      </c>
      <c r="F1728" s="1566">
        <v>5000</v>
      </c>
      <c r="G1728" s="1566">
        <v>0</v>
      </c>
      <c r="H1728" s="1567"/>
      <c r="I1728" s="1567">
        <v>46853</v>
      </c>
      <c r="J1728" s="1567">
        <v>46853</v>
      </c>
      <c r="K1728" s="1568" t="str">
        <f t="shared" si="26"/>
        <v>No</v>
      </c>
      <c r="L1728" s="1565"/>
    </row>
    <row r="1729" spans="1:12" ht="20.100000000000001" customHeight="1">
      <c r="A1729" s="1568" t="s">
        <v>3040</v>
      </c>
      <c r="B1729" s="1567">
        <v>43201</v>
      </c>
      <c r="C1729" s="1568" t="s">
        <v>3308</v>
      </c>
      <c r="D1729" s="1568" t="s">
        <v>2962</v>
      </c>
      <c r="E1729" s="1567">
        <v>43536</v>
      </c>
      <c r="F1729" s="1566">
        <v>416</v>
      </c>
      <c r="G1729" s="1566">
        <v>0</v>
      </c>
      <c r="H1729" s="1567"/>
      <c r="I1729" s="1567">
        <v>46853</v>
      </c>
      <c r="J1729" s="1567">
        <v>46853</v>
      </c>
      <c r="K1729" s="1568" t="str">
        <f t="shared" si="26"/>
        <v>No</v>
      </c>
      <c r="L1729" s="1565"/>
    </row>
    <row r="1730" spans="1:12" ht="20.100000000000001" customHeight="1">
      <c r="A1730" s="1568" t="s">
        <v>3040</v>
      </c>
      <c r="B1730" s="1567">
        <v>43201</v>
      </c>
      <c r="C1730" s="1568" t="s">
        <v>3308</v>
      </c>
      <c r="D1730" s="1568" t="s">
        <v>2962</v>
      </c>
      <c r="E1730" s="1567">
        <v>43567</v>
      </c>
      <c r="F1730" s="1566">
        <v>417</v>
      </c>
      <c r="G1730" s="1566">
        <v>0</v>
      </c>
      <c r="H1730" s="1567"/>
      <c r="I1730" s="1567">
        <v>46853</v>
      </c>
      <c r="J1730" s="1567">
        <v>46853</v>
      </c>
      <c r="K1730" s="1568" t="str">
        <f t="shared" si="26"/>
        <v>No</v>
      </c>
      <c r="L1730" s="1565"/>
    </row>
    <row r="1731" spans="1:12" ht="20.100000000000001" customHeight="1">
      <c r="A1731" s="1568" t="s">
        <v>3040</v>
      </c>
      <c r="B1731" s="1567">
        <v>43201</v>
      </c>
      <c r="C1731" s="1568" t="s">
        <v>3308</v>
      </c>
      <c r="D1731" s="1568" t="s">
        <v>2962</v>
      </c>
      <c r="E1731" s="1567">
        <v>43597</v>
      </c>
      <c r="F1731" s="1566">
        <v>417</v>
      </c>
      <c r="G1731" s="1566">
        <v>0</v>
      </c>
      <c r="H1731" s="1567"/>
      <c r="I1731" s="1567">
        <v>46853</v>
      </c>
      <c r="J1731" s="1567">
        <v>46853</v>
      </c>
      <c r="K1731" s="1568" t="str">
        <f t="shared" si="26"/>
        <v>No</v>
      </c>
      <c r="L1731" s="1565"/>
    </row>
    <row r="1732" spans="1:12" ht="20.100000000000001" customHeight="1">
      <c r="A1732" s="1568" t="s">
        <v>3040</v>
      </c>
      <c r="B1732" s="1567">
        <v>43201</v>
      </c>
      <c r="C1732" s="1568" t="s">
        <v>3308</v>
      </c>
      <c r="D1732" s="1568" t="s">
        <v>2962</v>
      </c>
      <c r="E1732" s="1567">
        <v>43628</v>
      </c>
      <c r="F1732" s="1566">
        <v>416</v>
      </c>
      <c r="G1732" s="1566">
        <v>0</v>
      </c>
      <c r="H1732" s="1567"/>
      <c r="I1732" s="1567">
        <v>46853</v>
      </c>
      <c r="J1732" s="1567">
        <v>46853</v>
      </c>
      <c r="K1732" s="1568" t="str">
        <f t="shared" si="26"/>
        <v>No</v>
      </c>
      <c r="L1732" s="1565"/>
    </row>
    <row r="1733" spans="1:12" ht="20.100000000000001" customHeight="1">
      <c r="A1733" s="1568" t="s">
        <v>3040</v>
      </c>
      <c r="B1733" s="1567">
        <v>43201</v>
      </c>
      <c r="C1733" s="1568" t="s">
        <v>3308</v>
      </c>
      <c r="D1733" s="1568" t="s">
        <v>2962</v>
      </c>
      <c r="E1733" s="1567">
        <v>43658</v>
      </c>
      <c r="F1733" s="1566">
        <v>417</v>
      </c>
      <c r="G1733" s="1566">
        <v>0</v>
      </c>
      <c r="H1733" s="1567"/>
      <c r="I1733" s="1567">
        <v>46853</v>
      </c>
      <c r="J1733" s="1567">
        <v>46853</v>
      </c>
      <c r="K1733" s="1568" t="str">
        <f t="shared" ref="K1733:K1796" si="27">IF(I1733="N/A","No",IF(E1733&lt;=I1733,"No","Yes"))</f>
        <v>No</v>
      </c>
      <c r="L1733" s="1565"/>
    </row>
    <row r="1734" spans="1:12" ht="20.100000000000001" customHeight="1">
      <c r="A1734" s="1568" t="s">
        <v>3040</v>
      </c>
      <c r="B1734" s="1567">
        <v>43201</v>
      </c>
      <c r="C1734" s="1568" t="s">
        <v>3308</v>
      </c>
      <c r="D1734" s="1568" t="s">
        <v>2962</v>
      </c>
      <c r="E1734" s="1567">
        <v>43689</v>
      </c>
      <c r="F1734" s="1566">
        <v>417</v>
      </c>
      <c r="G1734" s="1566">
        <v>0</v>
      </c>
      <c r="H1734" s="1567"/>
      <c r="I1734" s="1567">
        <v>46853</v>
      </c>
      <c r="J1734" s="1567">
        <v>46853</v>
      </c>
      <c r="K1734" s="1568" t="str">
        <f t="shared" si="27"/>
        <v>No</v>
      </c>
      <c r="L1734" s="1565"/>
    </row>
    <row r="1735" spans="1:12" ht="20.100000000000001" customHeight="1">
      <c r="A1735" s="1568" t="s">
        <v>3040</v>
      </c>
      <c r="B1735" s="1567">
        <v>43201</v>
      </c>
      <c r="C1735" s="1568" t="s">
        <v>3308</v>
      </c>
      <c r="D1735" s="1568" t="s">
        <v>2962</v>
      </c>
      <c r="E1735" s="1567">
        <v>43720</v>
      </c>
      <c r="F1735" s="1566">
        <v>416</v>
      </c>
      <c r="G1735" s="1566">
        <v>0</v>
      </c>
      <c r="H1735" s="1567"/>
      <c r="I1735" s="1567">
        <v>46853</v>
      </c>
      <c r="J1735" s="1567">
        <v>46853</v>
      </c>
      <c r="K1735" s="1568" t="str">
        <f t="shared" si="27"/>
        <v>No</v>
      </c>
      <c r="L1735" s="1565"/>
    </row>
    <row r="1736" spans="1:12" ht="20.100000000000001" customHeight="1">
      <c r="A1736" s="1568" t="s">
        <v>3040</v>
      </c>
      <c r="B1736" s="1567">
        <v>43201</v>
      </c>
      <c r="C1736" s="1568" t="s">
        <v>3308</v>
      </c>
      <c r="D1736" s="1568" t="s">
        <v>2962</v>
      </c>
      <c r="E1736" s="1567">
        <v>43750</v>
      </c>
      <c r="F1736" s="1566">
        <v>417</v>
      </c>
      <c r="G1736" s="1566">
        <v>0</v>
      </c>
      <c r="H1736" s="1567"/>
      <c r="I1736" s="1567">
        <v>46853</v>
      </c>
      <c r="J1736" s="1567">
        <v>46853</v>
      </c>
      <c r="K1736" s="1568" t="str">
        <f t="shared" si="27"/>
        <v>No</v>
      </c>
      <c r="L1736" s="1565"/>
    </row>
    <row r="1737" spans="1:12" ht="20.100000000000001" customHeight="1">
      <c r="A1737" s="1568" t="s">
        <v>3040</v>
      </c>
      <c r="B1737" s="1567">
        <v>43201</v>
      </c>
      <c r="C1737" s="1568" t="s">
        <v>3308</v>
      </c>
      <c r="D1737" s="1568" t="s">
        <v>2962</v>
      </c>
      <c r="E1737" s="1567">
        <v>43781</v>
      </c>
      <c r="F1737" s="1566">
        <v>417</v>
      </c>
      <c r="G1737" s="1566">
        <v>0</v>
      </c>
      <c r="H1737" s="1567"/>
      <c r="I1737" s="1567">
        <v>46853</v>
      </c>
      <c r="J1737" s="1567">
        <v>46853</v>
      </c>
      <c r="K1737" s="1568" t="str">
        <f t="shared" si="27"/>
        <v>No</v>
      </c>
      <c r="L1737" s="1565"/>
    </row>
    <row r="1738" spans="1:12" ht="20.100000000000001" customHeight="1">
      <c r="A1738" s="1568" t="s">
        <v>3040</v>
      </c>
      <c r="B1738" s="1567">
        <v>43201</v>
      </c>
      <c r="C1738" s="1568" t="s">
        <v>3308</v>
      </c>
      <c r="D1738" s="1568" t="s">
        <v>2962</v>
      </c>
      <c r="E1738" s="1567">
        <v>43811</v>
      </c>
      <c r="F1738" s="1566">
        <v>416</v>
      </c>
      <c r="G1738" s="1566">
        <v>0</v>
      </c>
      <c r="H1738" s="1567"/>
      <c r="I1738" s="1567">
        <v>46853</v>
      </c>
      <c r="J1738" s="1567">
        <v>46853</v>
      </c>
      <c r="K1738" s="1568" t="str">
        <f t="shared" si="27"/>
        <v>No</v>
      </c>
      <c r="L1738" s="1565"/>
    </row>
    <row r="1739" spans="1:12" ht="20.100000000000001" customHeight="1">
      <c r="A1739" s="1568" t="s">
        <v>3040</v>
      </c>
      <c r="B1739" s="1567">
        <v>43201</v>
      </c>
      <c r="C1739" s="1568" t="s">
        <v>3308</v>
      </c>
      <c r="D1739" s="1568" t="s">
        <v>2962</v>
      </c>
      <c r="E1739" s="1567">
        <v>43842</v>
      </c>
      <c r="F1739" s="1566">
        <v>417</v>
      </c>
      <c r="G1739" s="1566">
        <v>0</v>
      </c>
      <c r="H1739" s="1567"/>
      <c r="I1739" s="1567">
        <v>46853</v>
      </c>
      <c r="J1739" s="1567">
        <v>46853</v>
      </c>
      <c r="K1739" s="1568" t="str">
        <f t="shared" si="27"/>
        <v>No</v>
      </c>
      <c r="L1739" s="1565"/>
    </row>
    <row r="1740" spans="1:12" ht="20.100000000000001" customHeight="1">
      <c r="A1740" s="1568" t="s">
        <v>3040</v>
      </c>
      <c r="B1740" s="1567">
        <v>43201</v>
      </c>
      <c r="C1740" s="1568" t="s">
        <v>3308</v>
      </c>
      <c r="D1740" s="1568" t="s">
        <v>2962</v>
      </c>
      <c r="E1740" s="1567">
        <v>43873</v>
      </c>
      <c r="F1740" s="1566">
        <v>417</v>
      </c>
      <c r="G1740" s="1566">
        <v>0</v>
      </c>
      <c r="H1740" s="1567"/>
      <c r="I1740" s="1567">
        <v>46853</v>
      </c>
      <c r="J1740" s="1567">
        <v>46853</v>
      </c>
      <c r="K1740" s="1568" t="str">
        <f t="shared" si="27"/>
        <v>No</v>
      </c>
      <c r="L1740" s="1565"/>
    </row>
    <row r="1741" spans="1:12" ht="20.100000000000001" customHeight="1">
      <c r="A1741" s="1568" t="s">
        <v>3040</v>
      </c>
      <c r="B1741" s="1567">
        <v>43201</v>
      </c>
      <c r="C1741" s="1568" t="s">
        <v>3308</v>
      </c>
      <c r="D1741" s="1568" t="s">
        <v>2962</v>
      </c>
      <c r="E1741" s="1567">
        <v>43902</v>
      </c>
      <c r="F1741" s="1566">
        <v>416</v>
      </c>
      <c r="G1741" s="1566">
        <v>0</v>
      </c>
      <c r="H1741" s="1567"/>
      <c r="I1741" s="1567">
        <v>46853</v>
      </c>
      <c r="J1741" s="1567">
        <v>46853</v>
      </c>
      <c r="K1741" s="1568" t="str">
        <f t="shared" si="27"/>
        <v>No</v>
      </c>
      <c r="L1741" s="1565"/>
    </row>
    <row r="1742" spans="1:12" ht="20.100000000000001" customHeight="1">
      <c r="A1742" s="1568" t="s">
        <v>3040</v>
      </c>
      <c r="B1742" s="1567">
        <v>43201</v>
      </c>
      <c r="C1742" s="1568" t="s">
        <v>3308</v>
      </c>
      <c r="D1742" s="1568" t="s">
        <v>2962</v>
      </c>
      <c r="E1742" s="1567">
        <v>43933</v>
      </c>
      <c r="F1742" s="1566">
        <v>417</v>
      </c>
      <c r="G1742" s="1566">
        <v>0</v>
      </c>
      <c r="H1742" s="1567"/>
      <c r="I1742" s="1567">
        <v>46853</v>
      </c>
      <c r="J1742" s="1567">
        <v>46853</v>
      </c>
      <c r="K1742" s="1568" t="str">
        <f t="shared" si="27"/>
        <v>No</v>
      </c>
      <c r="L1742" s="1565"/>
    </row>
    <row r="1743" spans="1:12" ht="20.100000000000001" customHeight="1">
      <c r="A1743" s="1568" t="s">
        <v>3040</v>
      </c>
      <c r="B1743" s="1567">
        <v>43201</v>
      </c>
      <c r="C1743" s="1568" t="s">
        <v>3308</v>
      </c>
      <c r="D1743" s="1568" t="s">
        <v>2962</v>
      </c>
      <c r="E1743" s="1567">
        <v>43963</v>
      </c>
      <c r="F1743" s="1566">
        <v>417</v>
      </c>
      <c r="G1743" s="1566">
        <v>0</v>
      </c>
      <c r="H1743" s="1567"/>
      <c r="I1743" s="1567">
        <v>46853</v>
      </c>
      <c r="J1743" s="1567">
        <v>46853</v>
      </c>
      <c r="K1743" s="1568" t="str">
        <f t="shared" si="27"/>
        <v>No</v>
      </c>
      <c r="L1743" s="1565"/>
    </row>
    <row r="1744" spans="1:12" ht="20.100000000000001" customHeight="1">
      <c r="A1744" s="1568" t="s">
        <v>3040</v>
      </c>
      <c r="B1744" s="1567">
        <v>43201</v>
      </c>
      <c r="C1744" s="1568" t="s">
        <v>3308</v>
      </c>
      <c r="D1744" s="1568" t="s">
        <v>2962</v>
      </c>
      <c r="E1744" s="1567">
        <v>43994</v>
      </c>
      <c r="F1744" s="1566">
        <v>416</v>
      </c>
      <c r="G1744" s="1566">
        <v>0</v>
      </c>
      <c r="H1744" s="1567"/>
      <c r="I1744" s="1567">
        <v>46853</v>
      </c>
      <c r="J1744" s="1567">
        <v>46853</v>
      </c>
      <c r="K1744" s="1568" t="str">
        <f t="shared" si="27"/>
        <v>No</v>
      </c>
      <c r="L1744" s="1565"/>
    </row>
    <row r="1745" spans="1:12" ht="20.100000000000001" customHeight="1">
      <c r="A1745" s="1568" t="s">
        <v>3040</v>
      </c>
      <c r="B1745" s="1567">
        <v>43201</v>
      </c>
      <c r="C1745" s="1568" t="s">
        <v>3308</v>
      </c>
      <c r="D1745" s="1568" t="s">
        <v>2962</v>
      </c>
      <c r="E1745" s="1567">
        <v>44024</v>
      </c>
      <c r="F1745" s="1566">
        <v>417</v>
      </c>
      <c r="G1745" s="1566">
        <v>0</v>
      </c>
      <c r="H1745" s="1567"/>
      <c r="I1745" s="1567">
        <v>46853</v>
      </c>
      <c r="J1745" s="1567">
        <v>46853</v>
      </c>
      <c r="K1745" s="1568" t="str">
        <f t="shared" si="27"/>
        <v>No</v>
      </c>
      <c r="L1745" s="1565"/>
    </row>
    <row r="1746" spans="1:12" ht="20.100000000000001" customHeight="1">
      <c r="A1746" s="1568" t="s">
        <v>3040</v>
      </c>
      <c r="B1746" s="1567">
        <v>43201</v>
      </c>
      <c r="C1746" s="1568" t="s">
        <v>3308</v>
      </c>
      <c r="D1746" s="1568" t="s">
        <v>2962</v>
      </c>
      <c r="E1746" s="1567">
        <v>44055</v>
      </c>
      <c r="F1746" s="1566">
        <v>417</v>
      </c>
      <c r="G1746" s="1566">
        <v>0</v>
      </c>
      <c r="H1746" s="1567"/>
      <c r="I1746" s="1567">
        <v>46853</v>
      </c>
      <c r="J1746" s="1567">
        <v>46853</v>
      </c>
      <c r="K1746" s="1568" t="str">
        <f t="shared" si="27"/>
        <v>No</v>
      </c>
      <c r="L1746" s="1565"/>
    </row>
    <row r="1747" spans="1:12" ht="20.100000000000001" customHeight="1">
      <c r="A1747" s="1568" t="s">
        <v>3040</v>
      </c>
      <c r="B1747" s="1567">
        <v>43201</v>
      </c>
      <c r="C1747" s="1568" t="s">
        <v>3308</v>
      </c>
      <c r="D1747" s="1568" t="s">
        <v>2962</v>
      </c>
      <c r="E1747" s="1567">
        <v>44086</v>
      </c>
      <c r="F1747" s="1566">
        <v>416</v>
      </c>
      <c r="G1747" s="1566">
        <v>0</v>
      </c>
      <c r="H1747" s="1567"/>
      <c r="I1747" s="1567">
        <v>46853</v>
      </c>
      <c r="J1747" s="1567">
        <v>46853</v>
      </c>
      <c r="K1747" s="1568" t="str">
        <f t="shared" si="27"/>
        <v>No</v>
      </c>
      <c r="L1747" s="1565"/>
    </row>
    <row r="1748" spans="1:12" ht="20.100000000000001" customHeight="1">
      <c r="A1748" s="1568" t="s">
        <v>3040</v>
      </c>
      <c r="B1748" s="1567">
        <v>43201</v>
      </c>
      <c r="C1748" s="1568" t="s">
        <v>3308</v>
      </c>
      <c r="D1748" s="1568" t="s">
        <v>2962</v>
      </c>
      <c r="E1748" s="1567">
        <v>44116</v>
      </c>
      <c r="F1748" s="1566">
        <v>417</v>
      </c>
      <c r="G1748" s="1566">
        <v>0</v>
      </c>
      <c r="H1748" s="1567"/>
      <c r="I1748" s="1567">
        <v>46853</v>
      </c>
      <c r="J1748" s="1567">
        <v>46853</v>
      </c>
      <c r="K1748" s="1568" t="str">
        <f t="shared" si="27"/>
        <v>No</v>
      </c>
      <c r="L1748" s="1565"/>
    </row>
    <row r="1749" spans="1:12" ht="20.100000000000001" customHeight="1">
      <c r="A1749" s="1568" t="s">
        <v>3040</v>
      </c>
      <c r="B1749" s="1567">
        <v>43201</v>
      </c>
      <c r="C1749" s="1568" t="s">
        <v>3308</v>
      </c>
      <c r="D1749" s="1568" t="s">
        <v>2962</v>
      </c>
      <c r="E1749" s="1567">
        <v>44147</v>
      </c>
      <c r="F1749" s="1566">
        <v>417</v>
      </c>
      <c r="G1749" s="1566">
        <v>0</v>
      </c>
      <c r="H1749" s="1567"/>
      <c r="I1749" s="1567">
        <v>46853</v>
      </c>
      <c r="J1749" s="1567">
        <v>46853</v>
      </c>
      <c r="K1749" s="1568" t="str">
        <f t="shared" si="27"/>
        <v>No</v>
      </c>
      <c r="L1749" s="1565"/>
    </row>
    <row r="1750" spans="1:12" ht="20.100000000000001" customHeight="1">
      <c r="A1750" s="1568" t="s">
        <v>3040</v>
      </c>
      <c r="B1750" s="1567">
        <v>43201</v>
      </c>
      <c r="C1750" s="1568" t="s">
        <v>3308</v>
      </c>
      <c r="D1750" s="1568" t="s">
        <v>2962</v>
      </c>
      <c r="E1750" s="1567">
        <v>44177</v>
      </c>
      <c r="F1750" s="1566">
        <v>416</v>
      </c>
      <c r="G1750" s="1566">
        <v>0</v>
      </c>
      <c r="H1750" s="1567"/>
      <c r="I1750" s="1567">
        <v>46853</v>
      </c>
      <c r="J1750" s="1567">
        <v>46853</v>
      </c>
      <c r="K1750" s="1568" t="str">
        <f t="shared" si="27"/>
        <v>No</v>
      </c>
      <c r="L1750" s="1565"/>
    </row>
    <row r="1751" spans="1:12" ht="20.100000000000001" customHeight="1">
      <c r="A1751" s="1568" t="s">
        <v>3040</v>
      </c>
      <c r="B1751" s="1567">
        <v>43201</v>
      </c>
      <c r="C1751" s="1568" t="s">
        <v>3308</v>
      </c>
      <c r="D1751" s="1568" t="s">
        <v>2962</v>
      </c>
      <c r="E1751" s="1567">
        <v>44208</v>
      </c>
      <c r="F1751" s="1566">
        <v>417</v>
      </c>
      <c r="G1751" s="1566">
        <v>0</v>
      </c>
      <c r="H1751" s="1567"/>
      <c r="I1751" s="1567">
        <v>46853</v>
      </c>
      <c r="J1751" s="1567">
        <v>46853</v>
      </c>
      <c r="K1751" s="1568" t="str">
        <f t="shared" si="27"/>
        <v>No</v>
      </c>
      <c r="L1751" s="1565"/>
    </row>
    <row r="1752" spans="1:12" ht="20.100000000000001" customHeight="1">
      <c r="A1752" s="1568" t="s">
        <v>3040</v>
      </c>
      <c r="B1752" s="1567">
        <v>43201</v>
      </c>
      <c r="C1752" s="1568" t="s">
        <v>3308</v>
      </c>
      <c r="D1752" s="1568" t="s">
        <v>2962</v>
      </c>
      <c r="E1752" s="1567">
        <v>44239</v>
      </c>
      <c r="F1752" s="1566">
        <v>417</v>
      </c>
      <c r="G1752" s="1566">
        <v>0</v>
      </c>
      <c r="H1752" s="1567"/>
      <c r="I1752" s="1567">
        <v>46853</v>
      </c>
      <c r="J1752" s="1567">
        <v>46853</v>
      </c>
      <c r="K1752" s="1568" t="str">
        <f t="shared" si="27"/>
        <v>No</v>
      </c>
      <c r="L1752" s="1565"/>
    </row>
    <row r="1753" spans="1:12" ht="20.100000000000001" customHeight="1">
      <c r="A1753" s="1568" t="s">
        <v>3040</v>
      </c>
      <c r="B1753" s="1567">
        <v>43201</v>
      </c>
      <c r="C1753" s="1568" t="s">
        <v>3308</v>
      </c>
      <c r="D1753" s="1568" t="s">
        <v>2962</v>
      </c>
      <c r="E1753" s="1567">
        <v>44267</v>
      </c>
      <c r="F1753" s="1566">
        <v>416</v>
      </c>
      <c r="G1753" s="1566">
        <v>0</v>
      </c>
      <c r="H1753" s="1567"/>
      <c r="I1753" s="1567">
        <v>46853</v>
      </c>
      <c r="J1753" s="1567">
        <v>46853</v>
      </c>
      <c r="K1753" s="1568" t="str">
        <f t="shared" si="27"/>
        <v>No</v>
      </c>
      <c r="L1753" s="1565"/>
    </row>
    <row r="1754" spans="1:12" ht="20.100000000000001" customHeight="1">
      <c r="A1754" s="1568" t="s">
        <v>3040</v>
      </c>
      <c r="B1754" s="1567">
        <v>43201</v>
      </c>
      <c r="C1754" s="1568" t="s">
        <v>3308</v>
      </c>
      <c r="D1754" s="1568" t="s">
        <v>2962</v>
      </c>
      <c r="E1754" s="1567">
        <v>44298</v>
      </c>
      <c r="F1754" s="1566">
        <v>417</v>
      </c>
      <c r="G1754" s="1566">
        <v>0</v>
      </c>
      <c r="H1754" s="1567"/>
      <c r="I1754" s="1567">
        <v>46853</v>
      </c>
      <c r="J1754" s="1567">
        <v>46853</v>
      </c>
      <c r="K1754" s="1568" t="str">
        <f t="shared" si="27"/>
        <v>No</v>
      </c>
      <c r="L1754" s="1565"/>
    </row>
    <row r="1755" spans="1:12" ht="20.100000000000001" customHeight="1">
      <c r="A1755" s="1568" t="s">
        <v>3040</v>
      </c>
      <c r="B1755" s="1567">
        <v>43201</v>
      </c>
      <c r="C1755" s="1568" t="s">
        <v>3308</v>
      </c>
      <c r="D1755" s="1568" t="s">
        <v>2962</v>
      </c>
      <c r="E1755" s="1567">
        <v>44328</v>
      </c>
      <c r="F1755" s="1566">
        <v>417</v>
      </c>
      <c r="G1755" s="1566">
        <v>0</v>
      </c>
      <c r="H1755" s="1567"/>
      <c r="I1755" s="1567">
        <v>46853</v>
      </c>
      <c r="J1755" s="1567">
        <v>46853</v>
      </c>
      <c r="K1755" s="1568" t="str">
        <f t="shared" si="27"/>
        <v>No</v>
      </c>
      <c r="L1755" s="1565"/>
    </row>
    <row r="1756" spans="1:12" ht="20.100000000000001" customHeight="1">
      <c r="A1756" s="1568" t="s">
        <v>3040</v>
      </c>
      <c r="B1756" s="1567">
        <v>43201</v>
      </c>
      <c r="C1756" s="1568" t="s">
        <v>3308</v>
      </c>
      <c r="D1756" s="1568" t="s">
        <v>2962</v>
      </c>
      <c r="E1756" s="1567">
        <v>44359</v>
      </c>
      <c r="F1756" s="1566">
        <v>416</v>
      </c>
      <c r="G1756" s="1566">
        <v>0</v>
      </c>
      <c r="H1756" s="1567"/>
      <c r="I1756" s="1567">
        <v>46853</v>
      </c>
      <c r="J1756" s="1567">
        <v>46853</v>
      </c>
      <c r="K1756" s="1568" t="str">
        <f t="shared" si="27"/>
        <v>No</v>
      </c>
      <c r="L1756" s="1565"/>
    </row>
    <row r="1757" spans="1:12" ht="20.100000000000001" customHeight="1">
      <c r="A1757" s="1568" t="s">
        <v>3040</v>
      </c>
      <c r="B1757" s="1567">
        <v>43201</v>
      </c>
      <c r="C1757" s="1568" t="s">
        <v>3308</v>
      </c>
      <c r="D1757" s="1568" t="s">
        <v>2962</v>
      </c>
      <c r="E1757" s="1567">
        <v>44389</v>
      </c>
      <c r="F1757" s="1566">
        <v>417</v>
      </c>
      <c r="G1757" s="1566">
        <v>0</v>
      </c>
      <c r="H1757" s="1567"/>
      <c r="I1757" s="1567">
        <v>46853</v>
      </c>
      <c r="J1757" s="1567">
        <v>46853</v>
      </c>
      <c r="K1757" s="1568" t="str">
        <f t="shared" si="27"/>
        <v>No</v>
      </c>
      <c r="L1757" s="1565"/>
    </row>
    <row r="1758" spans="1:12" ht="20.100000000000001" customHeight="1">
      <c r="A1758" s="1568" t="s">
        <v>3040</v>
      </c>
      <c r="B1758" s="1567">
        <v>43201</v>
      </c>
      <c r="C1758" s="1568" t="s">
        <v>3308</v>
      </c>
      <c r="D1758" s="1568" t="s">
        <v>2962</v>
      </c>
      <c r="E1758" s="1567">
        <v>44420</v>
      </c>
      <c r="F1758" s="1566">
        <v>417</v>
      </c>
      <c r="G1758" s="1566">
        <v>0</v>
      </c>
      <c r="H1758" s="1567"/>
      <c r="I1758" s="1567">
        <v>46853</v>
      </c>
      <c r="J1758" s="1567">
        <v>46853</v>
      </c>
      <c r="K1758" s="1568" t="str">
        <f t="shared" si="27"/>
        <v>No</v>
      </c>
      <c r="L1758" s="1565"/>
    </row>
    <row r="1759" spans="1:12" ht="20.100000000000001" customHeight="1">
      <c r="A1759" s="1568" t="s">
        <v>3040</v>
      </c>
      <c r="B1759" s="1567">
        <v>43201</v>
      </c>
      <c r="C1759" s="1568" t="s">
        <v>3308</v>
      </c>
      <c r="D1759" s="1568" t="s">
        <v>2962</v>
      </c>
      <c r="E1759" s="1567">
        <v>44451</v>
      </c>
      <c r="F1759" s="1566">
        <v>416</v>
      </c>
      <c r="G1759" s="1566">
        <v>0</v>
      </c>
      <c r="H1759" s="1567"/>
      <c r="I1759" s="1567">
        <v>46853</v>
      </c>
      <c r="J1759" s="1567">
        <v>46853</v>
      </c>
      <c r="K1759" s="1568" t="str">
        <f t="shared" si="27"/>
        <v>No</v>
      </c>
      <c r="L1759" s="1565"/>
    </row>
    <row r="1760" spans="1:12" ht="20.100000000000001" customHeight="1">
      <c r="A1760" s="1568" t="s">
        <v>3040</v>
      </c>
      <c r="B1760" s="1567">
        <v>43201</v>
      </c>
      <c r="C1760" s="1568" t="s">
        <v>3308</v>
      </c>
      <c r="D1760" s="1568" t="s">
        <v>2962</v>
      </c>
      <c r="E1760" s="1567">
        <v>44481</v>
      </c>
      <c r="F1760" s="1566">
        <v>417</v>
      </c>
      <c r="G1760" s="1566">
        <v>0</v>
      </c>
      <c r="H1760" s="1567"/>
      <c r="I1760" s="1567">
        <v>46853</v>
      </c>
      <c r="J1760" s="1567">
        <v>46853</v>
      </c>
      <c r="K1760" s="1568" t="str">
        <f t="shared" si="27"/>
        <v>No</v>
      </c>
      <c r="L1760" s="1565"/>
    </row>
    <row r="1761" spans="1:12" ht="20.100000000000001" customHeight="1">
      <c r="A1761" s="1568" t="s">
        <v>3040</v>
      </c>
      <c r="B1761" s="1567">
        <v>43201</v>
      </c>
      <c r="C1761" s="1568" t="s">
        <v>3308</v>
      </c>
      <c r="D1761" s="1568" t="s">
        <v>2962</v>
      </c>
      <c r="E1761" s="1567">
        <v>44512</v>
      </c>
      <c r="F1761" s="1566">
        <v>417</v>
      </c>
      <c r="G1761" s="1566">
        <v>0</v>
      </c>
      <c r="H1761" s="1567"/>
      <c r="I1761" s="1567">
        <v>46853</v>
      </c>
      <c r="J1761" s="1567">
        <v>46853</v>
      </c>
      <c r="K1761" s="1568" t="str">
        <f t="shared" si="27"/>
        <v>No</v>
      </c>
      <c r="L1761" s="1565"/>
    </row>
    <row r="1762" spans="1:12" ht="20.100000000000001" customHeight="1">
      <c r="A1762" s="1568" t="s">
        <v>3040</v>
      </c>
      <c r="B1762" s="1567">
        <v>43201</v>
      </c>
      <c r="C1762" s="1568" t="s">
        <v>3308</v>
      </c>
      <c r="D1762" s="1568" t="s">
        <v>2962</v>
      </c>
      <c r="E1762" s="1567">
        <v>44542</v>
      </c>
      <c r="F1762" s="1566">
        <v>416</v>
      </c>
      <c r="G1762" s="1566">
        <v>0</v>
      </c>
      <c r="H1762" s="1567"/>
      <c r="I1762" s="1567">
        <v>46853</v>
      </c>
      <c r="J1762" s="1567">
        <v>46853</v>
      </c>
      <c r="K1762" s="1568" t="str">
        <f t="shared" si="27"/>
        <v>No</v>
      </c>
      <c r="L1762" s="1565"/>
    </row>
    <row r="1763" spans="1:12" ht="20.100000000000001" customHeight="1">
      <c r="A1763" s="1568" t="s">
        <v>3040</v>
      </c>
      <c r="B1763" s="1567">
        <v>43201</v>
      </c>
      <c r="C1763" s="1568" t="s">
        <v>3308</v>
      </c>
      <c r="D1763" s="1568" t="s">
        <v>2962</v>
      </c>
      <c r="E1763" s="1567">
        <v>44573</v>
      </c>
      <c r="F1763" s="1566">
        <v>417</v>
      </c>
      <c r="G1763" s="1566">
        <v>0</v>
      </c>
      <c r="H1763" s="1567"/>
      <c r="I1763" s="1567">
        <v>46853</v>
      </c>
      <c r="J1763" s="1567">
        <v>46853</v>
      </c>
      <c r="K1763" s="1568" t="str">
        <f t="shared" si="27"/>
        <v>No</v>
      </c>
      <c r="L1763" s="1565"/>
    </row>
    <row r="1764" spans="1:12" ht="20.100000000000001" customHeight="1">
      <c r="A1764" s="1568" t="s">
        <v>3040</v>
      </c>
      <c r="B1764" s="1567">
        <v>43201</v>
      </c>
      <c r="C1764" s="1568" t="s">
        <v>3308</v>
      </c>
      <c r="D1764" s="1568" t="s">
        <v>2962</v>
      </c>
      <c r="E1764" s="1567">
        <v>44604</v>
      </c>
      <c r="F1764" s="1566">
        <v>417</v>
      </c>
      <c r="G1764" s="1566">
        <v>0</v>
      </c>
      <c r="H1764" s="1567"/>
      <c r="I1764" s="1567">
        <v>46853</v>
      </c>
      <c r="J1764" s="1567">
        <v>46853</v>
      </c>
      <c r="K1764" s="1568" t="str">
        <f t="shared" si="27"/>
        <v>No</v>
      </c>
      <c r="L1764" s="1565"/>
    </row>
    <row r="1765" spans="1:12" ht="20.100000000000001" customHeight="1">
      <c r="A1765" s="1568" t="s">
        <v>3039</v>
      </c>
      <c r="B1765" s="1567">
        <v>43264</v>
      </c>
      <c r="C1765" s="1568" t="s">
        <v>3308</v>
      </c>
      <c r="D1765" s="1568" t="s">
        <v>3005</v>
      </c>
      <c r="E1765" s="1567">
        <v>43622</v>
      </c>
      <c r="F1765" s="1566">
        <v>1000</v>
      </c>
      <c r="G1765" s="1566">
        <v>0</v>
      </c>
      <c r="H1765" s="1567"/>
      <c r="I1765" s="1567">
        <v>46916</v>
      </c>
      <c r="J1765" s="1567">
        <v>46916</v>
      </c>
      <c r="K1765" s="1568" t="str">
        <f t="shared" si="27"/>
        <v>No</v>
      </c>
      <c r="L1765" s="1565"/>
    </row>
    <row r="1766" spans="1:12" ht="20.100000000000001" customHeight="1">
      <c r="A1766" s="1568" t="s">
        <v>3039</v>
      </c>
      <c r="B1766" s="1567">
        <v>43264</v>
      </c>
      <c r="C1766" s="1568" t="s">
        <v>3308</v>
      </c>
      <c r="D1766" s="1568" t="s">
        <v>3005</v>
      </c>
      <c r="E1766" s="1567">
        <v>43652</v>
      </c>
      <c r="F1766" s="1566">
        <v>83</v>
      </c>
      <c r="G1766" s="1566">
        <v>0</v>
      </c>
      <c r="H1766" s="1567"/>
      <c r="I1766" s="1567">
        <v>46916</v>
      </c>
      <c r="J1766" s="1567">
        <v>46916</v>
      </c>
      <c r="K1766" s="1568" t="str">
        <f t="shared" si="27"/>
        <v>No</v>
      </c>
      <c r="L1766" s="1565"/>
    </row>
    <row r="1767" spans="1:12" ht="20.100000000000001" customHeight="1">
      <c r="A1767" s="1568" t="s">
        <v>3039</v>
      </c>
      <c r="B1767" s="1567">
        <v>43264</v>
      </c>
      <c r="C1767" s="1568" t="s">
        <v>3308</v>
      </c>
      <c r="D1767" s="1568" t="s">
        <v>3005</v>
      </c>
      <c r="E1767" s="1567">
        <v>43683</v>
      </c>
      <c r="F1767" s="1566">
        <v>83</v>
      </c>
      <c r="G1767" s="1566">
        <v>0</v>
      </c>
      <c r="H1767" s="1567"/>
      <c r="I1767" s="1567">
        <v>46916</v>
      </c>
      <c r="J1767" s="1567">
        <v>46916</v>
      </c>
      <c r="K1767" s="1568" t="str">
        <f t="shared" si="27"/>
        <v>No</v>
      </c>
      <c r="L1767" s="1565"/>
    </row>
    <row r="1768" spans="1:12" ht="20.100000000000001" customHeight="1">
      <c r="A1768" s="1568" t="s">
        <v>3039</v>
      </c>
      <c r="B1768" s="1567">
        <v>43264</v>
      </c>
      <c r="C1768" s="1568" t="s">
        <v>3308</v>
      </c>
      <c r="D1768" s="1568" t="s">
        <v>3005</v>
      </c>
      <c r="E1768" s="1567">
        <v>43714</v>
      </c>
      <c r="F1768" s="1566">
        <v>84</v>
      </c>
      <c r="G1768" s="1566">
        <v>0</v>
      </c>
      <c r="H1768" s="1567"/>
      <c r="I1768" s="1567">
        <v>46916</v>
      </c>
      <c r="J1768" s="1567">
        <v>46916</v>
      </c>
      <c r="K1768" s="1568" t="str">
        <f t="shared" si="27"/>
        <v>No</v>
      </c>
      <c r="L1768" s="1565"/>
    </row>
    <row r="1769" spans="1:12" ht="20.100000000000001" customHeight="1">
      <c r="A1769" s="1568" t="s">
        <v>3039</v>
      </c>
      <c r="B1769" s="1567">
        <v>43264</v>
      </c>
      <c r="C1769" s="1568" t="s">
        <v>3308</v>
      </c>
      <c r="D1769" s="1568" t="s">
        <v>3005</v>
      </c>
      <c r="E1769" s="1567">
        <v>43744</v>
      </c>
      <c r="F1769" s="1566">
        <v>83</v>
      </c>
      <c r="G1769" s="1566">
        <v>0</v>
      </c>
      <c r="H1769" s="1567"/>
      <c r="I1769" s="1567">
        <v>46916</v>
      </c>
      <c r="J1769" s="1567">
        <v>46916</v>
      </c>
      <c r="K1769" s="1568" t="str">
        <f t="shared" si="27"/>
        <v>No</v>
      </c>
      <c r="L1769" s="1565"/>
    </row>
    <row r="1770" spans="1:12" ht="20.100000000000001" customHeight="1">
      <c r="A1770" s="1568" t="s">
        <v>3039</v>
      </c>
      <c r="B1770" s="1567">
        <v>43264</v>
      </c>
      <c r="C1770" s="1568" t="s">
        <v>3308</v>
      </c>
      <c r="D1770" s="1568" t="s">
        <v>3005</v>
      </c>
      <c r="E1770" s="1567">
        <v>43775</v>
      </c>
      <c r="F1770" s="1566">
        <v>83</v>
      </c>
      <c r="G1770" s="1566">
        <v>0</v>
      </c>
      <c r="H1770" s="1567"/>
      <c r="I1770" s="1567">
        <v>46916</v>
      </c>
      <c r="J1770" s="1567">
        <v>46916</v>
      </c>
      <c r="K1770" s="1568" t="str">
        <f t="shared" si="27"/>
        <v>No</v>
      </c>
      <c r="L1770" s="1565"/>
    </row>
    <row r="1771" spans="1:12" ht="20.100000000000001" customHeight="1">
      <c r="A1771" s="1568" t="s">
        <v>3039</v>
      </c>
      <c r="B1771" s="1567">
        <v>43264</v>
      </c>
      <c r="C1771" s="1568" t="s">
        <v>3308</v>
      </c>
      <c r="D1771" s="1568" t="s">
        <v>3005</v>
      </c>
      <c r="E1771" s="1567">
        <v>43805</v>
      </c>
      <c r="F1771" s="1566">
        <v>84</v>
      </c>
      <c r="G1771" s="1566">
        <v>0</v>
      </c>
      <c r="H1771" s="1567"/>
      <c r="I1771" s="1567">
        <v>46916</v>
      </c>
      <c r="J1771" s="1567">
        <v>46916</v>
      </c>
      <c r="K1771" s="1568" t="str">
        <f t="shared" si="27"/>
        <v>No</v>
      </c>
      <c r="L1771" s="1565"/>
    </row>
    <row r="1772" spans="1:12" ht="20.100000000000001" customHeight="1">
      <c r="A1772" s="1568" t="s">
        <v>3039</v>
      </c>
      <c r="B1772" s="1567">
        <v>43264</v>
      </c>
      <c r="C1772" s="1568" t="s">
        <v>3308</v>
      </c>
      <c r="D1772" s="1568" t="s">
        <v>3005</v>
      </c>
      <c r="E1772" s="1567">
        <v>43836</v>
      </c>
      <c r="F1772" s="1566">
        <v>83</v>
      </c>
      <c r="G1772" s="1566">
        <v>0</v>
      </c>
      <c r="H1772" s="1567"/>
      <c r="I1772" s="1567">
        <v>46916</v>
      </c>
      <c r="J1772" s="1567">
        <v>46916</v>
      </c>
      <c r="K1772" s="1568" t="str">
        <f t="shared" si="27"/>
        <v>No</v>
      </c>
      <c r="L1772" s="1565"/>
    </row>
    <row r="1773" spans="1:12" ht="20.100000000000001" customHeight="1">
      <c r="A1773" s="1568" t="s">
        <v>3039</v>
      </c>
      <c r="B1773" s="1567">
        <v>43264</v>
      </c>
      <c r="C1773" s="1568" t="s">
        <v>3308</v>
      </c>
      <c r="D1773" s="1568" t="s">
        <v>3005</v>
      </c>
      <c r="E1773" s="1567">
        <v>43867</v>
      </c>
      <c r="F1773" s="1566">
        <v>83</v>
      </c>
      <c r="G1773" s="1566">
        <v>0</v>
      </c>
      <c r="H1773" s="1567"/>
      <c r="I1773" s="1567">
        <v>46916</v>
      </c>
      <c r="J1773" s="1567">
        <v>46916</v>
      </c>
      <c r="K1773" s="1568" t="str">
        <f t="shared" si="27"/>
        <v>No</v>
      </c>
      <c r="L1773" s="1565"/>
    </row>
    <row r="1774" spans="1:12" ht="20.100000000000001" customHeight="1">
      <c r="A1774" s="1568" t="s">
        <v>3039</v>
      </c>
      <c r="B1774" s="1567">
        <v>43264</v>
      </c>
      <c r="C1774" s="1568" t="s">
        <v>3308</v>
      </c>
      <c r="D1774" s="1568" t="s">
        <v>3005</v>
      </c>
      <c r="E1774" s="1567">
        <v>43896</v>
      </c>
      <c r="F1774" s="1566">
        <v>84</v>
      </c>
      <c r="G1774" s="1566">
        <v>0</v>
      </c>
      <c r="H1774" s="1567"/>
      <c r="I1774" s="1567">
        <v>46916</v>
      </c>
      <c r="J1774" s="1567">
        <v>46916</v>
      </c>
      <c r="K1774" s="1568" t="str">
        <f t="shared" si="27"/>
        <v>No</v>
      </c>
      <c r="L1774" s="1565"/>
    </row>
    <row r="1775" spans="1:12" ht="20.100000000000001" customHeight="1">
      <c r="A1775" s="1568" t="s">
        <v>3039</v>
      </c>
      <c r="B1775" s="1567">
        <v>43264</v>
      </c>
      <c r="C1775" s="1568" t="s">
        <v>3308</v>
      </c>
      <c r="D1775" s="1568" t="s">
        <v>3005</v>
      </c>
      <c r="E1775" s="1567">
        <v>43927</v>
      </c>
      <c r="F1775" s="1566">
        <v>83</v>
      </c>
      <c r="G1775" s="1566">
        <v>0</v>
      </c>
      <c r="H1775" s="1567"/>
      <c r="I1775" s="1567">
        <v>46916</v>
      </c>
      <c r="J1775" s="1567">
        <v>46916</v>
      </c>
      <c r="K1775" s="1568" t="str">
        <f t="shared" si="27"/>
        <v>No</v>
      </c>
      <c r="L1775" s="1565"/>
    </row>
    <row r="1776" spans="1:12" ht="20.100000000000001" customHeight="1">
      <c r="A1776" s="1568" t="s">
        <v>3039</v>
      </c>
      <c r="B1776" s="1567">
        <v>43264</v>
      </c>
      <c r="C1776" s="1568" t="s">
        <v>3308</v>
      </c>
      <c r="D1776" s="1568" t="s">
        <v>3005</v>
      </c>
      <c r="E1776" s="1567">
        <v>43957</v>
      </c>
      <c r="F1776" s="1566">
        <v>83</v>
      </c>
      <c r="G1776" s="1566">
        <v>0</v>
      </c>
      <c r="H1776" s="1567"/>
      <c r="I1776" s="1567">
        <v>46916</v>
      </c>
      <c r="J1776" s="1567">
        <v>46916</v>
      </c>
      <c r="K1776" s="1568" t="str">
        <f t="shared" si="27"/>
        <v>No</v>
      </c>
      <c r="L1776" s="1565"/>
    </row>
    <row r="1777" spans="1:12" ht="20.100000000000001" customHeight="1">
      <c r="A1777" s="1568" t="s">
        <v>3039</v>
      </c>
      <c r="B1777" s="1567">
        <v>43264</v>
      </c>
      <c r="C1777" s="1568" t="s">
        <v>3308</v>
      </c>
      <c r="D1777" s="1568" t="s">
        <v>3005</v>
      </c>
      <c r="E1777" s="1567">
        <v>43988</v>
      </c>
      <c r="F1777" s="1566">
        <v>84</v>
      </c>
      <c r="G1777" s="1566">
        <v>0</v>
      </c>
      <c r="H1777" s="1567"/>
      <c r="I1777" s="1567">
        <v>46916</v>
      </c>
      <c r="J1777" s="1567">
        <v>46916</v>
      </c>
      <c r="K1777" s="1568" t="str">
        <f t="shared" si="27"/>
        <v>No</v>
      </c>
      <c r="L1777" s="1565"/>
    </row>
    <row r="1778" spans="1:12" ht="20.100000000000001" customHeight="1">
      <c r="A1778" s="1568" t="s">
        <v>3039</v>
      </c>
      <c r="B1778" s="1567">
        <v>43264</v>
      </c>
      <c r="C1778" s="1568" t="s">
        <v>3308</v>
      </c>
      <c r="D1778" s="1568" t="s">
        <v>3005</v>
      </c>
      <c r="E1778" s="1567">
        <v>44018</v>
      </c>
      <c r="F1778" s="1566">
        <v>83</v>
      </c>
      <c r="G1778" s="1566">
        <v>0</v>
      </c>
      <c r="H1778" s="1567"/>
      <c r="I1778" s="1567">
        <v>46916</v>
      </c>
      <c r="J1778" s="1567">
        <v>46916</v>
      </c>
      <c r="K1778" s="1568" t="str">
        <f t="shared" si="27"/>
        <v>No</v>
      </c>
      <c r="L1778" s="1565"/>
    </row>
    <row r="1779" spans="1:12" ht="20.100000000000001" customHeight="1">
      <c r="A1779" s="1568" t="s">
        <v>3039</v>
      </c>
      <c r="B1779" s="1567">
        <v>43264</v>
      </c>
      <c r="C1779" s="1568" t="s">
        <v>3308</v>
      </c>
      <c r="D1779" s="1568" t="s">
        <v>3005</v>
      </c>
      <c r="E1779" s="1567">
        <v>44049</v>
      </c>
      <c r="F1779" s="1566">
        <v>83</v>
      </c>
      <c r="G1779" s="1566">
        <v>0</v>
      </c>
      <c r="H1779" s="1567"/>
      <c r="I1779" s="1567">
        <v>46916</v>
      </c>
      <c r="J1779" s="1567">
        <v>46916</v>
      </c>
      <c r="K1779" s="1568" t="str">
        <f t="shared" si="27"/>
        <v>No</v>
      </c>
      <c r="L1779" s="1565"/>
    </row>
    <row r="1780" spans="1:12" ht="20.100000000000001" customHeight="1">
      <c r="A1780" s="1568" t="s">
        <v>3039</v>
      </c>
      <c r="B1780" s="1567">
        <v>43264</v>
      </c>
      <c r="C1780" s="1568" t="s">
        <v>3308</v>
      </c>
      <c r="D1780" s="1568" t="s">
        <v>3005</v>
      </c>
      <c r="E1780" s="1567">
        <v>44080</v>
      </c>
      <c r="F1780" s="1566">
        <v>84</v>
      </c>
      <c r="G1780" s="1566">
        <v>0</v>
      </c>
      <c r="H1780" s="1567"/>
      <c r="I1780" s="1567">
        <v>46916</v>
      </c>
      <c r="J1780" s="1567">
        <v>46916</v>
      </c>
      <c r="K1780" s="1568" t="str">
        <f t="shared" si="27"/>
        <v>No</v>
      </c>
      <c r="L1780" s="1565"/>
    </row>
    <row r="1781" spans="1:12" ht="20.100000000000001" customHeight="1">
      <c r="A1781" s="1568" t="s">
        <v>3039</v>
      </c>
      <c r="B1781" s="1567">
        <v>43264</v>
      </c>
      <c r="C1781" s="1568" t="s">
        <v>3308</v>
      </c>
      <c r="D1781" s="1568" t="s">
        <v>3005</v>
      </c>
      <c r="E1781" s="1567">
        <v>44110</v>
      </c>
      <c r="F1781" s="1566">
        <v>83</v>
      </c>
      <c r="G1781" s="1566">
        <v>0</v>
      </c>
      <c r="H1781" s="1567"/>
      <c r="I1781" s="1567">
        <v>46916</v>
      </c>
      <c r="J1781" s="1567">
        <v>46916</v>
      </c>
      <c r="K1781" s="1568" t="str">
        <f t="shared" si="27"/>
        <v>No</v>
      </c>
      <c r="L1781" s="1565"/>
    </row>
    <row r="1782" spans="1:12" ht="20.100000000000001" customHeight="1">
      <c r="A1782" s="1568" t="s">
        <v>3039</v>
      </c>
      <c r="B1782" s="1567">
        <v>43264</v>
      </c>
      <c r="C1782" s="1568" t="s">
        <v>3308</v>
      </c>
      <c r="D1782" s="1568" t="s">
        <v>3005</v>
      </c>
      <c r="E1782" s="1567">
        <v>44141</v>
      </c>
      <c r="F1782" s="1566">
        <v>83</v>
      </c>
      <c r="G1782" s="1566">
        <v>0</v>
      </c>
      <c r="H1782" s="1567"/>
      <c r="I1782" s="1567">
        <v>46916</v>
      </c>
      <c r="J1782" s="1567">
        <v>46916</v>
      </c>
      <c r="K1782" s="1568" t="str">
        <f t="shared" si="27"/>
        <v>No</v>
      </c>
      <c r="L1782" s="1565"/>
    </row>
    <row r="1783" spans="1:12" ht="20.100000000000001" customHeight="1">
      <c r="A1783" s="1568" t="s">
        <v>3039</v>
      </c>
      <c r="B1783" s="1567">
        <v>43264</v>
      </c>
      <c r="C1783" s="1568" t="s">
        <v>3308</v>
      </c>
      <c r="D1783" s="1568" t="s">
        <v>3005</v>
      </c>
      <c r="E1783" s="1567">
        <v>44171</v>
      </c>
      <c r="F1783" s="1566">
        <v>84</v>
      </c>
      <c r="G1783" s="1566">
        <v>0</v>
      </c>
      <c r="H1783" s="1567"/>
      <c r="I1783" s="1567">
        <v>46916</v>
      </c>
      <c r="J1783" s="1567">
        <v>46916</v>
      </c>
      <c r="K1783" s="1568" t="str">
        <f t="shared" si="27"/>
        <v>No</v>
      </c>
      <c r="L1783" s="1565"/>
    </row>
    <row r="1784" spans="1:12" ht="20.100000000000001" customHeight="1">
      <c r="A1784" s="1568" t="s">
        <v>3039</v>
      </c>
      <c r="B1784" s="1567">
        <v>43264</v>
      </c>
      <c r="C1784" s="1568" t="s">
        <v>3308</v>
      </c>
      <c r="D1784" s="1568" t="s">
        <v>3005</v>
      </c>
      <c r="E1784" s="1567">
        <v>44202</v>
      </c>
      <c r="F1784" s="1566">
        <v>83</v>
      </c>
      <c r="G1784" s="1566">
        <v>0</v>
      </c>
      <c r="H1784" s="1567"/>
      <c r="I1784" s="1567">
        <v>46916</v>
      </c>
      <c r="J1784" s="1567">
        <v>46916</v>
      </c>
      <c r="K1784" s="1568" t="str">
        <f t="shared" si="27"/>
        <v>No</v>
      </c>
      <c r="L1784" s="1565"/>
    </row>
    <row r="1785" spans="1:12" ht="20.100000000000001" customHeight="1">
      <c r="A1785" s="1568" t="s">
        <v>3039</v>
      </c>
      <c r="B1785" s="1567">
        <v>43264</v>
      </c>
      <c r="C1785" s="1568" t="s">
        <v>3308</v>
      </c>
      <c r="D1785" s="1568" t="s">
        <v>3005</v>
      </c>
      <c r="E1785" s="1567">
        <v>44233</v>
      </c>
      <c r="F1785" s="1566">
        <v>83</v>
      </c>
      <c r="G1785" s="1566">
        <v>0</v>
      </c>
      <c r="H1785" s="1567"/>
      <c r="I1785" s="1567">
        <v>46916</v>
      </c>
      <c r="J1785" s="1567">
        <v>46916</v>
      </c>
      <c r="K1785" s="1568" t="str">
        <f t="shared" si="27"/>
        <v>No</v>
      </c>
      <c r="L1785" s="1565"/>
    </row>
    <row r="1786" spans="1:12" ht="20.100000000000001" customHeight="1">
      <c r="A1786" s="1568" t="s">
        <v>3039</v>
      </c>
      <c r="B1786" s="1567">
        <v>43264</v>
      </c>
      <c r="C1786" s="1568" t="s">
        <v>3308</v>
      </c>
      <c r="D1786" s="1568" t="s">
        <v>3005</v>
      </c>
      <c r="E1786" s="1567">
        <v>44261</v>
      </c>
      <c r="F1786" s="1566">
        <v>84</v>
      </c>
      <c r="G1786" s="1566">
        <v>0</v>
      </c>
      <c r="H1786" s="1567"/>
      <c r="I1786" s="1567">
        <v>46916</v>
      </c>
      <c r="J1786" s="1567">
        <v>46916</v>
      </c>
      <c r="K1786" s="1568" t="str">
        <f t="shared" si="27"/>
        <v>No</v>
      </c>
      <c r="L1786" s="1565"/>
    </row>
    <row r="1787" spans="1:12" ht="20.100000000000001" customHeight="1">
      <c r="A1787" s="1568" t="s">
        <v>3039</v>
      </c>
      <c r="B1787" s="1567">
        <v>43264</v>
      </c>
      <c r="C1787" s="1568" t="s">
        <v>3308</v>
      </c>
      <c r="D1787" s="1568" t="s">
        <v>3005</v>
      </c>
      <c r="E1787" s="1567">
        <v>44292</v>
      </c>
      <c r="F1787" s="1566">
        <v>83</v>
      </c>
      <c r="G1787" s="1566">
        <v>0</v>
      </c>
      <c r="H1787" s="1567"/>
      <c r="I1787" s="1567">
        <v>46916</v>
      </c>
      <c r="J1787" s="1567">
        <v>46916</v>
      </c>
      <c r="K1787" s="1568" t="str">
        <f t="shared" si="27"/>
        <v>No</v>
      </c>
      <c r="L1787" s="1565"/>
    </row>
    <row r="1788" spans="1:12" ht="20.100000000000001" customHeight="1">
      <c r="A1788" s="1568" t="s">
        <v>3039</v>
      </c>
      <c r="B1788" s="1567">
        <v>43264</v>
      </c>
      <c r="C1788" s="1568" t="s">
        <v>3308</v>
      </c>
      <c r="D1788" s="1568" t="s">
        <v>3005</v>
      </c>
      <c r="E1788" s="1567">
        <v>44322</v>
      </c>
      <c r="F1788" s="1566">
        <v>83</v>
      </c>
      <c r="G1788" s="1566">
        <v>0</v>
      </c>
      <c r="H1788" s="1567"/>
      <c r="I1788" s="1567">
        <v>46916</v>
      </c>
      <c r="J1788" s="1567">
        <v>46916</v>
      </c>
      <c r="K1788" s="1568" t="str">
        <f t="shared" si="27"/>
        <v>No</v>
      </c>
      <c r="L1788" s="1565"/>
    </row>
    <row r="1789" spans="1:12" ht="20.100000000000001" customHeight="1">
      <c r="A1789" s="1568" t="s">
        <v>3039</v>
      </c>
      <c r="B1789" s="1567">
        <v>43264</v>
      </c>
      <c r="C1789" s="1568" t="s">
        <v>3308</v>
      </c>
      <c r="D1789" s="1568" t="s">
        <v>3005</v>
      </c>
      <c r="E1789" s="1567">
        <v>44353</v>
      </c>
      <c r="F1789" s="1566">
        <v>84</v>
      </c>
      <c r="G1789" s="1566">
        <v>0</v>
      </c>
      <c r="H1789" s="1567"/>
      <c r="I1789" s="1567">
        <v>46916</v>
      </c>
      <c r="J1789" s="1567">
        <v>46916</v>
      </c>
      <c r="K1789" s="1568" t="str">
        <f t="shared" si="27"/>
        <v>No</v>
      </c>
      <c r="L1789" s="1565"/>
    </row>
    <row r="1790" spans="1:12" ht="20.100000000000001" customHeight="1">
      <c r="A1790" s="1568" t="s">
        <v>3039</v>
      </c>
      <c r="B1790" s="1567">
        <v>43264</v>
      </c>
      <c r="C1790" s="1568" t="s">
        <v>3308</v>
      </c>
      <c r="D1790" s="1568" t="s">
        <v>3005</v>
      </c>
      <c r="E1790" s="1567">
        <v>44383</v>
      </c>
      <c r="F1790" s="1566">
        <v>83</v>
      </c>
      <c r="G1790" s="1566">
        <v>0</v>
      </c>
      <c r="H1790" s="1567"/>
      <c r="I1790" s="1567">
        <v>46916</v>
      </c>
      <c r="J1790" s="1567">
        <v>46916</v>
      </c>
      <c r="K1790" s="1568" t="str">
        <f t="shared" si="27"/>
        <v>No</v>
      </c>
      <c r="L1790" s="1565"/>
    </row>
    <row r="1791" spans="1:12" ht="20.100000000000001" customHeight="1">
      <c r="A1791" s="1568" t="s">
        <v>3039</v>
      </c>
      <c r="B1791" s="1567">
        <v>43264</v>
      </c>
      <c r="C1791" s="1568" t="s">
        <v>3308</v>
      </c>
      <c r="D1791" s="1568" t="s">
        <v>3005</v>
      </c>
      <c r="E1791" s="1567">
        <v>44414</v>
      </c>
      <c r="F1791" s="1566">
        <v>83</v>
      </c>
      <c r="G1791" s="1566">
        <v>0</v>
      </c>
      <c r="H1791" s="1567"/>
      <c r="I1791" s="1567">
        <v>46916</v>
      </c>
      <c r="J1791" s="1567">
        <v>46916</v>
      </c>
      <c r="K1791" s="1568" t="str">
        <f t="shared" si="27"/>
        <v>No</v>
      </c>
      <c r="L1791" s="1565"/>
    </row>
    <row r="1792" spans="1:12" ht="20.100000000000001" customHeight="1">
      <c r="A1792" s="1568" t="s">
        <v>3039</v>
      </c>
      <c r="B1792" s="1567">
        <v>43264</v>
      </c>
      <c r="C1792" s="1568" t="s">
        <v>3308</v>
      </c>
      <c r="D1792" s="1568" t="s">
        <v>3005</v>
      </c>
      <c r="E1792" s="1567">
        <v>44445</v>
      </c>
      <c r="F1792" s="1566">
        <v>84</v>
      </c>
      <c r="G1792" s="1566">
        <v>0</v>
      </c>
      <c r="H1792" s="1567"/>
      <c r="I1792" s="1567">
        <v>46916</v>
      </c>
      <c r="J1792" s="1567">
        <v>46916</v>
      </c>
      <c r="K1792" s="1568" t="str">
        <f t="shared" si="27"/>
        <v>No</v>
      </c>
      <c r="L1792" s="1565"/>
    </row>
    <row r="1793" spans="1:12" ht="20.100000000000001" customHeight="1">
      <c r="A1793" s="1568" t="s">
        <v>3039</v>
      </c>
      <c r="B1793" s="1567">
        <v>43264</v>
      </c>
      <c r="C1793" s="1568" t="s">
        <v>3308</v>
      </c>
      <c r="D1793" s="1568" t="s">
        <v>3005</v>
      </c>
      <c r="E1793" s="1567">
        <v>44475</v>
      </c>
      <c r="F1793" s="1566">
        <v>83</v>
      </c>
      <c r="G1793" s="1566">
        <v>0</v>
      </c>
      <c r="H1793" s="1567"/>
      <c r="I1793" s="1567">
        <v>46916</v>
      </c>
      <c r="J1793" s="1567">
        <v>46916</v>
      </c>
      <c r="K1793" s="1568" t="str">
        <f t="shared" si="27"/>
        <v>No</v>
      </c>
      <c r="L1793" s="1565"/>
    </row>
    <row r="1794" spans="1:12" ht="20.100000000000001" customHeight="1">
      <c r="A1794" s="1568" t="s">
        <v>3039</v>
      </c>
      <c r="B1794" s="1567">
        <v>43264</v>
      </c>
      <c r="C1794" s="1568" t="s">
        <v>3308</v>
      </c>
      <c r="D1794" s="1568" t="s">
        <v>3005</v>
      </c>
      <c r="E1794" s="1567">
        <v>44506</v>
      </c>
      <c r="F1794" s="1566">
        <v>83</v>
      </c>
      <c r="G1794" s="1566">
        <v>0</v>
      </c>
      <c r="H1794" s="1567"/>
      <c r="I1794" s="1567">
        <v>46916</v>
      </c>
      <c r="J1794" s="1567">
        <v>46916</v>
      </c>
      <c r="K1794" s="1568" t="str">
        <f t="shared" si="27"/>
        <v>No</v>
      </c>
      <c r="L1794" s="1565"/>
    </row>
    <row r="1795" spans="1:12" ht="20.100000000000001" customHeight="1">
      <c r="A1795" s="1568" t="s">
        <v>3039</v>
      </c>
      <c r="B1795" s="1567">
        <v>43264</v>
      </c>
      <c r="C1795" s="1568" t="s">
        <v>3308</v>
      </c>
      <c r="D1795" s="1568" t="s">
        <v>3005</v>
      </c>
      <c r="E1795" s="1567">
        <v>44536</v>
      </c>
      <c r="F1795" s="1566">
        <v>84</v>
      </c>
      <c r="G1795" s="1566">
        <v>0</v>
      </c>
      <c r="H1795" s="1567"/>
      <c r="I1795" s="1567">
        <v>46916</v>
      </c>
      <c r="J1795" s="1567">
        <v>46916</v>
      </c>
      <c r="K1795" s="1568" t="str">
        <f t="shared" si="27"/>
        <v>No</v>
      </c>
      <c r="L1795" s="1565"/>
    </row>
    <row r="1796" spans="1:12" ht="20.100000000000001" customHeight="1">
      <c r="A1796" s="1568" t="s">
        <v>3039</v>
      </c>
      <c r="B1796" s="1567">
        <v>43264</v>
      </c>
      <c r="C1796" s="1568" t="s">
        <v>3308</v>
      </c>
      <c r="D1796" s="1568" t="s">
        <v>3005</v>
      </c>
      <c r="E1796" s="1567">
        <v>44567</v>
      </c>
      <c r="F1796" s="1566">
        <v>83</v>
      </c>
      <c r="G1796" s="1566">
        <v>0</v>
      </c>
      <c r="H1796" s="1567"/>
      <c r="I1796" s="1567">
        <v>46916</v>
      </c>
      <c r="J1796" s="1567">
        <v>46916</v>
      </c>
      <c r="K1796" s="1568" t="str">
        <f t="shared" si="27"/>
        <v>No</v>
      </c>
      <c r="L1796" s="1565"/>
    </row>
    <row r="1797" spans="1:12" ht="20.100000000000001" customHeight="1">
      <c r="A1797" s="1568" t="s">
        <v>3039</v>
      </c>
      <c r="B1797" s="1567">
        <v>43264</v>
      </c>
      <c r="C1797" s="1568" t="s">
        <v>3308</v>
      </c>
      <c r="D1797" s="1568" t="s">
        <v>3005</v>
      </c>
      <c r="E1797" s="1567">
        <v>44598</v>
      </c>
      <c r="F1797" s="1566">
        <v>83</v>
      </c>
      <c r="G1797" s="1566">
        <v>0</v>
      </c>
      <c r="H1797" s="1567"/>
      <c r="I1797" s="1567">
        <v>46916</v>
      </c>
      <c r="J1797" s="1567">
        <v>46916</v>
      </c>
      <c r="K1797" s="1568" t="str">
        <f t="shared" ref="K1797:K1860" si="28">IF(I1797="N/A","No",IF(E1797&lt;=I1797,"No","Yes"))</f>
        <v>No</v>
      </c>
      <c r="L1797" s="1565"/>
    </row>
    <row r="1798" spans="1:12" ht="20.100000000000001" customHeight="1">
      <c r="A1798" s="1568" t="s">
        <v>3039</v>
      </c>
      <c r="B1798" s="1567">
        <v>43264</v>
      </c>
      <c r="C1798" s="1568" t="s">
        <v>3308</v>
      </c>
      <c r="D1798" s="1568" t="s">
        <v>3005</v>
      </c>
      <c r="E1798" s="1567">
        <v>44626</v>
      </c>
      <c r="F1798" s="1566">
        <v>84</v>
      </c>
      <c r="G1798" s="1566">
        <v>0</v>
      </c>
      <c r="H1798" s="1567"/>
      <c r="I1798" s="1567">
        <v>46916</v>
      </c>
      <c r="J1798" s="1567">
        <v>46916</v>
      </c>
      <c r="K1798" s="1568" t="str">
        <f t="shared" si="28"/>
        <v>No</v>
      </c>
      <c r="L1798" s="1565"/>
    </row>
    <row r="1799" spans="1:12" ht="20.100000000000001" customHeight="1">
      <c r="A1799" s="1568" t="s">
        <v>3039</v>
      </c>
      <c r="B1799" s="1567">
        <v>43264</v>
      </c>
      <c r="C1799" s="1568" t="s">
        <v>3308</v>
      </c>
      <c r="D1799" s="1568" t="s">
        <v>3005</v>
      </c>
      <c r="E1799" s="1567">
        <v>44657</v>
      </c>
      <c r="F1799" s="1566">
        <v>83</v>
      </c>
      <c r="G1799" s="1566">
        <v>0</v>
      </c>
      <c r="H1799" s="1567"/>
      <c r="I1799" s="1567">
        <v>46916</v>
      </c>
      <c r="J1799" s="1567">
        <v>46916</v>
      </c>
      <c r="K1799" s="1568" t="str">
        <f t="shared" si="28"/>
        <v>No</v>
      </c>
      <c r="L1799" s="1565"/>
    </row>
    <row r="1800" spans="1:12" ht="20.100000000000001" customHeight="1">
      <c r="A1800" s="1568" t="s">
        <v>3039</v>
      </c>
      <c r="B1800" s="1567">
        <v>43264</v>
      </c>
      <c r="C1800" s="1568" t="s">
        <v>3308</v>
      </c>
      <c r="D1800" s="1568" t="s">
        <v>3005</v>
      </c>
      <c r="E1800" s="1567">
        <v>44687</v>
      </c>
      <c r="F1800" s="1566">
        <v>83</v>
      </c>
      <c r="G1800" s="1566">
        <v>0</v>
      </c>
      <c r="H1800" s="1567"/>
      <c r="I1800" s="1567">
        <v>46916</v>
      </c>
      <c r="J1800" s="1567">
        <v>46916</v>
      </c>
      <c r="K1800" s="1568" t="str">
        <f t="shared" si="28"/>
        <v>No</v>
      </c>
      <c r="L1800" s="1565"/>
    </row>
    <row r="1801" spans="1:12" ht="20.100000000000001" customHeight="1">
      <c r="A1801" s="1568" t="s">
        <v>3039</v>
      </c>
      <c r="B1801" s="1567">
        <v>43264</v>
      </c>
      <c r="C1801" s="1568" t="s">
        <v>3308</v>
      </c>
      <c r="D1801" s="1568" t="s">
        <v>3005</v>
      </c>
      <c r="E1801" s="1567">
        <v>44718</v>
      </c>
      <c r="F1801" s="1566">
        <v>84</v>
      </c>
      <c r="G1801" s="1566">
        <v>0</v>
      </c>
      <c r="H1801" s="1567"/>
      <c r="I1801" s="1567">
        <v>46916</v>
      </c>
      <c r="J1801" s="1567">
        <v>46916</v>
      </c>
      <c r="K1801" s="1568" t="str">
        <f t="shared" si="28"/>
        <v>No</v>
      </c>
      <c r="L1801" s="1565"/>
    </row>
    <row r="1802" spans="1:12" ht="20.100000000000001" customHeight="1">
      <c r="A1802" s="1568" t="s">
        <v>3038</v>
      </c>
      <c r="B1802" s="1567">
        <v>43368</v>
      </c>
      <c r="C1802" s="1568" t="s">
        <v>3308</v>
      </c>
      <c r="D1802" s="1568" t="s">
        <v>3037</v>
      </c>
      <c r="E1802" s="1567">
        <v>43683</v>
      </c>
      <c r="F1802" s="1566">
        <v>12500</v>
      </c>
      <c r="G1802" s="1566">
        <v>0</v>
      </c>
      <c r="H1802" s="1567"/>
      <c r="I1802" s="1567">
        <v>43434</v>
      </c>
      <c r="J1802" s="1567">
        <v>43434</v>
      </c>
      <c r="K1802" s="1568" t="str">
        <f t="shared" si="28"/>
        <v>Yes</v>
      </c>
      <c r="L1802" s="1565"/>
    </row>
    <row r="1803" spans="1:12" ht="20.100000000000001" customHeight="1">
      <c r="A1803" s="1568" t="s">
        <v>3038</v>
      </c>
      <c r="B1803" s="1567">
        <v>43368</v>
      </c>
      <c r="C1803" s="1568" t="s">
        <v>3308</v>
      </c>
      <c r="D1803" s="1568" t="s">
        <v>3037</v>
      </c>
      <c r="E1803" s="1567">
        <v>43714</v>
      </c>
      <c r="F1803" s="1566">
        <v>1041</v>
      </c>
      <c r="G1803" s="1566">
        <v>0</v>
      </c>
      <c r="H1803" s="1567"/>
      <c r="I1803" s="1567">
        <v>43434</v>
      </c>
      <c r="J1803" s="1567">
        <v>43434</v>
      </c>
      <c r="K1803" s="1568" t="str">
        <f t="shared" si="28"/>
        <v>Yes</v>
      </c>
      <c r="L1803" s="1565"/>
    </row>
    <row r="1804" spans="1:12" ht="20.100000000000001" customHeight="1">
      <c r="A1804" s="1568" t="s">
        <v>3038</v>
      </c>
      <c r="B1804" s="1567">
        <v>43368</v>
      </c>
      <c r="C1804" s="1568" t="s">
        <v>3308</v>
      </c>
      <c r="D1804" s="1568" t="s">
        <v>3037</v>
      </c>
      <c r="E1804" s="1567">
        <v>43744</v>
      </c>
      <c r="F1804" s="1566">
        <v>1042</v>
      </c>
      <c r="G1804" s="1566">
        <v>0</v>
      </c>
      <c r="H1804" s="1567"/>
      <c r="I1804" s="1567">
        <v>43434</v>
      </c>
      <c r="J1804" s="1567">
        <v>43434</v>
      </c>
      <c r="K1804" s="1568" t="str">
        <f t="shared" si="28"/>
        <v>Yes</v>
      </c>
      <c r="L1804" s="1565"/>
    </row>
    <row r="1805" spans="1:12" ht="20.100000000000001" customHeight="1">
      <c r="A1805" s="1568" t="s">
        <v>3038</v>
      </c>
      <c r="B1805" s="1567">
        <v>43368</v>
      </c>
      <c r="C1805" s="1568" t="s">
        <v>3308</v>
      </c>
      <c r="D1805" s="1568" t="s">
        <v>3037</v>
      </c>
      <c r="E1805" s="1567">
        <v>43775</v>
      </c>
      <c r="F1805" s="1566">
        <v>1042</v>
      </c>
      <c r="G1805" s="1566">
        <v>0</v>
      </c>
      <c r="H1805" s="1567"/>
      <c r="I1805" s="1567">
        <v>43434</v>
      </c>
      <c r="J1805" s="1567">
        <v>43434</v>
      </c>
      <c r="K1805" s="1568" t="str">
        <f t="shared" si="28"/>
        <v>Yes</v>
      </c>
      <c r="L1805" s="1565"/>
    </row>
    <row r="1806" spans="1:12" ht="20.100000000000001" customHeight="1">
      <c r="A1806" s="1568" t="s">
        <v>3038</v>
      </c>
      <c r="B1806" s="1567">
        <v>43368</v>
      </c>
      <c r="C1806" s="1568" t="s">
        <v>3308</v>
      </c>
      <c r="D1806" s="1568" t="s">
        <v>3037</v>
      </c>
      <c r="E1806" s="1567">
        <v>43805</v>
      </c>
      <c r="F1806" s="1566">
        <v>1041</v>
      </c>
      <c r="G1806" s="1566">
        <v>0</v>
      </c>
      <c r="H1806" s="1567"/>
      <c r="I1806" s="1567">
        <v>43434</v>
      </c>
      <c r="J1806" s="1567">
        <v>43434</v>
      </c>
      <c r="K1806" s="1568" t="str">
        <f t="shared" si="28"/>
        <v>Yes</v>
      </c>
      <c r="L1806" s="1565"/>
    </row>
    <row r="1807" spans="1:12" ht="20.100000000000001" customHeight="1">
      <c r="A1807" s="1568" t="s">
        <v>3038</v>
      </c>
      <c r="B1807" s="1567">
        <v>43368</v>
      </c>
      <c r="C1807" s="1568" t="s">
        <v>3308</v>
      </c>
      <c r="D1807" s="1568" t="s">
        <v>3037</v>
      </c>
      <c r="E1807" s="1567">
        <v>43836</v>
      </c>
      <c r="F1807" s="1566">
        <v>1042</v>
      </c>
      <c r="G1807" s="1566">
        <v>0</v>
      </c>
      <c r="H1807" s="1567"/>
      <c r="I1807" s="1567">
        <v>43434</v>
      </c>
      <c r="J1807" s="1567">
        <v>43434</v>
      </c>
      <c r="K1807" s="1568" t="str">
        <f t="shared" si="28"/>
        <v>Yes</v>
      </c>
      <c r="L1807" s="1565"/>
    </row>
    <row r="1808" spans="1:12" ht="20.100000000000001" customHeight="1">
      <c r="A1808" s="1568" t="s">
        <v>3038</v>
      </c>
      <c r="B1808" s="1567">
        <v>43368</v>
      </c>
      <c r="C1808" s="1568" t="s">
        <v>3308</v>
      </c>
      <c r="D1808" s="1568" t="s">
        <v>3037</v>
      </c>
      <c r="E1808" s="1567">
        <v>43867</v>
      </c>
      <c r="F1808" s="1566">
        <v>1042</v>
      </c>
      <c r="G1808" s="1566">
        <v>0</v>
      </c>
      <c r="H1808" s="1567"/>
      <c r="I1808" s="1567">
        <v>43434</v>
      </c>
      <c r="J1808" s="1567">
        <v>43434</v>
      </c>
      <c r="K1808" s="1568" t="str">
        <f t="shared" si="28"/>
        <v>Yes</v>
      </c>
      <c r="L1808" s="1565"/>
    </row>
    <row r="1809" spans="1:12" ht="20.100000000000001" customHeight="1">
      <c r="A1809" s="1568" t="s">
        <v>3038</v>
      </c>
      <c r="B1809" s="1567">
        <v>43368</v>
      </c>
      <c r="C1809" s="1568" t="s">
        <v>3308</v>
      </c>
      <c r="D1809" s="1568" t="s">
        <v>3037</v>
      </c>
      <c r="E1809" s="1567">
        <v>43896</v>
      </c>
      <c r="F1809" s="1566">
        <v>1041</v>
      </c>
      <c r="G1809" s="1566">
        <v>0</v>
      </c>
      <c r="H1809" s="1567"/>
      <c r="I1809" s="1567">
        <v>43434</v>
      </c>
      <c r="J1809" s="1567">
        <v>43434</v>
      </c>
      <c r="K1809" s="1568" t="str">
        <f t="shared" si="28"/>
        <v>Yes</v>
      </c>
      <c r="L1809" s="1565"/>
    </row>
    <row r="1810" spans="1:12" ht="20.100000000000001" customHeight="1">
      <c r="A1810" s="1568" t="s">
        <v>3038</v>
      </c>
      <c r="B1810" s="1567">
        <v>43368</v>
      </c>
      <c r="C1810" s="1568" t="s">
        <v>3308</v>
      </c>
      <c r="D1810" s="1568" t="s">
        <v>3037</v>
      </c>
      <c r="E1810" s="1567">
        <v>43927</v>
      </c>
      <c r="F1810" s="1566">
        <v>1042</v>
      </c>
      <c r="G1810" s="1566">
        <v>0</v>
      </c>
      <c r="H1810" s="1567"/>
      <c r="I1810" s="1567">
        <v>43434</v>
      </c>
      <c r="J1810" s="1567">
        <v>43434</v>
      </c>
      <c r="K1810" s="1568" t="str">
        <f t="shared" si="28"/>
        <v>Yes</v>
      </c>
      <c r="L1810" s="1565"/>
    </row>
    <row r="1811" spans="1:12" ht="20.100000000000001" customHeight="1">
      <c r="A1811" s="1568" t="s">
        <v>3038</v>
      </c>
      <c r="B1811" s="1567">
        <v>43368</v>
      </c>
      <c r="C1811" s="1568" t="s">
        <v>3308</v>
      </c>
      <c r="D1811" s="1568" t="s">
        <v>3037</v>
      </c>
      <c r="E1811" s="1567">
        <v>43957</v>
      </c>
      <c r="F1811" s="1566">
        <v>1042</v>
      </c>
      <c r="G1811" s="1566">
        <v>0</v>
      </c>
      <c r="H1811" s="1567"/>
      <c r="I1811" s="1567">
        <v>43434</v>
      </c>
      <c r="J1811" s="1567">
        <v>43434</v>
      </c>
      <c r="K1811" s="1568" t="str">
        <f t="shared" si="28"/>
        <v>Yes</v>
      </c>
      <c r="L1811" s="1565"/>
    </row>
    <row r="1812" spans="1:12" ht="20.100000000000001" customHeight="1">
      <c r="A1812" s="1568" t="s">
        <v>3038</v>
      </c>
      <c r="B1812" s="1567">
        <v>43368</v>
      </c>
      <c r="C1812" s="1568" t="s">
        <v>3308</v>
      </c>
      <c r="D1812" s="1568" t="s">
        <v>3037</v>
      </c>
      <c r="E1812" s="1567">
        <v>43988</v>
      </c>
      <c r="F1812" s="1566">
        <v>1041</v>
      </c>
      <c r="G1812" s="1566">
        <v>0</v>
      </c>
      <c r="H1812" s="1567"/>
      <c r="I1812" s="1567">
        <v>43434</v>
      </c>
      <c r="J1812" s="1567">
        <v>43434</v>
      </c>
      <c r="K1812" s="1568" t="str">
        <f t="shared" si="28"/>
        <v>Yes</v>
      </c>
      <c r="L1812" s="1565"/>
    </row>
    <row r="1813" spans="1:12" ht="20.100000000000001" customHeight="1">
      <c r="A1813" s="1568" t="s">
        <v>3038</v>
      </c>
      <c r="B1813" s="1567">
        <v>43368</v>
      </c>
      <c r="C1813" s="1568" t="s">
        <v>3308</v>
      </c>
      <c r="D1813" s="1568" t="s">
        <v>3037</v>
      </c>
      <c r="E1813" s="1567">
        <v>44018</v>
      </c>
      <c r="F1813" s="1566">
        <v>1042</v>
      </c>
      <c r="G1813" s="1566">
        <v>0</v>
      </c>
      <c r="H1813" s="1567"/>
      <c r="I1813" s="1567">
        <v>43434</v>
      </c>
      <c r="J1813" s="1567">
        <v>43434</v>
      </c>
      <c r="K1813" s="1568" t="str">
        <f t="shared" si="28"/>
        <v>Yes</v>
      </c>
      <c r="L1813" s="1565"/>
    </row>
    <row r="1814" spans="1:12" ht="20.100000000000001" customHeight="1">
      <c r="A1814" s="1568" t="s">
        <v>3038</v>
      </c>
      <c r="B1814" s="1567">
        <v>43368</v>
      </c>
      <c r="C1814" s="1568" t="s">
        <v>3308</v>
      </c>
      <c r="D1814" s="1568" t="s">
        <v>3037</v>
      </c>
      <c r="E1814" s="1567">
        <v>44049</v>
      </c>
      <c r="F1814" s="1566">
        <v>1042</v>
      </c>
      <c r="G1814" s="1566">
        <v>0</v>
      </c>
      <c r="H1814" s="1567"/>
      <c r="I1814" s="1567">
        <v>43434</v>
      </c>
      <c r="J1814" s="1567">
        <v>43434</v>
      </c>
      <c r="K1814" s="1568" t="str">
        <f t="shared" si="28"/>
        <v>Yes</v>
      </c>
      <c r="L1814" s="1565"/>
    </row>
    <row r="1815" spans="1:12" ht="20.100000000000001" customHeight="1">
      <c r="A1815" s="1568" t="s">
        <v>3038</v>
      </c>
      <c r="B1815" s="1567">
        <v>43368</v>
      </c>
      <c r="C1815" s="1568" t="s">
        <v>3308</v>
      </c>
      <c r="D1815" s="1568" t="s">
        <v>3037</v>
      </c>
      <c r="E1815" s="1567">
        <v>44080</v>
      </c>
      <c r="F1815" s="1566">
        <v>1041</v>
      </c>
      <c r="G1815" s="1566">
        <v>0</v>
      </c>
      <c r="H1815" s="1567"/>
      <c r="I1815" s="1567">
        <v>43434</v>
      </c>
      <c r="J1815" s="1567">
        <v>43434</v>
      </c>
      <c r="K1815" s="1568" t="str">
        <f t="shared" si="28"/>
        <v>Yes</v>
      </c>
      <c r="L1815" s="1565"/>
    </row>
    <row r="1816" spans="1:12" ht="20.100000000000001" customHeight="1">
      <c r="A1816" s="1568" t="s">
        <v>3038</v>
      </c>
      <c r="B1816" s="1567">
        <v>43368</v>
      </c>
      <c r="C1816" s="1568" t="s">
        <v>3308</v>
      </c>
      <c r="D1816" s="1568" t="s">
        <v>3037</v>
      </c>
      <c r="E1816" s="1567">
        <v>44110</v>
      </c>
      <c r="F1816" s="1566">
        <v>1042</v>
      </c>
      <c r="G1816" s="1566">
        <v>0</v>
      </c>
      <c r="H1816" s="1567"/>
      <c r="I1816" s="1567">
        <v>43434</v>
      </c>
      <c r="J1816" s="1567">
        <v>43434</v>
      </c>
      <c r="K1816" s="1568" t="str">
        <f t="shared" si="28"/>
        <v>Yes</v>
      </c>
      <c r="L1816" s="1565"/>
    </row>
    <row r="1817" spans="1:12" ht="20.100000000000001" customHeight="1">
      <c r="A1817" s="1568" t="s">
        <v>3038</v>
      </c>
      <c r="B1817" s="1567">
        <v>43368</v>
      </c>
      <c r="C1817" s="1568" t="s">
        <v>3308</v>
      </c>
      <c r="D1817" s="1568" t="s">
        <v>3037</v>
      </c>
      <c r="E1817" s="1567">
        <v>44141</v>
      </c>
      <c r="F1817" s="1566">
        <v>1042</v>
      </c>
      <c r="G1817" s="1566">
        <v>0</v>
      </c>
      <c r="H1817" s="1567"/>
      <c r="I1817" s="1567">
        <v>43434</v>
      </c>
      <c r="J1817" s="1567">
        <v>43434</v>
      </c>
      <c r="K1817" s="1568" t="str">
        <f t="shared" si="28"/>
        <v>Yes</v>
      </c>
      <c r="L1817" s="1565"/>
    </row>
    <row r="1818" spans="1:12" ht="20.100000000000001" customHeight="1">
      <c r="A1818" s="1568" t="s">
        <v>3038</v>
      </c>
      <c r="B1818" s="1567">
        <v>43368</v>
      </c>
      <c r="C1818" s="1568" t="s">
        <v>3308</v>
      </c>
      <c r="D1818" s="1568" t="s">
        <v>3037</v>
      </c>
      <c r="E1818" s="1567">
        <v>44171</v>
      </c>
      <c r="F1818" s="1566">
        <v>1041</v>
      </c>
      <c r="G1818" s="1566">
        <v>0</v>
      </c>
      <c r="H1818" s="1567"/>
      <c r="I1818" s="1567">
        <v>43434</v>
      </c>
      <c r="J1818" s="1567">
        <v>43434</v>
      </c>
      <c r="K1818" s="1568" t="str">
        <f t="shared" si="28"/>
        <v>Yes</v>
      </c>
      <c r="L1818" s="1565"/>
    </row>
    <row r="1819" spans="1:12" ht="20.100000000000001" customHeight="1">
      <c r="A1819" s="1568" t="s">
        <v>3038</v>
      </c>
      <c r="B1819" s="1567">
        <v>43368</v>
      </c>
      <c r="C1819" s="1568" t="s">
        <v>3308</v>
      </c>
      <c r="D1819" s="1568" t="s">
        <v>3037</v>
      </c>
      <c r="E1819" s="1567">
        <v>44202</v>
      </c>
      <c r="F1819" s="1566">
        <v>1042</v>
      </c>
      <c r="G1819" s="1566">
        <v>0</v>
      </c>
      <c r="H1819" s="1567"/>
      <c r="I1819" s="1567">
        <v>43434</v>
      </c>
      <c r="J1819" s="1567">
        <v>43434</v>
      </c>
      <c r="K1819" s="1568" t="str">
        <f t="shared" si="28"/>
        <v>Yes</v>
      </c>
      <c r="L1819" s="1565"/>
    </row>
    <row r="1820" spans="1:12" ht="20.100000000000001" customHeight="1">
      <c r="A1820" s="1568" t="s">
        <v>3038</v>
      </c>
      <c r="B1820" s="1567">
        <v>43368</v>
      </c>
      <c r="C1820" s="1568" t="s">
        <v>3308</v>
      </c>
      <c r="D1820" s="1568" t="s">
        <v>3037</v>
      </c>
      <c r="E1820" s="1567">
        <v>44233</v>
      </c>
      <c r="F1820" s="1566">
        <v>1042</v>
      </c>
      <c r="G1820" s="1566">
        <v>0</v>
      </c>
      <c r="H1820" s="1567"/>
      <c r="I1820" s="1567">
        <v>43434</v>
      </c>
      <c r="J1820" s="1567">
        <v>43434</v>
      </c>
      <c r="K1820" s="1568" t="str">
        <f t="shared" si="28"/>
        <v>Yes</v>
      </c>
      <c r="L1820" s="1565"/>
    </row>
    <row r="1821" spans="1:12" ht="20.100000000000001" customHeight="1">
      <c r="A1821" s="1568" t="s">
        <v>3038</v>
      </c>
      <c r="B1821" s="1567">
        <v>43368</v>
      </c>
      <c r="C1821" s="1568" t="s">
        <v>3308</v>
      </c>
      <c r="D1821" s="1568" t="s">
        <v>3037</v>
      </c>
      <c r="E1821" s="1567">
        <v>44261</v>
      </c>
      <c r="F1821" s="1566">
        <v>1041</v>
      </c>
      <c r="G1821" s="1566">
        <v>0</v>
      </c>
      <c r="H1821" s="1567"/>
      <c r="I1821" s="1567">
        <v>43434</v>
      </c>
      <c r="J1821" s="1567">
        <v>43434</v>
      </c>
      <c r="K1821" s="1568" t="str">
        <f t="shared" si="28"/>
        <v>Yes</v>
      </c>
      <c r="L1821" s="1565"/>
    </row>
    <row r="1822" spans="1:12" ht="20.100000000000001" customHeight="1">
      <c r="A1822" s="1568" t="s">
        <v>3038</v>
      </c>
      <c r="B1822" s="1567">
        <v>43368</v>
      </c>
      <c r="C1822" s="1568" t="s">
        <v>3308</v>
      </c>
      <c r="D1822" s="1568" t="s">
        <v>3037</v>
      </c>
      <c r="E1822" s="1567">
        <v>44292</v>
      </c>
      <c r="F1822" s="1566">
        <v>1042</v>
      </c>
      <c r="G1822" s="1566">
        <v>0</v>
      </c>
      <c r="H1822" s="1567"/>
      <c r="I1822" s="1567">
        <v>43434</v>
      </c>
      <c r="J1822" s="1567">
        <v>43434</v>
      </c>
      <c r="K1822" s="1568" t="str">
        <f t="shared" si="28"/>
        <v>Yes</v>
      </c>
      <c r="L1822" s="1565"/>
    </row>
    <row r="1823" spans="1:12" ht="20.100000000000001" customHeight="1">
      <c r="A1823" s="1568" t="s">
        <v>3038</v>
      </c>
      <c r="B1823" s="1567">
        <v>43368</v>
      </c>
      <c r="C1823" s="1568" t="s">
        <v>3308</v>
      </c>
      <c r="D1823" s="1568" t="s">
        <v>3037</v>
      </c>
      <c r="E1823" s="1567">
        <v>44322</v>
      </c>
      <c r="F1823" s="1566">
        <v>1042</v>
      </c>
      <c r="G1823" s="1566">
        <v>0</v>
      </c>
      <c r="H1823" s="1567"/>
      <c r="I1823" s="1567">
        <v>43434</v>
      </c>
      <c r="J1823" s="1567">
        <v>43434</v>
      </c>
      <c r="K1823" s="1568" t="str">
        <f t="shared" si="28"/>
        <v>Yes</v>
      </c>
      <c r="L1823" s="1565"/>
    </row>
    <row r="1824" spans="1:12" ht="20.100000000000001" customHeight="1">
      <c r="A1824" s="1568" t="s">
        <v>3038</v>
      </c>
      <c r="B1824" s="1567">
        <v>43368</v>
      </c>
      <c r="C1824" s="1568" t="s">
        <v>3308</v>
      </c>
      <c r="D1824" s="1568" t="s">
        <v>3037</v>
      </c>
      <c r="E1824" s="1567">
        <v>44353</v>
      </c>
      <c r="F1824" s="1566">
        <v>1041</v>
      </c>
      <c r="G1824" s="1566">
        <v>0</v>
      </c>
      <c r="H1824" s="1567"/>
      <c r="I1824" s="1567">
        <v>43434</v>
      </c>
      <c r="J1824" s="1567">
        <v>43434</v>
      </c>
      <c r="K1824" s="1568" t="str">
        <f t="shared" si="28"/>
        <v>Yes</v>
      </c>
      <c r="L1824" s="1565"/>
    </row>
    <row r="1825" spans="1:12" ht="20.100000000000001" customHeight="1">
      <c r="A1825" s="1568" t="s">
        <v>3038</v>
      </c>
      <c r="B1825" s="1567">
        <v>43368</v>
      </c>
      <c r="C1825" s="1568" t="s">
        <v>3308</v>
      </c>
      <c r="D1825" s="1568" t="s">
        <v>3037</v>
      </c>
      <c r="E1825" s="1567">
        <v>44383</v>
      </c>
      <c r="F1825" s="1566">
        <v>1042</v>
      </c>
      <c r="G1825" s="1566">
        <v>0</v>
      </c>
      <c r="H1825" s="1567"/>
      <c r="I1825" s="1567">
        <v>43434</v>
      </c>
      <c r="J1825" s="1567">
        <v>43434</v>
      </c>
      <c r="K1825" s="1568" t="str">
        <f t="shared" si="28"/>
        <v>Yes</v>
      </c>
      <c r="L1825" s="1565"/>
    </row>
    <row r="1826" spans="1:12" ht="20.100000000000001" customHeight="1">
      <c r="A1826" s="1568" t="s">
        <v>3038</v>
      </c>
      <c r="B1826" s="1567">
        <v>43368</v>
      </c>
      <c r="C1826" s="1568" t="s">
        <v>3308</v>
      </c>
      <c r="D1826" s="1568" t="s">
        <v>3037</v>
      </c>
      <c r="E1826" s="1567">
        <v>44414</v>
      </c>
      <c r="F1826" s="1566">
        <v>1042</v>
      </c>
      <c r="G1826" s="1566">
        <v>0</v>
      </c>
      <c r="H1826" s="1567"/>
      <c r="I1826" s="1567">
        <v>43434</v>
      </c>
      <c r="J1826" s="1567">
        <v>43434</v>
      </c>
      <c r="K1826" s="1568" t="str">
        <f t="shared" si="28"/>
        <v>Yes</v>
      </c>
      <c r="L1826" s="1565"/>
    </row>
    <row r="1827" spans="1:12" ht="20.100000000000001" customHeight="1">
      <c r="A1827" s="1568" t="s">
        <v>3038</v>
      </c>
      <c r="B1827" s="1567">
        <v>43368</v>
      </c>
      <c r="C1827" s="1568" t="s">
        <v>3308</v>
      </c>
      <c r="D1827" s="1568" t="s">
        <v>3037</v>
      </c>
      <c r="E1827" s="1567">
        <v>44445</v>
      </c>
      <c r="F1827" s="1566">
        <v>1041</v>
      </c>
      <c r="G1827" s="1566">
        <v>0</v>
      </c>
      <c r="H1827" s="1567"/>
      <c r="I1827" s="1567">
        <v>43434</v>
      </c>
      <c r="J1827" s="1567">
        <v>43434</v>
      </c>
      <c r="K1827" s="1568" t="str">
        <f t="shared" si="28"/>
        <v>Yes</v>
      </c>
      <c r="L1827" s="1565"/>
    </row>
    <row r="1828" spans="1:12" ht="20.100000000000001" customHeight="1">
      <c r="A1828" s="1568" t="s">
        <v>3038</v>
      </c>
      <c r="B1828" s="1567">
        <v>43368</v>
      </c>
      <c r="C1828" s="1568" t="s">
        <v>3308</v>
      </c>
      <c r="D1828" s="1568" t="s">
        <v>3037</v>
      </c>
      <c r="E1828" s="1567">
        <v>44475</v>
      </c>
      <c r="F1828" s="1566">
        <v>1042</v>
      </c>
      <c r="G1828" s="1566">
        <v>0</v>
      </c>
      <c r="H1828" s="1567"/>
      <c r="I1828" s="1567">
        <v>43434</v>
      </c>
      <c r="J1828" s="1567">
        <v>43434</v>
      </c>
      <c r="K1828" s="1568" t="str">
        <f t="shared" si="28"/>
        <v>Yes</v>
      </c>
      <c r="L1828" s="1565"/>
    </row>
    <row r="1829" spans="1:12" ht="20.100000000000001" customHeight="1">
      <c r="A1829" s="1568" t="s">
        <v>3038</v>
      </c>
      <c r="B1829" s="1567">
        <v>43368</v>
      </c>
      <c r="C1829" s="1568" t="s">
        <v>3308</v>
      </c>
      <c r="D1829" s="1568" t="s">
        <v>3037</v>
      </c>
      <c r="E1829" s="1567">
        <v>44506</v>
      </c>
      <c r="F1829" s="1566">
        <v>1042</v>
      </c>
      <c r="G1829" s="1566">
        <v>0</v>
      </c>
      <c r="H1829" s="1567"/>
      <c r="I1829" s="1567">
        <v>43434</v>
      </c>
      <c r="J1829" s="1567">
        <v>43434</v>
      </c>
      <c r="K1829" s="1568" t="str">
        <f t="shared" si="28"/>
        <v>Yes</v>
      </c>
      <c r="L1829" s="1565"/>
    </row>
    <row r="1830" spans="1:12" ht="20.100000000000001" customHeight="1">
      <c r="A1830" s="1568" t="s">
        <v>3038</v>
      </c>
      <c r="B1830" s="1567">
        <v>43368</v>
      </c>
      <c r="C1830" s="1568" t="s">
        <v>3308</v>
      </c>
      <c r="D1830" s="1568" t="s">
        <v>3037</v>
      </c>
      <c r="E1830" s="1567">
        <v>44536</v>
      </c>
      <c r="F1830" s="1566">
        <v>1041</v>
      </c>
      <c r="G1830" s="1566">
        <v>0</v>
      </c>
      <c r="H1830" s="1567"/>
      <c r="I1830" s="1567">
        <v>43434</v>
      </c>
      <c r="J1830" s="1567">
        <v>43434</v>
      </c>
      <c r="K1830" s="1568" t="str">
        <f t="shared" si="28"/>
        <v>Yes</v>
      </c>
      <c r="L1830" s="1565"/>
    </row>
    <row r="1831" spans="1:12" ht="20.100000000000001" customHeight="1">
      <c r="A1831" s="1568" t="s">
        <v>3038</v>
      </c>
      <c r="B1831" s="1567">
        <v>43368</v>
      </c>
      <c r="C1831" s="1568" t="s">
        <v>3308</v>
      </c>
      <c r="D1831" s="1568" t="s">
        <v>3037</v>
      </c>
      <c r="E1831" s="1567">
        <v>44567</v>
      </c>
      <c r="F1831" s="1566">
        <v>1042</v>
      </c>
      <c r="G1831" s="1566">
        <v>0</v>
      </c>
      <c r="H1831" s="1567"/>
      <c r="I1831" s="1567">
        <v>43434</v>
      </c>
      <c r="J1831" s="1567">
        <v>43434</v>
      </c>
      <c r="K1831" s="1568" t="str">
        <f t="shared" si="28"/>
        <v>Yes</v>
      </c>
      <c r="L1831" s="1565"/>
    </row>
    <row r="1832" spans="1:12" ht="20.100000000000001" customHeight="1">
      <c r="A1832" s="1568" t="s">
        <v>3038</v>
      </c>
      <c r="B1832" s="1567">
        <v>43368</v>
      </c>
      <c r="C1832" s="1568" t="s">
        <v>3308</v>
      </c>
      <c r="D1832" s="1568" t="s">
        <v>3037</v>
      </c>
      <c r="E1832" s="1567">
        <v>44598</v>
      </c>
      <c r="F1832" s="1566">
        <v>1042</v>
      </c>
      <c r="G1832" s="1566">
        <v>0</v>
      </c>
      <c r="H1832" s="1567"/>
      <c r="I1832" s="1567">
        <v>43434</v>
      </c>
      <c r="J1832" s="1567">
        <v>43434</v>
      </c>
      <c r="K1832" s="1568" t="str">
        <f t="shared" si="28"/>
        <v>Yes</v>
      </c>
      <c r="L1832" s="1565"/>
    </row>
    <row r="1833" spans="1:12" ht="20.100000000000001" customHeight="1">
      <c r="A1833" s="1568" t="s">
        <v>3038</v>
      </c>
      <c r="B1833" s="1567">
        <v>43368</v>
      </c>
      <c r="C1833" s="1568" t="s">
        <v>3308</v>
      </c>
      <c r="D1833" s="1568" t="s">
        <v>3037</v>
      </c>
      <c r="E1833" s="1567">
        <v>44626</v>
      </c>
      <c r="F1833" s="1566">
        <v>1041</v>
      </c>
      <c r="G1833" s="1566">
        <v>0</v>
      </c>
      <c r="H1833" s="1567"/>
      <c r="I1833" s="1567">
        <v>43434</v>
      </c>
      <c r="J1833" s="1567">
        <v>43434</v>
      </c>
      <c r="K1833" s="1568" t="str">
        <f t="shared" si="28"/>
        <v>Yes</v>
      </c>
      <c r="L1833" s="1565"/>
    </row>
    <row r="1834" spans="1:12" ht="20.100000000000001" customHeight="1">
      <c r="A1834" s="1568" t="s">
        <v>3038</v>
      </c>
      <c r="B1834" s="1567">
        <v>43368</v>
      </c>
      <c r="C1834" s="1568" t="s">
        <v>3308</v>
      </c>
      <c r="D1834" s="1568" t="s">
        <v>3037</v>
      </c>
      <c r="E1834" s="1567">
        <v>44657</v>
      </c>
      <c r="F1834" s="1566">
        <v>1042</v>
      </c>
      <c r="G1834" s="1566">
        <v>0</v>
      </c>
      <c r="H1834" s="1567"/>
      <c r="I1834" s="1567">
        <v>43434</v>
      </c>
      <c r="J1834" s="1567">
        <v>43434</v>
      </c>
      <c r="K1834" s="1568" t="str">
        <f t="shared" si="28"/>
        <v>Yes</v>
      </c>
      <c r="L1834" s="1565"/>
    </row>
    <row r="1835" spans="1:12" ht="20.100000000000001" customHeight="1">
      <c r="A1835" s="1568" t="s">
        <v>3038</v>
      </c>
      <c r="B1835" s="1567">
        <v>43368</v>
      </c>
      <c r="C1835" s="1568" t="s">
        <v>3308</v>
      </c>
      <c r="D1835" s="1568" t="s">
        <v>3037</v>
      </c>
      <c r="E1835" s="1567">
        <v>44687</v>
      </c>
      <c r="F1835" s="1566">
        <v>1042</v>
      </c>
      <c r="G1835" s="1566">
        <v>0</v>
      </c>
      <c r="H1835" s="1567"/>
      <c r="I1835" s="1567">
        <v>43434</v>
      </c>
      <c r="J1835" s="1567">
        <v>43434</v>
      </c>
      <c r="K1835" s="1568" t="str">
        <f t="shared" si="28"/>
        <v>Yes</v>
      </c>
      <c r="L1835" s="1565"/>
    </row>
    <row r="1836" spans="1:12" ht="20.100000000000001" customHeight="1">
      <c r="A1836" s="1568" t="s">
        <v>3038</v>
      </c>
      <c r="B1836" s="1567">
        <v>43368</v>
      </c>
      <c r="C1836" s="1568" t="s">
        <v>3308</v>
      </c>
      <c r="D1836" s="1568" t="s">
        <v>3037</v>
      </c>
      <c r="E1836" s="1567">
        <v>44718</v>
      </c>
      <c r="F1836" s="1566">
        <v>1041</v>
      </c>
      <c r="G1836" s="1566">
        <v>0</v>
      </c>
      <c r="H1836" s="1567"/>
      <c r="I1836" s="1567">
        <v>43434</v>
      </c>
      <c r="J1836" s="1567">
        <v>43434</v>
      </c>
      <c r="K1836" s="1568" t="str">
        <f t="shared" si="28"/>
        <v>Yes</v>
      </c>
      <c r="L1836" s="1565"/>
    </row>
    <row r="1837" spans="1:12" ht="20.100000000000001" customHeight="1">
      <c r="A1837" s="1568" t="s">
        <v>3038</v>
      </c>
      <c r="B1837" s="1567">
        <v>43368</v>
      </c>
      <c r="C1837" s="1568" t="s">
        <v>3308</v>
      </c>
      <c r="D1837" s="1568" t="s">
        <v>3037</v>
      </c>
      <c r="E1837" s="1567">
        <v>44748</v>
      </c>
      <c r="F1837" s="1566">
        <v>1042</v>
      </c>
      <c r="G1837" s="1566">
        <v>0</v>
      </c>
      <c r="H1837" s="1567"/>
      <c r="I1837" s="1567">
        <v>43434</v>
      </c>
      <c r="J1837" s="1567">
        <v>43434</v>
      </c>
      <c r="K1837" s="1568" t="str">
        <f t="shared" si="28"/>
        <v>Yes</v>
      </c>
      <c r="L1837" s="1565"/>
    </row>
    <row r="1838" spans="1:12" ht="20.100000000000001" customHeight="1">
      <c r="A1838" s="1568" t="s">
        <v>3038</v>
      </c>
      <c r="B1838" s="1567">
        <v>43368</v>
      </c>
      <c r="C1838" s="1568" t="s">
        <v>3308</v>
      </c>
      <c r="D1838" s="1568" t="s">
        <v>3037</v>
      </c>
      <c r="E1838" s="1567">
        <v>44779</v>
      </c>
      <c r="F1838" s="1566">
        <v>1042</v>
      </c>
      <c r="G1838" s="1566">
        <v>0</v>
      </c>
      <c r="H1838" s="1567"/>
      <c r="I1838" s="1567">
        <v>43434</v>
      </c>
      <c r="J1838" s="1567">
        <v>43434</v>
      </c>
      <c r="K1838" s="1568" t="str">
        <f t="shared" si="28"/>
        <v>Yes</v>
      </c>
      <c r="L1838" s="1565"/>
    </row>
    <row r="1839" spans="1:12" ht="20.100000000000001" customHeight="1">
      <c r="A1839" s="1568" t="s">
        <v>3036</v>
      </c>
      <c r="B1839" s="1567">
        <v>43368</v>
      </c>
      <c r="C1839" s="1568" t="s">
        <v>3308</v>
      </c>
      <c r="D1839" s="1568" t="s">
        <v>3008</v>
      </c>
      <c r="E1839" s="1567">
        <v>43648</v>
      </c>
      <c r="F1839" s="1566">
        <v>3000</v>
      </c>
      <c r="G1839" s="1566">
        <v>0</v>
      </c>
      <c r="H1839" s="1567"/>
      <c r="I1839" s="1567">
        <v>47020</v>
      </c>
      <c r="J1839" s="1567">
        <v>47020</v>
      </c>
      <c r="K1839" s="1568" t="str">
        <f t="shared" si="28"/>
        <v>No</v>
      </c>
      <c r="L1839" s="1565"/>
    </row>
    <row r="1840" spans="1:12" ht="20.100000000000001" customHeight="1">
      <c r="A1840" s="1568" t="s">
        <v>3036</v>
      </c>
      <c r="B1840" s="1567">
        <v>43368</v>
      </c>
      <c r="C1840" s="1568" t="s">
        <v>3308</v>
      </c>
      <c r="D1840" s="1568" t="s">
        <v>3008</v>
      </c>
      <c r="E1840" s="1567">
        <v>43679</v>
      </c>
      <c r="F1840" s="1566">
        <v>250</v>
      </c>
      <c r="G1840" s="1566">
        <v>0</v>
      </c>
      <c r="H1840" s="1567"/>
      <c r="I1840" s="1567">
        <v>47020</v>
      </c>
      <c r="J1840" s="1567">
        <v>47020</v>
      </c>
      <c r="K1840" s="1568" t="str">
        <f t="shared" si="28"/>
        <v>No</v>
      </c>
      <c r="L1840" s="1565"/>
    </row>
    <row r="1841" spans="1:12" ht="20.100000000000001" customHeight="1">
      <c r="A1841" s="1568" t="s">
        <v>3036</v>
      </c>
      <c r="B1841" s="1567">
        <v>43368</v>
      </c>
      <c r="C1841" s="1568" t="s">
        <v>3308</v>
      </c>
      <c r="D1841" s="1568" t="s">
        <v>3008</v>
      </c>
      <c r="E1841" s="1567">
        <v>43710</v>
      </c>
      <c r="F1841" s="1566">
        <v>250</v>
      </c>
      <c r="G1841" s="1566">
        <v>0</v>
      </c>
      <c r="H1841" s="1567"/>
      <c r="I1841" s="1567">
        <v>47020</v>
      </c>
      <c r="J1841" s="1567">
        <v>47020</v>
      </c>
      <c r="K1841" s="1568" t="str">
        <f t="shared" si="28"/>
        <v>No</v>
      </c>
      <c r="L1841" s="1565"/>
    </row>
    <row r="1842" spans="1:12" ht="20.100000000000001" customHeight="1">
      <c r="A1842" s="1568" t="s">
        <v>3036</v>
      </c>
      <c r="B1842" s="1567">
        <v>43368</v>
      </c>
      <c r="C1842" s="1568" t="s">
        <v>3308</v>
      </c>
      <c r="D1842" s="1568" t="s">
        <v>3008</v>
      </c>
      <c r="E1842" s="1567">
        <v>43740</v>
      </c>
      <c r="F1842" s="1566">
        <v>250</v>
      </c>
      <c r="G1842" s="1566">
        <v>0</v>
      </c>
      <c r="H1842" s="1567"/>
      <c r="I1842" s="1567">
        <v>47020</v>
      </c>
      <c r="J1842" s="1567">
        <v>47020</v>
      </c>
      <c r="K1842" s="1568" t="str">
        <f t="shared" si="28"/>
        <v>No</v>
      </c>
      <c r="L1842" s="1565"/>
    </row>
    <row r="1843" spans="1:12" ht="20.100000000000001" customHeight="1">
      <c r="A1843" s="1568" t="s">
        <v>3036</v>
      </c>
      <c r="B1843" s="1567">
        <v>43368</v>
      </c>
      <c r="C1843" s="1568" t="s">
        <v>3308</v>
      </c>
      <c r="D1843" s="1568" t="s">
        <v>3008</v>
      </c>
      <c r="E1843" s="1567">
        <v>43771</v>
      </c>
      <c r="F1843" s="1566">
        <v>250</v>
      </c>
      <c r="G1843" s="1566">
        <v>0</v>
      </c>
      <c r="H1843" s="1567"/>
      <c r="I1843" s="1567">
        <v>47020</v>
      </c>
      <c r="J1843" s="1567">
        <v>47020</v>
      </c>
      <c r="K1843" s="1568" t="str">
        <f t="shared" si="28"/>
        <v>No</v>
      </c>
      <c r="L1843" s="1565"/>
    </row>
    <row r="1844" spans="1:12" ht="20.100000000000001" customHeight="1">
      <c r="A1844" s="1568" t="s">
        <v>3036</v>
      </c>
      <c r="B1844" s="1567">
        <v>43368</v>
      </c>
      <c r="C1844" s="1568" t="s">
        <v>3308</v>
      </c>
      <c r="D1844" s="1568" t="s">
        <v>3008</v>
      </c>
      <c r="E1844" s="1567">
        <v>43801</v>
      </c>
      <c r="F1844" s="1566">
        <v>250</v>
      </c>
      <c r="G1844" s="1566">
        <v>0</v>
      </c>
      <c r="H1844" s="1567"/>
      <c r="I1844" s="1567">
        <v>47020</v>
      </c>
      <c r="J1844" s="1567">
        <v>47020</v>
      </c>
      <c r="K1844" s="1568" t="str">
        <f t="shared" si="28"/>
        <v>No</v>
      </c>
      <c r="L1844" s="1565"/>
    </row>
    <row r="1845" spans="1:12" ht="20.100000000000001" customHeight="1">
      <c r="A1845" s="1568" t="s">
        <v>3036</v>
      </c>
      <c r="B1845" s="1567">
        <v>43368</v>
      </c>
      <c r="C1845" s="1568" t="s">
        <v>3308</v>
      </c>
      <c r="D1845" s="1568" t="s">
        <v>3008</v>
      </c>
      <c r="E1845" s="1567">
        <v>43832</v>
      </c>
      <c r="F1845" s="1566">
        <v>250</v>
      </c>
      <c r="G1845" s="1566">
        <v>0</v>
      </c>
      <c r="H1845" s="1567"/>
      <c r="I1845" s="1567">
        <v>47020</v>
      </c>
      <c r="J1845" s="1567">
        <v>47020</v>
      </c>
      <c r="K1845" s="1568" t="str">
        <f t="shared" si="28"/>
        <v>No</v>
      </c>
      <c r="L1845" s="1565"/>
    </row>
    <row r="1846" spans="1:12" ht="20.100000000000001" customHeight="1">
      <c r="A1846" s="1568" t="s">
        <v>3036</v>
      </c>
      <c r="B1846" s="1567">
        <v>43368</v>
      </c>
      <c r="C1846" s="1568" t="s">
        <v>3308</v>
      </c>
      <c r="D1846" s="1568" t="s">
        <v>3008</v>
      </c>
      <c r="E1846" s="1567">
        <v>43863</v>
      </c>
      <c r="F1846" s="1566">
        <v>250</v>
      </c>
      <c r="G1846" s="1566">
        <v>0</v>
      </c>
      <c r="H1846" s="1567"/>
      <c r="I1846" s="1567">
        <v>47020</v>
      </c>
      <c r="J1846" s="1567">
        <v>47020</v>
      </c>
      <c r="K1846" s="1568" t="str">
        <f t="shared" si="28"/>
        <v>No</v>
      </c>
      <c r="L1846" s="1565"/>
    </row>
    <row r="1847" spans="1:12" ht="20.100000000000001" customHeight="1">
      <c r="A1847" s="1568" t="s">
        <v>3036</v>
      </c>
      <c r="B1847" s="1567">
        <v>43368</v>
      </c>
      <c r="C1847" s="1568" t="s">
        <v>3308</v>
      </c>
      <c r="D1847" s="1568" t="s">
        <v>3008</v>
      </c>
      <c r="E1847" s="1567">
        <v>43892</v>
      </c>
      <c r="F1847" s="1566">
        <v>250</v>
      </c>
      <c r="G1847" s="1566">
        <v>0</v>
      </c>
      <c r="H1847" s="1567"/>
      <c r="I1847" s="1567">
        <v>47020</v>
      </c>
      <c r="J1847" s="1567">
        <v>47020</v>
      </c>
      <c r="K1847" s="1568" t="str">
        <f t="shared" si="28"/>
        <v>No</v>
      </c>
      <c r="L1847" s="1565"/>
    </row>
    <row r="1848" spans="1:12" ht="20.100000000000001" customHeight="1">
      <c r="A1848" s="1568" t="s">
        <v>3036</v>
      </c>
      <c r="B1848" s="1567">
        <v>43368</v>
      </c>
      <c r="C1848" s="1568" t="s">
        <v>3308</v>
      </c>
      <c r="D1848" s="1568" t="s">
        <v>3008</v>
      </c>
      <c r="E1848" s="1567">
        <v>43923</v>
      </c>
      <c r="F1848" s="1566">
        <v>250</v>
      </c>
      <c r="G1848" s="1566">
        <v>0</v>
      </c>
      <c r="H1848" s="1567"/>
      <c r="I1848" s="1567">
        <v>47020</v>
      </c>
      <c r="J1848" s="1567">
        <v>47020</v>
      </c>
      <c r="K1848" s="1568" t="str">
        <f t="shared" si="28"/>
        <v>No</v>
      </c>
      <c r="L1848" s="1565"/>
    </row>
    <row r="1849" spans="1:12" ht="20.100000000000001" customHeight="1">
      <c r="A1849" s="1568" t="s">
        <v>3036</v>
      </c>
      <c r="B1849" s="1567">
        <v>43368</v>
      </c>
      <c r="C1849" s="1568" t="s">
        <v>3308</v>
      </c>
      <c r="D1849" s="1568" t="s">
        <v>3008</v>
      </c>
      <c r="E1849" s="1567">
        <v>43953</v>
      </c>
      <c r="F1849" s="1566">
        <v>250</v>
      </c>
      <c r="G1849" s="1566">
        <v>0</v>
      </c>
      <c r="H1849" s="1567"/>
      <c r="I1849" s="1567">
        <v>47020</v>
      </c>
      <c r="J1849" s="1567">
        <v>47020</v>
      </c>
      <c r="K1849" s="1568" t="str">
        <f t="shared" si="28"/>
        <v>No</v>
      </c>
      <c r="L1849" s="1565"/>
    </row>
    <row r="1850" spans="1:12" ht="20.100000000000001" customHeight="1">
      <c r="A1850" s="1568" t="s">
        <v>3036</v>
      </c>
      <c r="B1850" s="1567">
        <v>43368</v>
      </c>
      <c r="C1850" s="1568" t="s">
        <v>3308</v>
      </c>
      <c r="D1850" s="1568" t="s">
        <v>3008</v>
      </c>
      <c r="E1850" s="1567">
        <v>43984</v>
      </c>
      <c r="F1850" s="1566">
        <v>250</v>
      </c>
      <c r="G1850" s="1566">
        <v>0</v>
      </c>
      <c r="H1850" s="1567"/>
      <c r="I1850" s="1567">
        <v>47020</v>
      </c>
      <c r="J1850" s="1567">
        <v>47020</v>
      </c>
      <c r="K1850" s="1568" t="str">
        <f t="shared" si="28"/>
        <v>No</v>
      </c>
      <c r="L1850" s="1565"/>
    </row>
    <row r="1851" spans="1:12" ht="20.100000000000001" customHeight="1">
      <c r="A1851" s="1568" t="s">
        <v>3036</v>
      </c>
      <c r="B1851" s="1567">
        <v>43368</v>
      </c>
      <c r="C1851" s="1568" t="s">
        <v>3308</v>
      </c>
      <c r="D1851" s="1568" t="s">
        <v>3008</v>
      </c>
      <c r="E1851" s="1567">
        <v>44014</v>
      </c>
      <c r="F1851" s="1566">
        <v>250</v>
      </c>
      <c r="G1851" s="1566">
        <v>0</v>
      </c>
      <c r="H1851" s="1567"/>
      <c r="I1851" s="1567">
        <v>47020</v>
      </c>
      <c r="J1851" s="1567">
        <v>47020</v>
      </c>
      <c r="K1851" s="1568" t="str">
        <f t="shared" si="28"/>
        <v>No</v>
      </c>
      <c r="L1851" s="1565"/>
    </row>
    <row r="1852" spans="1:12" ht="20.100000000000001" customHeight="1">
      <c r="A1852" s="1568" t="s">
        <v>3036</v>
      </c>
      <c r="B1852" s="1567">
        <v>43368</v>
      </c>
      <c r="C1852" s="1568" t="s">
        <v>3308</v>
      </c>
      <c r="D1852" s="1568" t="s">
        <v>3008</v>
      </c>
      <c r="E1852" s="1567">
        <v>44045</v>
      </c>
      <c r="F1852" s="1566">
        <v>250</v>
      </c>
      <c r="G1852" s="1566">
        <v>0</v>
      </c>
      <c r="H1852" s="1567"/>
      <c r="I1852" s="1567">
        <v>47020</v>
      </c>
      <c r="J1852" s="1567">
        <v>47020</v>
      </c>
      <c r="K1852" s="1568" t="str">
        <f t="shared" si="28"/>
        <v>No</v>
      </c>
      <c r="L1852" s="1565"/>
    </row>
    <row r="1853" spans="1:12" ht="20.100000000000001" customHeight="1">
      <c r="A1853" s="1568" t="s">
        <v>3036</v>
      </c>
      <c r="B1853" s="1567">
        <v>43368</v>
      </c>
      <c r="C1853" s="1568" t="s">
        <v>3308</v>
      </c>
      <c r="D1853" s="1568" t="s">
        <v>3008</v>
      </c>
      <c r="E1853" s="1567">
        <v>44076</v>
      </c>
      <c r="F1853" s="1566">
        <v>250</v>
      </c>
      <c r="G1853" s="1566">
        <v>0</v>
      </c>
      <c r="H1853" s="1567"/>
      <c r="I1853" s="1567">
        <v>47020</v>
      </c>
      <c r="J1853" s="1567">
        <v>47020</v>
      </c>
      <c r="K1853" s="1568" t="str">
        <f t="shared" si="28"/>
        <v>No</v>
      </c>
      <c r="L1853" s="1565"/>
    </row>
    <row r="1854" spans="1:12" ht="20.100000000000001" customHeight="1">
      <c r="A1854" s="1568" t="s">
        <v>3036</v>
      </c>
      <c r="B1854" s="1567">
        <v>43368</v>
      </c>
      <c r="C1854" s="1568" t="s">
        <v>3308</v>
      </c>
      <c r="D1854" s="1568" t="s">
        <v>3008</v>
      </c>
      <c r="E1854" s="1567">
        <v>44106</v>
      </c>
      <c r="F1854" s="1566">
        <v>250</v>
      </c>
      <c r="G1854" s="1566">
        <v>0</v>
      </c>
      <c r="H1854" s="1567"/>
      <c r="I1854" s="1567">
        <v>47020</v>
      </c>
      <c r="J1854" s="1567">
        <v>47020</v>
      </c>
      <c r="K1854" s="1568" t="str">
        <f t="shared" si="28"/>
        <v>No</v>
      </c>
      <c r="L1854" s="1565"/>
    </row>
    <row r="1855" spans="1:12" ht="20.100000000000001" customHeight="1">
      <c r="A1855" s="1568" t="s">
        <v>3036</v>
      </c>
      <c r="B1855" s="1567">
        <v>43368</v>
      </c>
      <c r="C1855" s="1568" t="s">
        <v>3308</v>
      </c>
      <c r="D1855" s="1568" t="s">
        <v>3008</v>
      </c>
      <c r="E1855" s="1567">
        <v>44137</v>
      </c>
      <c r="F1855" s="1566">
        <v>250</v>
      </c>
      <c r="G1855" s="1566">
        <v>0</v>
      </c>
      <c r="H1855" s="1567"/>
      <c r="I1855" s="1567">
        <v>47020</v>
      </c>
      <c r="J1855" s="1567">
        <v>47020</v>
      </c>
      <c r="K1855" s="1568" t="str">
        <f t="shared" si="28"/>
        <v>No</v>
      </c>
      <c r="L1855" s="1565"/>
    </row>
    <row r="1856" spans="1:12" ht="20.100000000000001" customHeight="1">
      <c r="A1856" s="1568" t="s">
        <v>3036</v>
      </c>
      <c r="B1856" s="1567">
        <v>43368</v>
      </c>
      <c r="C1856" s="1568" t="s">
        <v>3308</v>
      </c>
      <c r="D1856" s="1568" t="s">
        <v>3008</v>
      </c>
      <c r="E1856" s="1567">
        <v>44167</v>
      </c>
      <c r="F1856" s="1566">
        <v>250</v>
      </c>
      <c r="G1856" s="1566">
        <v>0</v>
      </c>
      <c r="H1856" s="1567"/>
      <c r="I1856" s="1567">
        <v>47020</v>
      </c>
      <c r="J1856" s="1567">
        <v>47020</v>
      </c>
      <c r="K1856" s="1568" t="str">
        <f t="shared" si="28"/>
        <v>No</v>
      </c>
      <c r="L1856" s="1565"/>
    </row>
    <row r="1857" spans="1:12" ht="20.100000000000001" customHeight="1">
      <c r="A1857" s="1568" t="s">
        <v>3036</v>
      </c>
      <c r="B1857" s="1567">
        <v>43368</v>
      </c>
      <c r="C1857" s="1568" t="s">
        <v>3308</v>
      </c>
      <c r="D1857" s="1568" t="s">
        <v>3008</v>
      </c>
      <c r="E1857" s="1567">
        <v>44198</v>
      </c>
      <c r="F1857" s="1566">
        <v>250</v>
      </c>
      <c r="G1857" s="1566">
        <v>0</v>
      </c>
      <c r="H1857" s="1567"/>
      <c r="I1857" s="1567">
        <v>47020</v>
      </c>
      <c r="J1857" s="1567">
        <v>47020</v>
      </c>
      <c r="K1857" s="1568" t="str">
        <f t="shared" si="28"/>
        <v>No</v>
      </c>
      <c r="L1857" s="1565"/>
    </row>
    <row r="1858" spans="1:12" ht="20.100000000000001" customHeight="1">
      <c r="A1858" s="1568" t="s">
        <v>3036</v>
      </c>
      <c r="B1858" s="1567">
        <v>43368</v>
      </c>
      <c r="C1858" s="1568" t="s">
        <v>3308</v>
      </c>
      <c r="D1858" s="1568" t="s">
        <v>3008</v>
      </c>
      <c r="E1858" s="1567">
        <v>44229</v>
      </c>
      <c r="F1858" s="1566">
        <v>250</v>
      </c>
      <c r="G1858" s="1566">
        <v>0</v>
      </c>
      <c r="H1858" s="1567"/>
      <c r="I1858" s="1567">
        <v>47020</v>
      </c>
      <c r="J1858" s="1567">
        <v>47020</v>
      </c>
      <c r="K1858" s="1568" t="str">
        <f t="shared" si="28"/>
        <v>No</v>
      </c>
      <c r="L1858" s="1565"/>
    </row>
    <row r="1859" spans="1:12" ht="20.100000000000001" customHeight="1">
      <c r="A1859" s="1568" t="s">
        <v>3036</v>
      </c>
      <c r="B1859" s="1567">
        <v>43368</v>
      </c>
      <c r="C1859" s="1568" t="s">
        <v>3308</v>
      </c>
      <c r="D1859" s="1568" t="s">
        <v>3008</v>
      </c>
      <c r="E1859" s="1567">
        <v>44257</v>
      </c>
      <c r="F1859" s="1566">
        <v>250</v>
      </c>
      <c r="G1859" s="1566">
        <v>0</v>
      </c>
      <c r="H1859" s="1567"/>
      <c r="I1859" s="1567">
        <v>47020</v>
      </c>
      <c r="J1859" s="1567">
        <v>47020</v>
      </c>
      <c r="K1859" s="1568" t="str">
        <f t="shared" si="28"/>
        <v>No</v>
      </c>
      <c r="L1859" s="1565"/>
    </row>
    <row r="1860" spans="1:12" ht="20.100000000000001" customHeight="1">
      <c r="A1860" s="1568" t="s">
        <v>3036</v>
      </c>
      <c r="B1860" s="1567">
        <v>43368</v>
      </c>
      <c r="C1860" s="1568" t="s">
        <v>3308</v>
      </c>
      <c r="D1860" s="1568" t="s">
        <v>3008</v>
      </c>
      <c r="E1860" s="1567">
        <v>44288</v>
      </c>
      <c r="F1860" s="1566">
        <v>250</v>
      </c>
      <c r="G1860" s="1566">
        <v>0</v>
      </c>
      <c r="H1860" s="1567"/>
      <c r="I1860" s="1567">
        <v>47020</v>
      </c>
      <c r="J1860" s="1567">
        <v>47020</v>
      </c>
      <c r="K1860" s="1568" t="str">
        <f t="shared" si="28"/>
        <v>No</v>
      </c>
      <c r="L1860" s="1565"/>
    </row>
    <row r="1861" spans="1:12" ht="20.100000000000001" customHeight="1">
      <c r="A1861" s="1568" t="s">
        <v>3036</v>
      </c>
      <c r="B1861" s="1567">
        <v>43368</v>
      </c>
      <c r="C1861" s="1568" t="s">
        <v>3308</v>
      </c>
      <c r="D1861" s="1568" t="s">
        <v>3008</v>
      </c>
      <c r="E1861" s="1567">
        <v>44318</v>
      </c>
      <c r="F1861" s="1566">
        <v>250</v>
      </c>
      <c r="G1861" s="1566">
        <v>0</v>
      </c>
      <c r="H1861" s="1567"/>
      <c r="I1861" s="1567">
        <v>47020</v>
      </c>
      <c r="J1861" s="1567">
        <v>47020</v>
      </c>
      <c r="K1861" s="1568" t="str">
        <f t="shared" ref="K1861:K1924" si="29">IF(I1861="N/A","No",IF(E1861&lt;=I1861,"No","Yes"))</f>
        <v>No</v>
      </c>
      <c r="L1861" s="1565"/>
    </row>
    <row r="1862" spans="1:12" ht="20.100000000000001" customHeight="1">
      <c r="A1862" s="1568" t="s">
        <v>3036</v>
      </c>
      <c r="B1862" s="1567">
        <v>43368</v>
      </c>
      <c r="C1862" s="1568" t="s">
        <v>3308</v>
      </c>
      <c r="D1862" s="1568" t="s">
        <v>3008</v>
      </c>
      <c r="E1862" s="1567">
        <v>44349</v>
      </c>
      <c r="F1862" s="1566">
        <v>250</v>
      </c>
      <c r="G1862" s="1566">
        <v>0</v>
      </c>
      <c r="H1862" s="1567"/>
      <c r="I1862" s="1567">
        <v>47020</v>
      </c>
      <c r="J1862" s="1567">
        <v>47020</v>
      </c>
      <c r="K1862" s="1568" t="str">
        <f t="shared" si="29"/>
        <v>No</v>
      </c>
      <c r="L1862" s="1565"/>
    </row>
    <row r="1863" spans="1:12" ht="20.100000000000001" customHeight="1">
      <c r="A1863" s="1568" t="s">
        <v>3036</v>
      </c>
      <c r="B1863" s="1567">
        <v>43368</v>
      </c>
      <c r="C1863" s="1568" t="s">
        <v>3308</v>
      </c>
      <c r="D1863" s="1568" t="s">
        <v>3008</v>
      </c>
      <c r="E1863" s="1567">
        <v>44379</v>
      </c>
      <c r="F1863" s="1566">
        <v>250</v>
      </c>
      <c r="G1863" s="1566">
        <v>0</v>
      </c>
      <c r="H1863" s="1567"/>
      <c r="I1863" s="1567">
        <v>47020</v>
      </c>
      <c r="J1863" s="1567">
        <v>47020</v>
      </c>
      <c r="K1863" s="1568" t="str">
        <f t="shared" si="29"/>
        <v>No</v>
      </c>
      <c r="L1863" s="1565"/>
    </row>
    <row r="1864" spans="1:12" ht="20.100000000000001" customHeight="1">
      <c r="A1864" s="1568" t="s">
        <v>3036</v>
      </c>
      <c r="B1864" s="1567">
        <v>43368</v>
      </c>
      <c r="C1864" s="1568" t="s">
        <v>3308</v>
      </c>
      <c r="D1864" s="1568" t="s">
        <v>3008</v>
      </c>
      <c r="E1864" s="1567">
        <v>44410</v>
      </c>
      <c r="F1864" s="1566">
        <v>250</v>
      </c>
      <c r="G1864" s="1566">
        <v>0</v>
      </c>
      <c r="H1864" s="1567"/>
      <c r="I1864" s="1567">
        <v>47020</v>
      </c>
      <c r="J1864" s="1567">
        <v>47020</v>
      </c>
      <c r="K1864" s="1568" t="str">
        <f t="shared" si="29"/>
        <v>No</v>
      </c>
      <c r="L1864" s="1565"/>
    </row>
    <row r="1865" spans="1:12" ht="20.100000000000001" customHeight="1">
      <c r="A1865" s="1568" t="s">
        <v>3036</v>
      </c>
      <c r="B1865" s="1567">
        <v>43368</v>
      </c>
      <c r="C1865" s="1568" t="s">
        <v>3308</v>
      </c>
      <c r="D1865" s="1568" t="s">
        <v>3008</v>
      </c>
      <c r="E1865" s="1567">
        <v>44441</v>
      </c>
      <c r="F1865" s="1566">
        <v>250</v>
      </c>
      <c r="G1865" s="1566">
        <v>0</v>
      </c>
      <c r="H1865" s="1567"/>
      <c r="I1865" s="1567">
        <v>47020</v>
      </c>
      <c r="J1865" s="1567">
        <v>47020</v>
      </c>
      <c r="K1865" s="1568" t="str">
        <f t="shared" si="29"/>
        <v>No</v>
      </c>
      <c r="L1865" s="1565"/>
    </row>
    <row r="1866" spans="1:12" ht="20.100000000000001" customHeight="1">
      <c r="A1866" s="1568" t="s">
        <v>3036</v>
      </c>
      <c r="B1866" s="1567">
        <v>43368</v>
      </c>
      <c r="C1866" s="1568" t="s">
        <v>3308</v>
      </c>
      <c r="D1866" s="1568" t="s">
        <v>3008</v>
      </c>
      <c r="E1866" s="1567">
        <v>44471</v>
      </c>
      <c r="F1866" s="1566">
        <v>250</v>
      </c>
      <c r="G1866" s="1566">
        <v>0</v>
      </c>
      <c r="H1866" s="1567"/>
      <c r="I1866" s="1567">
        <v>47020</v>
      </c>
      <c r="J1866" s="1567">
        <v>47020</v>
      </c>
      <c r="K1866" s="1568" t="str">
        <f t="shared" si="29"/>
        <v>No</v>
      </c>
      <c r="L1866" s="1565"/>
    </row>
    <row r="1867" spans="1:12" ht="20.100000000000001" customHeight="1">
      <c r="A1867" s="1568" t="s">
        <v>3036</v>
      </c>
      <c r="B1867" s="1567">
        <v>43368</v>
      </c>
      <c r="C1867" s="1568" t="s">
        <v>3308</v>
      </c>
      <c r="D1867" s="1568" t="s">
        <v>3008</v>
      </c>
      <c r="E1867" s="1567">
        <v>44502</v>
      </c>
      <c r="F1867" s="1566">
        <v>250</v>
      </c>
      <c r="G1867" s="1566">
        <v>0</v>
      </c>
      <c r="H1867" s="1567"/>
      <c r="I1867" s="1567">
        <v>47020</v>
      </c>
      <c r="J1867" s="1567">
        <v>47020</v>
      </c>
      <c r="K1867" s="1568" t="str">
        <f t="shared" si="29"/>
        <v>No</v>
      </c>
      <c r="L1867" s="1565"/>
    </row>
    <row r="1868" spans="1:12" ht="20.100000000000001" customHeight="1">
      <c r="A1868" s="1568" t="s">
        <v>3036</v>
      </c>
      <c r="B1868" s="1567">
        <v>43368</v>
      </c>
      <c r="C1868" s="1568" t="s">
        <v>3308</v>
      </c>
      <c r="D1868" s="1568" t="s">
        <v>3008</v>
      </c>
      <c r="E1868" s="1567">
        <v>44532</v>
      </c>
      <c r="F1868" s="1566">
        <v>250</v>
      </c>
      <c r="G1868" s="1566">
        <v>0</v>
      </c>
      <c r="H1868" s="1567"/>
      <c r="I1868" s="1567">
        <v>47020</v>
      </c>
      <c r="J1868" s="1567">
        <v>47020</v>
      </c>
      <c r="K1868" s="1568" t="str">
        <f t="shared" si="29"/>
        <v>No</v>
      </c>
      <c r="L1868" s="1565"/>
    </row>
    <row r="1869" spans="1:12" ht="20.100000000000001" customHeight="1">
      <c r="A1869" s="1568" t="s">
        <v>3036</v>
      </c>
      <c r="B1869" s="1567">
        <v>43368</v>
      </c>
      <c r="C1869" s="1568" t="s">
        <v>3308</v>
      </c>
      <c r="D1869" s="1568" t="s">
        <v>3008</v>
      </c>
      <c r="E1869" s="1567">
        <v>44563</v>
      </c>
      <c r="F1869" s="1566">
        <v>250</v>
      </c>
      <c r="G1869" s="1566">
        <v>0</v>
      </c>
      <c r="H1869" s="1567"/>
      <c r="I1869" s="1567">
        <v>47020</v>
      </c>
      <c r="J1869" s="1567">
        <v>47020</v>
      </c>
      <c r="K1869" s="1568" t="str">
        <f t="shared" si="29"/>
        <v>No</v>
      </c>
      <c r="L1869" s="1565"/>
    </row>
    <row r="1870" spans="1:12" ht="20.100000000000001" customHeight="1">
      <c r="A1870" s="1568" t="s">
        <v>3036</v>
      </c>
      <c r="B1870" s="1567">
        <v>43368</v>
      </c>
      <c r="C1870" s="1568" t="s">
        <v>3308</v>
      </c>
      <c r="D1870" s="1568" t="s">
        <v>3008</v>
      </c>
      <c r="E1870" s="1567">
        <v>44594</v>
      </c>
      <c r="F1870" s="1566">
        <v>250</v>
      </c>
      <c r="G1870" s="1566">
        <v>0</v>
      </c>
      <c r="H1870" s="1567"/>
      <c r="I1870" s="1567">
        <v>47020</v>
      </c>
      <c r="J1870" s="1567">
        <v>47020</v>
      </c>
      <c r="K1870" s="1568" t="str">
        <f t="shared" si="29"/>
        <v>No</v>
      </c>
      <c r="L1870" s="1565"/>
    </row>
    <row r="1871" spans="1:12" ht="20.100000000000001" customHeight="1">
      <c r="A1871" s="1568" t="s">
        <v>3036</v>
      </c>
      <c r="B1871" s="1567">
        <v>43368</v>
      </c>
      <c r="C1871" s="1568" t="s">
        <v>3308</v>
      </c>
      <c r="D1871" s="1568" t="s">
        <v>3008</v>
      </c>
      <c r="E1871" s="1567">
        <v>44622</v>
      </c>
      <c r="F1871" s="1566">
        <v>250</v>
      </c>
      <c r="G1871" s="1566">
        <v>0</v>
      </c>
      <c r="H1871" s="1567"/>
      <c r="I1871" s="1567">
        <v>47020</v>
      </c>
      <c r="J1871" s="1567">
        <v>47020</v>
      </c>
      <c r="K1871" s="1568" t="str">
        <f t="shared" si="29"/>
        <v>No</v>
      </c>
      <c r="L1871" s="1565"/>
    </row>
    <row r="1872" spans="1:12" ht="20.100000000000001" customHeight="1">
      <c r="A1872" s="1568" t="s">
        <v>3036</v>
      </c>
      <c r="B1872" s="1567">
        <v>43368</v>
      </c>
      <c r="C1872" s="1568" t="s">
        <v>3308</v>
      </c>
      <c r="D1872" s="1568" t="s">
        <v>3008</v>
      </c>
      <c r="E1872" s="1567">
        <v>44653</v>
      </c>
      <c r="F1872" s="1566">
        <v>250</v>
      </c>
      <c r="G1872" s="1566">
        <v>0</v>
      </c>
      <c r="H1872" s="1567"/>
      <c r="I1872" s="1567">
        <v>47020</v>
      </c>
      <c r="J1872" s="1567">
        <v>47020</v>
      </c>
      <c r="K1872" s="1568" t="str">
        <f t="shared" si="29"/>
        <v>No</v>
      </c>
      <c r="L1872" s="1565"/>
    </row>
    <row r="1873" spans="1:12" ht="20.100000000000001" customHeight="1">
      <c r="A1873" s="1568" t="s">
        <v>3036</v>
      </c>
      <c r="B1873" s="1567">
        <v>43368</v>
      </c>
      <c r="C1873" s="1568" t="s">
        <v>3308</v>
      </c>
      <c r="D1873" s="1568" t="s">
        <v>3008</v>
      </c>
      <c r="E1873" s="1567">
        <v>44683</v>
      </c>
      <c r="F1873" s="1566">
        <v>250</v>
      </c>
      <c r="G1873" s="1566">
        <v>0</v>
      </c>
      <c r="H1873" s="1567"/>
      <c r="I1873" s="1567">
        <v>47020</v>
      </c>
      <c r="J1873" s="1567">
        <v>47020</v>
      </c>
      <c r="K1873" s="1568" t="str">
        <f t="shared" si="29"/>
        <v>No</v>
      </c>
      <c r="L1873" s="1565"/>
    </row>
    <row r="1874" spans="1:12" ht="20.100000000000001" customHeight="1">
      <c r="A1874" s="1568" t="s">
        <v>3036</v>
      </c>
      <c r="B1874" s="1567">
        <v>43368</v>
      </c>
      <c r="C1874" s="1568" t="s">
        <v>3308</v>
      </c>
      <c r="D1874" s="1568" t="s">
        <v>3008</v>
      </c>
      <c r="E1874" s="1567">
        <v>44714</v>
      </c>
      <c r="F1874" s="1566">
        <v>250</v>
      </c>
      <c r="G1874" s="1566">
        <v>0</v>
      </c>
      <c r="H1874" s="1567"/>
      <c r="I1874" s="1567">
        <v>47020</v>
      </c>
      <c r="J1874" s="1567">
        <v>47020</v>
      </c>
      <c r="K1874" s="1568" t="str">
        <f t="shared" si="29"/>
        <v>No</v>
      </c>
      <c r="L1874" s="1565"/>
    </row>
    <row r="1875" spans="1:12" ht="20.100000000000001" customHeight="1">
      <c r="A1875" s="1568" t="s">
        <v>3036</v>
      </c>
      <c r="B1875" s="1567">
        <v>43368</v>
      </c>
      <c r="C1875" s="1568" t="s">
        <v>3308</v>
      </c>
      <c r="D1875" s="1568" t="s">
        <v>3008</v>
      </c>
      <c r="E1875" s="1567">
        <v>44744</v>
      </c>
      <c r="F1875" s="1566">
        <v>250</v>
      </c>
      <c r="G1875" s="1566">
        <v>0</v>
      </c>
      <c r="H1875" s="1567"/>
      <c r="I1875" s="1567">
        <v>47020</v>
      </c>
      <c r="J1875" s="1567">
        <v>47020</v>
      </c>
      <c r="K1875" s="1568" t="str">
        <f t="shared" si="29"/>
        <v>No</v>
      </c>
      <c r="L1875" s="1565"/>
    </row>
    <row r="1876" spans="1:12" ht="20.100000000000001" customHeight="1">
      <c r="A1876" s="1568" t="s">
        <v>3034</v>
      </c>
      <c r="B1876" s="1567">
        <v>43368</v>
      </c>
      <c r="C1876" s="1568" t="s">
        <v>3308</v>
      </c>
      <c r="D1876" s="1568" t="s">
        <v>3006</v>
      </c>
      <c r="E1876" s="1567">
        <v>43704</v>
      </c>
      <c r="F1876" s="1566">
        <v>93750</v>
      </c>
      <c r="G1876" s="1566">
        <v>0</v>
      </c>
      <c r="H1876" s="1567"/>
      <c r="I1876" s="1567">
        <v>47020</v>
      </c>
      <c r="J1876" s="1567">
        <v>47020</v>
      </c>
      <c r="K1876" s="1568" t="str">
        <f t="shared" si="29"/>
        <v>No</v>
      </c>
      <c r="L1876" s="1565"/>
    </row>
    <row r="1877" spans="1:12" ht="20.100000000000001" customHeight="1">
      <c r="A1877" s="1568" t="s">
        <v>3034</v>
      </c>
      <c r="B1877" s="1567">
        <v>43368</v>
      </c>
      <c r="C1877" s="1568" t="s">
        <v>3308</v>
      </c>
      <c r="D1877" s="1568" t="s">
        <v>3006</v>
      </c>
      <c r="E1877" s="1567">
        <v>43735</v>
      </c>
      <c r="F1877" s="1566">
        <v>7812</v>
      </c>
      <c r="G1877" s="1566">
        <v>0</v>
      </c>
      <c r="H1877" s="1567"/>
      <c r="I1877" s="1567">
        <v>47020</v>
      </c>
      <c r="J1877" s="1567">
        <v>47020</v>
      </c>
      <c r="K1877" s="1568" t="str">
        <f t="shared" si="29"/>
        <v>No</v>
      </c>
      <c r="L1877" s="1565"/>
    </row>
    <row r="1878" spans="1:12" ht="20.100000000000001" customHeight="1">
      <c r="A1878" s="1568" t="s">
        <v>3034</v>
      </c>
      <c r="B1878" s="1567">
        <v>43368</v>
      </c>
      <c r="C1878" s="1568" t="s">
        <v>3308</v>
      </c>
      <c r="D1878" s="1568" t="s">
        <v>3006</v>
      </c>
      <c r="E1878" s="1567">
        <v>43765</v>
      </c>
      <c r="F1878" s="1566">
        <v>7813</v>
      </c>
      <c r="G1878" s="1566">
        <v>0</v>
      </c>
      <c r="H1878" s="1567"/>
      <c r="I1878" s="1567">
        <v>47020</v>
      </c>
      <c r="J1878" s="1567">
        <v>47020</v>
      </c>
      <c r="K1878" s="1568" t="str">
        <f t="shared" si="29"/>
        <v>No</v>
      </c>
      <c r="L1878" s="1565"/>
    </row>
    <row r="1879" spans="1:12" ht="20.100000000000001" customHeight="1">
      <c r="A1879" s="1568" t="s">
        <v>3034</v>
      </c>
      <c r="B1879" s="1567">
        <v>43368</v>
      </c>
      <c r="C1879" s="1568" t="s">
        <v>3308</v>
      </c>
      <c r="D1879" s="1568" t="s">
        <v>3006</v>
      </c>
      <c r="E1879" s="1567">
        <v>43796</v>
      </c>
      <c r="F1879" s="1566">
        <v>7812</v>
      </c>
      <c r="G1879" s="1566">
        <v>0</v>
      </c>
      <c r="H1879" s="1567"/>
      <c r="I1879" s="1567">
        <v>47020</v>
      </c>
      <c r="J1879" s="1567">
        <v>47020</v>
      </c>
      <c r="K1879" s="1568" t="str">
        <f t="shared" si="29"/>
        <v>No</v>
      </c>
      <c r="L1879" s="1565"/>
    </row>
    <row r="1880" spans="1:12" ht="20.100000000000001" customHeight="1">
      <c r="A1880" s="1568" t="s">
        <v>3034</v>
      </c>
      <c r="B1880" s="1567">
        <v>43368</v>
      </c>
      <c r="C1880" s="1568" t="s">
        <v>3308</v>
      </c>
      <c r="D1880" s="1568" t="s">
        <v>3006</v>
      </c>
      <c r="E1880" s="1567">
        <v>43826</v>
      </c>
      <c r="F1880" s="1566">
        <v>7813</v>
      </c>
      <c r="G1880" s="1566">
        <v>0</v>
      </c>
      <c r="H1880" s="1567"/>
      <c r="I1880" s="1567">
        <v>47020</v>
      </c>
      <c r="J1880" s="1567">
        <v>47020</v>
      </c>
      <c r="K1880" s="1568" t="str">
        <f t="shared" si="29"/>
        <v>No</v>
      </c>
      <c r="L1880" s="1565"/>
    </row>
    <row r="1881" spans="1:12" ht="20.100000000000001" customHeight="1">
      <c r="A1881" s="1568" t="s">
        <v>3034</v>
      </c>
      <c r="B1881" s="1567">
        <v>43368</v>
      </c>
      <c r="C1881" s="1568" t="s">
        <v>3308</v>
      </c>
      <c r="D1881" s="1568" t="s">
        <v>3006</v>
      </c>
      <c r="E1881" s="1567">
        <v>43857</v>
      </c>
      <c r="F1881" s="1566">
        <v>7812</v>
      </c>
      <c r="G1881" s="1566">
        <v>0</v>
      </c>
      <c r="H1881" s="1567"/>
      <c r="I1881" s="1567">
        <v>47020</v>
      </c>
      <c r="J1881" s="1567">
        <v>47020</v>
      </c>
      <c r="K1881" s="1568" t="str">
        <f t="shared" si="29"/>
        <v>No</v>
      </c>
      <c r="L1881" s="1565"/>
    </row>
    <row r="1882" spans="1:12" ht="20.100000000000001" customHeight="1">
      <c r="A1882" s="1568" t="s">
        <v>3034</v>
      </c>
      <c r="B1882" s="1567">
        <v>43368</v>
      </c>
      <c r="C1882" s="1568" t="s">
        <v>3308</v>
      </c>
      <c r="D1882" s="1568" t="s">
        <v>3006</v>
      </c>
      <c r="E1882" s="1567">
        <v>43888</v>
      </c>
      <c r="F1882" s="1566">
        <v>7813</v>
      </c>
      <c r="G1882" s="1566">
        <v>0</v>
      </c>
      <c r="H1882" s="1567"/>
      <c r="I1882" s="1567">
        <v>47020</v>
      </c>
      <c r="J1882" s="1567">
        <v>47020</v>
      </c>
      <c r="K1882" s="1568" t="str">
        <f t="shared" si="29"/>
        <v>No</v>
      </c>
      <c r="L1882" s="1565"/>
    </row>
    <row r="1883" spans="1:12" ht="20.100000000000001" customHeight="1">
      <c r="A1883" s="1568" t="s">
        <v>3034</v>
      </c>
      <c r="B1883" s="1567">
        <v>43368</v>
      </c>
      <c r="C1883" s="1568" t="s">
        <v>3308</v>
      </c>
      <c r="D1883" s="1568" t="s">
        <v>3006</v>
      </c>
      <c r="E1883" s="1567">
        <v>43917</v>
      </c>
      <c r="F1883" s="1566">
        <v>7812</v>
      </c>
      <c r="G1883" s="1566">
        <v>0</v>
      </c>
      <c r="H1883" s="1567"/>
      <c r="I1883" s="1567">
        <v>47020</v>
      </c>
      <c r="J1883" s="1567">
        <v>47020</v>
      </c>
      <c r="K1883" s="1568" t="str">
        <f t="shared" si="29"/>
        <v>No</v>
      </c>
      <c r="L1883" s="1565"/>
    </row>
    <row r="1884" spans="1:12" ht="20.100000000000001" customHeight="1">
      <c r="A1884" s="1568" t="s">
        <v>3034</v>
      </c>
      <c r="B1884" s="1567">
        <v>43368</v>
      </c>
      <c r="C1884" s="1568" t="s">
        <v>3308</v>
      </c>
      <c r="D1884" s="1568" t="s">
        <v>3006</v>
      </c>
      <c r="E1884" s="1567">
        <v>43948</v>
      </c>
      <c r="F1884" s="1566">
        <v>7813</v>
      </c>
      <c r="G1884" s="1566">
        <v>0</v>
      </c>
      <c r="H1884" s="1567"/>
      <c r="I1884" s="1567">
        <v>47020</v>
      </c>
      <c r="J1884" s="1567">
        <v>47020</v>
      </c>
      <c r="K1884" s="1568" t="str">
        <f t="shared" si="29"/>
        <v>No</v>
      </c>
      <c r="L1884" s="1565"/>
    </row>
    <row r="1885" spans="1:12" ht="20.100000000000001" customHeight="1">
      <c r="A1885" s="1568" t="s">
        <v>3034</v>
      </c>
      <c r="B1885" s="1567">
        <v>43368</v>
      </c>
      <c r="C1885" s="1568" t="s">
        <v>3308</v>
      </c>
      <c r="D1885" s="1568" t="s">
        <v>3006</v>
      </c>
      <c r="E1885" s="1567">
        <v>43978</v>
      </c>
      <c r="F1885" s="1566">
        <v>7812</v>
      </c>
      <c r="G1885" s="1566">
        <v>0</v>
      </c>
      <c r="H1885" s="1567"/>
      <c r="I1885" s="1567">
        <v>47020</v>
      </c>
      <c r="J1885" s="1567">
        <v>47020</v>
      </c>
      <c r="K1885" s="1568" t="str">
        <f t="shared" si="29"/>
        <v>No</v>
      </c>
      <c r="L1885" s="1565"/>
    </row>
    <row r="1886" spans="1:12" ht="20.100000000000001" customHeight="1">
      <c r="A1886" s="1568" t="s">
        <v>3034</v>
      </c>
      <c r="B1886" s="1567">
        <v>43368</v>
      </c>
      <c r="C1886" s="1568" t="s">
        <v>3308</v>
      </c>
      <c r="D1886" s="1568" t="s">
        <v>3006</v>
      </c>
      <c r="E1886" s="1567">
        <v>44009</v>
      </c>
      <c r="F1886" s="1566">
        <v>7813</v>
      </c>
      <c r="G1886" s="1566">
        <v>0</v>
      </c>
      <c r="H1886" s="1567"/>
      <c r="I1886" s="1567">
        <v>47020</v>
      </c>
      <c r="J1886" s="1567">
        <v>47020</v>
      </c>
      <c r="K1886" s="1568" t="str">
        <f t="shared" si="29"/>
        <v>No</v>
      </c>
      <c r="L1886" s="1565"/>
    </row>
    <row r="1887" spans="1:12" ht="20.100000000000001" customHeight="1">
      <c r="A1887" s="1568" t="s">
        <v>3034</v>
      </c>
      <c r="B1887" s="1567">
        <v>43368</v>
      </c>
      <c r="C1887" s="1568" t="s">
        <v>3308</v>
      </c>
      <c r="D1887" s="1568" t="s">
        <v>3006</v>
      </c>
      <c r="E1887" s="1567">
        <v>44039</v>
      </c>
      <c r="F1887" s="1566">
        <v>7812</v>
      </c>
      <c r="G1887" s="1566">
        <v>0</v>
      </c>
      <c r="H1887" s="1567"/>
      <c r="I1887" s="1567">
        <v>47020</v>
      </c>
      <c r="J1887" s="1567">
        <v>47020</v>
      </c>
      <c r="K1887" s="1568" t="str">
        <f t="shared" si="29"/>
        <v>No</v>
      </c>
      <c r="L1887" s="1565"/>
    </row>
    <row r="1888" spans="1:12" ht="20.100000000000001" customHeight="1">
      <c r="A1888" s="1568" t="s">
        <v>3034</v>
      </c>
      <c r="B1888" s="1567">
        <v>43368</v>
      </c>
      <c r="C1888" s="1568" t="s">
        <v>3308</v>
      </c>
      <c r="D1888" s="1568" t="s">
        <v>3006</v>
      </c>
      <c r="E1888" s="1567">
        <v>44070</v>
      </c>
      <c r="F1888" s="1566">
        <v>7813</v>
      </c>
      <c r="G1888" s="1566">
        <v>0</v>
      </c>
      <c r="H1888" s="1567"/>
      <c r="I1888" s="1567">
        <v>47020</v>
      </c>
      <c r="J1888" s="1567">
        <v>47020</v>
      </c>
      <c r="K1888" s="1568" t="str">
        <f t="shared" si="29"/>
        <v>No</v>
      </c>
      <c r="L1888" s="1565"/>
    </row>
    <row r="1889" spans="1:12" ht="20.100000000000001" customHeight="1">
      <c r="A1889" s="1568" t="s">
        <v>3034</v>
      </c>
      <c r="B1889" s="1567">
        <v>43368</v>
      </c>
      <c r="C1889" s="1568" t="s">
        <v>3308</v>
      </c>
      <c r="D1889" s="1568" t="s">
        <v>3006</v>
      </c>
      <c r="E1889" s="1567">
        <v>44101</v>
      </c>
      <c r="F1889" s="1566">
        <v>7812</v>
      </c>
      <c r="G1889" s="1566">
        <v>0</v>
      </c>
      <c r="H1889" s="1567"/>
      <c r="I1889" s="1567">
        <v>47020</v>
      </c>
      <c r="J1889" s="1567">
        <v>47020</v>
      </c>
      <c r="K1889" s="1568" t="str">
        <f t="shared" si="29"/>
        <v>No</v>
      </c>
      <c r="L1889" s="1565"/>
    </row>
    <row r="1890" spans="1:12" ht="20.100000000000001" customHeight="1">
      <c r="A1890" s="1568" t="s">
        <v>3034</v>
      </c>
      <c r="B1890" s="1567">
        <v>43368</v>
      </c>
      <c r="C1890" s="1568" t="s">
        <v>3308</v>
      </c>
      <c r="D1890" s="1568" t="s">
        <v>3006</v>
      </c>
      <c r="E1890" s="1567">
        <v>44131</v>
      </c>
      <c r="F1890" s="1566">
        <v>7813</v>
      </c>
      <c r="G1890" s="1566">
        <v>0</v>
      </c>
      <c r="H1890" s="1567"/>
      <c r="I1890" s="1567">
        <v>47020</v>
      </c>
      <c r="J1890" s="1567">
        <v>47020</v>
      </c>
      <c r="K1890" s="1568" t="str">
        <f t="shared" si="29"/>
        <v>No</v>
      </c>
      <c r="L1890" s="1565"/>
    </row>
    <row r="1891" spans="1:12" ht="20.100000000000001" customHeight="1">
      <c r="A1891" s="1568" t="s">
        <v>3034</v>
      </c>
      <c r="B1891" s="1567">
        <v>43368</v>
      </c>
      <c r="C1891" s="1568" t="s">
        <v>3308</v>
      </c>
      <c r="D1891" s="1568" t="s">
        <v>3006</v>
      </c>
      <c r="E1891" s="1567">
        <v>44162</v>
      </c>
      <c r="F1891" s="1566">
        <v>7812</v>
      </c>
      <c r="G1891" s="1566">
        <v>0</v>
      </c>
      <c r="H1891" s="1567"/>
      <c r="I1891" s="1567">
        <v>47020</v>
      </c>
      <c r="J1891" s="1567">
        <v>47020</v>
      </c>
      <c r="K1891" s="1568" t="str">
        <f t="shared" si="29"/>
        <v>No</v>
      </c>
      <c r="L1891" s="1565"/>
    </row>
    <row r="1892" spans="1:12" ht="20.100000000000001" customHeight="1">
      <c r="A1892" s="1568" t="s">
        <v>3034</v>
      </c>
      <c r="B1892" s="1567">
        <v>43368</v>
      </c>
      <c r="C1892" s="1568" t="s">
        <v>3308</v>
      </c>
      <c r="D1892" s="1568" t="s">
        <v>3006</v>
      </c>
      <c r="E1892" s="1567">
        <v>44192</v>
      </c>
      <c r="F1892" s="1566">
        <v>7813</v>
      </c>
      <c r="G1892" s="1566">
        <v>0</v>
      </c>
      <c r="H1892" s="1567"/>
      <c r="I1892" s="1567">
        <v>47020</v>
      </c>
      <c r="J1892" s="1567">
        <v>47020</v>
      </c>
      <c r="K1892" s="1568" t="str">
        <f t="shared" si="29"/>
        <v>No</v>
      </c>
      <c r="L1892" s="1565"/>
    </row>
    <row r="1893" spans="1:12" ht="20.100000000000001" customHeight="1">
      <c r="A1893" s="1568" t="s">
        <v>3034</v>
      </c>
      <c r="B1893" s="1567">
        <v>43368</v>
      </c>
      <c r="C1893" s="1568" t="s">
        <v>3308</v>
      </c>
      <c r="D1893" s="1568" t="s">
        <v>3006</v>
      </c>
      <c r="E1893" s="1567">
        <v>44223</v>
      </c>
      <c r="F1893" s="1566">
        <v>7812</v>
      </c>
      <c r="G1893" s="1566">
        <v>0</v>
      </c>
      <c r="H1893" s="1567"/>
      <c r="I1893" s="1567">
        <v>47020</v>
      </c>
      <c r="J1893" s="1567">
        <v>47020</v>
      </c>
      <c r="K1893" s="1568" t="str">
        <f t="shared" si="29"/>
        <v>No</v>
      </c>
      <c r="L1893" s="1565"/>
    </row>
    <row r="1894" spans="1:12" ht="20.100000000000001" customHeight="1">
      <c r="A1894" s="1568" t="s">
        <v>3034</v>
      </c>
      <c r="B1894" s="1567">
        <v>43368</v>
      </c>
      <c r="C1894" s="1568" t="s">
        <v>3308</v>
      </c>
      <c r="D1894" s="1568" t="s">
        <v>3006</v>
      </c>
      <c r="E1894" s="1567">
        <v>44254</v>
      </c>
      <c r="F1894" s="1566">
        <v>7813</v>
      </c>
      <c r="G1894" s="1566">
        <v>0</v>
      </c>
      <c r="H1894" s="1567"/>
      <c r="I1894" s="1567">
        <v>47020</v>
      </c>
      <c r="J1894" s="1567">
        <v>47020</v>
      </c>
      <c r="K1894" s="1568" t="str">
        <f t="shared" si="29"/>
        <v>No</v>
      </c>
      <c r="L1894" s="1565"/>
    </row>
    <row r="1895" spans="1:12" ht="20.100000000000001" customHeight="1">
      <c r="A1895" s="1568" t="s">
        <v>3034</v>
      </c>
      <c r="B1895" s="1567">
        <v>43368</v>
      </c>
      <c r="C1895" s="1568" t="s">
        <v>3308</v>
      </c>
      <c r="D1895" s="1568" t="s">
        <v>3006</v>
      </c>
      <c r="E1895" s="1567">
        <v>44282</v>
      </c>
      <c r="F1895" s="1566">
        <v>7812</v>
      </c>
      <c r="G1895" s="1566">
        <v>0</v>
      </c>
      <c r="H1895" s="1567"/>
      <c r="I1895" s="1567">
        <v>47020</v>
      </c>
      <c r="J1895" s="1567">
        <v>47020</v>
      </c>
      <c r="K1895" s="1568" t="str">
        <f t="shared" si="29"/>
        <v>No</v>
      </c>
      <c r="L1895" s="1565"/>
    </row>
    <row r="1896" spans="1:12" ht="20.100000000000001" customHeight="1">
      <c r="A1896" s="1568" t="s">
        <v>3034</v>
      </c>
      <c r="B1896" s="1567">
        <v>43368</v>
      </c>
      <c r="C1896" s="1568" t="s">
        <v>3308</v>
      </c>
      <c r="D1896" s="1568" t="s">
        <v>3006</v>
      </c>
      <c r="E1896" s="1567">
        <v>44313</v>
      </c>
      <c r="F1896" s="1566">
        <v>7813</v>
      </c>
      <c r="G1896" s="1566">
        <v>0</v>
      </c>
      <c r="H1896" s="1567"/>
      <c r="I1896" s="1567">
        <v>47020</v>
      </c>
      <c r="J1896" s="1567">
        <v>47020</v>
      </c>
      <c r="K1896" s="1568" t="str">
        <f t="shared" si="29"/>
        <v>No</v>
      </c>
      <c r="L1896" s="1565"/>
    </row>
    <row r="1897" spans="1:12" ht="20.100000000000001" customHeight="1">
      <c r="A1897" s="1568" t="s">
        <v>3034</v>
      </c>
      <c r="B1897" s="1567">
        <v>43368</v>
      </c>
      <c r="C1897" s="1568" t="s">
        <v>3308</v>
      </c>
      <c r="D1897" s="1568" t="s">
        <v>3006</v>
      </c>
      <c r="E1897" s="1567">
        <v>44343</v>
      </c>
      <c r="F1897" s="1566">
        <v>7812</v>
      </c>
      <c r="G1897" s="1566">
        <v>0</v>
      </c>
      <c r="H1897" s="1567"/>
      <c r="I1897" s="1567">
        <v>47020</v>
      </c>
      <c r="J1897" s="1567">
        <v>47020</v>
      </c>
      <c r="K1897" s="1568" t="str">
        <f t="shared" si="29"/>
        <v>No</v>
      </c>
      <c r="L1897" s="1565"/>
    </row>
    <row r="1898" spans="1:12" ht="20.100000000000001" customHeight="1">
      <c r="A1898" s="1568" t="s">
        <v>3034</v>
      </c>
      <c r="B1898" s="1567">
        <v>43368</v>
      </c>
      <c r="C1898" s="1568" t="s">
        <v>3308</v>
      </c>
      <c r="D1898" s="1568" t="s">
        <v>3006</v>
      </c>
      <c r="E1898" s="1567">
        <v>44374</v>
      </c>
      <c r="F1898" s="1566">
        <v>7813</v>
      </c>
      <c r="G1898" s="1566">
        <v>0</v>
      </c>
      <c r="H1898" s="1567"/>
      <c r="I1898" s="1567">
        <v>47020</v>
      </c>
      <c r="J1898" s="1567">
        <v>47020</v>
      </c>
      <c r="K1898" s="1568" t="str">
        <f t="shared" si="29"/>
        <v>No</v>
      </c>
      <c r="L1898" s="1565"/>
    </row>
    <row r="1899" spans="1:12" ht="20.100000000000001" customHeight="1">
      <c r="A1899" s="1568" t="s">
        <v>3034</v>
      </c>
      <c r="B1899" s="1567">
        <v>43368</v>
      </c>
      <c r="C1899" s="1568" t="s">
        <v>3308</v>
      </c>
      <c r="D1899" s="1568" t="s">
        <v>3006</v>
      </c>
      <c r="E1899" s="1567">
        <v>44404</v>
      </c>
      <c r="F1899" s="1566">
        <v>7812</v>
      </c>
      <c r="G1899" s="1566">
        <v>0</v>
      </c>
      <c r="H1899" s="1567"/>
      <c r="I1899" s="1567">
        <v>47020</v>
      </c>
      <c r="J1899" s="1567">
        <v>47020</v>
      </c>
      <c r="K1899" s="1568" t="str">
        <f t="shared" si="29"/>
        <v>No</v>
      </c>
      <c r="L1899" s="1565"/>
    </row>
    <row r="1900" spans="1:12" ht="20.100000000000001" customHeight="1">
      <c r="A1900" s="1568" t="s">
        <v>3034</v>
      </c>
      <c r="B1900" s="1567">
        <v>43368</v>
      </c>
      <c r="C1900" s="1568" t="s">
        <v>3308</v>
      </c>
      <c r="D1900" s="1568" t="s">
        <v>3006</v>
      </c>
      <c r="E1900" s="1567">
        <v>44435</v>
      </c>
      <c r="F1900" s="1566">
        <v>7813</v>
      </c>
      <c r="G1900" s="1566">
        <v>0</v>
      </c>
      <c r="H1900" s="1567"/>
      <c r="I1900" s="1567">
        <v>47020</v>
      </c>
      <c r="J1900" s="1567">
        <v>47020</v>
      </c>
      <c r="K1900" s="1568" t="str">
        <f t="shared" si="29"/>
        <v>No</v>
      </c>
      <c r="L1900" s="1565"/>
    </row>
    <row r="1901" spans="1:12" ht="20.100000000000001" customHeight="1">
      <c r="A1901" s="1568" t="s">
        <v>3034</v>
      </c>
      <c r="B1901" s="1567">
        <v>43368</v>
      </c>
      <c r="C1901" s="1568" t="s">
        <v>3308</v>
      </c>
      <c r="D1901" s="1568" t="s">
        <v>3006</v>
      </c>
      <c r="E1901" s="1567">
        <v>44466</v>
      </c>
      <c r="F1901" s="1566">
        <v>7812</v>
      </c>
      <c r="G1901" s="1566">
        <v>0</v>
      </c>
      <c r="H1901" s="1567"/>
      <c r="I1901" s="1567">
        <v>47020</v>
      </c>
      <c r="J1901" s="1567">
        <v>47020</v>
      </c>
      <c r="K1901" s="1568" t="str">
        <f t="shared" si="29"/>
        <v>No</v>
      </c>
      <c r="L1901" s="1565"/>
    </row>
    <row r="1902" spans="1:12" ht="20.100000000000001" customHeight="1">
      <c r="A1902" s="1568" t="s">
        <v>3034</v>
      </c>
      <c r="B1902" s="1567">
        <v>43368</v>
      </c>
      <c r="C1902" s="1568" t="s">
        <v>3308</v>
      </c>
      <c r="D1902" s="1568" t="s">
        <v>3006</v>
      </c>
      <c r="E1902" s="1567">
        <v>44496</v>
      </c>
      <c r="F1902" s="1566">
        <v>7813</v>
      </c>
      <c r="G1902" s="1566">
        <v>0</v>
      </c>
      <c r="H1902" s="1567"/>
      <c r="I1902" s="1567">
        <v>47020</v>
      </c>
      <c r="J1902" s="1567">
        <v>47020</v>
      </c>
      <c r="K1902" s="1568" t="str">
        <f t="shared" si="29"/>
        <v>No</v>
      </c>
      <c r="L1902" s="1565"/>
    </row>
    <row r="1903" spans="1:12" ht="20.100000000000001" customHeight="1">
      <c r="A1903" s="1568" t="s">
        <v>3034</v>
      </c>
      <c r="B1903" s="1567">
        <v>43368</v>
      </c>
      <c r="C1903" s="1568" t="s">
        <v>3308</v>
      </c>
      <c r="D1903" s="1568" t="s">
        <v>3006</v>
      </c>
      <c r="E1903" s="1567">
        <v>44527</v>
      </c>
      <c r="F1903" s="1566">
        <v>7812</v>
      </c>
      <c r="G1903" s="1566">
        <v>0</v>
      </c>
      <c r="H1903" s="1567"/>
      <c r="I1903" s="1567">
        <v>47020</v>
      </c>
      <c r="J1903" s="1567">
        <v>47020</v>
      </c>
      <c r="K1903" s="1568" t="str">
        <f t="shared" si="29"/>
        <v>No</v>
      </c>
      <c r="L1903" s="1565"/>
    </row>
    <row r="1904" spans="1:12" ht="20.100000000000001" customHeight="1">
      <c r="A1904" s="1568" t="s">
        <v>3034</v>
      </c>
      <c r="B1904" s="1567">
        <v>43368</v>
      </c>
      <c r="C1904" s="1568" t="s">
        <v>3308</v>
      </c>
      <c r="D1904" s="1568" t="s">
        <v>3006</v>
      </c>
      <c r="E1904" s="1567">
        <v>44557</v>
      </c>
      <c r="F1904" s="1566">
        <v>7813</v>
      </c>
      <c r="G1904" s="1566">
        <v>0</v>
      </c>
      <c r="H1904" s="1567"/>
      <c r="I1904" s="1567">
        <v>47020</v>
      </c>
      <c r="J1904" s="1567">
        <v>47020</v>
      </c>
      <c r="K1904" s="1568" t="str">
        <f t="shared" si="29"/>
        <v>No</v>
      </c>
      <c r="L1904" s="1565"/>
    </row>
    <row r="1905" spans="1:12" ht="20.100000000000001" customHeight="1">
      <c r="A1905" s="1568" t="s">
        <v>3034</v>
      </c>
      <c r="B1905" s="1567">
        <v>43368</v>
      </c>
      <c r="C1905" s="1568" t="s">
        <v>3308</v>
      </c>
      <c r="D1905" s="1568" t="s">
        <v>3006</v>
      </c>
      <c r="E1905" s="1567">
        <v>44588</v>
      </c>
      <c r="F1905" s="1566">
        <v>7812</v>
      </c>
      <c r="G1905" s="1566">
        <v>0</v>
      </c>
      <c r="H1905" s="1567"/>
      <c r="I1905" s="1567">
        <v>47020</v>
      </c>
      <c r="J1905" s="1567">
        <v>47020</v>
      </c>
      <c r="K1905" s="1568" t="str">
        <f t="shared" si="29"/>
        <v>No</v>
      </c>
      <c r="L1905" s="1565"/>
    </row>
    <row r="1906" spans="1:12" ht="20.100000000000001" customHeight="1">
      <c r="A1906" s="1568" t="s">
        <v>3034</v>
      </c>
      <c r="B1906" s="1567">
        <v>43368</v>
      </c>
      <c r="C1906" s="1568" t="s">
        <v>3308</v>
      </c>
      <c r="D1906" s="1568" t="s">
        <v>3006</v>
      </c>
      <c r="E1906" s="1567">
        <v>44619</v>
      </c>
      <c r="F1906" s="1566">
        <v>7813</v>
      </c>
      <c r="G1906" s="1566">
        <v>0</v>
      </c>
      <c r="H1906" s="1567"/>
      <c r="I1906" s="1567">
        <v>47020</v>
      </c>
      <c r="J1906" s="1567">
        <v>47020</v>
      </c>
      <c r="K1906" s="1568" t="str">
        <f t="shared" si="29"/>
        <v>No</v>
      </c>
      <c r="L1906" s="1565"/>
    </row>
    <row r="1907" spans="1:12" ht="20.100000000000001" customHeight="1">
      <c r="A1907" s="1568" t="s">
        <v>3034</v>
      </c>
      <c r="B1907" s="1567">
        <v>43368</v>
      </c>
      <c r="C1907" s="1568" t="s">
        <v>3308</v>
      </c>
      <c r="D1907" s="1568" t="s">
        <v>3006</v>
      </c>
      <c r="E1907" s="1567">
        <v>44647</v>
      </c>
      <c r="F1907" s="1566">
        <v>7812</v>
      </c>
      <c r="G1907" s="1566">
        <v>0</v>
      </c>
      <c r="H1907" s="1567"/>
      <c r="I1907" s="1567">
        <v>47020</v>
      </c>
      <c r="J1907" s="1567">
        <v>47020</v>
      </c>
      <c r="K1907" s="1568" t="str">
        <f t="shared" si="29"/>
        <v>No</v>
      </c>
      <c r="L1907" s="1565"/>
    </row>
    <row r="1908" spans="1:12" ht="20.100000000000001" customHeight="1">
      <c r="A1908" s="1568" t="s">
        <v>3034</v>
      </c>
      <c r="B1908" s="1567">
        <v>43368</v>
      </c>
      <c r="C1908" s="1568" t="s">
        <v>3308</v>
      </c>
      <c r="D1908" s="1568" t="s">
        <v>3006</v>
      </c>
      <c r="E1908" s="1567">
        <v>44678</v>
      </c>
      <c r="F1908" s="1566">
        <v>7813</v>
      </c>
      <c r="G1908" s="1566">
        <v>0</v>
      </c>
      <c r="H1908" s="1567"/>
      <c r="I1908" s="1567">
        <v>47020</v>
      </c>
      <c r="J1908" s="1567">
        <v>47020</v>
      </c>
      <c r="K1908" s="1568" t="str">
        <f t="shared" si="29"/>
        <v>No</v>
      </c>
      <c r="L1908" s="1565"/>
    </row>
    <row r="1909" spans="1:12" ht="20.100000000000001" customHeight="1">
      <c r="A1909" s="1568" t="s">
        <v>3034</v>
      </c>
      <c r="B1909" s="1567">
        <v>43368</v>
      </c>
      <c r="C1909" s="1568" t="s">
        <v>3308</v>
      </c>
      <c r="D1909" s="1568" t="s">
        <v>3006</v>
      </c>
      <c r="E1909" s="1567">
        <v>44708</v>
      </c>
      <c r="F1909" s="1566">
        <v>7812</v>
      </c>
      <c r="G1909" s="1566">
        <v>0</v>
      </c>
      <c r="H1909" s="1567"/>
      <c r="I1909" s="1567">
        <v>47020</v>
      </c>
      <c r="J1909" s="1567">
        <v>47020</v>
      </c>
      <c r="K1909" s="1568" t="str">
        <f t="shared" si="29"/>
        <v>No</v>
      </c>
      <c r="L1909" s="1565"/>
    </row>
    <row r="1910" spans="1:12" ht="20.100000000000001" customHeight="1">
      <c r="A1910" s="1568" t="s">
        <v>3034</v>
      </c>
      <c r="B1910" s="1567">
        <v>43368</v>
      </c>
      <c r="C1910" s="1568" t="s">
        <v>3308</v>
      </c>
      <c r="D1910" s="1568" t="s">
        <v>3006</v>
      </c>
      <c r="E1910" s="1567">
        <v>44739</v>
      </c>
      <c r="F1910" s="1566">
        <v>7813</v>
      </c>
      <c r="G1910" s="1566">
        <v>0</v>
      </c>
      <c r="H1910" s="1567"/>
      <c r="I1910" s="1567">
        <v>47020</v>
      </c>
      <c r="J1910" s="1567">
        <v>47020</v>
      </c>
      <c r="K1910" s="1568" t="str">
        <f t="shared" si="29"/>
        <v>No</v>
      </c>
      <c r="L1910" s="1565"/>
    </row>
    <row r="1911" spans="1:12" ht="20.100000000000001" customHeight="1">
      <c r="A1911" s="1568" t="s">
        <v>3034</v>
      </c>
      <c r="B1911" s="1567">
        <v>43368</v>
      </c>
      <c r="C1911" s="1568" t="s">
        <v>3308</v>
      </c>
      <c r="D1911" s="1568" t="s">
        <v>3006</v>
      </c>
      <c r="E1911" s="1567">
        <v>44769</v>
      </c>
      <c r="F1911" s="1566">
        <v>7812</v>
      </c>
      <c r="G1911" s="1566">
        <v>0</v>
      </c>
      <c r="H1911" s="1567"/>
      <c r="I1911" s="1567">
        <v>47020</v>
      </c>
      <c r="J1911" s="1567">
        <v>47020</v>
      </c>
      <c r="K1911" s="1568" t="str">
        <f t="shared" si="29"/>
        <v>No</v>
      </c>
      <c r="L1911" s="1565"/>
    </row>
    <row r="1912" spans="1:12" ht="20.100000000000001" customHeight="1">
      <c r="A1912" s="1568" t="s">
        <v>3034</v>
      </c>
      <c r="B1912" s="1567">
        <v>43368</v>
      </c>
      <c r="C1912" s="1568" t="s">
        <v>3308</v>
      </c>
      <c r="D1912" s="1568" t="s">
        <v>3006</v>
      </c>
      <c r="E1912" s="1567">
        <v>44800</v>
      </c>
      <c r="F1912" s="1566">
        <v>7813</v>
      </c>
      <c r="G1912" s="1566">
        <v>0</v>
      </c>
      <c r="H1912" s="1567"/>
      <c r="I1912" s="1567">
        <v>47020</v>
      </c>
      <c r="J1912" s="1567">
        <v>47020</v>
      </c>
      <c r="K1912" s="1568" t="str">
        <f t="shared" si="29"/>
        <v>No</v>
      </c>
      <c r="L1912" s="1565"/>
    </row>
    <row r="1913" spans="1:12" ht="20.100000000000001" customHeight="1">
      <c r="A1913" s="1568" t="s">
        <v>3032</v>
      </c>
      <c r="B1913" s="1567">
        <v>43368</v>
      </c>
      <c r="C1913" s="1568" t="s">
        <v>3308</v>
      </c>
      <c r="D1913" s="1568" t="s">
        <v>2981</v>
      </c>
      <c r="E1913" s="1567">
        <v>43648</v>
      </c>
      <c r="F1913" s="1566">
        <v>3000</v>
      </c>
      <c r="G1913" s="1566">
        <v>0</v>
      </c>
      <c r="H1913" s="1567"/>
      <c r="I1913" s="1567">
        <v>47020</v>
      </c>
      <c r="J1913" s="1567">
        <v>47020</v>
      </c>
      <c r="K1913" s="1568" t="str">
        <f t="shared" si="29"/>
        <v>No</v>
      </c>
      <c r="L1913" s="1565"/>
    </row>
    <row r="1914" spans="1:12" ht="20.100000000000001" customHeight="1">
      <c r="A1914" s="1568" t="s">
        <v>3032</v>
      </c>
      <c r="B1914" s="1567">
        <v>43368</v>
      </c>
      <c r="C1914" s="1568" t="s">
        <v>3308</v>
      </c>
      <c r="D1914" s="1568" t="s">
        <v>2981</v>
      </c>
      <c r="E1914" s="1567">
        <v>43679</v>
      </c>
      <c r="F1914" s="1566">
        <v>250</v>
      </c>
      <c r="G1914" s="1566">
        <v>0</v>
      </c>
      <c r="H1914" s="1567"/>
      <c r="I1914" s="1567">
        <v>47020</v>
      </c>
      <c r="J1914" s="1567">
        <v>47020</v>
      </c>
      <c r="K1914" s="1568" t="str">
        <f t="shared" si="29"/>
        <v>No</v>
      </c>
      <c r="L1914" s="1565"/>
    </row>
    <row r="1915" spans="1:12" ht="20.100000000000001" customHeight="1">
      <c r="A1915" s="1568" t="s">
        <v>3032</v>
      </c>
      <c r="B1915" s="1567">
        <v>43368</v>
      </c>
      <c r="C1915" s="1568" t="s">
        <v>3308</v>
      </c>
      <c r="D1915" s="1568" t="s">
        <v>2981</v>
      </c>
      <c r="E1915" s="1567">
        <v>43710</v>
      </c>
      <c r="F1915" s="1566">
        <v>250</v>
      </c>
      <c r="G1915" s="1566">
        <v>0</v>
      </c>
      <c r="H1915" s="1567"/>
      <c r="I1915" s="1567">
        <v>47020</v>
      </c>
      <c r="J1915" s="1567">
        <v>47020</v>
      </c>
      <c r="K1915" s="1568" t="str">
        <f t="shared" si="29"/>
        <v>No</v>
      </c>
      <c r="L1915" s="1565"/>
    </row>
    <row r="1916" spans="1:12" ht="20.100000000000001" customHeight="1">
      <c r="A1916" s="1568" t="s">
        <v>3032</v>
      </c>
      <c r="B1916" s="1567">
        <v>43368</v>
      </c>
      <c r="C1916" s="1568" t="s">
        <v>3308</v>
      </c>
      <c r="D1916" s="1568" t="s">
        <v>2981</v>
      </c>
      <c r="E1916" s="1567">
        <v>43740</v>
      </c>
      <c r="F1916" s="1566">
        <v>250</v>
      </c>
      <c r="G1916" s="1566">
        <v>0</v>
      </c>
      <c r="H1916" s="1567"/>
      <c r="I1916" s="1567">
        <v>47020</v>
      </c>
      <c r="J1916" s="1567">
        <v>47020</v>
      </c>
      <c r="K1916" s="1568" t="str">
        <f t="shared" si="29"/>
        <v>No</v>
      </c>
      <c r="L1916" s="1565"/>
    </row>
    <row r="1917" spans="1:12" ht="20.100000000000001" customHeight="1">
      <c r="A1917" s="1568" t="s">
        <v>3032</v>
      </c>
      <c r="B1917" s="1567">
        <v>43368</v>
      </c>
      <c r="C1917" s="1568" t="s">
        <v>3308</v>
      </c>
      <c r="D1917" s="1568" t="s">
        <v>2981</v>
      </c>
      <c r="E1917" s="1567">
        <v>43771</v>
      </c>
      <c r="F1917" s="1566">
        <v>250</v>
      </c>
      <c r="G1917" s="1566">
        <v>0</v>
      </c>
      <c r="H1917" s="1567"/>
      <c r="I1917" s="1567">
        <v>47020</v>
      </c>
      <c r="J1917" s="1567">
        <v>47020</v>
      </c>
      <c r="K1917" s="1568" t="str">
        <f t="shared" si="29"/>
        <v>No</v>
      </c>
      <c r="L1917" s="1565"/>
    </row>
    <row r="1918" spans="1:12" ht="20.100000000000001" customHeight="1">
      <c r="A1918" s="1568" t="s">
        <v>3032</v>
      </c>
      <c r="B1918" s="1567">
        <v>43368</v>
      </c>
      <c r="C1918" s="1568" t="s">
        <v>3308</v>
      </c>
      <c r="D1918" s="1568" t="s">
        <v>2981</v>
      </c>
      <c r="E1918" s="1567">
        <v>43801</v>
      </c>
      <c r="F1918" s="1566">
        <v>250</v>
      </c>
      <c r="G1918" s="1566">
        <v>0</v>
      </c>
      <c r="H1918" s="1567"/>
      <c r="I1918" s="1567">
        <v>47020</v>
      </c>
      <c r="J1918" s="1567">
        <v>47020</v>
      </c>
      <c r="K1918" s="1568" t="str">
        <f t="shared" si="29"/>
        <v>No</v>
      </c>
      <c r="L1918" s="1565"/>
    </row>
    <row r="1919" spans="1:12" ht="20.100000000000001" customHeight="1">
      <c r="A1919" s="1568" t="s">
        <v>3032</v>
      </c>
      <c r="B1919" s="1567">
        <v>43368</v>
      </c>
      <c r="C1919" s="1568" t="s">
        <v>3308</v>
      </c>
      <c r="D1919" s="1568" t="s">
        <v>2981</v>
      </c>
      <c r="E1919" s="1567">
        <v>43832</v>
      </c>
      <c r="F1919" s="1566">
        <v>250</v>
      </c>
      <c r="G1919" s="1566">
        <v>0</v>
      </c>
      <c r="H1919" s="1567"/>
      <c r="I1919" s="1567">
        <v>47020</v>
      </c>
      <c r="J1919" s="1567">
        <v>47020</v>
      </c>
      <c r="K1919" s="1568" t="str">
        <f t="shared" si="29"/>
        <v>No</v>
      </c>
      <c r="L1919" s="1565"/>
    </row>
    <row r="1920" spans="1:12" ht="20.100000000000001" customHeight="1">
      <c r="A1920" s="1568" t="s">
        <v>3032</v>
      </c>
      <c r="B1920" s="1567">
        <v>43368</v>
      </c>
      <c r="C1920" s="1568" t="s">
        <v>3308</v>
      </c>
      <c r="D1920" s="1568" t="s">
        <v>2981</v>
      </c>
      <c r="E1920" s="1567">
        <v>43863</v>
      </c>
      <c r="F1920" s="1566">
        <v>250</v>
      </c>
      <c r="G1920" s="1566">
        <v>0</v>
      </c>
      <c r="H1920" s="1567"/>
      <c r="I1920" s="1567">
        <v>47020</v>
      </c>
      <c r="J1920" s="1567">
        <v>47020</v>
      </c>
      <c r="K1920" s="1568" t="str">
        <f t="shared" si="29"/>
        <v>No</v>
      </c>
      <c r="L1920" s="1565"/>
    </row>
    <row r="1921" spans="1:12" ht="20.100000000000001" customHeight="1">
      <c r="A1921" s="1568" t="s">
        <v>3032</v>
      </c>
      <c r="B1921" s="1567">
        <v>43368</v>
      </c>
      <c r="C1921" s="1568" t="s">
        <v>3308</v>
      </c>
      <c r="D1921" s="1568" t="s">
        <v>2981</v>
      </c>
      <c r="E1921" s="1567">
        <v>43892</v>
      </c>
      <c r="F1921" s="1566">
        <v>250</v>
      </c>
      <c r="G1921" s="1566">
        <v>0</v>
      </c>
      <c r="H1921" s="1567"/>
      <c r="I1921" s="1567">
        <v>47020</v>
      </c>
      <c r="J1921" s="1567">
        <v>47020</v>
      </c>
      <c r="K1921" s="1568" t="str">
        <f t="shared" si="29"/>
        <v>No</v>
      </c>
      <c r="L1921" s="1565"/>
    </row>
    <row r="1922" spans="1:12" ht="20.100000000000001" customHeight="1">
      <c r="A1922" s="1568" t="s">
        <v>3032</v>
      </c>
      <c r="B1922" s="1567">
        <v>43368</v>
      </c>
      <c r="C1922" s="1568" t="s">
        <v>3308</v>
      </c>
      <c r="D1922" s="1568" t="s">
        <v>2981</v>
      </c>
      <c r="E1922" s="1567">
        <v>43923</v>
      </c>
      <c r="F1922" s="1566">
        <v>250</v>
      </c>
      <c r="G1922" s="1566">
        <v>0</v>
      </c>
      <c r="H1922" s="1567"/>
      <c r="I1922" s="1567">
        <v>47020</v>
      </c>
      <c r="J1922" s="1567">
        <v>47020</v>
      </c>
      <c r="K1922" s="1568" t="str">
        <f t="shared" si="29"/>
        <v>No</v>
      </c>
      <c r="L1922" s="1565"/>
    </row>
    <row r="1923" spans="1:12" ht="20.100000000000001" customHeight="1">
      <c r="A1923" s="1568" t="s">
        <v>3032</v>
      </c>
      <c r="B1923" s="1567">
        <v>43368</v>
      </c>
      <c r="C1923" s="1568" t="s">
        <v>3308</v>
      </c>
      <c r="D1923" s="1568" t="s">
        <v>2981</v>
      </c>
      <c r="E1923" s="1567">
        <v>43953</v>
      </c>
      <c r="F1923" s="1566">
        <v>250</v>
      </c>
      <c r="G1923" s="1566">
        <v>0</v>
      </c>
      <c r="H1923" s="1567"/>
      <c r="I1923" s="1567">
        <v>47020</v>
      </c>
      <c r="J1923" s="1567">
        <v>47020</v>
      </c>
      <c r="K1923" s="1568" t="str">
        <f t="shared" si="29"/>
        <v>No</v>
      </c>
      <c r="L1923" s="1565"/>
    </row>
    <row r="1924" spans="1:12" ht="20.100000000000001" customHeight="1">
      <c r="A1924" s="1568" t="s">
        <v>3032</v>
      </c>
      <c r="B1924" s="1567">
        <v>43368</v>
      </c>
      <c r="C1924" s="1568" t="s">
        <v>3308</v>
      </c>
      <c r="D1924" s="1568" t="s">
        <v>2981</v>
      </c>
      <c r="E1924" s="1567">
        <v>43984</v>
      </c>
      <c r="F1924" s="1566">
        <v>250</v>
      </c>
      <c r="G1924" s="1566">
        <v>0</v>
      </c>
      <c r="H1924" s="1567"/>
      <c r="I1924" s="1567">
        <v>47020</v>
      </c>
      <c r="J1924" s="1567">
        <v>47020</v>
      </c>
      <c r="K1924" s="1568" t="str">
        <f t="shared" si="29"/>
        <v>No</v>
      </c>
      <c r="L1924" s="1565"/>
    </row>
    <row r="1925" spans="1:12" ht="20.100000000000001" customHeight="1">
      <c r="A1925" s="1568" t="s">
        <v>3032</v>
      </c>
      <c r="B1925" s="1567">
        <v>43368</v>
      </c>
      <c r="C1925" s="1568" t="s">
        <v>3308</v>
      </c>
      <c r="D1925" s="1568" t="s">
        <v>2981</v>
      </c>
      <c r="E1925" s="1567">
        <v>44014</v>
      </c>
      <c r="F1925" s="1566">
        <v>250</v>
      </c>
      <c r="G1925" s="1566">
        <v>0</v>
      </c>
      <c r="H1925" s="1567"/>
      <c r="I1925" s="1567">
        <v>47020</v>
      </c>
      <c r="J1925" s="1567">
        <v>47020</v>
      </c>
      <c r="K1925" s="1568" t="str">
        <f t="shared" ref="K1925:K1988" si="30">IF(I1925="N/A","No",IF(E1925&lt;=I1925,"No","Yes"))</f>
        <v>No</v>
      </c>
      <c r="L1925" s="1565"/>
    </row>
    <row r="1926" spans="1:12" ht="20.100000000000001" customHeight="1">
      <c r="A1926" s="1568" t="s">
        <v>3032</v>
      </c>
      <c r="B1926" s="1567">
        <v>43368</v>
      </c>
      <c r="C1926" s="1568" t="s">
        <v>3308</v>
      </c>
      <c r="D1926" s="1568" t="s">
        <v>2981</v>
      </c>
      <c r="E1926" s="1567">
        <v>44045</v>
      </c>
      <c r="F1926" s="1566">
        <v>250</v>
      </c>
      <c r="G1926" s="1566">
        <v>0</v>
      </c>
      <c r="H1926" s="1567"/>
      <c r="I1926" s="1567">
        <v>47020</v>
      </c>
      <c r="J1926" s="1567">
        <v>47020</v>
      </c>
      <c r="K1926" s="1568" t="str">
        <f t="shared" si="30"/>
        <v>No</v>
      </c>
      <c r="L1926" s="1565"/>
    </row>
    <row r="1927" spans="1:12" ht="20.100000000000001" customHeight="1">
      <c r="A1927" s="1568" t="s">
        <v>3032</v>
      </c>
      <c r="B1927" s="1567">
        <v>43368</v>
      </c>
      <c r="C1927" s="1568" t="s">
        <v>3308</v>
      </c>
      <c r="D1927" s="1568" t="s">
        <v>2981</v>
      </c>
      <c r="E1927" s="1567">
        <v>44076</v>
      </c>
      <c r="F1927" s="1566">
        <v>250</v>
      </c>
      <c r="G1927" s="1566">
        <v>0</v>
      </c>
      <c r="H1927" s="1567"/>
      <c r="I1927" s="1567">
        <v>47020</v>
      </c>
      <c r="J1927" s="1567">
        <v>47020</v>
      </c>
      <c r="K1927" s="1568" t="str">
        <f t="shared" si="30"/>
        <v>No</v>
      </c>
      <c r="L1927" s="1565"/>
    </row>
    <row r="1928" spans="1:12" ht="20.100000000000001" customHeight="1">
      <c r="A1928" s="1568" t="s">
        <v>3032</v>
      </c>
      <c r="B1928" s="1567">
        <v>43368</v>
      </c>
      <c r="C1928" s="1568" t="s">
        <v>3308</v>
      </c>
      <c r="D1928" s="1568" t="s">
        <v>2981</v>
      </c>
      <c r="E1928" s="1567">
        <v>44106</v>
      </c>
      <c r="F1928" s="1566">
        <v>250</v>
      </c>
      <c r="G1928" s="1566">
        <v>0</v>
      </c>
      <c r="H1928" s="1567"/>
      <c r="I1928" s="1567">
        <v>47020</v>
      </c>
      <c r="J1928" s="1567">
        <v>47020</v>
      </c>
      <c r="K1928" s="1568" t="str">
        <f t="shared" si="30"/>
        <v>No</v>
      </c>
      <c r="L1928" s="1565"/>
    </row>
    <row r="1929" spans="1:12" ht="20.100000000000001" customHeight="1">
      <c r="A1929" s="1568" t="s">
        <v>3032</v>
      </c>
      <c r="B1929" s="1567">
        <v>43368</v>
      </c>
      <c r="C1929" s="1568" t="s">
        <v>3308</v>
      </c>
      <c r="D1929" s="1568" t="s">
        <v>2981</v>
      </c>
      <c r="E1929" s="1567">
        <v>44137</v>
      </c>
      <c r="F1929" s="1566">
        <v>250</v>
      </c>
      <c r="G1929" s="1566">
        <v>0</v>
      </c>
      <c r="H1929" s="1567"/>
      <c r="I1929" s="1567">
        <v>47020</v>
      </c>
      <c r="J1929" s="1567">
        <v>47020</v>
      </c>
      <c r="K1929" s="1568" t="str">
        <f t="shared" si="30"/>
        <v>No</v>
      </c>
      <c r="L1929" s="1565"/>
    </row>
    <row r="1930" spans="1:12" ht="20.100000000000001" customHeight="1">
      <c r="A1930" s="1568" t="s">
        <v>3032</v>
      </c>
      <c r="B1930" s="1567">
        <v>43368</v>
      </c>
      <c r="C1930" s="1568" t="s">
        <v>3308</v>
      </c>
      <c r="D1930" s="1568" t="s">
        <v>2981</v>
      </c>
      <c r="E1930" s="1567">
        <v>44167</v>
      </c>
      <c r="F1930" s="1566">
        <v>250</v>
      </c>
      <c r="G1930" s="1566">
        <v>0</v>
      </c>
      <c r="H1930" s="1567"/>
      <c r="I1930" s="1567">
        <v>47020</v>
      </c>
      <c r="J1930" s="1567">
        <v>47020</v>
      </c>
      <c r="K1930" s="1568" t="str">
        <f t="shared" si="30"/>
        <v>No</v>
      </c>
      <c r="L1930" s="1565"/>
    </row>
    <row r="1931" spans="1:12" ht="20.100000000000001" customHeight="1">
      <c r="A1931" s="1568" t="s">
        <v>3032</v>
      </c>
      <c r="B1931" s="1567">
        <v>43368</v>
      </c>
      <c r="C1931" s="1568" t="s">
        <v>3308</v>
      </c>
      <c r="D1931" s="1568" t="s">
        <v>2981</v>
      </c>
      <c r="E1931" s="1567">
        <v>44198</v>
      </c>
      <c r="F1931" s="1566">
        <v>250</v>
      </c>
      <c r="G1931" s="1566">
        <v>0</v>
      </c>
      <c r="H1931" s="1567"/>
      <c r="I1931" s="1567">
        <v>47020</v>
      </c>
      <c r="J1931" s="1567">
        <v>47020</v>
      </c>
      <c r="K1931" s="1568" t="str">
        <f t="shared" si="30"/>
        <v>No</v>
      </c>
      <c r="L1931" s="1565"/>
    </row>
    <row r="1932" spans="1:12" ht="20.100000000000001" customHeight="1">
      <c r="A1932" s="1568" t="s">
        <v>3032</v>
      </c>
      <c r="B1932" s="1567">
        <v>43368</v>
      </c>
      <c r="C1932" s="1568" t="s">
        <v>3308</v>
      </c>
      <c r="D1932" s="1568" t="s">
        <v>2981</v>
      </c>
      <c r="E1932" s="1567">
        <v>44229</v>
      </c>
      <c r="F1932" s="1566">
        <v>250</v>
      </c>
      <c r="G1932" s="1566">
        <v>0</v>
      </c>
      <c r="H1932" s="1567"/>
      <c r="I1932" s="1567">
        <v>47020</v>
      </c>
      <c r="J1932" s="1567">
        <v>47020</v>
      </c>
      <c r="K1932" s="1568" t="str">
        <f t="shared" si="30"/>
        <v>No</v>
      </c>
      <c r="L1932" s="1565"/>
    </row>
    <row r="1933" spans="1:12" ht="20.100000000000001" customHeight="1">
      <c r="A1933" s="1568" t="s">
        <v>3032</v>
      </c>
      <c r="B1933" s="1567">
        <v>43368</v>
      </c>
      <c r="C1933" s="1568" t="s">
        <v>3308</v>
      </c>
      <c r="D1933" s="1568" t="s">
        <v>2981</v>
      </c>
      <c r="E1933" s="1567">
        <v>44257</v>
      </c>
      <c r="F1933" s="1566">
        <v>250</v>
      </c>
      <c r="G1933" s="1566">
        <v>0</v>
      </c>
      <c r="H1933" s="1567"/>
      <c r="I1933" s="1567">
        <v>47020</v>
      </c>
      <c r="J1933" s="1567">
        <v>47020</v>
      </c>
      <c r="K1933" s="1568" t="str">
        <f t="shared" si="30"/>
        <v>No</v>
      </c>
      <c r="L1933" s="1565"/>
    </row>
    <row r="1934" spans="1:12" ht="20.100000000000001" customHeight="1">
      <c r="A1934" s="1568" t="s">
        <v>3032</v>
      </c>
      <c r="B1934" s="1567">
        <v>43368</v>
      </c>
      <c r="C1934" s="1568" t="s">
        <v>3308</v>
      </c>
      <c r="D1934" s="1568" t="s">
        <v>2981</v>
      </c>
      <c r="E1934" s="1567">
        <v>44288</v>
      </c>
      <c r="F1934" s="1566">
        <v>250</v>
      </c>
      <c r="G1934" s="1566">
        <v>0</v>
      </c>
      <c r="H1934" s="1567"/>
      <c r="I1934" s="1567">
        <v>47020</v>
      </c>
      <c r="J1934" s="1567">
        <v>47020</v>
      </c>
      <c r="K1934" s="1568" t="str">
        <f t="shared" si="30"/>
        <v>No</v>
      </c>
      <c r="L1934" s="1565"/>
    </row>
    <row r="1935" spans="1:12" ht="20.100000000000001" customHeight="1">
      <c r="A1935" s="1568" t="s">
        <v>3032</v>
      </c>
      <c r="B1935" s="1567">
        <v>43368</v>
      </c>
      <c r="C1935" s="1568" t="s">
        <v>3308</v>
      </c>
      <c r="D1935" s="1568" t="s">
        <v>2981</v>
      </c>
      <c r="E1935" s="1567">
        <v>44318</v>
      </c>
      <c r="F1935" s="1566">
        <v>250</v>
      </c>
      <c r="G1935" s="1566">
        <v>0</v>
      </c>
      <c r="H1935" s="1567"/>
      <c r="I1935" s="1567">
        <v>47020</v>
      </c>
      <c r="J1935" s="1567">
        <v>47020</v>
      </c>
      <c r="K1935" s="1568" t="str">
        <f t="shared" si="30"/>
        <v>No</v>
      </c>
      <c r="L1935" s="1565"/>
    </row>
    <row r="1936" spans="1:12" ht="20.100000000000001" customHeight="1">
      <c r="A1936" s="1568" t="s">
        <v>3032</v>
      </c>
      <c r="B1936" s="1567">
        <v>43368</v>
      </c>
      <c r="C1936" s="1568" t="s">
        <v>3308</v>
      </c>
      <c r="D1936" s="1568" t="s">
        <v>2981</v>
      </c>
      <c r="E1936" s="1567">
        <v>44349</v>
      </c>
      <c r="F1936" s="1566">
        <v>250</v>
      </c>
      <c r="G1936" s="1566">
        <v>0</v>
      </c>
      <c r="H1936" s="1567"/>
      <c r="I1936" s="1567">
        <v>47020</v>
      </c>
      <c r="J1936" s="1567">
        <v>47020</v>
      </c>
      <c r="K1936" s="1568" t="str">
        <f t="shared" si="30"/>
        <v>No</v>
      </c>
      <c r="L1936" s="1565"/>
    </row>
    <row r="1937" spans="1:12" ht="20.100000000000001" customHeight="1">
      <c r="A1937" s="1568" t="s">
        <v>3032</v>
      </c>
      <c r="B1937" s="1567">
        <v>43368</v>
      </c>
      <c r="C1937" s="1568" t="s">
        <v>3308</v>
      </c>
      <c r="D1937" s="1568" t="s">
        <v>2981</v>
      </c>
      <c r="E1937" s="1567">
        <v>44379</v>
      </c>
      <c r="F1937" s="1566">
        <v>250</v>
      </c>
      <c r="G1937" s="1566">
        <v>0</v>
      </c>
      <c r="H1937" s="1567"/>
      <c r="I1937" s="1567">
        <v>47020</v>
      </c>
      <c r="J1937" s="1567">
        <v>47020</v>
      </c>
      <c r="K1937" s="1568" t="str">
        <f t="shared" si="30"/>
        <v>No</v>
      </c>
      <c r="L1937" s="1565"/>
    </row>
    <row r="1938" spans="1:12" ht="20.100000000000001" customHeight="1">
      <c r="A1938" s="1568" t="s">
        <v>3032</v>
      </c>
      <c r="B1938" s="1567">
        <v>43368</v>
      </c>
      <c r="C1938" s="1568" t="s">
        <v>3308</v>
      </c>
      <c r="D1938" s="1568" t="s">
        <v>2981</v>
      </c>
      <c r="E1938" s="1567">
        <v>44410</v>
      </c>
      <c r="F1938" s="1566">
        <v>250</v>
      </c>
      <c r="G1938" s="1566">
        <v>0</v>
      </c>
      <c r="H1938" s="1567"/>
      <c r="I1938" s="1567">
        <v>47020</v>
      </c>
      <c r="J1938" s="1567">
        <v>47020</v>
      </c>
      <c r="K1938" s="1568" t="str">
        <f t="shared" si="30"/>
        <v>No</v>
      </c>
      <c r="L1938" s="1565"/>
    </row>
    <row r="1939" spans="1:12" ht="20.100000000000001" customHeight="1">
      <c r="A1939" s="1568" t="s">
        <v>3032</v>
      </c>
      <c r="B1939" s="1567">
        <v>43368</v>
      </c>
      <c r="C1939" s="1568" t="s">
        <v>3308</v>
      </c>
      <c r="D1939" s="1568" t="s">
        <v>2981</v>
      </c>
      <c r="E1939" s="1567">
        <v>44441</v>
      </c>
      <c r="F1939" s="1566">
        <v>250</v>
      </c>
      <c r="G1939" s="1566">
        <v>0</v>
      </c>
      <c r="H1939" s="1567"/>
      <c r="I1939" s="1567">
        <v>47020</v>
      </c>
      <c r="J1939" s="1567">
        <v>47020</v>
      </c>
      <c r="K1939" s="1568" t="str">
        <f t="shared" si="30"/>
        <v>No</v>
      </c>
      <c r="L1939" s="1565"/>
    </row>
    <row r="1940" spans="1:12" ht="20.100000000000001" customHeight="1">
      <c r="A1940" s="1568" t="s">
        <v>3032</v>
      </c>
      <c r="B1940" s="1567">
        <v>43368</v>
      </c>
      <c r="C1940" s="1568" t="s">
        <v>3308</v>
      </c>
      <c r="D1940" s="1568" t="s">
        <v>2981</v>
      </c>
      <c r="E1940" s="1567">
        <v>44471</v>
      </c>
      <c r="F1940" s="1566">
        <v>250</v>
      </c>
      <c r="G1940" s="1566">
        <v>0</v>
      </c>
      <c r="H1940" s="1567"/>
      <c r="I1940" s="1567">
        <v>47020</v>
      </c>
      <c r="J1940" s="1567">
        <v>47020</v>
      </c>
      <c r="K1940" s="1568" t="str">
        <f t="shared" si="30"/>
        <v>No</v>
      </c>
      <c r="L1940" s="1565"/>
    </row>
    <row r="1941" spans="1:12" ht="20.100000000000001" customHeight="1">
      <c r="A1941" s="1568" t="s">
        <v>3032</v>
      </c>
      <c r="B1941" s="1567">
        <v>43368</v>
      </c>
      <c r="C1941" s="1568" t="s">
        <v>3308</v>
      </c>
      <c r="D1941" s="1568" t="s">
        <v>2981</v>
      </c>
      <c r="E1941" s="1567">
        <v>44502</v>
      </c>
      <c r="F1941" s="1566">
        <v>250</v>
      </c>
      <c r="G1941" s="1566">
        <v>0</v>
      </c>
      <c r="H1941" s="1567"/>
      <c r="I1941" s="1567">
        <v>47020</v>
      </c>
      <c r="J1941" s="1567">
        <v>47020</v>
      </c>
      <c r="K1941" s="1568" t="str">
        <f t="shared" si="30"/>
        <v>No</v>
      </c>
      <c r="L1941" s="1565"/>
    </row>
    <row r="1942" spans="1:12" ht="20.100000000000001" customHeight="1">
      <c r="A1942" s="1568" t="s">
        <v>3032</v>
      </c>
      <c r="B1942" s="1567">
        <v>43368</v>
      </c>
      <c r="C1942" s="1568" t="s">
        <v>3308</v>
      </c>
      <c r="D1942" s="1568" t="s">
        <v>2981</v>
      </c>
      <c r="E1942" s="1567">
        <v>44532</v>
      </c>
      <c r="F1942" s="1566">
        <v>250</v>
      </c>
      <c r="G1942" s="1566">
        <v>0</v>
      </c>
      <c r="H1942" s="1567"/>
      <c r="I1942" s="1567">
        <v>47020</v>
      </c>
      <c r="J1942" s="1567">
        <v>47020</v>
      </c>
      <c r="K1942" s="1568" t="str">
        <f t="shared" si="30"/>
        <v>No</v>
      </c>
      <c r="L1942" s="1565"/>
    </row>
    <row r="1943" spans="1:12" ht="20.100000000000001" customHeight="1">
      <c r="A1943" s="1568" t="s">
        <v>3032</v>
      </c>
      <c r="B1943" s="1567">
        <v>43368</v>
      </c>
      <c r="C1943" s="1568" t="s">
        <v>3308</v>
      </c>
      <c r="D1943" s="1568" t="s">
        <v>2981</v>
      </c>
      <c r="E1943" s="1567">
        <v>44563</v>
      </c>
      <c r="F1943" s="1566">
        <v>250</v>
      </c>
      <c r="G1943" s="1566">
        <v>0</v>
      </c>
      <c r="H1943" s="1567"/>
      <c r="I1943" s="1567">
        <v>47020</v>
      </c>
      <c r="J1943" s="1567">
        <v>47020</v>
      </c>
      <c r="K1943" s="1568" t="str">
        <f t="shared" si="30"/>
        <v>No</v>
      </c>
      <c r="L1943" s="1565"/>
    </row>
    <row r="1944" spans="1:12" ht="20.100000000000001" customHeight="1">
      <c r="A1944" s="1568" t="s">
        <v>3032</v>
      </c>
      <c r="B1944" s="1567">
        <v>43368</v>
      </c>
      <c r="C1944" s="1568" t="s">
        <v>3308</v>
      </c>
      <c r="D1944" s="1568" t="s">
        <v>2981</v>
      </c>
      <c r="E1944" s="1567">
        <v>44594</v>
      </c>
      <c r="F1944" s="1566">
        <v>250</v>
      </c>
      <c r="G1944" s="1566">
        <v>0</v>
      </c>
      <c r="H1944" s="1567"/>
      <c r="I1944" s="1567">
        <v>47020</v>
      </c>
      <c r="J1944" s="1567">
        <v>47020</v>
      </c>
      <c r="K1944" s="1568" t="str">
        <f t="shared" si="30"/>
        <v>No</v>
      </c>
      <c r="L1944" s="1565"/>
    </row>
    <row r="1945" spans="1:12" ht="20.100000000000001" customHeight="1">
      <c r="A1945" s="1568" t="s">
        <v>3032</v>
      </c>
      <c r="B1945" s="1567">
        <v>43368</v>
      </c>
      <c r="C1945" s="1568" t="s">
        <v>3308</v>
      </c>
      <c r="D1945" s="1568" t="s">
        <v>2981</v>
      </c>
      <c r="E1945" s="1567">
        <v>44622</v>
      </c>
      <c r="F1945" s="1566">
        <v>250</v>
      </c>
      <c r="G1945" s="1566">
        <v>0</v>
      </c>
      <c r="H1945" s="1567"/>
      <c r="I1945" s="1567">
        <v>47020</v>
      </c>
      <c r="J1945" s="1567">
        <v>47020</v>
      </c>
      <c r="K1945" s="1568" t="str">
        <f t="shared" si="30"/>
        <v>No</v>
      </c>
      <c r="L1945" s="1565"/>
    </row>
    <row r="1946" spans="1:12" ht="20.100000000000001" customHeight="1">
      <c r="A1946" s="1568" t="s">
        <v>3032</v>
      </c>
      <c r="B1946" s="1567">
        <v>43368</v>
      </c>
      <c r="C1946" s="1568" t="s">
        <v>3308</v>
      </c>
      <c r="D1946" s="1568" t="s">
        <v>2981</v>
      </c>
      <c r="E1946" s="1567">
        <v>44653</v>
      </c>
      <c r="F1946" s="1566">
        <v>250</v>
      </c>
      <c r="G1946" s="1566">
        <v>0</v>
      </c>
      <c r="H1946" s="1567"/>
      <c r="I1946" s="1567">
        <v>47020</v>
      </c>
      <c r="J1946" s="1567">
        <v>47020</v>
      </c>
      <c r="K1946" s="1568" t="str">
        <f t="shared" si="30"/>
        <v>No</v>
      </c>
      <c r="L1946" s="1565"/>
    </row>
    <row r="1947" spans="1:12" ht="20.100000000000001" customHeight="1">
      <c r="A1947" s="1568" t="s">
        <v>3032</v>
      </c>
      <c r="B1947" s="1567">
        <v>43368</v>
      </c>
      <c r="C1947" s="1568" t="s">
        <v>3308</v>
      </c>
      <c r="D1947" s="1568" t="s">
        <v>2981</v>
      </c>
      <c r="E1947" s="1567">
        <v>44683</v>
      </c>
      <c r="F1947" s="1566">
        <v>250</v>
      </c>
      <c r="G1947" s="1566">
        <v>0</v>
      </c>
      <c r="H1947" s="1567"/>
      <c r="I1947" s="1567">
        <v>47020</v>
      </c>
      <c r="J1947" s="1567">
        <v>47020</v>
      </c>
      <c r="K1947" s="1568" t="str">
        <f t="shared" si="30"/>
        <v>No</v>
      </c>
      <c r="L1947" s="1565"/>
    </row>
    <row r="1948" spans="1:12" ht="20.100000000000001" customHeight="1">
      <c r="A1948" s="1568" t="s">
        <v>3032</v>
      </c>
      <c r="B1948" s="1567">
        <v>43368</v>
      </c>
      <c r="C1948" s="1568" t="s">
        <v>3308</v>
      </c>
      <c r="D1948" s="1568" t="s">
        <v>2981</v>
      </c>
      <c r="E1948" s="1567">
        <v>44714</v>
      </c>
      <c r="F1948" s="1566">
        <v>250</v>
      </c>
      <c r="G1948" s="1566">
        <v>0</v>
      </c>
      <c r="H1948" s="1567"/>
      <c r="I1948" s="1567">
        <v>47020</v>
      </c>
      <c r="J1948" s="1567">
        <v>47020</v>
      </c>
      <c r="K1948" s="1568" t="str">
        <f t="shared" si="30"/>
        <v>No</v>
      </c>
      <c r="L1948" s="1565"/>
    </row>
    <row r="1949" spans="1:12" ht="20.100000000000001" customHeight="1">
      <c r="A1949" s="1568" t="s">
        <v>3032</v>
      </c>
      <c r="B1949" s="1567">
        <v>43368</v>
      </c>
      <c r="C1949" s="1568" t="s">
        <v>3308</v>
      </c>
      <c r="D1949" s="1568" t="s">
        <v>2981</v>
      </c>
      <c r="E1949" s="1567">
        <v>44744</v>
      </c>
      <c r="F1949" s="1566">
        <v>250</v>
      </c>
      <c r="G1949" s="1566">
        <v>0</v>
      </c>
      <c r="H1949" s="1567"/>
      <c r="I1949" s="1567">
        <v>47020</v>
      </c>
      <c r="J1949" s="1567">
        <v>47020</v>
      </c>
      <c r="K1949" s="1568" t="str">
        <f t="shared" si="30"/>
        <v>No</v>
      </c>
      <c r="L1949" s="1565"/>
    </row>
    <row r="1950" spans="1:12" ht="20.100000000000001" customHeight="1">
      <c r="A1950" s="1568" t="s">
        <v>3031</v>
      </c>
      <c r="B1950" s="1567">
        <v>43368</v>
      </c>
      <c r="C1950" s="1568" t="s">
        <v>3308</v>
      </c>
      <c r="D1950" s="1568" t="s">
        <v>2963</v>
      </c>
      <c r="E1950" s="1567">
        <v>43662</v>
      </c>
      <c r="F1950" s="1566">
        <v>15000</v>
      </c>
      <c r="G1950" s="1566">
        <v>0</v>
      </c>
      <c r="H1950" s="1567"/>
      <c r="I1950" s="1567">
        <v>47020</v>
      </c>
      <c r="J1950" s="1567">
        <v>47020</v>
      </c>
      <c r="K1950" s="1568" t="str">
        <f t="shared" si="30"/>
        <v>No</v>
      </c>
      <c r="L1950" s="1565"/>
    </row>
    <row r="1951" spans="1:12" ht="20.100000000000001" customHeight="1">
      <c r="A1951" s="1568" t="s">
        <v>3031</v>
      </c>
      <c r="B1951" s="1567">
        <v>43368</v>
      </c>
      <c r="C1951" s="1568" t="s">
        <v>3308</v>
      </c>
      <c r="D1951" s="1568" t="s">
        <v>2963</v>
      </c>
      <c r="E1951" s="1567">
        <v>43693</v>
      </c>
      <c r="F1951" s="1566">
        <v>1250</v>
      </c>
      <c r="G1951" s="1566">
        <v>0</v>
      </c>
      <c r="H1951" s="1567"/>
      <c r="I1951" s="1567">
        <v>47020</v>
      </c>
      <c r="J1951" s="1567">
        <v>47020</v>
      </c>
      <c r="K1951" s="1568" t="str">
        <f t="shared" si="30"/>
        <v>No</v>
      </c>
      <c r="L1951" s="1565"/>
    </row>
    <row r="1952" spans="1:12" ht="20.100000000000001" customHeight="1">
      <c r="A1952" s="1568" t="s">
        <v>3031</v>
      </c>
      <c r="B1952" s="1567">
        <v>43368</v>
      </c>
      <c r="C1952" s="1568" t="s">
        <v>3308</v>
      </c>
      <c r="D1952" s="1568" t="s">
        <v>2963</v>
      </c>
      <c r="E1952" s="1567">
        <v>43724</v>
      </c>
      <c r="F1952" s="1566">
        <v>1250</v>
      </c>
      <c r="G1952" s="1566">
        <v>0</v>
      </c>
      <c r="H1952" s="1567"/>
      <c r="I1952" s="1567">
        <v>47020</v>
      </c>
      <c r="J1952" s="1567">
        <v>47020</v>
      </c>
      <c r="K1952" s="1568" t="str">
        <f t="shared" si="30"/>
        <v>No</v>
      </c>
      <c r="L1952" s="1565"/>
    </row>
    <row r="1953" spans="1:12" ht="20.100000000000001" customHeight="1">
      <c r="A1953" s="1568" t="s">
        <v>3031</v>
      </c>
      <c r="B1953" s="1567">
        <v>43368</v>
      </c>
      <c r="C1953" s="1568" t="s">
        <v>3308</v>
      </c>
      <c r="D1953" s="1568" t="s">
        <v>2963</v>
      </c>
      <c r="E1953" s="1567">
        <v>43754</v>
      </c>
      <c r="F1953" s="1566">
        <v>1250</v>
      </c>
      <c r="G1953" s="1566">
        <v>0</v>
      </c>
      <c r="H1953" s="1567"/>
      <c r="I1953" s="1567">
        <v>47020</v>
      </c>
      <c r="J1953" s="1567">
        <v>47020</v>
      </c>
      <c r="K1953" s="1568" t="str">
        <f t="shared" si="30"/>
        <v>No</v>
      </c>
      <c r="L1953" s="1565"/>
    </row>
    <row r="1954" spans="1:12" ht="20.100000000000001" customHeight="1">
      <c r="A1954" s="1568" t="s">
        <v>3031</v>
      </c>
      <c r="B1954" s="1567">
        <v>43368</v>
      </c>
      <c r="C1954" s="1568" t="s">
        <v>3308</v>
      </c>
      <c r="D1954" s="1568" t="s">
        <v>2963</v>
      </c>
      <c r="E1954" s="1567">
        <v>43785</v>
      </c>
      <c r="F1954" s="1566">
        <v>1250</v>
      </c>
      <c r="G1954" s="1566">
        <v>0</v>
      </c>
      <c r="H1954" s="1567"/>
      <c r="I1954" s="1567">
        <v>47020</v>
      </c>
      <c r="J1954" s="1567">
        <v>47020</v>
      </c>
      <c r="K1954" s="1568" t="str">
        <f t="shared" si="30"/>
        <v>No</v>
      </c>
      <c r="L1954" s="1565"/>
    </row>
    <row r="1955" spans="1:12" ht="20.100000000000001" customHeight="1">
      <c r="A1955" s="1568" t="s">
        <v>3031</v>
      </c>
      <c r="B1955" s="1567">
        <v>43368</v>
      </c>
      <c r="C1955" s="1568" t="s">
        <v>3308</v>
      </c>
      <c r="D1955" s="1568" t="s">
        <v>2963</v>
      </c>
      <c r="E1955" s="1567">
        <v>43815</v>
      </c>
      <c r="F1955" s="1566">
        <v>1250</v>
      </c>
      <c r="G1955" s="1566">
        <v>0</v>
      </c>
      <c r="H1955" s="1567"/>
      <c r="I1955" s="1567">
        <v>47020</v>
      </c>
      <c r="J1955" s="1567">
        <v>47020</v>
      </c>
      <c r="K1955" s="1568" t="str">
        <f t="shared" si="30"/>
        <v>No</v>
      </c>
      <c r="L1955" s="1565"/>
    </row>
    <row r="1956" spans="1:12" ht="20.100000000000001" customHeight="1">
      <c r="A1956" s="1568" t="s">
        <v>3031</v>
      </c>
      <c r="B1956" s="1567">
        <v>43368</v>
      </c>
      <c r="C1956" s="1568" t="s">
        <v>3308</v>
      </c>
      <c r="D1956" s="1568" t="s">
        <v>2963</v>
      </c>
      <c r="E1956" s="1567">
        <v>43846</v>
      </c>
      <c r="F1956" s="1566">
        <v>1250</v>
      </c>
      <c r="G1956" s="1566">
        <v>0</v>
      </c>
      <c r="H1956" s="1567"/>
      <c r="I1956" s="1567">
        <v>47020</v>
      </c>
      <c r="J1956" s="1567">
        <v>47020</v>
      </c>
      <c r="K1956" s="1568" t="str">
        <f t="shared" si="30"/>
        <v>No</v>
      </c>
      <c r="L1956" s="1565"/>
    </row>
    <row r="1957" spans="1:12" ht="20.100000000000001" customHeight="1">
      <c r="A1957" s="1568" t="s">
        <v>3031</v>
      </c>
      <c r="B1957" s="1567">
        <v>43368</v>
      </c>
      <c r="C1957" s="1568" t="s">
        <v>3308</v>
      </c>
      <c r="D1957" s="1568" t="s">
        <v>2963</v>
      </c>
      <c r="E1957" s="1567">
        <v>43877</v>
      </c>
      <c r="F1957" s="1566">
        <v>1250</v>
      </c>
      <c r="G1957" s="1566">
        <v>0</v>
      </c>
      <c r="H1957" s="1567"/>
      <c r="I1957" s="1567">
        <v>47020</v>
      </c>
      <c r="J1957" s="1567">
        <v>47020</v>
      </c>
      <c r="K1957" s="1568" t="str">
        <f t="shared" si="30"/>
        <v>No</v>
      </c>
      <c r="L1957" s="1565"/>
    </row>
    <row r="1958" spans="1:12" ht="20.100000000000001" customHeight="1">
      <c r="A1958" s="1568" t="s">
        <v>3031</v>
      </c>
      <c r="B1958" s="1567">
        <v>43368</v>
      </c>
      <c r="C1958" s="1568" t="s">
        <v>3308</v>
      </c>
      <c r="D1958" s="1568" t="s">
        <v>2963</v>
      </c>
      <c r="E1958" s="1567">
        <v>43906</v>
      </c>
      <c r="F1958" s="1566">
        <v>1250</v>
      </c>
      <c r="G1958" s="1566">
        <v>0</v>
      </c>
      <c r="H1958" s="1567"/>
      <c r="I1958" s="1567">
        <v>47020</v>
      </c>
      <c r="J1958" s="1567">
        <v>47020</v>
      </c>
      <c r="K1958" s="1568" t="str">
        <f t="shared" si="30"/>
        <v>No</v>
      </c>
      <c r="L1958" s="1565"/>
    </row>
    <row r="1959" spans="1:12" ht="20.100000000000001" customHeight="1">
      <c r="A1959" s="1568" t="s">
        <v>3031</v>
      </c>
      <c r="B1959" s="1567">
        <v>43368</v>
      </c>
      <c r="C1959" s="1568" t="s">
        <v>3308</v>
      </c>
      <c r="D1959" s="1568" t="s">
        <v>2963</v>
      </c>
      <c r="E1959" s="1567">
        <v>43937</v>
      </c>
      <c r="F1959" s="1566">
        <v>1250</v>
      </c>
      <c r="G1959" s="1566">
        <v>0</v>
      </c>
      <c r="H1959" s="1567"/>
      <c r="I1959" s="1567">
        <v>47020</v>
      </c>
      <c r="J1959" s="1567">
        <v>47020</v>
      </c>
      <c r="K1959" s="1568" t="str">
        <f t="shared" si="30"/>
        <v>No</v>
      </c>
      <c r="L1959" s="1565"/>
    </row>
    <row r="1960" spans="1:12" ht="20.100000000000001" customHeight="1">
      <c r="A1960" s="1568" t="s">
        <v>3031</v>
      </c>
      <c r="B1960" s="1567">
        <v>43368</v>
      </c>
      <c r="C1960" s="1568" t="s">
        <v>3308</v>
      </c>
      <c r="D1960" s="1568" t="s">
        <v>2963</v>
      </c>
      <c r="E1960" s="1567">
        <v>43967</v>
      </c>
      <c r="F1960" s="1566">
        <v>1250</v>
      </c>
      <c r="G1960" s="1566">
        <v>0</v>
      </c>
      <c r="H1960" s="1567"/>
      <c r="I1960" s="1567">
        <v>47020</v>
      </c>
      <c r="J1960" s="1567">
        <v>47020</v>
      </c>
      <c r="K1960" s="1568" t="str">
        <f t="shared" si="30"/>
        <v>No</v>
      </c>
      <c r="L1960" s="1565"/>
    </row>
    <row r="1961" spans="1:12" ht="20.100000000000001" customHeight="1">
      <c r="A1961" s="1568" t="s">
        <v>3031</v>
      </c>
      <c r="B1961" s="1567">
        <v>43368</v>
      </c>
      <c r="C1961" s="1568" t="s">
        <v>3308</v>
      </c>
      <c r="D1961" s="1568" t="s">
        <v>2963</v>
      </c>
      <c r="E1961" s="1567">
        <v>43998</v>
      </c>
      <c r="F1961" s="1566">
        <v>1250</v>
      </c>
      <c r="G1961" s="1566">
        <v>0</v>
      </c>
      <c r="H1961" s="1567"/>
      <c r="I1961" s="1567">
        <v>47020</v>
      </c>
      <c r="J1961" s="1567">
        <v>47020</v>
      </c>
      <c r="K1961" s="1568" t="str">
        <f t="shared" si="30"/>
        <v>No</v>
      </c>
      <c r="L1961" s="1565"/>
    </row>
    <row r="1962" spans="1:12" ht="20.100000000000001" customHeight="1">
      <c r="A1962" s="1568" t="s">
        <v>3031</v>
      </c>
      <c r="B1962" s="1567">
        <v>43368</v>
      </c>
      <c r="C1962" s="1568" t="s">
        <v>3308</v>
      </c>
      <c r="D1962" s="1568" t="s">
        <v>2963</v>
      </c>
      <c r="E1962" s="1567">
        <v>44028</v>
      </c>
      <c r="F1962" s="1566">
        <v>1250</v>
      </c>
      <c r="G1962" s="1566">
        <v>0</v>
      </c>
      <c r="H1962" s="1567"/>
      <c r="I1962" s="1567">
        <v>47020</v>
      </c>
      <c r="J1962" s="1567">
        <v>47020</v>
      </c>
      <c r="K1962" s="1568" t="str">
        <f t="shared" si="30"/>
        <v>No</v>
      </c>
      <c r="L1962" s="1565"/>
    </row>
    <row r="1963" spans="1:12" ht="20.100000000000001" customHeight="1">
      <c r="A1963" s="1568" t="s">
        <v>3031</v>
      </c>
      <c r="B1963" s="1567">
        <v>43368</v>
      </c>
      <c r="C1963" s="1568" t="s">
        <v>3308</v>
      </c>
      <c r="D1963" s="1568" t="s">
        <v>2963</v>
      </c>
      <c r="E1963" s="1567">
        <v>44059</v>
      </c>
      <c r="F1963" s="1566">
        <v>1250</v>
      </c>
      <c r="G1963" s="1566">
        <v>0</v>
      </c>
      <c r="H1963" s="1567"/>
      <c r="I1963" s="1567">
        <v>47020</v>
      </c>
      <c r="J1963" s="1567">
        <v>47020</v>
      </c>
      <c r="K1963" s="1568" t="str">
        <f t="shared" si="30"/>
        <v>No</v>
      </c>
      <c r="L1963" s="1565"/>
    </row>
    <row r="1964" spans="1:12" ht="20.100000000000001" customHeight="1">
      <c r="A1964" s="1568" t="s">
        <v>3031</v>
      </c>
      <c r="B1964" s="1567">
        <v>43368</v>
      </c>
      <c r="C1964" s="1568" t="s">
        <v>3308</v>
      </c>
      <c r="D1964" s="1568" t="s">
        <v>2963</v>
      </c>
      <c r="E1964" s="1567">
        <v>44090</v>
      </c>
      <c r="F1964" s="1566">
        <v>1250</v>
      </c>
      <c r="G1964" s="1566">
        <v>0</v>
      </c>
      <c r="H1964" s="1567"/>
      <c r="I1964" s="1567">
        <v>47020</v>
      </c>
      <c r="J1964" s="1567">
        <v>47020</v>
      </c>
      <c r="K1964" s="1568" t="str">
        <f t="shared" si="30"/>
        <v>No</v>
      </c>
      <c r="L1964" s="1565"/>
    </row>
    <row r="1965" spans="1:12" ht="20.100000000000001" customHeight="1">
      <c r="A1965" s="1568" t="s">
        <v>3031</v>
      </c>
      <c r="B1965" s="1567">
        <v>43368</v>
      </c>
      <c r="C1965" s="1568" t="s">
        <v>3308</v>
      </c>
      <c r="D1965" s="1568" t="s">
        <v>2963</v>
      </c>
      <c r="E1965" s="1567">
        <v>44120</v>
      </c>
      <c r="F1965" s="1566">
        <v>1250</v>
      </c>
      <c r="G1965" s="1566">
        <v>0</v>
      </c>
      <c r="H1965" s="1567"/>
      <c r="I1965" s="1567">
        <v>47020</v>
      </c>
      <c r="J1965" s="1567">
        <v>47020</v>
      </c>
      <c r="K1965" s="1568" t="str">
        <f t="shared" si="30"/>
        <v>No</v>
      </c>
      <c r="L1965" s="1565"/>
    </row>
    <row r="1966" spans="1:12" ht="20.100000000000001" customHeight="1">
      <c r="A1966" s="1568" t="s">
        <v>3031</v>
      </c>
      <c r="B1966" s="1567">
        <v>43368</v>
      </c>
      <c r="C1966" s="1568" t="s">
        <v>3308</v>
      </c>
      <c r="D1966" s="1568" t="s">
        <v>2963</v>
      </c>
      <c r="E1966" s="1567">
        <v>44151</v>
      </c>
      <c r="F1966" s="1566">
        <v>1250</v>
      </c>
      <c r="G1966" s="1566">
        <v>0</v>
      </c>
      <c r="H1966" s="1567"/>
      <c r="I1966" s="1567">
        <v>47020</v>
      </c>
      <c r="J1966" s="1567">
        <v>47020</v>
      </c>
      <c r="K1966" s="1568" t="str">
        <f t="shared" si="30"/>
        <v>No</v>
      </c>
      <c r="L1966" s="1565"/>
    </row>
    <row r="1967" spans="1:12" ht="20.100000000000001" customHeight="1">
      <c r="A1967" s="1568" t="s">
        <v>3031</v>
      </c>
      <c r="B1967" s="1567">
        <v>43368</v>
      </c>
      <c r="C1967" s="1568" t="s">
        <v>3308</v>
      </c>
      <c r="D1967" s="1568" t="s">
        <v>2963</v>
      </c>
      <c r="E1967" s="1567">
        <v>44181</v>
      </c>
      <c r="F1967" s="1566">
        <v>1250</v>
      </c>
      <c r="G1967" s="1566">
        <v>0</v>
      </c>
      <c r="H1967" s="1567"/>
      <c r="I1967" s="1567">
        <v>47020</v>
      </c>
      <c r="J1967" s="1567">
        <v>47020</v>
      </c>
      <c r="K1967" s="1568" t="str">
        <f t="shared" si="30"/>
        <v>No</v>
      </c>
      <c r="L1967" s="1565"/>
    </row>
    <row r="1968" spans="1:12" ht="20.100000000000001" customHeight="1">
      <c r="A1968" s="1568" t="s">
        <v>3031</v>
      </c>
      <c r="B1968" s="1567">
        <v>43368</v>
      </c>
      <c r="C1968" s="1568" t="s">
        <v>3308</v>
      </c>
      <c r="D1968" s="1568" t="s">
        <v>2963</v>
      </c>
      <c r="E1968" s="1567">
        <v>44212</v>
      </c>
      <c r="F1968" s="1566">
        <v>1250</v>
      </c>
      <c r="G1968" s="1566">
        <v>0</v>
      </c>
      <c r="H1968" s="1567"/>
      <c r="I1968" s="1567">
        <v>47020</v>
      </c>
      <c r="J1968" s="1567">
        <v>47020</v>
      </c>
      <c r="K1968" s="1568" t="str">
        <f t="shared" si="30"/>
        <v>No</v>
      </c>
      <c r="L1968" s="1565"/>
    </row>
    <row r="1969" spans="1:12" ht="20.100000000000001" customHeight="1">
      <c r="A1969" s="1568" t="s">
        <v>3031</v>
      </c>
      <c r="B1969" s="1567">
        <v>43368</v>
      </c>
      <c r="C1969" s="1568" t="s">
        <v>3308</v>
      </c>
      <c r="D1969" s="1568" t="s">
        <v>2963</v>
      </c>
      <c r="E1969" s="1567">
        <v>44243</v>
      </c>
      <c r="F1969" s="1566">
        <v>1250</v>
      </c>
      <c r="G1969" s="1566">
        <v>0</v>
      </c>
      <c r="H1969" s="1567"/>
      <c r="I1969" s="1567">
        <v>47020</v>
      </c>
      <c r="J1969" s="1567">
        <v>47020</v>
      </c>
      <c r="K1969" s="1568" t="str">
        <f t="shared" si="30"/>
        <v>No</v>
      </c>
      <c r="L1969" s="1565"/>
    </row>
    <row r="1970" spans="1:12" ht="20.100000000000001" customHeight="1">
      <c r="A1970" s="1568" t="s">
        <v>3031</v>
      </c>
      <c r="B1970" s="1567">
        <v>43368</v>
      </c>
      <c r="C1970" s="1568" t="s">
        <v>3308</v>
      </c>
      <c r="D1970" s="1568" t="s">
        <v>2963</v>
      </c>
      <c r="E1970" s="1567">
        <v>44271</v>
      </c>
      <c r="F1970" s="1566">
        <v>1250</v>
      </c>
      <c r="G1970" s="1566">
        <v>0</v>
      </c>
      <c r="H1970" s="1567"/>
      <c r="I1970" s="1567">
        <v>47020</v>
      </c>
      <c r="J1970" s="1567">
        <v>47020</v>
      </c>
      <c r="K1970" s="1568" t="str">
        <f t="shared" si="30"/>
        <v>No</v>
      </c>
      <c r="L1970" s="1565"/>
    </row>
    <row r="1971" spans="1:12" ht="20.100000000000001" customHeight="1">
      <c r="A1971" s="1568" t="s">
        <v>3031</v>
      </c>
      <c r="B1971" s="1567">
        <v>43368</v>
      </c>
      <c r="C1971" s="1568" t="s">
        <v>3308</v>
      </c>
      <c r="D1971" s="1568" t="s">
        <v>2963</v>
      </c>
      <c r="E1971" s="1567">
        <v>44302</v>
      </c>
      <c r="F1971" s="1566">
        <v>1250</v>
      </c>
      <c r="G1971" s="1566">
        <v>0</v>
      </c>
      <c r="H1971" s="1567"/>
      <c r="I1971" s="1567">
        <v>47020</v>
      </c>
      <c r="J1971" s="1567">
        <v>47020</v>
      </c>
      <c r="K1971" s="1568" t="str">
        <f t="shared" si="30"/>
        <v>No</v>
      </c>
      <c r="L1971" s="1565"/>
    </row>
    <row r="1972" spans="1:12" ht="20.100000000000001" customHeight="1">
      <c r="A1972" s="1568" t="s">
        <v>3031</v>
      </c>
      <c r="B1972" s="1567">
        <v>43368</v>
      </c>
      <c r="C1972" s="1568" t="s">
        <v>3308</v>
      </c>
      <c r="D1972" s="1568" t="s">
        <v>2963</v>
      </c>
      <c r="E1972" s="1567">
        <v>44332</v>
      </c>
      <c r="F1972" s="1566">
        <v>1250</v>
      </c>
      <c r="G1972" s="1566">
        <v>0</v>
      </c>
      <c r="H1972" s="1567"/>
      <c r="I1972" s="1567">
        <v>47020</v>
      </c>
      <c r="J1972" s="1567">
        <v>47020</v>
      </c>
      <c r="K1972" s="1568" t="str">
        <f t="shared" si="30"/>
        <v>No</v>
      </c>
      <c r="L1972" s="1565"/>
    </row>
    <row r="1973" spans="1:12" ht="20.100000000000001" customHeight="1">
      <c r="A1973" s="1568" t="s">
        <v>3031</v>
      </c>
      <c r="B1973" s="1567">
        <v>43368</v>
      </c>
      <c r="C1973" s="1568" t="s">
        <v>3308</v>
      </c>
      <c r="D1973" s="1568" t="s">
        <v>2963</v>
      </c>
      <c r="E1973" s="1567">
        <v>44363</v>
      </c>
      <c r="F1973" s="1566">
        <v>1250</v>
      </c>
      <c r="G1973" s="1566">
        <v>0</v>
      </c>
      <c r="H1973" s="1567"/>
      <c r="I1973" s="1567">
        <v>47020</v>
      </c>
      <c r="J1973" s="1567">
        <v>47020</v>
      </c>
      <c r="K1973" s="1568" t="str">
        <f t="shared" si="30"/>
        <v>No</v>
      </c>
      <c r="L1973" s="1565"/>
    </row>
    <row r="1974" spans="1:12" ht="20.100000000000001" customHeight="1">
      <c r="A1974" s="1568" t="s">
        <v>3031</v>
      </c>
      <c r="B1974" s="1567">
        <v>43368</v>
      </c>
      <c r="C1974" s="1568" t="s">
        <v>3308</v>
      </c>
      <c r="D1974" s="1568" t="s">
        <v>2963</v>
      </c>
      <c r="E1974" s="1567">
        <v>44393</v>
      </c>
      <c r="F1974" s="1566">
        <v>1250</v>
      </c>
      <c r="G1974" s="1566">
        <v>0</v>
      </c>
      <c r="H1974" s="1567"/>
      <c r="I1974" s="1567">
        <v>47020</v>
      </c>
      <c r="J1974" s="1567">
        <v>47020</v>
      </c>
      <c r="K1974" s="1568" t="str">
        <f t="shared" si="30"/>
        <v>No</v>
      </c>
      <c r="L1974" s="1565"/>
    </row>
    <row r="1975" spans="1:12" ht="20.100000000000001" customHeight="1">
      <c r="A1975" s="1568" t="s">
        <v>3031</v>
      </c>
      <c r="B1975" s="1567">
        <v>43368</v>
      </c>
      <c r="C1975" s="1568" t="s">
        <v>3308</v>
      </c>
      <c r="D1975" s="1568" t="s">
        <v>2963</v>
      </c>
      <c r="E1975" s="1567">
        <v>44424</v>
      </c>
      <c r="F1975" s="1566">
        <v>1250</v>
      </c>
      <c r="G1975" s="1566">
        <v>0</v>
      </c>
      <c r="H1975" s="1567"/>
      <c r="I1975" s="1567">
        <v>47020</v>
      </c>
      <c r="J1975" s="1567">
        <v>47020</v>
      </c>
      <c r="K1975" s="1568" t="str">
        <f t="shared" si="30"/>
        <v>No</v>
      </c>
      <c r="L1975" s="1565"/>
    </row>
    <row r="1976" spans="1:12" ht="20.100000000000001" customHeight="1">
      <c r="A1976" s="1568" t="s">
        <v>3031</v>
      </c>
      <c r="B1976" s="1567">
        <v>43368</v>
      </c>
      <c r="C1976" s="1568" t="s">
        <v>3308</v>
      </c>
      <c r="D1976" s="1568" t="s">
        <v>2963</v>
      </c>
      <c r="E1976" s="1567">
        <v>44455</v>
      </c>
      <c r="F1976" s="1566">
        <v>1250</v>
      </c>
      <c r="G1976" s="1566">
        <v>0</v>
      </c>
      <c r="H1976" s="1567"/>
      <c r="I1976" s="1567">
        <v>47020</v>
      </c>
      <c r="J1976" s="1567">
        <v>47020</v>
      </c>
      <c r="K1976" s="1568" t="str">
        <f t="shared" si="30"/>
        <v>No</v>
      </c>
      <c r="L1976" s="1565"/>
    </row>
    <row r="1977" spans="1:12" ht="20.100000000000001" customHeight="1">
      <c r="A1977" s="1568" t="s">
        <v>3031</v>
      </c>
      <c r="B1977" s="1567">
        <v>43368</v>
      </c>
      <c r="C1977" s="1568" t="s">
        <v>3308</v>
      </c>
      <c r="D1977" s="1568" t="s">
        <v>2963</v>
      </c>
      <c r="E1977" s="1567">
        <v>44485</v>
      </c>
      <c r="F1977" s="1566">
        <v>1250</v>
      </c>
      <c r="G1977" s="1566">
        <v>0</v>
      </c>
      <c r="H1977" s="1567"/>
      <c r="I1977" s="1567">
        <v>47020</v>
      </c>
      <c r="J1977" s="1567">
        <v>47020</v>
      </c>
      <c r="K1977" s="1568" t="str">
        <f t="shared" si="30"/>
        <v>No</v>
      </c>
      <c r="L1977" s="1565"/>
    </row>
    <row r="1978" spans="1:12" ht="20.100000000000001" customHeight="1">
      <c r="A1978" s="1568" t="s">
        <v>3031</v>
      </c>
      <c r="B1978" s="1567">
        <v>43368</v>
      </c>
      <c r="C1978" s="1568" t="s">
        <v>3308</v>
      </c>
      <c r="D1978" s="1568" t="s">
        <v>2963</v>
      </c>
      <c r="E1978" s="1567">
        <v>44516</v>
      </c>
      <c r="F1978" s="1566">
        <v>1250</v>
      </c>
      <c r="G1978" s="1566">
        <v>0</v>
      </c>
      <c r="H1978" s="1567"/>
      <c r="I1978" s="1567">
        <v>47020</v>
      </c>
      <c r="J1978" s="1567">
        <v>47020</v>
      </c>
      <c r="K1978" s="1568" t="str">
        <f t="shared" si="30"/>
        <v>No</v>
      </c>
      <c r="L1978" s="1565"/>
    </row>
    <row r="1979" spans="1:12" ht="20.100000000000001" customHeight="1">
      <c r="A1979" s="1568" t="s">
        <v>3031</v>
      </c>
      <c r="B1979" s="1567">
        <v>43368</v>
      </c>
      <c r="C1979" s="1568" t="s">
        <v>3308</v>
      </c>
      <c r="D1979" s="1568" t="s">
        <v>2963</v>
      </c>
      <c r="E1979" s="1567">
        <v>44546</v>
      </c>
      <c r="F1979" s="1566">
        <v>1250</v>
      </c>
      <c r="G1979" s="1566">
        <v>0</v>
      </c>
      <c r="H1979" s="1567"/>
      <c r="I1979" s="1567">
        <v>47020</v>
      </c>
      <c r="J1979" s="1567">
        <v>47020</v>
      </c>
      <c r="K1979" s="1568" t="str">
        <f t="shared" si="30"/>
        <v>No</v>
      </c>
      <c r="L1979" s="1565"/>
    </row>
    <row r="1980" spans="1:12" ht="20.100000000000001" customHeight="1">
      <c r="A1980" s="1568" t="s">
        <v>3031</v>
      </c>
      <c r="B1980" s="1567">
        <v>43368</v>
      </c>
      <c r="C1980" s="1568" t="s">
        <v>3308</v>
      </c>
      <c r="D1980" s="1568" t="s">
        <v>2963</v>
      </c>
      <c r="E1980" s="1567">
        <v>44577</v>
      </c>
      <c r="F1980" s="1566">
        <v>1250</v>
      </c>
      <c r="G1980" s="1566">
        <v>0</v>
      </c>
      <c r="H1980" s="1567"/>
      <c r="I1980" s="1567">
        <v>47020</v>
      </c>
      <c r="J1980" s="1567">
        <v>47020</v>
      </c>
      <c r="K1980" s="1568" t="str">
        <f t="shared" si="30"/>
        <v>No</v>
      </c>
      <c r="L1980" s="1565"/>
    </row>
    <row r="1981" spans="1:12" ht="20.100000000000001" customHeight="1">
      <c r="A1981" s="1568" t="s">
        <v>3031</v>
      </c>
      <c r="B1981" s="1567">
        <v>43368</v>
      </c>
      <c r="C1981" s="1568" t="s">
        <v>3308</v>
      </c>
      <c r="D1981" s="1568" t="s">
        <v>2963</v>
      </c>
      <c r="E1981" s="1567">
        <v>44608</v>
      </c>
      <c r="F1981" s="1566">
        <v>1250</v>
      </c>
      <c r="G1981" s="1566">
        <v>0</v>
      </c>
      <c r="H1981" s="1567"/>
      <c r="I1981" s="1567">
        <v>47020</v>
      </c>
      <c r="J1981" s="1567">
        <v>47020</v>
      </c>
      <c r="K1981" s="1568" t="str">
        <f t="shared" si="30"/>
        <v>No</v>
      </c>
      <c r="L1981" s="1565"/>
    </row>
    <row r="1982" spans="1:12" ht="20.100000000000001" customHeight="1">
      <c r="A1982" s="1568" t="s">
        <v>3031</v>
      </c>
      <c r="B1982" s="1567">
        <v>43368</v>
      </c>
      <c r="C1982" s="1568" t="s">
        <v>3308</v>
      </c>
      <c r="D1982" s="1568" t="s">
        <v>2963</v>
      </c>
      <c r="E1982" s="1567">
        <v>44636</v>
      </c>
      <c r="F1982" s="1566">
        <v>1250</v>
      </c>
      <c r="G1982" s="1566">
        <v>0</v>
      </c>
      <c r="H1982" s="1567"/>
      <c r="I1982" s="1567">
        <v>47020</v>
      </c>
      <c r="J1982" s="1567">
        <v>47020</v>
      </c>
      <c r="K1982" s="1568" t="str">
        <f t="shared" si="30"/>
        <v>No</v>
      </c>
      <c r="L1982" s="1565"/>
    </row>
    <row r="1983" spans="1:12" ht="20.100000000000001" customHeight="1">
      <c r="A1983" s="1568" t="s">
        <v>3031</v>
      </c>
      <c r="B1983" s="1567">
        <v>43368</v>
      </c>
      <c r="C1983" s="1568" t="s">
        <v>3308</v>
      </c>
      <c r="D1983" s="1568" t="s">
        <v>2963</v>
      </c>
      <c r="E1983" s="1567">
        <v>44667</v>
      </c>
      <c r="F1983" s="1566">
        <v>1250</v>
      </c>
      <c r="G1983" s="1566">
        <v>0</v>
      </c>
      <c r="H1983" s="1567"/>
      <c r="I1983" s="1567">
        <v>47020</v>
      </c>
      <c r="J1983" s="1567">
        <v>47020</v>
      </c>
      <c r="K1983" s="1568" t="str">
        <f t="shared" si="30"/>
        <v>No</v>
      </c>
      <c r="L1983" s="1565"/>
    </row>
    <row r="1984" spans="1:12" ht="20.100000000000001" customHeight="1">
      <c r="A1984" s="1568" t="s">
        <v>3031</v>
      </c>
      <c r="B1984" s="1567">
        <v>43368</v>
      </c>
      <c r="C1984" s="1568" t="s">
        <v>3308</v>
      </c>
      <c r="D1984" s="1568" t="s">
        <v>2963</v>
      </c>
      <c r="E1984" s="1567">
        <v>44697</v>
      </c>
      <c r="F1984" s="1566">
        <v>1250</v>
      </c>
      <c r="G1984" s="1566">
        <v>0</v>
      </c>
      <c r="H1984" s="1567"/>
      <c r="I1984" s="1567">
        <v>47020</v>
      </c>
      <c r="J1984" s="1567">
        <v>47020</v>
      </c>
      <c r="K1984" s="1568" t="str">
        <f t="shared" si="30"/>
        <v>No</v>
      </c>
      <c r="L1984" s="1565"/>
    </row>
    <row r="1985" spans="1:12" ht="20.100000000000001" customHeight="1">
      <c r="A1985" s="1568" t="s">
        <v>3031</v>
      </c>
      <c r="B1985" s="1567">
        <v>43368</v>
      </c>
      <c r="C1985" s="1568" t="s">
        <v>3308</v>
      </c>
      <c r="D1985" s="1568" t="s">
        <v>2963</v>
      </c>
      <c r="E1985" s="1567">
        <v>44728</v>
      </c>
      <c r="F1985" s="1566">
        <v>1250</v>
      </c>
      <c r="G1985" s="1566">
        <v>0</v>
      </c>
      <c r="H1985" s="1567"/>
      <c r="I1985" s="1567">
        <v>47020</v>
      </c>
      <c r="J1985" s="1567">
        <v>47020</v>
      </c>
      <c r="K1985" s="1568" t="str">
        <f t="shared" si="30"/>
        <v>No</v>
      </c>
      <c r="L1985" s="1565"/>
    </row>
    <row r="1986" spans="1:12" ht="20.100000000000001" customHeight="1">
      <c r="A1986" s="1568" t="s">
        <v>3031</v>
      </c>
      <c r="B1986" s="1567">
        <v>43368</v>
      </c>
      <c r="C1986" s="1568" t="s">
        <v>3308</v>
      </c>
      <c r="D1986" s="1568" t="s">
        <v>2963</v>
      </c>
      <c r="E1986" s="1567">
        <v>44758</v>
      </c>
      <c r="F1986" s="1566">
        <v>1250</v>
      </c>
      <c r="G1986" s="1566">
        <v>0</v>
      </c>
      <c r="H1986" s="1567"/>
      <c r="I1986" s="1567">
        <v>47020</v>
      </c>
      <c r="J1986" s="1567">
        <v>47020</v>
      </c>
      <c r="K1986" s="1568" t="str">
        <f t="shared" si="30"/>
        <v>No</v>
      </c>
      <c r="L1986" s="1565"/>
    </row>
    <row r="1987" spans="1:12" ht="20.100000000000001" customHeight="1">
      <c r="A1987" s="1568" t="s">
        <v>3030</v>
      </c>
      <c r="B1987" s="1567">
        <v>43368</v>
      </c>
      <c r="C1987" s="1568" t="s">
        <v>3308</v>
      </c>
      <c r="D1987" s="1568" t="s">
        <v>3003</v>
      </c>
      <c r="E1987" s="1567">
        <v>43683</v>
      </c>
      <c r="F1987" s="1566">
        <v>1000</v>
      </c>
      <c r="G1987" s="1566">
        <v>0</v>
      </c>
      <c r="H1987" s="1567"/>
      <c r="I1987" s="1567">
        <v>47020</v>
      </c>
      <c r="J1987" s="1567">
        <v>47020</v>
      </c>
      <c r="K1987" s="1568" t="str">
        <f t="shared" si="30"/>
        <v>No</v>
      </c>
      <c r="L1987" s="1565"/>
    </row>
    <row r="1988" spans="1:12" ht="20.100000000000001" customHeight="1">
      <c r="A1988" s="1568" t="s">
        <v>3030</v>
      </c>
      <c r="B1988" s="1567">
        <v>43368</v>
      </c>
      <c r="C1988" s="1568" t="s">
        <v>3308</v>
      </c>
      <c r="D1988" s="1568" t="s">
        <v>3003</v>
      </c>
      <c r="E1988" s="1567">
        <v>43714</v>
      </c>
      <c r="F1988" s="1566">
        <v>83</v>
      </c>
      <c r="G1988" s="1566">
        <v>0</v>
      </c>
      <c r="H1988" s="1567"/>
      <c r="I1988" s="1567">
        <v>47020</v>
      </c>
      <c r="J1988" s="1567">
        <v>47020</v>
      </c>
      <c r="K1988" s="1568" t="str">
        <f t="shared" si="30"/>
        <v>No</v>
      </c>
      <c r="L1988" s="1565"/>
    </row>
    <row r="1989" spans="1:12" ht="20.100000000000001" customHeight="1">
      <c r="A1989" s="1568" t="s">
        <v>3030</v>
      </c>
      <c r="B1989" s="1567">
        <v>43368</v>
      </c>
      <c r="C1989" s="1568" t="s">
        <v>3308</v>
      </c>
      <c r="D1989" s="1568" t="s">
        <v>3003</v>
      </c>
      <c r="E1989" s="1567">
        <v>43744</v>
      </c>
      <c r="F1989" s="1566">
        <v>83</v>
      </c>
      <c r="G1989" s="1566">
        <v>0</v>
      </c>
      <c r="H1989" s="1567"/>
      <c r="I1989" s="1567">
        <v>47020</v>
      </c>
      <c r="J1989" s="1567">
        <v>47020</v>
      </c>
      <c r="K1989" s="1568" t="str">
        <f t="shared" ref="K1989:K2052" si="31">IF(I1989="N/A","No",IF(E1989&lt;=I1989,"No","Yes"))</f>
        <v>No</v>
      </c>
      <c r="L1989" s="1565"/>
    </row>
    <row r="1990" spans="1:12" ht="20.100000000000001" customHeight="1">
      <c r="A1990" s="1568" t="s">
        <v>3030</v>
      </c>
      <c r="B1990" s="1567">
        <v>43368</v>
      </c>
      <c r="C1990" s="1568" t="s">
        <v>3308</v>
      </c>
      <c r="D1990" s="1568" t="s">
        <v>3003</v>
      </c>
      <c r="E1990" s="1567">
        <v>43775</v>
      </c>
      <c r="F1990" s="1566">
        <v>84</v>
      </c>
      <c r="G1990" s="1566">
        <v>0</v>
      </c>
      <c r="H1990" s="1567"/>
      <c r="I1990" s="1567">
        <v>47020</v>
      </c>
      <c r="J1990" s="1567">
        <v>47020</v>
      </c>
      <c r="K1990" s="1568" t="str">
        <f t="shared" si="31"/>
        <v>No</v>
      </c>
      <c r="L1990" s="1565"/>
    </row>
    <row r="1991" spans="1:12" ht="20.100000000000001" customHeight="1">
      <c r="A1991" s="1568" t="s">
        <v>3030</v>
      </c>
      <c r="B1991" s="1567">
        <v>43368</v>
      </c>
      <c r="C1991" s="1568" t="s">
        <v>3308</v>
      </c>
      <c r="D1991" s="1568" t="s">
        <v>3003</v>
      </c>
      <c r="E1991" s="1567">
        <v>43805</v>
      </c>
      <c r="F1991" s="1566">
        <v>83</v>
      </c>
      <c r="G1991" s="1566">
        <v>0</v>
      </c>
      <c r="H1991" s="1567"/>
      <c r="I1991" s="1567">
        <v>47020</v>
      </c>
      <c r="J1991" s="1567">
        <v>47020</v>
      </c>
      <c r="K1991" s="1568" t="str">
        <f t="shared" si="31"/>
        <v>No</v>
      </c>
      <c r="L1991" s="1565"/>
    </row>
    <row r="1992" spans="1:12" ht="20.100000000000001" customHeight="1">
      <c r="A1992" s="1568" t="s">
        <v>3030</v>
      </c>
      <c r="B1992" s="1567">
        <v>43368</v>
      </c>
      <c r="C1992" s="1568" t="s">
        <v>3308</v>
      </c>
      <c r="D1992" s="1568" t="s">
        <v>3003</v>
      </c>
      <c r="E1992" s="1567">
        <v>43836</v>
      </c>
      <c r="F1992" s="1566">
        <v>83</v>
      </c>
      <c r="G1992" s="1566">
        <v>0</v>
      </c>
      <c r="H1992" s="1567"/>
      <c r="I1992" s="1567">
        <v>47020</v>
      </c>
      <c r="J1992" s="1567">
        <v>47020</v>
      </c>
      <c r="K1992" s="1568" t="str">
        <f t="shared" si="31"/>
        <v>No</v>
      </c>
      <c r="L1992" s="1565"/>
    </row>
    <row r="1993" spans="1:12" ht="20.100000000000001" customHeight="1">
      <c r="A1993" s="1568" t="s">
        <v>3030</v>
      </c>
      <c r="B1993" s="1567">
        <v>43368</v>
      </c>
      <c r="C1993" s="1568" t="s">
        <v>3308</v>
      </c>
      <c r="D1993" s="1568" t="s">
        <v>3003</v>
      </c>
      <c r="E1993" s="1567">
        <v>43867</v>
      </c>
      <c r="F1993" s="1566">
        <v>84</v>
      </c>
      <c r="G1993" s="1566">
        <v>0</v>
      </c>
      <c r="H1993" s="1567"/>
      <c r="I1993" s="1567">
        <v>47020</v>
      </c>
      <c r="J1993" s="1567">
        <v>47020</v>
      </c>
      <c r="K1993" s="1568" t="str">
        <f t="shared" si="31"/>
        <v>No</v>
      </c>
      <c r="L1993" s="1565"/>
    </row>
    <row r="1994" spans="1:12" ht="20.100000000000001" customHeight="1">
      <c r="A1994" s="1568" t="s">
        <v>3030</v>
      </c>
      <c r="B1994" s="1567">
        <v>43368</v>
      </c>
      <c r="C1994" s="1568" t="s">
        <v>3308</v>
      </c>
      <c r="D1994" s="1568" t="s">
        <v>3003</v>
      </c>
      <c r="E1994" s="1567">
        <v>43896</v>
      </c>
      <c r="F1994" s="1566">
        <v>83</v>
      </c>
      <c r="G1994" s="1566">
        <v>0</v>
      </c>
      <c r="H1994" s="1567"/>
      <c r="I1994" s="1567">
        <v>47020</v>
      </c>
      <c r="J1994" s="1567">
        <v>47020</v>
      </c>
      <c r="K1994" s="1568" t="str">
        <f t="shared" si="31"/>
        <v>No</v>
      </c>
      <c r="L1994" s="1565"/>
    </row>
    <row r="1995" spans="1:12" ht="20.100000000000001" customHeight="1">
      <c r="A1995" s="1568" t="s">
        <v>3030</v>
      </c>
      <c r="B1995" s="1567">
        <v>43368</v>
      </c>
      <c r="C1995" s="1568" t="s">
        <v>3308</v>
      </c>
      <c r="D1995" s="1568" t="s">
        <v>3003</v>
      </c>
      <c r="E1995" s="1567">
        <v>43927</v>
      </c>
      <c r="F1995" s="1566">
        <v>83</v>
      </c>
      <c r="G1995" s="1566">
        <v>0</v>
      </c>
      <c r="H1995" s="1567"/>
      <c r="I1995" s="1567">
        <v>47020</v>
      </c>
      <c r="J1995" s="1567">
        <v>47020</v>
      </c>
      <c r="K1995" s="1568" t="str">
        <f t="shared" si="31"/>
        <v>No</v>
      </c>
      <c r="L1995" s="1565"/>
    </row>
    <row r="1996" spans="1:12" ht="20.100000000000001" customHeight="1">
      <c r="A1996" s="1568" t="s">
        <v>3030</v>
      </c>
      <c r="B1996" s="1567">
        <v>43368</v>
      </c>
      <c r="C1996" s="1568" t="s">
        <v>3308</v>
      </c>
      <c r="D1996" s="1568" t="s">
        <v>3003</v>
      </c>
      <c r="E1996" s="1567">
        <v>43957</v>
      </c>
      <c r="F1996" s="1566">
        <v>84</v>
      </c>
      <c r="G1996" s="1566">
        <v>0</v>
      </c>
      <c r="H1996" s="1567"/>
      <c r="I1996" s="1567">
        <v>47020</v>
      </c>
      <c r="J1996" s="1567">
        <v>47020</v>
      </c>
      <c r="K1996" s="1568" t="str">
        <f t="shared" si="31"/>
        <v>No</v>
      </c>
      <c r="L1996" s="1565"/>
    </row>
    <row r="1997" spans="1:12" ht="20.100000000000001" customHeight="1">
      <c r="A1997" s="1568" t="s">
        <v>3030</v>
      </c>
      <c r="B1997" s="1567">
        <v>43368</v>
      </c>
      <c r="C1997" s="1568" t="s">
        <v>3308</v>
      </c>
      <c r="D1997" s="1568" t="s">
        <v>3003</v>
      </c>
      <c r="E1997" s="1567">
        <v>43988</v>
      </c>
      <c r="F1997" s="1566">
        <v>83</v>
      </c>
      <c r="G1997" s="1566">
        <v>0</v>
      </c>
      <c r="H1997" s="1567"/>
      <c r="I1997" s="1567">
        <v>47020</v>
      </c>
      <c r="J1997" s="1567">
        <v>47020</v>
      </c>
      <c r="K1997" s="1568" t="str">
        <f t="shared" si="31"/>
        <v>No</v>
      </c>
      <c r="L1997" s="1565"/>
    </row>
    <row r="1998" spans="1:12" ht="20.100000000000001" customHeight="1">
      <c r="A1998" s="1568" t="s">
        <v>3030</v>
      </c>
      <c r="B1998" s="1567">
        <v>43368</v>
      </c>
      <c r="C1998" s="1568" t="s">
        <v>3308</v>
      </c>
      <c r="D1998" s="1568" t="s">
        <v>3003</v>
      </c>
      <c r="E1998" s="1567">
        <v>44018</v>
      </c>
      <c r="F1998" s="1566">
        <v>83</v>
      </c>
      <c r="G1998" s="1566">
        <v>0</v>
      </c>
      <c r="H1998" s="1567"/>
      <c r="I1998" s="1567">
        <v>47020</v>
      </c>
      <c r="J1998" s="1567">
        <v>47020</v>
      </c>
      <c r="K1998" s="1568" t="str">
        <f t="shared" si="31"/>
        <v>No</v>
      </c>
      <c r="L1998" s="1565"/>
    </row>
    <row r="1999" spans="1:12" ht="20.100000000000001" customHeight="1">
      <c r="A1999" s="1568" t="s">
        <v>3030</v>
      </c>
      <c r="B1999" s="1567">
        <v>43368</v>
      </c>
      <c r="C1999" s="1568" t="s">
        <v>3308</v>
      </c>
      <c r="D1999" s="1568" t="s">
        <v>3003</v>
      </c>
      <c r="E1999" s="1567">
        <v>44049</v>
      </c>
      <c r="F1999" s="1566">
        <v>84</v>
      </c>
      <c r="G1999" s="1566">
        <v>0</v>
      </c>
      <c r="H1999" s="1567"/>
      <c r="I1999" s="1567">
        <v>47020</v>
      </c>
      <c r="J1999" s="1567">
        <v>47020</v>
      </c>
      <c r="K1999" s="1568" t="str">
        <f t="shared" si="31"/>
        <v>No</v>
      </c>
      <c r="L1999" s="1565"/>
    </row>
    <row r="2000" spans="1:12" ht="20.100000000000001" customHeight="1">
      <c r="A2000" s="1568" t="s">
        <v>3030</v>
      </c>
      <c r="B2000" s="1567">
        <v>43368</v>
      </c>
      <c r="C2000" s="1568" t="s">
        <v>3308</v>
      </c>
      <c r="D2000" s="1568" t="s">
        <v>3003</v>
      </c>
      <c r="E2000" s="1567">
        <v>44080</v>
      </c>
      <c r="F2000" s="1566">
        <v>83</v>
      </c>
      <c r="G2000" s="1566">
        <v>0</v>
      </c>
      <c r="H2000" s="1567"/>
      <c r="I2000" s="1567">
        <v>47020</v>
      </c>
      <c r="J2000" s="1567">
        <v>47020</v>
      </c>
      <c r="K2000" s="1568" t="str">
        <f t="shared" si="31"/>
        <v>No</v>
      </c>
      <c r="L2000" s="1565"/>
    </row>
    <row r="2001" spans="1:12" ht="20.100000000000001" customHeight="1">
      <c r="A2001" s="1568" t="s">
        <v>3030</v>
      </c>
      <c r="B2001" s="1567">
        <v>43368</v>
      </c>
      <c r="C2001" s="1568" t="s">
        <v>3308</v>
      </c>
      <c r="D2001" s="1568" t="s">
        <v>3003</v>
      </c>
      <c r="E2001" s="1567">
        <v>44110</v>
      </c>
      <c r="F2001" s="1566">
        <v>83</v>
      </c>
      <c r="G2001" s="1566">
        <v>0</v>
      </c>
      <c r="H2001" s="1567"/>
      <c r="I2001" s="1567">
        <v>47020</v>
      </c>
      <c r="J2001" s="1567">
        <v>47020</v>
      </c>
      <c r="K2001" s="1568" t="str">
        <f t="shared" si="31"/>
        <v>No</v>
      </c>
      <c r="L2001" s="1565"/>
    </row>
    <row r="2002" spans="1:12" ht="20.100000000000001" customHeight="1">
      <c r="A2002" s="1568" t="s">
        <v>3030</v>
      </c>
      <c r="B2002" s="1567">
        <v>43368</v>
      </c>
      <c r="C2002" s="1568" t="s">
        <v>3308</v>
      </c>
      <c r="D2002" s="1568" t="s">
        <v>3003</v>
      </c>
      <c r="E2002" s="1567">
        <v>44141</v>
      </c>
      <c r="F2002" s="1566">
        <v>84</v>
      </c>
      <c r="G2002" s="1566">
        <v>0</v>
      </c>
      <c r="H2002" s="1567"/>
      <c r="I2002" s="1567">
        <v>47020</v>
      </c>
      <c r="J2002" s="1567">
        <v>47020</v>
      </c>
      <c r="K2002" s="1568" t="str">
        <f t="shared" si="31"/>
        <v>No</v>
      </c>
      <c r="L2002" s="1565"/>
    </row>
    <row r="2003" spans="1:12" ht="20.100000000000001" customHeight="1">
      <c r="A2003" s="1568" t="s">
        <v>3030</v>
      </c>
      <c r="B2003" s="1567">
        <v>43368</v>
      </c>
      <c r="C2003" s="1568" t="s">
        <v>3308</v>
      </c>
      <c r="D2003" s="1568" t="s">
        <v>3003</v>
      </c>
      <c r="E2003" s="1567">
        <v>44171</v>
      </c>
      <c r="F2003" s="1566">
        <v>83</v>
      </c>
      <c r="G2003" s="1566">
        <v>0</v>
      </c>
      <c r="H2003" s="1567"/>
      <c r="I2003" s="1567">
        <v>47020</v>
      </c>
      <c r="J2003" s="1567">
        <v>47020</v>
      </c>
      <c r="K2003" s="1568" t="str">
        <f t="shared" si="31"/>
        <v>No</v>
      </c>
      <c r="L2003" s="1565"/>
    </row>
    <row r="2004" spans="1:12" ht="20.100000000000001" customHeight="1">
      <c r="A2004" s="1568" t="s">
        <v>3030</v>
      </c>
      <c r="B2004" s="1567">
        <v>43368</v>
      </c>
      <c r="C2004" s="1568" t="s">
        <v>3308</v>
      </c>
      <c r="D2004" s="1568" t="s">
        <v>3003</v>
      </c>
      <c r="E2004" s="1567">
        <v>44202</v>
      </c>
      <c r="F2004" s="1566">
        <v>83</v>
      </c>
      <c r="G2004" s="1566">
        <v>0</v>
      </c>
      <c r="H2004" s="1567"/>
      <c r="I2004" s="1567">
        <v>47020</v>
      </c>
      <c r="J2004" s="1567">
        <v>47020</v>
      </c>
      <c r="K2004" s="1568" t="str">
        <f t="shared" si="31"/>
        <v>No</v>
      </c>
      <c r="L2004" s="1565"/>
    </row>
    <row r="2005" spans="1:12" ht="20.100000000000001" customHeight="1">
      <c r="A2005" s="1568" t="s">
        <v>3030</v>
      </c>
      <c r="B2005" s="1567">
        <v>43368</v>
      </c>
      <c r="C2005" s="1568" t="s">
        <v>3308</v>
      </c>
      <c r="D2005" s="1568" t="s">
        <v>3003</v>
      </c>
      <c r="E2005" s="1567">
        <v>44233</v>
      </c>
      <c r="F2005" s="1566">
        <v>84</v>
      </c>
      <c r="G2005" s="1566">
        <v>0</v>
      </c>
      <c r="H2005" s="1567"/>
      <c r="I2005" s="1567">
        <v>47020</v>
      </c>
      <c r="J2005" s="1567">
        <v>47020</v>
      </c>
      <c r="K2005" s="1568" t="str">
        <f t="shared" si="31"/>
        <v>No</v>
      </c>
      <c r="L2005" s="1565"/>
    </row>
    <row r="2006" spans="1:12" ht="20.100000000000001" customHeight="1">
      <c r="A2006" s="1568" t="s">
        <v>3030</v>
      </c>
      <c r="B2006" s="1567">
        <v>43368</v>
      </c>
      <c r="C2006" s="1568" t="s">
        <v>3308</v>
      </c>
      <c r="D2006" s="1568" t="s">
        <v>3003</v>
      </c>
      <c r="E2006" s="1567">
        <v>44261</v>
      </c>
      <c r="F2006" s="1566">
        <v>83</v>
      </c>
      <c r="G2006" s="1566">
        <v>0</v>
      </c>
      <c r="H2006" s="1567"/>
      <c r="I2006" s="1567">
        <v>47020</v>
      </c>
      <c r="J2006" s="1567">
        <v>47020</v>
      </c>
      <c r="K2006" s="1568" t="str">
        <f t="shared" si="31"/>
        <v>No</v>
      </c>
      <c r="L2006" s="1565"/>
    </row>
    <row r="2007" spans="1:12" ht="20.100000000000001" customHeight="1">
      <c r="A2007" s="1568" t="s">
        <v>3030</v>
      </c>
      <c r="B2007" s="1567">
        <v>43368</v>
      </c>
      <c r="C2007" s="1568" t="s">
        <v>3308</v>
      </c>
      <c r="D2007" s="1568" t="s">
        <v>3003</v>
      </c>
      <c r="E2007" s="1567">
        <v>44292</v>
      </c>
      <c r="F2007" s="1566">
        <v>83</v>
      </c>
      <c r="G2007" s="1566">
        <v>0</v>
      </c>
      <c r="H2007" s="1567"/>
      <c r="I2007" s="1567">
        <v>47020</v>
      </c>
      <c r="J2007" s="1567">
        <v>47020</v>
      </c>
      <c r="K2007" s="1568" t="str">
        <f t="shared" si="31"/>
        <v>No</v>
      </c>
      <c r="L2007" s="1565"/>
    </row>
    <row r="2008" spans="1:12" ht="20.100000000000001" customHeight="1">
      <c r="A2008" s="1568" t="s">
        <v>3030</v>
      </c>
      <c r="B2008" s="1567">
        <v>43368</v>
      </c>
      <c r="C2008" s="1568" t="s">
        <v>3308</v>
      </c>
      <c r="D2008" s="1568" t="s">
        <v>3003</v>
      </c>
      <c r="E2008" s="1567">
        <v>44322</v>
      </c>
      <c r="F2008" s="1566">
        <v>84</v>
      </c>
      <c r="G2008" s="1566">
        <v>0</v>
      </c>
      <c r="H2008" s="1567"/>
      <c r="I2008" s="1567">
        <v>47020</v>
      </c>
      <c r="J2008" s="1567">
        <v>47020</v>
      </c>
      <c r="K2008" s="1568" t="str">
        <f t="shared" si="31"/>
        <v>No</v>
      </c>
      <c r="L2008" s="1565"/>
    </row>
    <row r="2009" spans="1:12" ht="20.100000000000001" customHeight="1">
      <c r="A2009" s="1568" t="s">
        <v>3030</v>
      </c>
      <c r="B2009" s="1567">
        <v>43368</v>
      </c>
      <c r="C2009" s="1568" t="s">
        <v>3308</v>
      </c>
      <c r="D2009" s="1568" t="s">
        <v>3003</v>
      </c>
      <c r="E2009" s="1567">
        <v>44353</v>
      </c>
      <c r="F2009" s="1566">
        <v>83</v>
      </c>
      <c r="G2009" s="1566">
        <v>0</v>
      </c>
      <c r="H2009" s="1567"/>
      <c r="I2009" s="1567">
        <v>47020</v>
      </c>
      <c r="J2009" s="1567">
        <v>47020</v>
      </c>
      <c r="K2009" s="1568" t="str">
        <f t="shared" si="31"/>
        <v>No</v>
      </c>
      <c r="L2009" s="1565"/>
    </row>
    <row r="2010" spans="1:12" ht="20.100000000000001" customHeight="1">
      <c r="A2010" s="1568" t="s">
        <v>3030</v>
      </c>
      <c r="B2010" s="1567">
        <v>43368</v>
      </c>
      <c r="C2010" s="1568" t="s">
        <v>3308</v>
      </c>
      <c r="D2010" s="1568" t="s">
        <v>3003</v>
      </c>
      <c r="E2010" s="1567">
        <v>44383</v>
      </c>
      <c r="F2010" s="1566">
        <v>83</v>
      </c>
      <c r="G2010" s="1566">
        <v>0</v>
      </c>
      <c r="H2010" s="1567"/>
      <c r="I2010" s="1567">
        <v>47020</v>
      </c>
      <c r="J2010" s="1567">
        <v>47020</v>
      </c>
      <c r="K2010" s="1568" t="str">
        <f t="shared" si="31"/>
        <v>No</v>
      </c>
      <c r="L2010" s="1565"/>
    </row>
    <row r="2011" spans="1:12" ht="20.100000000000001" customHeight="1">
      <c r="A2011" s="1568" t="s">
        <v>3030</v>
      </c>
      <c r="B2011" s="1567">
        <v>43368</v>
      </c>
      <c r="C2011" s="1568" t="s">
        <v>3308</v>
      </c>
      <c r="D2011" s="1568" t="s">
        <v>3003</v>
      </c>
      <c r="E2011" s="1567">
        <v>44414</v>
      </c>
      <c r="F2011" s="1566">
        <v>84</v>
      </c>
      <c r="G2011" s="1566">
        <v>0</v>
      </c>
      <c r="H2011" s="1567"/>
      <c r="I2011" s="1567">
        <v>47020</v>
      </c>
      <c r="J2011" s="1567">
        <v>47020</v>
      </c>
      <c r="K2011" s="1568" t="str">
        <f t="shared" si="31"/>
        <v>No</v>
      </c>
      <c r="L2011" s="1565"/>
    </row>
    <row r="2012" spans="1:12" ht="20.100000000000001" customHeight="1">
      <c r="A2012" s="1568" t="s">
        <v>3030</v>
      </c>
      <c r="B2012" s="1567">
        <v>43368</v>
      </c>
      <c r="C2012" s="1568" t="s">
        <v>3308</v>
      </c>
      <c r="D2012" s="1568" t="s">
        <v>3003</v>
      </c>
      <c r="E2012" s="1567">
        <v>44445</v>
      </c>
      <c r="F2012" s="1566">
        <v>83</v>
      </c>
      <c r="G2012" s="1566">
        <v>0</v>
      </c>
      <c r="H2012" s="1567"/>
      <c r="I2012" s="1567">
        <v>47020</v>
      </c>
      <c r="J2012" s="1567">
        <v>47020</v>
      </c>
      <c r="K2012" s="1568" t="str">
        <f t="shared" si="31"/>
        <v>No</v>
      </c>
      <c r="L2012" s="1565"/>
    </row>
    <row r="2013" spans="1:12" ht="20.100000000000001" customHeight="1">
      <c r="A2013" s="1568" t="s">
        <v>3030</v>
      </c>
      <c r="B2013" s="1567">
        <v>43368</v>
      </c>
      <c r="C2013" s="1568" t="s">
        <v>3308</v>
      </c>
      <c r="D2013" s="1568" t="s">
        <v>3003</v>
      </c>
      <c r="E2013" s="1567">
        <v>44475</v>
      </c>
      <c r="F2013" s="1566">
        <v>83</v>
      </c>
      <c r="G2013" s="1566">
        <v>0</v>
      </c>
      <c r="H2013" s="1567"/>
      <c r="I2013" s="1567">
        <v>47020</v>
      </c>
      <c r="J2013" s="1567">
        <v>47020</v>
      </c>
      <c r="K2013" s="1568" t="str">
        <f t="shared" si="31"/>
        <v>No</v>
      </c>
      <c r="L2013" s="1565"/>
    </row>
    <row r="2014" spans="1:12" ht="20.100000000000001" customHeight="1">
      <c r="A2014" s="1568" t="s">
        <v>3030</v>
      </c>
      <c r="B2014" s="1567">
        <v>43368</v>
      </c>
      <c r="C2014" s="1568" t="s">
        <v>3308</v>
      </c>
      <c r="D2014" s="1568" t="s">
        <v>3003</v>
      </c>
      <c r="E2014" s="1567">
        <v>44506</v>
      </c>
      <c r="F2014" s="1566">
        <v>84</v>
      </c>
      <c r="G2014" s="1566">
        <v>0</v>
      </c>
      <c r="H2014" s="1567"/>
      <c r="I2014" s="1567">
        <v>47020</v>
      </c>
      <c r="J2014" s="1567">
        <v>47020</v>
      </c>
      <c r="K2014" s="1568" t="str">
        <f t="shared" si="31"/>
        <v>No</v>
      </c>
      <c r="L2014" s="1565"/>
    </row>
    <row r="2015" spans="1:12" ht="20.100000000000001" customHeight="1">
      <c r="A2015" s="1568" t="s">
        <v>3030</v>
      </c>
      <c r="B2015" s="1567">
        <v>43368</v>
      </c>
      <c r="C2015" s="1568" t="s">
        <v>3308</v>
      </c>
      <c r="D2015" s="1568" t="s">
        <v>3003</v>
      </c>
      <c r="E2015" s="1567">
        <v>44536</v>
      </c>
      <c r="F2015" s="1566">
        <v>83</v>
      </c>
      <c r="G2015" s="1566">
        <v>0</v>
      </c>
      <c r="H2015" s="1567"/>
      <c r="I2015" s="1567">
        <v>47020</v>
      </c>
      <c r="J2015" s="1567">
        <v>47020</v>
      </c>
      <c r="K2015" s="1568" t="str">
        <f t="shared" si="31"/>
        <v>No</v>
      </c>
      <c r="L2015" s="1565"/>
    </row>
    <row r="2016" spans="1:12" ht="20.100000000000001" customHeight="1">
      <c r="A2016" s="1568" t="s">
        <v>3030</v>
      </c>
      <c r="B2016" s="1567">
        <v>43368</v>
      </c>
      <c r="C2016" s="1568" t="s">
        <v>3308</v>
      </c>
      <c r="D2016" s="1568" t="s">
        <v>3003</v>
      </c>
      <c r="E2016" s="1567">
        <v>44567</v>
      </c>
      <c r="F2016" s="1566">
        <v>83</v>
      </c>
      <c r="G2016" s="1566">
        <v>0</v>
      </c>
      <c r="H2016" s="1567"/>
      <c r="I2016" s="1567">
        <v>47020</v>
      </c>
      <c r="J2016" s="1567">
        <v>47020</v>
      </c>
      <c r="K2016" s="1568" t="str">
        <f t="shared" si="31"/>
        <v>No</v>
      </c>
      <c r="L2016" s="1565"/>
    </row>
    <row r="2017" spans="1:12" ht="20.100000000000001" customHeight="1">
      <c r="A2017" s="1568" t="s">
        <v>3030</v>
      </c>
      <c r="B2017" s="1567">
        <v>43368</v>
      </c>
      <c r="C2017" s="1568" t="s">
        <v>3308</v>
      </c>
      <c r="D2017" s="1568" t="s">
        <v>3003</v>
      </c>
      <c r="E2017" s="1567">
        <v>44598</v>
      </c>
      <c r="F2017" s="1566">
        <v>84</v>
      </c>
      <c r="G2017" s="1566">
        <v>0</v>
      </c>
      <c r="H2017" s="1567"/>
      <c r="I2017" s="1567">
        <v>47020</v>
      </c>
      <c r="J2017" s="1567">
        <v>47020</v>
      </c>
      <c r="K2017" s="1568" t="str">
        <f t="shared" si="31"/>
        <v>No</v>
      </c>
      <c r="L2017" s="1565"/>
    </row>
    <row r="2018" spans="1:12" ht="20.100000000000001" customHeight="1">
      <c r="A2018" s="1568" t="s">
        <v>3030</v>
      </c>
      <c r="B2018" s="1567">
        <v>43368</v>
      </c>
      <c r="C2018" s="1568" t="s">
        <v>3308</v>
      </c>
      <c r="D2018" s="1568" t="s">
        <v>3003</v>
      </c>
      <c r="E2018" s="1567">
        <v>44626</v>
      </c>
      <c r="F2018" s="1566">
        <v>83</v>
      </c>
      <c r="G2018" s="1566">
        <v>0</v>
      </c>
      <c r="H2018" s="1567"/>
      <c r="I2018" s="1567">
        <v>47020</v>
      </c>
      <c r="J2018" s="1567">
        <v>47020</v>
      </c>
      <c r="K2018" s="1568" t="str">
        <f t="shared" si="31"/>
        <v>No</v>
      </c>
      <c r="L2018" s="1565"/>
    </row>
    <row r="2019" spans="1:12" ht="20.100000000000001" customHeight="1">
      <c r="A2019" s="1568" t="s">
        <v>3030</v>
      </c>
      <c r="B2019" s="1567">
        <v>43368</v>
      </c>
      <c r="C2019" s="1568" t="s">
        <v>3308</v>
      </c>
      <c r="D2019" s="1568" t="s">
        <v>3003</v>
      </c>
      <c r="E2019" s="1567">
        <v>44657</v>
      </c>
      <c r="F2019" s="1566">
        <v>83</v>
      </c>
      <c r="G2019" s="1566">
        <v>0</v>
      </c>
      <c r="H2019" s="1567"/>
      <c r="I2019" s="1567">
        <v>47020</v>
      </c>
      <c r="J2019" s="1567">
        <v>47020</v>
      </c>
      <c r="K2019" s="1568" t="str">
        <f t="shared" si="31"/>
        <v>No</v>
      </c>
      <c r="L2019" s="1565"/>
    </row>
    <row r="2020" spans="1:12" ht="20.100000000000001" customHeight="1">
      <c r="A2020" s="1568" t="s">
        <v>3030</v>
      </c>
      <c r="B2020" s="1567">
        <v>43368</v>
      </c>
      <c r="C2020" s="1568" t="s">
        <v>3308</v>
      </c>
      <c r="D2020" s="1568" t="s">
        <v>3003</v>
      </c>
      <c r="E2020" s="1567">
        <v>44687</v>
      </c>
      <c r="F2020" s="1566">
        <v>84</v>
      </c>
      <c r="G2020" s="1566">
        <v>0</v>
      </c>
      <c r="H2020" s="1567"/>
      <c r="I2020" s="1567">
        <v>47020</v>
      </c>
      <c r="J2020" s="1567">
        <v>47020</v>
      </c>
      <c r="K2020" s="1568" t="str">
        <f t="shared" si="31"/>
        <v>No</v>
      </c>
      <c r="L2020" s="1565"/>
    </row>
    <row r="2021" spans="1:12" ht="20.100000000000001" customHeight="1">
      <c r="A2021" s="1568" t="s">
        <v>3030</v>
      </c>
      <c r="B2021" s="1567">
        <v>43368</v>
      </c>
      <c r="C2021" s="1568" t="s">
        <v>3308</v>
      </c>
      <c r="D2021" s="1568" t="s">
        <v>3003</v>
      </c>
      <c r="E2021" s="1567">
        <v>44718</v>
      </c>
      <c r="F2021" s="1566">
        <v>83</v>
      </c>
      <c r="G2021" s="1566">
        <v>0</v>
      </c>
      <c r="H2021" s="1567"/>
      <c r="I2021" s="1567">
        <v>47020</v>
      </c>
      <c r="J2021" s="1567">
        <v>47020</v>
      </c>
      <c r="K2021" s="1568" t="str">
        <f t="shared" si="31"/>
        <v>No</v>
      </c>
      <c r="L2021" s="1565"/>
    </row>
    <row r="2022" spans="1:12" ht="20.100000000000001" customHeight="1">
      <c r="A2022" s="1568" t="s">
        <v>3030</v>
      </c>
      <c r="B2022" s="1567">
        <v>43368</v>
      </c>
      <c r="C2022" s="1568" t="s">
        <v>3308</v>
      </c>
      <c r="D2022" s="1568" t="s">
        <v>3003</v>
      </c>
      <c r="E2022" s="1567">
        <v>44748</v>
      </c>
      <c r="F2022" s="1566">
        <v>83</v>
      </c>
      <c r="G2022" s="1566">
        <v>0</v>
      </c>
      <c r="H2022" s="1567"/>
      <c r="I2022" s="1567">
        <v>47020</v>
      </c>
      <c r="J2022" s="1567">
        <v>47020</v>
      </c>
      <c r="K2022" s="1568" t="str">
        <f t="shared" si="31"/>
        <v>No</v>
      </c>
      <c r="L2022" s="1565"/>
    </row>
    <row r="2023" spans="1:12" ht="20.100000000000001" customHeight="1">
      <c r="A2023" s="1568" t="s">
        <v>3030</v>
      </c>
      <c r="B2023" s="1567">
        <v>43368</v>
      </c>
      <c r="C2023" s="1568" t="s">
        <v>3308</v>
      </c>
      <c r="D2023" s="1568" t="s">
        <v>3003</v>
      </c>
      <c r="E2023" s="1567">
        <v>44779</v>
      </c>
      <c r="F2023" s="1566">
        <v>84</v>
      </c>
      <c r="G2023" s="1566">
        <v>0</v>
      </c>
      <c r="H2023" s="1567"/>
      <c r="I2023" s="1567">
        <v>47020</v>
      </c>
      <c r="J2023" s="1567">
        <v>47020</v>
      </c>
      <c r="K2023" s="1568" t="str">
        <f t="shared" si="31"/>
        <v>No</v>
      </c>
      <c r="L2023" s="1565"/>
    </row>
    <row r="2024" spans="1:12" ht="20.100000000000001" customHeight="1">
      <c r="A2024" s="1568" t="s">
        <v>3029</v>
      </c>
      <c r="B2024" s="1567">
        <v>43431</v>
      </c>
      <c r="C2024" s="1568" t="s">
        <v>3308</v>
      </c>
      <c r="D2024" s="1568" t="s">
        <v>2971</v>
      </c>
      <c r="E2024" s="1567">
        <v>43753</v>
      </c>
      <c r="F2024" s="1566">
        <v>12500</v>
      </c>
      <c r="G2024" s="1566">
        <v>0</v>
      </c>
      <c r="H2024" s="1567"/>
      <c r="I2024" s="1567">
        <v>47083</v>
      </c>
      <c r="J2024" s="1567">
        <v>47083</v>
      </c>
      <c r="K2024" s="1568" t="str">
        <f t="shared" si="31"/>
        <v>No</v>
      </c>
      <c r="L2024" s="1565"/>
    </row>
    <row r="2025" spans="1:12" ht="20.100000000000001" customHeight="1">
      <c r="A2025" s="1568" t="s">
        <v>3029</v>
      </c>
      <c r="B2025" s="1567">
        <v>43431</v>
      </c>
      <c r="C2025" s="1568" t="s">
        <v>3308</v>
      </c>
      <c r="D2025" s="1568" t="s">
        <v>2971</v>
      </c>
      <c r="E2025" s="1567">
        <v>43784</v>
      </c>
      <c r="F2025" s="1566">
        <v>1041</v>
      </c>
      <c r="G2025" s="1566">
        <v>0</v>
      </c>
      <c r="H2025" s="1567"/>
      <c r="I2025" s="1567">
        <v>47083</v>
      </c>
      <c r="J2025" s="1567">
        <v>47083</v>
      </c>
      <c r="K2025" s="1568" t="str">
        <f t="shared" si="31"/>
        <v>No</v>
      </c>
      <c r="L2025" s="1565"/>
    </row>
    <row r="2026" spans="1:12" ht="20.100000000000001" customHeight="1">
      <c r="A2026" s="1568" t="s">
        <v>3029</v>
      </c>
      <c r="B2026" s="1567">
        <v>43431</v>
      </c>
      <c r="C2026" s="1568" t="s">
        <v>3308</v>
      </c>
      <c r="D2026" s="1568" t="s">
        <v>2971</v>
      </c>
      <c r="E2026" s="1567">
        <v>43814</v>
      </c>
      <c r="F2026" s="1566">
        <v>1042</v>
      </c>
      <c r="G2026" s="1566">
        <v>0</v>
      </c>
      <c r="H2026" s="1567"/>
      <c r="I2026" s="1567">
        <v>47083</v>
      </c>
      <c r="J2026" s="1567">
        <v>47083</v>
      </c>
      <c r="K2026" s="1568" t="str">
        <f t="shared" si="31"/>
        <v>No</v>
      </c>
      <c r="L2026" s="1565"/>
    </row>
    <row r="2027" spans="1:12" ht="20.100000000000001" customHeight="1">
      <c r="A2027" s="1568" t="s">
        <v>3029</v>
      </c>
      <c r="B2027" s="1567">
        <v>43431</v>
      </c>
      <c r="C2027" s="1568" t="s">
        <v>3308</v>
      </c>
      <c r="D2027" s="1568" t="s">
        <v>2971</v>
      </c>
      <c r="E2027" s="1567">
        <v>43845</v>
      </c>
      <c r="F2027" s="1566">
        <v>1042</v>
      </c>
      <c r="G2027" s="1566">
        <v>0</v>
      </c>
      <c r="H2027" s="1567"/>
      <c r="I2027" s="1567">
        <v>47083</v>
      </c>
      <c r="J2027" s="1567">
        <v>47083</v>
      </c>
      <c r="K2027" s="1568" t="str">
        <f t="shared" si="31"/>
        <v>No</v>
      </c>
      <c r="L2027" s="1565"/>
    </row>
    <row r="2028" spans="1:12" ht="20.100000000000001" customHeight="1">
      <c r="A2028" s="1568" t="s">
        <v>3029</v>
      </c>
      <c r="B2028" s="1567">
        <v>43431</v>
      </c>
      <c r="C2028" s="1568" t="s">
        <v>3308</v>
      </c>
      <c r="D2028" s="1568" t="s">
        <v>2971</v>
      </c>
      <c r="E2028" s="1567">
        <v>43876</v>
      </c>
      <c r="F2028" s="1566">
        <v>1041</v>
      </c>
      <c r="G2028" s="1566">
        <v>0</v>
      </c>
      <c r="H2028" s="1567"/>
      <c r="I2028" s="1567">
        <v>47083</v>
      </c>
      <c r="J2028" s="1567">
        <v>47083</v>
      </c>
      <c r="K2028" s="1568" t="str">
        <f t="shared" si="31"/>
        <v>No</v>
      </c>
      <c r="L2028" s="1565"/>
    </row>
    <row r="2029" spans="1:12" ht="20.100000000000001" customHeight="1">
      <c r="A2029" s="1568" t="s">
        <v>3029</v>
      </c>
      <c r="B2029" s="1567">
        <v>43431</v>
      </c>
      <c r="C2029" s="1568" t="s">
        <v>3308</v>
      </c>
      <c r="D2029" s="1568" t="s">
        <v>2971</v>
      </c>
      <c r="E2029" s="1567">
        <v>43905</v>
      </c>
      <c r="F2029" s="1566">
        <v>1042</v>
      </c>
      <c r="G2029" s="1566">
        <v>0</v>
      </c>
      <c r="H2029" s="1567"/>
      <c r="I2029" s="1567">
        <v>47083</v>
      </c>
      <c r="J2029" s="1567">
        <v>47083</v>
      </c>
      <c r="K2029" s="1568" t="str">
        <f t="shared" si="31"/>
        <v>No</v>
      </c>
      <c r="L2029" s="1565"/>
    </row>
    <row r="2030" spans="1:12" ht="20.100000000000001" customHeight="1">
      <c r="A2030" s="1568" t="s">
        <v>3029</v>
      </c>
      <c r="B2030" s="1567">
        <v>43431</v>
      </c>
      <c r="C2030" s="1568" t="s">
        <v>3308</v>
      </c>
      <c r="D2030" s="1568" t="s">
        <v>2971</v>
      </c>
      <c r="E2030" s="1567">
        <v>43936</v>
      </c>
      <c r="F2030" s="1566">
        <v>1042</v>
      </c>
      <c r="G2030" s="1566">
        <v>0</v>
      </c>
      <c r="H2030" s="1567"/>
      <c r="I2030" s="1567">
        <v>47083</v>
      </c>
      <c r="J2030" s="1567">
        <v>47083</v>
      </c>
      <c r="K2030" s="1568" t="str">
        <f t="shared" si="31"/>
        <v>No</v>
      </c>
      <c r="L2030" s="1565"/>
    </row>
    <row r="2031" spans="1:12" ht="20.100000000000001" customHeight="1">
      <c r="A2031" s="1568" t="s">
        <v>3029</v>
      </c>
      <c r="B2031" s="1567">
        <v>43431</v>
      </c>
      <c r="C2031" s="1568" t="s">
        <v>3308</v>
      </c>
      <c r="D2031" s="1568" t="s">
        <v>2971</v>
      </c>
      <c r="E2031" s="1567">
        <v>43966</v>
      </c>
      <c r="F2031" s="1566">
        <v>1041</v>
      </c>
      <c r="G2031" s="1566">
        <v>0</v>
      </c>
      <c r="H2031" s="1567"/>
      <c r="I2031" s="1567">
        <v>47083</v>
      </c>
      <c r="J2031" s="1567">
        <v>47083</v>
      </c>
      <c r="K2031" s="1568" t="str">
        <f t="shared" si="31"/>
        <v>No</v>
      </c>
      <c r="L2031" s="1565"/>
    </row>
    <row r="2032" spans="1:12" ht="20.100000000000001" customHeight="1">
      <c r="A2032" s="1568" t="s">
        <v>3029</v>
      </c>
      <c r="B2032" s="1567">
        <v>43431</v>
      </c>
      <c r="C2032" s="1568" t="s">
        <v>3308</v>
      </c>
      <c r="D2032" s="1568" t="s">
        <v>2971</v>
      </c>
      <c r="E2032" s="1567">
        <v>43997</v>
      </c>
      <c r="F2032" s="1566">
        <v>1042</v>
      </c>
      <c r="G2032" s="1566">
        <v>0</v>
      </c>
      <c r="H2032" s="1567"/>
      <c r="I2032" s="1567">
        <v>47083</v>
      </c>
      <c r="J2032" s="1567">
        <v>47083</v>
      </c>
      <c r="K2032" s="1568" t="str">
        <f t="shared" si="31"/>
        <v>No</v>
      </c>
      <c r="L2032" s="1565"/>
    </row>
    <row r="2033" spans="1:12" ht="20.100000000000001" customHeight="1">
      <c r="A2033" s="1568" t="s">
        <v>3029</v>
      </c>
      <c r="B2033" s="1567">
        <v>43431</v>
      </c>
      <c r="C2033" s="1568" t="s">
        <v>3308</v>
      </c>
      <c r="D2033" s="1568" t="s">
        <v>2971</v>
      </c>
      <c r="E2033" s="1567">
        <v>44027</v>
      </c>
      <c r="F2033" s="1566">
        <v>1042</v>
      </c>
      <c r="G2033" s="1566">
        <v>0</v>
      </c>
      <c r="H2033" s="1567"/>
      <c r="I2033" s="1567">
        <v>47083</v>
      </c>
      <c r="J2033" s="1567">
        <v>47083</v>
      </c>
      <c r="K2033" s="1568" t="str">
        <f t="shared" si="31"/>
        <v>No</v>
      </c>
      <c r="L2033" s="1565"/>
    </row>
    <row r="2034" spans="1:12" ht="20.100000000000001" customHeight="1">
      <c r="A2034" s="1568" t="s">
        <v>3029</v>
      </c>
      <c r="B2034" s="1567">
        <v>43431</v>
      </c>
      <c r="C2034" s="1568" t="s">
        <v>3308</v>
      </c>
      <c r="D2034" s="1568" t="s">
        <v>2971</v>
      </c>
      <c r="E2034" s="1567">
        <v>44058</v>
      </c>
      <c r="F2034" s="1566">
        <v>1041</v>
      </c>
      <c r="G2034" s="1566">
        <v>0</v>
      </c>
      <c r="H2034" s="1567"/>
      <c r="I2034" s="1567">
        <v>47083</v>
      </c>
      <c r="J2034" s="1567">
        <v>47083</v>
      </c>
      <c r="K2034" s="1568" t="str">
        <f t="shared" si="31"/>
        <v>No</v>
      </c>
      <c r="L2034" s="1565"/>
    </row>
    <row r="2035" spans="1:12" ht="20.100000000000001" customHeight="1">
      <c r="A2035" s="1568" t="s">
        <v>3029</v>
      </c>
      <c r="B2035" s="1567">
        <v>43431</v>
      </c>
      <c r="C2035" s="1568" t="s">
        <v>3308</v>
      </c>
      <c r="D2035" s="1568" t="s">
        <v>2971</v>
      </c>
      <c r="E2035" s="1567">
        <v>44089</v>
      </c>
      <c r="F2035" s="1566">
        <v>1042</v>
      </c>
      <c r="G2035" s="1566">
        <v>0</v>
      </c>
      <c r="H2035" s="1567"/>
      <c r="I2035" s="1567">
        <v>47083</v>
      </c>
      <c r="J2035" s="1567">
        <v>47083</v>
      </c>
      <c r="K2035" s="1568" t="str">
        <f t="shared" si="31"/>
        <v>No</v>
      </c>
      <c r="L2035" s="1565"/>
    </row>
    <row r="2036" spans="1:12" ht="20.100000000000001" customHeight="1">
      <c r="A2036" s="1568" t="s">
        <v>3029</v>
      </c>
      <c r="B2036" s="1567">
        <v>43431</v>
      </c>
      <c r="C2036" s="1568" t="s">
        <v>3308</v>
      </c>
      <c r="D2036" s="1568" t="s">
        <v>2971</v>
      </c>
      <c r="E2036" s="1567">
        <v>44119</v>
      </c>
      <c r="F2036" s="1566">
        <v>1042</v>
      </c>
      <c r="G2036" s="1566">
        <v>0</v>
      </c>
      <c r="H2036" s="1567"/>
      <c r="I2036" s="1567">
        <v>47083</v>
      </c>
      <c r="J2036" s="1567">
        <v>47083</v>
      </c>
      <c r="K2036" s="1568" t="str">
        <f t="shared" si="31"/>
        <v>No</v>
      </c>
      <c r="L2036" s="1565"/>
    </row>
    <row r="2037" spans="1:12" ht="20.100000000000001" customHeight="1">
      <c r="A2037" s="1568" t="s">
        <v>3029</v>
      </c>
      <c r="B2037" s="1567">
        <v>43431</v>
      </c>
      <c r="C2037" s="1568" t="s">
        <v>3308</v>
      </c>
      <c r="D2037" s="1568" t="s">
        <v>2971</v>
      </c>
      <c r="E2037" s="1567">
        <v>44150</v>
      </c>
      <c r="F2037" s="1566">
        <v>1041</v>
      </c>
      <c r="G2037" s="1566">
        <v>0</v>
      </c>
      <c r="H2037" s="1567"/>
      <c r="I2037" s="1567">
        <v>47083</v>
      </c>
      <c r="J2037" s="1567">
        <v>47083</v>
      </c>
      <c r="K2037" s="1568" t="str">
        <f t="shared" si="31"/>
        <v>No</v>
      </c>
      <c r="L2037" s="1565"/>
    </row>
    <row r="2038" spans="1:12" ht="20.100000000000001" customHeight="1">
      <c r="A2038" s="1568" t="s">
        <v>3029</v>
      </c>
      <c r="B2038" s="1567">
        <v>43431</v>
      </c>
      <c r="C2038" s="1568" t="s">
        <v>3308</v>
      </c>
      <c r="D2038" s="1568" t="s">
        <v>2971</v>
      </c>
      <c r="E2038" s="1567">
        <v>44180</v>
      </c>
      <c r="F2038" s="1566">
        <v>1042</v>
      </c>
      <c r="G2038" s="1566">
        <v>0</v>
      </c>
      <c r="H2038" s="1567"/>
      <c r="I2038" s="1567">
        <v>47083</v>
      </c>
      <c r="J2038" s="1567">
        <v>47083</v>
      </c>
      <c r="K2038" s="1568" t="str">
        <f t="shared" si="31"/>
        <v>No</v>
      </c>
      <c r="L2038" s="1565"/>
    </row>
    <row r="2039" spans="1:12" ht="20.100000000000001" customHeight="1">
      <c r="A2039" s="1568" t="s">
        <v>3029</v>
      </c>
      <c r="B2039" s="1567">
        <v>43431</v>
      </c>
      <c r="C2039" s="1568" t="s">
        <v>3308</v>
      </c>
      <c r="D2039" s="1568" t="s">
        <v>2971</v>
      </c>
      <c r="E2039" s="1567">
        <v>44211</v>
      </c>
      <c r="F2039" s="1566">
        <v>1042</v>
      </c>
      <c r="G2039" s="1566">
        <v>0</v>
      </c>
      <c r="H2039" s="1567"/>
      <c r="I2039" s="1567">
        <v>47083</v>
      </c>
      <c r="J2039" s="1567">
        <v>47083</v>
      </c>
      <c r="K2039" s="1568" t="str">
        <f t="shared" si="31"/>
        <v>No</v>
      </c>
      <c r="L2039" s="1565"/>
    </row>
    <row r="2040" spans="1:12" ht="20.100000000000001" customHeight="1">
      <c r="A2040" s="1568" t="s">
        <v>3029</v>
      </c>
      <c r="B2040" s="1567">
        <v>43431</v>
      </c>
      <c r="C2040" s="1568" t="s">
        <v>3308</v>
      </c>
      <c r="D2040" s="1568" t="s">
        <v>2971</v>
      </c>
      <c r="E2040" s="1567">
        <v>44242</v>
      </c>
      <c r="F2040" s="1566">
        <v>1041</v>
      </c>
      <c r="G2040" s="1566">
        <v>0</v>
      </c>
      <c r="H2040" s="1567"/>
      <c r="I2040" s="1567">
        <v>47083</v>
      </c>
      <c r="J2040" s="1567">
        <v>47083</v>
      </c>
      <c r="K2040" s="1568" t="str">
        <f t="shared" si="31"/>
        <v>No</v>
      </c>
      <c r="L2040" s="1565"/>
    </row>
    <row r="2041" spans="1:12" ht="20.100000000000001" customHeight="1">
      <c r="A2041" s="1568" t="s">
        <v>3029</v>
      </c>
      <c r="B2041" s="1567">
        <v>43431</v>
      </c>
      <c r="C2041" s="1568" t="s">
        <v>3308</v>
      </c>
      <c r="D2041" s="1568" t="s">
        <v>2971</v>
      </c>
      <c r="E2041" s="1567">
        <v>44270</v>
      </c>
      <c r="F2041" s="1566">
        <v>1042</v>
      </c>
      <c r="G2041" s="1566">
        <v>0</v>
      </c>
      <c r="H2041" s="1567"/>
      <c r="I2041" s="1567">
        <v>47083</v>
      </c>
      <c r="J2041" s="1567">
        <v>47083</v>
      </c>
      <c r="K2041" s="1568" t="str">
        <f t="shared" si="31"/>
        <v>No</v>
      </c>
      <c r="L2041" s="1565"/>
    </row>
    <row r="2042" spans="1:12" ht="20.100000000000001" customHeight="1">
      <c r="A2042" s="1568" t="s">
        <v>3029</v>
      </c>
      <c r="B2042" s="1567">
        <v>43431</v>
      </c>
      <c r="C2042" s="1568" t="s">
        <v>3308</v>
      </c>
      <c r="D2042" s="1568" t="s">
        <v>2971</v>
      </c>
      <c r="E2042" s="1567">
        <v>44301</v>
      </c>
      <c r="F2042" s="1566">
        <v>1042</v>
      </c>
      <c r="G2042" s="1566">
        <v>0</v>
      </c>
      <c r="H2042" s="1567"/>
      <c r="I2042" s="1567">
        <v>47083</v>
      </c>
      <c r="J2042" s="1567">
        <v>47083</v>
      </c>
      <c r="K2042" s="1568" t="str">
        <f t="shared" si="31"/>
        <v>No</v>
      </c>
      <c r="L2042" s="1565"/>
    </row>
    <row r="2043" spans="1:12" ht="20.100000000000001" customHeight="1">
      <c r="A2043" s="1568" t="s">
        <v>3029</v>
      </c>
      <c r="B2043" s="1567">
        <v>43431</v>
      </c>
      <c r="C2043" s="1568" t="s">
        <v>3308</v>
      </c>
      <c r="D2043" s="1568" t="s">
        <v>2971</v>
      </c>
      <c r="E2043" s="1567">
        <v>44331</v>
      </c>
      <c r="F2043" s="1566">
        <v>1041</v>
      </c>
      <c r="G2043" s="1566">
        <v>0</v>
      </c>
      <c r="H2043" s="1567"/>
      <c r="I2043" s="1567">
        <v>47083</v>
      </c>
      <c r="J2043" s="1567">
        <v>47083</v>
      </c>
      <c r="K2043" s="1568" t="str">
        <f t="shared" si="31"/>
        <v>No</v>
      </c>
      <c r="L2043" s="1565"/>
    </row>
    <row r="2044" spans="1:12" ht="20.100000000000001" customHeight="1">
      <c r="A2044" s="1568" t="s">
        <v>3029</v>
      </c>
      <c r="B2044" s="1567">
        <v>43431</v>
      </c>
      <c r="C2044" s="1568" t="s">
        <v>3308</v>
      </c>
      <c r="D2044" s="1568" t="s">
        <v>2971</v>
      </c>
      <c r="E2044" s="1567">
        <v>44362</v>
      </c>
      <c r="F2044" s="1566">
        <v>1042</v>
      </c>
      <c r="G2044" s="1566">
        <v>0</v>
      </c>
      <c r="H2044" s="1567"/>
      <c r="I2044" s="1567">
        <v>47083</v>
      </c>
      <c r="J2044" s="1567">
        <v>47083</v>
      </c>
      <c r="K2044" s="1568" t="str">
        <f t="shared" si="31"/>
        <v>No</v>
      </c>
      <c r="L2044" s="1565"/>
    </row>
    <row r="2045" spans="1:12" ht="20.100000000000001" customHeight="1">
      <c r="A2045" s="1568" t="s">
        <v>3029</v>
      </c>
      <c r="B2045" s="1567">
        <v>43431</v>
      </c>
      <c r="C2045" s="1568" t="s">
        <v>3308</v>
      </c>
      <c r="D2045" s="1568" t="s">
        <v>2971</v>
      </c>
      <c r="E2045" s="1567">
        <v>44392</v>
      </c>
      <c r="F2045" s="1566">
        <v>1042</v>
      </c>
      <c r="G2045" s="1566">
        <v>0</v>
      </c>
      <c r="H2045" s="1567"/>
      <c r="I2045" s="1567">
        <v>47083</v>
      </c>
      <c r="J2045" s="1567">
        <v>47083</v>
      </c>
      <c r="K2045" s="1568" t="str">
        <f t="shared" si="31"/>
        <v>No</v>
      </c>
      <c r="L2045" s="1565"/>
    </row>
    <row r="2046" spans="1:12" ht="20.100000000000001" customHeight="1">
      <c r="A2046" s="1568" t="s">
        <v>3029</v>
      </c>
      <c r="B2046" s="1567">
        <v>43431</v>
      </c>
      <c r="C2046" s="1568" t="s">
        <v>3308</v>
      </c>
      <c r="D2046" s="1568" t="s">
        <v>2971</v>
      </c>
      <c r="E2046" s="1567">
        <v>44423</v>
      </c>
      <c r="F2046" s="1566">
        <v>1041</v>
      </c>
      <c r="G2046" s="1566">
        <v>0</v>
      </c>
      <c r="H2046" s="1567"/>
      <c r="I2046" s="1567">
        <v>47083</v>
      </c>
      <c r="J2046" s="1567">
        <v>47083</v>
      </c>
      <c r="K2046" s="1568" t="str">
        <f t="shared" si="31"/>
        <v>No</v>
      </c>
      <c r="L2046" s="1565"/>
    </row>
    <row r="2047" spans="1:12" ht="20.100000000000001" customHeight="1">
      <c r="A2047" s="1568" t="s">
        <v>3029</v>
      </c>
      <c r="B2047" s="1567">
        <v>43431</v>
      </c>
      <c r="C2047" s="1568" t="s">
        <v>3308</v>
      </c>
      <c r="D2047" s="1568" t="s">
        <v>2971</v>
      </c>
      <c r="E2047" s="1567">
        <v>44454</v>
      </c>
      <c r="F2047" s="1566">
        <v>1042</v>
      </c>
      <c r="G2047" s="1566">
        <v>0</v>
      </c>
      <c r="H2047" s="1567"/>
      <c r="I2047" s="1567">
        <v>47083</v>
      </c>
      <c r="J2047" s="1567">
        <v>47083</v>
      </c>
      <c r="K2047" s="1568" t="str">
        <f t="shared" si="31"/>
        <v>No</v>
      </c>
      <c r="L2047" s="1565"/>
    </row>
    <row r="2048" spans="1:12" ht="20.100000000000001" customHeight="1">
      <c r="A2048" s="1568" t="s">
        <v>3029</v>
      </c>
      <c r="B2048" s="1567">
        <v>43431</v>
      </c>
      <c r="C2048" s="1568" t="s">
        <v>3308</v>
      </c>
      <c r="D2048" s="1568" t="s">
        <v>2971</v>
      </c>
      <c r="E2048" s="1567">
        <v>44484</v>
      </c>
      <c r="F2048" s="1566">
        <v>1042</v>
      </c>
      <c r="G2048" s="1566">
        <v>0</v>
      </c>
      <c r="H2048" s="1567"/>
      <c r="I2048" s="1567">
        <v>47083</v>
      </c>
      <c r="J2048" s="1567">
        <v>47083</v>
      </c>
      <c r="K2048" s="1568" t="str">
        <f t="shared" si="31"/>
        <v>No</v>
      </c>
      <c r="L2048" s="1565"/>
    </row>
    <row r="2049" spans="1:12" ht="20.100000000000001" customHeight="1">
      <c r="A2049" s="1568" t="s">
        <v>3029</v>
      </c>
      <c r="B2049" s="1567">
        <v>43431</v>
      </c>
      <c r="C2049" s="1568" t="s">
        <v>3308</v>
      </c>
      <c r="D2049" s="1568" t="s">
        <v>2971</v>
      </c>
      <c r="E2049" s="1567">
        <v>44515</v>
      </c>
      <c r="F2049" s="1566">
        <v>1041</v>
      </c>
      <c r="G2049" s="1566">
        <v>0</v>
      </c>
      <c r="H2049" s="1567"/>
      <c r="I2049" s="1567">
        <v>47083</v>
      </c>
      <c r="J2049" s="1567">
        <v>47083</v>
      </c>
      <c r="K2049" s="1568" t="str">
        <f t="shared" si="31"/>
        <v>No</v>
      </c>
      <c r="L2049" s="1565"/>
    </row>
    <row r="2050" spans="1:12" ht="20.100000000000001" customHeight="1">
      <c r="A2050" s="1568" t="s">
        <v>3029</v>
      </c>
      <c r="B2050" s="1567">
        <v>43431</v>
      </c>
      <c r="C2050" s="1568" t="s">
        <v>3308</v>
      </c>
      <c r="D2050" s="1568" t="s">
        <v>2971</v>
      </c>
      <c r="E2050" s="1567">
        <v>44545</v>
      </c>
      <c r="F2050" s="1566">
        <v>1042</v>
      </c>
      <c r="G2050" s="1566">
        <v>0</v>
      </c>
      <c r="H2050" s="1567"/>
      <c r="I2050" s="1567">
        <v>47083</v>
      </c>
      <c r="J2050" s="1567">
        <v>47083</v>
      </c>
      <c r="K2050" s="1568" t="str">
        <f t="shared" si="31"/>
        <v>No</v>
      </c>
      <c r="L2050" s="1565"/>
    </row>
    <row r="2051" spans="1:12" ht="20.100000000000001" customHeight="1">
      <c r="A2051" s="1568" t="s">
        <v>3029</v>
      </c>
      <c r="B2051" s="1567">
        <v>43431</v>
      </c>
      <c r="C2051" s="1568" t="s">
        <v>3308</v>
      </c>
      <c r="D2051" s="1568" t="s">
        <v>2971</v>
      </c>
      <c r="E2051" s="1567">
        <v>44576</v>
      </c>
      <c r="F2051" s="1566">
        <v>1042</v>
      </c>
      <c r="G2051" s="1566">
        <v>0</v>
      </c>
      <c r="H2051" s="1567"/>
      <c r="I2051" s="1567">
        <v>47083</v>
      </c>
      <c r="J2051" s="1567">
        <v>47083</v>
      </c>
      <c r="K2051" s="1568" t="str">
        <f t="shared" si="31"/>
        <v>No</v>
      </c>
      <c r="L2051" s="1565"/>
    </row>
    <row r="2052" spans="1:12" ht="20.100000000000001" customHeight="1">
      <c r="A2052" s="1568" t="s">
        <v>3029</v>
      </c>
      <c r="B2052" s="1567">
        <v>43431</v>
      </c>
      <c r="C2052" s="1568" t="s">
        <v>3308</v>
      </c>
      <c r="D2052" s="1568" t="s">
        <v>2971</v>
      </c>
      <c r="E2052" s="1567">
        <v>44607</v>
      </c>
      <c r="F2052" s="1566">
        <v>1041</v>
      </c>
      <c r="G2052" s="1566">
        <v>0</v>
      </c>
      <c r="H2052" s="1567"/>
      <c r="I2052" s="1567">
        <v>47083</v>
      </c>
      <c r="J2052" s="1567">
        <v>47083</v>
      </c>
      <c r="K2052" s="1568" t="str">
        <f t="shared" si="31"/>
        <v>No</v>
      </c>
      <c r="L2052" s="1565"/>
    </row>
    <row r="2053" spans="1:12" ht="20.100000000000001" customHeight="1">
      <c r="A2053" s="1568" t="s">
        <v>3029</v>
      </c>
      <c r="B2053" s="1567">
        <v>43431</v>
      </c>
      <c r="C2053" s="1568" t="s">
        <v>3308</v>
      </c>
      <c r="D2053" s="1568" t="s">
        <v>2971</v>
      </c>
      <c r="E2053" s="1567">
        <v>44635</v>
      </c>
      <c r="F2053" s="1566">
        <v>1042</v>
      </c>
      <c r="G2053" s="1566">
        <v>0</v>
      </c>
      <c r="H2053" s="1567"/>
      <c r="I2053" s="1567">
        <v>47083</v>
      </c>
      <c r="J2053" s="1567">
        <v>47083</v>
      </c>
      <c r="K2053" s="1568" t="str">
        <f t="shared" ref="K2053:K2097" si="32">IF(I2053="N/A","No",IF(E2053&lt;=I2053,"No","Yes"))</f>
        <v>No</v>
      </c>
      <c r="L2053" s="1565"/>
    </row>
    <row r="2054" spans="1:12" ht="20.100000000000001" customHeight="1">
      <c r="A2054" s="1568" t="s">
        <v>3029</v>
      </c>
      <c r="B2054" s="1567">
        <v>43431</v>
      </c>
      <c r="C2054" s="1568" t="s">
        <v>3308</v>
      </c>
      <c r="D2054" s="1568" t="s">
        <v>2971</v>
      </c>
      <c r="E2054" s="1567">
        <v>44666</v>
      </c>
      <c r="F2054" s="1566">
        <v>1042</v>
      </c>
      <c r="G2054" s="1566">
        <v>0</v>
      </c>
      <c r="H2054" s="1567"/>
      <c r="I2054" s="1567">
        <v>47083</v>
      </c>
      <c r="J2054" s="1567">
        <v>47083</v>
      </c>
      <c r="K2054" s="1568" t="str">
        <f t="shared" si="32"/>
        <v>No</v>
      </c>
      <c r="L2054" s="1565"/>
    </row>
    <row r="2055" spans="1:12" ht="20.100000000000001" customHeight="1">
      <c r="A2055" s="1568" t="s">
        <v>3029</v>
      </c>
      <c r="B2055" s="1567">
        <v>43431</v>
      </c>
      <c r="C2055" s="1568" t="s">
        <v>3308</v>
      </c>
      <c r="D2055" s="1568" t="s">
        <v>2971</v>
      </c>
      <c r="E2055" s="1567">
        <v>44696</v>
      </c>
      <c r="F2055" s="1566">
        <v>1041</v>
      </c>
      <c r="G2055" s="1566">
        <v>0</v>
      </c>
      <c r="H2055" s="1567"/>
      <c r="I2055" s="1567">
        <v>47083</v>
      </c>
      <c r="J2055" s="1567">
        <v>47083</v>
      </c>
      <c r="K2055" s="1568" t="str">
        <f t="shared" si="32"/>
        <v>No</v>
      </c>
      <c r="L2055" s="1565"/>
    </row>
    <row r="2056" spans="1:12" ht="20.100000000000001" customHeight="1">
      <c r="A2056" s="1568" t="s">
        <v>3029</v>
      </c>
      <c r="B2056" s="1567">
        <v>43431</v>
      </c>
      <c r="C2056" s="1568" t="s">
        <v>3308</v>
      </c>
      <c r="D2056" s="1568" t="s">
        <v>2971</v>
      </c>
      <c r="E2056" s="1567">
        <v>44727</v>
      </c>
      <c r="F2056" s="1566">
        <v>1042</v>
      </c>
      <c r="G2056" s="1566">
        <v>0</v>
      </c>
      <c r="H2056" s="1567"/>
      <c r="I2056" s="1567">
        <v>47083</v>
      </c>
      <c r="J2056" s="1567">
        <v>47083</v>
      </c>
      <c r="K2056" s="1568" t="str">
        <f t="shared" si="32"/>
        <v>No</v>
      </c>
      <c r="L2056" s="1565"/>
    </row>
    <row r="2057" spans="1:12" ht="20.100000000000001" customHeight="1">
      <c r="A2057" s="1568" t="s">
        <v>3029</v>
      </c>
      <c r="B2057" s="1567">
        <v>43431</v>
      </c>
      <c r="C2057" s="1568" t="s">
        <v>3308</v>
      </c>
      <c r="D2057" s="1568" t="s">
        <v>2971</v>
      </c>
      <c r="E2057" s="1567">
        <v>44757</v>
      </c>
      <c r="F2057" s="1566">
        <v>1042</v>
      </c>
      <c r="G2057" s="1566">
        <v>0</v>
      </c>
      <c r="H2057" s="1567"/>
      <c r="I2057" s="1567">
        <v>47083</v>
      </c>
      <c r="J2057" s="1567">
        <v>47083</v>
      </c>
      <c r="K2057" s="1568" t="str">
        <f t="shared" si="32"/>
        <v>No</v>
      </c>
      <c r="L2057" s="1565"/>
    </row>
    <row r="2058" spans="1:12" ht="20.100000000000001" customHeight="1">
      <c r="A2058" s="1568" t="s">
        <v>3029</v>
      </c>
      <c r="B2058" s="1567">
        <v>43431</v>
      </c>
      <c r="C2058" s="1568" t="s">
        <v>3308</v>
      </c>
      <c r="D2058" s="1568" t="s">
        <v>2971</v>
      </c>
      <c r="E2058" s="1567">
        <v>44788</v>
      </c>
      <c r="F2058" s="1566">
        <v>1041</v>
      </c>
      <c r="G2058" s="1566">
        <v>0</v>
      </c>
      <c r="H2058" s="1567"/>
      <c r="I2058" s="1567">
        <v>47083</v>
      </c>
      <c r="J2058" s="1567">
        <v>47083</v>
      </c>
      <c r="K2058" s="1568" t="str">
        <f t="shared" si="32"/>
        <v>No</v>
      </c>
      <c r="L2058" s="1565"/>
    </row>
    <row r="2059" spans="1:12" ht="20.100000000000001" customHeight="1">
      <c r="A2059" s="1568" t="s">
        <v>3029</v>
      </c>
      <c r="B2059" s="1567">
        <v>43431</v>
      </c>
      <c r="C2059" s="1568" t="s">
        <v>3308</v>
      </c>
      <c r="D2059" s="1568" t="s">
        <v>2971</v>
      </c>
      <c r="E2059" s="1567">
        <v>44819</v>
      </c>
      <c r="F2059" s="1566">
        <v>1042</v>
      </c>
      <c r="G2059" s="1566">
        <v>0</v>
      </c>
      <c r="H2059" s="1567"/>
      <c r="I2059" s="1567">
        <v>47083</v>
      </c>
      <c r="J2059" s="1567">
        <v>47083</v>
      </c>
      <c r="K2059" s="1568" t="str">
        <f t="shared" si="32"/>
        <v>No</v>
      </c>
      <c r="L2059" s="1565"/>
    </row>
    <row r="2060" spans="1:12" ht="20.100000000000001" customHeight="1">
      <c r="A2060" s="1568" t="s">
        <v>3029</v>
      </c>
      <c r="B2060" s="1567">
        <v>43431</v>
      </c>
      <c r="C2060" s="1568" t="s">
        <v>3308</v>
      </c>
      <c r="D2060" s="1568" t="s">
        <v>2971</v>
      </c>
      <c r="E2060" s="1567">
        <v>44849</v>
      </c>
      <c r="F2060" s="1566">
        <v>1042</v>
      </c>
      <c r="G2060" s="1566">
        <v>0</v>
      </c>
      <c r="H2060" s="1567"/>
      <c r="I2060" s="1567">
        <v>47083</v>
      </c>
      <c r="J2060" s="1567">
        <v>47083</v>
      </c>
      <c r="K2060" s="1568" t="str">
        <f t="shared" si="32"/>
        <v>No</v>
      </c>
      <c r="L2060" s="1565"/>
    </row>
    <row r="2061" spans="1:12" ht="20.100000000000001" customHeight="1">
      <c r="A2061" s="1568" t="s">
        <v>3028</v>
      </c>
      <c r="B2061" s="1567">
        <v>43431</v>
      </c>
      <c r="C2061" s="1568" t="s">
        <v>3308</v>
      </c>
      <c r="D2061" s="1568" t="s">
        <v>2950</v>
      </c>
      <c r="E2061" s="1567">
        <v>43784</v>
      </c>
      <c r="F2061" s="1566">
        <v>11273</v>
      </c>
      <c r="G2061" s="1566">
        <v>0</v>
      </c>
      <c r="H2061" s="1567"/>
      <c r="I2061" s="1567">
        <v>47083</v>
      </c>
      <c r="J2061" s="1567">
        <v>47083</v>
      </c>
      <c r="K2061" s="1568" t="str">
        <f t="shared" si="32"/>
        <v>No</v>
      </c>
      <c r="L2061" s="1565"/>
    </row>
    <row r="2062" spans="1:12" ht="20.100000000000001" customHeight="1">
      <c r="A2062" s="1568" t="s">
        <v>3028</v>
      </c>
      <c r="B2062" s="1567">
        <v>43431</v>
      </c>
      <c r="C2062" s="1568" t="s">
        <v>3308</v>
      </c>
      <c r="D2062" s="1568" t="s">
        <v>2950</v>
      </c>
      <c r="E2062" s="1567">
        <v>43814</v>
      </c>
      <c r="F2062" s="1566">
        <v>940</v>
      </c>
      <c r="G2062" s="1566">
        <v>0</v>
      </c>
      <c r="H2062" s="1567"/>
      <c r="I2062" s="1567">
        <v>47083</v>
      </c>
      <c r="J2062" s="1567">
        <v>47083</v>
      </c>
      <c r="K2062" s="1568" t="str">
        <f t="shared" si="32"/>
        <v>No</v>
      </c>
      <c r="L2062" s="1565"/>
    </row>
    <row r="2063" spans="1:12" ht="20.100000000000001" customHeight="1">
      <c r="A2063" s="1568" t="s">
        <v>3028</v>
      </c>
      <c r="B2063" s="1567">
        <v>43431</v>
      </c>
      <c r="C2063" s="1568" t="s">
        <v>3308</v>
      </c>
      <c r="D2063" s="1568" t="s">
        <v>2950</v>
      </c>
      <c r="E2063" s="1567">
        <v>43845</v>
      </c>
      <c r="F2063" s="1566">
        <v>939</v>
      </c>
      <c r="G2063" s="1566">
        <v>0</v>
      </c>
      <c r="H2063" s="1567"/>
      <c r="I2063" s="1567">
        <v>47083</v>
      </c>
      <c r="J2063" s="1567">
        <v>47083</v>
      </c>
      <c r="K2063" s="1568" t="str">
        <f t="shared" si="32"/>
        <v>No</v>
      </c>
      <c r="L2063" s="1565"/>
    </row>
    <row r="2064" spans="1:12" ht="20.100000000000001" customHeight="1">
      <c r="A2064" s="1568" t="s">
        <v>3028</v>
      </c>
      <c r="B2064" s="1567">
        <v>43431</v>
      </c>
      <c r="C2064" s="1568" t="s">
        <v>3308</v>
      </c>
      <c r="D2064" s="1568" t="s">
        <v>2950</v>
      </c>
      <c r="E2064" s="1567">
        <v>43876</v>
      </c>
      <c r="F2064" s="1566">
        <v>940</v>
      </c>
      <c r="G2064" s="1566">
        <v>0</v>
      </c>
      <c r="H2064" s="1567"/>
      <c r="I2064" s="1567">
        <v>47083</v>
      </c>
      <c r="J2064" s="1567">
        <v>47083</v>
      </c>
      <c r="K2064" s="1568" t="str">
        <f t="shared" si="32"/>
        <v>No</v>
      </c>
      <c r="L2064" s="1565"/>
    </row>
    <row r="2065" spans="1:12" ht="20.100000000000001" customHeight="1">
      <c r="A2065" s="1568" t="s">
        <v>3028</v>
      </c>
      <c r="B2065" s="1567">
        <v>43431</v>
      </c>
      <c r="C2065" s="1568" t="s">
        <v>3308</v>
      </c>
      <c r="D2065" s="1568" t="s">
        <v>2950</v>
      </c>
      <c r="E2065" s="1567">
        <v>43905</v>
      </c>
      <c r="F2065" s="1566">
        <v>939</v>
      </c>
      <c r="G2065" s="1566">
        <v>0</v>
      </c>
      <c r="H2065" s="1567"/>
      <c r="I2065" s="1567">
        <v>47083</v>
      </c>
      <c r="J2065" s="1567">
        <v>47083</v>
      </c>
      <c r="K2065" s="1568" t="str">
        <f t="shared" si="32"/>
        <v>No</v>
      </c>
      <c r="L2065" s="1565"/>
    </row>
    <row r="2066" spans="1:12" ht="20.100000000000001" customHeight="1">
      <c r="A2066" s="1568" t="s">
        <v>3028</v>
      </c>
      <c r="B2066" s="1567">
        <v>43431</v>
      </c>
      <c r="C2066" s="1568" t="s">
        <v>3308</v>
      </c>
      <c r="D2066" s="1568" t="s">
        <v>2950</v>
      </c>
      <c r="E2066" s="1567">
        <v>43936</v>
      </c>
      <c r="F2066" s="1566">
        <v>940</v>
      </c>
      <c r="G2066" s="1566">
        <v>0</v>
      </c>
      <c r="H2066" s="1567"/>
      <c r="I2066" s="1567">
        <v>47083</v>
      </c>
      <c r="J2066" s="1567">
        <v>47083</v>
      </c>
      <c r="K2066" s="1568" t="str">
        <f t="shared" si="32"/>
        <v>No</v>
      </c>
      <c r="L2066" s="1565"/>
    </row>
    <row r="2067" spans="1:12" ht="20.100000000000001" customHeight="1">
      <c r="A2067" s="1568" t="s">
        <v>3028</v>
      </c>
      <c r="B2067" s="1567">
        <v>43431</v>
      </c>
      <c r="C2067" s="1568" t="s">
        <v>3308</v>
      </c>
      <c r="D2067" s="1568" t="s">
        <v>2950</v>
      </c>
      <c r="E2067" s="1567">
        <v>43966</v>
      </c>
      <c r="F2067" s="1566">
        <v>939</v>
      </c>
      <c r="G2067" s="1566">
        <v>0</v>
      </c>
      <c r="H2067" s="1567"/>
      <c r="I2067" s="1567">
        <v>47083</v>
      </c>
      <c r="J2067" s="1567">
        <v>47083</v>
      </c>
      <c r="K2067" s="1568" t="str">
        <f t="shared" si="32"/>
        <v>No</v>
      </c>
      <c r="L2067" s="1565"/>
    </row>
    <row r="2068" spans="1:12" ht="20.100000000000001" customHeight="1">
      <c r="A2068" s="1568" t="s">
        <v>3028</v>
      </c>
      <c r="B2068" s="1567">
        <v>43431</v>
      </c>
      <c r="C2068" s="1568" t="s">
        <v>3308</v>
      </c>
      <c r="D2068" s="1568" t="s">
        <v>2950</v>
      </c>
      <c r="E2068" s="1567">
        <v>43997</v>
      </c>
      <c r="F2068" s="1566">
        <v>940</v>
      </c>
      <c r="G2068" s="1566">
        <v>0</v>
      </c>
      <c r="H2068" s="1567"/>
      <c r="I2068" s="1567">
        <v>47083</v>
      </c>
      <c r="J2068" s="1567">
        <v>47083</v>
      </c>
      <c r="K2068" s="1568" t="str">
        <f t="shared" si="32"/>
        <v>No</v>
      </c>
      <c r="L2068" s="1565"/>
    </row>
    <row r="2069" spans="1:12" ht="20.100000000000001" customHeight="1">
      <c r="A2069" s="1568" t="s">
        <v>3028</v>
      </c>
      <c r="B2069" s="1567">
        <v>43431</v>
      </c>
      <c r="C2069" s="1568" t="s">
        <v>3308</v>
      </c>
      <c r="D2069" s="1568" t="s">
        <v>2950</v>
      </c>
      <c r="E2069" s="1567">
        <v>44027</v>
      </c>
      <c r="F2069" s="1566">
        <v>939</v>
      </c>
      <c r="G2069" s="1566">
        <v>0</v>
      </c>
      <c r="H2069" s="1567"/>
      <c r="I2069" s="1567">
        <v>47083</v>
      </c>
      <c r="J2069" s="1567">
        <v>47083</v>
      </c>
      <c r="K2069" s="1568" t="str">
        <f t="shared" si="32"/>
        <v>No</v>
      </c>
      <c r="L2069" s="1565"/>
    </row>
    <row r="2070" spans="1:12" ht="20.100000000000001" customHeight="1">
      <c r="A2070" s="1568" t="s">
        <v>3028</v>
      </c>
      <c r="B2070" s="1567">
        <v>43431</v>
      </c>
      <c r="C2070" s="1568" t="s">
        <v>3308</v>
      </c>
      <c r="D2070" s="1568" t="s">
        <v>2950</v>
      </c>
      <c r="E2070" s="1567">
        <v>44058</v>
      </c>
      <c r="F2070" s="1566">
        <v>940</v>
      </c>
      <c r="G2070" s="1566">
        <v>0</v>
      </c>
      <c r="H2070" s="1567"/>
      <c r="I2070" s="1567">
        <v>47083</v>
      </c>
      <c r="J2070" s="1567">
        <v>47083</v>
      </c>
      <c r="K2070" s="1568" t="str">
        <f t="shared" si="32"/>
        <v>No</v>
      </c>
      <c r="L2070" s="1565"/>
    </row>
    <row r="2071" spans="1:12" ht="20.100000000000001" customHeight="1">
      <c r="A2071" s="1568" t="s">
        <v>3028</v>
      </c>
      <c r="B2071" s="1567">
        <v>43431</v>
      </c>
      <c r="C2071" s="1568" t="s">
        <v>3308</v>
      </c>
      <c r="D2071" s="1568" t="s">
        <v>2950</v>
      </c>
      <c r="E2071" s="1567">
        <v>44089</v>
      </c>
      <c r="F2071" s="1566">
        <v>939</v>
      </c>
      <c r="G2071" s="1566">
        <v>0</v>
      </c>
      <c r="H2071" s="1567"/>
      <c r="I2071" s="1567">
        <v>47083</v>
      </c>
      <c r="J2071" s="1567">
        <v>47083</v>
      </c>
      <c r="K2071" s="1568" t="str">
        <f t="shared" si="32"/>
        <v>No</v>
      </c>
      <c r="L2071" s="1565"/>
    </row>
    <row r="2072" spans="1:12" ht="20.100000000000001" customHeight="1">
      <c r="A2072" s="1568" t="s">
        <v>3028</v>
      </c>
      <c r="B2072" s="1567">
        <v>43431</v>
      </c>
      <c r="C2072" s="1568" t="s">
        <v>3308</v>
      </c>
      <c r="D2072" s="1568" t="s">
        <v>2950</v>
      </c>
      <c r="E2072" s="1567">
        <v>44119</v>
      </c>
      <c r="F2072" s="1566">
        <v>940</v>
      </c>
      <c r="G2072" s="1566">
        <v>0</v>
      </c>
      <c r="H2072" s="1567"/>
      <c r="I2072" s="1567">
        <v>47083</v>
      </c>
      <c r="J2072" s="1567">
        <v>47083</v>
      </c>
      <c r="K2072" s="1568" t="str">
        <f t="shared" si="32"/>
        <v>No</v>
      </c>
      <c r="L2072" s="1565"/>
    </row>
    <row r="2073" spans="1:12" ht="20.100000000000001" customHeight="1">
      <c r="A2073" s="1568" t="s">
        <v>3028</v>
      </c>
      <c r="B2073" s="1567">
        <v>43431</v>
      </c>
      <c r="C2073" s="1568" t="s">
        <v>3308</v>
      </c>
      <c r="D2073" s="1568" t="s">
        <v>2950</v>
      </c>
      <c r="E2073" s="1567">
        <v>44150</v>
      </c>
      <c r="F2073" s="1566">
        <v>939</v>
      </c>
      <c r="G2073" s="1566">
        <v>0</v>
      </c>
      <c r="H2073" s="1567"/>
      <c r="I2073" s="1567">
        <v>47083</v>
      </c>
      <c r="J2073" s="1567">
        <v>47083</v>
      </c>
      <c r="K2073" s="1568" t="str">
        <f t="shared" si="32"/>
        <v>No</v>
      </c>
      <c r="L2073" s="1565"/>
    </row>
    <row r="2074" spans="1:12" ht="20.100000000000001" customHeight="1">
      <c r="A2074" s="1568" t="s">
        <v>3028</v>
      </c>
      <c r="B2074" s="1567">
        <v>43431</v>
      </c>
      <c r="C2074" s="1568" t="s">
        <v>3308</v>
      </c>
      <c r="D2074" s="1568" t="s">
        <v>2950</v>
      </c>
      <c r="E2074" s="1567">
        <v>44180</v>
      </c>
      <c r="F2074" s="1566">
        <v>939</v>
      </c>
      <c r="G2074" s="1566">
        <v>0</v>
      </c>
      <c r="H2074" s="1567"/>
      <c r="I2074" s="1567">
        <v>47083</v>
      </c>
      <c r="J2074" s="1567">
        <v>47083</v>
      </c>
      <c r="K2074" s="1568" t="str">
        <f t="shared" si="32"/>
        <v>No</v>
      </c>
      <c r="L2074" s="1565"/>
    </row>
    <row r="2075" spans="1:12" ht="20.100000000000001" customHeight="1">
      <c r="A2075" s="1568" t="s">
        <v>3028</v>
      </c>
      <c r="B2075" s="1567">
        <v>43431</v>
      </c>
      <c r="C2075" s="1568" t="s">
        <v>3308</v>
      </c>
      <c r="D2075" s="1568" t="s">
        <v>2950</v>
      </c>
      <c r="E2075" s="1567">
        <v>44211</v>
      </c>
      <c r="F2075" s="1566">
        <v>940</v>
      </c>
      <c r="G2075" s="1566">
        <v>0</v>
      </c>
      <c r="H2075" s="1567"/>
      <c r="I2075" s="1567">
        <v>47083</v>
      </c>
      <c r="J2075" s="1567">
        <v>47083</v>
      </c>
      <c r="K2075" s="1568" t="str">
        <f t="shared" si="32"/>
        <v>No</v>
      </c>
      <c r="L2075" s="1565"/>
    </row>
    <row r="2076" spans="1:12" ht="20.100000000000001" customHeight="1">
      <c r="A2076" s="1568" t="s">
        <v>3028</v>
      </c>
      <c r="B2076" s="1567">
        <v>43431</v>
      </c>
      <c r="C2076" s="1568" t="s">
        <v>3308</v>
      </c>
      <c r="D2076" s="1568" t="s">
        <v>2950</v>
      </c>
      <c r="E2076" s="1567">
        <v>44242</v>
      </c>
      <c r="F2076" s="1566">
        <v>939</v>
      </c>
      <c r="G2076" s="1566">
        <v>0</v>
      </c>
      <c r="H2076" s="1567"/>
      <c r="I2076" s="1567">
        <v>47083</v>
      </c>
      <c r="J2076" s="1567">
        <v>47083</v>
      </c>
      <c r="K2076" s="1568" t="str">
        <f t="shared" si="32"/>
        <v>No</v>
      </c>
      <c r="L2076" s="1565"/>
    </row>
    <row r="2077" spans="1:12" ht="20.100000000000001" customHeight="1">
      <c r="A2077" s="1568" t="s">
        <v>3028</v>
      </c>
      <c r="B2077" s="1567">
        <v>43431</v>
      </c>
      <c r="C2077" s="1568" t="s">
        <v>3308</v>
      </c>
      <c r="D2077" s="1568" t="s">
        <v>2950</v>
      </c>
      <c r="E2077" s="1567">
        <v>44270</v>
      </c>
      <c r="F2077" s="1566">
        <v>940</v>
      </c>
      <c r="G2077" s="1566">
        <v>0</v>
      </c>
      <c r="H2077" s="1567"/>
      <c r="I2077" s="1567">
        <v>47083</v>
      </c>
      <c r="J2077" s="1567">
        <v>47083</v>
      </c>
      <c r="K2077" s="1568" t="str">
        <f t="shared" si="32"/>
        <v>No</v>
      </c>
      <c r="L2077" s="1565"/>
    </row>
    <row r="2078" spans="1:12" ht="20.100000000000001" customHeight="1">
      <c r="A2078" s="1568" t="s">
        <v>3028</v>
      </c>
      <c r="B2078" s="1567">
        <v>43431</v>
      </c>
      <c r="C2078" s="1568" t="s">
        <v>3308</v>
      </c>
      <c r="D2078" s="1568" t="s">
        <v>2950</v>
      </c>
      <c r="E2078" s="1567">
        <v>44301</v>
      </c>
      <c r="F2078" s="1566">
        <v>939</v>
      </c>
      <c r="G2078" s="1566">
        <v>0</v>
      </c>
      <c r="H2078" s="1567"/>
      <c r="I2078" s="1567">
        <v>47083</v>
      </c>
      <c r="J2078" s="1567">
        <v>47083</v>
      </c>
      <c r="K2078" s="1568" t="str">
        <f t="shared" si="32"/>
        <v>No</v>
      </c>
      <c r="L2078" s="1565"/>
    </row>
    <row r="2079" spans="1:12" ht="20.100000000000001" customHeight="1">
      <c r="A2079" s="1568" t="s">
        <v>3028</v>
      </c>
      <c r="B2079" s="1567">
        <v>43431</v>
      </c>
      <c r="C2079" s="1568" t="s">
        <v>3308</v>
      </c>
      <c r="D2079" s="1568" t="s">
        <v>2950</v>
      </c>
      <c r="E2079" s="1567">
        <v>44331</v>
      </c>
      <c r="F2079" s="1566">
        <v>940</v>
      </c>
      <c r="G2079" s="1566">
        <v>0</v>
      </c>
      <c r="H2079" s="1567"/>
      <c r="I2079" s="1567">
        <v>47083</v>
      </c>
      <c r="J2079" s="1567">
        <v>47083</v>
      </c>
      <c r="K2079" s="1568" t="str">
        <f t="shared" si="32"/>
        <v>No</v>
      </c>
      <c r="L2079" s="1565"/>
    </row>
    <row r="2080" spans="1:12" ht="20.100000000000001" customHeight="1">
      <c r="A2080" s="1568" t="s">
        <v>3028</v>
      </c>
      <c r="B2080" s="1567">
        <v>43431</v>
      </c>
      <c r="C2080" s="1568" t="s">
        <v>3308</v>
      </c>
      <c r="D2080" s="1568" t="s">
        <v>2950</v>
      </c>
      <c r="E2080" s="1567">
        <v>44362</v>
      </c>
      <c r="F2080" s="1566">
        <v>939</v>
      </c>
      <c r="G2080" s="1566">
        <v>0</v>
      </c>
      <c r="H2080" s="1567"/>
      <c r="I2080" s="1567">
        <v>47083</v>
      </c>
      <c r="J2080" s="1567">
        <v>47083</v>
      </c>
      <c r="K2080" s="1568" t="str">
        <f t="shared" si="32"/>
        <v>No</v>
      </c>
      <c r="L2080" s="1565"/>
    </row>
    <row r="2081" spans="1:12" ht="20.100000000000001" customHeight="1">
      <c r="A2081" s="1568" t="s">
        <v>3028</v>
      </c>
      <c r="B2081" s="1567">
        <v>43431</v>
      </c>
      <c r="C2081" s="1568" t="s">
        <v>3308</v>
      </c>
      <c r="D2081" s="1568" t="s">
        <v>2950</v>
      </c>
      <c r="E2081" s="1567">
        <v>44392</v>
      </c>
      <c r="F2081" s="1566">
        <v>940</v>
      </c>
      <c r="G2081" s="1566">
        <v>0</v>
      </c>
      <c r="H2081" s="1567"/>
      <c r="I2081" s="1567">
        <v>47083</v>
      </c>
      <c r="J2081" s="1567">
        <v>47083</v>
      </c>
      <c r="K2081" s="1568" t="str">
        <f t="shared" si="32"/>
        <v>No</v>
      </c>
      <c r="L2081" s="1565"/>
    </row>
    <row r="2082" spans="1:12" ht="20.100000000000001" customHeight="1">
      <c r="A2082" s="1568" t="s">
        <v>3028</v>
      </c>
      <c r="B2082" s="1567">
        <v>43431</v>
      </c>
      <c r="C2082" s="1568" t="s">
        <v>3308</v>
      </c>
      <c r="D2082" s="1568" t="s">
        <v>2950</v>
      </c>
      <c r="E2082" s="1567">
        <v>44423</v>
      </c>
      <c r="F2082" s="1566">
        <v>939</v>
      </c>
      <c r="G2082" s="1566">
        <v>0</v>
      </c>
      <c r="H2082" s="1567"/>
      <c r="I2082" s="1567">
        <v>47083</v>
      </c>
      <c r="J2082" s="1567">
        <v>47083</v>
      </c>
      <c r="K2082" s="1568" t="str">
        <f t="shared" si="32"/>
        <v>No</v>
      </c>
      <c r="L2082" s="1565"/>
    </row>
    <row r="2083" spans="1:12" ht="20.100000000000001" customHeight="1">
      <c r="A2083" s="1568" t="s">
        <v>3028</v>
      </c>
      <c r="B2083" s="1567">
        <v>43431</v>
      </c>
      <c r="C2083" s="1568" t="s">
        <v>3308</v>
      </c>
      <c r="D2083" s="1568" t="s">
        <v>2950</v>
      </c>
      <c r="E2083" s="1567">
        <v>44454</v>
      </c>
      <c r="F2083" s="1566">
        <v>940</v>
      </c>
      <c r="G2083" s="1566">
        <v>0</v>
      </c>
      <c r="H2083" s="1567"/>
      <c r="I2083" s="1567">
        <v>47083</v>
      </c>
      <c r="J2083" s="1567">
        <v>47083</v>
      </c>
      <c r="K2083" s="1568" t="str">
        <f t="shared" si="32"/>
        <v>No</v>
      </c>
      <c r="L2083" s="1565"/>
    </row>
    <row r="2084" spans="1:12" ht="20.100000000000001" customHeight="1">
      <c r="A2084" s="1568" t="s">
        <v>3028</v>
      </c>
      <c r="B2084" s="1567">
        <v>43431</v>
      </c>
      <c r="C2084" s="1568" t="s">
        <v>3308</v>
      </c>
      <c r="D2084" s="1568" t="s">
        <v>2950</v>
      </c>
      <c r="E2084" s="1567">
        <v>44484</v>
      </c>
      <c r="F2084" s="1566">
        <v>939</v>
      </c>
      <c r="G2084" s="1566">
        <v>0</v>
      </c>
      <c r="H2084" s="1567"/>
      <c r="I2084" s="1567">
        <v>47083</v>
      </c>
      <c r="J2084" s="1567">
        <v>47083</v>
      </c>
      <c r="K2084" s="1568" t="str">
        <f t="shared" si="32"/>
        <v>No</v>
      </c>
      <c r="L2084" s="1565"/>
    </row>
    <row r="2085" spans="1:12" ht="20.100000000000001" customHeight="1">
      <c r="A2085" s="1568" t="s">
        <v>3028</v>
      </c>
      <c r="B2085" s="1567">
        <v>43431</v>
      </c>
      <c r="C2085" s="1568" t="s">
        <v>3308</v>
      </c>
      <c r="D2085" s="1568" t="s">
        <v>2950</v>
      </c>
      <c r="E2085" s="1567">
        <v>44515</v>
      </c>
      <c r="F2085" s="1566">
        <v>940</v>
      </c>
      <c r="G2085" s="1566">
        <v>0</v>
      </c>
      <c r="H2085" s="1567"/>
      <c r="I2085" s="1567">
        <v>47083</v>
      </c>
      <c r="J2085" s="1567">
        <v>47083</v>
      </c>
      <c r="K2085" s="1568" t="str">
        <f t="shared" si="32"/>
        <v>No</v>
      </c>
      <c r="L2085" s="1565"/>
    </row>
    <row r="2086" spans="1:12" ht="20.100000000000001" customHeight="1">
      <c r="A2086" s="1568" t="s">
        <v>3028</v>
      </c>
      <c r="B2086" s="1567">
        <v>43431</v>
      </c>
      <c r="C2086" s="1568" t="s">
        <v>3308</v>
      </c>
      <c r="D2086" s="1568" t="s">
        <v>2950</v>
      </c>
      <c r="E2086" s="1567">
        <v>44545</v>
      </c>
      <c r="F2086" s="1566">
        <v>939</v>
      </c>
      <c r="G2086" s="1566">
        <v>0</v>
      </c>
      <c r="H2086" s="1567"/>
      <c r="I2086" s="1567">
        <v>47083</v>
      </c>
      <c r="J2086" s="1567">
        <v>47083</v>
      </c>
      <c r="K2086" s="1568" t="str">
        <f t="shared" si="32"/>
        <v>No</v>
      </c>
      <c r="L2086" s="1565"/>
    </row>
    <row r="2087" spans="1:12" ht="20.100000000000001" customHeight="1">
      <c r="A2087" s="1568" t="s">
        <v>3028</v>
      </c>
      <c r="B2087" s="1567">
        <v>43431</v>
      </c>
      <c r="C2087" s="1568" t="s">
        <v>3308</v>
      </c>
      <c r="D2087" s="1568" t="s">
        <v>2950</v>
      </c>
      <c r="E2087" s="1567">
        <v>44576</v>
      </c>
      <c r="F2087" s="1566">
        <v>940</v>
      </c>
      <c r="G2087" s="1566">
        <v>0</v>
      </c>
      <c r="H2087" s="1567"/>
      <c r="I2087" s="1567">
        <v>47083</v>
      </c>
      <c r="J2087" s="1567">
        <v>47083</v>
      </c>
      <c r="K2087" s="1568" t="str">
        <f t="shared" si="32"/>
        <v>No</v>
      </c>
      <c r="L2087" s="1565"/>
    </row>
    <row r="2088" spans="1:12" ht="20.100000000000001" customHeight="1">
      <c r="A2088" s="1568" t="s">
        <v>3028</v>
      </c>
      <c r="B2088" s="1567">
        <v>43431</v>
      </c>
      <c r="C2088" s="1568" t="s">
        <v>3308</v>
      </c>
      <c r="D2088" s="1568" t="s">
        <v>2950</v>
      </c>
      <c r="E2088" s="1567">
        <v>44607</v>
      </c>
      <c r="F2088" s="1566">
        <v>939</v>
      </c>
      <c r="G2088" s="1566">
        <v>0</v>
      </c>
      <c r="H2088" s="1567"/>
      <c r="I2088" s="1567">
        <v>47083</v>
      </c>
      <c r="J2088" s="1567">
        <v>47083</v>
      </c>
      <c r="K2088" s="1568" t="str">
        <f t="shared" si="32"/>
        <v>No</v>
      </c>
      <c r="L2088" s="1565"/>
    </row>
    <row r="2089" spans="1:12" ht="20.100000000000001" customHeight="1">
      <c r="A2089" s="1568" t="s">
        <v>3028</v>
      </c>
      <c r="B2089" s="1567">
        <v>43431</v>
      </c>
      <c r="C2089" s="1568" t="s">
        <v>3308</v>
      </c>
      <c r="D2089" s="1568" t="s">
        <v>2950</v>
      </c>
      <c r="E2089" s="1567">
        <v>44635</v>
      </c>
      <c r="F2089" s="1566">
        <v>940</v>
      </c>
      <c r="G2089" s="1566">
        <v>0</v>
      </c>
      <c r="H2089" s="1567"/>
      <c r="I2089" s="1567">
        <v>47083</v>
      </c>
      <c r="J2089" s="1567">
        <v>47083</v>
      </c>
      <c r="K2089" s="1568" t="str">
        <f t="shared" si="32"/>
        <v>No</v>
      </c>
      <c r="L2089" s="1565"/>
    </row>
    <row r="2090" spans="1:12" ht="20.100000000000001" customHeight="1">
      <c r="A2090" s="1568" t="s">
        <v>3028</v>
      </c>
      <c r="B2090" s="1567">
        <v>43431</v>
      </c>
      <c r="C2090" s="1568" t="s">
        <v>3308</v>
      </c>
      <c r="D2090" s="1568" t="s">
        <v>2950</v>
      </c>
      <c r="E2090" s="1567">
        <v>44666</v>
      </c>
      <c r="F2090" s="1566">
        <v>939</v>
      </c>
      <c r="G2090" s="1566">
        <v>0</v>
      </c>
      <c r="H2090" s="1567"/>
      <c r="I2090" s="1567">
        <v>47083</v>
      </c>
      <c r="J2090" s="1567">
        <v>47083</v>
      </c>
      <c r="K2090" s="1568" t="str">
        <f t="shared" si="32"/>
        <v>No</v>
      </c>
      <c r="L2090" s="1565"/>
    </row>
    <row r="2091" spans="1:12" ht="20.100000000000001" customHeight="1">
      <c r="A2091" s="1568" t="s">
        <v>3028</v>
      </c>
      <c r="B2091" s="1567">
        <v>43431</v>
      </c>
      <c r="C2091" s="1568" t="s">
        <v>3308</v>
      </c>
      <c r="D2091" s="1568" t="s">
        <v>2950</v>
      </c>
      <c r="E2091" s="1567">
        <v>44696</v>
      </c>
      <c r="F2091" s="1566">
        <v>940</v>
      </c>
      <c r="G2091" s="1566">
        <v>0</v>
      </c>
      <c r="H2091" s="1567"/>
      <c r="I2091" s="1567">
        <v>47083</v>
      </c>
      <c r="J2091" s="1567">
        <v>47083</v>
      </c>
      <c r="K2091" s="1568" t="str">
        <f t="shared" si="32"/>
        <v>No</v>
      </c>
      <c r="L2091" s="1565"/>
    </row>
    <row r="2092" spans="1:12" ht="20.100000000000001" customHeight="1">
      <c r="A2092" s="1568" t="s">
        <v>3028</v>
      </c>
      <c r="B2092" s="1567">
        <v>43431</v>
      </c>
      <c r="C2092" s="1568" t="s">
        <v>3308</v>
      </c>
      <c r="D2092" s="1568" t="s">
        <v>2950</v>
      </c>
      <c r="E2092" s="1567">
        <v>44727</v>
      </c>
      <c r="F2092" s="1566">
        <v>939</v>
      </c>
      <c r="G2092" s="1566">
        <v>0</v>
      </c>
      <c r="H2092" s="1567"/>
      <c r="I2092" s="1567">
        <v>47083</v>
      </c>
      <c r="J2092" s="1567">
        <v>47083</v>
      </c>
      <c r="K2092" s="1568" t="str">
        <f t="shared" si="32"/>
        <v>No</v>
      </c>
      <c r="L2092" s="1565"/>
    </row>
    <row r="2093" spans="1:12" ht="20.100000000000001" customHeight="1">
      <c r="A2093" s="1568" t="s">
        <v>3028</v>
      </c>
      <c r="B2093" s="1567">
        <v>43431</v>
      </c>
      <c r="C2093" s="1568" t="s">
        <v>3308</v>
      </c>
      <c r="D2093" s="1568" t="s">
        <v>2950</v>
      </c>
      <c r="E2093" s="1567">
        <v>44757</v>
      </c>
      <c r="F2093" s="1566">
        <v>940</v>
      </c>
      <c r="G2093" s="1566">
        <v>0</v>
      </c>
      <c r="H2093" s="1567"/>
      <c r="I2093" s="1567">
        <v>47083</v>
      </c>
      <c r="J2093" s="1567">
        <v>47083</v>
      </c>
      <c r="K2093" s="1568" t="str">
        <f t="shared" si="32"/>
        <v>No</v>
      </c>
      <c r="L2093" s="1565"/>
    </row>
    <row r="2094" spans="1:12" ht="20.100000000000001" customHeight="1">
      <c r="A2094" s="1568" t="s">
        <v>3028</v>
      </c>
      <c r="B2094" s="1567">
        <v>43431</v>
      </c>
      <c r="C2094" s="1568" t="s">
        <v>3308</v>
      </c>
      <c r="D2094" s="1568" t="s">
        <v>2950</v>
      </c>
      <c r="E2094" s="1567">
        <v>44788</v>
      </c>
      <c r="F2094" s="1566">
        <v>939</v>
      </c>
      <c r="G2094" s="1566">
        <v>0</v>
      </c>
      <c r="H2094" s="1567"/>
      <c r="I2094" s="1567">
        <v>47083</v>
      </c>
      <c r="J2094" s="1567">
        <v>47083</v>
      </c>
      <c r="K2094" s="1568" t="str">
        <f t="shared" si="32"/>
        <v>No</v>
      </c>
      <c r="L2094" s="1565"/>
    </row>
    <row r="2095" spans="1:12" ht="20.100000000000001" customHeight="1">
      <c r="A2095" s="1568" t="s">
        <v>3028</v>
      </c>
      <c r="B2095" s="1567">
        <v>43431</v>
      </c>
      <c r="C2095" s="1568" t="s">
        <v>3308</v>
      </c>
      <c r="D2095" s="1568" t="s">
        <v>2950</v>
      </c>
      <c r="E2095" s="1567">
        <v>44819</v>
      </c>
      <c r="F2095" s="1566">
        <v>940</v>
      </c>
      <c r="G2095" s="1566">
        <v>0</v>
      </c>
      <c r="H2095" s="1567"/>
      <c r="I2095" s="1567">
        <v>47083</v>
      </c>
      <c r="J2095" s="1567">
        <v>47083</v>
      </c>
      <c r="K2095" s="1568" t="str">
        <f t="shared" si="32"/>
        <v>No</v>
      </c>
      <c r="L2095" s="1565"/>
    </row>
    <row r="2096" spans="1:12" ht="20.100000000000001" customHeight="1">
      <c r="A2096" s="1568" t="s">
        <v>3028</v>
      </c>
      <c r="B2096" s="1567">
        <v>43431</v>
      </c>
      <c r="C2096" s="1568" t="s">
        <v>3308</v>
      </c>
      <c r="D2096" s="1568" t="s">
        <v>2950</v>
      </c>
      <c r="E2096" s="1567">
        <v>44849</v>
      </c>
      <c r="F2096" s="1566">
        <v>939</v>
      </c>
      <c r="G2096" s="1566">
        <v>0</v>
      </c>
      <c r="H2096" s="1567"/>
      <c r="I2096" s="1567">
        <v>47083</v>
      </c>
      <c r="J2096" s="1567">
        <v>47083</v>
      </c>
      <c r="K2096" s="1568" t="str">
        <f t="shared" si="32"/>
        <v>No</v>
      </c>
      <c r="L2096" s="1565"/>
    </row>
    <row r="2097" spans="1:12" ht="20.100000000000001" customHeight="1">
      <c r="A2097" s="1568" t="s">
        <v>3028</v>
      </c>
      <c r="B2097" s="1567">
        <v>43431</v>
      </c>
      <c r="C2097" s="1568" t="s">
        <v>3308</v>
      </c>
      <c r="D2097" s="1568" t="s">
        <v>2950</v>
      </c>
      <c r="E2097" s="1567">
        <v>44880</v>
      </c>
      <c r="F2097" s="1566">
        <v>940</v>
      </c>
      <c r="G2097" s="1566">
        <v>0</v>
      </c>
      <c r="H2097" s="1567"/>
      <c r="I2097" s="1567">
        <v>47083</v>
      </c>
      <c r="J2097" s="1567">
        <v>47083</v>
      </c>
      <c r="K2097" s="1568" t="str">
        <f t="shared" si="32"/>
        <v>No</v>
      </c>
      <c r="L2097" s="1565"/>
    </row>
  </sheetData>
  <pageMargins left="0.75" right="0.75" top="1" bottom="1" header="0.5" footer="0.5"/>
  <pageSetup orientation="landscape"/>
  <drawing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90">
    <tabColor theme="1"/>
  </sheetPr>
  <dimension ref="A1"/>
  <sheetViews>
    <sheetView workbookViewId="0"/>
  </sheetViews>
  <sheetFormatPr defaultRowHeight="12.75"/>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3">
    <tabColor rgb="FFFF0000"/>
  </sheetPr>
  <dimension ref="A1:CH74"/>
  <sheetViews>
    <sheetView showGridLines="0" view="pageBreakPreview" topLeftCell="G1" zoomScaleNormal="100" zoomScaleSheetLayoutView="100" workbookViewId="0">
      <pane ySplit="10" topLeftCell="A24" activePane="bottomLeft" state="frozen"/>
      <selection activeCell="BU10" sqref="BU10"/>
      <selection pane="bottomLeft" activeCell="G36" sqref="G36"/>
    </sheetView>
  </sheetViews>
  <sheetFormatPr defaultRowHeight="11.25" outlineLevelCol="1"/>
  <cols>
    <col min="1" max="1" width="40.1640625" style="66" bestFit="1" customWidth="1"/>
    <col min="2" max="2" width="14.83203125" style="66" bestFit="1" customWidth="1"/>
    <col min="3" max="3" width="25.1640625" style="67" bestFit="1" customWidth="1"/>
    <col min="4" max="4" width="19" style="67" bestFit="1" customWidth="1"/>
    <col min="5" max="9" width="17.83203125" style="67" customWidth="1"/>
    <col min="10" max="10" width="15.33203125" style="67" customWidth="1"/>
    <col min="11" max="11" width="14" style="67" customWidth="1"/>
    <col min="12" max="12" width="15.6640625" style="67" bestFit="1" customWidth="1"/>
    <col min="13" max="13" width="16.1640625" style="67" customWidth="1"/>
    <col min="14" max="16" width="14.83203125" style="67" bestFit="1" customWidth="1"/>
    <col min="17" max="18" width="14.83203125" style="67" customWidth="1"/>
    <col min="19" max="23" width="14.83203125" style="67" bestFit="1" customWidth="1"/>
    <col min="24" max="24" width="14.83203125" style="67" customWidth="1"/>
    <col min="25" max="29" width="14.83203125" style="67" bestFit="1" customWidth="1"/>
    <col min="30" max="30" width="17" style="67" bestFit="1" customWidth="1"/>
    <col min="31" max="31" width="14.83203125" style="67" bestFit="1" customWidth="1"/>
    <col min="32" max="32" width="19.1640625" style="67" customWidth="1"/>
    <col min="33" max="33" width="19.5" style="67" customWidth="1"/>
    <col min="34" max="34" width="21.1640625" style="67" customWidth="1"/>
    <col min="35" max="35" width="19" style="67" bestFit="1" customWidth="1"/>
    <col min="36" max="36" width="12.83203125" style="67" customWidth="1"/>
    <col min="37" max="37" width="15.33203125" style="67" customWidth="1"/>
    <col min="38" max="38" width="13.1640625" style="67" customWidth="1"/>
    <col min="39" max="39" width="18.5" style="67" bestFit="1" customWidth="1"/>
    <col min="40" max="40" width="14.83203125" style="67" bestFit="1" customWidth="1"/>
    <col min="41" max="44" width="14.83203125" style="67" customWidth="1"/>
    <col min="45" max="45" width="11.1640625" style="67" customWidth="1"/>
    <col min="46" max="46" width="14.83203125" style="67" bestFit="1" customWidth="1"/>
    <col min="47" max="50" width="14.83203125" style="67" customWidth="1"/>
    <col min="51" max="51" width="16" style="67" customWidth="1"/>
    <col min="52" max="69" width="14.83203125" style="67" customWidth="1"/>
    <col min="70" max="70" width="17" style="67" customWidth="1" outlineLevel="1"/>
    <col min="71" max="78" width="9.33203125" style="67"/>
    <col min="79" max="82" width="9.33203125" style="66"/>
    <col min="83" max="83" width="9.33203125" style="75"/>
    <col min="84" max="16384" width="9.33203125" style="66"/>
  </cols>
  <sheetData>
    <row r="1" spans="1:86" s="63" customFormat="1">
      <c r="A1" s="66" t="s">
        <v>726</v>
      </c>
      <c r="B1" s="74">
        <v>43496</v>
      </c>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4"/>
      <c r="AR1" s="67"/>
      <c r="AS1" s="65"/>
      <c r="AT1" s="67"/>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row>
    <row r="2" spans="1:86" s="63" customFormat="1">
      <c r="A2" s="66" t="s">
        <v>727</v>
      </c>
      <c r="B2" s="75" t="s">
        <v>756</v>
      </c>
      <c r="C2" s="67"/>
      <c r="D2" s="67"/>
      <c r="E2" s="67"/>
      <c r="F2" s="67"/>
      <c r="G2" s="67"/>
      <c r="H2" s="67"/>
      <c r="I2" s="67"/>
      <c r="J2" s="67"/>
      <c r="K2" s="76" t="s">
        <v>87</v>
      </c>
      <c r="L2" s="77">
        <v>43496</v>
      </c>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4"/>
      <c r="AR2" s="67"/>
      <c r="AS2" s="65"/>
      <c r="AT2" s="67"/>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row>
    <row r="3" spans="1:86" s="63" customFormat="1">
      <c r="A3" s="66" t="s">
        <v>728</v>
      </c>
      <c r="B3" s="75" t="s">
        <v>757</v>
      </c>
      <c r="C3" s="67"/>
      <c r="D3" s="67"/>
      <c r="E3" s="67"/>
      <c r="F3" s="67"/>
      <c r="G3" s="67"/>
      <c r="H3" s="67"/>
      <c r="I3" s="67"/>
      <c r="J3" s="67"/>
      <c r="K3" s="78" t="s">
        <v>455</v>
      </c>
      <c r="L3" s="79" t="s">
        <v>457</v>
      </c>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4"/>
      <c r="AR3" s="67"/>
      <c r="AS3" s="65"/>
      <c r="AT3" s="67"/>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row>
    <row r="4" spans="1:86" s="63" customFormat="1">
      <c r="A4" s="66" t="s">
        <v>729</v>
      </c>
      <c r="B4" s="75" t="s">
        <v>831</v>
      </c>
      <c r="C4" s="67"/>
      <c r="D4" s="67"/>
      <c r="E4" s="67"/>
      <c r="F4" s="67"/>
      <c r="G4" s="67"/>
      <c r="H4" s="67"/>
      <c r="I4" s="67"/>
      <c r="J4" s="67"/>
      <c r="K4" s="78" t="s">
        <v>828</v>
      </c>
      <c r="L4" s="79" t="s">
        <v>829</v>
      </c>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4"/>
      <c r="AR4" s="67"/>
      <c r="AS4" s="64"/>
      <c r="AT4" s="67"/>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row>
    <row r="5" spans="1:86" s="63" customFormat="1">
      <c r="A5" s="66" t="s">
        <v>730</v>
      </c>
      <c r="B5" s="75" t="s">
        <v>4048</v>
      </c>
      <c r="C5" s="67"/>
      <c r="D5" s="67"/>
      <c r="E5" s="67"/>
      <c r="F5" s="67"/>
      <c r="G5" s="67"/>
      <c r="H5" s="67"/>
      <c r="I5" s="67"/>
      <c r="J5" s="67"/>
      <c r="K5" s="78" t="s">
        <v>456</v>
      </c>
      <c r="L5" s="79" t="s">
        <v>458</v>
      </c>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4"/>
      <c r="AR5" s="67"/>
      <c r="AS5" s="64"/>
      <c r="AT5" s="67"/>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row>
    <row r="6" spans="1:86" s="63" customFormat="1">
      <c r="A6" s="66" t="s">
        <v>731</v>
      </c>
      <c r="B6" s="75" t="s">
        <v>4049</v>
      </c>
      <c r="C6" s="67"/>
      <c r="D6" s="67"/>
      <c r="E6" s="67"/>
      <c r="F6" s="67"/>
      <c r="G6" s="67"/>
      <c r="H6" s="67"/>
      <c r="I6" s="67"/>
      <c r="J6" s="67"/>
      <c r="K6" s="80" t="s">
        <v>89</v>
      </c>
      <c r="L6" s="81" t="s">
        <v>90</v>
      </c>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4"/>
      <c r="AR6" s="67"/>
      <c r="AS6" s="64"/>
      <c r="AT6" s="67"/>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row>
    <row r="7" spans="1:86" s="63" customFormat="1">
      <c r="A7" s="66" t="s">
        <v>830</v>
      </c>
      <c r="B7" s="75" t="s">
        <v>4050</v>
      </c>
      <c r="C7" s="67"/>
      <c r="D7" s="67"/>
      <c r="E7" s="67"/>
      <c r="F7" s="67"/>
      <c r="G7" s="67"/>
      <c r="H7" s="67"/>
      <c r="I7" s="67"/>
      <c r="J7" s="67"/>
      <c r="K7" s="67"/>
      <c r="L7" s="67"/>
      <c r="M7" s="67"/>
      <c r="N7" s="67"/>
      <c r="O7" s="67"/>
      <c r="P7" s="67"/>
      <c r="Q7" s="67"/>
      <c r="R7" s="67"/>
      <c r="S7" s="67"/>
      <c r="T7" s="67"/>
      <c r="U7" s="67"/>
      <c r="V7" s="67"/>
      <c r="W7" s="67"/>
      <c r="X7" s="67"/>
      <c r="Y7" s="67"/>
      <c r="Z7" s="67"/>
      <c r="AA7" s="67"/>
      <c r="AB7" s="67"/>
      <c r="AC7" s="67"/>
      <c r="AD7" s="67"/>
      <c r="AE7" s="67"/>
      <c r="AF7" s="82"/>
      <c r="AG7" s="82"/>
      <c r="AH7" s="67"/>
      <c r="AI7" s="67"/>
      <c r="AJ7" s="67"/>
      <c r="AK7" s="67"/>
      <c r="AL7" s="67"/>
      <c r="AM7" s="67"/>
      <c r="AN7" s="67"/>
      <c r="AO7" s="67"/>
      <c r="AP7" s="67"/>
      <c r="AQ7" s="64"/>
      <c r="AR7" s="67"/>
      <c r="AS7" s="64"/>
      <c r="AT7" s="67"/>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row>
    <row r="8" spans="1:86" s="63" customFormat="1">
      <c r="A8" s="66" t="s">
        <v>732</v>
      </c>
      <c r="B8" s="74">
        <v>43404</v>
      </c>
      <c r="C8" s="67"/>
      <c r="D8" s="67"/>
      <c r="E8" s="67"/>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4"/>
      <c r="AR8" s="67"/>
      <c r="AS8" s="64"/>
      <c r="AT8" s="67"/>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row>
    <row r="9" spans="1:86" s="9" customFormat="1" ht="12.75">
      <c r="C9" s="39"/>
      <c r="D9" s="39"/>
      <c r="E9" s="39"/>
      <c r="F9" s="39"/>
      <c r="G9" s="39"/>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c r="AT9" s="39"/>
      <c r="AU9" s="39"/>
      <c r="AV9" s="39"/>
      <c r="AW9" s="39"/>
      <c r="AX9" s="39"/>
      <c r="AY9" s="39"/>
      <c r="AZ9" s="39"/>
      <c r="BA9" s="39"/>
      <c r="BB9" s="39"/>
      <c r="BC9" s="39"/>
      <c r="BD9" s="39"/>
      <c r="BE9" s="39"/>
      <c r="BF9" s="39"/>
      <c r="BG9" s="39"/>
      <c r="BH9" s="39"/>
      <c r="BI9" s="39"/>
      <c r="BJ9" s="39"/>
      <c r="BK9" s="39"/>
      <c r="BL9" s="39"/>
      <c r="BM9" s="39"/>
      <c r="BN9" s="39"/>
      <c r="BO9" s="39"/>
      <c r="BP9" s="39"/>
      <c r="BQ9" s="39"/>
      <c r="BR9" s="39"/>
      <c r="BS9" s="39"/>
      <c r="BT9" s="39"/>
      <c r="BU9" s="39"/>
      <c r="BV9" s="39"/>
      <c r="BW9" s="39"/>
      <c r="BX9" s="39"/>
      <c r="BY9" s="39"/>
      <c r="BZ9" s="39"/>
    </row>
    <row r="10" spans="1:86">
      <c r="A10" s="83" t="s">
        <v>758</v>
      </c>
      <c r="W10" s="68"/>
      <c r="AF10" s="67" t="s">
        <v>322</v>
      </c>
      <c r="AJ10" s="67" t="s">
        <v>345</v>
      </c>
      <c r="AK10" s="67" t="s">
        <v>321</v>
      </c>
      <c r="AL10" s="67" t="s">
        <v>322</v>
      </c>
      <c r="AM10" s="67" t="s">
        <v>345</v>
      </c>
      <c r="AN10" s="67" t="s">
        <v>321</v>
      </c>
      <c r="AO10" s="67" t="s">
        <v>322</v>
      </c>
      <c r="AQ10" s="64">
        <v>1</v>
      </c>
      <c r="AR10" s="67">
        <v>2</v>
      </c>
      <c r="AS10" s="64">
        <v>5</v>
      </c>
      <c r="AU10" s="67" t="s">
        <v>345</v>
      </c>
      <c r="AV10" s="67" t="s">
        <v>321</v>
      </c>
      <c r="AW10" s="67" t="s">
        <v>322</v>
      </c>
      <c r="AX10" s="68" t="s">
        <v>756</v>
      </c>
      <c r="AY10" s="68" t="s">
        <v>757</v>
      </c>
      <c r="AZ10" s="67" t="s">
        <v>345</v>
      </c>
      <c r="BA10" s="67" t="s">
        <v>321</v>
      </c>
      <c r="BB10" s="67" t="s">
        <v>322</v>
      </c>
      <c r="BC10" s="67" t="s">
        <v>756</v>
      </c>
      <c r="BD10" s="67" t="s">
        <v>757</v>
      </c>
      <c r="BH10" s="64"/>
      <c r="BI10" s="64"/>
      <c r="BJ10" s="64"/>
      <c r="BK10" s="64"/>
      <c r="BL10" s="64"/>
      <c r="BM10" s="64"/>
      <c r="BN10" s="64"/>
      <c r="BO10" s="64"/>
      <c r="BP10" s="64"/>
      <c r="BQ10" s="64"/>
      <c r="BR10" s="64"/>
      <c r="BS10" s="64" t="s">
        <v>117</v>
      </c>
      <c r="BT10" s="64"/>
      <c r="BU10" s="64"/>
      <c r="BV10" s="64"/>
      <c r="BW10" s="64"/>
      <c r="BX10" s="64"/>
      <c r="BY10" s="64"/>
      <c r="BZ10" s="64"/>
      <c r="CA10" s="63"/>
      <c r="CB10" s="63"/>
      <c r="CC10" s="63"/>
      <c r="CD10" s="63"/>
      <c r="CE10" s="63"/>
      <c r="CF10" s="63"/>
      <c r="CG10" s="63"/>
      <c r="CH10" s="63"/>
    </row>
    <row r="11" spans="1:86" ht="12.75">
      <c r="A11" s="66" t="s">
        <v>108</v>
      </c>
      <c r="B11" s="66" t="s">
        <v>733</v>
      </c>
      <c r="C11" s="67" t="s">
        <v>734</v>
      </c>
      <c r="D11" s="67" t="s">
        <v>735</v>
      </c>
      <c r="E11" s="67" t="s">
        <v>736</v>
      </c>
      <c r="F11" s="67" t="s">
        <v>832</v>
      </c>
      <c r="G11" s="67" t="s">
        <v>737</v>
      </c>
      <c r="H11" s="67" t="s">
        <v>146</v>
      </c>
      <c r="I11" s="67" t="s">
        <v>679</v>
      </c>
      <c r="J11" s="67" t="s">
        <v>94</v>
      </c>
      <c r="K11" s="67" t="s">
        <v>95</v>
      </c>
      <c r="L11" s="67" t="s">
        <v>96</v>
      </c>
      <c r="M11" s="67" t="s">
        <v>97</v>
      </c>
      <c r="N11" s="67" t="s">
        <v>100</v>
      </c>
      <c r="O11" s="39" t="s">
        <v>780</v>
      </c>
      <c r="P11" s="67" t="s">
        <v>781</v>
      </c>
      <c r="Q11" s="67" t="s">
        <v>782</v>
      </c>
      <c r="R11" s="67" t="s">
        <v>833</v>
      </c>
      <c r="S11" s="67" t="s">
        <v>834</v>
      </c>
      <c r="T11" s="67" t="s">
        <v>835</v>
      </c>
      <c r="U11" s="67" t="s">
        <v>4051</v>
      </c>
      <c r="V11" s="67" t="s">
        <v>4052</v>
      </c>
      <c r="W11" s="67" t="s">
        <v>4053</v>
      </c>
      <c r="X11" s="39" t="s">
        <v>783</v>
      </c>
      <c r="Y11" s="67" t="s">
        <v>784</v>
      </c>
      <c r="Z11" s="67" t="s">
        <v>738</v>
      </c>
      <c r="AA11" s="67" t="s">
        <v>788</v>
      </c>
      <c r="AB11" s="67" t="s">
        <v>789</v>
      </c>
      <c r="AC11" s="67" t="s">
        <v>4054</v>
      </c>
      <c r="AD11" s="67" t="s">
        <v>4055</v>
      </c>
      <c r="AE11" s="67" t="s">
        <v>4056</v>
      </c>
      <c r="AF11" s="67" t="s">
        <v>792</v>
      </c>
      <c r="AG11" s="67" t="s">
        <v>848</v>
      </c>
      <c r="AH11" s="67" t="s">
        <v>849</v>
      </c>
      <c r="AI11" s="67" t="s">
        <v>850</v>
      </c>
      <c r="AJ11" s="67" t="s">
        <v>793</v>
      </c>
      <c r="AK11" s="67" t="s">
        <v>793</v>
      </c>
      <c r="AL11" s="67" t="s">
        <v>793</v>
      </c>
      <c r="AM11" s="67" t="s">
        <v>677</v>
      </c>
      <c r="AN11" s="67" t="s">
        <v>677</v>
      </c>
      <c r="AO11" s="67" t="s">
        <v>677</v>
      </c>
      <c r="AP11" s="67" t="s">
        <v>851</v>
      </c>
      <c r="AQ11" s="67" t="s">
        <v>741</v>
      </c>
      <c r="AR11" s="67" t="s">
        <v>740</v>
      </c>
      <c r="AS11" s="67" t="s">
        <v>739</v>
      </c>
      <c r="AT11" s="67" t="s">
        <v>73</v>
      </c>
      <c r="AU11" s="67" t="s">
        <v>597</v>
      </c>
      <c r="AV11" s="67" t="s">
        <v>597</v>
      </c>
      <c r="AW11" s="67" t="s">
        <v>597</v>
      </c>
      <c r="AX11" s="67" t="s">
        <v>597</v>
      </c>
      <c r="AY11" s="67" t="s">
        <v>597</v>
      </c>
      <c r="AZ11" s="67" t="s">
        <v>598</v>
      </c>
      <c r="BA11" s="67" t="s">
        <v>598</v>
      </c>
      <c r="BB11" s="67" t="s">
        <v>598</v>
      </c>
      <c r="BC11" s="67" t="s">
        <v>598</v>
      </c>
      <c r="BD11" s="67" t="s">
        <v>598</v>
      </c>
      <c r="BE11" s="67" t="s">
        <v>837</v>
      </c>
      <c r="BF11" s="67" t="s">
        <v>838</v>
      </c>
      <c r="BG11" s="67" t="s">
        <v>839</v>
      </c>
      <c r="BH11" s="67" t="s">
        <v>840</v>
      </c>
      <c r="BI11" s="67" t="s">
        <v>841</v>
      </c>
      <c r="BJ11" s="67" t="s">
        <v>842</v>
      </c>
      <c r="BK11" s="67" t="s">
        <v>742</v>
      </c>
      <c r="BL11" s="67" t="s">
        <v>743</v>
      </c>
      <c r="BM11" s="67" t="s">
        <v>744</v>
      </c>
      <c r="BN11" s="67" t="s">
        <v>745</v>
      </c>
      <c r="BO11" s="67" t="s">
        <v>746</v>
      </c>
      <c r="BP11" s="67" t="s">
        <v>747</v>
      </c>
      <c r="BQ11" s="67" t="s">
        <v>748</v>
      </c>
      <c r="BR11" s="67" t="s">
        <v>749</v>
      </c>
      <c r="BS11" s="68" t="s">
        <v>759</v>
      </c>
      <c r="BT11" s="68" t="s">
        <v>760</v>
      </c>
      <c r="BU11" s="68" t="s">
        <v>761</v>
      </c>
      <c r="BV11" s="68" t="s">
        <v>762</v>
      </c>
      <c r="BW11" s="68" t="s">
        <v>763</v>
      </c>
      <c r="BX11" s="68" t="s">
        <v>1434</v>
      </c>
      <c r="BY11" s="68" t="s">
        <v>1435</v>
      </c>
      <c r="BZ11" s="68" t="s">
        <v>1436</v>
      </c>
      <c r="CB11" s="66" t="s">
        <v>852</v>
      </c>
      <c r="CC11" s="66" t="s">
        <v>291</v>
      </c>
      <c r="CD11" s="66" t="s">
        <v>292</v>
      </c>
      <c r="CE11" s="67" t="s">
        <v>796</v>
      </c>
    </row>
    <row r="12" spans="1:86">
      <c r="CE12" s="66"/>
    </row>
    <row r="13" spans="1:86" s="67" customFormat="1" ht="12.75">
      <c r="A13" s="67" t="s">
        <v>4039</v>
      </c>
      <c r="B13" s="67" t="s">
        <v>4057</v>
      </c>
      <c r="C13" s="67" t="s">
        <v>4058</v>
      </c>
      <c r="D13" s="67" t="s">
        <v>766</v>
      </c>
      <c r="E13" s="68">
        <v>43465</v>
      </c>
      <c r="F13" s="68">
        <v>43373</v>
      </c>
      <c r="G13" s="68">
        <v>38135</v>
      </c>
      <c r="H13" s="84">
        <v>7662.1313899999996</v>
      </c>
      <c r="I13" s="84">
        <v>83.53</v>
      </c>
      <c r="J13" s="84">
        <v>8868.9653999999991</v>
      </c>
      <c r="K13" s="84">
        <v>30</v>
      </c>
      <c r="L13" s="84" t="s">
        <v>13</v>
      </c>
      <c r="M13" s="84" t="s">
        <v>13</v>
      </c>
      <c r="N13" s="84">
        <v>1236.8340000000001</v>
      </c>
      <c r="O13" s="84">
        <v>37.256</v>
      </c>
      <c r="P13" s="84">
        <v>69.441999999999993</v>
      </c>
      <c r="Q13" s="84">
        <v>91.799000000000007</v>
      </c>
      <c r="R13" s="84">
        <v>89.912000000000006</v>
      </c>
      <c r="S13" s="84">
        <v>69.403999999999996</v>
      </c>
      <c r="T13" s="84">
        <v>151.66696999999999</v>
      </c>
      <c r="U13" s="84">
        <v>414.9787</v>
      </c>
      <c r="V13" s="84">
        <v>846.60333000000003</v>
      </c>
      <c r="W13" s="84">
        <v>1470.0881199999999</v>
      </c>
      <c r="X13" s="84">
        <v>-384.48500000000001</v>
      </c>
      <c r="Y13" s="84">
        <v>-455.54700000000003</v>
      </c>
      <c r="Z13" s="84">
        <v>-729.24300000000005</v>
      </c>
      <c r="AA13" s="84">
        <v>-486.721</v>
      </c>
      <c r="AB13" s="84">
        <v>-736.43182999999999</v>
      </c>
      <c r="AC13" s="84">
        <v>-713.37514999999996</v>
      </c>
      <c r="AD13" s="84">
        <v>-495.17669000000001</v>
      </c>
      <c r="AE13" s="84" t="s">
        <v>13</v>
      </c>
      <c r="AF13" s="69">
        <v>0.99850700000000003</v>
      </c>
      <c r="AG13" s="69" t="s">
        <v>13</v>
      </c>
      <c r="AH13" s="69" t="s">
        <v>13</v>
      </c>
      <c r="AI13" s="69" t="s">
        <v>13</v>
      </c>
      <c r="AJ13" s="84">
        <v>-47.332999999999998</v>
      </c>
      <c r="AK13" s="84">
        <v>-55.970999999999997</v>
      </c>
      <c r="AL13" s="84">
        <v>-16.216999999999999</v>
      </c>
      <c r="AM13" s="84">
        <v>-47.777000000000001</v>
      </c>
      <c r="AN13" s="84">
        <v>-103.36</v>
      </c>
      <c r="AO13" s="84">
        <v>-110.102</v>
      </c>
      <c r="AP13" s="66" t="s">
        <v>4059</v>
      </c>
      <c r="AQ13" s="85">
        <v>1.5510900000000001</v>
      </c>
      <c r="AR13" s="85">
        <v>1.55139</v>
      </c>
      <c r="AS13" s="85">
        <v>2.5288900000000001</v>
      </c>
      <c r="AT13" s="69">
        <v>0</v>
      </c>
      <c r="AU13" s="84">
        <v>-387.89499999999998</v>
      </c>
      <c r="AV13" s="84">
        <v>-461.58100000000002</v>
      </c>
      <c r="AW13" s="84">
        <v>-692.28300000000002</v>
      </c>
      <c r="AX13" s="84">
        <v>-490.87400000000002</v>
      </c>
      <c r="AY13" s="84" t="s">
        <v>13</v>
      </c>
      <c r="AZ13" s="84">
        <v>1014.968</v>
      </c>
      <c r="BA13" s="84">
        <v>1058.835</v>
      </c>
      <c r="BB13" s="84">
        <v>1478.1189999999999</v>
      </c>
      <c r="BC13" s="84">
        <v>1766.431</v>
      </c>
      <c r="BD13" s="84" t="s">
        <v>13</v>
      </c>
      <c r="BE13" s="84">
        <v>80.430000000000007</v>
      </c>
      <c r="BF13" s="84">
        <v>8096.57539</v>
      </c>
      <c r="BG13" s="84">
        <v>30</v>
      </c>
      <c r="BH13" s="67" t="s">
        <v>13</v>
      </c>
      <c r="BI13" s="67" t="s">
        <v>13</v>
      </c>
      <c r="BJ13" s="84">
        <v>1447.6659999999999</v>
      </c>
      <c r="BK13" s="67" t="s">
        <v>765</v>
      </c>
      <c r="BL13" s="67">
        <v>0.56971499999999997</v>
      </c>
      <c r="BM13" s="67">
        <v>0.16831399999999999</v>
      </c>
      <c r="BN13" s="67">
        <v>0.15420500000000001</v>
      </c>
      <c r="BO13" s="67" t="s">
        <v>13</v>
      </c>
      <c r="BP13" s="67" t="s">
        <v>13</v>
      </c>
      <c r="BQ13" s="67" t="s">
        <v>13</v>
      </c>
      <c r="BR13" s="69">
        <v>0.134827176766631</v>
      </c>
      <c r="BS13" s="86">
        <v>0.53582349452066536</v>
      </c>
      <c r="BT13" s="86">
        <v>0.59416943228496266</v>
      </c>
      <c r="BU13" s="86">
        <v>0.7096389326799265</v>
      </c>
      <c r="BV13" s="86">
        <v>0.67742114470135883</v>
      </c>
      <c r="BW13" s="86">
        <v>0.65801935658532418</v>
      </c>
      <c r="BX13" s="86">
        <v>0.64783067874232669</v>
      </c>
      <c r="BY13" s="86">
        <v>0.64656127763457327</v>
      </c>
      <c r="BZ13" s="86">
        <v>0.63116283317401123</v>
      </c>
      <c r="CB13" s="67">
        <v>2</v>
      </c>
      <c r="CC13" s="13" t="s">
        <v>295</v>
      </c>
      <c r="CD13" s="13" t="s">
        <v>294</v>
      </c>
      <c r="CE13" s="68">
        <v>42766</v>
      </c>
    </row>
    <row r="14" spans="1:86" s="67" customFormat="1" ht="12.75">
      <c r="A14" s="67" t="s">
        <v>1546</v>
      </c>
      <c r="B14" s="67" t="s">
        <v>1548</v>
      </c>
      <c r="C14" s="67" t="s">
        <v>797</v>
      </c>
      <c r="D14" s="67" t="s">
        <v>766</v>
      </c>
      <c r="E14" s="68">
        <v>43465</v>
      </c>
      <c r="F14" s="68">
        <v>43373</v>
      </c>
      <c r="G14" s="68">
        <v>41444</v>
      </c>
      <c r="H14" s="84">
        <v>5757.6142600000003</v>
      </c>
      <c r="I14" s="84">
        <v>133.43</v>
      </c>
      <c r="J14" s="84">
        <v>7297.8752599999998</v>
      </c>
      <c r="K14" s="84">
        <v>155.03399999999999</v>
      </c>
      <c r="L14" s="84" t="s">
        <v>13</v>
      </c>
      <c r="M14" s="84" t="s">
        <v>13</v>
      </c>
      <c r="N14" s="84">
        <v>1695.2950000000001</v>
      </c>
      <c r="O14" s="84">
        <v>6.0750000000000002</v>
      </c>
      <c r="P14" s="84">
        <v>32.811</v>
      </c>
      <c r="Q14" s="84">
        <v>39.503999999999998</v>
      </c>
      <c r="R14" s="84">
        <v>35.427</v>
      </c>
      <c r="S14" s="84">
        <v>43.02805</v>
      </c>
      <c r="T14" s="84">
        <v>63.936669999999999</v>
      </c>
      <c r="U14" s="84">
        <v>226.69472999999999</v>
      </c>
      <c r="V14" s="84">
        <v>568.06821000000002</v>
      </c>
      <c r="W14" s="84">
        <v>1003.89379</v>
      </c>
      <c r="X14" s="84">
        <v>-203.64</v>
      </c>
      <c r="Y14" s="84">
        <v>-293.33199999999999</v>
      </c>
      <c r="Z14" s="84">
        <v>-519.26900000000001</v>
      </c>
      <c r="AA14" s="84">
        <v>-322.952</v>
      </c>
      <c r="AB14" s="84">
        <v>-558.64622999999995</v>
      </c>
      <c r="AC14" s="84">
        <v>-630.11746000000005</v>
      </c>
      <c r="AD14" s="84">
        <v>-557.94974999999999</v>
      </c>
      <c r="AE14" s="84">
        <v>-301.91000000000003</v>
      </c>
      <c r="AF14" s="69" t="s">
        <v>13</v>
      </c>
      <c r="AG14" s="69" t="s">
        <v>13</v>
      </c>
      <c r="AH14" s="69" t="s">
        <v>13</v>
      </c>
      <c r="AI14" s="69" t="s">
        <v>13</v>
      </c>
      <c r="AJ14" s="84">
        <v>-59.716000000000001</v>
      </c>
      <c r="AK14" s="84">
        <v>-46.052999999999997</v>
      </c>
      <c r="AL14" s="84">
        <v>-100.27200000000001</v>
      </c>
      <c r="AM14" s="84">
        <v>-18.442</v>
      </c>
      <c r="AN14" s="84">
        <v>-56.432000000000002</v>
      </c>
      <c r="AO14" s="84">
        <v>-61.677999999999997</v>
      </c>
      <c r="AP14" s="66" t="s">
        <v>4060</v>
      </c>
      <c r="AQ14" s="85">
        <v>1.7574099999999999</v>
      </c>
      <c r="AR14" s="85">
        <v>1.8532299999999999</v>
      </c>
      <c r="AS14" s="85">
        <v>2.6116999999999999</v>
      </c>
      <c r="AT14" s="69">
        <v>0</v>
      </c>
      <c r="AU14" s="84">
        <v>-239.41800000000001</v>
      </c>
      <c r="AV14" s="84">
        <v>-289.779</v>
      </c>
      <c r="AW14" s="84">
        <v>-523.83000000000004</v>
      </c>
      <c r="AX14" s="84">
        <v>-335.64299999999997</v>
      </c>
      <c r="AY14" s="84" t="s">
        <v>13</v>
      </c>
      <c r="AZ14" s="84">
        <v>694.51300000000003</v>
      </c>
      <c r="BA14" s="84">
        <v>1141.318</v>
      </c>
      <c r="BB14" s="84">
        <v>2000.79</v>
      </c>
      <c r="BC14" s="84">
        <v>1623.432</v>
      </c>
      <c r="BD14" s="84" t="s">
        <v>13</v>
      </c>
      <c r="BE14" s="84">
        <v>114.7</v>
      </c>
      <c r="BF14" s="84">
        <v>6211.9129700000003</v>
      </c>
      <c r="BG14" s="84">
        <v>155.31700000000001</v>
      </c>
      <c r="BH14" s="67" t="s">
        <v>13</v>
      </c>
      <c r="BI14" s="67" t="s">
        <v>13</v>
      </c>
      <c r="BJ14" s="84">
        <v>1076.9590000000001</v>
      </c>
      <c r="BK14" s="67" t="s">
        <v>765</v>
      </c>
      <c r="BL14" s="67">
        <v>1.5500419999999999</v>
      </c>
      <c r="BM14" s="67">
        <v>0.27648499999999998</v>
      </c>
      <c r="BN14" s="67">
        <v>0.23177600000000001</v>
      </c>
      <c r="BO14" s="67" t="s">
        <v>13</v>
      </c>
      <c r="BP14" s="67" t="s">
        <v>13</v>
      </c>
      <c r="BQ14" s="67" t="s">
        <v>13</v>
      </c>
      <c r="BR14" s="69">
        <v>0.31520858647225602</v>
      </c>
      <c r="BS14" s="86">
        <v>0.52450314924919583</v>
      </c>
      <c r="BT14" s="86">
        <v>0.53858552321462028</v>
      </c>
      <c r="BU14" s="86">
        <v>0.62078542774096979</v>
      </c>
      <c r="BV14" s="86">
        <v>0.68241342423020646</v>
      </c>
      <c r="BW14" s="86">
        <v>0.72674534281867753</v>
      </c>
      <c r="BX14" s="86">
        <v>0.71274954029333282</v>
      </c>
      <c r="BY14" s="86" t="s">
        <v>13</v>
      </c>
      <c r="BZ14" s="86" t="s">
        <v>13</v>
      </c>
      <c r="CB14" s="67">
        <v>2</v>
      </c>
      <c r="CC14" s="13" t="s">
        <v>295</v>
      </c>
      <c r="CD14" s="13" t="s">
        <v>294</v>
      </c>
      <c r="CE14" s="68">
        <v>42766</v>
      </c>
    </row>
    <row r="15" spans="1:86" s="67" customFormat="1" ht="12.75">
      <c r="A15" s="67" t="s">
        <v>4045</v>
      </c>
      <c r="B15" s="67" t="s">
        <v>4061</v>
      </c>
      <c r="C15" s="67" t="s">
        <v>4062</v>
      </c>
      <c r="D15" s="67" t="s">
        <v>766</v>
      </c>
      <c r="E15" s="68">
        <v>43465</v>
      </c>
      <c r="F15" s="68">
        <v>43373</v>
      </c>
      <c r="G15" s="68">
        <v>40212</v>
      </c>
      <c r="H15" s="84">
        <v>2352.3571099999999</v>
      </c>
      <c r="I15" s="84">
        <v>13.66</v>
      </c>
      <c r="J15" s="84">
        <v>2104.44911</v>
      </c>
      <c r="K15" s="84">
        <v>409.30599999999998</v>
      </c>
      <c r="L15" s="84" t="s">
        <v>13</v>
      </c>
      <c r="M15" s="84" t="s">
        <v>13</v>
      </c>
      <c r="N15" s="84">
        <v>161.398</v>
      </c>
      <c r="O15" s="84">
        <v>239.80500000000001</v>
      </c>
      <c r="P15" s="84">
        <v>291.52699999999999</v>
      </c>
      <c r="Q15" s="84">
        <v>310.15499999999997</v>
      </c>
      <c r="R15" s="84">
        <v>298.27600000000001</v>
      </c>
      <c r="S15" s="84">
        <v>312.15078999999997</v>
      </c>
      <c r="T15" s="84">
        <v>373.31234000000001</v>
      </c>
      <c r="U15" s="84">
        <v>419.24398000000002</v>
      </c>
      <c r="V15" s="84">
        <v>441.238</v>
      </c>
      <c r="W15" s="84">
        <v>550.46180000000004</v>
      </c>
      <c r="X15" s="84">
        <v>-28.135000000000002</v>
      </c>
      <c r="Y15" s="84">
        <v>-86.962999999999994</v>
      </c>
      <c r="Z15" s="84">
        <v>-107.271</v>
      </c>
      <c r="AA15" s="84">
        <v>-94.078000000000003</v>
      </c>
      <c r="AB15" s="84">
        <v>-114.72091</v>
      </c>
      <c r="AC15" s="84">
        <v>39.312150000000003</v>
      </c>
      <c r="AD15" s="84">
        <v>98.443920000000006</v>
      </c>
      <c r="AE15" s="84">
        <v>79.837000000000003</v>
      </c>
      <c r="AF15" s="69">
        <v>0.409943</v>
      </c>
      <c r="AG15" s="69">
        <v>-0.345862</v>
      </c>
      <c r="AH15" s="69">
        <v>-0.40465499999999999</v>
      </c>
      <c r="AI15" s="69">
        <v>-0.821492</v>
      </c>
      <c r="AJ15" s="84">
        <v>-20.443999999999999</v>
      </c>
      <c r="AK15" s="84">
        <v>28.558</v>
      </c>
      <c r="AL15" s="84">
        <v>13.93</v>
      </c>
      <c r="AM15" s="84">
        <v>-3.8010000000000002</v>
      </c>
      <c r="AN15" s="84">
        <v>-4.407</v>
      </c>
      <c r="AO15" s="84">
        <v>-6.3220000000000001</v>
      </c>
      <c r="AP15" s="66" t="s">
        <v>4063</v>
      </c>
      <c r="AQ15" s="85">
        <v>1.39096</v>
      </c>
      <c r="AR15" s="85">
        <v>1.48899</v>
      </c>
      <c r="AS15" s="85">
        <v>1.89602</v>
      </c>
      <c r="AT15" s="69">
        <v>0</v>
      </c>
      <c r="AU15" s="84">
        <v>-82.24</v>
      </c>
      <c r="AV15" s="84">
        <v>-142.52699999999999</v>
      </c>
      <c r="AW15" s="84">
        <v>-254.79</v>
      </c>
      <c r="AX15" s="84">
        <v>-116.937</v>
      </c>
      <c r="AY15" s="84" t="s">
        <v>13</v>
      </c>
      <c r="AZ15" s="84">
        <v>59.457999999999998</v>
      </c>
      <c r="BA15" s="84">
        <v>-17.579000000000001</v>
      </c>
      <c r="BB15" s="84">
        <v>-197.29499999999999</v>
      </c>
      <c r="BC15" s="84">
        <v>9.8480000000000008</v>
      </c>
      <c r="BD15" s="84" t="s">
        <v>13</v>
      </c>
      <c r="BE15" s="84">
        <v>13.1</v>
      </c>
      <c r="BF15" s="84">
        <v>2006.36212</v>
      </c>
      <c r="BG15" s="84">
        <v>407.14600000000002</v>
      </c>
      <c r="BH15" s="67" t="s">
        <v>13</v>
      </c>
      <c r="BI15" s="67" t="s">
        <v>13</v>
      </c>
      <c r="BJ15" s="84">
        <v>181.24600000000001</v>
      </c>
      <c r="BK15" s="67" t="s">
        <v>13</v>
      </c>
      <c r="BL15" s="67">
        <v>0.13726099999999999</v>
      </c>
      <c r="BM15" s="67">
        <v>0.321737</v>
      </c>
      <c r="BN15" s="67">
        <v>0.47231899999999999</v>
      </c>
      <c r="BO15" s="67" t="s">
        <v>13</v>
      </c>
      <c r="BP15" s="67" t="s">
        <v>13</v>
      </c>
      <c r="BQ15" s="67" t="s">
        <v>13</v>
      </c>
      <c r="BR15" s="69">
        <v>5.8793184053134703E-2</v>
      </c>
      <c r="BS15" s="86">
        <v>0.53584986559164549</v>
      </c>
      <c r="BT15" s="86">
        <v>0.4634353984441596</v>
      </c>
      <c r="BU15" s="86">
        <v>0.45368577964898188</v>
      </c>
      <c r="BV15" s="86">
        <v>0.43862245376883774</v>
      </c>
      <c r="BW15" s="86">
        <v>0.45976240890543452</v>
      </c>
      <c r="BX15" s="86">
        <v>0.45860802875494028</v>
      </c>
      <c r="BY15" s="86">
        <v>0.4528697950500134</v>
      </c>
      <c r="BZ15" s="86">
        <v>0.4608751263835219</v>
      </c>
      <c r="CB15" s="67">
        <v>2</v>
      </c>
      <c r="CC15" s="13" t="s">
        <v>295</v>
      </c>
      <c r="CD15" s="13" t="s">
        <v>294</v>
      </c>
      <c r="CE15" s="68">
        <v>42766</v>
      </c>
    </row>
    <row r="16" spans="1:86" s="67" customFormat="1" ht="12.75">
      <c r="A16" s="67" t="s">
        <v>1128</v>
      </c>
      <c r="B16" s="67" t="s">
        <v>1130</v>
      </c>
      <c r="C16" s="67" t="s">
        <v>1127</v>
      </c>
      <c r="D16" s="67" t="s">
        <v>766</v>
      </c>
      <c r="E16" s="68">
        <v>43465</v>
      </c>
      <c r="F16" s="68">
        <v>43373</v>
      </c>
      <c r="G16" s="68">
        <v>42228</v>
      </c>
      <c r="H16" s="84">
        <v>2277.1892400000002</v>
      </c>
      <c r="I16" s="84">
        <v>47.91</v>
      </c>
      <c r="J16" s="84">
        <v>2660.4172400000002</v>
      </c>
      <c r="K16" s="84">
        <v>0</v>
      </c>
      <c r="L16" s="84" t="s">
        <v>13</v>
      </c>
      <c r="M16" s="84" t="s">
        <v>13</v>
      </c>
      <c r="N16" s="84">
        <v>383.22800000000001</v>
      </c>
      <c r="O16" s="84" t="s">
        <v>13</v>
      </c>
      <c r="P16" s="84" t="s">
        <v>13</v>
      </c>
      <c r="Q16" s="84" t="s">
        <v>13</v>
      </c>
      <c r="R16" s="84" t="s">
        <v>13</v>
      </c>
      <c r="S16" s="84" t="s">
        <v>13</v>
      </c>
      <c r="T16" s="84" t="s">
        <v>13</v>
      </c>
      <c r="U16" s="84">
        <v>104.31301999999999</v>
      </c>
      <c r="V16" s="84">
        <v>356.01249999999999</v>
      </c>
      <c r="W16" s="84">
        <v>744.00879999999995</v>
      </c>
      <c r="X16" s="84">
        <v>-70.158000000000001</v>
      </c>
      <c r="Y16" s="84">
        <v>-101.962</v>
      </c>
      <c r="Z16" s="84">
        <v>-169.51400000000001</v>
      </c>
      <c r="AA16" s="84">
        <v>-117.687</v>
      </c>
      <c r="AB16" s="84">
        <v>-174.34154000000001</v>
      </c>
      <c r="AC16" s="84">
        <v>-222.47474</v>
      </c>
      <c r="AD16" s="84">
        <v>-154.71686</v>
      </c>
      <c r="AE16" s="84">
        <v>70.947999999999993</v>
      </c>
      <c r="AF16" s="69" t="s">
        <v>13</v>
      </c>
      <c r="AG16" s="69" t="s">
        <v>13</v>
      </c>
      <c r="AH16" s="69" t="s">
        <v>13</v>
      </c>
      <c r="AI16" s="69" t="s">
        <v>13</v>
      </c>
      <c r="AJ16" s="84">
        <v>-9.7279999999999998</v>
      </c>
      <c r="AK16" s="84">
        <v>-5.9420000000000002</v>
      </c>
      <c r="AL16" s="84">
        <v>-17.975999999999999</v>
      </c>
      <c r="AM16" s="84">
        <v>-1.3240000000000001</v>
      </c>
      <c r="AN16" s="84">
        <v>-2.0190000000000001</v>
      </c>
      <c r="AO16" s="84">
        <v>-6.274</v>
      </c>
      <c r="AP16" s="66" t="s">
        <v>4064</v>
      </c>
      <c r="AQ16" s="85">
        <v>0.79078999999999999</v>
      </c>
      <c r="AR16" s="85">
        <v>1.14316</v>
      </c>
      <c r="AS16" s="85">
        <v>2.1127099999999999</v>
      </c>
      <c r="AT16" s="69">
        <v>0</v>
      </c>
      <c r="AU16" s="84">
        <v>-70.846000000000004</v>
      </c>
      <c r="AV16" s="84">
        <v>-102.979</v>
      </c>
      <c r="AW16" s="84">
        <v>-166.24299999999999</v>
      </c>
      <c r="AX16" s="84">
        <v>-117.024</v>
      </c>
      <c r="AY16" s="84" t="s">
        <v>13</v>
      </c>
      <c r="AZ16" s="84">
        <v>210.1</v>
      </c>
      <c r="BA16" s="84">
        <v>258.267</v>
      </c>
      <c r="BB16" s="84">
        <v>472.20100000000002</v>
      </c>
      <c r="BC16" s="84">
        <v>318.80399999999997</v>
      </c>
      <c r="BD16" s="84" t="s">
        <v>13</v>
      </c>
      <c r="BE16" s="84">
        <v>35.090000000000003</v>
      </c>
      <c r="BF16" s="84">
        <v>1826.55009</v>
      </c>
      <c r="BG16" s="84">
        <v>0</v>
      </c>
      <c r="BH16" s="67" t="s">
        <v>13</v>
      </c>
      <c r="BI16" s="67" t="s">
        <v>13</v>
      </c>
      <c r="BJ16" s="84">
        <v>462.48399999999998</v>
      </c>
      <c r="BK16" s="67" t="s">
        <v>13</v>
      </c>
      <c r="BL16" s="67">
        <v>0</v>
      </c>
      <c r="BM16" s="67">
        <v>0</v>
      </c>
      <c r="BN16" s="67">
        <v>0</v>
      </c>
      <c r="BO16" s="67" t="s">
        <v>13</v>
      </c>
      <c r="BP16" s="67" t="s">
        <v>13</v>
      </c>
      <c r="BQ16" s="67">
        <v>0</v>
      </c>
      <c r="BR16" s="69" t="s">
        <v>765</v>
      </c>
      <c r="BS16" s="86">
        <v>0.70210147812796531</v>
      </c>
      <c r="BT16" s="86">
        <v>0.70150122776605739</v>
      </c>
      <c r="BU16" s="86">
        <v>0.73278037479134861</v>
      </c>
      <c r="BV16" s="86">
        <v>0.77604783372898034</v>
      </c>
      <c r="BW16" s="86" t="s">
        <v>13</v>
      </c>
      <c r="BX16" s="86" t="s">
        <v>13</v>
      </c>
      <c r="BY16" s="86" t="s">
        <v>13</v>
      </c>
      <c r="BZ16" s="86" t="s">
        <v>13</v>
      </c>
      <c r="CB16" s="67">
        <v>2</v>
      </c>
      <c r="CC16" s="13" t="s">
        <v>295</v>
      </c>
      <c r="CD16" s="13" t="s">
        <v>294</v>
      </c>
      <c r="CE16" s="68">
        <v>42766</v>
      </c>
    </row>
    <row r="17" spans="1:83" s="67" customFormat="1" ht="12.75">
      <c r="A17" s="67" t="s">
        <v>1949</v>
      </c>
      <c r="B17" s="67" t="s">
        <v>1951</v>
      </c>
      <c r="C17" s="67" t="s">
        <v>1948</v>
      </c>
      <c r="D17" s="67" t="s">
        <v>764</v>
      </c>
      <c r="E17" s="68">
        <v>43465</v>
      </c>
      <c r="F17" s="68">
        <v>43373</v>
      </c>
      <c r="G17" s="68">
        <v>41536</v>
      </c>
      <c r="H17" s="84">
        <v>1877.0851600000001</v>
      </c>
      <c r="I17" s="84">
        <v>42.4</v>
      </c>
      <c r="J17" s="84">
        <v>2185.0571599999998</v>
      </c>
      <c r="K17" s="84">
        <v>0</v>
      </c>
      <c r="L17" s="84" t="s">
        <v>13</v>
      </c>
      <c r="M17" s="84" t="s">
        <v>13</v>
      </c>
      <c r="N17" s="84">
        <v>307.97199999999998</v>
      </c>
      <c r="O17" s="84">
        <v>28.204999999999998</v>
      </c>
      <c r="P17" s="84">
        <v>13.145</v>
      </c>
      <c r="Q17" s="84">
        <v>13.88</v>
      </c>
      <c r="R17" s="84">
        <v>13.481</v>
      </c>
      <c r="S17" s="84">
        <v>13.6815</v>
      </c>
      <c r="T17" s="84">
        <v>53.944000000000003</v>
      </c>
      <c r="U17" s="84">
        <v>108.12949999999999</v>
      </c>
      <c r="V17" s="84">
        <v>125.286</v>
      </c>
      <c r="W17" s="84">
        <v>196.06632999999999</v>
      </c>
      <c r="X17" s="84">
        <v>-60.771999999999998</v>
      </c>
      <c r="Y17" s="84">
        <v>-100.792</v>
      </c>
      <c r="Z17" s="84">
        <v>-112.575</v>
      </c>
      <c r="AA17" s="84">
        <v>-107.158</v>
      </c>
      <c r="AB17" s="84">
        <v>-118.84413000000001</v>
      </c>
      <c r="AC17" s="84">
        <v>-108.64972</v>
      </c>
      <c r="AD17" s="84">
        <v>-67.478660000000005</v>
      </c>
      <c r="AE17" s="84" t="s">
        <v>13</v>
      </c>
      <c r="AF17" s="69">
        <v>-0.97283799999999998</v>
      </c>
      <c r="AG17" s="69" t="s">
        <v>13</v>
      </c>
      <c r="AH17" s="69" t="s">
        <v>13</v>
      </c>
      <c r="AI17" s="69" t="s">
        <v>13</v>
      </c>
      <c r="AJ17" s="84">
        <v>-9.4969999999999999</v>
      </c>
      <c r="AK17" s="84">
        <v>-9.6709999999999994</v>
      </c>
      <c r="AL17" s="84">
        <v>-4.33</v>
      </c>
      <c r="AM17" s="84">
        <v>-2.5459999999999998</v>
      </c>
      <c r="AN17" s="84">
        <v>-4.7729999999999997</v>
      </c>
      <c r="AO17" s="84">
        <v>-2.6579999999999999</v>
      </c>
      <c r="AP17" s="66" t="s">
        <v>4065</v>
      </c>
      <c r="AQ17" s="85">
        <v>0.94083000000000006</v>
      </c>
      <c r="AR17" s="85">
        <v>1.08301</v>
      </c>
      <c r="AS17" s="85">
        <v>1.3707400000000001</v>
      </c>
      <c r="AT17" s="69">
        <v>0</v>
      </c>
      <c r="AU17" s="84">
        <v>-64.807000000000002</v>
      </c>
      <c r="AV17" s="84">
        <v>-99.814999999999998</v>
      </c>
      <c r="AW17" s="84">
        <v>-112.06399999999999</v>
      </c>
      <c r="AX17" s="84">
        <v>-108.45399999999999</v>
      </c>
      <c r="AY17" s="84" t="s">
        <v>13</v>
      </c>
      <c r="AZ17" s="84">
        <v>229.547</v>
      </c>
      <c r="BA17" s="84">
        <v>358.541</v>
      </c>
      <c r="BB17" s="84">
        <v>319.11200000000002</v>
      </c>
      <c r="BC17" s="84">
        <v>365.21699999999998</v>
      </c>
      <c r="BD17" s="84" t="s">
        <v>13</v>
      </c>
      <c r="BE17" s="84">
        <v>50.77</v>
      </c>
      <c r="BF17" s="84">
        <v>2345.0837700000002</v>
      </c>
      <c r="BG17" s="84">
        <v>0</v>
      </c>
      <c r="BH17" s="67" t="s">
        <v>13</v>
      </c>
      <c r="BI17" s="67" t="s">
        <v>13</v>
      </c>
      <c r="BJ17" s="84">
        <v>307.97199999999998</v>
      </c>
      <c r="BK17" s="67" t="s">
        <v>765</v>
      </c>
      <c r="BL17" s="67">
        <v>-0.29849399999999998</v>
      </c>
      <c r="BM17" s="67">
        <v>-8.3537E-2</v>
      </c>
      <c r="BN17" s="67">
        <v>-0.22515399999999999</v>
      </c>
      <c r="BO17" s="67" t="s">
        <v>13</v>
      </c>
      <c r="BP17" s="67" t="s">
        <v>13</v>
      </c>
      <c r="BQ17" s="67" t="s">
        <v>13</v>
      </c>
      <c r="BR17" s="69">
        <v>0.26440922190201699</v>
      </c>
      <c r="BS17" s="86">
        <v>0.56886570795008284</v>
      </c>
      <c r="BT17" s="86">
        <v>0.52894966684130962</v>
      </c>
      <c r="BU17" s="86">
        <v>0.56423016277929228</v>
      </c>
      <c r="BV17" s="86">
        <v>0.56506394177110653</v>
      </c>
      <c r="BW17" s="86">
        <v>0.56975187093811019</v>
      </c>
      <c r="BX17" s="86">
        <v>0.59075584591716213</v>
      </c>
      <c r="BY17" s="86" t="s">
        <v>13</v>
      </c>
      <c r="BZ17" s="86" t="s">
        <v>13</v>
      </c>
      <c r="CB17" s="67">
        <v>2</v>
      </c>
      <c r="CC17" s="13" t="s">
        <v>295</v>
      </c>
      <c r="CD17" s="13" t="s">
        <v>294</v>
      </c>
      <c r="CE17" s="68">
        <v>42766</v>
      </c>
    </row>
    <row r="18" spans="1:83" s="67" customFormat="1" ht="12.75">
      <c r="A18" s="67" t="s">
        <v>874</v>
      </c>
      <c r="B18" s="67" t="s">
        <v>875</v>
      </c>
      <c r="C18" s="67" t="s">
        <v>876</v>
      </c>
      <c r="D18" s="67" t="s">
        <v>766</v>
      </c>
      <c r="E18" s="68">
        <v>43465</v>
      </c>
      <c r="F18" s="68">
        <v>43373</v>
      </c>
      <c r="G18" s="68">
        <v>42034</v>
      </c>
      <c r="H18" s="84">
        <v>1299.4821300000001</v>
      </c>
      <c r="I18" s="84">
        <v>47.82</v>
      </c>
      <c r="J18" s="84">
        <v>1805.0671400000001</v>
      </c>
      <c r="K18" s="84">
        <v>84.891000000000005</v>
      </c>
      <c r="L18" s="84" t="s">
        <v>13</v>
      </c>
      <c r="M18" s="84" t="s">
        <v>13</v>
      </c>
      <c r="N18" s="84">
        <v>590.476</v>
      </c>
      <c r="O18" s="84">
        <v>21.077839999999998</v>
      </c>
      <c r="P18" s="84">
        <v>20.959790000000002</v>
      </c>
      <c r="Q18" s="84">
        <v>58.976640000000003</v>
      </c>
      <c r="R18" s="84">
        <v>12.06564</v>
      </c>
      <c r="S18" s="84">
        <v>79.823580000000007</v>
      </c>
      <c r="T18" s="84">
        <v>108.31031</v>
      </c>
      <c r="U18" s="84">
        <v>172.75226000000001</v>
      </c>
      <c r="V18" s="84">
        <v>259.02755999999999</v>
      </c>
      <c r="W18" s="84">
        <v>251.54943</v>
      </c>
      <c r="X18" s="84">
        <v>-91.106719999999996</v>
      </c>
      <c r="Y18" s="84">
        <v>-196.27388999999999</v>
      </c>
      <c r="Z18" s="84">
        <v>-188.48722000000001</v>
      </c>
      <c r="AA18" s="84">
        <v>-229.35722000000001</v>
      </c>
      <c r="AB18" s="84">
        <v>-188.35505000000001</v>
      </c>
      <c r="AC18" s="84">
        <v>-201.4564</v>
      </c>
      <c r="AD18" s="84">
        <v>-199.11368999999999</v>
      </c>
      <c r="AE18" s="84" t="s">
        <v>13</v>
      </c>
      <c r="AF18" s="69">
        <v>0.90133300000000005</v>
      </c>
      <c r="AG18" s="69" t="s">
        <v>13</v>
      </c>
      <c r="AH18" s="69" t="s">
        <v>13</v>
      </c>
      <c r="AI18" s="69">
        <v>-1.2782340000000001</v>
      </c>
      <c r="AJ18" s="84">
        <v>-21.251919999999998</v>
      </c>
      <c r="AK18" s="84">
        <v>-20.216439999999999</v>
      </c>
      <c r="AL18" s="84">
        <v>-11.263</v>
      </c>
      <c r="AM18" s="84">
        <v>-8.9101400000000002</v>
      </c>
      <c r="AN18" s="84">
        <v>-9.96129</v>
      </c>
      <c r="AO18" s="84">
        <v>-15.678710000000001</v>
      </c>
      <c r="AP18" s="66" t="s">
        <v>4066</v>
      </c>
      <c r="AQ18" s="85">
        <v>0.84924999999999995</v>
      </c>
      <c r="AR18" s="85">
        <v>0.87100999999999995</v>
      </c>
      <c r="AS18" s="85">
        <v>2.0567099999999998</v>
      </c>
      <c r="AT18" s="69">
        <v>0</v>
      </c>
      <c r="AU18" s="84">
        <v>-92.970100000000002</v>
      </c>
      <c r="AV18" s="84">
        <v>-228.49829</v>
      </c>
      <c r="AW18" s="84">
        <v>-75.38597</v>
      </c>
      <c r="AX18" s="84">
        <v>-253.48196999999999</v>
      </c>
      <c r="AY18" s="84" t="s">
        <v>13</v>
      </c>
      <c r="AZ18" s="84">
        <v>359.52107000000001</v>
      </c>
      <c r="BA18" s="84">
        <v>570.40498000000002</v>
      </c>
      <c r="BB18" s="84">
        <v>549.875</v>
      </c>
      <c r="BC18" s="84">
        <v>513.62420999999995</v>
      </c>
      <c r="BD18" s="84" t="s">
        <v>13</v>
      </c>
      <c r="BE18" s="84">
        <v>44.99</v>
      </c>
      <c r="BF18" s="84">
        <v>1690.3433600000001</v>
      </c>
      <c r="BG18" s="84">
        <v>35.369</v>
      </c>
      <c r="BH18" s="67" t="s">
        <v>13</v>
      </c>
      <c r="BI18" s="67" t="s">
        <v>13</v>
      </c>
      <c r="BJ18" s="84">
        <v>647.22699999999998</v>
      </c>
      <c r="BK18" s="67" t="s">
        <v>765</v>
      </c>
      <c r="BL18" s="67">
        <v>0.67273400000000005</v>
      </c>
      <c r="BM18" s="67">
        <v>1.207859</v>
      </c>
      <c r="BN18" s="67">
        <v>0</v>
      </c>
      <c r="BO18" s="67" t="s">
        <v>13</v>
      </c>
      <c r="BP18" s="67" t="s">
        <v>13</v>
      </c>
      <c r="BQ18" s="67">
        <v>0</v>
      </c>
      <c r="BR18" s="69">
        <v>0.104811498247442</v>
      </c>
      <c r="BS18" s="86">
        <v>0.64210138454157772</v>
      </c>
      <c r="BT18" s="86">
        <v>0.64539841996562952</v>
      </c>
      <c r="BU18" s="86">
        <v>0.67870462913818252</v>
      </c>
      <c r="BV18" s="86">
        <v>0.70620405110079632</v>
      </c>
      <c r="BW18" s="86" t="s">
        <v>13</v>
      </c>
      <c r="BX18" s="86" t="s">
        <v>13</v>
      </c>
      <c r="BY18" s="86" t="s">
        <v>13</v>
      </c>
      <c r="BZ18" s="86" t="s">
        <v>13</v>
      </c>
      <c r="CB18" s="67">
        <v>2</v>
      </c>
      <c r="CC18" s="13" t="s">
        <v>295</v>
      </c>
      <c r="CD18" s="13" t="s">
        <v>294</v>
      </c>
      <c r="CE18" s="68">
        <v>42766</v>
      </c>
    </row>
    <row r="19" spans="1:83" s="67" customFormat="1" ht="12.75">
      <c r="A19" s="67" t="s">
        <v>886</v>
      </c>
      <c r="B19" s="67" t="s">
        <v>887</v>
      </c>
      <c r="C19" s="67" t="s">
        <v>3626</v>
      </c>
      <c r="D19" s="67" t="s">
        <v>766</v>
      </c>
      <c r="E19" s="68">
        <v>43465</v>
      </c>
      <c r="F19" s="68">
        <v>43373</v>
      </c>
      <c r="G19" s="68">
        <v>42264</v>
      </c>
      <c r="H19" s="84">
        <v>1202.95318</v>
      </c>
      <c r="I19" s="84">
        <v>43.96</v>
      </c>
      <c r="J19" s="84">
        <v>1575.5421799999999</v>
      </c>
      <c r="K19" s="84">
        <v>0</v>
      </c>
      <c r="L19" s="84" t="s">
        <v>13</v>
      </c>
      <c r="M19" s="84" t="s">
        <v>13</v>
      </c>
      <c r="N19" s="84">
        <v>372.589</v>
      </c>
      <c r="O19" s="84">
        <v>7.3410000000000002</v>
      </c>
      <c r="P19" s="84">
        <v>10.048999999999999</v>
      </c>
      <c r="Q19" s="84">
        <v>179.768</v>
      </c>
      <c r="R19" s="84">
        <v>10.393000000000001</v>
      </c>
      <c r="S19" s="84">
        <v>200.71324999999999</v>
      </c>
      <c r="T19" s="84">
        <v>21.489640000000001</v>
      </c>
      <c r="U19" s="84">
        <v>119.78017</v>
      </c>
      <c r="V19" s="84">
        <v>130</v>
      </c>
      <c r="W19" s="84">
        <v>190</v>
      </c>
      <c r="X19" s="84">
        <v>-50.069000000000003</v>
      </c>
      <c r="Y19" s="84">
        <v>-77.513000000000005</v>
      </c>
      <c r="Z19" s="84">
        <v>72.445999999999998</v>
      </c>
      <c r="AA19" s="84">
        <v>-73.198999999999998</v>
      </c>
      <c r="AB19" s="84">
        <v>95.341030000000003</v>
      </c>
      <c r="AC19" s="84">
        <v>-119.02536000000001</v>
      </c>
      <c r="AD19" s="84">
        <v>-24.128019999999999</v>
      </c>
      <c r="AE19" s="84" t="s">
        <v>13</v>
      </c>
      <c r="AF19" s="69">
        <v>0.55426399999999998</v>
      </c>
      <c r="AG19" s="69">
        <v>0.40299699999999999</v>
      </c>
      <c r="AH19" s="69">
        <v>0.38411699999999999</v>
      </c>
      <c r="AI19" s="69">
        <v>0.44298199999999999</v>
      </c>
      <c r="AJ19" s="84">
        <v>-9.532</v>
      </c>
      <c r="AK19" s="84">
        <v>-7.9</v>
      </c>
      <c r="AL19" s="84">
        <v>-5.3520000000000003</v>
      </c>
      <c r="AM19" s="84">
        <v>-3.8420000000000001</v>
      </c>
      <c r="AN19" s="84">
        <v>-9.4939999999999998</v>
      </c>
      <c r="AO19" s="84">
        <v>-10.49</v>
      </c>
      <c r="AP19" s="66" t="s">
        <v>4067</v>
      </c>
      <c r="AQ19" s="85">
        <v>1.7265600000000001</v>
      </c>
      <c r="AR19" s="85">
        <v>1.45424</v>
      </c>
      <c r="AS19" s="85">
        <v>0.37641000000000002</v>
      </c>
      <c r="AT19" s="69">
        <v>0</v>
      </c>
      <c r="AU19" s="84">
        <v>-48.534999999999997</v>
      </c>
      <c r="AV19" s="84">
        <v>-76.78</v>
      </c>
      <c r="AW19" s="84">
        <v>79.634</v>
      </c>
      <c r="AX19" s="84">
        <v>-73.168999999999997</v>
      </c>
      <c r="AY19" s="84" t="s">
        <v>13</v>
      </c>
      <c r="AZ19" s="84">
        <v>180.226</v>
      </c>
      <c r="BA19" s="84">
        <v>194.65100000000001</v>
      </c>
      <c r="BB19" s="84">
        <v>494.05700000000002</v>
      </c>
      <c r="BC19" s="84">
        <v>183.029</v>
      </c>
      <c r="BD19" s="84" t="s">
        <v>13</v>
      </c>
      <c r="BE19" s="84">
        <v>66.67</v>
      </c>
      <c r="BF19" s="84">
        <v>2361.02765</v>
      </c>
      <c r="BG19" s="84">
        <v>0</v>
      </c>
      <c r="BH19" s="67" t="s">
        <v>13</v>
      </c>
      <c r="BI19" s="67" t="s">
        <v>13</v>
      </c>
      <c r="BJ19" s="84">
        <v>286.49400000000003</v>
      </c>
      <c r="BK19" s="67">
        <v>4.0137</v>
      </c>
      <c r="BL19" s="67">
        <v>3.9485570000000001</v>
      </c>
      <c r="BM19" s="67">
        <v>2.4739149999999999</v>
      </c>
      <c r="BN19" s="67">
        <v>0</v>
      </c>
      <c r="BO19" s="67" t="s">
        <v>13</v>
      </c>
      <c r="BP19" s="67">
        <v>0</v>
      </c>
      <c r="BQ19" s="67">
        <v>0</v>
      </c>
      <c r="BR19" s="69">
        <v>1.8879889635530198E-2</v>
      </c>
      <c r="BS19" s="86">
        <v>0.71424690928758428</v>
      </c>
      <c r="BT19" s="86">
        <v>0.67554666584600742</v>
      </c>
      <c r="BU19" s="86">
        <v>0.66256910320315288</v>
      </c>
      <c r="BV19" s="86">
        <v>0.69199779427093266</v>
      </c>
      <c r="BW19" s="86" t="s">
        <v>13</v>
      </c>
      <c r="BX19" s="86" t="s">
        <v>13</v>
      </c>
      <c r="BY19" s="86" t="s">
        <v>13</v>
      </c>
      <c r="BZ19" s="86" t="s">
        <v>13</v>
      </c>
      <c r="CB19" s="67">
        <v>2</v>
      </c>
      <c r="CC19" s="13" t="s">
        <v>295</v>
      </c>
      <c r="CD19" s="13" t="s">
        <v>294</v>
      </c>
      <c r="CE19" s="68">
        <v>42766</v>
      </c>
    </row>
    <row r="20" spans="1:83" s="67" customFormat="1" ht="12.75">
      <c r="A20" s="67" t="s">
        <v>4040</v>
      </c>
      <c r="B20" s="67" t="s">
        <v>4068</v>
      </c>
      <c r="C20" s="67" t="s">
        <v>3715</v>
      </c>
      <c r="D20" s="67" t="s">
        <v>766</v>
      </c>
      <c r="E20" s="68">
        <v>43465</v>
      </c>
      <c r="F20" s="68">
        <v>43373</v>
      </c>
      <c r="G20" s="68">
        <v>41675</v>
      </c>
      <c r="H20" s="84">
        <v>1056.8213699999999</v>
      </c>
      <c r="I20" s="84">
        <v>34.25</v>
      </c>
      <c r="J20" s="84">
        <v>1275.6593700000001</v>
      </c>
      <c r="K20" s="84">
        <v>20.707999999999998</v>
      </c>
      <c r="L20" s="84" t="s">
        <v>13</v>
      </c>
      <c r="M20" s="84" t="s">
        <v>13</v>
      </c>
      <c r="N20" s="84">
        <v>239.54599999999999</v>
      </c>
      <c r="O20" s="84">
        <v>19.944649999999999</v>
      </c>
      <c r="P20" s="84">
        <v>19.654</v>
      </c>
      <c r="Q20" s="84">
        <v>12.26</v>
      </c>
      <c r="R20" s="84">
        <v>13.106999999999999</v>
      </c>
      <c r="S20" s="84">
        <v>12.843669999999999</v>
      </c>
      <c r="T20" s="84">
        <v>11.944520000000001</v>
      </c>
      <c r="U20" s="84">
        <v>11.16968</v>
      </c>
      <c r="V20" s="84">
        <v>43.605539999999998</v>
      </c>
      <c r="W20" s="84">
        <v>208.82638</v>
      </c>
      <c r="X20" s="84">
        <v>-74.486549999999994</v>
      </c>
      <c r="Y20" s="84">
        <v>-64.204999999999998</v>
      </c>
      <c r="Z20" s="84">
        <v>-77.400999999999996</v>
      </c>
      <c r="AA20" s="84">
        <v>-69.48</v>
      </c>
      <c r="AB20" s="84">
        <v>-87.844470000000001</v>
      </c>
      <c r="AC20" s="84">
        <v>-104.42034</v>
      </c>
      <c r="AD20" s="84">
        <v>-118.36126</v>
      </c>
      <c r="AE20" s="84">
        <v>-132.78692000000001</v>
      </c>
      <c r="AF20" s="69" t="s">
        <v>13</v>
      </c>
      <c r="AG20" s="69" t="s">
        <v>13</v>
      </c>
      <c r="AH20" s="69" t="s">
        <v>13</v>
      </c>
      <c r="AI20" s="69" t="s">
        <v>13</v>
      </c>
      <c r="AJ20" s="84">
        <v>-11.94515</v>
      </c>
      <c r="AK20" s="84">
        <v>-15.760999999999999</v>
      </c>
      <c r="AL20" s="84">
        <v>-18.366</v>
      </c>
      <c r="AM20" s="84">
        <v>-14.944039999999999</v>
      </c>
      <c r="AN20" s="84">
        <v>-7.4980000000000002</v>
      </c>
      <c r="AO20" s="84">
        <v>-3.0219999999999998</v>
      </c>
      <c r="AP20" s="66" t="s">
        <v>4069</v>
      </c>
      <c r="AQ20" s="85">
        <v>1.2799199999999999</v>
      </c>
      <c r="AR20" s="85">
        <v>1.2294099999999999</v>
      </c>
      <c r="AS20" s="85">
        <v>0.86734</v>
      </c>
      <c r="AT20" s="69">
        <v>0</v>
      </c>
      <c r="AU20" s="84">
        <v>-76.24906</v>
      </c>
      <c r="AV20" s="84">
        <v>-66.509</v>
      </c>
      <c r="AW20" s="84">
        <v>-88.89</v>
      </c>
      <c r="AX20" s="84">
        <v>-79.260000000000005</v>
      </c>
      <c r="AY20" s="84" t="s">
        <v>13</v>
      </c>
      <c r="AZ20" s="84">
        <v>81.36009</v>
      </c>
      <c r="BA20" s="84">
        <v>19.606999999999999</v>
      </c>
      <c r="BB20" s="84">
        <v>199.852</v>
      </c>
      <c r="BC20" s="84">
        <v>89.358999999999995</v>
      </c>
      <c r="BD20" s="84" t="s">
        <v>13</v>
      </c>
      <c r="BE20" s="84">
        <v>25.73</v>
      </c>
      <c r="BF20" s="84">
        <v>958.32745999999997</v>
      </c>
      <c r="BG20" s="84">
        <v>20.867999999999999</v>
      </c>
      <c r="BH20" s="67" t="s">
        <v>13</v>
      </c>
      <c r="BI20" s="67" t="s">
        <v>13</v>
      </c>
      <c r="BJ20" s="84">
        <v>259.18</v>
      </c>
      <c r="BK20" s="67" t="s">
        <v>765</v>
      </c>
      <c r="BL20" s="67">
        <v>-0.215971</v>
      </c>
      <c r="BM20" s="67">
        <v>0.128417</v>
      </c>
      <c r="BN20" s="67">
        <v>0.38763500000000001</v>
      </c>
      <c r="BO20" s="70" t="s">
        <v>13</v>
      </c>
      <c r="BP20" s="67" t="s">
        <v>13</v>
      </c>
      <c r="BQ20" s="67" t="s">
        <v>13</v>
      </c>
      <c r="BR20" s="69">
        <v>0.53458401305057102</v>
      </c>
      <c r="BS20" s="86">
        <v>0.7023271176462661</v>
      </c>
      <c r="BT20" s="86">
        <v>0.76002768683622213</v>
      </c>
      <c r="BU20" s="86">
        <v>0.72202351879102378</v>
      </c>
      <c r="BV20" s="86">
        <v>0.74709905352006156</v>
      </c>
      <c r="BW20" s="86">
        <v>0.74360496881317673</v>
      </c>
      <c r="BX20" s="86" t="s">
        <v>13</v>
      </c>
      <c r="BY20" s="86" t="s">
        <v>13</v>
      </c>
      <c r="BZ20" s="86" t="s">
        <v>13</v>
      </c>
      <c r="CB20" s="67">
        <v>2</v>
      </c>
      <c r="CC20" s="13" t="s">
        <v>295</v>
      </c>
      <c r="CD20" s="13" t="s">
        <v>294</v>
      </c>
      <c r="CE20" s="68">
        <v>42766</v>
      </c>
    </row>
    <row r="21" spans="1:83" s="67" customFormat="1" ht="12.75">
      <c r="A21" s="67" t="s">
        <v>902</v>
      </c>
      <c r="B21" s="67" t="s">
        <v>903</v>
      </c>
      <c r="C21" s="67" t="s">
        <v>904</v>
      </c>
      <c r="D21" s="67" t="s">
        <v>764</v>
      </c>
      <c r="E21" s="68">
        <v>43465</v>
      </c>
      <c r="F21" s="68">
        <v>43373</v>
      </c>
      <c r="G21" s="68">
        <v>42571</v>
      </c>
      <c r="H21" s="84">
        <v>778.02337</v>
      </c>
      <c r="I21" s="84">
        <v>24.8</v>
      </c>
      <c r="J21" s="84">
        <v>1058.70937</v>
      </c>
      <c r="K21" s="84">
        <v>0</v>
      </c>
      <c r="L21" s="84" t="s">
        <v>13</v>
      </c>
      <c r="M21" s="84" t="s">
        <v>13</v>
      </c>
      <c r="N21" s="84">
        <v>280.68599999999998</v>
      </c>
      <c r="O21" s="84" t="s">
        <v>13</v>
      </c>
      <c r="P21" s="84" t="s">
        <v>13</v>
      </c>
      <c r="Q21" s="84" t="s">
        <v>13</v>
      </c>
      <c r="R21" s="84" t="s">
        <v>13</v>
      </c>
      <c r="S21" s="84" t="s">
        <v>13</v>
      </c>
      <c r="T21" s="84" t="s">
        <v>13</v>
      </c>
      <c r="U21" s="84">
        <v>41.576999999999998</v>
      </c>
      <c r="V21" s="84">
        <v>180.34737999999999</v>
      </c>
      <c r="W21" s="84">
        <v>327.68150000000003</v>
      </c>
      <c r="X21" s="84">
        <v>-48.180999999999997</v>
      </c>
      <c r="Y21" s="84">
        <v>-83.049000000000007</v>
      </c>
      <c r="Z21" s="84">
        <v>-120.90900000000001</v>
      </c>
      <c r="AA21" s="84">
        <v>-89.481999999999999</v>
      </c>
      <c r="AB21" s="84">
        <v>-130.90141</v>
      </c>
      <c r="AC21" s="84">
        <v>-163.42577</v>
      </c>
      <c r="AD21" s="84">
        <v>-187.82802000000001</v>
      </c>
      <c r="AE21" s="84">
        <v>-137.482</v>
      </c>
      <c r="AF21" s="69" t="s">
        <v>13</v>
      </c>
      <c r="AG21" s="69" t="s">
        <v>13</v>
      </c>
      <c r="AH21" s="69" t="s">
        <v>13</v>
      </c>
      <c r="AI21" s="69" t="s">
        <v>13</v>
      </c>
      <c r="AJ21" s="84">
        <v>-4.056</v>
      </c>
      <c r="AK21" s="84">
        <v>-8.8490000000000002</v>
      </c>
      <c r="AL21" s="84">
        <v>-14.603999999999999</v>
      </c>
      <c r="AM21" s="84">
        <v>-15.183</v>
      </c>
      <c r="AN21" s="84">
        <v>-7.3250000000000002</v>
      </c>
      <c r="AO21" s="84">
        <v>-10.593999999999999</v>
      </c>
      <c r="AP21" s="66" t="s">
        <v>4070</v>
      </c>
      <c r="AQ21" s="85">
        <v>1.5509999999999999</v>
      </c>
      <c r="AR21" s="85">
        <v>1.46404</v>
      </c>
      <c r="AS21" s="85">
        <v>1.80315</v>
      </c>
      <c r="AT21" s="69">
        <v>0</v>
      </c>
      <c r="AU21" s="84">
        <v>-49.951000000000001</v>
      </c>
      <c r="AV21" s="84">
        <v>-85.539000000000001</v>
      </c>
      <c r="AW21" s="84">
        <v>-117.604</v>
      </c>
      <c r="AX21" s="84">
        <v>-90.238</v>
      </c>
      <c r="AY21" s="84" t="s">
        <v>13</v>
      </c>
      <c r="AZ21" s="84">
        <v>138.36099999999999</v>
      </c>
      <c r="BA21" s="84">
        <v>175.322</v>
      </c>
      <c r="BB21" s="84">
        <v>310.55500000000001</v>
      </c>
      <c r="BC21" s="84">
        <v>156.59800000000001</v>
      </c>
      <c r="BD21" s="84" t="s">
        <v>13</v>
      </c>
      <c r="BE21" s="84">
        <v>28.2</v>
      </c>
      <c r="BF21" s="84">
        <v>1196.95498</v>
      </c>
      <c r="BG21" s="84">
        <v>0</v>
      </c>
      <c r="BH21" s="67" t="s">
        <v>13</v>
      </c>
      <c r="BI21" s="67" t="s">
        <v>13</v>
      </c>
      <c r="BJ21" s="84">
        <v>314.43400000000003</v>
      </c>
      <c r="BK21" s="67" t="s">
        <v>13</v>
      </c>
      <c r="BL21" s="67">
        <v>0</v>
      </c>
      <c r="BM21" s="67">
        <v>0</v>
      </c>
      <c r="BN21" s="67">
        <v>0</v>
      </c>
      <c r="BO21" s="67" t="s">
        <v>13</v>
      </c>
      <c r="BP21" s="67" t="s">
        <v>13</v>
      </c>
      <c r="BQ21" s="67">
        <v>0</v>
      </c>
      <c r="BR21" s="69" t="s">
        <v>765</v>
      </c>
      <c r="BS21" s="86">
        <v>0.66006063710498863</v>
      </c>
      <c r="BT21" s="86">
        <v>0.60947723086456018</v>
      </c>
      <c r="BU21" s="86">
        <v>0.59768048017248299</v>
      </c>
      <c r="BV21" s="86" t="s">
        <v>13</v>
      </c>
      <c r="BW21" s="86" t="s">
        <v>13</v>
      </c>
      <c r="BX21" s="86" t="s">
        <v>13</v>
      </c>
      <c r="BY21" s="86" t="s">
        <v>13</v>
      </c>
      <c r="BZ21" s="86" t="s">
        <v>13</v>
      </c>
      <c r="CB21" s="67">
        <v>2</v>
      </c>
      <c r="CC21" s="13" t="s">
        <v>295</v>
      </c>
      <c r="CD21" s="13" t="s">
        <v>294</v>
      </c>
      <c r="CE21" s="68">
        <v>42766</v>
      </c>
    </row>
    <row r="22" spans="1:83" s="67" customFormat="1" ht="12.75">
      <c r="A22" s="67" t="s">
        <v>913</v>
      </c>
      <c r="B22" s="67" t="s">
        <v>914</v>
      </c>
      <c r="C22" s="67" t="s">
        <v>1751</v>
      </c>
      <c r="D22" s="67" t="s">
        <v>766</v>
      </c>
      <c r="E22" s="68">
        <v>43465</v>
      </c>
      <c r="F22" s="68">
        <v>43373</v>
      </c>
      <c r="G22" s="68">
        <v>36622</v>
      </c>
      <c r="H22" s="84">
        <v>734.89557000000002</v>
      </c>
      <c r="I22" s="84">
        <v>11.69</v>
      </c>
      <c r="J22" s="84">
        <v>1193.4655700000001</v>
      </c>
      <c r="K22" s="84">
        <v>0</v>
      </c>
      <c r="L22" s="84" t="s">
        <v>13</v>
      </c>
      <c r="M22" s="84" t="s">
        <v>13</v>
      </c>
      <c r="N22" s="84">
        <v>458.57</v>
      </c>
      <c r="O22" s="84">
        <v>19.588000000000001</v>
      </c>
      <c r="P22" s="84">
        <v>32.411999999999999</v>
      </c>
      <c r="Q22" s="84">
        <v>70.691999999999993</v>
      </c>
      <c r="R22" s="84">
        <v>36.567</v>
      </c>
      <c r="S22" s="84">
        <v>80.157700000000006</v>
      </c>
      <c r="T22" s="84">
        <v>86.19341</v>
      </c>
      <c r="U22" s="84">
        <v>66.090670000000003</v>
      </c>
      <c r="V22" s="84">
        <v>50.319000000000003</v>
      </c>
      <c r="W22" s="84">
        <v>66.953500000000005</v>
      </c>
      <c r="X22" s="84">
        <v>-73.244</v>
      </c>
      <c r="Y22" s="84">
        <v>-49.143000000000001</v>
      </c>
      <c r="Z22" s="84">
        <v>-68.007999999999996</v>
      </c>
      <c r="AA22" s="84">
        <v>-54.863</v>
      </c>
      <c r="AB22" s="84">
        <v>-71.490049999999997</v>
      </c>
      <c r="AC22" s="84">
        <v>-109.67762</v>
      </c>
      <c r="AD22" s="84" t="s">
        <v>13</v>
      </c>
      <c r="AE22" s="84" t="s">
        <v>13</v>
      </c>
      <c r="AF22" s="69">
        <v>-0.42857699999999999</v>
      </c>
      <c r="AG22" s="69">
        <v>-0.962032</v>
      </c>
      <c r="AH22" s="69">
        <v>-0.99224800000000002</v>
      </c>
      <c r="AI22" s="69">
        <v>-0.88780899999999996</v>
      </c>
      <c r="AJ22" s="84">
        <v>-10.603999999999999</v>
      </c>
      <c r="AK22" s="84">
        <v>-37.307000000000002</v>
      </c>
      <c r="AL22" s="84">
        <v>-64.491</v>
      </c>
      <c r="AM22" s="84">
        <v>1.8180000000000001</v>
      </c>
      <c r="AN22" s="84">
        <v>-3.0960000000000001</v>
      </c>
      <c r="AO22" s="84">
        <v>-15.906000000000001</v>
      </c>
      <c r="AP22" s="66" t="s">
        <v>4071</v>
      </c>
      <c r="AQ22" s="85">
        <v>1.6236699999999999</v>
      </c>
      <c r="AR22" s="85">
        <v>1.83629</v>
      </c>
      <c r="AS22" s="85">
        <v>2.8241800000000001</v>
      </c>
      <c r="AT22" s="69">
        <v>0</v>
      </c>
      <c r="AU22" s="84">
        <v>-76.046999999999997</v>
      </c>
      <c r="AV22" s="84">
        <v>-51.100999999999999</v>
      </c>
      <c r="AW22" s="84">
        <v>-62.761000000000003</v>
      </c>
      <c r="AX22" s="84">
        <v>-54.567999999999998</v>
      </c>
      <c r="AY22" s="84" t="s">
        <v>13</v>
      </c>
      <c r="AZ22" s="84">
        <v>143.83600000000001</v>
      </c>
      <c r="BA22" s="84">
        <v>186.65199999999999</v>
      </c>
      <c r="BB22" s="84">
        <v>379.90600000000001</v>
      </c>
      <c r="BC22" s="84">
        <v>187.9</v>
      </c>
      <c r="BD22" s="84" t="s">
        <v>13</v>
      </c>
      <c r="BE22" s="84">
        <v>12.67</v>
      </c>
      <c r="BF22" s="84">
        <v>1288.2065</v>
      </c>
      <c r="BG22" s="84">
        <v>0</v>
      </c>
      <c r="BH22" s="67" t="s">
        <v>13</v>
      </c>
      <c r="BI22" s="67" t="s">
        <v>13</v>
      </c>
      <c r="BJ22" s="84">
        <v>539.44600000000003</v>
      </c>
      <c r="BK22" s="67" t="s">
        <v>13</v>
      </c>
      <c r="BL22" s="67">
        <v>0.89972200000000002</v>
      </c>
      <c r="BM22" s="67">
        <v>0.15931200000000001</v>
      </c>
      <c r="BN22" s="67">
        <v>0.21962699999999999</v>
      </c>
      <c r="BO22" s="67" t="s">
        <v>13</v>
      </c>
      <c r="BP22" s="67" t="s">
        <v>13</v>
      </c>
      <c r="BQ22" s="67" t="s">
        <v>13</v>
      </c>
      <c r="BR22" s="69">
        <v>3.02155830928535E-2</v>
      </c>
      <c r="BS22" s="86">
        <v>0.79986978461518343</v>
      </c>
      <c r="BT22" s="86">
        <v>0.8134368682842571</v>
      </c>
      <c r="BU22" s="86">
        <v>0.81085681085935835</v>
      </c>
      <c r="BV22" s="86">
        <v>0.79008025868768383</v>
      </c>
      <c r="BW22" s="86">
        <v>0.76756249781285035</v>
      </c>
      <c r="BX22" s="86">
        <v>0.74782030727678916</v>
      </c>
      <c r="BY22" s="86">
        <v>0.72641601692174951</v>
      </c>
      <c r="BZ22" s="86">
        <v>0.72830590732875689</v>
      </c>
      <c r="CB22" s="67">
        <v>2</v>
      </c>
      <c r="CC22" s="13" t="s">
        <v>295</v>
      </c>
      <c r="CD22" s="13" t="s">
        <v>294</v>
      </c>
      <c r="CE22" s="68">
        <v>42766</v>
      </c>
    </row>
    <row r="23" spans="1:83" s="67" customFormat="1" ht="12.75">
      <c r="A23" s="67" t="s">
        <v>3768</v>
      </c>
      <c r="B23" s="67" t="s">
        <v>3770</v>
      </c>
      <c r="C23" s="67" t="s">
        <v>3767</v>
      </c>
      <c r="D23" s="67" t="s">
        <v>766</v>
      </c>
      <c r="E23" s="68">
        <v>43100</v>
      </c>
      <c r="F23" s="68">
        <v>43373</v>
      </c>
      <c r="G23" s="68">
        <v>43187</v>
      </c>
      <c r="H23" s="84">
        <v>518.73095999999998</v>
      </c>
      <c r="I23" s="84">
        <v>20.27</v>
      </c>
      <c r="J23" s="84">
        <v>756.27498000000003</v>
      </c>
      <c r="K23" s="84">
        <v>0</v>
      </c>
      <c r="L23" s="84" t="s">
        <v>13</v>
      </c>
      <c r="M23" s="84" t="s">
        <v>13</v>
      </c>
      <c r="N23" s="84">
        <v>237.54401999999999</v>
      </c>
      <c r="O23" s="84" t="s">
        <v>13</v>
      </c>
      <c r="P23" s="84" t="s">
        <v>13</v>
      </c>
      <c r="Q23" s="84">
        <v>2.7040000000000002</v>
      </c>
      <c r="R23" s="84" t="s">
        <v>13</v>
      </c>
      <c r="S23" s="84">
        <v>3.677</v>
      </c>
      <c r="T23" s="84">
        <v>3.6</v>
      </c>
      <c r="U23" s="84">
        <v>6.8666700000000001</v>
      </c>
      <c r="V23" s="84">
        <v>4</v>
      </c>
      <c r="W23" s="84">
        <v>4.5</v>
      </c>
      <c r="X23" s="84" t="s">
        <v>13</v>
      </c>
      <c r="Y23" s="84">
        <v>-9.7602200000000003</v>
      </c>
      <c r="Z23" s="84">
        <v>-52.512770000000003</v>
      </c>
      <c r="AA23" s="84">
        <v>-28.973279999999999</v>
      </c>
      <c r="AB23" s="84">
        <v>-58.696599999999997</v>
      </c>
      <c r="AC23" s="84">
        <v>-83.923050000000003</v>
      </c>
      <c r="AD23" s="84" t="s">
        <v>13</v>
      </c>
      <c r="AE23" s="84" t="s">
        <v>13</v>
      </c>
      <c r="AF23" s="69" t="s">
        <v>13</v>
      </c>
      <c r="AG23" s="69" t="s">
        <v>13</v>
      </c>
      <c r="AH23" s="69" t="s">
        <v>13</v>
      </c>
      <c r="AI23" s="69" t="s">
        <v>13</v>
      </c>
      <c r="AJ23" s="84" t="s">
        <v>13</v>
      </c>
      <c r="AK23" s="84">
        <v>-1.5363500000000001</v>
      </c>
      <c r="AL23" s="84">
        <v>-10.25165</v>
      </c>
      <c r="AM23" s="84" t="s">
        <v>13</v>
      </c>
      <c r="AN23" s="84">
        <v>-1.98933</v>
      </c>
      <c r="AO23" s="84">
        <v>-9.3455200000000005</v>
      </c>
      <c r="AP23" s="66" t="s">
        <v>3771</v>
      </c>
      <c r="AQ23" s="85">
        <v>1.24526</v>
      </c>
      <c r="AR23" s="85" t="s">
        <v>13</v>
      </c>
      <c r="AS23" s="85" t="s">
        <v>13</v>
      </c>
      <c r="AT23" s="69">
        <v>0</v>
      </c>
      <c r="AU23" s="84" t="s">
        <v>13</v>
      </c>
      <c r="AV23" s="84">
        <v>-8.0468200000000003</v>
      </c>
      <c r="AW23" s="84">
        <v>-50.119309999999999</v>
      </c>
      <c r="AX23" s="84">
        <v>-29.990860000000001</v>
      </c>
      <c r="AY23" s="84" t="s">
        <v>13</v>
      </c>
      <c r="AZ23" s="84" t="s">
        <v>13</v>
      </c>
      <c r="BA23" s="84">
        <v>11.74729</v>
      </c>
      <c r="BB23" s="84">
        <v>212.76017999999999</v>
      </c>
      <c r="BC23" s="84">
        <v>98.308109999999999</v>
      </c>
      <c r="BD23" s="84" t="s">
        <v>13</v>
      </c>
      <c r="BE23" s="84">
        <v>18.82</v>
      </c>
      <c r="BF23" s="84">
        <v>701.13725999999997</v>
      </c>
      <c r="BG23" s="84">
        <v>0</v>
      </c>
      <c r="BH23" s="67" t="s">
        <v>13</v>
      </c>
      <c r="BI23" s="67" t="s">
        <v>13</v>
      </c>
      <c r="BJ23" s="84">
        <v>255.50809000000001</v>
      </c>
      <c r="BK23" s="67" t="s">
        <v>13</v>
      </c>
      <c r="BL23" s="67">
        <v>0</v>
      </c>
      <c r="BM23" s="67">
        <v>0</v>
      </c>
      <c r="BN23" s="67">
        <v>0</v>
      </c>
      <c r="BO23" s="67">
        <v>0</v>
      </c>
      <c r="BP23" s="67">
        <v>0</v>
      </c>
      <c r="BQ23" s="67">
        <v>0</v>
      </c>
      <c r="BR23" s="69">
        <v>0.34269600591715998</v>
      </c>
      <c r="BS23" s="86">
        <v>0.54364305078104935</v>
      </c>
      <c r="BT23" s="86" t="s">
        <v>13</v>
      </c>
      <c r="BU23" s="86" t="s">
        <v>13</v>
      </c>
      <c r="BV23" s="86" t="s">
        <v>13</v>
      </c>
      <c r="BW23" s="86" t="s">
        <v>13</v>
      </c>
      <c r="BX23" s="86" t="s">
        <v>13</v>
      </c>
      <c r="BY23" s="86" t="s">
        <v>13</v>
      </c>
      <c r="BZ23" s="86" t="s">
        <v>13</v>
      </c>
      <c r="CB23" s="67">
        <v>2</v>
      </c>
      <c r="CC23" s="13" t="s">
        <v>295</v>
      </c>
      <c r="CD23" s="13" t="s">
        <v>294</v>
      </c>
      <c r="CE23" s="68">
        <v>42766</v>
      </c>
    </row>
    <row r="24" spans="1:83" s="67" customFormat="1" ht="12.75">
      <c r="A24" s="67" t="s">
        <v>4042</v>
      </c>
      <c r="B24" s="67" t="s">
        <v>4072</v>
      </c>
      <c r="C24" s="67" t="s">
        <v>4073</v>
      </c>
      <c r="D24" s="67" t="s">
        <v>764</v>
      </c>
      <c r="E24" s="68">
        <v>43100</v>
      </c>
      <c r="F24" s="68">
        <v>43373</v>
      </c>
      <c r="G24" s="68">
        <v>41939</v>
      </c>
      <c r="H24" s="84">
        <v>417.88011999999998</v>
      </c>
      <c r="I24" s="84">
        <v>7.56</v>
      </c>
      <c r="J24" s="84">
        <v>473.53946999999999</v>
      </c>
      <c r="K24" s="84">
        <v>0</v>
      </c>
      <c r="L24" s="84" t="s">
        <v>13</v>
      </c>
      <c r="M24" s="84" t="s">
        <v>13</v>
      </c>
      <c r="N24" s="84">
        <v>55.659350000000003</v>
      </c>
      <c r="O24" s="84">
        <v>1.90005</v>
      </c>
      <c r="P24" s="84">
        <v>2.8158699999999999</v>
      </c>
      <c r="Q24" s="84">
        <v>2.8949699999999998</v>
      </c>
      <c r="R24" s="84">
        <v>2.4401999999999999</v>
      </c>
      <c r="S24" s="84">
        <v>3.8142</v>
      </c>
      <c r="T24" s="84">
        <v>7.2687999999999997</v>
      </c>
      <c r="U24" s="84">
        <v>9.0988000000000007</v>
      </c>
      <c r="V24" s="84">
        <v>38.069429999999997</v>
      </c>
      <c r="W24" s="84">
        <v>202.33426</v>
      </c>
      <c r="X24" s="84">
        <v>-14.837999999999999</v>
      </c>
      <c r="Y24" s="84">
        <v>-29.05226</v>
      </c>
      <c r="Z24" s="84">
        <v>-49.615430000000003</v>
      </c>
      <c r="AA24" s="84">
        <v>-32.307160000000003</v>
      </c>
      <c r="AB24" s="84">
        <v>-52.534999999999997</v>
      </c>
      <c r="AC24" s="84">
        <v>-52.48</v>
      </c>
      <c r="AD24" s="84">
        <v>-54.88</v>
      </c>
      <c r="AE24" s="84">
        <v>-67.28</v>
      </c>
      <c r="AF24" s="69" t="s">
        <v>13</v>
      </c>
      <c r="AG24" s="69" t="s">
        <v>13</v>
      </c>
      <c r="AH24" s="69" t="s">
        <v>13</v>
      </c>
      <c r="AI24" s="69" t="s">
        <v>13</v>
      </c>
      <c r="AJ24" s="84">
        <v>-6.1114100000000002</v>
      </c>
      <c r="AK24" s="84">
        <v>-4.9152500000000003</v>
      </c>
      <c r="AL24" s="84">
        <v>-14.12842</v>
      </c>
      <c r="AM24" s="84">
        <v>-0.35002</v>
      </c>
      <c r="AN24" s="84">
        <v>-0.22325999999999999</v>
      </c>
      <c r="AO24" s="84">
        <v>-2.6308500000000001</v>
      </c>
      <c r="AP24" s="66" t="s">
        <v>4074</v>
      </c>
      <c r="AQ24" s="85">
        <v>1.8291999999999999</v>
      </c>
      <c r="AR24" s="85">
        <v>2.0670000000000002</v>
      </c>
      <c r="AS24" s="85">
        <v>2.1830500000000002</v>
      </c>
      <c r="AT24" s="69">
        <v>0</v>
      </c>
      <c r="AU24" s="84">
        <v>-14.927</v>
      </c>
      <c r="AV24" s="84">
        <v>-29.298200000000001</v>
      </c>
      <c r="AW24" s="84">
        <v>-49.059640000000002</v>
      </c>
      <c r="AX24" s="84">
        <v>-32.421610000000001</v>
      </c>
      <c r="AY24" s="84" t="s">
        <v>13</v>
      </c>
      <c r="AZ24" s="84">
        <v>13.31424</v>
      </c>
      <c r="BA24" s="84">
        <v>31.980499999999999</v>
      </c>
      <c r="BB24" s="84">
        <v>42.870730000000002</v>
      </c>
      <c r="BC24" s="84">
        <v>57.783560000000001</v>
      </c>
      <c r="BD24" s="84" t="s">
        <v>13</v>
      </c>
      <c r="BE24" s="84">
        <v>6.66</v>
      </c>
      <c r="BF24" s="84">
        <v>380.99256000000003</v>
      </c>
      <c r="BG24" s="84">
        <v>8.3699999999999997E-2</v>
      </c>
      <c r="BH24" s="67" t="s">
        <v>13</v>
      </c>
      <c r="BI24" s="67" t="s">
        <v>13</v>
      </c>
      <c r="BJ24" s="84">
        <v>64.676540000000003</v>
      </c>
      <c r="BK24" s="67" t="s">
        <v>13</v>
      </c>
      <c r="BL24" s="67">
        <v>0.23435400000000001</v>
      </c>
      <c r="BM24" s="67">
        <v>1.1680159999999999</v>
      </c>
      <c r="BN24" s="67">
        <v>0</v>
      </c>
      <c r="BO24" s="67" t="s">
        <v>13</v>
      </c>
      <c r="BP24" s="67" t="s">
        <v>13</v>
      </c>
      <c r="BQ24" s="67">
        <v>0</v>
      </c>
      <c r="BR24" s="69">
        <v>0.13927950894137101</v>
      </c>
      <c r="BS24" s="86">
        <v>0.74991877261248097</v>
      </c>
      <c r="BT24" s="86">
        <v>0.6748916162350671</v>
      </c>
      <c r="BU24" s="86">
        <v>0.8020029159787504</v>
      </c>
      <c r="BV24" s="86">
        <v>0.82195391684459584</v>
      </c>
      <c r="BW24" s="86">
        <v>0.90147438590513396</v>
      </c>
      <c r="BX24" s="86" t="s">
        <v>13</v>
      </c>
      <c r="BY24" s="86" t="s">
        <v>13</v>
      </c>
      <c r="BZ24" s="86" t="s">
        <v>13</v>
      </c>
      <c r="CB24" s="67">
        <v>2</v>
      </c>
      <c r="CC24" s="13" t="s">
        <v>295</v>
      </c>
      <c r="CD24" s="13" t="s">
        <v>294</v>
      </c>
      <c r="CE24" s="68">
        <v>42766</v>
      </c>
    </row>
    <row r="25" spans="1:83" s="67" customFormat="1" ht="12.75">
      <c r="A25" s="67" t="s">
        <v>4043</v>
      </c>
      <c r="B25" s="67" t="s">
        <v>4075</v>
      </c>
      <c r="C25" s="67" t="s">
        <v>4076</v>
      </c>
      <c r="D25" s="67" t="s">
        <v>764</v>
      </c>
      <c r="E25" s="68">
        <v>43100</v>
      </c>
      <c r="F25" s="68">
        <v>43373</v>
      </c>
      <c r="G25" s="68">
        <v>41649</v>
      </c>
      <c r="H25" s="84">
        <v>263.30831000000001</v>
      </c>
      <c r="I25" s="84">
        <v>11.2</v>
      </c>
      <c r="J25" s="84">
        <v>483.13693999999998</v>
      </c>
      <c r="K25" s="84">
        <v>0</v>
      </c>
      <c r="L25" s="84" t="s">
        <v>13</v>
      </c>
      <c r="M25" s="84" t="s">
        <v>13</v>
      </c>
      <c r="N25" s="84">
        <v>219.82863</v>
      </c>
      <c r="O25" s="84">
        <v>5.3879999999999997E-2</v>
      </c>
      <c r="P25" s="84">
        <v>0</v>
      </c>
      <c r="Q25" s="84" t="s">
        <v>13</v>
      </c>
      <c r="R25" s="84" t="s">
        <v>13</v>
      </c>
      <c r="S25" s="84" t="s">
        <v>13</v>
      </c>
      <c r="T25" s="84">
        <v>16.66667</v>
      </c>
      <c r="U25" s="84">
        <v>2.52867</v>
      </c>
      <c r="V25" s="84">
        <v>49.421500000000002</v>
      </c>
      <c r="W25" s="84">
        <v>150.4145</v>
      </c>
      <c r="X25" s="84">
        <v>-32.253929999999997</v>
      </c>
      <c r="Y25" s="84">
        <v>-32.509920000000001</v>
      </c>
      <c r="Z25" s="84">
        <v>-45.804470000000002</v>
      </c>
      <c r="AA25" s="84">
        <v>-33.66874</v>
      </c>
      <c r="AB25" s="84" t="s">
        <v>13</v>
      </c>
      <c r="AC25" s="84" t="s">
        <v>13</v>
      </c>
      <c r="AD25" s="84" t="s">
        <v>13</v>
      </c>
      <c r="AE25" s="84" t="s">
        <v>13</v>
      </c>
      <c r="AF25" s="69" t="s">
        <v>13</v>
      </c>
      <c r="AG25" s="69" t="s">
        <v>13</v>
      </c>
      <c r="AH25" s="69" t="s">
        <v>13</v>
      </c>
      <c r="AI25" s="69" t="s">
        <v>13</v>
      </c>
      <c r="AJ25" s="84">
        <v>-4.1782399999999997</v>
      </c>
      <c r="AK25" s="84">
        <v>-5.5151500000000002</v>
      </c>
      <c r="AL25" s="84">
        <v>-3.8290600000000001</v>
      </c>
      <c r="AM25" s="84">
        <v>-0.26885999999999999</v>
      </c>
      <c r="AN25" s="84">
        <v>-0.69843</v>
      </c>
      <c r="AO25" s="84">
        <v>-0.10285999999999999</v>
      </c>
      <c r="AP25" s="66" t="s">
        <v>4077</v>
      </c>
      <c r="AQ25" s="85">
        <v>0.92186999999999997</v>
      </c>
      <c r="AR25" s="85">
        <v>0.99138999999999999</v>
      </c>
      <c r="AS25" s="85">
        <v>2.7930299999999999</v>
      </c>
      <c r="AT25" s="69">
        <v>0</v>
      </c>
      <c r="AU25" s="84">
        <v>-32.362940000000002</v>
      </c>
      <c r="AV25" s="84">
        <v>-32.35181</v>
      </c>
      <c r="AW25" s="84">
        <v>-43.624580000000002</v>
      </c>
      <c r="AX25" s="84">
        <v>-33.28107</v>
      </c>
      <c r="AY25" s="84" t="s">
        <v>13</v>
      </c>
      <c r="AZ25" s="84">
        <v>41.751330000000003</v>
      </c>
      <c r="BA25" s="84">
        <v>108.56446</v>
      </c>
      <c r="BB25" s="84">
        <v>218.09568999999999</v>
      </c>
      <c r="BC25" s="84">
        <v>119.70143</v>
      </c>
      <c r="BD25" s="84" t="s">
        <v>13</v>
      </c>
      <c r="BE25" s="84">
        <v>12.58</v>
      </c>
      <c r="BF25" s="84">
        <v>541.66042000000004</v>
      </c>
      <c r="BG25" s="84">
        <v>0</v>
      </c>
      <c r="BH25" s="67" t="s">
        <v>13</v>
      </c>
      <c r="BI25" s="67" t="s">
        <v>13</v>
      </c>
      <c r="BJ25" s="84">
        <v>229.43472</v>
      </c>
      <c r="BK25" s="67" t="s">
        <v>13</v>
      </c>
      <c r="BL25" s="67">
        <v>0</v>
      </c>
      <c r="BM25" s="67">
        <v>0</v>
      </c>
      <c r="BN25" s="67">
        <v>0</v>
      </c>
      <c r="BO25" s="67" t="s">
        <v>13</v>
      </c>
      <c r="BP25" s="67" t="s">
        <v>13</v>
      </c>
      <c r="BQ25" s="67" t="s">
        <v>13</v>
      </c>
      <c r="BR25" s="69" t="s">
        <v>765</v>
      </c>
      <c r="BS25" s="86">
        <v>0.59298257511127617</v>
      </c>
      <c r="BT25" s="86">
        <v>0.81863428009693251</v>
      </c>
      <c r="BU25" s="86">
        <v>0.75849447476702381</v>
      </c>
      <c r="BV25" s="86">
        <v>0.69953280830101872</v>
      </c>
      <c r="BW25" s="86">
        <v>0.70084150334510786</v>
      </c>
      <c r="BX25" s="86">
        <v>0.70421940975924457</v>
      </c>
      <c r="BY25" s="86" t="s">
        <v>13</v>
      </c>
      <c r="BZ25" s="86" t="s">
        <v>13</v>
      </c>
      <c r="CB25" s="67">
        <v>2</v>
      </c>
      <c r="CC25" s="13" t="s">
        <v>295</v>
      </c>
      <c r="CD25" s="13" t="s">
        <v>294</v>
      </c>
      <c r="CE25" s="68">
        <v>42766</v>
      </c>
    </row>
    <row r="26" spans="1:83" s="67" customFormat="1" ht="12.75">
      <c r="A26" s="67" t="s">
        <v>3748</v>
      </c>
      <c r="B26" s="67" t="s">
        <v>3750</v>
      </c>
      <c r="C26" s="67" t="s">
        <v>4078</v>
      </c>
      <c r="D26" s="67" t="s">
        <v>764</v>
      </c>
      <c r="E26" s="68">
        <v>43100</v>
      </c>
      <c r="F26" s="68">
        <v>43373</v>
      </c>
      <c r="G26" s="68">
        <v>43392</v>
      </c>
      <c r="H26" s="84">
        <v>216.22198</v>
      </c>
      <c r="I26" s="84">
        <v>8.84</v>
      </c>
      <c r="J26" s="84">
        <v>196.03698</v>
      </c>
      <c r="K26" s="84">
        <v>0</v>
      </c>
      <c r="L26" s="84">
        <v>33.061999999999998</v>
      </c>
      <c r="M26" s="84" t="s">
        <v>13</v>
      </c>
      <c r="N26" s="84">
        <v>12.877000000000001</v>
      </c>
      <c r="O26" s="84" t="s">
        <v>13</v>
      </c>
      <c r="P26" s="84" t="s">
        <v>13</v>
      </c>
      <c r="Q26" s="84" t="s">
        <v>13</v>
      </c>
      <c r="R26" s="84" t="s">
        <v>13</v>
      </c>
      <c r="S26" s="84" t="s">
        <v>13</v>
      </c>
      <c r="T26" s="84" t="s">
        <v>13</v>
      </c>
      <c r="U26" s="84" t="s">
        <v>13</v>
      </c>
      <c r="V26" s="84" t="s">
        <v>13</v>
      </c>
      <c r="W26" s="84" t="s">
        <v>13</v>
      </c>
      <c r="X26" s="84" t="s">
        <v>13</v>
      </c>
      <c r="Y26" s="84">
        <v>-3.387</v>
      </c>
      <c r="Z26" s="84">
        <v>-13.587999999999999</v>
      </c>
      <c r="AA26" s="84">
        <v>-5.8109999999999999</v>
      </c>
      <c r="AB26" s="84" t="s">
        <v>13</v>
      </c>
      <c r="AC26" s="84" t="s">
        <v>13</v>
      </c>
      <c r="AD26" s="84" t="s">
        <v>13</v>
      </c>
      <c r="AE26" s="84" t="s">
        <v>13</v>
      </c>
      <c r="AF26" s="69" t="s">
        <v>13</v>
      </c>
      <c r="AG26" s="69" t="s">
        <v>13</v>
      </c>
      <c r="AH26" s="69" t="s">
        <v>13</v>
      </c>
      <c r="AI26" s="69" t="s">
        <v>13</v>
      </c>
      <c r="AJ26" s="84" t="s">
        <v>13</v>
      </c>
      <c r="AK26" s="84">
        <v>-0.83399999999999996</v>
      </c>
      <c r="AL26" s="84">
        <v>-0.82299999999999995</v>
      </c>
      <c r="AM26" s="84" t="s">
        <v>13</v>
      </c>
      <c r="AN26" s="84">
        <v>-0.23200000000000001</v>
      </c>
      <c r="AO26" s="84">
        <v>-0.36199999999999999</v>
      </c>
      <c r="AP26" s="66" t="s">
        <v>4079</v>
      </c>
      <c r="AQ26" s="85">
        <v>0.41915999999999998</v>
      </c>
      <c r="AR26" s="85" t="s">
        <v>13</v>
      </c>
      <c r="AS26" s="85" t="s">
        <v>13</v>
      </c>
      <c r="AT26" s="69">
        <v>0</v>
      </c>
      <c r="AU26" s="84" t="s">
        <v>13</v>
      </c>
      <c r="AV26" s="84">
        <v>-3.4279999999999999</v>
      </c>
      <c r="AW26" s="84">
        <v>-13.573</v>
      </c>
      <c r="AX26" s="84">
        <v>-5.7949999999999999</v>
      </c>
      <c r="AY26" s="84" t="s">
        <v>13</v>
      </c>
      <c r="AZ26" s="84" t="s">
        <v>13</v>
      </c>
      <c r="BA26" s="84">
        <v>1.109</v>
      </c>
      <c r="BB26" s="84">
        <v>14.446999999999999</v>
      </c>
      <c r="BC26" s="84">
        <v>24.463000000000001</v>
      </c>
      <c r="BD26" s="84" t="s">
        <v>13</v>
      </c>
      <c r="BE26" s="84">
        <v>10.69</v>
      </c>
      <c r="BF26" s="84">
        <v>234.51507000000001</v>
      </c>
      <c r="BG26" s="84">
        <v>0</v>
      </c>
      <c r="BH26" s="67">
        <v>33.061999999999998</v>
      </c>
      <c r="BI26" s="67" t="s">
        <v>13</v>
      </c>
      <c r="BJ26" s="84">
        <v>18.260999999999999</v>
      </c>
      <c r="BK26" s="67" t="s">
        <v>765</v>
      </c>
      <c r="BL26" s="67">
        <v>0</v>
      </c>
      <c r="BM26" s="67">
        <v>0</v>
      </c>
      <c r="BN26" s="67">
        <v>0</v>
      </c>
      <c r="BO26" s="67">
        <v>0</v>
      </c>
      <c r="BP26" s="67">
        <v>0</v>
      </c>
      <c r="BQ26" s="67">
        <v>0</v>
      </c>
      <c r="BR26" s="69" t="s">
        <v>765</v>
      </c>
      <c r="BS26" s="86">
        <v>1.3576943705755391</v>
      </c>
      <c r="BT26" s="86" t="s">
        <v>13</v>
      </c>
      <c r="BU26" s="86" t="s">
        <v>13</v>
      </c>
      <c r="BV26" s="86" t="s">
        <v>13</v>
      </c>
      <c r="BW26" s="86" t="s">
        <v>13</v>
      </c>
      <c r="BX26" s="86" t="s">
        <v>13</v>
      </c>
      <c r="BY26" s="86" t="s">
        <v>13</v>
      </c>
      <c r="BZ26" s="86" t="s">
        <v>13</v>
      </c>
      <c r="CB26" s="67">
        <v>2</v>
      </c>
      <c r="CC26" s="13" t="s">
        <v>295</v>
      </c>
      <c r="CD26" s="13" t="s">
        <v>294</v>
      </c>
      <c r="CE26" s="68">
        <v>42766</v>
      </c>
    </row>
    <row r="27" spans="1:83" s="67" customFormat="1" ht="12.75">
      <c r="A27" s="67" t="s">
        <v>921</v>
      </c>
      <c r="B27" s="67" t="s">
        <v>922</v>
      </c>
      <c r="C27" s="67" t="s">
        <v>923</v>
      </c>
      <c r="D27" s="67" t="s">
        <v>766</v>
      </c>
      <c r="E27" s="68">
        <v>43100</v>
      </c>
      <c r="F27" s="68">
        <v>43373</v>
      </c>
      <c r="G27" s="68">
        <v>40497</v>
      </c>
      <c r="H27" s="84">
        <v>186.26599999999999</v>
      </c>
      <c r="I27" s="84">
        <v>3.69</v>
      </c>
      <c r="J27" s="84">
        <v>204.79499999999999</v>
      </c>
      <c r="K27" s="84">
        <v>0</v>
      </c>
      <c r="L27" s="84">
        <v>123.489</v>
      </c>
      <c r="M27" s="84" t="s">
        <v>13</v>
      </c>
      <c r="N27" s="84">
        <v>142.018</v>
      </c>
      <c r="O27" s="84">
        <v>14.372</v>
      </c>
      <c r="P27" s="84">
        <v>7.9710000000000001</v>
      </c>
      <c r="Q27" s="84">
        <v>6.8010000000000002</v>
      </c>
      <c r="R27" s="84">
        <v>10.7</v>
      </c>
      <c r="S27" s="84">
        <v>5.1300999999999997</v>
      </c>
      <c r="T27" s="84">
        <v>4.4261900000000001</v>
      </c>
      <c r="U27" s="84">
        <v>7.3928799999999999</v>
      </c>
      <c r="V27" s="84" t="s">
        <v>13</v>
      </c>
      <c r="W27" s="84">
        <v>43.434100000000001</v>
      </c>
      <c r="X27" s="84">
        <v>-52.988</v>
      </c>
      <c r="Y27" s="84">
        <v>-68.358000000000004</v>
      </c>
      <c r="Z27" s="84">
        <v>-67.510000000000005</v>
      </c>
      <c r="AA27" s="84">
        <v>-64.105000000000004</v>
      </c>
      <c r="AB27" s="84">
        <v>-57.268210000000003</v>
      </c>
      <c r="AC27" s="84">
        <v>-46.178319999999999</v>
      </c>
      <c r="AD27" s="84">
        <v>-32.718119999999999</v>
      </c>
      <c r="AE27" s="84">
        <v>-19.70262</v>
      </c>
      <c r="AF27" s="69" t="s">
        <v>13</v>
      </c>
      <c r="AG27" s="69" t="s">
        <v>13</v>
      </c>
      <c r="AH27" s="69" t="s">
        <v>13</v>
      </c>
      <c r="AI27" s="69" t="s">
        <v>13</v>
      </c>
      <c r="AJ27" s="84">
        <v>-6.2619999999999996</v>
      </c>
      <c r="AK27" s="84">
        <v>-5.601</v>
      </c>
      <c r="AL27" s="84">
        <v>-10.661</v>
      </c>
      <c r="AM27" s="84">
        <v>-2.5710000000000002</v>
      </c>
      <c r="AN27" s="84">
        <v>-9.6750000000000007</v>
      </c>
      <c r="AO27" s="84">
        <v>-1.099</v>
      </c>
      <c r="AP27" s="66" t="s">
        <v>4080</v>
      </c>
      <c r="AQ27" s="85">
        <v>1.1944600000000001</v>
      </c>
      <c r="AR27" s="85">
        <v>1.0720400000000001</v>
      </c>
      <c r="AS27" s="85">
        <v>2.0093999999999999</v>
      </c>
      <c r="AT27" s="69">
        <v>0</v>
      </c>
      <c r="AU27" s="84">
        <v>-170.733</v>
      </c>
      <c r="AV27" s="84">
        <v>-267.17700000000002</v>
      </c>
      <c r="AW27" s="84">
        <v>-74.742000000000004</v>
      </c>
      <c r="AX27" s="84">
        <v>-84.412999999999997</v>
      </c>
      <c r="AY27" s="84" t="s">
        <v>13</v>
      </c>
      <c r="AZ27" s="84">
        <v>416.625</v>
      </c>
      <c r="BA27" s="84">
        <v>167.39099999999999</v>
      </c>
      <c r="BB27" s="84">
        <v>215.27199999999999</v>
      </c>
      <c r="BC27" s="84">
        <v>182.47300000000001</v>
      </c>
      <c r="BD27" s="84" t="s">
        <v>13</v>
      </c>
      <c r="BE27" s="84">
        <v>4.24</v>
      </c>
      <c r="BF27" s="84">
        <v>234.91422</v>
      </c>
      <c r="BG27" s="84">
        <v>0</v>
      </c>
      <c r="BH27" s="67">
        <v>120.922</v>
      </c>
      <c r="BI27" s="67" t="s">
        <v>13</v>
      </c>
      <c r="BJ27" s="84">
        <v>154.869</v>
      </c>
      <c r="BK27" s="67" t="s">
        <v>765</v>
      </c>
      <c r="BL27" s="67">
        <v>-0.31209700000000001</v>
      </c>
      <c r="BM27" s="67">
        <v>-0.25634400000000002</v>
      </c>
      <c r="BN27" s="67">
        <v>-0.108796</v>
      </c>
      <c r="BO27" s="67" t="s">
        <v>13</v>
      </c>
      <c r="BP27" s="67" t="s">
        <v>13</v>
      </c>
      <c r="BQ27" s="67" t="s">
        <v>13</v>
      </c>
      <c r="BR27" s="69">
        <v>0.33774444934568398</v>
      </c>
      <c r="BS27" s="86">
        <v>0.92326799640435764</v>
      </c>
      <c r="BT27" s="86">
        <v>0.78028811938036324</v>
      </c>
      <c r="BU27" s="86">
        <v>0.71784148374896406</v>
      </c>
      <c r="BV27" s="86">
        <v>0.67684767311578031</v>
      </c>
      <c r="BW27" s="86">
        <v>0.79555038982014692</v>
      </c>
      <c r="BX27" s="86">
        <v>0.76394436602003879</v>
      </c>
      <c r="BY27" s="86">
        <v>0.75763066644485699</v>
      </c>
      <c r="BZ27" s="86">
        <v>0.74800084461626937</v>
      </c>
      <c r="CB27" s="67">
        <v>2</v>
      </c>
      <c r="CC27" s="13" t="s">
        <v>295</v>
      </c>
      <c r="CD27" s="13" t="s">
        <v>294</v>
      </c>
      <c r="CE27" s="68">
        <v>42766</v>
      </c>
    </row>
    <row r="28" spans="1:83" s="67" customFormat="1" ht="12.75">
      <c r="A28" s="67" t="s">
        <v>1087</v>
      </c>
      <c r="B28" s="67" t="s">
        <v>1089</v>
      </c>
      <c r="C28" s="67" t="s">
        <v>798</v>
      </c>
      <c r="D28" s="67" t="s">
        <v>766</v>
      </c>
      <c r="E28" s="68">
        <v>43465</v>
      </c>
      <c r="F28" s="68">
        <v>43373</v>
      </c>
      <c r="G28" s="68">
        <v>42319</v>
      </c>
      <c r="H28" s="84">
        <v>161.92061000000001</v>
      </c>
      <c r="I28" s="84">
        <v>10.49</v>
      </c>
      <c r="J28" s="84">
        <v>341.52161000000001</v>
      </c>
      <c r="K28" s="84">
        <v>0</v>
      </c>
      <c r="L28" s="84" t="s">
        <v>13</v>
      </c>
      <c r="M28" s="84" t="s">
        <v>13</v>
      </c>
      <c r="N28" s="84">
        <v>179.601</v>
      </c>
      <c r="O28" s="84">
        <v>16.795000000000002</v>
      </c>
      <c r="P28" s="84">
        <v>6.1520000000000001</v>
      </c>
      <c r="Q28" s="84">
        <v>11.956</v>
      </c>
      <c r="R28" s="84">
        <v>10.135</v>
      </c>
      <c r="S28" s="84">
        <v>8.4974399999999992</v>
      </c>
      <c r="T28" s="84">
        <v>10.85229</v>
      </c>
      <c r="U28" s="84">
        <v>14.32714</v>
      </c>
      <c r="V28" s="84">
        <v>16.648</v>
      </c>
      <c r="W28" s="84">
        <v>18.071999999999999</v>
      </c>
      <c r="X28" s="84">
        <v>-34.284999999999997</v>
      </c>
      <c r="Y28" s="84">
        <v>-72.034000000000006</v>
      </c>
      <c r="Z28" s="84">
        <v>-72.908000000000001</v>
      </c>
      <c r="AA28" s="84">
        <v>-70.268000000000001</v>
      </c>
      <c r="AB28" s="84">
        <v>-91.533330000000007</v>
      </c>
      <c r="AC28" s="84">
        <v>-114.46666999999999</v>
      </c>
      <c r="AD28" s="84">
        <v>-111.3</v>
      </c>
      <c r="AE28" s="84">
        <v>-86.4</v>
      </c>
      <c r="AF28" s="69" t="s">
        <v>13</v>
      </c>
      <c r="AG28" s="69" t="s">
        <v>13</v>
      </c>
      <c r="AH28" s="69" t="s">
        <v>13</v>
      </c>
      <c r="AI28" s="69" t="s">
        <v>13</v>
      </c>
      <c r="AJ28" s="84">
        <v>-17.518999999999998</v>
      </c>
      <c r="AK28" s="84">
        <v>-18.337</v>
      </c>
      <c r="AL28" s="84">
        <v>-27.161999999999999</v>
      </c>
      <c r="AM28" s="84">
        <v>-1.2809999999999999</v>
      </c>
      <c r="AN28" s="84">
        <v>-7.6929999999999996</v>
      </c>
      <c r="AO28" s="84">
        <v>-3.9430000000000001</v>
      </c>
      <c r="AP28" s="66" t="s">
        <v>4081</v>
      </c>
      <c r="AQ28" s="85">
        <v>1.0667</v>
      </c>
      <c r="AR28" s="85">
        <v>1.36425</v>
      </c>
      <c r="AS28" s="85">
        <v>2.5962900000000002</v>
      </c>
      <c r="AT28" s="69">
        <v>0</v>
      </c>
      <c r="AU28" s="84">
        <v>-32.802999999999997</v>
      </c>
      <c r="AV28" s="84">
        <v>-73.542000000000002</v>
      </c>
      <c r="AW28" s="84">
        <v>-77.585999999999999</v>
      </c>
      <c r="AX28" s="84">
        <v>-70.697999999999993</v>
      </c>
      <c r="AY28" s="84" t="s">
        <v>13</v>
      </c>
      <c r="AZ28" s="84">
        <v>149.124</v>
      </c>
      <c r="BA28" s="84">
        <v>85.206000000000003</v>
      </c>
      <c r="BB28" s="84">
        <v>65.587999999999994</v>
      </c>
      <c r="BC28" s="84">
        <v>134.05099999999999</v>
      </c>
      <c r="BD28" s="84" t="s">
        <v>13</v>
      </c>
      <c r="BE28" s="84">
        <v>13.57</v>
      </c>
      <c r="BF28" s="84">
        <v>440.15663999999998</v>
      </c>
      <c r="BG28" s="84">
        <v>0</v>
      </c>
      <c r="BH28" s="67" t="s">
        <v>13</v>
      </c>
      <c r="BI28" s="67" t="s">
        <v>13</v>
      </c>
      <c r="BJ28" s="84">
        <v>196.12299999999999</v>
      </c>
      <c r="BK28" s="67" t="s">
        <v>765</v>
      </c>
      <c r="BL28" s="67">
        <v>-0.15627099999999999</v>
      </c>
      <c r="BM28" s="67">
        <v>-1.2001E-2</v>
      </c>
      <c r="BN28" s="67">
        <v>0</v>
      </c>
      <c r="BO28" s="67" t="s">
        <v>13</v>
      </c>
      <c r="BP28" s="67" t="s">
        <v>13</v>
      </c>
      <c r="BQ28" s="67">
        <v>0</v>
      </c>
      <c r="BR28" s="69">
        <v>0.16510538641686201</v>
      </c>
      <c r="BS28" s="86">
        <v>0.75903735255635152</v>
      </c>
      <c r="BT28" s="86">
        <v>0.75170905184037895</v>
      </c>
      <c r="BU28" s="86">
        <v>0.72546741238615475</v>
      </c>
      <c r="BV28" s="86">
        <v>0.74305494919301052</v>
      </c>
      <c r="BW28" s="86" t="s">
        <v>13</v>
      </c>
      <c r="BX28" s="86" t="s">
        <v>13</v>
      </c>
      <c r="BY28" s="86" t="s">
        <v>13</v>
      </c>
      <c r="BZ28" s="86" t="s">
        <v>13</v>
      </c>
      <c r="CB28" s="67">
        <v>2</v>
      </c>
      <c r="CC28" s="13" t="s">
        <v>295</v>
      </c>
      <c r="CD28" s="13" t="s">
        <v>294</v>
      </c>
      <c r="CE28" s="68">
        <v>42766</v>
      </c>
    </row>
    <row r="29" spans="1:83" s="67" customFormat="1" ht="12.75">
      <c r="A29" s="67" t="s">
        <v>4041</v>
      </c>
      <c r="B29" s="67" t="s">
        <v>4082</v>
      </c>
      <c r="C29" s="67" t="s">
        <v>4083</v>
      </c>
      <c r="D29" s="67" t="s">
        <v>794</v>
      </c>
      <c r="E29" s="68">
        <v>43100</v>
      </c>
      <c r="F29" s="68">
        <v>43373</v>
      </c>
      <c r="G29" s="68">
        <v>34488</v>
      </c>
      <c r="H29" s="84">
        <v>85.081130000000002</v>
      </c>
      <c r="I29" s="84">
        <v>6.04</v>
      </c>
      <c r="J29" s="84">
        <v>158.45113000000001</v>
      </c>
      <c r="K29" s="84">
        <v>124.324</v>
      </c>
      <c r="L29" s="84">
        <v>6.6429999999999998</v>
      </c>
      <c r="M29" s="84" t="s">
        <v>13</v>
      </c>
      <c r="N29" s="84">
        <v>204.33699999999999</v>
      </c>
      <c r="O29" s="84">
        <v>0.94099999999999995</v>
      </c>
      <c r="P29" s="84">
        <v>8.5000000000000006E-2</v>
      </c>
      <c r="Q29" s="84">
        <v>5.8719999999999999</v>
      </c>
      <c r="R29" s="84" t="s">
        <v>13</v>
      </c>
      <c r="S29" s="84">
        <v>10.063800000000001</v>
      </c>
      <c r="T29" s="84">
        <v>25.045750000000002</v>
      </c>
      <c r="U29" s="84">
        <v>67.492000000000004</v>
      </c>
      <c r="V29" s="84">
        <v>111.343</v>
      </c>
      <c r="W29" s="84">
        <v>157.13900000000001</v>
      </c>
      <c r="X29" s="84">
        <v>-64.656999999999996</v>
      </c>
      <c r="Y29" s="84">
        <v>-100.386</v>
      </c>
      <c r="Z29" s="84">
        <v>-185.857</v>
      </c>
      <c r="AA29" s="84">
        <v>-114.15900000000001</v>
      </c>
      <c r="AB29" s="84" t="s">
        <v>13</v>
      </c>
      <c r="AC29" s="84" t="s">
        <v>13</v>
      </c>
      <c r="AD29" s="84" t="s">
        <v>13</v>
      </c>
      <c r="AE29" s="84" t="s">
        <v>13</v>
      </c>
      <c r="AF29" s="69" t="s">
        <v>13</v>
      </c>
      <c r="AG29" s="69" t="s">
        <v>13</v>
      </c>
      <c r="AH29" s="69" t="s">
        <v>13</v>
      </c>
      <c r="AI29" s="69" t="s">
        <v>13</v>
      </c>
      <c r="AJ29" s="84">
        <v>-5.5350000000000001</v>
      </c>
      <c r="AK29" s="84">
        <v>-7.5789999999999997</v>
      </c>
      <c r="AL29" s="84">
        <v>-15.372</v>
      </c>
      <c r="AM29" s="84">
        <v>-1.554</v>
      </c>
      <c r="AN29" s="84">
        <v>-5.0869999999999997</v>
      </c>
      <c r="AO29" s="84">
        <v>-7.1580000000000004</v>
      </c>
      <c r="AP29" s="66" t="s">
        <v>4084</v>
      </c>
      <c r="AQ29" s="85">
        <v>0.38124000000000002</v>
      </c>
      <c r="AR29" s="85">
        <v>0.55025000000000002</v>
      </c>
      <c r="AS29" s="85">
        <v>1.2372399999999999</v>
      </c>
      <c r="AT29" s="69">
        <v>0</v>
      </c>
      <c r="AU29" s="84">
        <v>-65.131</v>
      </c>
      <c r="AV29" s="84">
        <v>-101.14400000000001</v>
      </c>
      <c r="AW29" s="84">
        <v>-192.59700000000001</v>
      </c>
      <c r="AX29" s="84">
        <v>-114.803</v>
      </c>
      <c r="AY29" s="84" t="s">
        <v>13</v>
      </c>
      <c r="AZ29" s="84">
        <v>82.284999999999997</v>
      </c>
      <c r="BA29" s="84">
        <v>119.795</v>
      </c>
      <c r="BB29" s="84">
        <v>74.994</v>
      </c>
      <c r="BC29" s="84">
        <v>88.201999999999998</v>
      </c>
      <c r="BD29" s="84" t="s">
        <v>13</v>
      </c>
      <c r="BE29" s="84">
        <v>16.3</v>
      </c>
      <c r="BF29" s="84">
        <v>427.60818999999998</v>
      </c>
      <c r="BG29" s="84">
        <v>124.324</v>
      </c>
      <c r="BH29" s="67">
        <v>6.6429999999999998</v>
      </c>
      <c r="BI29" s="67" t="s">
        <v>13</v>
      </c>
      <c r="BJ29" s="84">
        <v>204.33699999999999</v>
      </c>
      <c r="BK29" s="67" t="s">
        <v>13</v>
      </c>
      <c r="BL29" s="67">
        <v>1.4980329999999999</v>
      </c>
      <c r="BM29" s="67">
        <v>1.0859019999999999</v>
      </c>
      <c r="BN29" s="67">
        <v>0</v>
      </c>
      <c r="BO29" s="67" t="s">
        <v>13</v>
      </c>
      <c r="BP29" s="67" t="s">
        <v>13</v>
      </c>
      <c r="BQ29" s="67">
        <v>0</v>
      </c>
      <c r="BR29" s="69">
        <v>0.61546321525885594</v>
      </c>
      <c r="BS29" s="86">
        <v>0.96015844939375949</v>
      </c>
      <c r="BT29" s="86">
        <v>0.89691591389580794</v>
      </c>
      <c r="BU29" s="86">
        <v>0.83012698647985494</v>
      </c>
      <c r="BV29" s="86">
        <v>0.8332343854173021</v>
      </c>
      <c r="BW29" s="86">
        <v>0.86113120281070321</v>
      </c>
      <c r="BX29" s="86">
        <v>0.92583323557468966</v>
      </c>
      <c r="BY29" s="86">
        <v>1.3125893344937063</v>
      </c>
      <c r="BZ29" s="86">
        <v>1.781789329770215</v>
      </c>
      <c r="CB29" s="67">
        <v>2</v>
      </c>
      <c r="CC29" s="13" t="s">
        <v>295</v>
      </c>
      <c r="CD29" s="13" t="s">
        <v>294</v>
      </c>
      <c r="CE29" s="68">
        <v>42766</v>
      </c>
    </row>
    <row r="30" spans="1:83" s="67" customFormat="1" ht="12.75">
      <c r="A30" s="67" t="s">
        <v>1010</v>
      </c>
      <c r="B30" s="67" t="s">
        <v>1012</v>
      </c>
      <c r="C30" s="67" t="s">
        <v>1009</v>
      </c>
      <c r="D30" s="67" t="s">
        <v>764</v>
      </c>
      <c r="E30" s="68">
        <v>43100</v>
      </c>
      <c r="F30" s="68">
        <v>43373</v>
      </c>
      <c r="G30" s="68">
        <v>42593</v>
      </c>
      <c r="H30" s="84">
        <v>58.599049999999998</v>
      </c>
      <c r="I30" s="84">
        <v>8.15</v>
      </c>
      <c r="J30" s="84">
        <v>197.11606</v>
      </c>
      <c r="K30" s="84">
        <v>0</v>
      </c>
      <c r="L30" s="84" t="s">
        <v>13</v>
      </c>
      <c r="M30" s="84" t="s">
        <v>13</v>
      </c>
      <c r="N30" s="84">
        <v>138.517</v>
      </c>
      <c r="O30" s="84" t="s">
        <v>13</v>
      </c>
      <c r="P30" s="84">
        <v>8.7810000000000006</v>
      </c>
      <c r="Q30" s="84">
        <v>39.853999999999999</v>
      </c>
      <c r="R30" s="84">
        <v>20.062999999999999</v>
      </c>
      <c r="S30" s="84">
        <v>34.253</v>
      </c>
      <c r="T30" s="84">
        <v>22.738</v>
      </c>
      <c r="U30" s="84">
        <v>64.905000000000001</v>
      </c>
      <c r="V30" s="84">
        <v>200</v>
      </c>
      <c r="W30" s="84">
        <v>50</v>
      </c>
      <c r="X30" s="84">
        <v>-25.940999999999999</v>
      </c>
      <c r="Y30" s="84">
        <v>-45.417000000000002</v>
      </c>
      <c r="Z30" s="84">
        <v>-29.853999999999999</v>
      </c>
      <c r="AA30" s="84">
        <v>-37.491</v>
      </c>
      <c r="AB30" s="84" t="s">
        <v>13</v>
      </c>
      <c r="AC30" s="84" t="s">
        <v>13</v>
      </c>
      <c r="AD30" s="84" t="s">
        <v>13</v>
      </c>
      <c r="AE30" s="84" t="s">
        <v>13</v>
      </c>
      <c r="AF30" s="69">
        <v>1</v>
      </c>
      <c r="AG30" s="69">
        <v>-0.74908399999999997</v>
      </c>
      <c r="AH30" s="69">
        <v>-0.76203100000000001</v>
      </c>
      <c r="AI30" s="69">
        <v>-0.705349</v>
      </c>
      <c r="AJ30" s="84">
        <v>-1.627</v>
      </c>
      <c r="AK30" s="84">
        <v>-48.128999999999998</v>
      </c>
      <c r="AL30" s="84">
        <v>-15.116</v>
      </c>
      <c r="AM30" s="84">
        <v>-0.51500000000000001</v>
      </c>
      <c r="AN30" s="84">
        <v>-0.66200000000000003</v>
      </c>
      <c r="AO30" s="84">
        <v>-0.48</v>
      </c>
      <c r="AP30" s="66" t="s">
        <v>4085</v>
      </c>
      <c r="AQ30" s="85">
        <v>0.15484000000000001</v>
      </c>
      <c r="AR30" s="85">
        <v>0.19750000000000001</v>
      </c>
      <c r="AS30" s="85">
        <v>2.0888300000000002</v>
      </c>
      <c r="AT30" s="69">
        <v>0</v>
      </c>
      <c r="AU30" s="84">
        <v>-31.422000000000001</v>
      </c>
      <c r="AV30" s="84">
        <v>-45.152999999999999</v>
      </c>
      <c r="AW30" s="84">
        <v>-28.111000000000001</v>
      </c>
      <c r="AX30" s="84">
        <v>-36.957000000000001</v>
      </c>
      <c r="AY30" s="84" t="s">
        <v>13</v>
      </c>
      <c r="AZ30" s="84">
        <v>97.494</v>
      </c>
      <c r="BA30" s="84">
        <v>57.835999999999999</v>
      </c>
      <c r="BB30" s="84">
        <v>123.958</v>
      </c>
      <c r="BC30" s="84">
        <v>120.63200000000001</v>
      </c>
      <c r="BD30" s="84" t="s">
        <v>13</v>
      </c>
      <c r="BE30" s="84">
        <v>7.99</v>
      </c>
      <c r="BF30" s="84">
        <v>192.44385</v>
      </c>
      <c r="BG30" s="84">
        <v>0</v>
      </c>
      <c r="BH30" s="67" t="s">
        <v>13</v>
      </c>
      <c r="BI30" s="67" t="s">
        <v>13</v>
      </c>
      <c r="BJ30" s="84">
        <v>125.167</v>
      </c>
      <c r="BK30" s="67" t="s">
        <v>13</v>
      </c>
      <c r="BL30" s="67">
        <v>0</v>
      </c>
      <c r="BM30" s="67">
        <v>0</v>
      </c>
      <c r="BN30" s="67">
        <v>0</v>
      </c>
      <c r="BO30" s="67" t="s">
        <v>13</v>
      </c>
      <c r="BP30" s="67">
        <v>0</v>
      </c>
      <c r="BQ30" s="67">
        <v>0</v>
      </c>
      <c r="BR30" s="69">
        <v>1.29472574898379E-2</v>
      </c>
      <c r="BS30" s="86">
        <v>1.1866317083427274</v>
      </c>
      <c r="BT30" s="86">
        <v>0.9785041500826186</v>
      </c>
      <c r="BU30" s="86">
        <v>0.91520299544650408</v>
      </c>
      <c r="BV30" s="86" t="s">
        <v>13</v>
      </c>
      <c r="BW30" s="86" t="s">
        <v>13</v>
      </c>
      <c r="BX30" s="86" t="s">
        <v>13</v>
      </c>
      <c r="BY30" s="86" t="s">
        <v>13</v>
      </c>
      <c r="BZ30" s="86" t="s">
        <v>13</v>
      </c>
      <c r="CB30" s="67">
        <v>2</v>
      </c>
      <c r="CC30" s="13" t="s">
        <v>295</v>
      </c>
      <c r="CD30" s="13" t="s">
        <v>294</v>
      </c>
      <c r="CE30" s="68">
        <v>42766</v>
      </c>
    </row>
    <row r="31" spans="1:83" s="67" customFormat="1" ht="12.75">
      <c r="A31" s="67" t="s">
        <v>4044</v>
      </c>
      <c r="B31" s="67" t="s">
        <v>4086</v>
      </c>
      <c r="C31" s="67" t="s">
        <v>4087</v>
      </c>
      <c r="D31" s="67" t="s">
        <v>794</v>
      </c>
      <c r="E31" s="68">
        <v>43100</v>
      </c>
      <c r="F31" s="68">
        <v>43373</v>
      </c>
      <c r="G31" s="68">
        <v>40088</v>
      </c>
      <c r="H31" s="84">
        <v>10.735910000000001</v>
      </c>
      <c r="I31" s="84">
        <v>1.97</v>
      </c>
      <c r="J31" s="84">
        <v>19.22391</v>
      </c>
      <c r="K31" s="84">
        <v>0</v>
      </c>
      <c r="L31" s="84">
        <v>7.6230000000000002</v>
      </c>
      <c r="M31" s="84" t="s">
        <v>13</v>
      </c>
      <c r="N31" s="84">
        <v>16.111000000000001</v>
      </c>
      <c r="O31" s="84">
        <v>0.4</v>
      </c>
      <c r="P31" s="84">
        <v>3.6999999999999998E-2</v>
      </c>
      <c r="Q31" s="84" t="s">
        <v>13</v>
      </c>
      <c r="R31" s="84" t="s">
        <v>13</v>
      </c>
      <c r="S31" s="84" t="s">
        <v>13</v>
      </c>
      <c r="T31" s="84" t="s">
        <v>13</v>
      </c>
      <c r="U31" s="84" t="s">
        <v>13</v>
      </c>
      <c r="V31" s="84" t="s">
        <v>13</v>
      </c>
      <c r="W31" s="84" t="s">
        <v>13</v>
      </c>
      <c r="X31" s="84">
        <v>-33.804000000000002</v>
      </c>
      <c r="Y31" s="84">
        <v>-17.645</v>
      </c>
      <c r="Z31" s="84">
        <v>-13.8</v>
      </c>
      <c r="AA31" s="84">
        <v>-18.597000000000001</v>
      </c>
      <c r="AB31" s="84">
        <v>-26.2</v>
      </c>
      <c r="AC31" s="84">
        <v>-27.7</v>
      </c>
      <c r="AD31" s="84">
        <v>-32.799999999999997</v>
      </c>
      <c r="AE31" s="84" t="s">
        <v>13</v>
      </c>
      <c r="AF31" s="69" t="s">
        <v>13</v>
      </c>
      <c r="AG31" s="69" t="s">
        <v>13</v>
      </c>
      <c r="AH31" s="69" t="s">
        <v>13</v>
      </c>
      <c r="AI31" s="69" t="s">
        <v>13</v>
      </c>
      <c r="AJ31" s="84">
        <v>-2.089</v>
      </c>
      <c r="AK31" s="84">
        <v>-3.202</v>
      </c>
      <c r="AL31" s="84">
        <v>-1.5169999999999999</v>
      </c>
      <c r="AM31" s="84">
        <v>-0.25</v>
      </c>
      <c r="AN31" s="84">
        <v>-0.41399999999999998</v>
      </c>
      <c r="AO31" s="84">
        <v>-0.24</v>
      </c>
      <c r="AP31" s="66" t="s">
        <v>4088</v>
      </c>
      <c r="AQ31" s="85">
        <v>1.35049</v>
      </c>
      <c r="AR31" s="85">
        <v>1.0607</v>
      </c>
      <c r="AS31" s="85">
        <v>1.6548499999999999</v>
      </c>
      <c r="AT31" s="69">
        <v>0</v>
      </c>
      <c r="AU31" s="84">
        <v>-29.449000000000002</v>
      </c>
      <c r="AV31" s="84">
        <v>-22.634</v>
      </c>
      <c r="AW31" s="84">
        <v>-5.7539999999999996</v>
      </c>
      <c r="AX31" s="84">
        <v>-16.239999999999998</v>
      </c>
      <c r="AY31" s="84" t="s">
        <v>13</v>
      </c>
      <c r="AZ31" s="84">
        <v>11.038</v>
      </c>
      <c r="BA31" s="84">
        <v>-3.3260000000000001</v>
      </c>
      <c r="BB31" s="84">
        <v>10.183999999999999</v>
      </c>
      <c r="BC31" s="84">
        <v>9.0069999999999997</v>
      </c>
      <c r="BD31" s="84" t="s">
        <v>13</v>
      </c>
      <c r="BE31" s="84">
        <v>2.1150000000000002</v>
      </c>
      <c r="BF31" s="84">
        <v>19.70119</v>
      </c>
      <c r="BG31" s="84">
        <v>0</v>
      </c>
      <c r="BH31" s="67">
        <v>7.6230000000000002</v>
      </c>
      <c r="BI31" s="67" t="s">
        <v>13</v>
      </c>
      <c r="BJ31" s="84">
        <v>15.41</v>
      </c>
      <c r="BK31" s="67" t="s">
        <v>13</v>
      </c>
      <c r="BL31" s="67">
        <v>0</v>
      </c>
      <c r="BM31" s="67">
        <v>0</v>
      </c>
      <c r="BN31" s="67">
        <v>0</v>
      </c>
      <c r="BO31" s="67" t="s">
        <v>13</v>
      </c>
      <c r="BP31" s="67" t="s">
        <v>13</v>
      </c>
      <c r="BQ31" s="67" t="s">
        <v>13</v>
      </c>
      <c r="BR31" s="69" t="s">
        <v>765</v>
      </c>
      <c r="BS31" s="86">
        <v>0.86469838218025463</v>
      </c>
      <c r="BT31" s="86">
        <v>0.88336531692825482</v>
      </c>
      <c r="BU31" s="86">
        <v>0.92725005077133138</v>
      </c>
      <c r="BV31" s="86">
        <v>0.91248999315047907</v>
      </c>
      <c r="BW31" s="86">
        <v>0.88871910618520333</v>
      </c>
      <c r="BX31" s="86">
        <v>0.8529122500226376</v>
      </c>
      <c r="BY31" s="86">
        <v>0.99384144123167484</v>
      </c>
      <c r="BZ31" s="86">
        <v>0.97429795321752155</v>
      </c>
      <c r="CB31" s="67">
        <v>2</v>
      </c>
      <c r="CC31" s="13" t="s">
        <v>295</v>
      </c>
      <c r="CD31" s="13" t="s">
        <v>294</v>
      </c>
      <c r="CE31" s="68">
        <v>42766</v>
      </c>
    </row>
    <row r="32" spans="1:83" s="67" customFormat="1" ht="12.75">
      <c r="A32" s="67" t="s">
        <v>767</v>
      </c>
      <c r="B32" s="67" t="s">
        <v>767</v>
      </c>
      <c r="C32" s="67" t="s">
        <v>767</v>
      </c>
      <c r="D32" s="67" t="s">
        <v>767</v>
      </c>
      <c r="E32" s="68" t="s">
        <v>767</v>
      </c>
      <c r="F32" s="68" t="s">
        <v>767</v>
      </c>
      <c r="G32" s="68" t="s">
        <v>767</v>
      </c>
      <c r="H32" s="84" t="s">
        <v>767</v>
      </c>
      <c r="I32" s="84" t="s">
        <v>767</v>
      </c>
      <c r="J32" s="84" t="s">
        <v>767</v>
      </c>
      <c r="K32" s="84" t="s">
        <v>767</v>
      </c>
      <c r="L32" s="84" t="s">
        <v>767</v>
      </c>
      <c r="M32" s="84" t="s">
        <v>767</v>
      </c>
      <c r="N32" s="84" t="s">
        <v>767</v>
      </c>
      <c r="O32" s="84" t="s">
        <v>767</v>
      </c>
      <c r="P32" s="84" t="s">
        <v>767</v>
      </c>
      <c r="Q32" s="84" t="s">
        <v>767</v>
      </c>
      <c r="R32" s="84" t="s">
        <v>767</v>
      </c>
      <c r="S32" s="84" t="s">
        <v>767</v>
      </c>
      <c r="T32" s="84" t="s">
        <v>767</v>
      </c>
      <c r="U32" s="84" t="s">
        <v>767</v>
      </c>
      <c r="V32" s="84" t="s">
        <v>767</v>
      </c>
      <c r="W32" s="84" t="s">
        <v>767</v>
      </c>
      <c r="X32" s="84" t="s">
        <v>767</v>
      </c>
      <c r="Y32" s="84" t="s">
        <v>767</v>
      </c>
      <c r="Z32" s="84" t="s">
        <v>767</v>
      </c>
      <c r="AA32" s="84" t="s">
        <v>767</v>
      </c>
      <c r="AB32" s="84" t="s">
        <v>767</v>
      </c>
      <c r="AC32" s="84" t="s">
        <v>767</v>
      </c>
      <c r="AD32" s="84" t="s">
        <v>767</v>
      </c>
      <c r="AE32" s="84" t="s">
        <v>767</v>
      </c>
      <c r="AF32" s="69" t="s">
        <v>13</v>
      </c>
      <c r="AG32" s="69" t="s">
        <v>13</v>
      </c>
      <c r="AH32" s="69" t="s">
        <v>13</v>
      </c>
      <c r="AI32" s="69" t="s">
        <v>13</v>
      </c>
      <c r="AJ32" s="84" t="s">
        <v>767</v>
      </c>
      <c r="AK32" s="84" t="s">
        <v>767</v>
      </c>
      <c r="AL32" s="84" t="s">
        <v>767</v>
      </c>
      <c r="AM32" s="84" t="s">
        <v>767</v>
      </c>
      <c r="AN32" s="84" t="s">
        <v>767</v>
      </c>
      <c r="AO32" s="84" t="s">
        <v>767</v>
      </c>
      <c r="AP32" s="66" t="s">
        <v>767</v>
      </c>
      <c r="AQ32" s="85" t="s">
        <v>767</v>
      </c>
      <c r="AR32" s="85" t="s">
        <v>767</v>
      </c>
      <c r="AS32" s="85" t="s">
        <v>767</v>
      </c>
      <c r="AT32" s="69" t="s">
        <v>13</v>
      </c>
      <c r="AU32" s="84" t="s">
        <v>767</v>
      </c>
      <c r="AV32" s="84" t="s">
        <v>767</v>
      </c>
      <c r="AW32" s="84" t="s">
        <v>767</v>
      </c>
      <c r="AX32" s="84" t="s">
        <v>767</v>
      </c>
      <c r="AY32" s="84" t="s">
        <v>767</v>
      </c>
      <c r="AZ32" s="84" t="s">
        <v>767</v>
      </c>
      <c r="BA32" s="84" t="s">
        <v>767</v>
      </c>
      <c r="BB32" s="84" t="s">
        <v>767</v>
      </c>
      <c r="BC32" s="84" t="s">
        <v>767</v>
      </c>
      <c r="BD32" s="84" t="s">
        <v>767</v>
      </c>
      <c r="BE32" s="84" t="s">
        <v>767</v>
      </c>
      <c r="BF32" s="84" t="s">
        <v>767</v>
      </c>
      <c r="BG32" s="84" t="s">
        <v>767</v>
      </c>
      <c r="BH32" s="67" t="s">
        <v>767</v>
      </c>
      <c r="BI32" s="67" t="s">
        <v>767</v>
      </c>
      <c r="BJ32" s="84" t="s">
        <v>767</v>
      </c>
      <c r="BK32" s="67" t="s">
        <v>767</v>
      </c>
      <c r="BL32" s="67" t="e">
        <v>#NAME?</v>
      </c>
      <c r="BM32" s="67" t="e">
        <v>#NAME?</v>
      </c>
      <c r="BN32" s="67" t="e">
        <v>#NAME?</v>
      </c>
      <c r="BO32" s="67" t="e">
        <v>#NAME?</v>
      </c>
      <c r="BP32" s="67" t="e">
        <v>#NAME?</v>
      </c>
      <c r="BQ32" s="67" t="e">
        <v>#NAME?</v>
      </c>
      <c r="BR32" s="69" t="s">
        <v>765</v>
      </c>
      <c r="BS32" s="86" t="e">
        <v>#VALUE!</v>
      </c>
      <c r="BT32" s="86" t="e">
        <v>#VALUE!</v>
      </c>
      <c r="BU32" s="86" t="e">
        <v>#VALUE!</v>
      </c>
      <c r="BV32" s="86" t="e">
        <v>#VALUE!</v>
      </c>
      <c r="BW32" s="86" t="e">
        <v>#VALUE!</v>
      </c>
      <c r="BX32" s="86" t="e">
        <v>#VALUE!</v>
      </c>
      <c r="BY32" s="86" t="e">
        <v>#VALUE!</v>
      </c>
      <c r="BZ32" s="86" t="e">
        <v>#VALUE!</v>
      </c>
      <c r="CB32" s="67">
        <v>2</v>
      </c>
      <c r="CC32" s="13" t="s">
        <v>295</v>
      </c>
      <c r="CD32" s="13" t="s">
        <v>294</v>
      </c>
      <c r="CE32" s="68">
        <v>42766</v>
      </c>
    </row>
    <row r="33" spans="1:83" s="67" customFormat="1" ht="12.75">
      <c r="A33" s="67" t="s">
        <v>878</v>
      </c>
      <c r="B33" s="67" t="s">
        <v>879</v>
      </c>
      <c r="C33" s="67" t="s">
        <v>880</v>
      </c>
      <c r="D33" s="67" t="s">
        <v>764</v>
      </c>
      <c r="E33" s="68">
        <v>43465</v>
      </c>
      <c r="F33" s="68">
        <v>43373</v>
      </c>
      <c r="G33" s="68">
        <v>42662</v>
      </c>
      <c r="H33" s="84">
        <v>1192.56953</v>
      </c>
      <c r="I33" s="84">
        <v>32.43</v>
      </c>
      <c r="J33" s="84">
        <v>1679.8645300000001</v>
      </c>
      <c r="K33" s="84">
        <v>0</v>
      </c>
      <c r="L33" s="84" t="s">
        <v>13</v>
      </c>
      <c r="M33" s="84" t="s">
        <v>13</v>
      </c>
      <c r="N33" s="84">
        <v>487.29500000000002</v>
      </c>
      <c r="O33" s="84">
        <v>3.0670000000000002</v>
      </c>
      <c r="P33" s="84">
        <v>11.016</v>
      </c>
      <c r="Q33" s="84">
        <v>35.334000000000003</v>
      </c>
      <c r="R33" s="84">
        <v>40.997</v>
      </c>
      <c r="S33" s="84">
        <v>4.4324300000000001</v>
      </c>
      <c r="T33" s="84">
        <v>11.4</v>
      </c>
      <c r="U33" s="84">
        <v>15.75</v>
      </c>
      <c r="V33" s="84">
        <v>27</v>
      </c>
      <c r="W33" s="84">
        <v>22.66667</v>
      </c>
      <c r="X33" s="84">
        <v>-54.414000000000001</v>
      </c>
      <c r="Y33" s="84">
        <v>-86.3</v>
      </c>
      <c r="Z33" s="84">
        <v>-109.363</v>
      </c>
      <c r="AA33" s="84">
        <v>-61.624000000000002</v>
      </c>
      <c r="AB33" s="84">
        <v>-154.72200000000001</v>
      </c>
      <c r="AC33" s="84">
        <v>-222.28899999999999</v>
      </c>
      <c r="AD33" s="84">
        <v>-291.02600000000001</v>
      </c>
      <c r="AE33" s="84" t="s">
        <v>13</v>
      </c>
      <c r="AF33" s="69">
        <v>-1.971698</v>
      </c>
      <c r="AG33" s="69" t="s">
        <v>13</v>
      </c>
      <c r="AH33" s="69" t="s">
        <v>13</v>
      </c>
      <c r="AI33" s="69" t="s">
        <v>13</v>
      </c>
      <c r="AJ33" s="84">
        <v>-75.058999999999997</v>
      </c>
      <c r="AK33" s="84">
        <v>-7.05</v>
      </c>
      <c r="AL33" s="84">
        <v>-22.885000000000002</v>
      </c>
      <c r="AM33" s="84">
        <v>-3.2909999999999999</v>
      </c>
      <c r="AN33" s="84">
        <v>-7.8369999999999997</v>
      </c>
      <c r="AO33" s="84">
        <v>-1.978</v>
      </c>
      <c r="AP33" s="66" t="s">
        <v>4089</v>
      </c>
      <c r="AQ33" s="85">
        <v>2.2311800000000002</v>
      </c>
      <c r="AR33" s="85">
        <v>2.5017299999999998</v>
      </c>
      <c r="AS33" s="85">
        <v>3.1173899999999999</v>
      </c>
      <c r="AT33" s="69">
        <v>0</v>
      </c>
      <c r="AU33" s="84">
        <v>-52.585999999999999</v>
      </c>
      <c r="AV33" s="84">
        <v>-51.4</v>
      </c>
      <c r="AW33" s="84">
        <v>-117.25</v>
      </c>
      <c r="AX33" s="84">
        <v>-68.356999999999999</v>
      </c>
      <c r="AY33" s="84" t="s">
        <v>13</v>
      </c>
      <c r="AZ33" s="84">
        <v>123.033</v>
      </c>
      <c r="BA33" s="84">
        <v>178.958</v>
      </c>
      <c r="BB33" s="84">
        <v>417.31400000000002</v>
      </c>
      <c r="BC33" s="84">
        <v>187.83199999999999</v>
      </c>
      <c r="BD33" s="84" t="s">
        <v>13</v>
      </c>
      <c r="BE33" s="84">
        <v>32.770000000000003</v>
      </c>
      <c r="BF33" s="84">
        <v>1689.91741</v>
      </c>
      <c r="BG33" s="84">
        <v>0</v>
      </c>
      <c r="BH33" s="67" t="s">
        <v>13</v>
      </c>
      <c r="BI33" s="67" t="s">
        <v>13</v>
      </c>
      <c r="BJ33" s="84">
        <v>319.73700000000002</v>
      </c>
      <c r="BK33" s="67" t="s">
        <v>765</v>
      </c>
      <c r="BL33" s="67">
        <v>2.3942160000000001</v>
      </c>
      <c r="BM33" s="67">
        <v>0</v>
      </c>
      <c r="BN33" s="67">
        <v>0</v>
      </c>
      <c r="BO33" s="67" t="s">
        <v>13</v>
      </c>
      <c r="BP33" s="67">
        <v>0</v>
      </c>
      <c r="BQ33" s="67">
        <v>0</v>
      </c>
      <c r="BR33" s="69">
        <v>9.5658572479764503E-2</v>
      </c>
      <c r="BS33" s="86">
        <v>0.7549114113841694</v>
      </c>
      <c r="BT33" s="86">
        <v>0.69448805510556844</v>
      </c>
      <c r="BU33" s="86">
        <v>0.70462779949123155</v>
      </c>
      <c r="BV33" s="86" t="s">
        <v>13</v>
      </c>
      <c r="BW33" s="86" t="s">
        <v>13</v>
      </c>
      <c r="BX33" s="86" t="s">
        <v>13</v>
      </c>
      <c r="BY33" s="86" t="s">
        <v>13</v>
      </c>
      <c r="BZ33" s="86" t="s">
        <v>13</v>
      </c>
      <c r="CB33" s="67">
        <v>2</v>
      </c>
      <c r="CC33" s="13" t="s">
        <v>295</v>
      </c>
      <c r="CD33" s="13" t="s">
        <v>294</v>
      </c>
      <c r="CE33" s="68">
        <v>42766</v>
      </c>
    </row>
    <row r="34" spans="1:83" s="67" customFormat="1" ht="12.75">
      <c r="A34" s="67" t="s">
        <v>890</v>
      </c>
      <c r="B34" s="67" t="s">
        <v>891</v>
      </c>
      <c r="C34" s="67" t="s">
        <v>892</v>
      </c>
      <c r="D34" s="67" t="s">
        <v>766</v>
      </c>
      <c r="E34" s="68">
        <v>43465</v>
      </c>
      <c r="F34" s="68">
        <v>43373</v>
      </c>
      <c r="G34" s="68">
        <v>42403</v>
      </c>
      <c r="H34" s="84">
        <v>727.28157999999996</v>
      </c>
      <c r="I34" s="84">
        <v>21.73</v>
      </c>
      <c r="J34" s="84">
        <v>1032.0795800000001</v>
      </c>
      <c r="K34" s="84">
        <v>32.694000000000003</v>
      </c>
      <c r="L34" s="84" t="s">
        <v>13</v>
      </c>
      <c r="M34" s="84" t="s">
        <v>13</v>
      </c>
      <c r="N34" s="84">
        <v>337.49200000000002</v>
      </c>
      <c r="O34" s="84">
        <v>5.9470000000000001</v>
      </c>
      <c r="P34" s="84">
        <v>10.959</v>
      </c>
      <c r="Q34" s="84">
        <v>29.484999999999999</v>
      </c>
      <c r="R34" s="84">
        <v>13.728</v>
      </c>
      <c r="S34" s="84">
        <v>45.704709999999999</v>
      </c>
      <c r="T34" s="84">
        <v>30.447569999999999</v>
      </c>
      <c r="U34" s="84">
        <v>34.659999999999997</v>
      </c>
      <c r="V34" s="84">
        <v>25.274999999999999</v>
      </c>
      <c r="W34" s="84">
        <v>23.866669999999999</v>
      </c>
      <c r="X34" s="84">
        <v>-69.715000000000003</v>
      </c>
      <c r="Y34" s="84">
        <v>-120.021</v>
      </c>
      <c r="Z34" s="84">
        <v>-120.825</v>
      </c>
      <c r="AA34" s="84">
        <v>-117.25</v>
      </c>
      <c r="AB34" s="84">
        <v>-90.735879999999995</v>
      </c>
      <c r="AC34" s="84">
        <v>-120.5455</v>
      </c>
      <c r="AD34" s="84">
        <v>-149.44750999999999</v>
      </c>
      <c r="AE34" s="84" t="s">
        <v>13</v>
      </c>
      <c r="AF34" s="69">
        <v>-2.3197890000000001</v>
      </c>
      <c r="AG34" s="69" t="s">
        <v>13</v>
      </c>
      <c r="AH34" s="69" t="s">
        <v>13</v>
      </c>
      <c r="AI34" s="69" t="s">
        <v>13</v>
      </c>
      <c r="AJ34" s="84">
        <v>-10.182</v>
      </c>
      <c r="AK34" s="84">
        <v>-26.771000000000001</v>
      </c>
      <c r="AL34" s="84">
        <v>-21.024999999999999</v>
      </c>
      <c r="AM34" s="84">
        <v>-3.218</v>
      </c>
      <c r="AN34" s="84">
        <v>-2.4460000000000002</v>
      </c>
      <c r="AO34" s="84">
        <v>-3.6280000000000001</v>
      </c>
      <c r="AP34" s="66" t="s">
        <v>4090</v>
      </c>
      <c r="AQ34" s="85">
        <v>2.0432600000000001</v>
      </c>
      <c r="AR34" s="85">
        <v>2.11239</v>
      </c>
      <c r="AS34" s="85">
        <v>2.5531000000000001</v>
      </c>
      <c r="AT34" s="69">
        <v>0</v>
      </c>
      <c r="AU34" s="84">
        <v>-70.44</v>
      </c>
      <c r="AV34" s="84">
        <v>-123.511</v>
      </c>
      <c r="AW34" s="84">
        <v>-121.08799999999999</v>
      </c>
      <c r="AX34" s="84">
        <v>-120.324</v>
      </c>
      <c r="AY34" s="84" t="s">
        <v>13</v>
      </c>
      <c r="AZ34" s="84">
        <v>170.17599999999999</v>
      </c>
      <c r="BA34" s="84">
        <v>177.78800000000001</v>
      </c>
      <c r="BB34" s="84">
        <v>224.44900000000001</v>
      </c>
      <c r="BC34" s="84">
        <v>208.08</v>
      </c>
      <c r="BD34" s="84" t="s">
        <v>13</v>
      </c>
      <c r="BE34" s="84">
        <v>25.33</v>
      </c>
      <c r="BF34" s="84">
        <v>1199.44523</v>
      </c>
      <c r="BG34" s="84">
        <v>32.944000000000003</v>
      </c>
      <c r="BH34" s="67" t="s">
        <v>13</v>
      </c>
      <c r="BI34" s="67" t="s">
        <v>13</v>
      </c>
      <c r="BJ34" s="84">
        <v>344.08</v>
      </c>
      <c r="BK34" s="67" t="s">
        <v>13</v>
      </c>
      <c r="BL34" s="67">
        <v>1.226648</v>
      </c>
      <c r="BM34" s="67">
        <v>2.2781229999999999</v>
      </c>
      <c r="BN34" s="67">
        <v>0</v>
      </c>
      <c r="BO34" s="67" t="s">
        <v>13</v>
      </c>
      <c r="BP34" s="67" t="s">
        <v>13</v>
      </c>
      <c r="BQ34" s="67">
        <v>0</v>
      </c>
      <c r="BR34" s="67">
        <v>0.104832965914872</v>
      </c>
      <c r="BS34" s="86">
        <v>0.66939621536028371</v>
      </c>
      <c r="BT34" s="86">
        <v>0.71472719223896919</v>
      </c>
      <c r="BU34" s="86">
        <v>0.76544326890760306</v>
      </c>
      <c r="BV34" s="86" t="s">
        <v>13</v>
      </c>
      <c r="BW34" s="86" t="s">
        <v>13</v>
      </c>
      <c r="BX34" s="86" t="s">
        <v>13</v>
      </c>
      <c r="BY34" s="86" t="s">
        <v>13</v>
      </c>
      <c r="BZ34" s="86" t="s">
        <v>13</v>
      </c>
      <c r="CB34" s="67">
        <v>2</v>
      </c>
      <c r="CC34" s="13" t="s">
        <v>295</v>
      </c>
      <c r="CD34" s="13" t="s">
        <v>294</v>
      </c>
      <c r="CE34" s="68">
        <v>42766</v>
      </c>
    </row>
    <row r="35" spans="1:83" s="67" customFormat="1" ht="12.75">
      <c r="A35" s="67" t="s">
        <v>898</v>
      </c>
      <c r="B35" s="67" t="s">
        <v>899</v>
      </c>
      <c r="C35" s="67" t="s">
        <v>3655</v>
      </c>
      <c r="D35" s="67" t="s">
        <v>764</v>
      </c>
      <c r="E35" s="68">
        <v>43465</v>
      </c>
      <c r="F35" s="68">
        <v>43373</v>
      </c>
      <c r="G35" s="68">
        <v>42496</v>
      </c>
      <c r="H35" s="84">
        <v>320.70094</v>
      </c>
      <c r="I35" s="84">
        <v>14.14</v>
      </c>
      <c r="J35" s="84">
        <v>613.94893999999999</v>
      </c>
      <c r="K35" s="84">
        <v>0</v>
      </c>
      <c r="L35" s="84" t="s">
        <v>13</v>
      </c>
      <c r="M35" s="84" t="s">
        <v>13</v>
      </c>
      <c r="N35" s="84">
        <v>293.24799999999999</v>
      </c>
      <c r="O35" s="84">
        <v>12.545</v>
      </c>
      <c r="P35" s="84">
        <v>25.076000000000001</v>
      </c>
      <c r="Q35" s="84">
        <v>29.222000000000001</v>
      </c>
      <c r="R35" s="84">
        <v>26.117000000000001</v>
      </c>
      <c r="S35" s="84">
        <v>32.629669999999997</v>
      </c>
      <c r="T35" s="84">
        <v>30.552</v>
      </c>
      <c r="U35" s="84">
        <v>54.68</v>
      </c>
      <c r="V35" s="84">
        <v>86.575000000000003</v>
      </c>
      <c r="W35" s="84">
        <v>104.684</v>
      </c>
      <c r="X35" s="84">
        <v>-25.997</v>
      </c>
      <c r="Y35" s="84">
        <v>-53.095999999999997</v>
      </c>
      <c r="Z35" s="84">
        <v>-90.769000000000005</v>
      </c>
      <c r="AA35" s="84">
        <v>-66.561000000000007</v>
      </c>
      <c r="AB35" s="84">
        <v>-92.090999999999994</v>
      </c>
      <c r="AC35" s="84">
        <v>-128</v>
      </c>
      <c r="AD35" s="84">
        <v>-132</v>
      </c>
      <c r="AE35" s="84" t="s">
        <v>13</v>
      </c>
      <c r="AF35" s="69">
        <v>-2.0924299999999998</v>
      </c>
      <c r="AG35" s="69" t="s">
        <v>13</v>
      </c>
      <c r="AH35" s="69" t="s">
        <v>13</v>
      </c>
      <c r="AI35" s="69" t="s">
        <v>13</v>
      </c>
      <c r="AJ35" s="84">
        <v>-20.548999999999999</v>
      </c>
      <c r="AK35" s="84">
        <v>-18.997</v>
      </c>
      <c r="AL35" s="84">
        <v>-20.334</v>
      </c>
      <c r="AM35" s="84">
        <v>-3.609</v>
      </c>
      <c r="AN35" s="84">
        <v>-11.099</v>
      </c>
      <c r="AO35" s="84">
        <v>-7.1630000000000003</v>
      </c>
      <c r="AP35" s="66" t="s">
        <v>4091</v>
      </c>
      <c r="AQ35" s="85">
        <v>2.1337100000000002</v>
      </c>
      <c r="AR35" s="85">
        <v>2.3211200000000001</v>
      </c>
      <c r="AS35" s="85">
        <v>2.9077500000000001</v>
      </c>
      <c r="AT35" s="69">
        <v>0</v>
      </c>
      <c r="AU35" s="84">
        <v>-26.315999999999999</v>
      </c>
      <c r="AV35" s="84">
        <v>-54.143000000000001</v>
      </c>
      <c r="AW35" s="84">
        <v>-90.24</v>
      </c>
      <c r="AX35" s="84">
        <v>-67.543000000000006</v>
      </c>
      <c r="AY35" s="84" t="s">
        <v>13</v>
      </c>
      <c r="AZ35" s="84">
        <v>218.124</v>
      </c>
      <c r="BA35" s="84">
        <v>175.84700000000001</v>
      </c>
      <c r="BB35" s="84">
        <v>263.27</v>
      </c>
      <c r="BC35" s="84">
        <v>300.59699999999998</v>
      </c>
      <c r="BD35" s="84" t="s">
        <v>13</v>
      </c>
      <c r="BE35" s="84">
        <v>16.98</v>
      </c>
      <c r="BF35" s="84">
        <v>737.25977</v>
      </c>
      <c r="BG35" s="84">
        <v>0</v>
      </c>
      <c r="BH35" s="67" t="s">
        <v>13</v>
      </c>
      <c r="BI35" s="67" t="s">
        <v>13</v>
      </c>
      <c r="BJ35" s="84">
        <v>293.24799999999999</v>
      </c>
      <c r="BK35" s="67" t="s">
        <v>13</v>
      </c>
      <c r="BL35" s="67">
        <v>0.52622899999999995</v>
      </c>
      <c r="BM35" s="67">
        <v>0.88671800000000001</v>
      </c>
      <c r="BN35" s="67">
        <v>0</v>
      </c>
      <c r="BO35" s="67" t="s">
        <v>13</v>
      </c>
      <c r="BP35" s="67">
        <v>0</v>
      </c>
      <c r="BQ35" s="67">
        <v>0</v>
      </c>
      <c r="BR35" s="67">
        <v>0.139278625692971</v>
      </c>
      <c r="BS35" s="86">
        <v>0.74149168668740961</v>
      </c>
      <c r="BT35" s="86">
        <v>0.74114018699687567</v>
      </c>
      <c r="BU35" s="86">
        <v>0.72806937672607763</v>
      </c>
      <c r="BV35" s="86" t="s">
        <v>13</v>
      </c>
      <c r="BW35" s="86" t="s">
        <v>13</v>
      </c>
      <c r="BX35" s="86" t="s">
        <v>13</v>
      </c>
      <c r="BY35" s="86" t="s">
        <v>13</v>
      </c>
      <c r="BZ35" s="86" t="s">
        <v>13</v>
      </c>
      <c r="CB35" s="67">
        <v>2</v>
      </c>
      <c r="CC35" s="13" t="s">
        <v>295</v>
      </c>
      <c r="CD35" s="13" t="s">
        <v>294</v>
      </c>
      <c r="CE35" s="68">
        <v>42766</v>
      </c>
    </row>
    <row r="36" spans="1:83" s="67" customFormat="1" ht="12.75">
      <c r="A36" s="67" t="s">
        <v>910</v>
      </c>
      <c r="B36" s="67" t="s">
        <v>911</v>
      </c>
      <c r="C36" s="67" t="s">
        <v>912</v>
      </c>
      <c r="D36" s="67" t="s">
        <v>794</v>
      </c>
      <c r="E36" s="68">
        <v>43100</v>
      </c>
      <c r="F36" s="68">
        <v>43373</v>
      </c>
      <c r="G36" s="68">
        <v>35090</v>
      </c>
      <c r="H36" s="84">
        <v>213.31906000000001</v>
      </c>
      <c r="I36" s="84">
        <v>6.79</v>
      </c>
      <c r="J36" s="84">
        <v>325.54306000000003</v>
      </c>
      <c r="K36" s="84">
        <v>0</v>
      </c>
      <c r="L36" s="84" t="s">
        <v>13</v>
      </c>
      <c r="M36" s="84" t="s">
        <v>13</v>
      </c>
      <c r="N36" s="84">
        <v>112.224</v>
      </c>
      <c r="O36" s="84">
        <v>0.84799999999999998</v>
      </c>
      <c r="P36" s="84">
        <v>0.878</v>
      </c>
      <c r="Q36" s="84">
        <v>5.3410000000000002</v>
      </c>
      <c r="R36" s="84">
        <v>0.83699999999999997</v>
      </c>
      <c r="S36" s="84">
        <v>5.9735699999999996</v>
      </c>
      <c r="T36" s="84">
        <v>4.3207500000000003</v>
      </c>
      <c r="U36" s="84">
        <v>54.472250000000003</v>
      </c>
      <c r="V36" s="84">
        <v>230.63800000000001</v>
      </c>
      <c r="W36" s="84">
        <v>478.02566999999999</v>
      </c>
      <c r="X36" s="84">
        <v>-23.574999999999999</v>
      </c>
      <c r="Y36" s="84">
        <v>-24.074999999999999</v>
      </c>
      <c r="Z36" s="84">
        <v>-45.180999999999997</v>
      </c>
      <c r="AA36" s="84">
        <v>-27.094999999999999</v>
      </c>
      <c r="AB36" s="84" t="s">
        <v>13</v>
      </c>
      <c r="AC36" s="84" t="s">
        <v>13</v>
      </c>
      <c r="AD36" s="84" t="s">
        <v>13</v>
      </c>
      <c r="AE36" s="84" t="s">
        <v>13</v>
      </c>
      <c r="AF36" s="69">
        <v>-2.3598569999999999</v>
      </c>
      <c r="AG36" s="69" t="s">
        <v>13</v>
      </c>
      <c r="AH36" s="69" t="s">
        <v>13</v>
      </c>
      <c r="AI36" s="69" t="s">
        <v>13</v>
      </c>
      <c r="AJ36" s="84">
        <v>-5.7530000000000001</v>
      </c>
      <c r="AK36" s="84">
        <v>-0.76600000000000001</v>
      </c>
      <c r="AL36" s="84">
        <v>-8.0039999999999996</v>
      </c>
      <c r="AM36" s="84">
        <v>-0.76800000000000002</v>
      </c>
      <c r="AN36" s="84">
        <v>-0.17399999999999999</v>
      </c>
      <c r="AO36" s="84">
        <v>-9.2840000000000007</v>
      </c>
      <c r="AP36" s="66" t="s">
        <v>4092</v>
      </c>
      <c r="AQ36" s="85">
        <v>1.0822499999999999</v>
      </c>
      <c r="AR36" s="85">
        <v>1.5396099999999999</v>
      </c>
      <c r="AS36" s="85">
        <v>1.91734</v>
      </c>
      <c r="AT36" s="69">
        <v>0</v>
      </c>
      <c r="AU36" s="84">
        <v>-17.210999999999999</v>
      </c>
      <c r="AV36" s="84">
        <v>-25.870999999999999</v>
      </c>
      <c r="AW36" s="84">
        <v>-45.031999999999996</v>
      </c>
      <c r="AX36" s="84">
        <v>-27.318999999999999</v>
      </c>
      <c r="AY36" s="84" t="s">
        <v>13</v>
      </c>
      <c r="AZ36" s="84">
        <v>63.484999999999999</v>
      </c>
      <c r="BA36" s="84">
        <v>89.88</v>
      </c>
      <c r="BB36" s="84">
        <v>150.245</v>
      </c>
      <c r="BC36" s="84">
        <v>170.09800000000001</v>
      </c>
      <c r="BD36" s="84" t="s">
        <v>13</v>
      </c>
      <c r="BE36" s="84">
        <v>8.6</v>
      </c>
      <c r="BF36" s="84">
        <v>412.31225000000001</v>
      </c>
      <c r="BG36" s="84">
        <v>0</v>
      </c>
      <c r="BH36" s="67" t="s">
        <v>13</v>
      </c>
      <c r="BI36" s="67" t="s">
        <v>13</v>
      </c>
      <c r="BJ36" s="84">
        <v>119.842</v>
      </c>
      <c r="BK36" s="67" t="s">
        <v>13</v>
      </c>
      <c r="BL36" s="67">
        <v>1.5096510000000001</v>
      </c>
      <c r="BM36" s="67">
        <v>0.71491300000000002</v>
      </c>
      <c r="BN36" s="67">
        <v>0.13100700000000001</v>
      </c>
      <c r="BO36" s="67" t="s">
        <v>13</v>
      </c>
      <c r="BP36" s="67" t="s">
        <v>13</v>
      </c>
      <c r="BQ36" s="67" t="s">
        <v>13</v>
      </c>
      <c r="BR36" s="67">
        <v>0.208762404044186</v>
      </c>
      <c r="BS36" s="69">
        <v>0.78494464793871888</v>
      </c>
      <c r="BT36" s="69">
        <v>0.77912879298972271</v>
      </c>
      <c r="BU36" s="69">
        <v>0.76863186184610754</v>
      </c>
      <c r="BV36" s="69">
        <v>0.8803241164043264</v>
      </c>
      <c r="BW36" s="69">
        <v>0.90924925730613859</v>
      </c>
      <c r="BX36" s="69">
        <v>0.92608171202320422</v>
      </c>
      <c r="BY36" s="69">
        <v>1.0060614006443884</v>
      </c>
      <c r="BZ36" s="69">
        <v>0.96295477099377902</v>
      </c>
      <c r="CB36" s="67">
        <v>2</v>
      </c>
      <c r="CC36" s="13" t="s">
        <v>295</v>
      </c>
      <c r="CD36" s="13" t="s">
        <v>294</v>
      </c>
      <c r="CE36" s="68">
        <v>42766</v>
      </c>
    </row>
    <row r="37" spans="1:83" s="67" customFormat="1" ht="12.75">
      <c r="A37" s="67" t="s">
        <v>767</v>
      </c>
      <c r="B37" s="67" t="s">
        <v>767</v>
      </c>
      <c r="C37" s="67" t="s">
        <v>767</v>
      </c>
      <c r="D37" s="67" t="s">
        <v>767</v>
      </c>
      <c r="E37" s="68" t="s">
        <v>767</v>
      </c>
      <c r="F37" s="68" t="s">
        <v>767</v>
      </c>
      <c r="G37" s="68" t="s">
        <v>767</v>
      </c>
      <c r="H37" s="84" t="s">
        <v>767</v>
      </c>
      <c r="I37" s="84" t="s">
        <v>767</v>
      </c>
      <c r="J37" s="84" t="s">
        <v>767</v>
      </c>
      <c r="K37" s="84" t="s">
        <v>767</v>
      </c>
      <c r="L37" s="84" t="s">
        <v>767</v>
      </c>
      <c r="M37" s="84" t="s">
        <v>767</v>
      </c>
      <c r="N37" s="84" t="s">
        <v>767</v>
      </c>
      <c r="O37" s="84" t="s">
        <v>767</v>
      </c>
      <c r="P37" s="84" t="s">
        <v>767</v>
      </c>
      <c r="Q37" s="84" t="s">
        <v>767</v>
      </c>
      <c r="R37" s="84" t="s">
        <v>767</v>
      </c>
      <c r="S37" s="84" t="s">
        <v>767</v>
      </c>
      <c r="T37" s="84" t="s">
        <v>767</v>
      </c>
      <c r="U37" s="84" t="s">
        <v>767</v>
      </c>
      <c r="V37" s="84" t="s">
        <v>767</v>
      </c>
      <c r="W37" s="84" t="s">
        <v>767</v>
      </c>
      <c r="X37" s="84" t="s">
        <v>767</v>
      </c>
      <c r="Y37" s="84" t="s">
        <v>767</v>
      </c>
      <c r="Z37" s="84" t="s">
        <v>767</v>
      </c>
      <c r="AA37" s="84" t="s">
        <v>767</v>
      </c>
      <c r="AB37" s="84" t="s">
        <v>767</v>
      </c>
      <c r="AC37" s="84" t="s">
        <v>767</v>
      </c>
      <c r="AD37" s="84" t="s">
        <v>767</v>
      </c>
      <c r="AE37" s="84" t="s">
        <v>767</v>
      </c>
      <c r="AF37" s="69" t="s">
        <v>13</v>
      </c>
      <c r="AG37" s="69" t="s">
        <v>13</v>
      </c>
      <c r="AH37" s="69" t="s">
        <v>13</v>
      </c>
      <c r="AI37" s="69" t="s">
        <v>13</v>
      </c>
      <c r="AJ37" s="84" t="s">
        <v>767</v>
      </c>
      <c r="AK37" s="84" t="s">
        <v>767</v>
      </c>
      <c r="AL37" s="84" t="s">
        <v>767</v>
      </c>
      <c r="AM37" s="84" t="s">
        <v>767</v>
      </c>
      <c r="AN37" s="84" t="s">
        <v>767</v>
      </c>
      <c r="AO37" s="84" t="s">
        <v>767</v>
      </c>
      <c r="AP37" s="66" t="s">
        <v>767</v>
      </c>
      <c r="AQ37" s="85" t="s">
        <v>767</v>
      </c>
      <c r="AR37" s="85" t="s">
        <v>767</v>
      </c>
      <c r="AS37" s="85" t="s">
        <v>767</v>
      </c>
      <c r="AT37" s="69" t="s">
        <v>13</v>
      </c>
      <c r="AU37" s="84" t="s">
        <v>767</v>
      </c>
      <c r="AV37" s="84" t="s">
        <v>767</v>
      </c>
      <c r="AW37" s="84" t="s">
        <v>767</v>
      </c>
      <c r="AX37" s="84" t="s">
        <v>767</v>
      </c>
      <c r="AY37" s="84" t="s">
        <v>767</v>
      </c>
      <c r="AZ37" s="84" t="s">
        <v>767</v>
      </c>
      <c r="BA37" s="84" t="s">
        <v>767</v>
      </c>
      <c r="BB37" s="84" t="s">
        <v>767</v>
      </c>
      <c r="BC37" s="84" t="s">
        <v>767</v>
      </c>
      <c r="BD37" s="84" t="s">
        <v>767</v>
      </c>
      <c r="BE37" s="84" t="s">
        <v>767</v>
      </c>
      <c r="BF37" s="84" t="s">
        <v>767</v>
      </c>
      <c r="BG37" s="84" t="s">
        <v>767</v>
      </c>
      <c r="BH37" s="67" t="s">
        <v>767</v>
      </c>
      <c r="BI37" s="67" t="s">
        <v>767</v>
      </c>
      <c r="BJ37" s="84" t="s">
        <v>767</v>
      </c>
      <c r="BK37" s="67" t="s">
        <v>767</v>
      </c>
      <c r="BL37" s="67" t="e">
        <v>#NAME?</v>
      </c>
      <c r="BM37" s="67" t="e">
        <v>#NAME?</v>
      </c>
      <c r="BN37" s="67" t="e">
        <v>#NAME?</v>
      </c>
      <c r="BO37" s="67" t="e">
        <v>#NAME?</v>
      </c>
      <c r="BP37" s="67" t="e">
        <v>#NAME?</v>
      </c>
      <c r="BQ37" s="67" t="e">
        <v>#NAME?</v>
      </c>
      <c r="BR37" s="67" t="s">
        <v>765</v>
      </c>
      <c r="BS37" s="69" t="e">
        <v>#VALUE!</v>
      </c>
      <c r="BT37" s="69" t="e">
        <v>#VALUE!</v>
      </c>
      <c r="BU37" s="69" t="e">
        <v>#VALUE!</v>
      </c>
      <c r="BV37" s="69" t="e">
        <v>#VALUE!</v>
      </c>
      <c r="BW37" s="69" t="e">
        <v>#VALUE!</v>
      </c>
      <c r="BX37" s="69" t="e">
        <v>#VALUE!</v>
      </c>
      <c r="BY37" s="69" t="e">
        <v>#VALUE!</v>
      </c>
      <c r="BZ37" s="69" t="e">
        <v>#VALUE!</v>
      </c>
      <c r="CB37" s="67">
        <v>2</v>
      </c>
      <c r="CC37" s="13" t="s">
        <v>295</v>
      </c>
      <c r="CD37" s="13" t="s">
        <v>294</v>
      </c>
      <c r="CE37" s="68">
        <v>42766</v>
      </c>
    </row>
    <row r="38" spans="1:83" s="67" customFormat="1" ht="12.75">
      <c r="A38" s="67" t="s">
        <v>767</v>
      </c>
      <c r="B38" s="67" t="s">
        <v>767</v>
      </c>
      <c r="C38" s="67" t="s">
        <v>767</v>
      </c>
      <c r="D38" s="67" t="s">
        <v>767</v>
      </c>
      <c r="E38" s="68" t="s">
        <v>767</v>
      </c>
      <c r="F38" s="68" t="s">
        <v>767</v>
      </c>
      <c r="G38" s="68" t="s">
        <v>767</v>
      </c>
      <c r="H38" s="84" t="s">
        <v>767</v>
      </c>
      <c r="I38" s="84" t="s">
        <v>767</v>
      </c>
      <c r="J38" s="84" t="s">
        <v>767</v>
      </c>
      <c r="K38" s="84" t="s">
        <v>767</v>
      </c>
      <c r="L38" s="84" t="s">
        <v>767</v>
      </c>
      <c r="M38" s="84" t="s">
        <v>767</v>
      </c>
      <c r="N38" s="84" t="s">
        <v>767</v>
      </c>
      <c r="O38" s="84" t="s">
        <v>767</v>
      </c>
      <c r="P38" s="84" t="s">
        <v>767</v>
      </c>
      <c r="Q38" s="84" t="s">
        <v>767</v>
      </c>
      <c r="R38" s="84" t="s">
        <v>767</v>
      </c>
      <c r="S38" s="84" t="s">
        <v>767</v>
      </c>
      <c r="T38" s="84" t="s">
        <v>767</v>
      </c>
      <c r="U38" s="84" t="s">
        <v>767</v>
      </c>
      <c r="V38" s="84" t="s">
        <v>767</v>
      </c>
      <c r="W38" s="84" t="s">
        <v>767</v>
      </c>
      <c r="X38" s="84" t="s">
        <v>767</v>
      </c>
      <c r="Y38" s="84" t="s">
        <v>767</v>
      </c>
      <c r="Z38" s="84" t="s">
        <v>767</v>
      </c>
      <c r="AA38" s="84" t="s">
        <v>767</v>
      </c>
      <c r="AB38" s="84" t="s">
        <v>767</v>
      </c>
      <c r="AC38" s="84" t="s">
        <v>767</v>
      </c>
      <c r="AD38" s="84" t="s">
        <v>767</v>
      </c>
      <c r="AE38" s="84" t="s">
        <v>767</v>
      </c>
      <c r="AF38" s="69" t="s">
        <v>13</v>
      </c>
      <c r="AG38" s="69" t="s">
        <v>13</v>
      </c>
      <c r="AH38" s="69" t="s">
        <v>13</v>
      </c>
      <c r="AI38" s="69" t="s">
        <v>13</v>
      </c>
      <c r="AJ38" s="84" t="s">
        <v>767</v>
      </c>
      <c r="AK38" s="84" t="s">
        <v>767</v>
      </c>
      <c r="AL38" s="84" t="s">
        <v>767</v>
      </c>
      <c r="AM38" s="84" t="s">
        <v>767</v>
      </c>
      <c r="AN38" s="84" t="s">
        <v>767</v>
      </c>
      <c r="AO38" s="84" t="s">
        <v>767</v>
      </c>
      <c r="AP38" s="66" t="s">
        <v>767</v>
      </c>
      <c r="AQ38" s="85" t="s">
        <v>767</v>
      </c>
      <c r="AR38" s="85" t="s">
        <v>767</v>
      </c>
      <c r="AS38" s="85" t="s">
        <v>767</v>
      </c>
      <c r="AT38" s="69" t="s">
        <v>13</v>
      </c>
      <c r="AU38" s="84" t="s">
        <v>767</v>
      </c>
      <c r="AV38" s="84" t="s">
        <v>767</v>
      </c>
      <c r="AW38" s="84" t="s">
        <v>767</v>
      </c>
      <c r="AX38" s="84" t="s">
        <v>767</v>
      </c>
      <c r="AY38" s="84" t="s">
        <v>767</v>
      </c>
      <c r="AZ38" s="84" t="s">
        <v>767</v>
      </c>
      <c r="BA38" s="84" t="s">
        <v>767</v>
      </c>
      <c r="BB38" s="84" t="s">
        <v>767</v>
      </c>
      <c r="BC38" s="84" t="s">
        <v>767</v>
      </c>
      <c r="BD38" s="84" t="s">
        <v>767</v>
      </c>
      <c r="BE38" s="84" t="s">
        <v>767</v>
      </c>
      <c r="BF38" s="84" t="s">
        <v>767</v>
      </c>
      <c r="BG38" s="84" t="s">
        <v>767</v>
      </c>
      <c r="BH38" s="67" t="s">
        <v>767</v>
      </c>
      <c r="BI38" s="67" t="s">
        <v>767</v>
      </c>
      <c r="BJ38" s="84" t="s">
        <v>767</v>
      </c>
      <c r="BK38" s="67" t="s">
        <v>767</v>
      </c>
      <c r="BL38" s="67" t="e">
        <v>#NAME?</v>
      </c>
      <c r="BM38" s="67" t="e">
        <v>#NAME?</v>
      </c>
      <c r="BN38" s="67" t="e">
        <v>#NAME?</v>
      </c>
      <c r="BO38" s="67" t="e">
        <v>#NAME?</v>
      </c>
      <c r="BP38" s="67" t="e">
        <v>#NAME?</v>
      </c>
      <c r="BQ38" s="67" t="e">
        <v>#NAME?</v>
      </c>
      <c r="BR38" s="67" t="s">
        <v>765</v>
      </c>
      <c r="BS38" s="69" t="e">
        <v>#VALUE!</v>
      </c>
      <c r="BT38" s="69" t="e">
        <v>#VALUE!</v>
      </c>
      <c r="BU38" s="69" t="e">
        <v>#VALUE!</v>
      </c>
      <c r="BV38" s="69" t="e">
        <v>#VALUE!</v>
      </c>
      <c r="BW38" s="69" t="e">
        <v>#VALUE!</v>
      </c>
      <c r="BX38" s="69" t="e">
        <v>#VALUE!</v>
      </c>
      <c r="BY38" s="69" t="e">
        <v>#VALUE!</v>
      </c>
      <c r="BZ38" s="69" t="e">
        <v>#VALUE!</v>
      </c>
      <c r="CB38" s="67">
        <v>2</v>
      </c>
      <c r="CC38" s="13" t="s">
        <v>295</v>
      </c>
      <c r="CD38" s="13" t="s">
        <v>294</v>
      </c>
      <c r="CE38" s="68">
        <v>42766</v>
      </c>
    </row>
    <row r="39" spans="1:83" s="67" customFormat="1" ht="12.75">
      <c r="A39" s="67" t="s">
        <v>767</v>
      </c>
      <c r="B39" s="67" t="s">
        <v>767</v>
      </c>
      <c r="C39" s="67" t="s">
        <v>767</v>
      </c>
      <c r="D39" s="67" t="s">
        <v>767</v>
      </c>
      <c r="E39" s="68" t="s">
        <v>767</v>
      </c>
      <c r="F39" s="68" t="s">
        <v>767</v>
      </c>
      <c r="G39" s="68" t="s">
        <v>767</v>
      </c>
      <c r="H39" s="84" t="s">
        <v>767</v>
      </c>
      <c r="I39" s="84" t="s">
        <v>767</v>
      </c>
      <c r="J39" s="84" t="s">
        <v>767</v>
      </c>
      <c r="K39" s="84" t="s">
        <v>767</v>
      </c>
      <c r="L39" s="84" t="s">
        <v>767</v>
      </c>
      <c r="M39" s="84" t="s">
        <v>767</v>
      </c>
      <c r="N39" s="84" t="s">
        <v>767</v>
      </c>
      <c r="O39" s="84" t="s">
        <v>767</v>
      </c>
      <c r="P39" s="84" t="s">
        <v>767</v>
      </c>
      <c r="Q39" s="84" t="s">
        <v>767</v>
      </c>
      <c r="R39" s="84" t="s">
        <v>767</v>
      </c>
      <c r="S39" s="84" t="s">
        <v>767</v>
      </c>
      <c r="T39" s="84" t="s">
        <v>767</v>
      </c>
      <c r="U39" s="84" t="s">
        <v>767</v>
      </c>
      <c r="V39" s="84" t="s">
        <v>767</v>
      </c>
      <c r="W39" s="84" t="s">
        <v>767</v>
      </c>
      <c r="X39" s="84" t="s">
        <v>767</v>
      </c>
      <c r="Y39" s="84" t="s">
        <v>767</v>
      </c>
      <c r="Z39" s="84" t="s">
        <v>767</v>
      </c>
      <c r="AA39" s="84" t="s">
        <v>767</v>
      </c>
      <c r="AB39" s="84" t="s">
        <v>767</v>
      </c>
      <c r="AC39" s="84" t="s">
        <v>767</v>
      </c>
      <c r="AD39" s="84" t="s">
        <v>767</v>
      </c>
      <c r="AE39" s="84" t="s">
        <v>767</v>
      </c>
      <c r="AF39" s="69" t="s">
        <v>13</v>
      </c>
      <c r="AG39" s="69" t="s">
        <v>13</v>
      </c>
      <c r="AH39" s="69" t="s">
        <v>13</v>
      </c>
      <c r="AI39" s="69" t="s">
        <v>13</v>
      </c>
      <c r="AJ39" s="84" t="s">
        <v>767</v>
      </c>
      <c r="AK39" s="84" t="s">
        <v>767</v>
      </c>
      <c r="AL39" s="84" t="s">
        <v>767</v>
      </c>
      <c r="AM39" s="84" t="s">
        <v>767</v>
      </c>
      <c r="AN39" s="84" t="s">
        <v>767</v>
      </c>
      <c r="AO39" s="84" t="s">
        <v>767</v>
      </c>
      <c r="AP39" s="66" t="s">
        <v>767</v>
      </c>
      <c r="AQ39" s="85" t="s">
        <v>767</v>
      </c>
      <c r="AR39" s="85" t="s">
        <v>767</v>
      </c>
      <c r="AS39" s="85" t="s">
        <v>767</v>
      </c>
      <c r="AT39" s="69" t="s">
        <v>13</v>
      </c>
      <c r="AU39" s="84" t="s">
        <v>767</v>
      </c>
      <c r="AV39" s="84" t="s">
        <v>767</v>
      </c>
      <c r="AW39" s="84" t="s">
        <v>767</v>
      </c>
      <c r="AX39" s="84" t="s">
        <v>767</v>
      </c>
      <c r="AY39" s="84" t="s">
        <v>767</v>
      </c>
      <c r="AZ39" s="84" t="s">
        <v>767</v>
      </c>
      <c r="BA39" s="84" t="s">
        <v>767</v>
      </c>
      <c r="BB39" s="84" t="s">
        <v>767</v>
      </c>
      <c r="BC39" s="84" t="s">
        <v>767</v>
      </c>
      <c r="BD39" s="84" t="s">
        <v>767</v>
      </c>
      <c r="BE39" s="84" t="s">
        <v>767</v>
      </c>
      <c r="BF39" s="84" t="s">
        <v>767</v>
      </c>
      <c r="BG39" s="84" t="s">
        <v>767</v>
      </c>
      <c r="BH39" s="67" t="s">
        <v>767</v>
      </c>
      <c r="BI39" s="67" t="s">
        <v>767</v>
      </c>
      <c r="BJ39" s="84" t="s">
        <v>767</v>
      </c>
      <c r="BK39" s="67" t="s">
        <v>767</v>
      </c>
      <c r="BL39" s="67" t="e">
        <v>#NAME?</v>
      </c>
      <c r="BM39" s="67" t="e">
        <v>#NAME?</v>
      </c>
      <c r="BN39" s="67" t="e">
        <v>#NAME?</v>
      </c>
      <c r="BO39" s="67" t="e">
        <v>#NAME?</v>
      </c>
      <c r="BP39" s="67" t="e">
        <v>#NAME?</v>
      </c>
      <c r="BQ39" s="67" t="e">
        <v>#NAME?</v>
      </c>
      <c r="BR39" s="67" t="s">
        <v>765</v>
      </c>
      <c r="BS39" s="69" t="e">
        <v>#VALUE!</v>
      </c>
      <c r="BT39" s="69" t="e">
        <v>#VALUE!</v>
      </c>
      <c r="BU39" s="69" t="e">
        <v>#VALUE!</v>
      </c>
      <c r="BV39" s="69" t="e">
        <v>#VALUE!</v>
      </c>
      <c r="BW39" s="69" t="e">
        <v>#VALUE!</v>
      </c>
      <c r="BX39" s="69" t="e">
        <v>#VALUE!</v>
      </c>
      <c r="BY39" s="69" t="e">
        <v>#VALUE!</v>
      </c>
      <c r="BZ39" s="69" t="e">
        <v>#VALUE!</v>
      </c>
      <c r="CB39" s="67">
        <v>2</v>
      </c>
      <c r="CC39" s="13" t="s">
        <v>295</v>
      </c>
      <c r="CD39" s="13" t="s">
        <v>294</v>
      </c>
      <c r="CE39" s="68">
        <v>42766</v>
      </c>
    </row>
    <row r="40" spans="1:83" s="67" customFormat="1" ht="12.75">
      <c r="A40" s="67" t="s">
        <v>767</v>
      </c>
      <c r="B40" s="67" t="s">
        <v>767</v>
      </c>
      <c r="C40" s="67" t="s">
        <v>767</v>
      </c>
      <c r="D40" s="67" t="s">
        <v>767</v>
      </c>
      <c r="E40" s="68" t="s">
        <v>767</v>
      </c>
      <c r="F40" s="68" t="s">
        <v>767</v>
      </c>
      <c r="G40" s="68" t="s">
        <v>767</v>
      </c>
      <c r="H40" s="84" t="s">
        <v>767</v>
      </c>
      <c r="I40" s="84" t="s">
        <v>767</v>
      </c>
      <c r="J40" s="84" t="s">
        <v>767</v>
      </c>
      <c r="K40" s="84" t="s">
        <v>767</v>
      </c>
      <c r="L40" s="84" t="s">
        <v>767</v>
      </c>
      <c r="M40" s="84" t="s">
        <v>767</v>
      </c>
      <c r="N40" s="84" t="s">
        <v>767</v>
      </c>
      <c r="O40" s="84" t="s">
        <v>767</v>
      </c>
      <c r="P40" s="84" t="s">
        <v>767</v>
      </c>
      <c r="Q40" s="84" t="s">
        <v>767</v>
      </c>
      <c r="R40" s="84" t="s">
        <v>767</v>
      </c>
      <c r="S40" s="84" t="s">
        <v>767</v>
      </c>
      <c r="T40" s="84" t="s">
        <v>767</v>
      </c>
      <c r="U40" s="84" t="s">
        <v>767</v>
      </c>
      <c r="V40" s="84" t="s">
        <v>767</v>
      </c>
      <c r="W40" s="84" t="s">
        <v>767</v>
      </c>
      <c r="X40" s="84" t="s">
        <v>767</v>
      </c>
      <c r="Y40" s="84" t="s">
        <v>767</v>
      </c>
      <c r="Z40" s="84" t="s">
        <v>767</v>
      </c>
      <c r="AA40" s="84" t="s">
        <v>767</v>
      </c>
      <c r="AB40" s="84" t="s">
        <v>767</v>
      </c>
      <c r="AC40" s="84" t="s">
        <v>767</v>
      </c>
      <c r="AD40" s="84" t="s">
        <v>767</v>
      </c>
      <c r="AE40" s="84" t="s">
        <v>767</v>
      </c>
      <c r="AF40" s="69" t="s">
        <v>13</v>
      </c>
      <c r="AG40" s="69" t="s">
        <v>13</v>
      </c>
      <c r="AH40" s="69" t="s">
        <v>13</v>
      </c>
      <c r="AI40" s="69" t="s">
        <v>13</v>
      </c>
      <c r="AJ40" s="84" t="s">
        <v>767</v>
      </c>
      <c r="AK40" s="84" t="s">
        <v>767</v>
      </c>
      <c r="AL40" s="84" t="s">
        <v>767</v>
      </c>
      <c r="AM40" s="84" t="s">
        <v>767</v>
      </c>
      <c r="AN40" s="84" t="s">
        <v>767</v>
      </c>
      <c r="AO40" s="84" t="s">
        <v>767</v>
      </c>
      <c r="AP40" s="66" t="s">
        <v>767</v>
      </c>
      <c r="AQ40" s="85" t="s">
        <v>767</v>
      </c>
      <c r="AR40" s="85" t="s">
        <v>767</v>
      </c>
      <c r="AS40" s="85" t="s">
        <v>767</v>
      </c>
      <c r="AT40" s="69" t="s">
        <v>13</v>
      </c>
      <c r="AU40" s="84" t="s">
        <v>767</v>
      </c>
      <c r="AV40" s="84" t="s">
        <v>767</v>
      </c>
      <c r="AW40" s="84" t="s">
        <v>767</v>
      </c>
      <c r="AX40" s="84" t="s">
        <v>767</v>
      </c>
      <c r="AY40" s="84" t="s">
        <v>767</v>
      </c>
      <c r="AZ40" s="84" t="s">
        <v>767</v>
      </c>
      <c r="BA40" s="84" t="s">
        <v>767</v>
      </c>
      <c r="BB40" s="84" t="s">
        <v>767</v>
      </c>
      <c r="BC40" s="84" t="s">
        <v>767</v>
      </c>
      <c r="BD40" s="84" t="s">
        <v>767</v>
      </c>
      <c r="BE40" s="84" t="s">
        <v>767</v>
      </c>
      <c r="BF40" s="84" t="s">
        <v>767</v>
      </c>
      <c r="BG40" s="84" t="s">
        <v>767</v>
      </c>
      <c r="BH40" s="67" t="s">
        <v>767</v>
      </c>
      <c r="BI40" s="67" t="s">
        <v>767</v>
      </c>
      <c r="BJ40" s="84" t="s">
        <v>767</v>
      </c>
      <c r="BK40" s="67" t="s">
        <v>767</v>
      </c>
      <c r="BL40" s="67" t="e">
        <v>#NAME?</v>
      </c>
      <c r="BM40" s="67" t="e">
        <v>#NAME?</v>
      </c>
      <c r="BN40" s="67" t="e">
        <v>#NAME?</v>
      </c>
      <c r="BO40" s="67" t="e">
        <v>#NAME?</v>
      </c>
      <c r="BP40" s="67" t="e">
        <v>#NAME?</v>
      </c>
      <c r="BQ40" s="67" t="e">
        <v>#NAME?</v>
      </c>
      <c r="BR40" s="67" t="s">
        <v>765</v>
      </c>
      <c r="BS40" s="69" t="e">
        <v>#VALUE!</v>
      </c>
      <c r="BT40" s="69" t="e">
        <v>#VALUE!</v>
      </c>
      <c r="BU40" s="69" t="e">
        <v>#VALUE!</v>
      </c>
      <c r="BV40" s="69" t="e">
        <v>#VALUE!</v>
      </c>
      <c r="BW40" s="69" t="e">
        <v>#VALUE!</v>
      </c>
      <c r="BX40" s="69" t="e">
        <v>#VALUE!</v>
      </c>
      <c r="BY40" s="69" t="e">
        <v>#VALUE!</v>
      </c>
      <c r="BZ40" s="69" t="e">
        <v>#VALUE!</v>
      </c>
      <c r="CB40" s="67">
        <v>2</v>
      </c>
      <c r="CC40" s="13" t="s">
        <v>295</v>
      </c>
      <c r="CD40" s="13" t="s">
        <v>294</v>
      </c>
      <c r="CE40" s="68">
        <v>42766</v>
      </c>
    </row>
    <row r="41" spans="1:83" s="67" customFormat="1" ht="12.75">
      <c r="A41" s="67" t="s">
        <v>767</v>
      </c>
      <c r="B41" s="67" t="s">
        <v>767</v>
      </c>
      <c r="C41" s="67" t="s">
        <v>767</v>
      </c>
      <c r="D41" s="67" t="s">
        <v>767</v>
      </c>
      <c r="E41" s="68" t="s">
        <v>767</v>
      </c>
      <c r="F41" s="68" t="s">
        <v>767</v>
      </c>
      <c r="G41" s="68" t="s">
        <v>767</v>
      </c>
      <c r="H41" s="84" t="s">
        <v>767</v>
      </c>
      <c r="I41" s="84" t="s">
        <v>767</v>
      </c>
      <c r="J41" s="84" t="s">
        <v>767</v>
      </c>
      <c r="K41" s="84" t="s">
        <v>767</v>
      </c>
      <c r="L41" s="84" t="s">
        <v>767</v>
      </c>
      <c r="M41" s="84" t="s">
        <v>767</v>
      </c>
      <c r="N41" s="84" t="s">
        <v>767</v>
      </c>
      <c r="O41" s="84" t="s">
        <v>767</v>
      </c>
      <c r="P41" s="84" t="s">
        <v>767</v>
      </c>
      <c r="Q41" s="84" t="s">
        <v>767</v>
      </c>
      <c r="R41" s="84" t="s">
        <v>767</v>
      </c>
      <c r="S41" s="84" t="s">
        <v>767</v>
      </c>
      <c r="T41" s="84" t="s">
        <v>767</v>
      </c>
      <c r="U41" s="84" t="s">
        <v>767</v>
      </c>
      <c r="V41" s="84" t="s">
        <v>767</v>
      </c>
      <c r="W41" s="84" t="s">
        <v>767</v>
      </c>
      <c r="X41" s="84" t="s">
        <v>767</v>
      </c>
      <c r="Y41" s="84" t="s">
        <v>767</v>
      </c>
      <c r="Z41" s="84" t="s">
        <v>767</v>
      </c>
      <c r="AA41" s="84" t="s">
        <v>767</v>
      </c>
      <c r="AB41" s="84" t="s">
        <v>767</v>
      </c>
      <c r="AC41" s="84" t="s">
        <v>767</v>
      </c>
      <c r="AD41" s="84" t="s">
        <v>767</v>
      </c>
      <c r="AE41" s="84" t="s">
        <v>767</v>
      </c>
      <c r="AF41" s="69" t="s">
        <v>13</v>
      </c>
      <c r="AG41" s="69" t="s">
        <v>13</v>
      </c>
      <c r="AH41" s="69" t="s">
        <v>13</v>
      </c>
      <c r="AI41" s="69" t="s">
        <v>13</v>
      </c>
      <c r="AJ41" s="84" t="s">
        <v>767</v>
      </c>
      <c r="AK41" s="84" t="s">
        <v>767</v>
      </c>
      <c r="AL41" s="84" t="s">
        <v>767</v>
      </c>
      <c r="AM41" s="84" t="s">
        <v>767</v>
      </c>
      <c r="AN41" s="84" t="s">
        <v>767</v>
      </c>
      <c r="AO41" s="84" t="s">
        <v>767</v>
      </c>
      <c r="AP41" s="66" t="s">
        <v>767</v>
      </c>
      <c r="AQ41" s="85" t="s">
        <v>767</v>
      </c>
      <c r="AR41" s="85" t="s">
        <v>767</v>
      </c>
      <c r="AS41" s="85" t="s">
        <v>767</v>
      </c>
      <c r="AT41" s="69" t="s">
        <v>13</v>
      </c>
      <c r="AU41" s="84" t="s">
        <v>767</v>
      </c>
      <c r="AV41" s="84" t="s">
        <v>767</v>
      </c>
      <c r="AW41" s="84" t="s">
        <v>767</v>
      </c>
      <c r="AX41" s="84" t="s">
        <v>767</v>
      </c>
      <c r="AY41" s="84" t="s">
        <v>767</v>
      </c>
      <c r="AZ41" s="84" t="s">
        <v>767</v>
      </c>
      <c r="BA41" s="84" t="s">
        <v>767</v>
      </c>
      <c r="BB41" s="84" t="s">
        <v>767</v>
      </c>
      <c r="BC41" s="84" t="s">
        <v>767</v>
      </c>
      <c r="BD41" s="84" t="s">
        <v>767</v>
      </c>
      <c r="BE41" s="84" t="s">
        <v>767</v>
      </c>
      <c r="BF41" s="84" t="s">
        <v>767</v>
      </c>
      <c r="BG41" s="84" t="s">
        <v>767</v>
      </c>
      <c r="BH41" s="67" t="s">
        <v>767</v>
      </c>
      <c r="BI41" s="67" t="s">
        <v>767</v>
      </c>
      <c r="BJ41" s="84" t="s">
        <v>767</v>
      </c>
      <c r="BK41" s="67" t="s">
        <v>767</v>
      </c>
      <c r="BL41" s="67" t="e">
        <v>#NAME?</v>
      </c>
      <c r="BM41" s="67" t="e">
        <v>#NAME?</v>
      </c>
      <c r="BN41" s="67" t="e">
        <v>#NAME?</v>
      </c>
      <c r="BO41" s="67" t="e">
        <v>#NAME?</v>
      </c>
      <c r="BP41" s="67" t="e">
        <v>#NAME?</v>
      </c>
      <c r="BQ41" s="67" t="e">
        <v>#NAME?</v>
      </c>
      <c r="BR41" s="67" t="s">
        <v>765</v>
      </c>
      <c r="BS41" s="69" t="e">
        <v>#VALUE!</v>
      </c>
      <c r="BT41" s="69" t="e">
        <v>#VALUE!</v>
      </c>
      <c r="BU41" s="69" t="e">
        <v>#VALUE!</v>
      </c>
      <c r="BV41" s="69" t="e">
        <v>#VALUE!</v>
      </c>
      <c r="BW41" s="69" t="e">
        <v>#VALUE!</v>
      </c>
      <c r="BX41" s="69" t="e">
        <v>#VALUE!</v>
      </c>
      <c r="BY41" s="69" t="e">
        <v>#VALUE!</v>
      </c>
      <c r="BZ41" s="69" t="e">
        <v>#VALUE!</v>
      </c>
      <c r="CB41" s="67">
        <v>2</v>
      </c>
      <c r="CC41" s="13" t="s">
        <v>295</v>
      </c>
      <c r="CD41" s="13" t="s">
        <v>294</v>
      </c>
      <c r="CE41" s="68">
        <v>42766</v>
      </c>
    </row>
    <row r="42" spans="1:83" s="67" customFormat="1" ht="12.75">
      <c r="A42" s="67" t="s">
        <v>767</v>
      </c>
      <c r="B42" s="67" t="s">
        <v>767</v>
      </c>
      <c r="C42" s="67" t="s">
        <v>767</v>
      </c>
      <c r="D42" s="67" t="s">
        <v>767</v>
      </c>
      <c r="E42" s="68" t="s">
        <v>767</v>
      </c>
      <c r="F42" s="68" t="s">
        <v>767</v>
      </c>
      <c r="G42" s="68" t="s">
        <v>767</v>
      </c>
      <c r="H42" s="84" t="s">
        <v>767</v>
      </c>
      <c r="I42" s="84" t="s">
        <v>767</v>
      </c>
      <c r="J42" s="84" t="s">
        <v>767</v>
      </c>
      <c r="K42" s="84" t="s">
        <v>767</v>
      </c>
      <c r="L42" s="84" t="s">
        <v>767</v>
      </c>
      <c r="M42" s="84" t="s">
        <v>767</v>
      </c>
      <c r="N42" s="84" t="s">
        <v>767</v>
      </c>
      <c r="O42" s="84" t="s">
        <v>767</v>
      </c>
      <c r="P42" s="84" t="s">
        <v>767</v>
      </c>
      <c r="Q42" s="84" t="s">
        <v>767</v>
      </c>
      <c r="R42" s="84" t="s">
        <v>767</v>
      </c>
      <c r="S42" s="84" t="s">
        <v>767</v>
      </c>
      <c r="T42" s="84" t="s">
        <v>767</v>
      </c>
      <c r="U42" s="84" t="s">
        <v>767</v>
      </c>
      <c r="V42" s="84" t="s">
        <v>767</v>
      </c>
      <c r="W42" s="84" t="s">
        <v>767</v>
      </c>
      <c r="X42" s="84" t="s">
        <v>767</v>
      </c>
      <c r="Y42" s="84" t="s">
        <v>767</v>
      </c>
      <c r="Z42" s="84" t="s">
        <v>767</v>
      </c>
      <c r="AA42" s="84" t="s">
        <v>767</v>
      </c>
      <c r="AB42" s="84" t="s">
        <v>767</v>
      </c>
      <c r="AC42" s="84" t="s">
        <v>767</v>
      </c>
      <c r="AD42" s="84" t="s">
        <v>767</v>
      </c>
      <c r="AE42" s="84" t="s">
        <v>767</v>
      </c>
      <c r="AF42" s="69" t="s">
        <v>13</v>
      </c>
      <c r="AG42" s="69" t="s">
        <v>13</v>
      </c>
      <c r="AH42" s="69" t="s">
        <v>13</v>
      </c>
      <c r="AI42" s="69" t="s">
        <v>13</v>
      </c>
      <c r="AJ42" s="84" t="s">
        <v>767</v>
      </c>
      <c r="AK42" s="84" t="s">
        <v>767</v>
      </c>
      <c r="AL42" s="84" t="s">
        <v>767</v>
      </c>
      <c r="AM42" s="84" t="s">
        <v>767</v>
      </c>
      <c r="AN42" s="84" t="s">
        <v>767</v>
      </c>
      <c r="AO42" s="84" t="s">
        <v>767</v>
      </c>
      <c r="AP42" s="66" t="s">
        <v>767</v>
      </c>
      <c r="AQ42" s="85" t="s">
        <v>767</v>
      </c>
      <c r="AR42" s="85" t="s">
        <v>767</v>
      </c>
      <c r="AS42" s="85" t="s">
        <v>767</v>
      </c>
      <c r="AT42" s="69" t="s">
        <v>13</v>
      </c>
      <c r="AU42" s="84" t="s">
        <v>767</v>
      </c>
      <c r="AV42" s="84" t="s">
        <v>767</v>
      </c>
      <c r="AW42" s="84" t="s">
        <v>767</v>
      </c>
      <c r="AX42" s="84" t="s">
        <v>767</v>
      </c>
      <c r="AY42" s="84" t="s">
        <v>767</v>
      </c>
      <c r="AZ42" s="84" t="s">
        <v>767</v>
      </c>
      <c r="BA42" s="84" t="s">
        <v>767</v>
      </c>
      <c r="BB42" s="84" t="s">
        <v>767</v>
      </c>
      <c r="BC42" s="84" t="s">
        <v>767</v>
      </c>
      <c r="BD42" s="84" t="s">
        <v>767</v>
      </c>
      <c r="BE42" s="84" t="s">
        <v>767</v>
      </c>
      <c r="BF42" s="84" t="s">
        <v>767</v>
      </c>
      <c r="BG42" s="84" t="s">
        <v>767</v>
      </c>
      <c r="BH42" s="67" t="s">
        <v>767</v>
      </c>
      <c r="BI42" s="67" t="s">
        <v>767</v>
      </c>
      <c r="BJ42" s="84" t="s">
        <v>767</v>
      </c>
      <c r="BK42" s="67" t="s">
        <v>767</v>
      </c>
      <c r="BL42" s="67" t="e">
        <v>#NAME?</v>
      </c>
      <c r="BM42" s="67" t="e">
        <v>#NAME?</v>
      </c>
      <c r="BN42" s="67" t="e">
        <v>#NAME?</v>
      </c>
      <c r="BO42" s="67" t="e">
        <v>#NAME?</v>
      </c>
      <c r="BP42" s="67" t="e">
        <v>#NAME?</v>
      </c>
      <c r="BQ42" s="67" t="e">
        <v>#NAME?</v>
      </c>
      <c r="BR42" s="67" t="s">
        <v>765</v>
      </c>
      <c r="BS42" s="69" t="e">
        <v>#VALUE!</v>
      </c>
      <c r="BT42" s="69" t="e">
        <v>#VALUE!</v>
      </c>
      <c r="BU42" s="69" t="e">
        <v>#VALUE!</v>
      </c>
      <c r="BV42" s="69" t="e">
        <v>#VALUE!</v>
      </c>
      <c r="BW42" s="69" t="e">
        <v>#VALUE!</v>
      </c>
      <c r="BX42" s="69" t="e">
        <v>#VALUE!</v>
      </c>
      <c r="BY42" s="69" t="e">
        <v>#VALUE!</v>
      </c>
      <c r="BZ42" s="69" t="e">
        <v>#VALUE!</v>
      </c>
      <c r="CB42" s="67">
        <v>2</v>
      </c>
      <c r="CC42" s="13" t="s">
        <v>295</v>
      </c>
      <c r="CD42" s="13" t="s">
        <v>294</v>
      </c>
      <c r="CE42" s="68">
        <v>42766</v>
      </c>
    </row>
    <row r="43" spans="1:83">
      <c r="A43" s="83" t="s">
        <v>768</v>
      </c>
      <c r="E43" s="68"/>
      <c r="F43" s="68"/>
      <c r="G43" s="68"/>
      <c r="H43" s="84"/>
      <c r="I43" s="84"/>
      <c r="K43" s="84"/>
      <c r="M43" s="84"/>
      <c r="N43" s="84"/>
      <c r="O43" s="84"/>
      <c r="P43" s="84"/>
      <c r="Q43" s="84"/>
      <c r="R43" s="84"/>
      <c r="S43" s="84"/>
      <c r="U43" s="84"/>
      <c r="V43" s="84"/>
      <c r="W43" s="84"/>
      <c r="X43" s="84"/>
      <c r="Y43" s="84"/>
      <c r="Z43" s="84"/>
      <c r="AA43" s="84"/>
      <c r="AB43" s="84"/>
      <c r="AC43" s="84"/>
      <c r="AE43" s="84"/>
      <c r="AF43" s="69"/>
      <c r="AG43" s="69"/>
      <c r="AH43" s="69"/>
      <c r="AI43" s="69"/>
      <c r="AJ43" s="84"/>
      <c r="AK43" s="84"/>
      <c r="AL43" s="84"/>
      <c r="AM43" s="84"/>
      <c r="AN43" s="84"/>
      <c r="AO43" s="84"/>
      <c r="AP43" s="66"/>
      <c r="AQ43" s="85"/>
      <c r="AR43" s="85"/>
      <c r="AS43" s="85"/>
      <c r="AU43" s="84"/>
      <c r="AV43" s="84"/>
      <c r="AW43" s="84"/>
      <c r="AX43" s="84"/>
      <c r="AY43" s="84"/>
      <c r="AZ43" s="84"/>
      <c r="BA43" s="84"/>
      <c r="BB43" s="84"/>
      <c r="BC43" s="84"/>
      <c r="BD43" s="84"/>
      <c r="BE43" s="84" t="s">
        <v>4093</v>
      </c>
      <c r="BF43" s="84"/>
      <c r="BG43" s="84"/>
      <c r="BH43" s="64"/>
      <c r="BI43" s="64"/>
      <c r="BJ43" s="84"/>
      <c r="BK43" s="64"/>
      <c r="BL43" s="64"/>
      <c r="BM43" s="64"/>
      <c r="BN43" s="64"/>
      <c r="BO43" s="64"/>
      <c r="BP43" s="64"/>
      <c r="BQ43" s="64"/>
      <c r="BR43" s="64"/>
      <c r="BS43" s="64"/>
      <c r="BT43" s="64"/>
      <c r="BU43" s="64"/>
      <c r="BV43" s="64"/>
      <c r="BW43" s="64"/>
      <c r="BX43" s="64"/>
      <c r="BY43" s="64"/>
      <c r="BZ43" s="64"/>
    </row>
    <row r="44" spans="1:83">
      <c r="A44" s="67" t="s">
        <v>767</v>
      </c>
      <c r="B44" s="67" t="s">
        <v>767</v>
      </c>
      <c r="C44" s="67" t="s">
        <v>767</v>
      </c>
      <c r="D44" s="67" t="s">
        <v>767</v>
      </c>
      <c r="E44" s="68" t="s">
        <v>767</v>
      </c>
      <c r="F44" s="68" t="s">
        <v>767</v>
      </c>
      <c r="G44" s="68" t="s">
        <v>767</v>
      </c>
      <c r="H44" s="84" t="s">
        <v>767</v>
      </c>
      <c r="I44" s="84" t="s">
        <v>767</v>
      </c>
      <c r="J44" s="68" t="s">
        <v>767</v>
      </c>
      <c r="K44" s="84" t="s">
        <v>767</v>
      </c>
      <c r="L44" s="84" t="s">
        <v>767</v>
      </c>
      <c r="M44" s="84" t="s">
        <v>767</v>
      </c>
      <c r="N44" s="84" t="s">
        <v>767</v>
      </c>
      <c r="O44" s="84" t="s">
        <v>767</v>
      </c>
      <c r="P44" s="84" t="s">
        <v>767</v>
      </c>
      <c r="Q44" s="84" t="s">
        <v>767</v>
      </c>
      <c r="R44" s="84" t="s">
        <v>767</v>
      </c>
      <c r="S44" s="84" t="s">
        <v>767</v>
      </c>
      <c r="T44" s="84" t="s">
        <v>767</v>
      </c>
      <c r="U44" s="84" t="s">
        <v>767</v>
      </c>
      <c r="V44" s="84" t="s">
        <v>767</v>
      </c>
      <c r="W44" s="84" t="s">
        <v>767</v>
      </c>
      <c r="X44" s="84" t="s">
        <v>767</v>
      </c>
      <c r="Y44" s="84" t="s">
        <v>767</v>
      </c>
      <c r="Z44" s="84" t="s">
        <v>767</v>
      </c>
      <c r="AA44" s="84" t="s">
        <v>767</v>
      </c>
      <c r="AB44" s="84" t="s">
        <v>767</v>
      </c>
      <c r="AC44" s="84" t="s">
        <v>767</v>
      </c>
      <c r="AD44" s="67" t="s">
        <v>767</v>
      </c>
      <c r="AE44" s="84" t="s">
        <v>767</v>
      </c>
      <c r="AF44" s="69" t="s">
        <v>13</v>
      </c>
      <c r="AG44" s="69" t="s">
        <v>13</v>
      </c>
      <c r="AH44" s="69" t="s">
        <v>13</v>
      </c>
      <c r="AI44" s="69" t="s">
        <v>13</v>
      </c>
      <c r="AJ44" s="84" t="s">
        <v>767</v>
      </c>
      <c r="AK44" s="84" t="s">
        <v>767</v>
      </c>
      <c r="AL44" s="84" t="s">
        <v>767</v>
      </c>
      <c r="AM44" s="84" t="s">
        <v>767</v>
      </c>
      <c r="AN44" s="84" t="s">
        <v>767</v>
      </c>
      <c r="AO44" s="84" t="s">
        <v>767</v>
      </c>
      <c r="AP44" s="66" t="s">
        <v>767</v>
      </c>
      <c r="AQ44" s="85" t="s">
        <v>767</v>
      </c>
      <c r="AR44" s="85" t="s">
        <v>767</v>
      </c>
      <c r="AS44" s="85" t="s">
        <v>767</v>
      </c>
      <c r="AT44" s="67" t="s">
        <v>13</v>
      </c>
      <c r="AU44" s="84" t="s">
        <v>767</v>
      </c>
      <c r="AV44" s="84" t="s">
        <v>767</v>
      </c>
      <c r="AW44" s="84" t="s">
        <v>767</v>
      </c>
      <c r="AX44" s="84" t="s">
        <v>767</v>
      </c>
      <c r="AY44" s="84" t="s">
        <v>767</v>
      </c>
      <c r="AZ44" s="84" t="s">
        <v>767</v>
      </c>
      <c r="BA44" s="84" t="s">
        <v>767</v>
      </c>
      <c r="BB44" s="84" t="s">
        <v>767</v>
      </c>
      <c r="BC44" s="84" t="s">
        <v>767</v>
      </c>
      <c r="BD44" s="84" t="s">
        <v>767</v>
      </c>
      <c r="BE44" s="84" t="s">
        <v>767</v>
      </c>
      <c r="BF44" s="84" t="s">
        <v>767</v>
      </c>
      <c r="BG44" s="84" t="s">
        <v>767</v>
      </c>
      <c r="BH44" s="67" t="s">
        <v>767</v>
      </c>
      <c r="BI44" s="67" t="s">
        <v>767</v>
      </c>
      <c r="BJ44" s="84" t="s">
        <v>767</v>
      </c>
      <c r="BK44" s="67" t="s">
        <v>767</v>
      </c>
      <c r="BL44" s="67" t="e">
        <v>#NAME?</v>
      </c>
      <c r="BM44" s="67" t="e">
        <v>#NAME?</v>
      </c>
      <c r="BN44" s="67" t="e">
        <v>#NAME?</v>
      </c>
      <c r="BO44" s="67" t="e">
        <v>#NAME?</v>
      </c>
      <c r="BP44" s="67" t="e">
        <v>#NAME?</v>
      </c>
      <c r="BQ44" s="67" t="e">
        <v>#NAME?</v>
      </c>
      <c r="BR44" s="67" t="s">
        <v>765</v>
      </c>
      <c r="BS44" s="69" t="e">
        <v>#VALUE!</v>
      </c>
      <c r="BT44" s="69" t="e">
        <v>#VALUE!</v>
      </c>
      <c r="BU44" s="69" t="e">
        <v>#VALUE!</v>
      </c>
      <c r="BV44" s="69" t="e">
        <v>#VALUE!</v>
      </c>
      <c r="BW44" s="69" t="e">
        <v>#VALUE!</v>
      </c>
      <c r="BX44" s="69" t="e">
        <v>#VALUE!</v>
      </c>
      <c r="BY44" s="69" t="e">
        <v>#VALUE!</v>
      </c>
      <c r="BZ44" s="69" t="e">
        <v>#VALUE!</v>
      </c>
    </row>
    <row r="45" spans="1:83">
      <c r="A45" s="67" t="s">
        <v>767</v>
      </c>
      <c r="B45" s="67" t="s">
        <v>767</v>
      </c>
      <c r="C45" s="67" t="s">
        <v>767</v>
      </c>
      <c r="D45" s="67" t="s">
        <v>767</v>
      </c>
      <c r="E45" s="68" t="s">
        <v>767</v>
      </c>
      <c r="F45" s="68" t="s">
        <v>767</v>
      </c>
      <c r="G45" s="68" t="s">
        <v>767</v>
      </c>
      <c r="H45" s="84" t="s">
        <v>767</v>
      </c>
      <c r="I45" s="84" t="s">
        <v>767</v>
      </c>
      <c r="J45" s="68" t="s">
        <v>767</v>
      </c>
      <c r="K45" s="84" t="s">
        <v>767</v>
      </c>
      <c r="L45" s="84" t="s">
        <v>767</v>
      </c>
      <c r="M45" s="84" t="s">
        <v>767</v>
      </c>
      <c r="N45" s="84" t="s">
        <v>767</v>
      </c>
      <c r="O45" s="84" t="s">
        <v>767</v>
      </c>
      <c r="P45" s="84" t="s">
        <v>767</v>
      </c>
      <c r="Q45" s="84" t="s">
        <v>767</v>
      </c>
      <c r="R45" s="84" t="s">
        <v>767</v>
      </c>
      <c r="S45" s="84" t="s">
        <v>767</v>
      </c>
      <c r="T45" s="84" t="s">
        <v>767</v>
      </c>
      <c r="U45" s="84" t="s">
        <v>767</v>
      </c>
      <c r="V45" s="84" t="s">
        <v>767</v>
      </c>
      <c r="W45" s="84" t="s">
        <v>767</v>
      </c>
      <c r="X45" s="84" t="s">
        <v>767</v>
      </c>
      <c r="Y45" s="84" t="s">
        <v>767</v>
      </c>
      <c r="Z45" s="84" t="s">
        <v>767</v>
      </c>
      <c r="AA45" s="84" t="s">
        <v>767</v>
      </c>
      <c r="AB45" s="84" t="s">
        <v>767</v>
      </c>
      <c r="AC45" s="84" t="s">
        <v>767</v>
      </c>
      <c r="AD45" s="67" t="s">
        <v>767</v>
      </c>
      <c r="AE45" s="84" t="s">
        <v>767</v>
      </c>
      <c r="AF45" s="69" t="s">
        <v>13</v>
      </c>
      <c r="AG45" s="69" t="s">
        <v>13</v>
      </c>
      <c r="AH45" s="69" t="s">
        <v>13</v>
      </c>
      <c r="AI45" s="69" t="s">
        <v>13</v>
      </c>
      <c r="AJ45" s="84" t="s">
        <v>767</v>
      </c>
      <c r="AK45" s="84" t="s">
        <v>767</v>
      </c>
      <c r="AL45" s="84" t="s">
        <v>767</v>
      </c>
      <c r="AM45" s="84" t="s">
        <v>767</v>
      </c>
      <c r="AN45" s="84" t="s">
        <v>767</v>
      </c>
      <c r="AO45" s="84" t="s">
        <v>767</v>
      </c>
      <c r="AP45" s="66" t="s">
        <v>767</v>
      </c>
      <c r="AQ45" s="85" t="s">
        <v>767</v>
      </c>
      <c r="AR45" s="85" t="s">
        <v>767</v>
      </c>
      <c r="AS45" s="85" t="s">
        <v>767</v>
      </c>
      <c r="AT45" s="67" t="s">
        <v>13</v>
      </c>
      <c r="AU45" s="84" t="s">
        <v>767</v>
      </c>
      <c r="AV45" s="84" t="s">
        <v>767</v>
      </c>
      <c r="AW45" s="84" t="s">
        <v>767</v>
      </c>
      <c r="AX45" s="84" t="s">
        <v>767</v>
      </c>
      <c r="AY45" s="84" t="s">
        <v>767</v>
      </c>
      <c r="AZ45" s="84" t="s">
        <v>767</v>
      </c>
      <c r="BA45" s="84" t="s">
        <v>767</v>
      </c>
      <c r="BB45" s="84" t="s">
        <v>767</v>
      </c>
      <c r="BC45" s="84" t="s">
        <v>767</v>
      </c>
      <c r="BD45" s="84" t="s">
        <v>767</v>
      </c>
      <c r="BE45" s="84" t="s">
        <v>767</v>
      </c>
      <c r="BF45" s="84" t="s">
        <v>767</v>
      </c>
      <c r="BG45" s="84" t="s">
        <v>767</v>
      </c>
      <c r="BH45" s="67" t="s">
        <v>767</v>
      </c>
      <c r="BI45" s="67" t="s">
        <v>767</v>
      </c>
      <c r="BJ45" s="84" t="s">
        <v>767</v>
      </c>
      <c r="BK45" s="67" t="s">
        <v>767</v>
      </c>
      <c r="BL45" s="67" t="e">
        <v>#NAME?</v>
      </c>
      <c r="BM45" s="67" t="e">
        <v>#NAME?</v>
      </c>
      <c r="BN45" s="67" t="e">
        <v>#NAME?</v>
      </c>
      <c r="BO45" s="67" t="e">
        <v>#NAME?</v>
      </c>
      <c r="BP45" s="67" t="e">
        <v>#NAME?</v>
      </c>
      <c r="BQ45" s="67" t="e">
        <v>#NAME?</v>
      </c>
      <c r="BR45" s="67" t="s">
        <v>765</v>
      </c>
      <c r="BS45" s="69" t="e">
        <v>#VALUE!</v>
      </c>
      <c r="BT45" s="69" t="e">
        <v>#VALUE!</v>
      </c>
      <c r="BU45" s="69" t="e">
        <v>#VALUE!</v>
      </c>
      <c r="BV45" s="69" t="e">
        <v>#VALUE!</v>
      </c>
      <c r="BW45" s="69" t="e">
        <v>#VALUE!</v>
      </c>
      <c r="BX45" s="69" t="e">
        <v>#VALUE!</v>
      </c>
      <c r="BY45" s="69" t="e">
        <v>#VALUE!</v>
      </c>
      <c r="BZ45" s="69" t="e">
        <v>#VALUE!</v>
      </c>
    </row>
    <row r="46" spans="1:83">
      <c r="A46" s="67" t="s">
        <v>767</v>
      </c>
      <c r="B46" s="67" t="s">
        <v>767</v>
      </c>
      <c r="C46" s="67" t="s">
        <v>767</v>
      </c>
      <c r="D46" s="67" t="s">
        <v>767</v>
      </c>
      <c r="E46" s="68" t="s">
        <v>767</v>
      </c>
      <c r="F46" s="68" t="s">
        <v>767</v>
      </c>
      <c r="G46" s="68" t="s">
        <v>767</v>
      </c>
      <c r="H46" s="84" t="s">
        <v>767</v>
      </c>
      <c r="I46" s="84" t="s">
        <v>767</v>
      </c>
      <c r="J46" s="68" t="s">
        <v>767</v>
      </c>
      <c r="K46" s="84" t="s">
        <v>767</v>
      </c>
      <c r="L46" s="84" t="s">
        <v>767</v>
      </c>
      <c r="M46" s="84" t="s">
        <v>767</v>
      </c>
      <c r="N46" s="84" t="s">
        <v>767</v>
      </c>
      <c r="O46" s="84" t="s">
        <v>767</v>
      </c>
      <c r="P46" s="84" t="s">
        <v>767</v>
      </c>
      <c r="Q46" s="84" t="s">
        <v>767</v>
      </c>
      <c r="R46" s="84" t="s">
        <v>767</v>
      </c>
      <c r="S46" s="84" t="s">
        <v>767</v>
      </c>
      <c r="T46" s="84" t="s">
        <v>767</v>
      </c>
      <c r="U46" s="84" t="s">
        <v>767</v>
      </c>
      <c r="V46" s="84" t="s">
        <v>767</v>
      </c>
      <c r="W46" s="84" t="s">
        <v>767</v>
      </c>
      <c r="X46" s="84" t="s">
        <v>767</v>
      </c>
      <c r="Y46" s="84" t="s">
        <v>767</v>
      </c>
      <c r="Z46" s="84" t="s">
        <v>767</v>
      </c>
      <c r="AA46" s="84" t="s">
        <v>767</v>
      </c>
      <c r="AB46" s="84" t="s">
        <v>767</v>
      </c>
      <c r="AC46" s="84" t="s">
        <v>767</v>
      </c>
      <c r="AD46" s="67" t="s">
        <v>767</v>
      </c>
      <c r="AE46" s="84" t="s">
        <v>767</v>
      </c>
      <c r="AF46" s="69" t="s">
        <v>13</v>
      </c>
      <c r="AG46" s="69" t="s">
        <v>13</v>
      </c>
      <c r="AH46" s="69" t="s">
        <v>13</v>
      </c>
      <c r="AI46" s="69" t="s">
        <v>13</v>
      </c>
      <c r="AJ46" s="84" t="s">
        <v>767</v>
      </c>
      <c r="AK46" s="84" t="s">
        <v>767</v>
      </c>
      <c r="AL46" s="84" t="s">
        <v>767</v>
      </c>
      <c r="AM46" s="84" t="s">
        <v>767</v>
      </c>
      <c r="AN46" s="84" t="s">
        <v>767</v>
      </c>
      <c r="AO46" s="84" t="s">
        <v>767</v>
      </c>
      <c r="AP46" s="66" t="s">
        <v>767</v>
      </c>
      <c r="AQ46" s="85" t="s">
        <v>767</v>
      </c>
      <c r="AR46" s="85" t="s">
        <v>767</v>
      </c>
      <c r="AS46" s="85" t="s">
        <v>767</v>
      </c>
      <c r="AT46" s="67" t="s">
        <v>13</v>
      </c>
      <c r="AU46" s="84" t="s">
        <v>767</v>
      </c>
      <c r="AV46" s="84" t="s">
        <v>767</v>
      </c>
      <c r="AW46" s="84" t="s">
        <v>767</v>
      </c>
      <c r="AX46" s="84" t="s">
        <v>767</v>
      </c>
      <c r="AY46" s="84" t="s">
        <v>767</v>
      </c>
      <c r="AZ46" s="84" t="s">
        <v>767</v>
      </c>
      <c r="BA46" s="84" t="s">
        <v>767</v>
      </c>
      <c r="BB46" s="84" t="s">
        <v>767</v>
      </c>
      <c r="BC46" s="84" t="s">
        <v>767</v>
      </c>
      <c r="BD46" s="84" t="s">
        <v>767</v>
      </c>
      <c r="BE46" s="84" t="s">
        <v>767</v>
      </c>
      <c r="BF46" s="84" t="s">
        <v>767</v>
      </c>
      <c r="BG46" s="84" t="s">
        <v>767</v>
      </c>
      <c r="BH46" s="67" t="s">
        <v>767</v>
      </c>
      <c r="BI46" s="67" t="s">
        <v>767</v>
      </c>
      <c r="BJ46" s="84" t="s">
        <v>767</v>
      </c>
      <c r="BK46" s="67" t="s">
        <v>767</v>
      </c>
      <c r="BL46" s="67" t="e">
        <v>#NAME?</v>
      </c>
      <c r="BM46" s="67" t="e">
        <v>#NAME?</v>
      </c>
      <c r="BN46" s="67" t="e">
        <v>#NAME?</v>
      </c>
      <c r="BO46" s="67" t="e">
        <v>#NAME?</v>
      </c>
      <c r="BP46" s="67" t="e">
        <v>#NAME?</v>
      </c>
      <c r="BQ46" s="67" t="e">
        <v>#NAME?</v>
      </c>
      <c r="BR46" s="67" t="s">
        <v>765</v>
      </c>
      <c r="BS46" s="69" t="e">
        <v>#VALUE!</v>
      </c>
      <c r="BT46" s="69" t="e">
        <v>#VALUE!</v>
      </c>
      <c r="BU46" s="69" t="e">
        <v>#VALUE!</v>
      </c>
      <c r="BV46" s="69" t="e">
        <v>#VALUE!</v>
      </c>
      <c r="BW46" s="69" t="e">
        <v>#VALUE!</v>
      </c>
      <c r="BX46" s="69" t="e">
        <v>#VALUE!</v>
      </c>
      <c r="BY46" s="69" t="e">
        <v>#VALUE!</v>
      </c>
      <c r="BZ46" s="69" t="e">
        <v>#VALUE!</v>
      </c>
    </row>
    <row r="47" spans="1:83">
      <c r="A47" s="67" t="s">
        <v>767</v>
      </c>
      <c r="B47" s="67" t="s">
        <v>767</v>
      </c>
      <c r="C47" s="67" t="s">
        <v>767</v>
      </c>
      <c r="D47" s="67" t="s">
        <v>767</v>
      </c>
      <c r="E47" s="68" t="s">
        <v>767</v>
      </c>
      <c r="F47" s="68" t="s">
        <v>767</v>
      </c>
      <c r="G47" s="68" t="s">
        <v>767</v>
      </c>
      <c r="H47" s="84" t="s">
        <v>767</v>
      </c>
      <c r="I47" s="84" t="s">
        <v>767</v>
      </c>
      <c r="J47" s="68" t="s">
        <v>767</v>
      </c>
      <c r="K47" s="84" t="s">
        <v>767</v>
      </c>
      <c r="L47" s="84" t="s">
        <v>767</v>
      </c>
      <c r="M47" s="84" t="s">
        <v>767</v>
      </c>
      <c r="N47" s="84" t="s">
        <v>767</v>
      </c>
      <c r="O47" s="84" t="s">
        <v>767</v>
      </c>
      <c r="P47" s="84" t="s">
        <v>767</v>
      </c>
      <c r="Q47" s="84" t="s">
        <v>767</v>
      </c>
      <c r="R47" s="84" t="s">
        <v>767</v>
      </c>
      <c r="S47" s="84" t="s">
        <v>767</v>
      </c>
      <c r="T47" s="84" t="s">
        <v>767</v>
      </c>
      <c r="U47" s="84" t="s">
        <v>767</v>
      </c>
      <c r="V47" s="84" t="s">
        <v>767</v>
      </c>
      <c r="W47" s="84" t="s">
        <v>767</v>
      </c>
      <c r="X47" s="84" t="s">
        <v>767</v>
      </c>
      <c r="Y47" s="84" t="s">
        <v>767</v>
      </c>
      <c r="Z47" s="84" t="s">
        <v>767</v>
      </c>
      <c r="AA47" s="84" t="s">
        <v>767</v>
      </c>
      <c r="AB47" s="84" t="s">
        <v>767</v>
      </c>
      <c r="AC47" s="84" t="s">
        <v>767</v>
      </c>
      <c r="AD47" s="67" t="s">
        <v>767</v>
      </c>
      <c r="AE47" s="84" t="s">
        <v>767</v>
      </c>
      <c r="AF47" s="69" t="s">
        <v>13</v>
      </c>
      <c r="AG47" s="69" t="s">
        <v>13</v>
      </c>
      <c r="AH47" s="69" t="s">
        <v>13</v>
      </c>
      <c r="AI47" s="69" t="s">
        <v>13</v>
      </c>
      <c r="AJ47" s="84" t="s">
        <v>767</v>
      </c>
      <c r="AK47" s="84" t="s">
        <v>767</v>
      </c>
      <c r="AL47" s="84" t="s">
        <v>767</v>
      </c>
      <c r="AM47" s="84" t="s">
        <v>767</v>
      </c>
      <c r="AN47" s="84" t="s">
        <v>767</v>
      </c>
      <c r="AO47" s="84" t="s">
        <v>767</v>
      </c>
      <c r="AP47" s="67" t="s">
        <v>767</v>
      </c>
      <c r="AQ47" s="85" t="s">
        <v>767</v>
      </c>
      <c r="AR47" s="85" t="s">
        <v>767</v>
      </c>
      <c r="AS47" s="85" t="s">
        <v>767</v>
      </c>
      <c r="AT47" s="67" t="s">
        <v>13</v>
      </c>
      <c r="AU47" s="84" t="s">
        <v>767</v>
      </c>
      <c r="AV47" s="84" t="s">
        <v>767</v>
      </c>
      <c r="AW47" s="84" t="s">
        <v>767</v>
      </c>
      <c r="AX47" s="84" t="s">
        <v>767</v>
      </c>
      <c r="AY47" s="84" t="s">
        <v>767</v>
      </c>
      <c r="AZ47" s="84" t="s">
        <v>767</v>
      </c>
      <c r="BA47" s="84" t="s">
        <v>767</v>
      </c>
      <c r="BB47" s="84" t="s">
        <v>767</v>
      </c>
      <c r="BC47" s="84" t="s">
        <v>767</v>
      </c>
      <c r="BD47" s="84" t="s">
        <v>767</v>
      </c>
      <c r="BE47" s="84" t="s">
        <v>767</v>
      </c>
      <c r="BF47" s="84" t="s">
        <v>767</v>
      </c>
      <c r="BG47" s="84" t="s">
        <v>767</v>
      </c>
      <c r="BH47" s="67" t="s">
        <v>767</v>
      </c>
      <c r="BI47" s="67" t="s">
        <v>767</v>
      </c>
      <c r="BJ47" s="84" t="s">
        <v>767</v>
      </c>
      <c r="BK47" s="67" t="s">
        <v>767</v>
      </c>
      <c r="BL47" s="67" t="e">
        <v>#NAME?</v>
      </c>
      <c r="BM47" s="67" t="e">
        <v>#NAME?</v>
      </c>
      <c r="BN47" s="67" t="e">
        <v>#NAME?</v>
      </c>
      <c r="BO47" s="67" t="e">
        <v>#NAME?</v>
      </c>
      <c r="BP47" s="67" t="e">
        <v>#NAME?</v>
      </c>
      <c r="BQ47" s="67" t="e">
        <v>#NAME?</v>
      </c>
      <c r="BR47" s="67" t="s">
        <v>765</v>
      </c>
      <c r="BS47" s="69" t="e">
        <v>#VALUE!</v>
      </c>
      <c r="BT47" s="69" t="e">
        <v>#VALUE!</v>
      </c>
      <c r="BU47" s="69" t="e">
        <v>#VALUE!</v>
      </c>
      <c r="BV47" s="69" t="e">
        <v>#VALUE!</v>
      </c>
      <c r="BW47" s="69" t="e">
        <v>#VALUE!</v>
      </c>
      <c r="BX47" s="69" t="e">
        <v>#VALUE!</v>
      </c>
      <c r="BY47" s="69" t="e">
        <v>#VALUE!</v>
      </c>
      <c r="BZ47" s="69" t="e">
        <v>#VALUE!</v>
      </c>
    </row>
    <row r="48" spans="1:83">
      <c r="A48" s="67" t="s">
        <v>767</v>
      </c>
      <c r="B48" s="67" t="s">
        <v>767</v>
      </c>
      <c r="C48" s="67" t="s">
        <v>767</v>
      </c>
      <c r="D48" s="67" t="s">
        <v>767</v>
      </c>
      <c r="E48" s="68" t="s">
        <v>767</v>
      </c>
      <c r="F48" s="68" t="s">
        <v>767</v>
      </c>
      <c r="G48" s="68" t="s">
        <v>767</v>
      </c>
      <c r="H48" s="84" t="s">
        <v>767</v>
      </c>
      <c r="I48" s="84" t="s">
        <v>767</v>
      </c>
      <c r="J48" s="68" t="s">
        <v>767</v>
      </c>
      <c r="K48" s="84" t="s">
        <v>767</v>
      </c>
      <c r="L48" s="84" t="s">
        <v>767</v>
      </c>
      <c r="M48" s="84" t="s">
        <v>767</v>
      </c>
      <c r="N48" s="84" t="s">
        <v>767</v>
      </c>
      <c r="O48" s="84" t="s">
        <v>767</v>
      </c>
      <c r="P48" s="84" t="s">
        <v>767</v>
      </c>
      <c r="Q48" s="84" t="s">
        <v>767</v>
      </c>
      <c r="R48" s="84" t="s">
        <v>767</v>
      </c>
      <c r="S48" s="84" t="s">
        <v>767</v>
      </c>
      <c r="T48" s="84" t="s">
        <v>767</v>
      </c>
      <c r="U48" s="84" t="s">
        <v>767</v>
      </c>
      <c r="V48" s="84" t="s">
        <v>767</v>
      </c>
      <c r="W48" s="84" t="s">
        <v>767</v>
      </c>
      <c r="X48" s="84" t="s">
        <v>767</v>
      </c>
      <c r="Y48" s="84" t="s">
        <v>767</v>
      </c>
      <c r="Z48" s="84" t="s">
        <v>767</v>
      </c>
      <c r="AA48" s="84" t="s">
        <v>767</v>
      </c>
      <c r="AB48" s="84" t="s">
        <v>767</v>
      </c>
      <c r="AC48" s="84" t="s">
        <v>767</v>
      </c>
      <c r="AD48" s="67" t="s">
        <v>767</v>
      </c>
      <c r="AE48" s="84" t="s">
        <v>767</v>
      </c>
      <c r="AF48" s="69" t="s">
        <v>13</v>
      </c>
      <c r="AG48" s="69" t="s">
        <v>13</v>
      </c>
      <c r="AH48" s="69" t="s">
        <v>13</v>
      </c>
      <c r="AI48" s="69" t="s">
        <v>13</v>
      </c>
      <c r="AJ48" s="84" t="s">
        <v>767</v>
      </c>
      <c r="AK48" s="84" t="s">
        <v>767</v>
      </c>
      <c r="AL48" s="84" t="s">
        <v>767</v>
      </c>
      <c r="AM48" s="84" t="s">
        <v>767</v>
      </c>
      <c r="AN48" s="84" t="s">
        <v>767</v>
      </c>
      <c r="AO48" s="84" t="s">
        <v>767</v>
      </c>
      <c r="AP48" s="67" t="s">
        <v>767</v>
      </c>
      <c r="AQ48" s="85" t="s">
        <v>767</v>
      </c>
      <c r="AR48" s="85" t="s">
        <v>767</v>
      </c>
      <c r="AS48" s="85" t="s">
        <v>767</v>
      </c>
      <c r="AT48" s="67" t="s">
        <v>13</v>
      </c>
      <c r="AU48" s="84" t="s">
        <v>767</v>
      </c>
      <c r="AV48" s="84" t="s">
        <v>767</v>
      </c>
      <c r="AW48" s="84" t="s">
        <v>767</v>
      </c>
      <c r="AX48" s="84" t="s">
        <v>767</v>
      </c>
      <c r="AY48" s="84" t="s">
        <v>767</v>
      </c>
      <c r="AZ48" s="84" t="s">
        <v>767</v>
      </c>
      <c r="BA48" s="84" t="s">
        <v>767</v>
      </c>
      <c r="BB48" s="84" t="s">
        <v>767</v>
      </c>
      <c r="BC48" s="84" t="s">
        <v>767</v>
      </c>
      <c r="BD48" s="84" t="s">
        <v>767</v>
      </c>
      <c r="BE48" s="84" t="s">
        <v>767</v>
      </c>
      <c r="BF48" s="84" t="s">
        <v>767</v>
      </c>
      <c r="BG48" s="84" t="s">
        <v>767</v>
      </c>
      <c r="BH48" s="67" t="s">
        <v>767</v>
      </c>
      <c r="BI48" s="67" t="s">
        <v>767</v>
      </c>
      <c r="BJ48" s="84" t="s">
        <v>767</v>
      </c>
      <c r="BK48" s="67" t="s">
        <v>767</v>
      </c>
      <c r="BL48" s="67" t="e">
        <v>#NAME?</v>
      </c>
      <c r="BM48" s="67" t="e">
        <v>#NAME?</v>
      </c>
      <c r="BN48" s="67" t="e">
        <v>#NAME?</v>
      </c>
      <c r="BO48" s="67" t="e">
        <v>#NAME?</v>
      </c>
      <c r="BP48" s="67" t="e">
        <v>#NAME?</v>
      </c>
      <c r="BQ48" s="67" t="e">
        <v>#NAME?</v>
      </c>
      <c r="BR48" s="67" t="s">
        <v>765</v>
      </c>
      <c r="BS48" s="69" t="e">
        <v>#VALUE!</v>
      </c>
      <c r="BT48" s="69" t="e">
        <v>#VALUE!</v>
      </c>
      <c r="BU48" s="69" t="e">
        <v>#VALUE!</v>
      </c>
      <c r="BV48" s="69" t="e">
        <v>#VALUE!</v>
      </c>
      <c r="BW48" s="69" t="e">
        <v>#VALUE!</v>
      </c>
      <c r="BX48" s="69" t="e">
        <v>#VALUE!</v>
      </c>
      <c r="BY48" s="69" t="e">
        <v>#VALUE!</v>
      </c>
      <c r="BZ48" s="69" t="e">
        <v>#VALUE!</v>
      </c>
    </row>
    <row r="49" spans="1:83">
      <c r="A49" s="67" t="s">
        <v>767</v>
      </c>
      <c r="B49" s="67" t="s">
        <v>767</v>
      </c>
      <c r="C49" s="67" t="s">
        <v>767</v>
      </c>
      <c r="D49" s="67" t="s">
        <v>767</v>
      </c>
      <c r="E49" s="68" t="s">
        <v>767</v>
      </c>
      <c r="F49" s="68" t="s">
        <v>767</v>
      </c>
      <c r="G49" s="68" t="s">
        <v>767</v>
      </c>
      <c r="H49" s="84" t="s">
        <v>767</v>
      </c>
      <c r="I49" s="84" t="s">
        <v>767</v>
      </c>
      <c r="J49" s="68" t="s">
        <v>767</v>
      </c>
      <c r="K49" s="84" t="s">
        <v>767</v>
      </c>
      <c r="L49" s="84" t="s">
        <v>767</v>
      </c>
      <c r="M49" s="84" t="s">
        <v>767</v>
      </c>
      <c r="N49" s="84" t="s">
        <v>767</v>
      </c>
      <c r="O49" s="84" t="s">
        <v>767</v>
      </c>
      <c r="P49" s="84" t="s">
        <v>767</v>
      </c>
      <c r="Q49" s="84" t="s">
        <v>767</v>
      </c>
      <c r="R49" s="84" t="s">
        <v>767</v>
      </c>
      <c r="S49" s="84" t="s">
        <v>767</v>
      </c>
      <c r="T49" s="84" t="s">
        <v>767</v>
      </c>
      <c r="U49" s="84" t="s">
        <v>767</v>
      </c>
      <c r="V49" s="84" t="s">
        <v>767</v>
      </c>
      <c r="W49" s="84" t="s">
        <v>767</v>
      </c>
      <c r="X49" s="84" t="s">
        <v>767</v>
      </c>
      <c r="Y49" s="84" t="s">
        <v>767</v>
      </c>
      <c r="Z49" s="84" t="s">
        <v>767</v>
      </c>
      <c r="AA49" s="84" t="s">
        <v>767</v>
      </c>
      <c r="AB49" s="84" t="s">
        <v>767</v>
      </c>
      <c r="AC49" s="84" t="s">
        <v>767</v>
      </c>
      <c r="AD49" s="67" t="s">
        <v>767</v>
      </c>
      <c r="AE49" s="84" t="s">
        <v>767</v>
      </c>
      <c r="AF49" s="69" t="s">
        <v>13</v>
      </c>
      <c r="AG49" s="69" t="s">
        <v>13</v>
      </c>
      <c r="AH49" s="69" t="s">
        <v>13</v>
      </c>
      <c r="AI49" s="69" t="s">
        <v>13</v>
      </c>
      <c r="AJ49" s="84" t="s">
        <v>767</v>
      </c>
      <c r="AK49" s="84" t="s">
        <v>767</v>
      </c>
      <c r="AL49" s="84" t="s">
        <v>767</v>
      </c>
      <c r="AM49" s="84" t="s">
        <v>767</v>
      </c>
      <c r="AN49" s="84" t="s">
        <v>767</v>
      </c>
      <c r="AO49" s="84" t="s">
        <v>767</v>
      </c>
      <c r="AP49" s="67" t="s">
        <v>767</v>
      </c>
      <c r="AQ49" s="85" t="s">
        <v>767</v>
      </c>
      <c r="AR49" s="85" t="s">
        <v>767</v>
      </c>
      <c r="AS49" s="85" t="s">
        <v>767</v>
      </c>
      <c r="AT49" s="67" t="s">
        <v>13</v>
      </c>
      <c r="AU49" s="84" t="s">
        <v>767</v>
      </c>
      <c r="AV49" s="84" t="s">
        <v>767</v>
      </c>
      <c r="AW49" s="84" t="s">
        <v>767</v>
      </c>
      <c r="AX49" s="84" t="s">
        <v>767</v>
      </c>
      <c r="AY49" s="84" t="s">
        <v>767</v>
      </c>
      <c r="AZ49" s="84" t="s">
        <v>767</v>
      </c>
      <c r="BA49" s="84" t="s">
        <v>767</v>
      </c>
      <c r="BB49" s="84" t="s">
        <v>767</v>
      </c>
      <c r="BC49" s="84" t="s">
        <v>767</v>
      </c>
      <c r="BD49" s="84" t="s">
        <v>767</v>
      </c>
      <c r="BE49" s="84" t="s">
        <v>767</v>
      </c>
      <c r="BF49" s="84" t="s">
        <v>767</v>
      </c>
      <c r="BG49" s="84" t="s">
        <v>767</v>
      </c>
      <c r="BH49" s="67" t="s">
        <v>767</v>
      </c>
      <c r="BI49" s="67" t="s">
        <v>767</v>
      </c>
      <c r="BJ49" s="84" t="s">
        <v>767</v>
      </c>
      <c r="BK49" s="67" t="s">
        <v>767</v>
      </c>
      <c r="BL49" s="67" t="e">
        <v>#NAME?</v>
      </c>
      <c r="BM49" s="67" t="e">
        <v>#NAME?</v>
      </c>
      <c r="BN49" s="67" t="e">
        <v>#NAME?</v>
      </c>
      <c r="BO49" s="67" t="e">
        <v>#NAME?</v>
      </c>
      <c r="BP49" s="67" t="e">
        <v>#NAME?</v>
      </c>
      <c r="BQ49" s="67" t="e">
        <v>#NAME?</v>
      </c>
      <c r="BR49" s="67" t="s">
        <v>765</v>
      </c>
      <c r="BS49" s="69" t="e">
        <v>#VALUE!</v>
      </c>
      <c r="BT49" s="69" t="e">
        <v>#VALUE!</v>
      </c>
      <c r="BU49" s="69" t="e">
        <v>#VALUE!</v>
      </c>
      <c r="BV49" s="69" t="e">
        <v>#VALUE!</v>
      </c>
      <c r="BW49" s="69" t="e">
        <v>#VALUE!</v>
      </c>
      <c r="BX49" s="69" t="e">
        <v>#VALUE!</v>
      </c>
      <c r="BY49" s="69" t="e">
        <v>#VALUE!</v>
      </c>
      <c r="BZ49" s="69" t="e">
        <v>#VALUE!</v>
      </c>
    </row>
    <row r="50" spans="1:83">
      <c r="A50" s="67" t="s">
        <v>767</v>
      </c>
      <c r="B50" s="67" t="s">
        <v>767</v>
      </c>
      <c r="C50" s="67" t="s">
        <v>767</v>
      </c>
      <c r="D50" s="67" t="s">
        <v>767</v>
      </c>
      <c r="E50" s="68" t="s">
        <v>767</v>
      </c>
      <c r="F50" s="68" t="s">
        <v>767</v>
      </c>
      <c r="G50" s="68" t="s">
        <v>767</v>
      </c>
      <c r="H50" s="84" t="s">
        <v>767</v>
      </c>
      <c r="I50" s="84" t="s">
        <v>767</v>
      </c>
      <c r="J50" s="68" t="s">
        <v>767</v>
      </c>
      <c r="K50" s="84" t="s">
        <v>767</v>
      </c>
      <c r="L50" s="84" t="s">
        <v>767</v>
      </c>
      <c r="M50" s="84" t="s">
        <v>767</v>
      </c>
      <c r="N50" s="84" t="s">
        <v>767</v>
      </c>
      <c r="O50" s="84" t="s">
        <v>767</v>
      </c>
      <c r="P50" s="84" t="s">
        <v>767</v>
      </c>
      <c r="Q50" s="84" t="s">
        <v>767</v>
      </c>
      <c r="R50" s="84" t="s">
        <v>767</v>
      </c>
      <c r="S50" s="84" t="s">
        <v>767</v>
      </c>
      <c r="T50" s="84" t="s">
        <v>767</v>
      </c>
      <c r="U50" s="84" t="s">
        <v>767</v>
      </c>
      <c r="V50" s="84" t="s">
        <v>767</v>
      </c>
      <c r="W50" s="84" t="s">
        <v>767</v>
      </c>
      <c r="X50" s="84" t="s">
        <v>767</v>
      </c>
      <c r="Y50" s="84" t="s">
        <v>767</v>
      </c>
      <c r="Z50" s="84" t="s">
        <v>767</v>
      </c>
      <c r="AA50" s="84" t="s">
        <v>767</v>
      </c>
      <c r="AB50" s="84" t="s">
        <v>767</v>
      </c>
      <c r="AC50" s="84" t="s">
        <v>767</v>
      </c>
      <c r="AD50" s="67" t="s">
        <v>767</v>
      </c>
      <c r="AE50" s="84" t="s">
        <v>767</v>
      </c>
      <c r="AF50" s="69" t="s">
        <v>13</v>
      </c>
      <c r="AG50" s="69" t="s">
        <v>13</v>
      </c>
      <c r="AH50" s="69" t="s">
        <v>13</v>
      </c>
      <c r="AI50" s="69" t="s">
        <v>13</v>
      </c>
      <c r="AJ50" s="84" t="s">
        <v>767</v>
      </c>
      <c r="AK50" s="84" t="s">
        <v>767</v>
      </c>
      <c r="AL50" s="84" t="s">
        <v>767</v>
      </c>
      <c r="AM50" s="84" t="s">
        <v>767</v>
      </c>
      <c r="AN50" s="84" t="s">
        <v>767</v>
      </c>
      <c r="AO50" s="84" t="s">
        <v>767</v>
      </c>
      <c r="AP50" s="67" t="s">
        <v>767</v>
      </c>
      <c r="AQ50" s="85" t="s">
        <v>767</v>
      </c>
      <c r="AR50" s="85" t="s">
        <v>767</v>
      </c>
      <c r="AS50" s="85" t="s">
        <v>767</v>
      </c>
      <c r="AT50" s="67" t="s">
        <v>13</v>
      </c>
      <c r="AU50" s="84" t="s">
        <v>767</v>
      </c>
      <c r="AV50" s="84" t="s">
        <v>767</v>
      </c>
      <c r="AW50" s="84" t="s">
        <v>767</v>
      </c>
      <c r="AX50" s="84" t="s">
        <v>767</v>
      </c>
      <c r="AY50" s="84" t="s">
        <v>767</v>
      </c>
      <c r="AZ50" s="84" t="s">
        <v>767</v>
      </c>
      <c r="BA50" s="84" t="s">
        <v>767</v>
      </c>
      <c r="BB50" s="84" t="s">
        <v>767</v>
      </c>
      <c r="BC50" s="84" t="s">
        <v>767</v>
      </c>
      <c r="BD50" s="84" t="s">
        <v>767</v>
      </c>
      <c r="BE50" s="84" t="s">
        <v>767</v>
      </c>
      <c r="BF50" s="84" t="s">
        <v>767</v>
      </c>
      <c r="BG50" s="84" t="s">
        <v>767</v>
      </c>
      <c r="BH50" s="67" t="s">
        <v>767</v>
      </c>
      <c r="BI50" s="67" t="s">
        <v>767</v>
      </c>
      <c r="BJ50" s="84" t="s">
        <v>767</v>
      </c>
      <c r="BK50" s="67" t="s">
        <v>767</v>
      </c>
      <c r="BL50" s="67" t="e">
        <v>#NAME?</v>
      </c>
      <c r="BM50" s="67" t="e">
        <v>#NAME?</v>
      </c>
      <c r="BN50" s="67" t="e">
        <v>#NAME?</v>
      </c>
      <c r="BO50" s="67" t="e">
        <v>#NAME?</v>
      </c>
      <c r="BP50" s="67" t="e">
        <v>#NAME?</v>
      </c>
      <c r="BQ50" s="67" t="e">
        <v>#NAME?</v>
      </c>
      <c r="BR50" s="67" t="s">
        <v>765</v>
      </c>
      <c r="BS50" s="69" t="e">
        <v>#VALUE!</v>
      </c>
      <c r="BT50" s="69" t="e">
        <v>#VALUE!</v>
      </c>
      <c r="BU50" s="69" t="e">
        <v>#VALUE!</v>
      </c>
      <c r="BV50" s="69" t="e">
        <v>#VALUE!</v>
      </c>
      <c r="BW50" s="69" t="e">
        <v>#VALUE!</v>
      </c>
      <c r="BX50" s="69" t="e">
        <v>#VALUE!</v>
      </c>
      <c r="BY50" s="69" t="e">
        <v>#VALUE!</v>
      </c>
      <c r="BZ50" s="69" t="e">
        <v>#VALUE!</v>
      </c>
    </row>
    <row r="51" spans="1:83">
      <c r="A51" s="67" t="s">
        <v>767</v>
      </c>
      <c r="B51" s="67" t="s">
        <v>767</v>
      </c>
      <c r="C51" s="67" t="s">
        <v>767</v>
      </c>
      <c r="D51" s="67" t="s">
        <v>767</v>
      </c>
      <c r="E51" s="68" t="s">
        <v>767</v>
      </c>
      <c r="F51" s="68" t="s">
        <v>767</v>
      </c>
      <c r="G51" s="68" t="s">
        <v>767</v>
      </c>
      <c r="H51" s="84" t="s">
        <v>767</v>
      </c>
      <c r="I51" s="84" t="s">
        <v>767</v>
      </c>
      <c r="J51" s="68" t="s">
        <v>767</v>
      </c>
      <c r="K51" s="84" t="s">
        <v>767</v>
      </c>
      <c r="L51" s="84" t="s">
        <v>767</v>
      </c>
      <c r="M51" s="84" t="s">
        <v>767</v>
      </c>
      <c r="N51" s="84" t="s">
        <v>767</v>
      </c>
      <c r="O51" s="84" t="s">
        <v>767</v>
      </c>
      <c r="P51" s="84" t="s">
        <v>767</v>
      </c>
      <c r="Q51" s="84" t="s">
        <v>767</v>
      </c>
      <c r="R51" s="84" t="s">
        <v>767</v>
      </c>
      <c r="S51" s="84" t="s">
        <v>767</v>
      </c>
      <c r="T51" s="84" t="s">
        <v>767</v>
      </c>
      <c r="U51" s="84" t="s">
        <v>767</v>
      </c>
      <c r="V51" s="84" t="s">
        <v>767</v>
      </c>
      <c r="W51" s="84" t="s">
        <v>767</v>
      </c>
      <c r="X51" s="84" t="s">
        <v>767</v>
      </c>
      <c r="Y51" s="84" t="s">
        <v>767</v>
      </c>
      <c r="Z51" s="84" t="s">
        <v>767</v>
      </c>
      <c r="AA51" s="84" t="s">
        <v>767</v>
      </c>
      <c r="AB51" s="84" t="s">
        <v>767</v>
      </c>
      <c r="AC51" s="84" t="s">
        <v>767</v>
      </c>
      <c r="AD51" s="67" t="s">
        <v>767</v>
      </c>
      <c r="AE51" s="84" t="s">
        <v>767</v>
      </c>
      <c r="AF51" s="69" t="s">
        <v>13</v>
      </c>
      <c r="AG51" s="69" t="s">
        <v>13</v>
      </c>
      <c r="AH51" s="69" t="s">
        <v>13</v>
      </c>
      <c r="AI51" s="69" t="s">
        <v>13</v>
      </c>
      <c r="AJ51" s="84" t="s">
        <v>767</v>
      </c>
      <c r="AK51" s="84" t="s">
        <v>767</v>
      </c>
      <c r="AL51" s="84" t="s">
        <v>767</v>
      </c>
      <c r="AM51" s="84" t="s">
        <v>767</v>
      </c>
      <c r="AN51" s="84" t="s">
        <v>767</v>
      </c>
      <c r="AO51" s="84" t="s">
        <v>767</v>
      </c>
      <c r="AP51" s="67" t="s">
        <v>767</v>
      </c>
      <c r="AQ51" s="85" t="s">
        <v>767</v>
      </c>
      <c r="AR51" s="85" t="s">
        <v>767</v>
      </c>
      <c r="AS51" s="85" t="s">
        <v>767</v>
      </c>
      <c r="AT51" s="67" t="s">
        <v>13</v>
      </c>
      <c r="AU51" s="84" t="s">
        <v>767</v>
      </c>
      <c r="AV51" s="84" t="s">
        <v>767</v>
      </c>
      <c r="AW51" s="84" t="s">
        <v>767</v>
      </c>
      <c r="AX51" s="84" t="s">
        <v>767</v>
      </c>
      <c r="AY51" s="84" t="s">
        <v>767</v>
      </c>
      <c r="AZ51" s="84" t="s">
        <v>767</v>
      </c>
      <c r="BA51" s="84" t="s">
        <v>767</v>
      </c>
      <c r="BB51" s="84" t="s">
        <v>767</v>
      </c>
      <c r="BC51" s="84" t="s">
        <v>767</v>
      </c>
      <c r="BD51" s="84" t="s">
        <v>767</v>
      </c>
      <c r="BE51" s="84" t="s">
        <v>767</v>
      </c>
      <c r="BF51" s="84" t="s">
        <v>767</v>
      </c>
      <c r="BG51" s="84" t="s">
        <v>767</v>
      </c>
      <c r="BH51" s="67" t="s">
        <v>767</v>
      </c>
      <c r="BI51" s="67" t="s">
        <v>767</v>
      </c>
      <c r="BJ51" s="84" t="s">
        <v>767</v>
      </c>
      <c r="BK51" s="67" t="s">
        <v>767</v>
      </c>
      <c r="BL51" s="67" t="e">
        <v>#NAME?</v>
      </c>
      <c r="BM51" s="67" t="e">
        <v>#NAME?</v>
      </c>
      <c r="BN51" s="67" t="e">
        <v>#NAME?</v>
      </c>
      <c r="BO51" s="67" t="e">
        <v>#NAME?</v>
      </c>
      <c r="BP51" s="67" t="e">
        <v>#NAME?</v>
      </c>
      <c r="BQ51" s="67" t="e">
        <v>#NAME?</v>
      </c>
      <c r="BR51" s="67" t="s">
        <v>765</v>
      </c>
      <c r="BS51" s="69" t="e">
        <v>#VALUE!</v>
      </c>
      <c r="BT51" s="69" t="e">
        <v>#VALUE!</v>
      </c>
      <c r="BU51" s="69" t="e">
        <v>#VALUE!</v>
      </c>
      <c r="BV51" s="69" t="e">
        <v>#VALUE!</v>
      </c>
      <c r="BW51" s="69" t="e">
        <v>#VALUE!</v>
      </c>
      <c r="BX51" s="69" t="e">
        <v>#VALUE!</v>
      </c>
      <c r="BY51" s="69" t="e">
        <v>#VALUE!</v>
      </c>
      <c r="BZ51" s="69" t="e">
        <v>#VALUE!</v>
      </c>
    </row>
    <row r="52" spans="1:83">
      <c r="A52" s="67" t="s">
        <v>767</v>
      </c>
      <c r="B52" s="67" t="s">
        <v>767</v>
      </c>
      <c r="C52" s="67" t="s">
        <v>767</v>
      </c>
      <c r="D52" s="67" t="s">
        <v>767</v>
      </c>
      <c r="E52" s="68" t="s">
        <v>767</v>
      </c>
      <c r="F52" s="68" t="s">
        <v>767</v>
      </c>
      <c r="G52" s="68" t="s">
        <v>767</v>
      </c>
      <c r="H52" s="84" t="s">
        <v>767</v>
      </c>
      <c r="I52" s="84" t="s">
        <v>767</v>
      </c>
      <c r="J52" s="68" t="s">
        <v>767</v>
      </c>
      <c r="K52" s="84" t="s">
        <v>767</v>
      </c>
      <c r="L52" s="84" t="s">
        <v>767</v>
      </c>
      <c r="M52" s="84" t="s">
        <v>767</v>
      </c>
      <c r="N52" s="84" t="s">
        <v>767</v>
      </c>
      <c r="O52" s="84" t="s">
        <v>767</v>
      </c>
      <c r="P52" s="84" t="s">
        <v>767</v>
      </c>
      <c r="Q52" s="84" t="s">
        <v>767</v>
      </c>
      <c r="R52" s="84" t="s">
        <v>767</v>
      </c>
      <c r="S52" s="84" t="s">
        <v>767</v>
      </c>
      <c r="T52" s="84" t="s">
        <v>767</v>
      </c>
      <c r="U52" s="84" t="s">
        <v>767</v>
      </c>
      <c r="V52" s="84" t="s">
        <v>767</v>
      </c>
      <c r="W52" s="84" t="s">
        <v>767</v>
      </c>
      <c r="X52" s="84" t="s">
        <v>767</v>
      </c>
      <c r="Y52" s="84" t="s">
        <v>767</v>
      </c>
      <c r="Z52" s="84" t="s">
        <v>767</v>
      </c>
      <c r="AA52" s="84" t="s">
        <v>767</v>
      </c>
      <c r="AB52" s="84" t="s">
        <v>767</v>
      </c>
      <c r="AC52" s="84" t="s">
        <v>767</v>
      </c>
      <c r="AD52" s="67" t="s">
        <v>767</v>
      </c>
      <c r="AE52" s="84" t="s">
        <v>767</v>
      </c>
      <c r="AF52" s="69" t="s">
        <v>13</v>
      </c>
      <c r="AG52" s="69" t="s">
        <v>13</v>
      </c>
      <c r="AH52" s="69" t="s">
        <v>13</v>
      </c>
      <c r="AI52" s="69" t="s">
        <v>13</v>
      </c>
      <c r="AJ52" s="84" t="s">
        <v>767</v>
      </c>
      <c r="AK52" s="84" t="s">
        <v>767</v>
      </c>
      <c r="AL52" s="84" t="s">
        <v>767</v>
      </c>
      <c r="AM52" s="84" t="s">
        <v>767</v>
      </c>
      <c r="AN52" s="84" t="s">
        <v>767</v>
      </c>
      <c r="AO52" s="84" t="s">
        <v>767</v>
      </c>
      <c r="AP52" s="67" t="s">
        <v>767</v>
      </c>
      <c r="AQ52" s="85" t="s">
        <v>767</v>
      </c>
      <c r="AR52" s="85" t="s">
        <v>767</v>
      </c>
      <c r="AS52" s="85" t="s">
        <v>767</v>
      </c>
      <c r="AT52" s="67" t="s">
        <v>13</v>
      </c>
      <c r="AU52" s="84" t="s">
        <v>767</v>
      </c>
      <c r="AV52" s="84" t="s">
        <v>767</v>
      </c>
      <c r="AW52" s="84" t="s">
        <v>767</v>
      </c>
      <c r="AX52" s="84" t="s">
        <v>767</v>
      </c>
      <c r="AY52" s="84" t="s">
        <v>767</v>
      </c>
      <c r="AZ52" s="84" t="s">
        <v>767</v>
      </c>
      <c r="BA52" s="84" t="s">
        <v>767</v>
      </c>
      <c r="BB52" s="84" t="s">
        <v>767</v>
      </c>
      <c r="BC52" s="84" t="s">
        <v>767</v>
      </c>
      <c r="BD52" s="84" t="s">
        <v>767</v>
      </c>
      <c r="BE52" s="84" t="s">
        <v>767</v>
      </c>
      <c r="BF52" s="84" t="s">
        <v>767</v>
      </c>
      <c r="BG52" s="84" t="s">
        <v>767</v>
      </c>
      <c r="BH52" s="67" t="s">
        <v>767</v>
      </c>
      <c r="BI52" s="67" t="s">
        <v>767</v>
      </c>
      <c r="BJ52" s="84" t="s">
        <v>767</v>
      </c>
      <c r="BK52" s="67" t="s">
        <v>767</v>
      </c>
      <c r="BL52" s="67" t="e">
        <v>#NAME?</v>
      </c>
      <c r="BM52" s="67" t="e">
        <v>#NAME?</v>
      </c>
      <c r="BN52" s="67" t="e">
        <v>#NAME?</v>
      </c>
      <c r="BO52" s="67" t="e">
        <v>#NAME?</v>
      </c>
      <c r="BP52" s="67" t="e">
        <v>#NAME?</v>
      </c>
      <c r="BQ52" s="67" t="e">
        <v>#NAME?</v>
      </c>
      <c r="BR52" s="67" t="s">
        <v>765</v>
      </c>
      <c r="BS52" s="69" t="e">
        <v>#VALUE!</v>
      </c>
      <c r="BT52" s="69" t="e">
        <v>#VALUE!</v>
      </c>
      <c r="BU52" s="69" t="e">
        <v>#VALUE!</v>
      </c>
      <c r="BV52" s="69" t="e">
        <v>#VALUE!</v>
      </c>
      <c r="BW52" s="69" t="e">
        <v>#VALUE!</v>
      </c>
      <c r="BX52" s="69" t="e">
        <v>#VALUE!</v>
      </c>
      <c r="BY52" s="69" t="e">
        <v>#VALUE!</v>
      </c>
      <c r="BZ52" s="69" t="e">
        <v>#VALUE!</v>
      </c>
    </row>
    <row r="53" spans="1:83">
      <c r="A53" s="67" t="s">
        <v>767</v>
      </c>
      <c r="B53" s="67" t="s">
        <v>767</v>
      </c>
      <c r="C53" s="67" t="s">
        <v>767</v>
      </c>
      <c r="D53" s="67" t="s">
        <v>767</v>
      </c>
      <c r="E53" s="68" t="s">
        <v>767</v>
      </c>
      <c r="F53" s="68" t="s">
        <v>767</v>
      </c>
      <c r="G53" s="68" t="s">
        <v>767</v>
      </c>
      <c r="H53" s="84" t="s">
        <v>767</v>
      </c>
      <c r="I53" s="84" t="s">
        <v>767</v>
      </c>
      <c r="J53" s="68" t="s">
        <v>767</v>
      </c>
      <c r="K53" s="84" t="s">
        <v>767</v>
      </c>
      <c r="L53" s="84" t="s">
        <v>767</v>
      </c>
      <c r="M53" s="84" t="s">
        <v>767</v>
      </c>
      <c r="N53" s="84" t="s">
        <v>767</v>
      </c>
      <c r="O53" s="84" t="s">
        <v>767</v>
      </c>
      <c r="P53" s="84" t="s">
        <v>767</v>
      </c>
      <c r="Q53" s="84" t="s">
        <v>767</v>
      </c>
      <c r="R53" s="84" t="s">
        <v>767</v>
      </c>
      <c r="S53" s="84" t="s">
        <v>767</v>
      </c>
      <c r="T53" s="84" t="s">
        <v>767</v>
      </c>
      <c r="U53" s="84" t="s">
        <v>767</v>
      </c>
      <c r="V53" s="84" t="s">
        <v>767</v>
      </c>
      <c r="W53" s="84" t="s">
        <v>767</v>
      </c>
      <c r="X53" s="84" t="s">
        <v>767</v>
      </c>
      <c r="Y53" s="84" t="s">
        <v>767</v>
      </c>
      <c r="Z53" s="84" t="s">
        <v>767</v>
      </c>
      <c r="AA53" s="84" t="s">
        <v>767</v>
      </c>
      <c r="AB53" s="84" t="s">
        <v>767</v>
      </c>
      <c r="AC53" s="84" t="s">
        <v>767</v>
      </c>
      <c r="AD53" s="67" t="s">
        <v>767</v>
      </c>
      <c r="AE53" s="84" t="s">
        <v>767</v>
      </c>
      <c r="AF53" s="69" t="s">
        <v>13</v>
      </c>
      <c r="AG53" s="69" t="s">
        <v>13</v>
      </c>
      <c r="AH53" s="69" t="s">
        <v>13</v>
      </c>
      <c r="AI53" s="69" t="s">
        <v>13</v>
      </c>
      <c r="AJ53" s="84" t="s">
        <v>767</v>
      </c>
      <c r="AK53" s="84" t="s">
        <v>767</v>
      </c>
      <c r="AL53" s="84" t="s">
        <v>767</v>
      </c>
      <c r="AM53" s="84" t="s">
        <v>767</v>
      </c>
      <c r="AN53" s="84" t="s">
        <v>767</v>
      </c>
      <c r="AO53" s="84" t="s">
        <v>767</v>
      </c>
      <c r="AP53" s="67" t="s">
        <v>767</v>
      </c>
      <c r="AQ53" s="85" t="s">
        <v>767</v>
      </c>
      <c r="AR53" s="85" t="s">
        <v>767</v>
      </c>
      <c r="AS53" s="85" t="s">
        <v>767</v>
      </c>
      <c r="AT53" s="67" t="s">
        <v>13</v>
      </c>
      <c r="AU53" s="84" t="s">
        <v>767</v>
      </c>
      <c r="AV53" s="84" t="s">
        <v>767</v>
      </c>
      <c r="AW53" s="84" t="s">
        <v>767</v>
      </c>
      <c r="AX53" s="84" t="s">
        <v>767</v>
      </c>
      <c r="AY53" s="84" t="s">
        <v>767</v>
      </c>
      <c r="AZ53" s="84" t="s">
        <v>767</v>
      </c>
      <c r="BA53" s="84" t="s">
        <v>767</v>
      </c>
      <c r="BB53" s="84" t="s">
        <v>767</v>
      </c>
      <c r="BC53" s="84" t="s">
        <v>767</v>
      </c>
      <c r="BD53" s="84" t="s">
        <v>767</v>
      </c>
      <c r="BE53" s="84" t="s">
        <v>767</v>
      </c>
      <c r="BF53" s="84" t="s">
        <v>767</v>
      </c>
      <c r="BG53" s="84" t="s">
        <v>767</v>
      </c>
      <c r="BH53" s="67" t="s">
        <v>767</v>
      </c>
      <c r="BI53" s="67" t="s">
        <v>767</v>
      </c>
      <c r="BJ53" s="84" t="s">
        <v>767</v>
      </c>
      <c r="BK53" s="67" t="s">
        <v>767</v>
      </c>
      <c r="BL53" s="67" t="e">
        <v>#NAME?</v>
      </c>
      <c r="BM53" s="67" t="e">
        <v>#NAME?</v>
      </c>
      <c r="BN53" s="67" t="e">
        <v>#NAME?</v>
      </c>
      <c r="BO53" s="67" t="e">
        <v>#NAME?</v>
      </c>
      <c r="BP53" s="67" t="e">
        <v>#NAME?</v>
      </c>
      <c r="BQ53" s="67" t="e">
        <v>#NAME?</v>
      </c>
      <c r="BR53" s="67" t="s">
        <v>765</v>
      </c>
      <c r="BS53" s="69" t="e">
        <v>#VALUE!</v>
      </c>
      <c r="BT53" s="69" t="e">
        <v>#VALUE!</v>
      </c>
      <c r="BU53" s="69" t="e">
        <v>#VALUE!</v>
      </c>
      <c r="BV53" s="69" t="e">
        <v>#VALUE!</v>
      </c>
      <c r="BW53" s="69" t="e">
        <v>#VALUE!</v>
      </c>
      <c r="BX53" s="69" t="e">
        <v>#VALUE!</v>
      </c>
      <c r="BY53" s="69" t="e">
        <v>#VALUE!</v>
      </c>
      <c r="BZ53" s="69" t="e">
        <v>#VALUE!</v>
      </c>
    </row>
    <row r="54" spans="1:83">
      <c r="J54" s="68"/>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E54" s="66"/>
    </row>
    <row r="55" spans="1:83">
      <c r="J55" s="68"/>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E55" s="66"/>
    </row>
    <row r="56" spans="1:83" ht="12.75">
      <c r="B56" s="87" t="s">
        <v>127</v>
      </c>
      <c r="C56" s="88" t="s">
        <v>750</v>
      </c>
      <c r="D56" s="89" t="s">
        <v>751</v>
      </c>
      <c r="E56" s="90" t="s">
        <v>126</v>
      </c>
      <c r="F56" s="91"/>
      <c r="G56" s="91"/>
      <c r="H56" s="91"/>
      <c r="I56" s="91"/>
      <c r="J56" s="92"/>
      <c r="K56" s="93"/>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E56" s="66"/>
    </row>
    <row r="57" spans="1:83" ht="12.75">
      <c r="B57" s="94" t="s">
        <v>130</v>
      </c>
      <c r="C57" s="95">
        <v>8.3333333333333329E-2</v>
      </c>
      <c r="D57" s="96">
        <v>2.4199999999999999E-2</v>
      </c>
      <c r="E57" s="97" t="s">
        <v>769</v>
      </c>
      <c r="F57" s="98"/>
      <c r="G57" s="98"/>
      <c r="H57" s="98"/>
      <c r="I57" s="98"/>
      <c r="J57" s="99"/>
      <c r="K57" s="100"/>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E57" s="66"/>
    </row>
    <row r="58" spans="1:83" ht="12.75">
      <c r="B58" s="101" t="s">
        <v>131</v>
      </c>
      <c r="C58" s="102">
        <v>0.25</v>
      </c>
      <c r="D58" s="72">
        <v>2.41E-2</v>
      </c>
      <c r="E58" s="97" t="s">
        <v>770</v>
      </c>
      <c r="F58" s="98"/>
      <c r="G58" s="98"/>
      <c r="H58" s="98"/>
      <c r="I58" s="98"/>
      <c r="J58" s="99"/>
      <c r="K58" s="100"/>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E58" s="66"/>
    </row>
    <row r="59" spans="1:83" ht="12.75">
      <c r="B59" s="101" t="s">
        <v>132</v>
      </c>
      <c r="C59" s="102">
        <v>0.5</v>
      </c>
      <c r="D59" s="72">
        <v>2.46E-2</v>
      </c>
      <c r="E59" s="97" t="s">
        <v>771</v>
      </c>
      <c r="F59" s="98"/>
      <c r="G59" s="98"/>
      <c r="H59" s="98"/>
      <c r="I59" s="98"/>
      <c r="J59" s="99"/>
      <c r="K59" s="100"/>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E59" s="66"/>
    </row>
    <row r="60" spans="1:83" ht="12.75">
      <c r="B60" s="101" t="s">
        <v>133</v>
      </c>
      <c r="C60" s="102">
        <v>1</v>
      </c>
      <c r="D60" s="72">
        <v>2.5499999999999998E-2</v>
      </c>
      <c r="E60" s="97" t="s">
        <v>772</v>
      </c>
      <c r="F60" s="98"/>
      <c r="G60" s="98"/>
      <c r="H60" s="98"/>
      <c r="I60" s="98"/>
      <c r="J60" s="99"/>
      <c r="K60" s="100"/>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E60" s="66"/>
    </row>
    <row r="61" spans="1:83" ht="12.75">
      <c r="B61" s="101" t="s">
        <v>134</v>
      </c>
      <c r="C61" s="102">
        <v>2</v>
      </c>
      <c r="D61" s="72">
        <v>2.4500000000000001E-2</v>
      </c>
      <c r="E61" s="97" t="s">
        <v>773</v>
      </c>
      <c r="F61" s="98"/>
      <c r="G61" s="98"/>
      <c r="H61" s="98"/>
      <c r="I61" s="98"/>
      <c r="J61" s="99"/>
      <c r="K61" s="100"/>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E61" s="66"/>
    </row>
    <row r="62" spans="1:83" ht="12.75">
      <c r="B62" s="101" t="s">
        <v>135</v>
      </c>
      <c r="C62" s="102">
        <v>3</v>
      </c>
      <c r="D62" s="72">
        <v>2.4299999999999999E-2</v>
      </c>
      <c r="E62" s="97" t="s">
        <v>774</v>
      </c>
      <c r="F62" s="98"/>
      <c r="G62" s="98"/>
      <c r="H62" s="98"/>
      <c r="I62" s="98"/>
      <c r="J62" s="99"/>
      <c r="K62" s="100"/>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E62" s="66"/>
    </row>
    <row r="63" spans="1:83" ht="12.75">
      <c r="B63" s="101" t="s">
        <v>136</v>
      </c>
      <c r="C63" s="102">
        <v>5</v>
      </c>
      <c r="D63" s="72">
        <v>2.4299999999999999E-2</v>
      </c>
      <c r="E63" s="97" t="s">
        <v>775</v>
      </c>
      <c r="F63" s="98"/>
      <c r="G63" s="98"/>
      <c r="H63" s="98"/>
      <c r="I63" s="98"/>
      <c r="J63" s="99"/>
      <c r="K63" s="100"/>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E63" s="66"/>
    </row>
    <row r="64" spans="1:83" ht="12.75">
      <c r="B64" s="101" t="s">
        <v>137</v>
      </c>
      <c r="C64" s="102">
        <v>7</v>
      </c>
      <c r="D64" s="72">
        <v>2.5100000000000001E-2</v>
      </c>
      <c r="E64" s="97" t="s">
        <v>776</v>
      </c>
      <c r="F64" s="98"/>
      <c r="G64" s="98"/>
      <c r="H64" s="98"/>
      <c r="I64" s="98"/>
      <c r="J64" s="99"/>
      <c r="K64" s="100"/>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E64" s="66"/>
    </row>
    <row r="65" spans="2:83" ht="12.75">
      <c r="B65" s="101" t="s">
        <v>138</v>
      </c>
      <c r="C65" s="102">
        <v>10</v>
      </c>
      <c r="D65" s="72">
        <v>2.63E-2</v>
      </c>
      <c r="E65" s="97" t="s">
        <v>777</v>
      </c>
      <c r="F65" s="98"/>
      <c r="G65" s="98"/>
      <c r="H65" s="98"/>
      <c r="I65" s="98"/>
      <c r="J65" s="99"/>
      <c r="K65" s="100"/>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E65" s="66"/>
    </row>
    <row r="66" spans="2:83" ht="12.75">
      <c r="B66" s="101" t="s">
        <v>139</v>
      </c>
      <c r="C66" s="102">
        <v>20</v>
      </c>
      <c r="D66" s="72">
        <v>2.8299999999999999E-2</v>
      </c>
      <c r="E66" s="97" t="s">
        <v>778</v>
      </c>
      <c r="F66" s="98"/>
      <c r="G66" s="98"/>
      <c r="H66" s="98"/>
      <c r="I66" s="98"/>
      <c r="J66" s="99"/>
      <c r="K66" s="100"/>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E66" s="66"/>
    </row>
    <row r="67" spans="2:83" ht="12.75">
      <c r="B67" s="103" t="s">
        <v>140</v>
      </c>
      <c r="C67" s="104">
        <v>30</v>
      </c>
      <c r="D67" s="71">
        <v>2.9899999999999999E-2</v>
      </c>
      <c r="E67" s="105" t="s">
        <v>779</v>
      </c>
      <c r="F67" s="106"/>
      <c r="G67" s="106"/>
      <c r="H67" s="106"/>
      <c r="I67" s="106"/>
      <c r="J67" s="107"/>
      <c r="K67" s="108"/>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E67" s="66"/>
    </row>
    <row r="70" spans="2:83">
      <c r="B70" s="109" t="s">
        <v>752</v>
      </c>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E70" s="66"/>
    </row>
    <row r="71" spans="2:83" ht="12.75">
      <c r="B71" s="110" t="s">
        <v>753</v>
      </c>
      <c r="C71" s="111">
        <v>5.0099999999999999E-2</v>
      </c>
      <c r="D71" s="112" t="s">
        <v>853</v>
      </c>
      <c r="E71" s="113"/>
      <c r="F71" s="113"/>
      <c r="G71" s="113"/>
      <c r="H71" s="113"/>
      <c r="I71" s="113"/>
      <c r="J71" s="114"/>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E71" s="66"/>
    </row>
    <row r="73" spans="2:83">
      <c r="B73" s="109" t="s">
        <v>754</v>
      </c>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E73" s="66"/>
    </row>
    <row r="74" spans="2:83" ht="12.75">
      <c r="B74" s="110" t="s">
        <v>755</v>
      </c>
      <c r="C74" s="111">
        <v>5.5E-2</v>
      </c>
      <c r="D74" s="112"/>
      <c r="E74" s="113"/>
      <c r="F74" s="113"/>
      <c r="G74" s="113"/>
      <c r="H74" s="113"/>
      <c r="I74" s="113"/>
      <c r="J74" s="114"/>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E74" s="66"/>
    </row>
  </sheetData>
  <pageMargins left="0.7" right="0.7" top="0.75" bottom="0.75" header="0.3" footer="0.3"/>
  <pageSetup paperSize="9" orientation="portrait" horizontalDpi="90" verticalDpi="90" r:id="rId1"/>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54">
    <tabColor rgb="FFFF0000"/>
  </sheetPr>
  <dimension ref="B1:AM62"/>
  <sheetViews>
    <sheetView showGridLines="0" view="pageBreakPreview" zoomScale="85" zoomScaleNormal="100" zoomScaleSheetLayoutView="85" workbookViewId="0">
      <selection activeCell="C11" sqref="C11"/>
    </sheetView>
  </sheetViews>
  <sheetFormatPr defaultRowHeight="12.75" outlineLevelRow="1" outlineLevelCol="1"/>
  <cols>
    <col min="1" max="1" width="2.83203125" style="8" customWidth="1"/>
    <col min="2" max="2" width="11.83203125" style="8" customWidth="1"/>
    <col min="3" max="4" width="26.33203125" style="8" customWidth="1"/>
    <col min="5" max="5" width="26.33203125" style="8" hidden="1" customWidth="1" outlineLevel="1"/>
    <col min="6" max="6" width="13.83203125" style="8" bestFit="1" customWidth="1" collapsed="1"/>
    <col min="7" max="7" width="10" style="8" hidden="1" customWidth="1" outlineLevel="1"/>
    <col min="8" max="8" width="2.83203125" style="8" customWidth="1" collapsed="1"/>
    <col min="9" max="11" width="16.33203125" style="8" customWidth="1"/>
    <col min="12" max="12" width="15.6640625" style="8" customWidth="1"/>
    <col min="13" max="13" width="2.83203125" style="8" customWidth="1"/>
    <col min="14" max="16" width="19.1640625" style="8" customWidth="1"/>
    <col min="17" max="17" width="2.83203125" style="8" customWidth="1"/>
    <col min="18" max="20" width="11.33203125" style="8" customWidth="1"/>
    <col min="21" max="22" width="11.33203125" style="8" hidden="1" customWidth="1" outlineLevel="1"/>
    <col min="23" max="23" width="2.83203125" style="8" customWidth="1" collapsed="1"/>
    <col min="24" max="26" width="11.33203125" style="8" hidden="1" customWidth="1" outlineLevel="1"/>
    <col min="27" max="27" width="2.83203125" style="8" hidden="1" customWidth="1" outlineLevel="1"/>
    <col min="28" max="30" width="11.33203125" style="8" hidden="1" customWidth="1" outlineLevel="1"/>
    <col min="31" max="31" width="2.83203125" style="8" hidden="1" customWidth="1" outlineLevel="1"/>
    <col min="32" max="32" width="11.33203125" customWidth="1" collapsed="1"/>
    <col min="33" max="33" width="2.83203125" customWidth="1" outlineLevel="1"/>
    <col min="34" max="34" width="12.1640625" style="8" customWidth="1"/>
    <col min="35" max="35" width="11.6640625" style="8" customWidth="1"/>
    <col min="36" max="36" width="2.83203125" style="8" customWidth="1"/>
    <col min="37" max="37" width="24.6640625" style="8" customWidth="1"/>
    <col min="38" max="38" width="10.33203125" style="8" customWidth="1"/>
    <col min="39" max="16384" width="9.33203125" style="8"/>
  </cols>
  <sheetData>
    <row r="1" spans="2:39" ht="10.7" customHeight="1" thickBot="1">
      <c r="AF1" s="8"/>
      <c r="AG1" s="8"/>
    </row>
    <row r="2" spans="2:39" ht="16.5" customHeight="1" thickTop="1">
      <c r="B2" s="4" t="s">
        <v>645</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K2" s="42" t="s">
        <v>87</v>
      </c>
      <c r="AL2" s="43">
        <v>42704</v>
      </c>
    </row>
    <row r="3" spans="2:39" ht="15.75" customHeight="1">
      <c r="B3" s="5" t="s">
        <v>790</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H3" s="5"/>
      <c r="AI3" s="5"/>
      <c r="AK3" s="41" t="s">
        <v>455</v>
      </c>
      <c r="AL3" s="45" t="s">
        <v>457</v>
      </c>
    </row>
    <row r="4" spans="2:39" ht="16.5" customHeight="1" thickBot="1">
      <c r="B4" s="6" t="s">
        <v>721</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H4" s="7"/>
      <c r="AI4" s="7"/>
      <c r="AK4" s="41" t="s">
        <v>456</v>
      </c>
      <c r="AL4" s="45" t="s">
        <v>458</v>
      </c>
    </row>
    <row r="5" spans="2:39" ht="12.75" customHeight="1" thickTop="1">
      <c r="AF5" s="8"/>
      <c r="AG5" s="8"/>
      <c r="AK5" s="17" t="s">
        <v>89</v>
      </c>
      <c r="AL5" s="44" t="s">
        <v>90</v>
      </c>
    </row>
    <row r="6" spans="2:39" ht="12.75" customHeight="1">
      <c r="AF6" s="8"/>
      <c r="AG6" s="8"/>
    </row>
    <row r="7" spans="2:39" ht="12.75" customHeight="1">
      <c r="I7" s="10" t="s">
        <v>469</v>
      </c>
      <c r="J7" s="190"/>
      <c r="K7" s="190"/>
      <c r="L7" s="12"/>
      <c r="N7" s="10" t="s">
        <v>353</v>
      </c>
      <c r="O7" s="11"/>
      <c r="P7" s="12"/>
      <c r="R7" s="47" t="s">
        <v>352</v>
      </c>
      <c r="S7" s="50"/>
      <c r="T7" s="59"/>
      <c r="U7" s="50"/>
      <c r="V7" s="51"/>
      <c r="X7" s="10" t="s">
        <v>354</v>
      </c>
      <c r="Y7" s="11"/>
      <c r="Z7" s="12"/>
      <c r="AB7" s="10" t="s">
        <v>355</v>
      </c>
      <c r="AC7" s="11"/>
      <c r="AD7" s="12"/>
      <c r="AF7" s="2225" t="s">
        <v>580</v>
      </c>
      <c r="AG7" s="8"/>
      <c r="AH7" s="10" t="s">
        <v>358</v>
      </c>
      <c r="AI7" s="57"/>
    </row>
    <row r="8" spans="2:39" s="2" customFormat="1" ht="30.75" customHeight="1">
      <c r="B8" s="26" t="s">
        <v>347</v>
      </c>
      <c r="C8" s="24" t="s">
        <v>846</v>
      </c>
      <c r="D8" s="24" t="s">
        <v>348</v>
      </c>
      <c r="E8" s="24" t="s">
        <v>473</v>
      </c>
      <c r="F8" s="60" t="s">
        <v>349</v>
      </c>
      <c r="G8" s="25" t="s">
        <v>351</v>
      </c>
      <c r="I8" s="26" t="s">
        <v>146</v>
      </c>
      <c r="J8" s="191" t="s">
        <v>1826</v>
      </c>
      <c r="K8" s="191" t="s">
        <v>1827</v>
      </c>
      <c r="L8" s="25" t="s">
        <v>470</v>
      </c>
      <c r="M8" s="23"/>
      <c r="N8" s="26" t="s">
        <v>160</v>
      </c>
      <c r="O8" s="24" t="s">
        <v>173</v>
      </c>
      <c r="P8" s="25" t="s">
        <v>174</v>
      </c>
      <c r="R8" s="26" t="s">
        <v>160</v>
      </c>
      <c r="S8" s="24" t="s">
        <v>173</v>
      </c>
      <c r="T8" s="60" t="s">
        <v>174</v>
      </c>
      <c r="U8" s="24" t="s">
        <v>471</v>
      </c>
      <c r="V8" s="25" t="s">
        <v>472</v>
      </c>
      <c r="X8" s="26" t="s">
        <v>160</v>
      </c>
      <c r="Y8" s="24" t="s">
        <v>173</v>
      </c>
      <c r="Z8" s="25" t="s">
        <v>174</v>
      </c>
      <c r="AB8" s="26" t="s">
        <v>160</v>
      </c>
      <c r="AC8" s="24" t="s">
        <v>173</v>
      </c>
      <c r="AD8" s="25" t="s">
        <v>174</v>
      </c>
      <c r="AF8" s="2226"/>
      <c r="AH8" s="21" t="s">
        <v>356</v>
      </c>
      <c r="AI8" s="22" t="s">
        <v>357</v>
      </c>
      <c r="AK8" s="73" t="s">
        <v>350</v>
      </c>
    </row>
    <row r="9" spans="2:39" ht="12.75" customHeight="1">
      <c r="AF9" s="8"/>
      <c r="AG9" s="8"/>
    </row>
    <row r="10" spans="2:39" s="31" customFormat="1" ht="12.75" customHeight="1">
      <c r="B10" s="30">
        <v>43234</v>
      </c>
      <c r="C10" s="31" t="s">
        <v>966</v>
      </c>
      <c r="D10" s="31" t="s">
        <v>1071</v>
      </c>
      <c r="E10" s="31" t="s">
        <v>795</v>
      </c>
      <c r="F10" s="32">
        <v>1</v>
      </c>
      <c r="G10" s="33" t="s">
        <v>791</v>
      </c>
      <c r="I10" s="34">
        <v>8109.5210200000001</v>
      </c>
      <c r="J10" s="34">
        <v>8070.8470100000004</v>
      </c>
      <c r="K10" s="34" t="s">
        <v>13</v>
      </c>
      <c r="L10" s="34">
        <v>8696.3290199999992</v>
      </c>
      <c r="M10" s="35"/>
      <c r="N10" s="34" t="s">
        <v>13</v>
      </c>
      <c r="O10" s="34">
        <v>-409.565</v>
      </c>
      <c r="P10" s="34">
        <v>-412.858</v>
      </c>
      <c r="Q10" s="35"/>
      <c r="R10" s="36" t="s">
        <v>13</v>
      </c>
      <c r="S10" s="36">
        <v>-19.800327225226766</v>
      </c>
      <c r="T10" s="36">
        <v>-19.642397676683025</v>
      </c>
      <c r="U10" s="36">
        <v>14.17614</v>
      </c>
      <c r="V10" s="36" t="s">
        <v>765</v>
      </c>
      <c r="W10" s="35"/>
      <c r="X10" s="34">
        <v>0.94545000000000001</v>
      </c>
      <c r="Y10" s="34">
        <v>-346.97478999999998</v>
      </c>
      <c r="Z10" s="34" t="s">
        <v>765</v>
      </c>
      <c r="AA10" s="35"/>
      <c r="AB10" s="36">
        <v>8577.4192395155751</v>
      </c>
      <c r="AC10" s="36">
        <v>-23.372075590852006</v>
      </c>
      <c r="AD10" s="36" t="s">
        <v>13</v>
      </c>
      <c r="AF10" s="36" t="s">
        <v>583</v>
      </c>
      <c r="AG10" s="35"/>
      <c r="AH10" s="1909">
        <v>0.83347400000000005</v>
      </c>
      <c r="AI10" s="1909">
        <v>0.59205399999999997</v>
      </c>
      <c r="AK10" s="62" t="s">
        <v>4094</v>
      </c>
      <c r="AL10" s="31" t="s">
        <v>4095</v>
      </c>
      <c r="AM10" s="31" t="s">
        <v>4096</v>
      </c>
    </row>
    <row r="11" spans="2:39" s="31" customFormat="1" ht="12.75" customHeight="1">
      <c r="B11" s="30">
        <v>43046</v>
      </c>
      <c r="C11" s="31" t="s">
        <v>4097</v>
      </c>
      <c r="D11" s="31" t="s">
        <v>1096</v>
      </c>
      <c r="E11" s="31" t="s">
        <v>795</v>
      </c>
      <c r="F11" s="32">
        <v>1</v>
      </c>
      <c r="G11" s="33" t="s">
        <v>791</v>
      </c>
      <c r="I11" s="34">
        <v>134.66464999999999</v>
      </c>
      <c r="J11" s="34">
        <v>151.27395999999999</v>
      </c>
      <c r="K11" s="34" t="s">
        <v>13</v>
      </c>
      <c r="L11" s="34">
        <v>168.38065</v>
      </c>
      <c r="M11" s="35"/>
      <c r="N11" s="34">
        <v>16.599</v>
      </c>
      <c r="O11" s="34">
        <v>-52.607999999999997</v>
      </c>
      <c r="P11" s="34">
        <v>-54.767000000000003</v>
      </c>
      <c r="Q11" s="35"/>
      <c r="R11" s="36">
        <v>8.1128170371709132</v>
      </c>
      <c r="S11" s="36">
        <v>-2.5597751292579076</v>
      </c>
      <c r="T11" s="36">
        <v>-2.458864827359541</v>
      </c>
      <c r="U11" s="36">
        <v>7.4343399999999997</v>
      </c>
      <c r="V11" s="36" t="s">
        <v>765</v>
      </c>
      <c r="W11" s="35"/>
      <c r="X11" s="34">
        <v>15.033300000000001</v>
      </c>
      <c r="Y11" s="34" t="s">
        <v>13</v>
      </c>
      <c r="Z11" s="34" t="s">
        <v>765</v>
      </c>
      <c r="AA11" s="35"/>
      <c r="AB11" s="36">
        <v>8.9577571125434865</v>
      </c>
      <c r="AC11" s="36" t="s">
        <v>13</v>
      </c>
      <c r="AD11" s="36" t="s">
        <v>13</v>
      </c>
      <c r="AF11" s="36" t="s">
        <v>1098</v>
      </c>
      <c r="AG11" s="35"/>
      <c r="AH11" s="1909">
        <v>0.538462</v>
      </c>
      <c r="AI11" s="1909">
        <v>3.6153849999999998</v>
      </c>
      <c r="AK11" s="62" t="s">
        <v>4098</v>
      </c>
      <c r="AL11" s="31" t="s">
        <v>4099</v>
      </c>
      <c r="AM11" s="31" t="s">
        <v>4100</v>
      </c>
    </row>
    <row r="12" spans="2:39" s="31" customFormat="1" ht="12.75" customHeight="1">
      <c r="B12" s="30">
        <v>42692</v>
      </c>
      <c r="C12" s="31" t="s">
        <v>966</v>
      </c>
      <c r="D12" s="31" t="s">
        <v>4101</v>
      </c>
      <c r="E12" s="31" t="s">
        <v>4102</v>
      </c>
      <c r="F12" s="32">
        <v>1</v>
      </c>
      <c r="G12" s="33" t="s">
        <v>791</v>
      </c>
      <c r="I12" s="34">
        <v>665</v>
      </c>
      <c r="J12" s="34">
        <v>0</v>
      </c>
      <c r="K12" s="34" t="s">
        <v>13</v>
      </c>
      <c r="L12" s="34">
        <v>665</v>
      </c>
      <c r="M12" s="35"/>
      <c r="N12" s="34" t="s">
        <v>13</v>
      </c>
      <c r="O12" s="34" t="s">
        <v>13</v>
      </c>
      <c r="P12" s="34" t="s">
        <v>13</v>
      </c>
      <c r="Q12" s="35"/>
      <c r="R12" s="36" t="s">
        <v>13</v>
      </c>
      <c r="S12" s="36" t="s">
        <v>13</v>
      </c>
      <c r="T12" s="36" t="s">
        <v>13</v>
      </c>
      <c r="U12" s="36" t="s">
        <v>13</v>
      </c>
      <c r="V12" s="36" t="s">
        <v>13</v>
      </c>
      <c r="W12" s="35"/>
      <c r="X12" s="34" t="s">
        <v>13</v>
      </c>
      <c r="Y12" s="34" t="s">
        <v>13</v>
      </c>
      <c r="Z12" s="34" t="s">
        <v>13</v>
      </c>
      <c r="AA12" s="35"/>
      <c r="AB12" s="36" t="s">
        <v>13</v>
      </c>
      <c r="AC12" s="36" t="s">
        <v>13</v>
      </c>
      <c r="AD12" s="36" t="s">
        <v>13</v>
      </c>
      <c r="AF12" s="36" t="s">
        <v>569</v>
      </c>
      <c r="AG12" s="35"/>
      <c r="AH12" s="1909" t="s">
        <v>765</v>
      </c>
      <c r="AI12" s="1909" t="s">
        <v>765</v>
      </c>
      <c r="AK12" s="62" t="s">
        <v>4103</v>
      </c>
      <c r="AL12" s="31" t="s">
        <v>4104</v>
      </c>
      <c r="AM12" s="31" t="s">
        <v>4105</v>
      </c>
    </row>
    <row r="13" spans="2:39" s="31" customFormat="1" ht="12.75" customHeight="1">
      <c r="B13" s="30">
        <v>42689</v>
      </c>
      <c r="C13" s="31" t="s">
        <v>4106</v>
      </c>
      <c r="D13" s="31" t="s">
        <v>920</v>
      </c>
      <c r="E13" s="31" t="s">
        <v>795</v>
      </c>
      <c r="F13" s="32">
        <v>1</v>
      </c>
      <c r="G13" s="33" t="s">
        <v>791</v>
      </c>
      <c r="I13" s="34" t="s">
        <v>13</v>
      </c>
      <c r="J13" s="34">
        <v>0</v>
      </c>
      <c r="K13" s="34" t="s">
        <v>13</v>
      </c>
      <c r="L13" s="34" t="s">
        <v>13</v>
      </c>
      <c r="M13" s="35"/>
      <c r="N13" s="34">
        <v>0.5</v>
      </c>
      <c r="O13" s="34" t="s">
        <v>13</v>
      </c>
      <c r="P13" s="34">
        <v>-2.5230000000000001</v>
      </c>
      <c r="Q13" s="35"/>
      <c r="R13" s="36" t="s">
        <v>13</v>
      </c>
      <c r="S13" s="36" t="s">
        <v>13</v>
      </c>
      <c r="T13" s="36" t="s">
        <v>13</v>
      </c>
      <c r="U13" s="36" t="s">
        <v>13</v>
      </c>
      <c r="V13" s="36" t="s">
        <v>13</v>
      </c>
      <c r="W13" s="35"/>
      <c r="X13" s="34" t="s">
        <v>13</v>
      </c>
      <c r="Y13" s="34" t="s">
        <v>13</v>
      </c>
      <c r="Z13" s="34" t="s">
        <v>13</v>
      </c>
      <c r="AA13" s="35"/>
      <c r="AB13" s="36" t="s">
        <v>13</v>
      </c>
      <c r="AC13" s="36" t="s">
        <v>13</v>
      </c>
      <c r="AD13" s="36" t="s">
        <v>13</v>
      </c>
      <c r="AF13" s="36" t="s">
        <v>13</v>
      </c>
      <c r="AG13" s="35"/>
      <c r="AH13" s="1909" t="s">
        <v>765</v>
      </c>
      <c r="AI13" s="1909" t="s">
        <v>765</v>
      </c>
      <c r="AK13" s="62" t="s">
        <v>4107</v>
      </c>
      <c r="AL13" s="31" t="s">
        <v>4108</v>
      </c>
      <c r="AM13" s="31" t="s">
        <v>4109</v>
      </c>
    </row>
    <row r="14" spans="2:39" s="31" customFormat="1" ht="12.75" customHeight="1">
      <c r="B14" s="30">
        <v>42675</v>
      </c>
      <c r="C14" s="31" t="s">
        <v>4110</v>
      </c>
      <c r="D14" s="31" t="s">
        <v>967</v>
      </c>
      <c r="E14" s="31" t="s">
        <v>795</v>
      </c>
      <c r="F14" s="32">
        <v>1</v>
      </c>
      <c r="G14" s="33" t="s">
        <v>791</v>
      </c>
      <c r="I14" s="34">
        <v>1661.6181300000001</v>
      </c>
      <c r="J14" s="34">
        <v>533.58190000000002</v>
      </c>
      <c r="K14" s="34">
        <v>938.05015000000003</v>
      </c>
      <c r="L14" s="34">
        <v>1702.3101300000001</v>
      </c>
      <c r="M14" s="35"/>
      <c r="N14" s="34">
        <v>1.165</v>
      </c>
      <c r="O14" s="34">
        <v>-41.228999999999999</v>
      </c>
      <c r="P14" s="34">
        <v>-41.347999999999999</v>
      </c>
      <c r="Q14" s="35"/>
      <c r="R14" s="36">
        <v>1426.2816566523604</v>
      </c>
      <c r="S14" s="36">
        <v>-40.302169104271265</v>
      </c>
      <c r="T14" s="36">
        <v>-40.18617901712296</v>
      </c>
      <c r="U14" s="36">
        <v>27.005870000000002</v>
      </c>
      <c r="V14" s="36" t="s">
        <v>765</v>
      </c>
      <c r="W14" s="35"/>
      <c r="X14" s="34">
        <v>0.1125</v>
      </c>
      <c r="Y14" s="34" t="s">
        <v>13</v>
      </c>
      <c r="Z14" s="34" t="s">
        <v>765</v>
      </c>
      <c r="AA14" s="35"/>
      <c r="AB14" s="36">
        <v>14769.938933333333</v>
      </c>
      <c r="AC14" s="36" t="s">
        <v>13</v>
      </c>
      <c r="AD14" s="36" t="s">
        <v>13</v>
      </c>
      <c r="AF14" s="36" t="s">
        <v>584</v>
      </c>
      <c r="AG14" s="35"/>
      <c r="AH14" s="1909">
        <v>5.2444930000000003</v>
      </c>
      <c r="AI14" s="1909">
        <v>4.8213549999999996</v>
      </c>
      <c r="AK14" s="62" t="s">
        <v>4111</v>
      </c>
      <c r="AL14" s="31" t="s">
        <v>4112</v>
      </c>
      <c r="AM14" s="31" t="s">
        <v>4113</v>
      </c>
    </row>
    <row r="15" spans="2:39" s="31" customFormat="1" ht="12.75" customHeight="1">
      <c r="B15" s="30">
        <v>42619</v>
      </c>
      <c r="C15" s="31" t="s">
        <v>4110</v>
      </c>
      <c r="D15" s="31" t="s">
        <v>4114</v>
      </c>
      <c r="E15" s="31" t="s">
        <v>795</v>
      </c>
      <c r="F15" s="32">
        <v>1</v>
      </c>
      <c r="G15" s="33" t="s">
        <v>791</v>
      </c>
      <c r="I15" s="34">
        <v>555</v>
      </c>
      <c r="J15" s="34">
        <v>60</v>
      </c>
      <c r="K15" s="34">
        <v>495</v>
      </c>
      <c r="L15" s="34">
        <v>555</v>
      </c>
      <c r="M15" s="35"/>
      <c r="N15" s="34" t="s">
        <v>13</v>
      </c>
      <c r="O15" s="34" t="s">
        <v>13</v>
      </c>
      <c r="P15" s="34" t="s">
        <v>13</v>
      </c>
      <c r="Q15" s="35"/>
      <c r="R15" s="36" t="s">
        <v>13</v>
      </c>
      <c r="S15" s="36" t="s">
        <v>13</v>
      </c>
      <c r="T15" s="36" t="s">
        <v>13</v>
      </c>
      <c r="U15" s="36" t="s">
        <v>13</v>
      </c>
      <c r="V15" s="36" t="s">
        <v>13</v>
      </c>
      <c r="W15" s="35"/>
      <c r="X15" s="34" t="s">
        <v>13</v>
      </c>
      <c r="Y15" s="34" t="s">
        <v>13</v>
      </c>
      <c r="Z15" s="34" t="s">
        <v>13</v>
      </c>
      <c r="AA15" s="35"/>
      <c r="AB15" s="36" t="s">
        <v>13</v>
      </c>
      <c r="AC15" s="36" t="s">
        <v>13</v>
      </c>
      <c r="AD15" s="36" t="s">
        <v>13</v>
      </c>
      <c r="AF15" s="36" t="s">
        <v>4115</v>
      </c>
      <c r="AG15" s="35"/>
      <c r="AH15" s="1909" t="s">
        <v>765</v>
      </c>
      <c r="AI15" s="1909" t="s">
        <v>765</v>
      </c>
      <c r="AK15" s="62" t="s">
        <v>4116</v>
      </c>
      <c r="AL15" s="31" t="s">
        <v>4117</v>
      </c>
      <c r="AM15" s="31" t="s">
        <v>4118</v>
      </c>
    </row>
    <row r="16" spans="2:39" s="31" customFormat="1" ht="12.75" customHeight="1">
      <c r="B16" s="30">
        <v>42501</v>
      </c>
      <c r="C16" s="31" t="s">
        <v>4119</v>
      </c>
      <c r="D16" s="31" t="s">
        <v>4120</v>
      </c>
      <c r="E16" s="31" t="s">
        <v>795</v>
      </c>
      <c r="F16" s="32">
        <v>1</v>
      </c>
      <c r="G16" s="33" t="s">
        <v>791</v>
      </c>
      <c r="I16" s="34">
        <v>78.811130000000006</v>
      </c>
      <c r="J16" s="34">
        <v>0</v>
      </c>
      <c r="K16" s="34" t="s">
        <v>13</v>
      </c>
      <c r="L16" s="34">
        <v>78.811130000000006</v>
      </c>
      <c r="M16" s="35"/>
      <c r="N16" s="34" t="s">
        <v>13</v>
      </c>
      <c r="O16" s="34" t="s">
        <v>13</v>
      </c>
      <c r="P16" s="34" t="s">
        <v>13</v>
      </c>
      <c r="Q16" s="35"/>
      <c r="R16" s="36" t="s">
        <v>13</v>
      </c>
      <c r="S16" s="36" t="s">
        <v>13</v>
      </c>
      <c r="T16" s="36" t="s">
        <v>13</v>
      </c>
      <c r="U16" s="36" t="s">
        <v>13</v>
      </c>
      <c r="V16" s="36" t="s">
        <v>13</v>
      </c>
      <c r="W16" s="35"/>
      <c r="X16" s="34" t="s">
        <v>13</v>
      </c>
      <c r="Y16" s="34" t="s">
        <v>13</v>
      </c>
      <c r="Z16" s="34" t="s">
        <v>13</v>
      </c>
      <c r="AA16" s="35"/>
      <c r="AB16" s="36" t="s">
        <v>13</v>
      </c>
      <c r="AC16" s="36" t="s">
        <v>13</v>
      </c>
      <c r="AD16" s="36" t="s">
        <v>13</v>
      </c>
      <c r="AF16" s="36" t="s">
        <v>3578</v>
      </c>
      <c r="AG16" s="35"/>
      <c r="AH16" s="1909" t="s">
        <v>765</v>
      </c>
      <c r="AI16" s="1909" t="s">
        <v>765</v>
      </c>
      <c r="AK16" s="62" t="s">
        <v>4121</v>
      </c>
      <c r="AL16" s="31" t="s">
        <v>4122</v>
      </c>
      <c r="AM16" s="31" t="s">
        <v>4123</v>
      </c>
    </row>
    <row r="17" spans="2:39" s="31" customFormat="1" ht="12.75" customHeight="1">
      <c r="B17" s="30">
        <v>42436</v>
      </c>
      <c r="C17" s="31" t="s">
        <v>876</v>
      </c>
      <c r="D17" s="31" t="s">
        <v>4124</v>
      </c>
      <c r="E17" s="31" t="s">
        <v>795</v>
      </c>
      <c r="F17" s="32">
        <v>1</v>
      </c>
      <c r="G17" s="33" t="s">
        <v>791</v>
      </c>
      <c r="I17" s="34">
        <v>15.250450000000001</v>
      </c>
      <c r="J17" s="34">
        <v>15.3</v>
      </c>
      <c r="K17" s="34" t="s">
        <v>13</v>
      </c>
      <c r="L17" s="34">
        <v>15.3</v>
      </c>
      <c r="M17" s="35"/>
      <c r="N17" s="34" t="s">
        <v>13</v>
      </c>
      <c r="O17" s="34" t="s">
        <v>13</v>
      </c>
      <c r="P17" s="34" t="s">
        <v>13</v>
      </c>
      <c r="Q17" s="35"/>
      <c r="R17" s="36" t="s">
        <v>13</v>
      </c>
      <c r="S17" s="36" t="s">
        <v>13</v>
      </c>
      <c r="T17" s="36" t="s">
        <v>13</v>
      </c>
      <c r="U17" s="36" t="s">
        <v>13</v>
      </c>
      <c r="V17" s="36" t="s">
        <v>13</v>
      </c>
      <c r="W17" s="35"/>
      <c r="X17" s="34" t="s">
        <v>13</v>
      </c>
      <c r="Y17" s="34" t="s">
        <v>13</v>
      </c>
      <c r="Z17" s="34" t="s">
        <v>13</v>
      </c>
      <c r="AA17" s="35"/>
      <c r="AB17" s="36" t="s">
        <v>13</v>
      </c>
      <c r="AC17" s="36" t="s">
        <v>13</v>
      </c>
      <c r="AD17" s="36" t="s">
        <v>13</v>
      </c>
      <c r="AF17" s="36" t="s">
        <v>3578</v>
      </c>
      <c r="AG17" s="35"/>
      <c r="AH17" s="1909" t="s">
        <v>765</v>
      </c>
      <c r="AI17" s="1909" t="s">
        <v>765</v>
      </c>
      <c r="AK17" s="62" t="s">
        <v>4125</v>
      </c>
      <c r="AL17" s="31" t="s">
        <v>4126</v>
      </c>
      <c r="AM17" s="31" t="s">
        <v>4127</v>
      </c>
    </row>
    <row r="18" spans="2:39" s="31" customFormat="1" ht="12.75" customHeight="1">
      <c r="B18" s="30">
        <v>42247</v>
      </c>
      <c r="C18" s="31" t="s">
        <v>904</v>
      </c>
      <c r="D18" s="31" t="s">
        <v>4128</v>
      </c>
      <c r="E18" s="31" t="s">
        <v>13</v>
      </c>
      <c r="F18" s="32">
        <v>1</v>
      </c>
      <c r="G18" s="33" t="s">
        <v>791</v>
      </c>
      <c r="I18" s="34" t="s">
        <v>13</v>
      </c>
      <c r="J18" s="34">
        <v>0</v>
      </c>
      <c r="K18" s="34" t="s">
        <v>13</v>
      </c>
      <c r="L18" s="34" t="s">
        <v>13</v>
      </c>
      <c r="M18" s="35"/>
      <c r="N18" s="34" t="s">
        <v>13</v>
      </c>
      <c r="O18" s="34" t="s">
        <v>13</v>
      </c>
      <c r="P18" s="34" t="s">
        <v>13</v>
      </c>
      <c r="Q18" s="35"/>
      <c r="R18" s="36" t="s">
        <v>13</v>
      </c>
      <c r="S18" s="36" t="s">
        <v>13</v>
      </c>
      <c r="T18" s="36" t="s">
        <v>13</v>
      </c>
      <c r="U18" s="36" t="s">
        <v>13</v>
      </c>
      <c r="V18" s="36" t="s">
        <v>13</v>
      </c>
      <c r="W18" s="35"/>
      <c r="X18" s="34" t="s">
        <v>13</v>
      </c>
      <c r="Y18" s="34" t="s">
        <v>13</v>
      </c>
      <c r="Z18" s="34" t="s">
        <v>13</v>
      </c>
      <c r="AA18" s="35"/>
      <c r="AB18" s="36" t="s">
        <v>13</v>
      </c>
      <c r="AC18" s="36" t="s">
        <v>13</v>
      </c>
      <c r="AD18" s="36" t="s">
        <v>13</v>
      </c>
      <c r="AF18" s="36" t="s">
        <v>3578</v>
      </c>
      <c r="AG18" s="35"/>
      <c r="AH18" s="1909" t="s">
        <v>765</v>
      </c>
      <c r="AI18" s="1909" t="s">
        <v>765</v>
      </c>
      <c r="AK18" s="62" t="s">
        <v>4129</v>
      </c>
      <c r="AL18" s="31" t="s">
        <v>4130</v>
      </c>
      <c r="AM18" s="31" t="s">
        <v>4131</v>
      </c>
    </row>
    <row r="19" spans="2:39" s="31" customFormat="1" ht="12.75" customHeight="1">
      <c r="B19" s="30">
        <v>42139</v>
      </c>
      <c r="C19" s="31" t="s">
        <v>799</v>
      </c>
      <c r="D19" s="31" t="s">
        <v>800</v>
      </c>
      <c r="E19" s="31" t="s">
        <v>795</v>
      </c>
      <c r="F19" s="32">
        <v>1</v>
      </c>
      <c r="G19" s="33" t="s">
        <v>791</v>
      </c>
      <c r="I19" s="34">
        <v>42.191209999999998</v>
      </c>
      <c r="J19" s="34">
        <v>21.38326</v>
      </c>
      <c r="K19" s="34">
        <v>11.375920000000001</v>
      </c>
      <c r="L19" s="34">
        <v>32.759169999999997</v>
      </c>
      <c r="M19" s="35"/>
      <c r="N19" s="34" t="s">
        <v>13</v>
      </c>
      <c r="O19" s="34" t="s">
        <v>13</v>
      </c>
      <c r="P19" s="34" t="s">
        <v>13</v>
      </c>
      <c r="Q19" s="35"/>
      <c r="R19" s="36" t="s">
        <v>13</v>
      </c>
      <c r="S19" s="36" t="s">
        <v>13</v>
      </c>
      <c r="T19" s="36" t="s">
        <v>13</v>
      </c>
      <c r="U19" s="36">
        <v>5.1156100000000002</v>
      </c>
      <c r="V19" s="36" t="s">
        <v>765</v>
      </c>
      <c r="W19" s="35"/>
      <c r="X19" s="34" t="s">
        <v>13</v>
      </c>
      <c r="Y19" s="34" t="s">
        <v>13</v>
      </c>
      <c r="Z19" s="34" t="s">
        <v>13</v>
      </c>
      <c r="AA19" s="35"/>
      <c r="AB19" s="36" t="s">
        <v>13</v>
      </c>
      <c r="AC19" s="36" t="s">
        <v>13</v>
      </c>
      <c r="AD19" s="36" t="s">
        <v>13</v>
      </c>
      <c r="AF19" s="36" t="s">
        <v>13</v>
      </c>
      <c r="AG19" s="35"/>
      <c r="AH19" s="1909" t="s">
        <v>765</v>
      </c>
      <c r="AI19" s="1909" t="s">
        <v>765</v>
      </c>
      <c r="AK19" s="62" t="s">
        <v>801</v>
      </c>
      <c r="AL19" s="31" t="s">
        <v>802</v>
      </c>
      <c r="AM19" s="31" t="s">
        <v>4132</v>
      </c>
    </row>
    <row r="20" spans="2:39" s="31" customFormat="1" ht="12.75" customHeight="1">
      <c r="B20" s="30">
        <v>42066</v>
      </c>
      <c r="C20" s="31" t="s">
        <v>4133</v>
      </c>
      <c r="D20" s="31" t="s">
        <v>4134</v>
      </c>
      <c r="E20" s="31" t="s">
        <v>4102</v>
      </c>
      <c r="F20" s="32">
        <v>1</v>
      </c>
      <c r="G20" s="33" t="s">
        <v>791</v>
      </c>
      <c r="I20" s="34">
        <v>34.367469999999997</v>
      </c>
      <c r="J20" s="34">
        <v>17</v>
      </c>
      <c r="K20" s="34">
        <v>17.999960000000002</v>
      </c>
      <c r="L20" s="34">
        <v>34.999960000000002</v>
      </c>
      <c r="M20" s="35"/>
      <c r="N20" s="34" t="s">
        <v>13</v>
      </c>
      <c r="O20" s="34" t="s">
        <v>13</v>
      </c>
      <c r="P20" s="34" t="s">
        <v>13</v>
      </c>
      <c r="Q20" s="35"/>
      <c r="R20" s="36" t="s">
        <v>13</v>
      </c>
      <c r="S20" s="36" t="s">
        <v>13</v>
      </c>
      <c r="T20" s="36" t="s">
        <v>13</v>
      </c>
      <c r="U20" s="36" t="s">
        <v>13</v>
      </c>
      <c r="V20" s="36" t="s">
        <v>13</v>
      </c>
      <c r="W20" s="35"/>
      <c r="X20" s="34" t="s">
        <v>13</v>
      </c>
      <c r="Y20" s="34" t="s">
        <v>13</v>
      </c>
      <c r="Z20" s="34" t="s">
        <v>13</v>
      </c>
      <c r="AA20" s="35"/>
      <c r="AB20" s="36" t="s">
        <v>13</v>
      </c>
      <c r="AC20" s="36" t="s">
        <v>13</v>
      </c>
      <c r="AD20" s="36" t="s">
        <v>13</v>
      </c>
      <c r="AF20" s="36" t="s">
        <v>3578</v>
      </c>
      <c r="AG20" s="35"/>
      <c r="AH20" s="1909" t="s">
        <v>765</v>
      </c>
      <c r="AI20" s="1909" t="s">
        <v>765</v>
      </c>
      <c r="AK20" s="62" t="s">
        <v>4135</v>
      </c>
      <c r="AL20" s="31" t="s">
        <v>4136</v>
      </c>
      <c r="AM20" s="31" t="s">
        <v>4137</v>
      </c>
    </row>
    <row r="21" spans="2:39" s="31" customFormat="1" ht="12.75" customHeight="1">
      <c r="B21" s="30">
        <v>41856</v>
      </c>
      <c r="C21" s="31" t="s">
        <v>4138</v>
      </c>
      <c r="D21" s="31" t="s">
        <v>4139</v>
      </c>
      <c r="E21" s="31" t="s">
        <v>4102</v>
      </c>
      <c r="F21" s="32">
        <v>1</v>
      </c>
      <c r="G21" s="33" t="s">
        <v>791</v>
      </c>
      <c r="I21" s="34">
        <v>3.64798</v>
      </c>
      <c r="J21" s="34">
        <v>5.1389999999999998E-2</v>
      </c>
      <c r="K21" s="34">
        <v>3.6</v>
      </c>
      <c r="L21" s="34">
        <v>3.6513900000000001</v>
      </c>
      <c r="M21" s="35"/>
      <c r="N21" s="34" t="s">
        <v>13</v>
      </c>
      <c r="O21" s="34" t="s">
        <v>13</v>
      </c>
      <c r="P21" s="34" t="s">
        <v>13</v>
      </c>
      <c r="Q21" s="35"/>
      <c r="R21" s="36" t="s">
        <v>13</v>
      </c>
      <c r="S21" s="36" t="s">
        <v>13</v>
      </c>
      <c r="T21" s="36" t="s">
        <v>13</v>
      </c>
      <c r="U21" s="36" t="s">
        <v>13</v>
      </c>
      <c r="V21" s="36" t="s">
        <v>13</v>
      </c>
      <c r="W21" s="35"/>
      <c r="X21" s="34" t="s">
        <v>13</v>
      </c>
      <c r="Y21" s="34" t="s">
        <v>13</v>
      </c>
      <c r="Z21" s="34" t="s">
        <v>13</v>
      </c>
      <c r="AA21" s="35"/>
      <c r="AB21" s="36" t="s">
        <v>13</v>
      </c>
      <c r="AC21" s="36" t="s">
        <v>13</v>
      </c>
      <c r="AD21" s="36" t="s">
        <v>13</v>
      </c>
      <c r="AF21" s="36" t="s">
        <v>13</v>
      </c>
      <c r="AG21" s="35"/>
      <c r="AH21" s="1909" t="s">
        <v>765</v>
      </c>
      <c r="AI21" s="1909" t="s">
        <v>765</v>
      </c>
      <c r="AK21" s="62" t="s">
        <v>4140</v>
      </c>
      <c r="AL21" s="31" t="s">
        <v>4141</v>
      </c>
      <c r="AM21" s="31" t="s">
        <v>4142</v>
      </c>
    </row>
    <row r="22" spans="2:39" s="31" customFormat="1" ht="12.75" customHeight="1">
      <c r="B22" s="30">
        <v>41851</v>
      </c>
      <c r="C22" s="31" t="s">
        <v>3715</v>
      </c>
      <c r="D22" s="31" t="s">
        <v>4143</v>
      </c>
      <c r="E22" s="31" t="s">
        <v>795</v>
      </c>
      <c r="F22" s="32">
        <v>1</v>
      </c>
      <c r="G22" s="33" t="s">
        <v>791</v>
      </c>
      <c r="I22" s="34">
        <v>4.1213300000000004</v>
      </c>
      <c r="J22" s="34">
        <v>3</v>
      </c>
      <c r="K22" s="34" t="s">
        <v>13</v>
      </c>
      <c r="L22" s="34">
        <v>4.0152599999999996</v>
      </c>
      <c r="M22" s="35"/>
      <c r="N22" s="34" t="s">
        <v>13</v>
      </c>
      <c r="O22" s="34" t="s">
        <v>13</v>
      </c>
      <c r="P22" s="34" t="s">
        <v>13</v>
      </c>
      <c r="Q22" s="35"/>
      <c r="R22" s="36" t="s">
        <v>13</v>
      </c>
      <c r="S22" s="36" t="s">
        <v>13</v>
      </c>
      <c r="T22" s="36" t="s">
        <v>13</v>
      </c>
      <c r="U22" s="36" t="s">
        <v>13</v>
      </c>
      <c r="V22" s="36" t="s">
        <v>13</v>
      </c>
      <c r="W22" s="35"/>
      <c r="X22" s="34" t="s">
        <v>13</v>
      </c>
      <c r="Y22" s="34" t="s">
        <v>13</v>
      </c>
      <c r="Z22" s="34" t="s">
        <v>13</v>
      </c>
      <c r="AA22" s="35"/>
      <c r="AB22" s="36" t="s">
        <v>13</v>
      </c>
      <c r="AC22" s="36" t="s">
        <v>13</v>
      </c>
      <c r="AD22" s="36" t="s">
        <v>13</v>
      </c>
      <c r="AF22" s="36" t="s">
        <v>3578</v>
      </c>
      <c r="AG22" s="35"/>
      <c r="AH22" s="1909" t="s">
        <v>765</v>
      </c>
      <c r="AI22" s="1909" t="s">
        <v>765</v>
      </c>
      <c r="AK22" s="62" t="s">
        <v>4144</v>
      </c>
      <c r="AL22" s="31" t="s">
        <v>4145</v>
      </c>
      <c r="AM22" s="31" t="s">
        <v>4146</v>
      </c>
    </row>
    <row r="23" spans="2:39" s="31" customFormat="1" ht="12.75" customHeight="1">
      <c r="B23" s="30">
        <v>41820</v>
      </c>
      <c r="C23" s="31" t="s">
        <v>971</v>
      </c>
      <c r="D23" s="31" t="s">
        <v>4147</v>
      </c>
      <c r="E23" s="31" t="s">
        <v>4102</v>
      </c>
      <c r="F23" s="32">
        <v>1</v>
      </c>
      <c r="G23" s="33" t="s">
        <v>791</v>
      </c>
      <c r="I23" s="34">
        <v>565</v>
      </c>
      <c r="J23" s="34">
        <v>15</v>
      </c>
      <c r="K23" s="34">
        <v>550</v>
      </c>
      <c r="L23" s="34">
        <v>565</v>
      </c>
      <c r="M23" s="35"/>
      <c r="N23" s="34" t="s">
        <v>13</v>
      </c>
      <c r="O23" s="34" t="s">
        <v>13</v>
      </c>
      <c r="P23" s="34" t="s">
        <v>13</v>
      </c>
      <c r="Q23" s="35"/>
      <c r="R23" s="36" t="s">
        <v>13</v>
      </c>
      <c r="S23" s="36" t="s">
        <v>13</v>
      </c>
      <c r="T23" s="36" t="s">
        <v>13</v>
      </c>
      <c r="U23" s="36" t="s">
        <v>13</v>
      </c>
      <c r="V23" s="36" t="s">
        <v>13</v>
      </c>
      <c r="W23" s="35"/>
      <c r="X23" s="34" t="s">
        <v>13</v>
      </c>
      <c r="Y23" s="34" t="s">
        <v>13</v>
      </c>
      <c r="Z23" s="34" t="s">
        <v>13</v>
      </c>
      <c r="AA23" s="35"/>
      <c r="AB23" s="36" t="s">
        <v>13</v>
      </c>
      <c r="AC23" s="36" t="s">
        <v>13</v>
      </c>
      <c r="AD23" s="36" t="s">
        <v>13</v>
      </c>
      <c r="AF23" s="36" t="s">
        <v>3578</v>
      </c>
      <c r="AG23" s="35"/>
      <c r="AH23" s="1909" t="s">
        <v>765</v>
      </c>
      <c r="AI23" s="1909" t="s">
        <v>765</v>
      </c>
      <c r="AK23" s="62" t="s">
        <v>4148</v>
      </c>
      <c r="AL23" s="31" t="s">
        <v>4149</v>
      </c>
      <c r="AM23" s="31" t="s">
        <v>4150</v>
      </c>
    </row>
    <row r="24" spans="2:39" s="31" customFormat="1" ht="12.75" customHeight="1">
      <c r="B24" s="30">
        <v>41820</v>
      </c>
      <c r="C24" s="31" t="s">
        <v>797</v>
      </c>
      <c r="D24" s="31" t="s">
        <v>803</v>
      </c>
      <c r="E24" s="31" t="s">
        <v>795</v>
      </c>
      <c r="F24" s="32">
        <v>1</v>
      </c>
      <c r="G24" s="33" t="s">
        <v>791</v>
      </c>
      <c r="I24" s="34">
        <v>154.91475</v>
      </c>
      <c r="J24" s="34">
        <v>16.105560000000001</v>
      </c>
      <c r="K24" s="34">
        <v>138.80919</v>
      </c>
      <c r="L24" s="34">
        <v>154.91475</v>
      </c>
      <c r="M24" s="35"/>
      <c r="N24" s="34" t="s">
        <v>13</v>
      </c>
      <c r="O24" s="34" t="s">
        <v>13</v>
      </c>
      <c r="P24" s="34" t="s">
        <v>13</v>
      </c>
      <c r="Q24" s="35"/>
      <c r="R24" s="36" t="s">
        <v>13</v>
      </c>
      <c r="S24" s="36" t="s">
        <v>13</v>
      </c>
      <c r="T24" s="36" t="s">
        <v>13</v>
      </c>
      <c r="U24" s="36" t="s">
        <v>13</v>
      </c>
      <c r="V24" s="36" t="s">
        <v>13</v>
      </c>
      <c r="W24" s="35"/>
      <c r="X24" s="34" t="s">
        <v>13</v>
      </c>
      <c r="Y24" s="34" t="s">
        <v>13</v>
      </c>
      <c r="Z24" s="34" t="s">
        <v>13</v>
      </c>
      <c r="AA24" s="35"/>
      <c r="AB24" s="36" t="s">
        <v>13</v>
      </c>
      <c r="AC24" s="36" t="s">
        <v>13</v>
      </c>
      <c r="AD24" s="36" t="s">
        <v>13</v>
      </c>
      <c r="AF24" s="36" t="s">
        <v>569</v>
      </c>
      <c r="AG24" s="35"/>
      <c r="AH24" s="1909" t="s">
        <v>765</v>
      </c>
      <c r="AI24" s="1909" t="s">
        <v>765</v>
      </c>
      <c r="AK24" s="62" t="s">
        <v>804</v>
      </c>
      <c r="AL24" s="31" t="s">
        <v>805</v>
      </c>
      <c r="AM24" s="31" t="s">
        <v>4151</v>
      </c>
    </row>
    <row r="25" spans="2:39" s="31" customFormat="1" ht="12.75" customHeight="1">
      <c r="B25" s="30">
        <v>41810</v>
      </c>
      <c r="C25" s="31" t="s">
        <v>4152</v>
      </c>
      <c r="D25" s="31" t="s">
        <v>4153</v>
      </c>
      <c r="E25" s="31" t="s">
        <v>795</v>
      </c>
      <c r="F25" s="32">
        <v>1</v>
      </c>
      <c r="G25" s="33" t="s">
        <v>791</v>
      </c>
      <c r="I25" s="34">
        <v>44.05462</v>
      </c>
      <c r="J25" s="34">
        <v>11.326420000000001</v>
      </c>
      <c r="K25" s="34">
        <v>32.457120000000003</v>
      </c>
      <c r="L25" s="34">
        <v>43.816279999999999</v>
      </c>
      <c r="M25" s="35"/>
      <c r="N25" s="34">
        <v>0.12762999999999999</v>
      </c>
      <c r="O25" s="34">
        <v>-2.5185900000000001</v>
      </c>
      <c r="P25" s="34">
        <v>-2.6534800000000001</v>
      </c>
      <c r="Q25" s="35"/>
      <c r="R25" s="36">
        <v>345.17448875656197</v>
      </c>
      <c r="S25" s="36">
        <v>-17.491779130386444</v>
      </c>
      <c r="T25" s="36">
        <v>-16.602582269321797</v>
      </c>
      <c r="U25" s="36">
        <v>5.2804200000000003</v>
      </c>
      <c r="V25" s="36" t="s">
        <v>765</v>
      </c>
      <c r="W25" s="35"/>
      <c r="X25" s="34" t="s">
        <v>13</v>
      </c>
      <c r="Y25" s="34" t="s">
        <v>13</v>
      </c>
      <c r="Z25" s="34" t="s">
        <v>13</v>
      </c>
      <c r="AA25" s="35"/>
      <c r="AB25" s="36" t="s">
        <v>13</v>
      </c>
      <c r="AC25" s="36" t="s">
        <v>13</v>
      </c>
      <c r="AD25" s="36" t="s">
        <v>13</v>
      </c>
      <c r="AF25" s="36" t="s">
        <v>568</v>
      </c>
      <c r="AG25" s="35"/>
      <c r="AH25" s="1909" t="s">
        <v>765</v>
      </c>
      <c r="AI25" s="1909" t="s">
        <v>765</v>
      </c>
      <c r="AK25" s="62" t="s">
        <v>4154</v>
      </c>
      <c r="AL25" s="31" t="s">
        <v>4155</v>
      </c>
      <c r="AM25" s="31" t="s">
        <v>4156</v>
      </c>
    </row>
    <row r="26" spans="2:39" s="31" customFormat="1" ht="12.75" customHeight="1">
      <c r="B26" s="30">
        <v>41703</v>
      </c>
      <c r="C26" s="31" t="s">
        <v>4058</v>
      </c>
      <c r="D26" s="31" t="s">
        <v>4157</v>
      </c>
      <c r="E26" s="31" t="s">
        <v>795</v>
      </c>
      <c r="F26" s="32">
        <v>1</v>
      </c>
      <c r="G26" s="33" t="s">
        <v>791</v>
      </c>
      <c r="I26" s="34">
        <v>344.90478000000002</v>
      </c>
      <c r="J26" s="34">
        <v>166.82427000000001</v>
      </c>
      <c r="K26" s="34">
        <v>140.02784</v>
      </c>
      <c r="L26" s="34">
        <v>306.85210999999998</v>
      </c>
      <c r="M26" s="35"/>
      <c r="N26" s="34" t="s">
        <v>13</v>
      </c>
      <c r="O26" s="34" t="s">
        <v>13</v>
      </c>
      <c r="P26" s="34" t="s">
        <v>13</v>
      </c>
      <c r="Q26" s="35"/>
      <c r="R26" s="36" t="s">
        <v>13</v>
      </c>
      <c r="S26" s="36" t="s">
        <v>13</v>
      </c>
      <c r="T26" s="36" t="s">
        <v>13</v>
      </c>
      <c r="U26" s="36" t="s">
        <v>13</v>
      </c>
      <c r="V26" s="36" t="s">
        <v>13</v>
      </c>
      <c r="W26" s="35"/>
      <c r="X26" s="34" t="s">
        <v>13</v>
      </c>
      <c r="Y26" s="34" t="s">
        <v>13</v>
      </c>
      <c r="Z26" s="34" t="s">
        <v>13</v>
      </c>
      <c r="AA26" s="35"/>
      <c r="AB26" s="36" t="s">
        <v>13</v>
      </c>
      <c r="AC26" s="36" t="s">
        <v>13</v>
      </c>
      <c r="AD26" s="36" t="s">
        <v>13</v>
      </c>
      <c r="AF26" s="36" t="s">
        <v>3578</v>
      </c>
      <c r="AG26" s="35"/>
      <c r="AH26" s="1909" t="s">
        <v>765</v>
      </c>
      <c r="AI26" s="1909" t="s">
        <v>765</v>
      </c>
      <c r="AK26" s="62" t="s">
        <v>4158</v>
      </c>
      <c r="AL26" s="31" t="s">
        <v>4159</v>
      </c>
      <c r="AM26" s="31" t="s">
        <v>4160</v>
      </c>
    </row>
    <row r="27" spans="2:39" s="31" customFormat="1" ht="12.75" customHeight="1">
      <c r="B27" s="30">
        <v>41548</v>
      </c>
      <c r="C27" s="31" t="s">
        <v>4161</v>
      </c>
      <c r="D27" s="31" t="s">
        <v>806</v>
      </c>
      <c r="E27" s="31" t="s">
        <v>795</v>
      </c>
      <c r="F27" s="32">
        <v>1</v>
      </c>
      <c r="G27" s="33" t="s">
        <v>791</v>
      </c>
      <c r="I27" s="34">
        <v>69.375990000000002</v>
      </c>
      <c r="J27" s="34">
        <v>0.99899000000000004</v>
      </c>
      <c r="K27" s="34" t="s">
        <v>13</v>
      </c>
      <c r="L27" s="34">
        <v>72.898989999999998</v>
      </c>
      <c r="M27" s="35"/>
      <c r="N27" s="34">
        <v>0.60199999999999998</v>
      </c>
      <c r="O27" s="34">
        <v>-5.1040000000000001</v>
      </c>
      <c r="P27" s="34">
        <v>-5.14</v>
      </c>
      <c r="Q27" s="35"/>
      <c r="R27" s="36">
        <v>115.24250830564785</v>
      </c>
      <c r="S27" s="36">
        <v>-13.592474529780564</v>
      </c>
      <c r="T27" s="36">
        <v>-13.497274319066149</v>
      </c>
      <c r="U27" s="36" t="s">
        <v>765</v>
      </c>
      <c r="V27" s="36" t="s">
        <v>765</v>
      </c>
      <c r="W27" s="35"/>
      <c r="X27" s="34" t="s">
        <v>13</v>
      </c>
      <c r="Y27" s="34" t="s">
        <v>13</v>
      </c>
      <c r="Z27" s="34" t="s">
        <v>13</v>
      </c>
      <c r="AA27" s="35"/>
      <c r="AB27" s="36" t="s">
        <v>13</v>
      </c>
      <c r="AC27" s="36" t="s">
        <v>13</v>
      </c>
      <c r="AD27" s="36" t="s">
        <v>13</v>
      </c>
      <c r="AF27" s="36" t="s">
        <v>569</v>
      </c>
      <c r="AG27" s="35"/>
      <c r="AH27" s="1909" t="s">
        <v>765</v>
      </c>
      <c r="AI27" s="1909" t="s">
        <v>765</v>
      </c>
      <c r="AK27" s="62" t="s">
        <v>807</v>
      </c>
      <c r="AL27" s="31" t="s">
        <v>1353</v>
      </c>
      <c r="AM27" s="31" t="s">
        <v>4162</v>
      </c>
    </row>
    <row r="28" spans="2:39" s="31" customFormat="1" ht="12.75" customHeight="1">
      <c r="B28" s="30"/>
      <c r="F28" s="32"/>
      <c r="G28" s="33"/>
      <c r="I28" s="34"/>
      <c r="J28" s="34"/>
      <c r="K28" s="34"/>
      <c r="L28" s="34"/>
      <c r="M28" s="35"/>
      <c r="N28" s="34"/>
      <c r="O28" s="34"/>
      <c r="P28" s="34"/>
      <c r="Q28" s="35"/>
      <c r="R28" s="36"/>
      <c r="S28" s="36"/>
      <c r="T28" s="36"/>
      <c r="U28" s="36"/>
      <c r="V28" s="36"/>
      <c r="W28" s="35"/>
      <c r="X28" s="34"/>
      <c r="Y28" s="34"/>
      <c r="Z28" s="34"/>
      <c r="AA28" s="35"/>
      <c r="AB28" s="36"/>
      <c r="AC28" s="36"/>
      <c r="AD28" s="36"/>
      <c r="AF28" s="36"/>
      <c r="AG28" s="35"/>
      <c r="AH28" s="37"/>
      <c r="AI28" s="37"/>
      <c r="AK28" s="62"/>
    </row>
    <row r="29" spans="2:39" s="31" customFormat="1" ht="12.75" customHeight="1">
      <c r="B29" s="30"/>
      <c r="F29" s="32"/>
      <c r="G29" s="33"/>
      <c r="I29" s="34"/>
      <c r="J29" s="34"/>
      <c r="K29" s="34"/>
      <c r="L29" s="34"/>
      <c r="M29" s="35"/>
      <c r="N29" s="34"/>
      <c r="O29" s="34"/>
      <c r="P29" s="34"/>
      <c r="Q29" s="35"/>
      <c r="R29" s="36"/>
      <c r="S29" s="36"/>
      <c r="T29" s="36"/>
      <c r="U29" s="36"/>
      <c r="V29" s="36"/>
      <c r="W29" s="35"/>
      <c r="X29" s="34"/>
      <c r="Y29" s="34"/>
      <c r="Z29" s="34"/>
      <c r="AA29" s="35"/>
      <c r="AB29" s="36"/>
      <c r="AC29" s="36"/>
      <c r="AD29" s="36"/>
      <c r="AF29" s="36"/>
      <c r="AG29" s="35"/>
      <c r="AH29" s="37"/>
      <c r="AI29" s="37"/>
      <c r="AK29" s="62"/>
    </row>
    <row r="30" spans="2:39" s="31" customFormat="1" ht="12.75" hidden="1" customHeight="1" outlineLevel="1">
      <c r="B30" s="30"/>
      <c r="F30" s="32"/>
      <c r="G30" s="33"/>
      <c r="I30" s="34"/>
      <c r="J30" s="34"/>
      <c r="K30" s="34"/>
      <c r="L30" s="34"/>
      <c r="M30" s="35"/>
      <c r="N30" s="34"/>
      <c r="O30" s="34"/>
      <c r="P30" s="34"/>
      <c r="Q30" s="35"/>
      <c r="R30" s="36"/>
      <c r="S30" s="36"/>
      <c r="T30" s="36"/>
      <c r="U30" s="36"/>
      <c r="V30" s="36"/>
      <c r="W30" s="35"/>
      <c r="X30" s="34"/>
      <c r="Y30" s="34"/>
      <c r="Z30" s="34"/>
      <c r="AA30" s="35"/>
      <c r="AB30" s="36"/>
      <c r="AC30" s="36"/>
      <c r="AD30" s="36"/>
      <c r="AF30" s="36"/>
      <c r="AG30" s="35"/>
      <c r="AH30" s="37"/>
      <c r="AI30" s="37"/>
      <c r="AK30" s="62">
        <v>0</v>
      </c>
      <c r="AL30" s="31" t="s">
        <v>767</v>
      </c>
    </row>
    <row r="31" spans="2:39" s="31" customFormat="1" ht="12.75" hidden="1" customHeight="1" outlineLevel="1">
      <c r="B31" s="30"/>
      <c r="F31" s="32"/>
      <c r="G31" s="33"/>
      <c r="I31" s="34"/>
      <c r="J31" s="34"/>
      <c r="K31" s="34"/>
      <c r="L31" s="34"/>
      <c r="M31" s="35"/>
      <c r="N31" s="34"/>
      <c r="O31" s="34"/>
      <c r="P31" s="34"/>
      <c r="Q31" s="35"/>
      <c r="R31" s="36"/>
      <c r="S31" s="36"/>
      <c r="T31" s="36"/>
      <c r="U31" s="36"/>
      <c r="V31" s="36"/>
      <c r="W31" s="35"/>
      <c r="X31" s="34"/>
      <c r="Y31" s="34"/>
      <c r="Z31" s="34"/>
      <c r="AA31" s="35"/>
      <c r="AB31" s="36"/>
      <c r="AC31" s="36"/>
      <c r="AD31" s="36"/>
      <c r="AF31" s="36"/>
      <c r="AG31" s="35"/>
      <c r="AH31" s="37"/>
      <c r="AI31" s="37"/>
      <c r="AK31" s="62">
        <v>0</v>
      </c>
      <c r="AL31" s="31" t="s">
        <v>767</v>
      </c>
    </row>
    <row r="32" spans="2:39" s="31" customFormat="1" ht="12.75" hidden="1" customHeight="1" outlineLevel="1">
      <c r="B32" s="30"/>
      <c r="F32" s="32"/>
      <c r="G32" s="33"/>
      <c r="I32" s="34"/>
      <c r="J32" s="34"/>
      <c r="K32" s="34"/>
      <c r="L32" s="34"/>
      <c r="M32" s="35"/>
      <c r="N32" s="34"/>
      <c r="O32" s="34"/>
      <c r="P32" s="34"/>
      <c r="Q32" s="35"/>
      <c r="R32" s="36"/>
      <c r="S32" s="36"/>
      <c r="T32" s="36"/>
      <c r="U32" s="36"/>
      <c r="V32" s="36"/>
      <c r="W32" s="35"/>
      <c r="X32" s="34"/>
      <c r="Y32" s="34"/>
      <c r="Z32" s="34"/>
      <c r="AA32" s="35"/>
      <c r="AB32" s="36"/>
      <c r="AC32" s="36"/>
      <c r="AD32" s="36"/>
      <c r="AF32" s="36"/>
      <c r="AG32" s="35"/>
      <c r="AH32" s="37"/>
      <c r="AI32" s="37"/>
      <c r="AK32" s="62">
        <v>0</v>
      </c>
      <c r="AL32" s="31" t="s">
        <v>767</v>
      </c>
    </row>
    <row r="33" spans="2:38" s="31" customFormat="1" ht="12.75" hidden="1" customHeight="1" outlineLevel="1">
      <c r="B33" s="30"/>
      <c r="F33" s="32"/>
      <c r="G33" s="33"/>
      <c r="I33" s="34"/>
      <c r="J33" s="34"/>
      <c r="K33" s="34"/>
      <c r="L33" s="34"/>
      <c r="M33" s="35"/>
      <c r="N33" s="34"/>
      <c r="O33" s="34"/>
      <c r="P33" s="34"/>
      <c r="Q33" s="35"/>
      <c r="R33" s="36"/>
      <c r="S33" s="36"/>
      <c r="T33" s="36"/>
      <c r="U33" s="36"/>
      <c r="V33" s="36"/>
      <c r="W33" s="35"/>
      <c r="X33" s="34"/>
      <c r="Y33" s="34"/>
      <c r="Z33" s="34"/>
      <c r="AA33" s="35"/>
      <c r="AB33" s="36"/>
      <c r="AC33" s="36"/>
      <c r="AD33" s="36"/>
      <c r="AF33" s="36"/>
      <c r="AG33" s="35"/>
      <c r="AH33" s="37"/>
      <c r="AI33" s="37"/>
      <c r="AK33" s="62">
        <v>0</v>
      </c>
      <c r="AL33" s="31" t="s">
        <v>767</v>
      </c>
    </row>
    <row r="34" spans="2:38" s="31" customFormat="1" ht="12.75" hidden="1" customHeight="1" outlineLevel="1">
      <c r="B34" s="30"/>
      <c r="F34" s="32"/>
      <c r="G34" s="33"/>
      <c r="I34" s="34"/>
      <c r="J34" s="34"/>
      <c r="K34" s="34"/>
      <c r="L34" s="34"/>
      <c r="M34" s="35"/>
      <c r="N34" s="34"/>
      <c r="O34" s="34"/>
      <c r="P34" s="34"/>
      <c r="Q34" s="35"/>
      <c r="R34" s="36"/>
      <c r="S34" s="36"/>
      <c r="T34" s="36"/>
      <c r="U34" s="36"/>
      <c r="V34" s="36"/>
      <c r="W34" s="35"/>
      <c r="X34" s="34"/>
      <c r="Y34" s="34"/>
      <c r="Z34" s="34"/>
      <c r="AA34" s="35"/>
      <c r="AB34" s="36"/>
      <c r="AC34" s="36"/>
      <c r="AD34" s="36"/>
      <c r="AF34" s="36"/>
      <c r="AG34" s="35"/>
      <c r="AH34" s="37"/>
      <c r="AI34" s="37"/>
      <c r="AK34" s="62">
        <v>0</v>
      </c>
      <c r="AL34" s="31" t="s">
        <v>767</v>
      </c>
    </row>
    <row r="35" spans="2:38" s="31" customFormat="1" ht="12.75" hidden="1" customHeight="1" outlineLevel="1">
      <c r="B35" s="30"/>
      <c r="F35" s="32"/>
      <c r="G35" s="33"/>
      <c r="I35" s="34"/>
      <c r="J35" s="34"/>
      <c r="K35" s="34"/>
      <c r="L35" s="34"/>
      <c r="M35" s="35"/>
      <c r="N35" s="34"/>
      <c r="O35" s="34"/>
      <c r="P35" s="34"/>
      <c r="Q35" s="35"/>
      <c r="R35" s="36"/>
      <c r="S35" s="36"/>
      <c r="T35" s="36"/>
      <c r="U35" s="36"/>
      <c r="V35" s="36"/>
      <c r="W35" s="35"/>
      <c r="X35" s="34"/>
      <c r="Y35" s="34"/>
      <c r="Z35" s="34"/>
      <c r="AA35" s="35"/>
      <c r="AB35" s="36"/>
      <c r="AC35" s="36"/>
      <c r="AD35" s="36"/>
      <c r="AF35" s="36"/>
      <c r="AG35" s="35"/>
      <c r="AH35" s="37"/>
      <c r="AI35" s="37"/>
      <c r="AK35" s="62">
        <v>0</v>
      </c>
      <c r="AL35" s="31" t="s">
        <v>767</v>
      </c>
    </row>
    <row r="36" spans="2:38" s="31" customFormat="1" ht="12.75" hidden="1" customHeight="1" outlineLevel="1">
      <c r="B36" s="30"/>
      <c r="F36" s="32"/>
      <c r="G36" s="33"/>
      <c r="I36" s="34"/>
      <c r="J36" s="34"/>
      <c r="K36" s="34"/>
      <c r="L36" s="34"/>
      <c r="M36" s="35"/>
      <c r="N36" s="34"/>
      <c r="O36" s="34"/>
      <c r="P36" s="34"/>
      <c r="Q36" s="35"/>
      <c r="R36" s="36"/>
      <c r="S36" s="36"/>
      <c r="T36" s="36"/>
      <c r="U36" s="36"/>
      <c r="V36" s="36"/>
      <c r="W36" s="35"/>
      <c r="X36" s="34"/>
      <c r="Y36" s="34"/>
      <c r="Z36" s="34"/>
      <c r="AA36" s="35"/>
      <c r="AB36" s="36"/>
      <c r="AC36" s="36"/>
      <c r="AD36" s="36"/>
      <c r="AF36" s="36"/>
      <c r="AG36" s="35"/>
      <c r="AH36" s="37"/>
      <c r="AI36" s="37"/>
      <c r="AK36" s="62">
        <v>0</v>
      </c>
      <c r="AL36" s="31" t="s">
        <v>767</v>
      </c>
    </row>
    <row r="37" spans="2:38" s="31" customFormat="1" ht="12.75" hidden="1" customHeight="1" outlineLevel="1">
      <c r="B37" s="30"/>
      <c r="F37" s="32"/>
      <c r="G37" s="33"/>
      <c r="I37" s="34"/>
      <c r="J37" s="34"/>
      <c r="K37" s="34"/>
      <c r="L37" s="34"/>
      <c r="M37" s="35"/>
      <c r="N37" s="34"/>
      <c r="O37" s="34"/>
      <c r="P37" s="34"/>
      <c r="Q37" s="35"/>
      <c r="R37" s="36"/>
      <c r="S37" s="36"/>
      <c r="T37" s="36"/>
      <c r="U37" s="36"/>
      <c r="V37" s="36"/>
      <c r="W37" s="35"/>
      <c r="X37" s="34"/>
      <c r="Y37" s="34"/>
      <c r="Z37" s="34"/>
      <c r="AA37" s="35"/>
      <c r="AB37" s="36"/>
      <c r="AC37" s="36"/>
      <c r="AD37" s="36"/>
      <c r="AF37" s="36"/>
      <c r="AG37" s="35"/>
      <c r="AH37" s="37"/>
      <c r="AI37" s="37"/>
      <c r="AK37" s="62">
        <v>0</v>
      </c>
      <c r="AL37" s="31" t="s">
        <v>767</v>
      </c>
    </row>
    <row r="38" spans="2:38" s="31" customFormat="1" ht="12.75" hidden="1" customHeight="1" outlineLevel="1">
      <c r="B38" s="30"/>
      <c r="F38" s="32"/>
      <c r="G38" s="33"/>
      <c r="I38" s="34"/>
      <c r="J38" s="34"/>
      <c r="K38" s="34"/>
      <c r="L38" s="34"/>
      <c r="M38" s="35"/>
      <c r="N38" s="34"/>
      <c r="O38" s="34"/>
      <c r="P38" s="34"/>
      <c r="Q38" s="35"/>
      <c r="R38" s="36"/>
      <c r="S38" s="36"/>
      <c r="T38" s="36"/>
      <c r="U38" s="36"/>
      <c r="V38" s="36"/>
      <c r="W38" s="35"/>
      <c r="X38" s="34"/>
      <c r="Y38" s="34"/>
      <c r="Z38" s="34"/>
      <c r="AA38" s="35"/>
      <c r="AB38" s="36"/>
      <c r="AC38" s="36"/>
      <c r="AD38" s="36"/>
      <c r="AF38" s="36"/>
      <c r="AG38" s="35"/>
      <c r="AH38" s="37"/>
      <c r="AI38" s="37"/>
      <c r="AK38" s="62">
        <v>0</v>
      </c>
      <c r="AL38" s="31" t="s">
        <v>767</v>
      </c>
    </row>
    <row r="39" spans="2:38" s="31" customFormat="1" ht="12.75" hidden="1" customHeight="1" outlineLevel="1">
      <c r="B39" s="30"/>
      <c r="F39" s="32"/>
      <c r="G39" s="33"/>
      <c r="I39" s="34"/>
      <c r="J39" s="34"/>
      <c r="K39" s="34"/>
      <c r="L39" s="34"/>
      <c r="M39" s="35"/>
      <c r="N39" s="34"/>
      <c r="O39" s="34"/>
      <c r="P39" s="34"/>
      <c r="Q39" s="35"/>
      <c r="R39" s="36"/>
      <c r="S39" s="36"/>
      <c r="T39" s="36"/>
      <c r="U39" s="36"/>
      <c r="V39" s="36"/>
      <c r="W39" s="35"/>
      <c r="X39" s="34"/>
      <c r="Y39" s="34"/>
      <c r="Z39" s="34"/>
      <c r="AA39" s="35"/>
      <c r="AB39" s="36"/>
      <c r="AC39" s="36"/>
      <c r="AD39" s="36"/>
      <c r="AF39" s="36"/>
      <c r="AG39" s="35"/>
      <c r="AH39" s="37"/>
      <c r="AI39" s="37"/>
      <c r="AK39" s="62">
        <v>0</v>
      </c>
      <c r="AL39" s="31" t="s">
        <v>767</v>
      </c>
    </row>
    <row r="40" spans="2:38" s="31" customFormat="1" ht="12.75" hidden="1" customHeight="1" outlineLevel="1">
      <c r="B40" s="30"/>
      <c r="F40" s="32"/>
      <c r="G40" s="33"/>
      <c r="I40" s="34"/>
      <c r="J40" s="34"/>
      <c r="K40" s="34"/>
      <c r="L40" s="34"/>
      <c r="M40" s="35"/>
      <c r="N40" s="34"/>
      <c r="O40" s="34"/>
      <c r="P40" s="34"/>
      <c r="Q40" s="35"/>
      <c r="R40" s="36"/>
      <c r="S40" s="36"/>
      <c r="T40" s="36"/>
      <c r="U40" s="36"/>
      <c r="V40" s="36"/>
      <c r="W40" s="35"/>
      <c r="X40" s="34"/>
      <c r="Y40" s="34"/>
      <c r="Z40" s="34"/>
      <c r="AA40" s="35"/>
      <c r="AB40" s="36"/>
      <c r="AC40" s="36"/>
      <c r="AD40" s="36"/>
      <c r="AF40" s="36"/>
      <c r="AG40" s="35"/>
      <c r="AH40" s="37"/>
      <c r="AI40" s="37"/>
      <c r="AK40" s="62"/>
    </row>
    <row r="41" spans="2:38" s="31" customFormat="1" ht="12.75" hidden="1" customHeight="1" outlineLevel="1">
      <c r="B41" s="30"/>
      <c r="F41" s="32"/>
      <c r="G41" s="33"/>
      <c r="I41" s="34"/>
      <c r="J41" s="34"/>
      <c r="K41" s="34"/>
      <c r="L41" s="34"/>
      <c r="M41" s="35"/>
      <c r="N41" s="34"/>
      <c r="O41" s="34"/>
      <c r="P41" s="34"/>
      <c r="Q41" s="35"/>
      <c r="R41" s="36"/>
      <c r="S41" s="36"/>
      <c r="T41" s="36"/>
      <c r="U41" s="36"/>
      <c r="V41" s="36"/>
      <c r="W41" s="35"/>
      <c r="X41" s="34"/>
      <c r="Y41" s="34"/>
      <c r="Z41" s="34"/>
      <c r="AA41" s="35"/>
      <c r="AB41" s="36"/>
      <c r="AC41" s="36"/>
      <c r="AD41" s="36"/>
      <c r="AF41" s="36"/>
      <c r="AG41" s="35"/>
      <c r="AH41" s="37"/>
      <c r="AI41" s="37"/>
      <c r="AK41" s="62"/>
    </row>
    <row r="42" spans="2:38" s="31" customFormat="1" ht="12.75" hidden="1" customHeight="1" outlineLevel="1">
      <c r="B42" s="30"/>
      <c r="F42" s="32"/>
      <c r="G42" s="33"/>
      <c r="I42" s="34"/>
      <c r="J42" s="34"/>
      <c r="K42" s="34"/>
      <c r="L42" s="34"/>
      <c r="M42" s="35"/>
      <c r="N42" s="34"/>
      <c r="O42" s="34"/>
      <c r="P42" s="34"/>
      <c r="Q42" s="35"/>
      <c r="R42" s="36"/>
      <c r="S42" s="36"/>
      <c r="T42" s="36"/>
      <c r="U42" s="36"/>
      <c r="V42" s="36"/>
      <c r="W42" s="35"/>
      <c r="X42" s="34"/>
      <c r="Y42" s="34"/>
      <c r="Z42" s="34"/>
      <c r="AA42" s="35"/>
      <c r="AB42" s="36"/>
      <c r="AC42" s="36"/>
      <c r="AD42" s="36"/>
      <c r="AF42" s="36"/>
      <c r="AG42" s="35"/>
      <c r="AH42" s="37"/>
      <c r="AI42" s="37"/>
      <c r="AK42" s="62"/>
    </row>
    <row r="43" spans="2:38" s="31" customFormat="1" ht="12.75" hidden="1" customHeight="1" outlineLevel="1">
      <c r="B43" s="30"/>
      <c r="F43" s="32"/>
      <c r="G43" s="33"/>
      <c r="I43" s="34"/>
      <c r="J43" s="34"/>
      <c r="K43" s="34"/>
      <c r="L43" s="34"/>
      <c r="M43" s="35"/>
      <c r="N43" s="34"/>
      <c r="O43" s="34"/>
      <c r="P43" s="34"/>
      <c r="Q43" s="35"/>
      <c r="R43" s="36"/>
      <c r="S43" s="36"/>
      <c r="T43" s="36"/>
      <c r="U43" s="36"/>
      <c r="V43" s="36"/>
      <c r="W43" s="35"/>
      <c r="X43" s="34"/>
      <c r="Y43" s="34"/>
      <c r="Z43" s="34"/>
      <c r="AA43" s="35"/>
      <c r="AB43" s="36"/>
      <c r="AC43" s="36"/>
      <c r="AD43" s="36"/>
      <c r="AF43" s="36"/>
      <c r="AG43" s="35"/>
      <c r="AH43" s="37"/>
      <c r="AI43" s="37"/>
      <c r="AK43" s="62"/>
    </row>
    <row r="44" spans="2:38" s="31" customFormat="1" ht="12.75" hidden="1" customHeight="1" outlineLevel="1">
      <c r="B44" s="30"/>
      <c r="F44" s="32"/>
      <c r="G44" s="33"/>
      <c r="I44" s="34"/>
      <c r="J44" s="34"/>
      <c r="K44" s="34"/>
      <c r="L44" s="34"/>
      <c r="M44" s="35"/>
      <c r="N44" s="34"/>
      <c r="O44" s="34"/>
      <c r="P44" s="34"/>
      <c r="Q44" s="35"/>
      <c r="R44" s="36"/>
      <c r="S44" s="36"/>
      <c r="T44" s="36"/>
      <c r="U44" s="36"/>
      <c r="V44" s="36"/>
      <c r="W44" s="35"/>
      <c r="X44" s="34"/>
      <c r="Y44" s="34"/>
      <c r="Z44" s="34"/>
      <c r="AA44" s="35"/>
      <c r="AB44" s="36"/>
      <c r="AC44" s="36"/>
      <c r="AD44" s="36"/>
      <c r="AF44" s="36"/>
      <c r="AG44" s="35"/>
      <c r="AH44" s="37"/>
      <c r="AI44" s="37"/>
      <c r="AK44" s="62"/>
    </row>
    <row r="45" spans="2:38" s="31" customFormat="1" ht="12.75" hidden="1" customHeight="1" outlineLevel="1">
      <c r="B45" s="30"/>
      <c r="F45" s="32"/>
      <c r="G45" s="33"/>
      <c r="I45" s="34"/>
      <c r="J45" s="34"/>
      <c r="K45" s="34"/>
      <c r="L45" s="34"/>
      <c r="M45" s="35"/>
      <c r="N45" s="34"/>
      <c r="O45" s="34"/>
      <c r="P45" s="34"/>
      <c r="Q45" s="35"/>
      <c r="R45" s="36"/>
      <c r="S45" s="36"/>
      <c r="T45" s="36"/>
      <c r="U45" s="36"/>
      <c r="V45" s="36"/>
      <c r="W45" s="35"/>
      <c r="X45" s="34"/>
      <c r="Y45" s="34"/>
      <c r="Z45" s="34"/>
      <c r="AA45" s="35"/>
      <c r="AB45" s="36"/>
      <c r="AC45" s="36"/>
      <c r="AD45" s="36"/>
      <c r="AF45" s="8"/>
      <c r="AG45" s="8"/>
      <c r="AH45" s="37"/>
      <c r="AI45" s="37"/>
      <c r="AK45" s="62"/>
    </row>
    <row r="46" spans="2:38" s="31" customFormat="1" ht="12.75" hidden="1" customHeight="1" outlineLevel="1">
      <c r="B46" s="30"/>
      <c r="F46" s="32"/>
      <c r="G46" s="33"/>
      <c r="I46" s="34"/>
      <c r="J46" s="34"/>
      <c r="K46" s="34"/>
      <c r="L46" s="34"/>
      <c r="M46" s="35"/>
      <c r="N46" s="34"/>
      <c r="O46" s="34"/>
      <c r="P46" s="34"/>
      <c r="Q46" s="35"/>
      <c r="R46" s="36"/>
      <c r="S46" s="36"/>
      <c r="T46" s="36"/>
      <c r="U46" s="36"/>
      <c r="V46" s="36"/>
      <c r="W46" s="35"/>
      <c r="X46" s="34"/>
      <c r="Y46" s="34"/>
      <c r="Z46" s="34"/>
      <c r="AA46" s="35"/>
      <c r="AB46" s="36"/>
      <c r="AC46" s="36"/>
      <c r="AD46" s="36"/>
      <c r="AF46" s="8"/>
      <c r="AG46" s="8"/>
      <c r="AH46" s="37"/>
      <c r="AI46" s="37"/>
      <c r="AK46" s="62"/>
    </row>
    <row r="47" spans="2:38" s="31" customFormat="1" ht="12.75" hidden="1" customHeight="1" outlineLevel="1">
      <c r="B47" s="30"/>
      <c r="F47" s="32"/>
      <c r="G47" s="33"/>
      <c r="I47" s="34"/>
      <c r="J47" s="34"/>
      <c r="K47" s="34"/>
      <c r="L47" s="34"/>
      <c r="M47" s="35"/>
      <c r="N47" s="34"/>
      <c r="O47" s="34"/>
      <c r="P47" s="34"/>
      <c r="Q47" s="35"/>
      <c r="R47" s="36"/>
      <c r="S47" s="36"/>
      <c r="T47" s="36"/>
      <c r="U47" s="36"/>
      <c r="V47" s="36"/>
      <c r="W47" s="35"/>
      <c r="X47" s="34"/>
      <c r="Y47" s="34"/>
      <c r="Z47" s="34"/>
      <c r="AA47" s="35"/>
      <c r="AB47" s="36"/>
      <c r="AC47" s="36"/>
      <c r="AD47" s="36"/>
      <c r="AF47" s="8"/>
      <c r="AG47" s="8"/>
      <c r="AH47" s="37"/>
      <c r="AI47" s="37"/>
      <c r="AK47" s="62"/>
    </row>
    <row r="48" spans="2:38" s="31" customFormat="1" ht="12.75" hidden="1" customHeight="1" outlineLevel="1">
      <c r="B48" s="30"/>
      <c r="F48" s="32"/>
      <c r="G48" s="33"/>
      <c r="I48" s="34"/>
      <c r="J48" s="34"/>
      <c r="K48" s="34"/>
      <c r="L48" s="34"/>
      <c r="M48" s="35"/>
      <c r="N48" s="34"/>
      <c r="O48" s="34"/>
      <c r="P48" s="34"/>
      <c r="Q48" s="35"/>
      <c r="R48" s="36"/>
      <c r="S48" s="36"/>
      <c r="T48" s="36"/>
      <c r="U48" s="36"/>
      <c r="V48" s="36"/>
      <c r="W48" s="35"/>
      <c r="X48" s="34"/>
      <c r="Y48" s="34"/>
      <c r="Z48" s="34"/>
      <c r="AA48" s="35"/>
      <c r="AB48" s="36"/>
      <c r="AC48" s="36"/>
      <c r="AD48" s="36"/>
      <c r="AF48" s="8"/>
      <c r="AG48" s="8"/>
      <c r="AH48" s="37"/>
      <c r="AI48" s="37"/>
      <c r="AK48" s="62"/>
    </row>
    <row r="49" spans="2:37" s="31" customFormat="1" ht="12.75" hidden="1" customHeight="1" outlineLevel="1">
      <c r="B49" s="30"/>
      <c r="F49" s="32"/>
      <c r="G49" s="33"/>
      <c r="I49" s="34"/>
      <c r="J49" s="34"/>
      <c r="K49" s="34"/>
      <c r="L49" s="34"/>
      <c r="M49" s="35"/>
      <c r="N49" s="34"/>
      <c r="O49" s="34"/>
      <c r="P49" s="34"/>
      <c r="Q49" s="35"/>
      <c r="R49" s="36"/>
      <c r="S49" s="36"/>
      <c r="T49" s="36"/>
      <c r="U49" s="36"/>
      <c r="V49" s="36"/>
      <c r="W49" s="35"/>
      <c r="X49" s="34"/>
      <c r="Y49" s="34"/>
      <c r="Z49" s="34"/>
      <c r="AA49" s="35"/>
      <c r="AB49" s="36"/>
      <c r="AC49" s="36"/>
      <c r="AD49" s="36"/>
      <c r="AF49"/>
      <c r="AG49"/>
      <c r="AH49" s="37"/>
      <c r="AI49" s="37"/>
      <c r="AK49" s="62"/>
    </row>
    <row r="50" spans="2:37" ht="12.75" hidden="1" customHeight="1" outlineLevel="1"/>
    <row r="51" spans="2:37" ht="12.75" customHeight="1" collapsed="1"/>
    <row r="52" spans="2:37" ht="12.75" customHeight="1">
      <c r="B52" s="1759" t="s">
        <v>111</v>
      </c>
      <c r="C52" s="1760"/>
      <c r="D52" s="1760"/>
      <c r="E52" s="1760"/>
      <c r="F52" s="1760"/>
      <c r="G52" s="1760"/>
      <c r="H52" s="1760"/>
      <c r="I52" s="1905">
        <v>8109.5210200000001</v>
      </c>
      <c r="J52" s="1905"/>
      <c r="K52" s="1905"/>
      <c r="L52" s="1905"/>
      <c r="M52" s="1760"/>
      <c r="N52" s="1905">
        <v>16.599</v>
      </c>
      <c r="O52" s="1905">
        <v>-2.5185900000000001</v>
      </c>
      <c r="P52" s="1905">
        <v>-2.5230000000000001</v>
      </c>
      <c r="Q52" s="1906"/>
      <c r="R52" s="1907">
        <v>1426.2816566523604</v>
      </c>
      <c r="S52" s="1907">
        <v>-2.5597751292579076</v>
      </c>
      <c r="T52" s="1907">
        <v>-2.458864827359541</v>
      </c>
      <c r="U52" s="1907">
        <v>27.005870000000002</v>
      </c>
      <c r="V52" s="1907">
        <v>0</v>
      </c>
      <c r="W52" s="1760"/>
      <c r="X52" s="1907"/>
      <c r="Y52" s="1760"/>
      <c r="Z52" s="1905">
        <v>15.033300000000001</v>
      </c>
      <c r="AA52" s="1905">
        <v>-346.97478999999998</v>
      </c>
      <c r="AB52" s="1905">
        <v>0</v>
      </c>
      <c r="AC52" s="1760"/>
      <c r="AD52" s="1907">
        <v>14769.938933333333</v>
      </c>
      <c r="AE52" s="1907">
        <v>-23.372075590852006</v>
      </c>
      <c r="AF52" s="1907">
        <v>0</v>
      </c>
      <c r="AG52" s="1760"/>
      <c r="AH52" s="1908" t="e">
        <v>#NAME?</v>
      </c>
      <c r="AI52" s="1761" t="e">
        <v>#NAME?</v>
      </c>
    </row>
    <row r="53" spans="2:37" ht="12.75" customHeight="1">
      <c r="B53" s="1762" t="s">
        <v>115</v>
      </c>
      <c r="C53" s="14"/>
      <c r="D53" s="14"/>
      <c r="E53" s="14"/>
      <c r="F53" s="14"/>
      <c r="G53" s="14"/>
      <c r="H53" s="14"/>
      <c r="I53" s="19">
        <v>557.5</v>
      </c>
      <c r="J53" s="19"/>
      <c r="K53" s="19"/>
      <c r="L53" s="19"/>
      <c r="M53" s="14"/>
      <c r="N53" s="19">
        <v>1.165</v>
      </c>
      <c r="O53" s="19">
        <v>-5.1040000000000001</v>
      </c>
      <c r="P53" s="19">
        <v>-3.2751099999999997</v>
      </c>
      <c r="Q53" s="15"/>
      <c r="R53" s="18">
        <v>615.4512807305116</v>
      </c>
      <c r="S53" s="18">
        <v>-13.592474529780564</v>
      </c>
      <c r="T53" s="18">
        <v>-13.497274319066149</v>
      </c>
      <c r="U53" s="18">
        <v>14.17614</v>
      </c>
      <c r="V53" s="18" t="e">
        <v>#NUM!</v>
      </c>
      <c r="W53" s="14"/>
      <c r="X53" s="18"/>
      <c r="Y53" s="14"/>
      <c r="Z53" s="19">
        <v>7.9893750000000008</v>
      </c>
      <c r="AA53" s="19">
        <v>-346.97478999999998</v>
      </c>
      <c r="AB53" s="19" t="e">
        <v>#NUM!</v>
      </c>
      <c r="AC53" s="14"/>
      <c r="AD53" s="18">
        <v>11673.679086424454</v>
      </c>
      <c r="AE53" s="18">
        <v>-23.372075590852006</v>
      </c>
      <c r="AF53" s="18" t="e">
        <v>#NUM!</v>
      </c>
      <c r="AG53" s="14"/>
      <c r="AH53" s="27" t="e">
        <v>#NAME?</v>
      </c>
      <c r="AI53" s="28" t="e">
        <v>#NAME?</v>
      </c>
    </row>
    <row r="54" spans="2:37" ht="12.75" customHeight="1">
      <c r="B54" s="1762" t="s">
        <v>113</v>
      </c>
      <c r="C54" s="14"/>
      <c r="D54" s="14"/>
      <c r="E54" s="14"/>
      <c r="F54" s="14"/>
      <c r="G54" s="14"/>
      <c r="H54" s="14"/>
      <c r="I54" s="19">
        <v>780.15271937500017</v>
      </c>
      <c r="J54" s="19"/>
      <c r="K54" s="19"/>
      <c r="L54" s="19"/>
      <c r="M54" s="14"/>
      <c r="N54" s="19">
        <v>3.7987259999999998</v>
      </c>
      <c r="O54" s="19">
        <v>-102.20491799999999</v>
      </c>
      <c r="P54" s="19">
        <v>-86.548246666666671</v>
      </c>
      <c r="Q54" s="15"/>
      <c r="R54" s="18">
        <v>473.70286768793528</v>
      </c>
      <c r="S54" s="18">
        <v>-18.74930502378459</v>
      </c>
      <c r="T54" s="18">
        <v>-18.477459621910693</v>
      </c>
      <c r="U54" s="18">
        <v>11.802476</v>
      </c>
      <c r="V54" s="18" t="e">
        <v>#DIV/0!</v>
      </c>
      <c r="W54" s="14"/>
      <c r="X54" s="18"/>
      <c r="Y54" s="14"/>
      <c r="Z54" s="19">
        <v>5.3637499999999996</v>
      </c>
      <c r="AA54" s="19">
        <v>-346.97478999999998</v>
      </c>
      <c r="AB54" s="19" t="e">
        <v>#DIV/0!</v>
      </c>
      <c r="AC54" s="14"/>
      <c r="AD54" s="18">
        <v>7785.4386433204827</v>
      </c>
      <c r="AE54" s="18">
        <v>-23.372075590852006</v>
      </c>
      <c r="AF54" s="18" t="e">
        <v>#DIV/0!</v>
      </c>
      <c r="AG54" s="14"/>
      <c r="AH54" s="27" t="e">
        <v>#NAME?</v>
      </c>
      <c r="AI54" s="28" t="e">
        <v>#NAME?</v>
      </c>
    </row>
    <row r="55" spans="2:37" ht="12.75" customHeight="1">
      <c r="B55" s="1762" t="s">
        <v>44</v>
      </c>
      <c r="C55" s="14"/>
      <c r="D55" s="14"/>
      <c r="E55" s="14"/>
      <c r="F55" s="14"/>
      <c r="G55" s="14"/>
      <c r="H55" s="14"/>
      <c r="I55" s="19">
        <v>106.73788999999999</v>
      </c>
      <c r="J55" s="19"/>
      <c r="K55" s="19"/>
      <c r="L55" s="19"/>
      <c r="M55" s="14"/>
      <c r="N55" s="19">
        <v>0.60199999999999998</v>
      </c>
      <c r="O55" s="19">
        <v>-41.228999999999999</v>
      </c>
      <c r="P55" s="19">
        <v>-23.244</v>
      </c>
      <c r="Q55" s="15"/>
      <c r="R55" s="18">
        <v>230.20849853110491</v>
      </c>
      <c r="S55" s="18">
        <v>-17.491779130386444</v>
      </c>
      <c r="T55" s="18">
        <v>-16.602582269321797</v>
      </c>
      <c r="U55" s="18">
        <v>7.4343399999999997</v>
      </c>
      <c r="V55" s="18" t="e">
        <v>#NUM!</v>
      </c>
      <c r="W55" s="14"/>
      <c r="X55" s="18"/>
      <c r="Y55" s="14"/>
      <c r="Z55" s="19">
        <v>0.94545000000000001</v>
      </c>
      <c r="AA55" s="19">
        <v>-346.97478999999998</v>
      </c>
      <c r="AB55" s="19" t="e">
        <v>#NUM!</v>
      </c>
      <c r="AC55" s="14"/>
      <c r="AD55" s="18">
        <v>8577.4192395155751</v>
      </c>
      <c r="AE55" s="18">
        <v>-23.372075590852006</v>
      </c>
      <c r="AF55" s="18" t="e">
        <v>#NUM!</v>
      </c>
      <c r="AG55" s="14"/>
      <c r="AH55" s="27" t="e">
        <v>#NAME?</v>
      </c>
      <c r="AI55" s="28" t="e">
        <v>#NAME?</v>
      </c>
    </row>
    <row r="56" spans="2:37" ht="12.75" customHeight="1">
      <c r="B56" s="1762" t="s">
        <v>114</v>
      </c>
      <c r="C56" s="14"/>
      <c r="D56" s="14"/>
      <c r="E56" s="14"/>
      <c r="F56" s="14"/>
      <c r="G56" s="14"/>
      <c r="H56" s="14"/>
      <c r="I56" s="19">
        <v>40.235275000000001</v>
      </c>
      <c r="J56" s="19"/>
      <c r="K56" s="19"/>
      <c r="L56" s="19"/>
      <c r="M56" s="14"/>
      <c r="N56" s="19">
        <v>0.5</v>
      </c>
      <c r="O56" s="19">
        <v>-52.607999999999997</v>
      </c>
      <c r="P56" s="19">
        <v>-51.41225</v>
      </c>
      <c r="Q56" s="15"/>
      <c r="R56" s="18">
        <v>88.46008548852862</v>
      </c>
      <c r="S56" s="18">
        <v>-19.800327225226766</v>
      </c>
      <c r="T56" s="18">
        <v>-19.642397676683025</v>
      </c>
      <c r="U56" s="18">
        <v>5.2804200000000003</v>
      </c>
      <c r="V56" s="18" t="e">
        <v>#NUM!</v>
      </c>
      <c r="W56" s="14"/>
      <c r="X56" s="18"/>
      <c r="Y56" s="14"/>
      <c r="Z56" s="19">
        <v>0.52897499999999997</v>
      </c>
      <c r="AA56" s="19">
        <v>-346.97478999999998</v>
      </c>
      <c r="AB56" s="19" t="e">
        <v>#NUM!</v>
      </c>
      <c r="AC56" s="14"/>
      <c r="AD56" s="18">
        <v>4293.1884983140599</v>
      </c>
      <c r="AE56" s="18">
        <v>-23.372075590852006</v>
      </c>
      <c r="AF56" s="18" t="e">
        <v>#NUM!</v>
      </c>
      <c r="AG56" s="14"/>
      <c r="AH56" s="27" t="e">
        <v>#NAME?</v>
      </c>
      <c r="AI56" s="28" t="e">
        <v>#NAME?</v>
      </c>
    </row>
    <row r="57" spans="2:37" ht="12.75" customHeight="1">
      <c r="B57" s="1763" t="s">
        <v>112</v>
      </c>
      <c r="C57" s="38"/>
      <c r="D57" s="38"/>
      <c r="E57" s="38"/>
      <c r="F57" s="38"/>
      <c r="G57" s="38"/>
      <c r="H57" s="38"/>
      <c r="I57" s="16">
        <v>3.64798</v>
      </c>
      <c r="J57" s="16"/>
      <c r="K57" s="16"/>
      <c r="L57" s="16"/>
      <c r="M57" s="38"/>
      <c r="N57" s="16">
        <v>0.12762999999999999</v>
      </c>
      <c r="O57" s="16">
        <v>-409.565</v>
      </c>
      <c r="P57" s="16">
        <v>-412.858</v>
      </c>
      <c r="Q57" s="61"/>
      <c r="R57" s="20">
        <v>8.1128170371709132</v>
      </c>
      <c r="S57" s="20">
        <v>-40.302169104271265</v>
      </c>
      <c r="T57" s="20">
        <v>-40.18617901712296</v>
      </c>
      <c r="U57" s="20">
        <v>5.1156100000000002</v>
      </c>
      <c r="V57" s="20">
        <v>0</v>
      </c>
      <c r="W57" s="38"/>
      <c r="X57" s="20"/>
      <c r="Y57" s="38"/>
      <c r="Z57" s="16">
        <v>0.1125</v>
      </c>
      <c r="AA57" s="16">
        <v>-346.97478999999998</v>
      </c>
      <c r="AB57" s="16">
        <v>0</v>
      </c>
      <c r="AC57" s="38"/>
      <c r="AD57" s="20">
        <v>8.9577571125434865</v>
      </c>
      <c r="AE57" s="20">
        <v>-23.372075590852006</v>
      </c>
      <c r="AF57" s="20">
        <v>0</v>
      </c>
      <c r="AG57" s="38"/>
      <c r="AH57" s="29" t="e">
        <v>#NAME?</v>
      </c>
      <c r="AI57" s="1764" t="e">
        <v>#NAME?</v>
      </c>
    </row>
    <row r="58" spans="2:37" ht="12.75" customHeight="1"/>
    <row r="59" spans="2:37" ht="12.75" customHeight="1"/>
    <row r="60" spans="2:37" ht="12.75" customHeight="1">
      <c r="B60" s="3"/>
    </row>
    <row r="61" spans="2:37" ht="12.75" customHeight="1"/>
    <row r="62" spans="2:37" ht="12.75" customHeight="1"/>
  </sheetData>
  <mergeCells count="1">
    <mergeCell ref="AF7:AF8"/>
  </mergeCells>
  <conditionalFormatting sqref="AI4">
    <cfRule type="cellIs" dxfId="166" priority="3" stopIfTrue="1" operator="equal">
      <formula>"input"</formula>
    </cfRule>
  </conditionalFormatting>
  <conditionalFormatting sqref="R4">
    <cfRule type="cellIs" dxfId="165" priority="7" stopIfTrue="1" operator="equal">
      <formula>"input"</formula>
    </cfRule>
  </conditionalFormatting>
  <conditionalFormatting sqref="B4:M4">
    <cfRule type="cellIs" dxfId="164" priority="13" stopIfTrue="1" operator="equal">
      <formula>"input"</formula>
    </cfRule>
  </conditionalFormatting>
  <conditionalFormatting sqref="N4">
    <cfRule type="cellIs" dxfId="163" priority="11" stopIfTrue="1" operator="equal">
      <formula>"input"</formula>
    </cfRule>
  </conditionalFormatting>
  <conditionalFormatting sqref="N4">
    <cfRule type="cellIs" dxfId="162" priority="12" stopIfTrue="1" operator="equal">
      <formula>"input"</formula>
    </cfRule>
  </conditionalFormatting>
  <conditionalFormatting sqref="O4:Q4">
    <cfRule type="cellIs" dxfId="161" priority="9" stopIfTrue="1" operator="equal">
      <formula>"input"</formula>
    </cfRule>
  </conditionalFormatting>
  <conditionalFormatting sqref="O4:Q4">
    <cfRule type="cellIs" dxfId="160" priority="10" stopIfTrue="1" operator="equal">
      <formula>"input"</formula>
    </cfRule>
  </conditionalFormatting>
  <conditionalFormatting sqref="R4">
    <cfRule type="cellIs" dxfId="159" priority="8" stopIfTrue="1" operator="equal">
      <formula>"input"</formula>
    </cfRule>
  </conditionalFormatting>
  <conditionalFormatting sqref="S4:AE4 AH4">
    <cfRule type="cellIs" dxfId="158" priority="5" stopIfTrue="1" operator="equal">
      <formula>"input"</formula>
    </cfRule>
  </conditionalFormatting>
  <conditionalFormatting sqref="S4:AE4 AH4">
    <cfRule type="cellIs" dxfId="157" priority="6" stopIfTrue="1" operator="equal">
      <formula>"input"</formula>
    </cfRule>
  </conditionalFormatting>
  <conditionalFormatting sqref="AI4">
    <cfRule type="cellIs" dxfId="156" priority="4" stopIfTrue="1" operator="equal">
      <formula>"input"</formula>
    </cfRule>
  </conditionalFormatting>
  <conditionalFormatting sqref="AF4:AG4">
    <cfRule type="cellIs" dxfId="155" priority="1" stopIfTrue="1" operator="equal">
      <formula>"input"</formula>
    </cfRule>
  </conditionalFormatting>
  <conditionalFormatting sqref="AF4:AG4">
    <cfRule type="cellIs" dxfId="154" priority="2"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56"/>
  <dimension ref="A1:CH74"/>
  <sheetViews>
    <sheetView showGridLines="0" view="pageBreakPreview" zoomScaleNormal="100" zoomScaleSheetLayoutView="100" workbookViewId="0"/>
  </sheetViews>
  <sheetFormatPr defaultRowHeight="11.25" outlineLevelCol="1"/>
  <cols>
    <col min="1" max="1" width="40.1640625" style="66" bestFit="1" customWidth="1"/>
    <col min="2" max="2" width="14.83203125" style="66" bestFit="1" customWidth="1"/>
    <col min="3" max="3" width="25.1640625" style="67" bestFit="1" customWidth="1"/>
    <col min="4" max="4" width="19" style="67" bestFit="1" customWidth="1"/>
    <col min="5" max="9" width="17.83203125" style="67" customWidth="1"/>
    <col min="10" max="10" width="15.33203125" style="67" customWidth="1"/>
    <col min="11" max="11" width="14" style="67" customWidth="1"/>
    <col min="12" max="12" width="15.6640625" style="67" bestFit="1" customWidth="1"/>
    <col min="13" max="13" width="16.1640625" style="67" customWidth="1"/>
    <col min="14" max="16" width="14.83203125" style="67" bestFit="1" customWidth="1"/>
    <col min="17" max="18" width="14.83203125" style="67" customWidth="1"/>
    <col min="19" max="23" width="14.83203125" style="67" bestFit="1" customWidth="1"/>
    <col min="24" max="24" width="14.83203125" style="67" customWidth="1"/>
    <col min="25" max="29" width="14.83203125" style="67" bestFit="1" customWidth="1"/>
    <col min="30" max="30" width="17" style="67" bestFit="1" customWidth="1"/>
    <col min="31" max="31" width="14.83203125" style="67" bestFit="1" customWidth="1"/>
    <col min="32" max="32" width="19.1640625" style="67" customWidth="1"/>
    <col min="33" max="33" width="19.5" style="67" customWidth="1"/>
    <col min="34" max="34" width="21.1640625" style="67" customWidth="1"/>
    <col min="35" max="35" width="19" style="67" bestFit="1" customWidth="1"/>
    <col min="36" max="36" width="12.83203125" style="67" customWidth="1"/>
    <col min="37" max="37" width="15.33203125" style="67" customWidth="1"/>
    <col min="38" max="38" width="13.1640625" style="67" customWidth="1"/>
    <col min="39" max="39" width="18.5" style="67" bestFit="1" customWidth="1"/>
    <col min="40" max="40" width="14.83203125" style="67" bestFit="1" customWidth="1"/>
    <col min="41" max="44" width="14.83203125" style="67" customWidth="1"/>
    <col min="45" max="45" width="11.1640625" style="67" customWidth="1"/>
    <col min="46" max="46" width="14.83203125" style="67" bestFit="1" customWidth="1"/>
    <col min="47" max="50" width="14.83203125" style="67" customWidth="1"/>
    <col min="51" max="51" width="16" style="67" customWidth="1"/>
    <col min="52" max="69" width="14.83203125" style="67" customWidth="1"/>
    <col min="70" max="70" width="17" style="67" customWidth="1" outlineLevel="1"/>
    <col min="71" max="78" width="9.33203125" style="67"/>
    <col min="79" max="82" width="9.33203125" style="66"/>
    <col min="83" max="83" width="9.33203125" style="75"/>
    <col min="84" max="16384" width="9.33203125" style="66"/>
  </cols>
  <sheetData>
    <row r="1" spans="1:86" s="63" customFormat="1">
      <c r="A1" s="66" t="s">
        <v>726</v>
      </c>
      <c r="B1" s="74">
        <f>'MASTER PubCo Inputs'!C6</f>
        <v>43496</v>
      </c>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4"/>
      <c r="AR1" s="67"/>
      <c r="AS1" s="65"/>
      <c r="AT1" s="67"/>
      <c r="AU1" s="64"/>
      <c r="AV1" s="64"/>
      <c r="AW1" s="64"/>
      <c r="AX1" s="64"/>
      <c r="AY1" s="64"/>
      <c r="AZ1" s="64"/>
      <c r="BA1" s="64"/>
      <c r="BB1" s="64"/>
      <c r="BC1" s="64"/>
      <c r="BD1" s="64"/>
      <c r="BE1" s="64"/>
      <c r="BF1" s="64"/>
      <c r="BG1" s="64"/>
      <c r="BH1" s="64"/>
      <c r="BI1" s="64"/>
      <c r="BJ1" s="64"/>
      <c r="BK1" s="64"/>
      <c r="BL1" s="64"/>
      <c r="BM1" s="64"/>
      <c r="BN1" s="64"/>
      <c r="BO1" s="64"/>
      <c r="BP1" s="64"/>
      <c r="BQ1" s="64"/>
      <c r="BR1" s="64"/>
      <c r="BS1" s="64"/>
      <c r="BT1" s="64"/>
      <c r="BU1" s="64"/>
      <c r="BV1" s="64"/>
      <c r="BW1" s="64"/>
      <c r="BX1" s="64"/>
      <c r="BY1" s="64"/>
      <c r="BZ1" s="64"/>
    </row>
    <row r="2" spans="1:86" s="63" customFormat="1">
      <c r="A2" s="66" t="s">
        <v>727</v>
      </c>
      <c r="B2" s="74" t="str">
        <f>'Capital IQ Sheet-GPC'!B2</f>
        <v>CY2017</v>
      </c>
      <c r="C2" s="67"/>
      <c r="D2" s="67"/>
      <c r="E2" s="67"/>
      <c r="F2" s="67"/>
      <c r="G2" s="67"/>
      <c r="H2" s="67"/>
      <c r="I2" s="67"/>
      <c r="J2" s="67"/>
      <c r="K2" s="116" t="s">
        <v>87</v>
      </c>
      <c r="L2" s="117">
        <f>B1</f>
        <v>43496</v>
      </c>
      <c r="M2" s="67"/>
      <c r="N2" s="67"/>
      <c r="O2" s="67"/>
      <c r="P2" s="67"/>
      <c r="Q2" s="67"/>
      <c r="R2" s="67"/>
      <c r="S2" s="67"/>
      <c r="T2" s="67"/>
      <c r="U2" s="67"/>
      <c r="V2" s="67"/>
      <c r="W2" s="67"/>
      <c r="X2" s="67"/>
      <c r="Y2" s="67"/>
      <c r="Z2" s="67"/>
      <c r="AA2" s="67"/>
      <c r="AB2" s="67"/>
      <c r="AC2" s="67"/>
      <c r="AD2" s="67"/>
      <c r="AE2" s="67"/>
      <c r="AF2" s="67"/>
      <c r="AG2" s="67"/>
      <c r="AH2" s="67"/>
      <c r="AI2" s="67"/>
      <c r="AJ2" s="67"/>
      <c r="AK2" s="67"/>
      <c r="AL2" s="67"/>
      <c r="AM2" s="67"/>
      <c r="AN2" s="67"/>
      <c r="AO2" s="67"/>
      <c r="AP2" s="67"/>
      <c r="AQ2" s="64"/>
      <c r="AR2" s="67"/>
      <c r="AS2" s="65"/>
      <c r="AT2" s="67"/>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row>
    <row r="3" spans="1:86" s="63" customFormat="1">
      <c r="A3" s="66" t="s">
        <v>728</v>
      </c>
      <c r="B3" s="74" t="str">
        <f>'Capital IQ Sheet-GPC'!B3</f>
        <v>CY2018</v>
      </c>
      <c r="C3" s="67"/>
      <c r="D3" s="67"/>
      <c r="E3" s="67"/>
      <c r="F3" s="67"/>
      <c r="G3" s="67"/>
      <c r="H3" s="67"/>
      <c r="I3" s="67"/>
      <c r="J3" s="67"/>
      <c r="K3" s="78" t="s">
        <v>455</v>
      </c>
      <c r="L3" s="79" t="str">
        <f>'Capital IQ Sheet-GPC'!L3</f>
        <v>F</v>
      </c>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4"/>
      <c r="AR3" s="67"/>
      <c r="AS3" s="65"/>
      <c r="AT3" s="67"/>
      <c r="AU3" s="64"/>
      <c r="AV3" s="64"/>
      <c r="AW3" s="64"/>
      <c r="AX3" s="64"/>
      <c r="AY3" s="64"/>
      <c r="AZ3" s="64"/>
      <c r="BA3" s="64"/>
      <c r="BB3" s="64"/>
      <c r="BC3" s="64"/>
      <c r="BD3" s="64"/>
      <c r="BE3" s="64"/>
      <c r="BF3" s="64"/>
      <c r="BG3" s="64"/>
      <c r="BH3" s="64"/>
      <c r="BI3" s="64"/>
      <c r="BJ3" s="64"/>
      <c r="BK3" s="64"/>
      <c r="BL3" s="64"/>
      <c r="BM3" s="64"/>
      <c r="BN3" s="64"/>
      <c r="BO3" s="64"/>
      <c r="BP3" s="64"/>
      <c r="BQ3" s="64"/>
      <c r="BR3" s="64"/>
      <c r="BS3" s="64"/>
      <c r="BT3" s="64"/>
      <c r="BU3" s="64"/>
      <c r="BV3" s="64"/>
      <c r="BW3" s="64"/>
      <c r="BX3" s="64"/>
      <c r="BY3" s="64"/>
      <c r="BZ3" s="64"/>
    </row>
    <row r="4" spans="1:86" s="63" customFormat="1">
      <c r="A4" s="66" t="s">
        <v>729</v>
      </c>
      <c r="B4" s="74" t="str">
        <f>'Capital IQ Sheet-GPC'!B4</f>
        <v>CY2019</v>
      </c>
      <c r="C4" s="67"/>
      <c r="D4" s="67"/>
      <c r="E4" s="67"/>
      <c r="F4" s="67"/>
      <c r="G4" s="67"/>
      <c r="H4" s="67"/>
      <c r="I4" s="67"/>
      <c r="J4" s="67"/>
      <c r="K4" s="78" t="s">
        <v>828</v>
      </c>
      <c r="L4" s="79" t="str">
        <f>'Capital IQ Sheet-GPC'!L4</f>
        <v>LFR</v>
      </c>
      <c r="M4" s="67"/>
      <c r="N4" s="67"/>
      <c r="O4" s="67"/>
      <c r="P4" s="67"/>
      <c r="Q4" s="67"/>
      <c r="R4" s="67"/>
      <c r="S4" s="67"/>
      <c r="T4" s="67"/>
      <c r="U4" s="67"/>
      <c r="V4" s="67"/>
      <c r="W4" s="67"/>
      <c r="X4" s="67"/>
      <c r="Y4" s="67"/>
      <c r="Z4" s="67"/>
      <c r="AA4" s="67"/>
      <c r="AB4" s="67"/>
      <c r="AC4" s="67"/>
      <c r="AD4" s="67"/>
      <c r="AE4" s="67"/>
      <c r="AF4" s="67"/>
      <c r="AG4" s="67"/>
      <c r="AH4" s="67"/>
      <c r="AI4" s="67"/>
      <c r="AJ4" s="67"/>
      <c r="AK4" s="67"/>
      <c r="AL4" s="67"/>
      <c r="AM4" s="67"/>
      <c r="AN4" s="67"/>
      <c r="AO4" s="67"/>
      <c r="AP4" s="67"/>
      <c r="AQ4" s="64"/>
      <c r="AR4" s="67"/>
      <c r="AS4" s="64"/>
      <c r="AT4" s="67"/>
      <c r="AU4" s="64"/>
      <c r="AV4" s="64"/>
      <c r="AW4" s="64"/>
      <c r="AX4" s="64"/>
      <c r="AY4" s="64"/>
      <c r="AZ4" s="64"/>
      <c r="BA4" s="64"/>
      <c r="BB4" s="64"/>
      <c r="BC4" s="64"/>
      <c r="BD4" s="64"/>
      <c r="BE4" s="64"/>
      <c r="BF4" s="64"/>
      <c r="BG4" s="64"/>
      <c r="BH4" s="64"/>
      <c r="BI4" s="64"/>
      <c r="BJ4" s="64"/>
      <c r="BK4" s="64"/>
      <c r="BL4" s="64"/>
      <c r="BM4" s="64"/>
      <c r="BN4" s="64"/>
      <c r="BO4" s="64"/>
      <c r="BP4" s="64"/>
      <c r="BQ4" s="64"/>
      <c r="BR4" s="64"/>
      <c r="BS4" s="64"/>
      <c r="BT4" s="64"/>
      <c r="BU4" s="64"/>
      <c r="BV4" s="64"/>
      <c r="BW4" s="64"/>
      <c r="BX4" s="64"/>
      <c r="BY4" s="64"/>
      <c r="BZ4" s="64"/>
    </row>
    <row r="5" spans="1:86" s="63" customFormat="1">
      <c r="A5" s="66" t="s">
        <v>730</v>
      </c>
      <c r="B5" s="74" t="str">
        <f>'Capital IQ Sheet-GPC'!B5</f>
        <v>CY2020</v>
      </c>
      <c r="C5" s="67"/>
      <c r="D5" s="67"/>
      <c r="E5" s="67"/>
      <c r="F5" s="67"/>
      <c r="G5" s="67"/>
      <c r="H5" s="67"/>
      <c r="I5" s="67"/>
      <c r="J5" s="67"/>
      <c r="K5" s="78" t="s">
        <v>456</v>
      </c>
      <c r="L5" s="79" t="str">
        <f>'Capital IQ Sheet-GPC'!L5</f>
        <v>USD</v>
      </c>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7"/>
      <c r="AP5" s="67"/>
      <c r="AQ5" s="64"/>
      <c r="AR5" s="67"/>
      <c r="AS5" s="64"/>
      <c r="AT5" s="67"/>
      <c r="AU5" s="64"/>
      <c r="AV5" s="64"/>
      <c r="AW5" s="64"/>
      <c r="AX5" s="64"/>
      <c r="AY5" s="64"/>
      <c r="AZ5" s="64"/>
      <c r="BA5" s="64"/>
      <c r="BB5" s="64"/>
      <c r="BC5" s="64"/>
      <c r="BD5" s="64"/>
      <c r="BE5" s="64"/>
      <c r="BF5" s="64"/>
      <c r="BG5" s="64"/>
      <c r="BH5" s="64"/>
      <c r="BI5" s="64"/>
      <c r="BJ5" s="64"/>
      <c r="BK5" s="64"/>
      <c r="BL5" s="64"/>
      <c r="BM5" s="64"/>
      <c r="BN5" s="64"/>
      <c r="BO5" s="64"/>
      <c r="BP5" s="64"/>
      <c r="BQ5" s="64"/>
      <c r="BR5" s="64"/>
      <c r="BS5" s="64"/>
      <c r="BT5" s="64"/>
      <c r="BU5" s="64"/>
      <c r="BV5" s="64"/>
      <c r="BW5" s="64"/>
      <c r="BX5" s="64"/>
      <c r="BY5" s="64"/>
      <c r="BZ5" s="64"/>
    </row>
    <row r="6" spans="1:86" s="63" customFormat="1">
      <c r="A6" s="66" t="s">
        <v>731</v>
      </c>
      <c r="B6" s="74" t="str">
        <f>'Capital IQ Sheet-GPC'!B6</f>
        <v>CY2021</v>
      </c>
      <c r="C6" s="67"/>
      <c r="D6" s="67"/>
      <c r="E6" s="67"/>
      <c r="F6" s="67"/>
      <c r="G6" s="67"/>
      <c r="H6" s="67"/>
      <c r="I6" s="67"/>
      <c r="J6" s="67"/>
      <c r="K6" s="80" t="s">
        <v>89</v>
      </c>
      <c r="L6" s="81" t="str">
        <f>'Capital IQ Sheet-GPC'!L6</f>
        <v>H</v>
      </c>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4"/>
      <c r="AR6" s="67"/>
      <c r="AS6" s="64"/>
      <c r="AT6" s="67"/>
      <c r="AU6" s="64"/>
      <c r="AV6" s="64"/>
      <c r="AW6" s="64"/>
      <c r="AX6" s="64"/>
      <c r="AY6" s="64"/>
      <c r="AZ6" s="64"/>
      <c r="BA6" s="64"/>
      <c r="BB6" s="64"/>
      <c r="BC6" s="64"/>
      <c r="BD6" s="64"/>
      <c r="BE6" s="64"/>
      <c r="BF6" s="64"/>
      <c r="BG6" s="64"/>
      <c r="BH6" s="64"/>
      <c r="BI6" s="64"/>
      <c r="BJ6" s="64"/>
      <c r="BK6" s="64"/>
      <c r="BL6" s="64"/>
      <c r="BM6" s="64"/>
      <c r="BN6" s="64"/>
      <c r="BO6" s="64"/>
      <c r="BP6" s="64"/>
      <c r="BQ6" s="64"/>
      <c r="BR6" s="64"/>
      <c r="BS6" s="64"/>
      <c r="BT6" s="64"/>
      <c r="BU6" s="64"/>
      <c r="BV6" s="64"/>
      <c r="BW6" s="64"/>
      <c r="BX6" s="64"/>
      <c r="BY6" s="64"/>
      <c r="BZ6" s="64"/>
    </row>
    <row r="7" spans="1:86" s="63" customFormat="1">
      <c r="A7" s="66" t="s">
        <v>830</v>
      </c>
      <c r="B7" s="74" t="str">
        <f>'Capital IQ Sheet-GPC'!B7</f>
        <v>CY2022</v>
      </c>
      <c r="C7" s="67"/>
      <c r="D7" s="67"/>
      <c r="E7" s="67"/>
      <c r="F7" s="67"/>
      <c r="G7" s="67"/>
      <c r="H7" s="67"/>
      <c r="I7" s="67"/>
      <c r="J7" s="67"/>
      <c r="K7" s="67"/>
      <c r="L7" s="67"/>
      <c r="M7" s="67"/>
      <c r="N7" s="67"/>
      <c r="O7" s="67"/>
      <c r="P7" s="67"/>
      <c r="Q7" s="67"/>
      <c r="R7" s="67"/>
      <c r="S7" s="67"/>
      <c r="T7" s="67"/>
      <c r="U7" s="67"/>
      <c r="V7" s="67"/>
      <c r="W7" s="67"/>
      <c r="X7" s="67"/>
      <c r="Y7" s="67"/>
      <c r="Z7" s="67"/>
      <c r="AA7" s="67"/>
      <c r="AB7" s="67"/>
      <c r="AC7" s="67"/>
      <c r="AD7" s="67"/>
      <c r="AE7" s="67"/>
      <c r="AF7" s="82"/>
      <c r="AG7" s="82"/>
      <c r="AH7" s="67"/>
      <c r="AI7" s="67"/>
      <c r="AJ7" s="67"/>
      <c r="AK7" s="67"/>
      <c r="AL7" s="67"/>
      <c r="AM7" s="67"/>
      <c r="AN7" s="67"/>
      <c r="AO7" s="67"/>
      <c r="AP7" s="67"/>
      <c r="AQ7" s="64"/>
      <c r="AR7" s="67"/>
      <c r="AS7" s="64"/>
      <c r="AT7" s="67"/>
      <c r="AU7" s="64"/>
      <c r="AV7" s="64"/>
      <c r="AW7" s="64"/>
      <c r="AX7" s="64"/>
      <c r="AY7" s="64"/>
      <c r="AZ7" s="64"/>
      <c r="BA7" s="64"/>
      <c r="BB7" s="64"/>
      <c r="BC7" s="64"/>
      <c r="BD7" s="64"/>
      <c r="BE7" s="64"/>
      <c r="BF7" s="64"/>
      <c r="BG7" s="64"/>
      <c r="BH7" s="64"/>
      <c r="BI7" s="64"/>
      <c r="BJ7" s="64"/>
      <c r="BK7" s="64"/>
      <c r="BL7" s="64"/>
      <c r="BM7" s="64"/>
      <c r="BN7" s="64"/>
      <c r="BO7" s="64"/>
      <c r="BP7" s="64"/>
      <c r="BQ7" s="64"/>
      <c r="BR7" s="64"/>
      <c r="BS7" s="64"/>
      <c r="BT7" s="64"/>
      <c r="BU7" s="64"/>
      <c r="BV7" s="64"/>
      <c r="BW7" s="64"/>
      <c r="BX7" s="64"/>
      <c r="BY7" s="64"/>
      <c r="BZ7" s="64"/>
    </row>
    <row r="8" spans="1:86" s="63" customFormat="1">
      <c r="A8" s="66" t="s">
        <v>732</v>
      </c>
      <c r="B8" s="74">
        <f>'Capital IQ Sheet-GPC'!B8</f>
        <v>43404</v>
      </c>
      <c r="C8" s="67"/>
      <c r="D8" s="67"/>
      <c r="E8" s="67"/>
      <c r="F8" s="67"/>
      <c r="G8" s="67"/>
      <c r="H8" s="67"/>
      <c r="I8" s="6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4"/>
      <c r="AR8" s="67"/>
      <c r="AS8" s="64"/>
      <c r="AT8" s="67"/>
      <c r="AU8" s="64"/>
      <c r="AV8" s="64"/>
      <c r="AW8" s="64"/>
      <c r="AX8" s="64"/>
      <c r="AY8" s="64"/>
      <c r="AZ8" s="64"/>
      <c r="BA8" s="64"/>
      <c r="BB8" s="64"/>
      <c r="BC8" s="64"/>
      <c r="BD8" s="64"/>
      <c r="BE8" s="64"/>
      <c r="BF8" s="64"/>
      <c r="BG8" s="64"/>
      <c r="BH8" s="64"/>
      <c r="BI8" s="64"/>
      <c r="BJ8" s="64"/>
      <c r="BK8" s="64"/>
      <c r="BL8" s="64"/>
      <c r="BM8" s="64"/>
      <c r="BN8" s="64"/>
      <c r="BO8" s="64"/>
      <c r="BP8" s="64"/>
      <c r="BQ8" s="64"/>
      <c r="BR8" s="64"/>
      <c r="BS8" s="64"/>
      <c r="BT8" s="64"/>
      <c r="BU8" s="64"/>
      <c r="BV8" s="64"/>
      <c r="BW8" s="64"/>
      <c r="BX8" s="64"/>
      <c r="BY8" s="64"/>
      <c r="BZ8" s="64"/>
    </row>
    <row r="9" spans="1:86" s="118" customFormat="1" ht="12.75">
      <c r="C9" s="119"/>
      <c r="D9" s="119"/>
      <c r="E9" s="119"/>
      <c r="F9" s="119"/>
      <c r="G9" s="119"/>
      <c r="H9" s="119"/>
      <c r="I9" s="119"/>
      <c r="J9" s="119"/>
      <c r="K9" s="119"/>
      <c r="L9" s="119"/>
      <c r="M9" s="119"/>
      <c r="N9" s="119"/>
      <c r="O9" s="119"/>
      <c r="P9" s="119"/>
      <c r="Q9" s="119"/>
      <c r="R9" s="119"/>
      <c r="S9" s="119"/>
      <c r="T9" s="119"/>
      <c r="U9" s="119"/>
      <c r="V9" s="119"/>
      <c r="W9" s="119"/>
      <c r="X9" s="119"/>
      <c r="Y9" s="119"/>
      <c r="Z9" s="119"/>
      <c r="AA9" s="119"/>
      <c r="AB9" s="119"/>
      <c r="AC9" s="119"/>
      <c r="AD9" s="119"/>
      <c r="AE9" s="119"/>
      <c r="AF9" s="119"/>
      <c r="AG9" s="119"/>
      <c r="AH9" s="119"/>
      <c r="AI9" s="119"/>
      <c r="AJ9" s="119"/>
      <c r="AK9" s="119"/>
      <c r="AL9" s="119"/>
      <c r="AM9" s="119"/>
      <c r="AN9" s="119"/>
      <c r="AO9" s="119"/>
      <c r="AP9" s="119"/>
      <c r="AQ9" s="119"/>
      <c r="AR9" s="119"/>
      <c r="AS9" s="119"/>
      <c r="AT9" s="119"/>
      <c r="AU9" s="119"/>
      <c r="AV9" s="119"/>
      <c r="AW9" s="119"/>
      <c r="AX9" s="119"/>
      <c r="AY9" s="119"/>
      <c r="AZ9" s="119"/>
      <c r="BA9" s="119"/>
      <c r="BB9" s="119"/>
      <c r="BC9" s="119"/>
      <c r="BD9" s="119"/>
      <c r="BE9" s="119"/>
      <c r="BF9" s="119"/>
      <c r="BG9" s="119"/>
      <c r="BH9" s="119"/>
      <c r="BI9" s="119"/>
      <c r="BJ9" s="119"/>
      <c r="BK9" s="119"/>
      <c r="BL9" s="119"/>
      <c r="BM9" s="119"/>
      <c r="BN9" s="119"/>
      <c r="BO9" s="119"/>
      <c r="BP9" s="119"/>
      <c r="BQ9" s="119"/>
      <c r="BR9" s="119"/>
      <c r="BS9" s="119"/>
      <c r="BT9" s="119"/>
      <c r="BU9" s="119"/>
      <c r="BV9" s="119"/>
      <c r="BW9" s="119"/>
      <c r="BX9" s="119"/>
      <c r="BY9" s="119"/>
      <c r="BZ9" s="119"/>
    </row>
    <row r="10" spans="1:86">
      <c r="A10" s="83" t="str">
        <f>'Capital IQ Sheet-GPC'!A10</f>
        <v>Comparable Public Companies (Primary)</v>
      </c>
      <c r="W10" s="68"/>
      <c r="AF10" s="120" t="s">
        <v>322</v>
      </c>
      <c r="AG10" s="121"/>
      <c r="AH10" s="121"/>
      <c r="AI10" s="122"/>
      <c r="AJ10" s="67" t="s">
        <v>345</v>
      </c>
      <c r="AK10" s="67" t="s">
        <v>321</v>
      </c>
      <c r="AL10" s="67" t="s">
        <v>322</v>
      </c>
      <c r="AM10" s="67" t="s">
        <v>345</v>
      </c>
      <c r="AN10" s="67" t="s">
        <v>321</v>
      </c>
      <c r="AO10" s="67" t="s">
        <v>322</v>
      </c>
      <c r="AQ10" s="64">
        <v>1</v>
      </c>
      <c r="AR10" s="67">
        <v>2</v>
      </c>
      <c r="AS10" s="64">
        <v>5</v>
      </c>
      <c r="AU10" s="67" t="s">
        <v>345</v>
      </c>
      <c r="AV10" s="67" t="s">
        <v>321</v>
      </c>
      <c r="AW10" s="67" t="s">
        <v>322</v>
      </c>
      <c r="AX10" s="68" t="str">
        <f>B2</f>
        <v>CY2017</v>
      </c>
      <c r="AY10" s="68" t="str">
        <f>B3</f>
        <v>CY2018</v>
      </c>
      <c r="AZ10" s="67" t="s">
        <v>345</v>
      </c>
      <c r="BA10" s="67" t="s">
        <v>321</v>
      </c>
      <c r="BB10" s="67" t="s">
        <v>322</v>
      </c>
      <c r="BC10" s="67" t="str">
        <f>AX10</f>
        <v>CY2017</v>
      </c>
      <c r="BD10" s="67" t="str">
        <f>AY10</f>
        <v>CY2018</v>
      </c>
      <c r="BH10" s="64"/>
      <c r="BI10" s="64"/>
      <c r="BJ10" s="64"/>
      <c r="BK10" s="64"/>
      <c r="BL10" s="64"/>
      <c r="BM10" s="64"/>
      <c r="BN10" s="64"/>
      <c r="BO10" s="64"/>
      <c r="BP10" s="64"/>
      <c r="BQ10" s="64"/>
      <c r="BR10" s="64"/>
      <c r="BS10" s="64" t="s">
        <v>117</v>
      </c>
      <c r="BT10" s="64"/>
      <c r="BU10" s="64"/>
      <c r="BV10" s="64"/>
      <c r="BW10" s="64"/>
      <c r="BX10" s="64"/>
      <c r="BY10" s="64"/>
      <c r="BZ10" s="64"/>
      <c r="CA10" s="63"/>
      <c r="CB10" s="63"/>
      <c r="CC10" s="63"/>
      <c r="CD10" s="63"/>
      <c r="CE10" s="63"/>
      <c r="CF10" s="63"/>
      <c r="CG10" s="63"/>
      <c r="CH10" s="63"/>
    </row>
    <row r="11" spans="1:86" ht="12.75">
      <c r="A11" s="66" t="s">
        <v>108</v>
      </c>
      <c r="B11" s="66" t="s">
        <v>733</v>
      </c>
      <c r="C11" s="67" t="s">
        <v>734</v>
      </c>
      <c r="D11" s="67" t="s">
        <v>735</v>
      </c>
      <c r="E11" s="67" t="s">
        <v>736</v>
      </c>
      <c r="F11" s="67" t="s">
        <v>832</v>
      </c>
      <c r="G11" s="67" t="s">
        <v>737</v>
      </c>
      <c r="H11" s="67" t="s">
        <v>146</v>
      </c>
      <c r="I11" s="67" t="s">
        <v>679</v>
      </c>
      <c r="J11" s="67" t="s">
        <v>94</v>
      </c>
      <c r="K11" s="67" t="s">
        <v>95</v>
      </c>
      <c r="L11" s="67" t="s">
        <v>96</v>
      </c>
      <c r="M11" s="67" t="s">
        <v>97</v>
      </c>
      <c r="N11" s="67" t="s">
        <v>100</v>
      </c>
      <c r="O11" s="119" t="s">
        <v>780</v>
      </c>
      <c r="P11" s="67" t="s">
        <v>781</v>
      </c>
      <c r="Q11" s="67" t="s">
        <v>782</v>
      </c>
      <c r="R11" s="67" t="str">
        <f>"REV_"&amp;$B$2</f>
        <v>REV_CY2017</v>
      </c>
      <c r="S11" s="67" t="str">
        <f>"REV_"&amp;$B$3</f>
        <v>REV_CY2018</v>
      </c>
      <c r="T11" s="67" t="str">
        <f>"REV_"&amp;$B$4</f>
        <v>REV_CY2019</v>
      </c>
      <c r="U11" s="67" t="str">
        <f>"REV_"&amp;$B$5</f>
        <v>REV_CY2020</v>
      </c>
      <c r="V11" s="67" t="str">
        <f>"REV_"&amp;$B$6</f>
        <v>REV_CY2021</v>
      </c>
      <c r="W11" s="67" t="str">
        <f>"REV_"&amp;$B$7</f>
        <v>REV_CY2022</v>
      </c>
      <c r="X11" s="119" t="s">
        <v>783</v>
      </c>
      <c r="Y11" s="67" t="s">
        <v>784</v>
      </c>
      <c r="Z11" s="67" t="s">
        <v>738</v>
      </c>
      <c r="AA11" s="67" t="s">
        <v>785</v>
      </c>
      <c r="AB11" s="67" t="s">
        <v>786</v>
      </c>
      <c r="AC11" s="67" t="s">
        <v>787</v>
      </c>
      <c r="AD11" s="67" t="s">
        <v>788</v>
      </c>
      <c r="AE11" s="67" t="s">
        <v>789</v>
      </c>
      <c r="AF11" s="67" t="s">
        <v>792</v>
      </c>
      <c r="AG11" s="67" t="s">
        <v>848</v>
      </c>
      <c r="AH11" s="67" t="s">
        <v>849</v>
      </c>
      <c r="AI11" s="67" t="s">
        <v>850</v>
      </c>
      <c r="AJ11" s="67" t="s">
        <v>793</v>
      </c>
      <c r="AK11" s="67" t="s">
        <v>793</v>
      </c>
      <c r="AL11" s="67" t="s">
        <v>793</v>
      </c>
      <c r="AM11" s="67" t="s">
        <v>677</v>
      </c>
      <c r="AN11" s="67" t="s">
        <v>677</v>
      </c>
      <c r="AO11" s="67" t="s">
        <v>677</v>
      </c>
      <c r="AP11" s="67" t="s">
        <v>851</v>
      </c>
      <c r="AQ11" s="67" t="s">
        <v>741</v>
      </c>
      <c r="AR11" s="67" t="s">
        <v>740</v>
      </c>
      <c r="AS11" s="67" t="s">
        <v>739</v>
      </c>
      <c r="AT11" s="67" t="s">
        <v>73</v>
      </c>
      <c r="AU11" s="67" t="s">
        <v>597</v>
      </c>
      <c r="AV11" s="67" t="s">
        <v>597</v>
      </c>
      <c r="AW11" s="67" t="s">
        <v>597</v>
      </c>
      <c r="AX11" s="67" t="s">
        <v>597</v>
      </c>
      <c r="AY11" s="67" t="s">
        <v>597</v>
      </c>
      <c r="AZ11" s="67" t="s">
        <v>598</v>
      </c>
      <c r="BA11" s="67" t="s">
        <v>598</v>
      </c>
      <c r="BB11" s="67" t="s">
        <v>598</v>
      </c>
      <c r="BC11" s="67" t="s">
        <v>598</v>
      </c>
      <c r="BD11" s="67" t="s">
        <v>598</v>
      </c>
      <c r="BE11" s="67" t="s">
        <v>837</v>
      </c>
      <c r="BF11" s="67" t="s">
        <v>838</v>
      </c>
      <c r="BG11" s="67" t="s">
        <v>839</v>
      </c>
      <c r="BH11" s="67" t="s">
        <v>840</v>
      </c>
      <c r="BI11" s="67" t="s">
        <v>841</v>
      </c>
      <c r="BJ11" s="67" t="s">
        <v>842</v>
      </c>
      <c r="BK11" s="67" t="s">
        <v>742</v>
      </c>
      <c r="BL11" s="67" t="s">
        <v>743</v>
      </c>
      <c r="BM11" s="67" t="s">
        <v>744</v>
      </c>
      <c r="BN11" s="67" t="s">
        <v>745</v>
      </c>
      <c r="BO11" s="67" t="s">
        <v>746</v>
      </c>
      <c r="BP11" s="67" t="s">
        <v>747</v>
      </c>
      <c r="BQ11" s="67" t="s">
        <v>748</v>
      </c>
      <c r="BR11" s="67" t="s">
        <v>749</v>
      </c>
      <c r="BS11" s="68" t="str">
        <f>'Capital IQ Sheet-GPC'!BS11</f>
        <v>Year 1</v>
      </c>
      <c r="BT11" s="68" t="str">
        <f>'Capital IQ Sheet-GPC'!BT11</f>
        <v>Year 2</v>
      </c>
      <c r="BU11" s="68" t="str">
        <f>'Capital IQ Sheet-GPC'!BU11</f>
        <v>Year 3</v>
      </c>
      <c r="BV11" s="68" t="str">
        <f>'Capital IQ Sheet-GPC'!BV11</f>
        <v>Year 4</v>
      </c>
      <c r="BW11" s="68" t="str">
        <f>'Capital IQ Sheet-GPC'!BW11</f>
        <v>Year 5</v>
      </c>
      <c r="BX11" s="68" t="str">
        <f>'Capital IQ Sheet-GPC'!BX11</f>
        <v>Year 6</v>
      </c>
      <c r="BY11" s="68" t="str">
        <f>'Capital IQ Sheet-GPC'!BY11</f>
        <v>Year 7</v>
      </c>
      <c r="BZ11" s="68" t="str">
        <f>'Capital IQ Sheet-GPC'!BZ11</f>
        <v>Year 8</v>
      </c>
      <c r="CB11" s="66" t="s">
        <v>852</v>
      </c>
      <c r="CC11" s="66" t="s">
        <v>291</v>
      </c>
      <c r="CD11" s="66" t="s">
        <v>292</v>
      </c>
      <c r="CE11" s="67" t="s">
        <v>796</v>
      </c>
    </row>
    <row r="12" spans="1:86">
      <c r="CE12" s="66"/>
    </row>
    <row r="13" spans="1:86" s="67" customFormat="1" ht="12.75">
      <c r="A13" s="67" t="e">
        <f ca="1">_xll.ciqfunctions.udf.CIQ($B13,"IQ_COMPANY_TICKER")</f>
        <v>#NAME?</v>
      </c>
      <c r="B13" s="67" t="str">
        <f>'Capital IQ Sheet-GPC'!B13</f>
        <v>IQ2796659</v>
      </c>
      <c r="C13" s="67" t="e">
        <f ca="1">_xll.ciqfunctions.udf.CIQ($A13,"IQ_COMPANY_NAME")</f>
        <v>#NAME?</v>
      </c>
      <c r="D13" s="67" t="e">
        <f ca="1">_xll.ciqfunctions.udf.CIQ($A13, "IQ_EXCHANGE")</f>
        <v>#NAME?</v>
      </c>
      <c r="E13" s="68" t="e">
        <f ca="1">_xll.ciqfunctions.udf.CIQ($A13, "IQ_PERIODDATE_IS", IQ_FY)</f>
        <v>#NAME?</v>
      </c>
      <c r="F13" s="68" t="e">
        <f ca="1">_xll.ciqfunctions.udf.CIQ(A13, "IQ_PERIODDATE_IS", IQ_LTM, $B$1,$L$4,$L$3)</f>
        <v>#NAME?</v>
      </c>
      <c r="G13" s="68" t="e">
        <f ca="1">_xll.ciqfunctions.udf.CIQ($A13, "IQ_FIRSTPRICINGDATE")</f>
        <v>#NAME?</v>
      </c>
      <c r="H13" s="84" t="e">
        <f ca="1">_xll.ciqfunctions.udf.CIQ($A13, "IQ_TEV", $L$2, $L$5, $L$6)</f>
        <v>#NAME?</v>
      </c>
      <c r="I13" s="84" t="e">
        <f ca="1">_xll.ciqfunctions.udf.CIQ(A13, "IQ_LASTSALEPRICE", $B$1,$L$5)</f>
        <v>#NAME?</v>
      </c>
      <c r="J13" s="84" t="e">
        <f ca="1">_xll.ciqfunctions.udf.CIQ($A13, "IQ_MARKETCAP", $L$2, $L$5, $L$6)</f>
        <v>#NAME?</v>
      </c>
      <c r="K13" s="84" t="e">
        <f ca="1">_xll.ciqfunctions.udf.CIQ($A13, "IQ_TOTAL_DEBT", IQ_LTM, $L$2,$L$4, $L$3, $L$5, $L$6)</f>
        <v>#NAME?</v>
      </c>
      <c r="L13" s="84" t="e">
        <f ca="1">_xll.ciqfunctions.udf.CIQ($A13, "IQ_PREF_EQUITY", IQ_LTM, $L$2, $L$4, $L$3, $L$5, $L$6)</f>
        <v>#NAME?</v>
      </c>
      <c r="M13" s="84" t="e">
        <f ca="1">_xll.ciqfunctions.udf.CIQ($A13, "IQ_MINORITY_INTEREST_TOTAL", IQ_LTM, $L$2, $L$4, $L$3, $L$5, $L$6)</f>
        <v>#NAME?</v>
      </c>
      <c r="N13" s="84" t="e">
        <f ca="1">_xll.ciqfunctions.udf.CIQ($A13, "IQ_CASH_ST_INVEST", IQ_LTM, $L$2, $L$4, $L$3, $L$5, $L$6)</f>
        <v>#NAME?</v>
      </c>
      <c r="O13" s="84" t="e">
        <f ca="1">_xll.ciqfunctions.udf.CIQ($A13, "IQ_TOTAL_REV", IQ_LTM-8, $L$2, $L$4, $L$3, $L$5, $L$6)</f>
        <v>#NAME?</v>
      </c>
      <c r="P13" s="84" t="e">
        <f ca="1">_xll.ciqfunctions.udf.CIQ($A13, "IQ_TOTAL_REV", IQ_LTM - 4, $L$2, $L$4, $L$3, $L$5,$L$6)</f>
        <v>#NAME?</v>
      </c>
      <c r="Q13" s="84" t="e">
        <f ca="1">_xll.ciqfunctions.udf.CIQ($A13, "IQ_TOTAL_REV", IQ_LTM, $L$2, $L$4, $L$3, $L$5, $L$6)</f>
        <v>#NAME?</v>
      </c>
      <c r="R13" s="84" t="e">
        <f ca="1">_xll.ciqfunctions.udf.CIQ($A13, "IQ_TOTAL_REV", $B$2, $L$2, $L$4, $L$3, $L$5, $L$6)</f>
        <v>#NAME?</v>
      </c>
      <c r="S13" s="84" t="e">
        <f ca="1">IF(_xll.ciqfunctions.udf.CIQ($A13, "IQ_TOTAL_REV", $B$3, $L$2,$L$4, $L$3, $L$5, $L$6)=0,Q13,_xll.ciqfunctions.udf.CIQ($A13, "IQ_TOTAL_REV", $B$3, $L$2,$L$4, $L$3, $L$5, $L$6))</f>
        <v>#NAME?</v>
      </c>
      <c r="T13" s="84" t="e">
        <f ca="1">IF(_xll.ciqfunctions.udf.CIQ($A13, "IQ_REVENUE_EST",$B$4, $L$2, "CON", $L$3, $L$5, $L$6)=0,"n/a",_xll.ciqfunctions.udf.CIQ($A13, "IQ_REVENUE_EST",$B$4, $L$2, "CON", $L$3, $L$5, $L$6))</f>
        <v>#NAME?</v>
      </c>
      <c r="U13" s="84" t="e">
        <f ca="1">IF(_xll.ciqfunctions.udf.CIQ($A13, "IQ_REVENUE_EST",$B$5, $L$2, "CON", $L$3, $L$5, $L$6)=0,"n/a",_xll.ciqfunctions.udf.CIQ($A13, "IQ_REVENUE_EST",$B$5, $L$2, "CON", $L$3, $L$5, $L$6))</f>
        <v>#NAME?</v>
      </c>
      <c r="V13" s="84" t="e">
        <f ca="1">IF(_xll.ciqfunctions.udf.CIQ($A13, "IQ_REVENUE_EST",$B$6, $L$2, "CON", $L$3, $L$5, $L$6)=0,"n/a",_xll.ciqfunctions.udf.CIQ($A13, "IQ_REVENUE_EST",$B$6, $L$2, "CON", $L$3, $L$5, $L$6))</f>
        <v>#NAME?</v>
      </c>
      <c r="W13" s="84" t="e">
        <f ca="1">IF(_xll.ciqfunctions.udf.CIQ($A13, "IQ_REVENUE_EST", $B$7, $L$2, "CON", $L$3, $L$5, $L$6)=0,"n/a",_xll.ciqfunctions.udf.CIQ($A13, "IQ_REVENUE_EST",$B$7, $L$2, "CON", $L$3, $L$5, $L$6))</f>
        <v>#NAME?</v>
      </c>
      <c r="X13" s="84" t="e">
        <f ca="1">_xll.ciqfunctions.udf.CIQ($A13, "IQ_EBITDA", IQ_LTM-8, $L$2, $L$4, $L$3, $L$5, $L$6)</f>
        <v>#NAME?</v>
      </c>
      <c r="Y13" s="84" t="e">
        <f ca="1">_xll.ciqfunctions.udf.CIQ($A13, "IQ_EBITDA", IQ_LTM-4, $L$2,$L$4, $L$3, $L$5, $L$6)</f>
        <v>#NAME?</v>
      </c>
      <c r="Z13" s="84" t="e">
        <f ca="1">_xll.ciqfunctions.udf.CIQ($A13, "IQ_EBITDA", IQ_LTM, $L$2, $L$4, $L$3, $L$5, $L$6)</f>
        <v>#NAME?</v>
      </c>
      <c r="AA13" s="84" t="e">
        <f ca="1">_xll.ciqfunctions.udf.CIQ($A13, "IQ_EBITDA", $B$2, $L$2, $L$4, $L$3, $L$5, $L$6)</f>
        <v>#NAME?</v>
      </c>
      <c r="AB13" s="84" t="e">
        <f ca="1">IF(_xll.ciqfunctions.udf.CIQ($A13, "IQ_EBITDA", $B$3, $L$2,$L$4, $L$3, $L$5, $L$6)=0,Z13,_xll.ciqfunctions.udf.CIQ($A13, "IQ_EBITDA", $B$3, $L$2,$L$4, $L$3, $L$5, $L$6))</f>
        <v>#NAME?</v>
      </c>
      <c r="AC13" s="84" t="e">
        <f ca="1">IF(_xll.ciqfunctions.udf.CIQ($A13, "IQ_EBITDA_EST",$B$4, $L$2, "CON", $L$3, $L$5, $L$6)=0,"n/a",_xll.ciqfunctions.udf.CIQ($A13, "IQ_EBITDA_EST",$B$4, $L$2, "CON", $L$3, $L$5, $L$6))</f>
        <v>#NAME?</v>
      </c>
      <c r="AD13" s="84" t="e">
        <f ca="1">IF(_xll.ciqfunctions.udf.CIQ($A13, "IQ_EBITDA_EST",$B$5, $L$2, "CON", $L$3, $L$5, $L$6)=0,"n/a",_xll.ciqfunctions.udf.CIQ($A13, "IQ_EBITDA_EST",$B$5, $L$2, "CON", $L$3, $L$5, $L$6))</f>
        <v>#NAME?</v>
      </c>
      <c r="AE13" s="84" t="e">
        <f ca="1">IF(_xll.ciqfunctions.udf.CIQ($A13, "IQ_EBITDA_EST",$B$6, $L$2, "CON", $L$3, $L$5, $L$6)=0,"n/a",_xll.ciqfunctions.udf.CIQ($A13, "IQ_EBITDA_EST",$B$6, $L$2, "CON", $L$3, $L$5, $L$6))</f>
        <v>#NAME?</v>
      </c>
      <c r="AF13" s="69" t="str">
        <f ca="1">IF(ISERROR(_xll.ciqfunctions.udf.CIQ($A13, "IQ_GROSS_MARGIN", IQ_LTM, $L$2,$L$4, $L$3, $L$5, $L$6)/100), "n/a", _xll.ciqfunctions.udf.CIQ($A13,  "IQ_GROSS_MARGIN", IQ_LTM, $L$2, $L$4, $L$3, $L$5, $L$6)/100)</f>
        <v>n/a</v>
      </c>
      <c r="AG13" s="69" t="str">
        <f ca="1">IF(ISERROR(_xll.ciqfunctions.udf.CIQ($A13,"IQ_EBITDA_MARGIN", IQ_LTM, $L$2, $L$4, $L$3, $L$5, $L$6)/100), "n/a", _xll.ciqfunctions.udf.CIQ($A13, "IQ_EBITDA_MARGIN", IQ_LTM, $L$2, $L$4, $L$3, $L$5, $L$6)/100)</f>
        <v>n/a</v>
      </c>
      <c r="AH13" s="69" t="str">
        <f ca="1">IF(ISERROR(_xll.ciqfunctions.udf.CIQ($A13,"IQ_EBIT_MARGIN", IQ_LTM, $L$2, $L$4, $L$3, $L$5, $L$6)/100), "n/a", _xll.ciqfunctions.udf.CIQ($A13, "IQ_EBIT_MARGIN", IQ_LTM, $L$2, $L$4, $L$3, $L$5, $L$6)/100)</f>
        <v>n/a</v>
      </c>
      <c r="AI13" s="69" t="str">
        <f ca="1">IF(ISERROR(_xll.ciqfunctions.udf.CIQ($A13,"IQ_NI_MARGIN", IQ_LTM, $L$2, $L$4, $L$3, $L$5, $L$6)/100), "n/a", _xll.ciqfunctions.udf.CIQ($A13, "IQ_NI_MARGIN", IQ_LTM, $L$2, $L$4, $L$3, $L$5, $L$6)/100)</f>
        <v>n/a</v>
      </c>
      <c r="AJ13" s="84" t="str">
        <f ca="1">IF(ISERROR(_xll.ciqfunctions.udf.CIQ($A13, "IQ_NET_WORKING_CAP", IQ_LTM-8, $L$2, $L$4, $L$3, $L$5, $L$6)), "n/a", _xll.ciqfunctions.udf.CIQ($A13, "IQ_NET_WORKING_CAP", IQ_LTM-8, $L$2, $L$4, $L$3, $L$5, $L$6))</f>
        <v>n/a</v>
      </c>
      <c r="AK13" s="84" t="str">
        <f ca="1">IF(ISERROR(_xll.ciqfunctions.udf.CIQ($A13, "IQ_NET_WORKING_CAP", IQ_LTM-4, $L$2, $L$4, $L$3, $L$5, $L$6)), "n/a", _xll.ciqfunctions.udf.CIQ($A13, "IQ_NET_WORKING_CAP", IQ_LTM-4, $L$2, $L$4, $L$3, $L$5, $L$6))</f>
        <v>n/a</v>
      </c>
      <c r="AL13" s="84" t="str">
        <f ca="1">IF(ISERROR(_xll.ciqfunctions.udf.CIQ($A13, "IQ_NET_WORKING_CAP", IQ_LTM, $L$2,$L$4, $L$3, $L$5, $L$6)), "n/a", _xll.ciqfunctions.udf.CIQ($A13, "IQ_NET_WORKING_CAP", IQ_LTM, $L$2, $L$4, $L$3, $L$5, $L$6))</f>
        <v>n/a</v>
      </c>
      <c r="AM13" s="84" t="str">
        <f ca="1">IF(ISERROR(_xll.ciqfunctions.udf.CIQ($A13, "IQ_Capex", IQ_LTM-8, $L$2,$L$4, $L$3, $L$5, $L$6)), "n/a", _xll.ciqfunctions.udf.CIQ($A13, "IQ_Capex", IQ_LTM-8, $L$2, $L$4, $L$3, $L$5, $L$6))</f>
        <v>n/a</v>
      </c>
      <c r="AN13" s="84" t="str">
        <f ca="1">IF(ISERROR(_xll.ciqfunctions.udf.CIQ($A13, "IQ_Capex", IQ_LTM-4, $L$2,$L$4, $L$3, $L$5, $L$6)), "n/a", _xll.ciqfunctions.udf.CIQ($A13, "IQ_Capex", IQ_LTM-4, $L$2,$L$4, $L$3, $L$5, $L$6))</f>
        <v>n/a</v>
      </c>
      <c r="AO13" s="84" t="str">
        <f ca="1">IF(ISERROR(_xll.ciqfunctions.udf.CIQ($A13, "IQ_Capex", IQ_LTM, $L$2, $L$4, $L$3, $L$5, $L$6)), "n/a", _xll.ciqfunctions.udf.CIQ($A13, "IQ_Capex", IQ_LTM, $L$2, $L$4, $L$3, $L$5, $L$6))</f>
        <v>n/a</v>
      </c>
      <c r="AP13" s="66" t="e">
        <f ca="1">_xll.ciqfunctions.udf.CIQ(A13, "IQ_BUSINESS_DESCRIPTION")</f>
        <v>#NAME?</v>
      </c>
      <c r="AQ13" s="85" t="e">
        <f ca="1">_xll.ciqfunctions.udf.CIQ($A13, "IQ_BETA_1YR", $B$1)</f>
        <v>#NAME?</v>
      </c>
      <c r="AR13" s="85" t="e">
        <f ca="1">_xll.ciqfunctions.udf.CIQ($A13, "IQ_BETA_2YR", $B$1)</f>
        <v>#NAME?</v>
      </c>
      <c r="AS13" s="85" t="e">
        <f ca="1">_xll.ciqfunctions.udf.CIQ($A13, "IQ_BETA_5YR", $B$1)</f>
        <v>#NAME?</v>
      </c>
      <c r="AT13" s="69" t="e">
        <f ca="1">_xll.ciqfunctions.udf.CIQ($A13, "IQ_DIVIDEND_YIELD", $B$1)/100</f>
        <v>#NAME?</v>
      </c>
      <c r="AU13" s="84" t="e">
        <f ca="1">_xll.ciqfunctions.udf.CIQ($A13, "IQ_EARNING_CO", IQ_LTM-8, $L$2, $L$4, $L$3, $L$5, $L$6)</f>
        <v>#NAME?</v>
      </c>
      <c r="AV13" s="84" t="e">
        <f ca="1">_xll.ciqfunctions.udf.CIQ($A13, "IQ_EARNING_CO", IQ_LTM-4, $L$2, $L$4, $L$3, $L$5, $L$6)</f>
        <v>#NAME?</v>
      </c>
      <c r="AW13" s="84" t="e">
        <f ca="1">_xll.ciqfunctions.udf.CIQ($A13, "IQ_EARNING_CO", IQ_LTM, $L$2, $L$4, $L$3, $L$5, $L$6)</f>
        <v>#NAME?</v>
      </c>
      <c r="AX13" s="84" t="e">
        <f ca="1">_xll.ciqfunctions.udf.CIQ($A13, "IQ_EARNING_CO", $B$2, $L$2, $L$4, $L$3, $L$5, $L$6)</f>
        <v>#NAME?</v>
      </c>
      <c r="AY13" s="84" t="e">
        <f ca="1">IF(_xll.ciqfunctions.udf.CIQ($A13, "IQ_EARNING_CO", $B$3, $L$2,$L$4, $L$3, $L$5, $L$6)=0,AW13,_xll.ciqfunctions.udf.CIQ($A13, "IQ_EARNING_CO", $B$3, $L$2,$L$4, $L$3, $L$5, $L$6))</f>
        <v>#NAME?</v>
      </c>
      <c r="AZ13" s="84" t="e">
        <f ca="1">_xll.ciqfunctions.udf.CIQ($A13, "IQ_TOTAL_EQUITY", IQ_LTM-8, $L$2, $L$4, $L$3, $L$5, $L$6)</f>
        <v>#NAME?</v>
      </c>
      <c r="BA13" s="84" t="e">
        <f ca="1">_xll.ciqfunctions.udf.CIQ($A13, "IQ_TOTAL_EQUITY", IQ_LTM-4, $L$2, $L$4, $L$3, $L$5, $L$6)</f>
        <v>#NAME?</v>
      </c>
      <c r="BB13" s="84" t="e">
        <f ca="1">_xll.ciqfunctions.udf.CIQ($A13, "IQ_TOTAL_EQUITY", IQ_LTM, $L$2, $L$4, $L$3, $L$5, $L$6)</f>
        <v>#NAME?</v>
      </c>
      <c r="BC13" s="84" t="e">
        <f ca="1">_xll.ciqfunctions.udf.CIQ($A13, "IQ_TOTAL_EQUITY", $B$2, $L$2, $L$4, $L$3, $L$5, $L$6)</f>
        <v>#NAME?</v>
      </c>
      <c r="BD13" s="84" t="e">
        <f ca="1">IF(_xll.ciqfunctions.udf.CIQ($A13, "IQ_TOTAL_EQUITY", $B$3, $L$2,$L$4, $L$3, $L$5, $L$6)=0,BB13,_xll.ciqfunctions.udf.CIQ($A13, "IQ_TOTAL_EQUITY", $B$3, $L$2,$L$4, $L$3, $L$5, $L$6))</f>
        <v>#NAME?</v>
      </c>
      <c r="BE13" s="84" t="e">
        <f ca="1">_xll.ciqfunctions.udf.CIQ(A13, "IQ_LASTSALEPRICE", $B$8)</f>
        <v>#NAME?</v>
      </c>
      <c r="BF13" s="84" t="e">
        <f ca="1">_xll.ciqfunctions.udf.CIQ($A13, "IQ_MARKETCAP", $B$8, $L$5, $L$6)</f>
        <v>#NAME?</v>
      </c>
      <c r="BG13" s="84" t="e">
        <f ca="1">_xll.ciqfunctions.udf.CIQ($A13, "IQ_TOTAL_DEBT", IQ_LTM, $B$8,$L$4, $L$3, $L$5, $L$6)</f>
        <v>#NAME?</v>
      </c>
      <c r="BH13" s="67" t="e">
        <f ca="1">_xll.ciqfunctions.udf.CIQ($A13,"IQ_PREF_EQUITY",IQ_LTM,$B$8,$L$4,$L$3,$L$5,$L$6)</f>
        <v>#NAME?</v>
      </c>
      <c r="BI13" s="67" t="e">
        <f ca="1">_xll.ciqfunctions.udf.CIQ($A13, "IQ_MINORITY_INTEREST_TOTAL", IQ_LTM,$B$8,$L$4,$L$3,$L$5,$L$6)</f>
        <v>#NAME?</v>
      </c>
      <c r="BJ13" s="84" t="e">
        <f ca="1">_xll.ciqfunctions.udf.CIQ($A13, "IQ_CASH_ST_INVEST", IQ_LTM, $B$8, $L$4, $L$3, $L$5, $L$6)</f>
        <v>#NAME?</v>
      </c>
      <c r="BK13" s="67" t="e">
        <f ca="1">_xll.ciqfunctions.udf.CIQ($A13, "IQ_EFFECT_TAX_RATE")</f>
        <v>#NAME?</v>
      </c>
      <c r="BL13" s="67" t="e">
        <f ca="1">IF(_xll.ciqfunctions.udf.CIQ($A13, "IQ_TOTAL_REV_2YR_ANN_CAGR", IQ_LTM, $B$1,$L$4, $L$3, $L$5, $L$6)="NM","n/a",(_xll.ciqfunctions.udf.CIQ($A13, "IQ_TOTAL_REV_2YR_ANN_CAGR", IQ_LTM, $B$1,$L$4, $L$3, $L$5, $L$6)/100))</f>
        <v>#NAME?</v>
      </c>
      <c r="BM13" s="67" t="e">
        <f ca="1">IF(_xll.ciqfunctions.udf.CIQ($A13, "IQ_TOTAL_REV_3YR_ANN_CAGR", IQ_LTM, $B$1,$L$4, $L$3, $L$5, $L$6)="NM","n/a",(_xll.ciqfunctions.udf.CIQ($A13, "IQ_TOTAL_REV_3YR_ANN_CAGR", IQ_LTM, $B$1,$L$4, $L$3, $L$5, $L$6)/100))</f>
        <v>#NAME?</v>
      </c>
      <c r="BN13" s="67" t="e">
        <f ca="1">IF(_xll.ciqfunctions.udf.CIQ($A13, "IQ_TOTAL_REV_5YR_ANN_CAGR", IQ_LTM, $B$1,$L$4, $L$3, $L$5, $L$6)="NM","n/a",(_xll.ciqfunctions.udf.CIQ($A13, "IQ_TOTAL_REV_5YR_ANN_CAGR", IQ_LTM, $B$1,$L$4, $L$3, $L$5, $L$6)/100))</f>
        <v>#NAME?</v>
      </c>
      <c r="BO13" s="67" t="e">
        <f ca="1">IF(_xll.ciqfunctions.udf.CIQ($A13,"IQ_EBITDA_2YR_ANN_CAGR", IQ_LTM,$B$1,$L$4, $L$3, $L$5, $L$6)="NM","n/a",(_xll.ciqfunctions.udf.CIQ($A13,"IQ_EBITDA_2YR_ANN_CAGR", IQ_LTM,$B$1,$L$4, $L$3, $L$5, $L$6)/100))</f>
        <v>#NAME?</v>
      </c>
      <c r="BP13" s="67" t="e">
        <f ca="1">IF(_xll.ciqfunctions.udf.CIQ($A13,"IQ_EBITDA_3YR_ANN_CAGR", IQ_LTM,$B$1,$L$4, $L$3, $L$5, $L$6)="NM","n/a",(_xll.ciqfunctions.udf.CIQ($A13,"IQ_EBITDA_3YR_ANN_CAGR", IQ_LTM,$B$1,$L$4, $L$3, $L$5, $L$6)/100))</f>
        <v>#NAME?</v>
      </c>
      <c r="BQ13" s="67" t="e">
        <f ca="1">IF(_xll.ciqfunctions.udf.CIQ($A13,"IQ_EBITDA_5YR_ANN_CAGR", IQ_LTM,$B$1,$L$4, $L$3, $L$5, $L$6)="NM","n/a",(_xll.ciqfunctions.udf.CIQ($A13,"IQ_EBITDA_5YR_ANN_CAGR", IQ_LTM,$B$1,$L$4, $L$3, $L$5, $L$6)/100))</f>
        <v>#NAME?</v>
      </c>
      <c r="BR13" s="69" t="str">
        <f ca="1">IFERROR((_xll.ciqfunctions.udf.CIQ($A13, "IQ_DA_CF", IQ_LTM, $B$1, $L$4, $L$3, $L$5, $L$6)/Q13),"NM")</f>
        <v>NM</v>
      </c>
      <c r="BS13" s="86">
        <f>'Capital IQ Sheet-GPC'!BS13</f>
        <v>0.53582349452066536</v>
      </c>
      <c r="BT13" s="86">
        <f>'Capital IQ Sheet-GPC'!BT13</f>
        <v>0.59416943228496266</v>
      </c>
      <c r="BU13" s="86">
        <f>'Capital IQ Sheet-GPC'!BU13</f>
        <v>0.7096389326799265</v>
      </c>
      <c r="BV13" s="86">
        <f>'Capital IQ Sheet-GPC'!BV13</f>
        <v>0.67742114470135883</v>
      </c>
      <c r="BW13" s="86">
        <f>'Capital IQ Sheet-GPC'!BW13</f>
        <v>0.65801935658532418</v>
      </c>
      <c r="BX13" s="86">
        <f>'Capital IQ Sheet-GPC'!BX13</f>
        <v>0.64783067874232669</v>
      </c>
      <c r="BY13" s="86">
        <f>'Capital IQ Sheet-GPC'!BY13</f>
        <v>0.64656127763457327</v>
      </c>
      <c r="BZ13" s="86">
        <f>'Capital IQ Sheet-GPC'!BZ13</f>
        <v>0.63116283317401123</v>
      </c>
      <c r="CB13" s="67">
        <v>2</v>
      </c>
      <c r="CC13" s="123" t="s">
        <v>295</v>
      </c>
      <c r="CD13" s="123" t="s">
        <v>294</v>
      </c>
      <c r="CE13" s="68">
        <f>$B$1-365*CB13</f>
        <v>42766</v>
      </c>
    </row>
    <row r="14" spans="1:86" s="67" customFormat="1" ht="12.75">
      <c r="A14" s="67" t="e">
        <f ca="1">_xll.ciqfunctions.udf.CIQ($B14,"IQ_COMPANY_TICKER")</f>
        <v>#NAME?</v>
      </c>
      <c r="B14" s="67" t="str">
        <f>'Capital IQ Sheet-GPC'!B14</f>
        <v>IQ28921</v>
      </c>
      <c r="C14" s="67" t="e">
        <f ca="1">_xll.ciqfunctions.udf.CIQ($A14,"IQ_COMPANY_NAME")</f>
        <v>#NAME?</v>
      </c>
      <c r="D14" s="67" t="e">
        <f ca="1">_xll.ciqfunctions.udf.CIQ($A14, "IQ_EXCHANGE")</f>
        <v>#NAME?</v>
      </c>
      <c r="E14" s="68" t="e">
        <f ca="1">_xll.ciqfunctions.udf.CIQ($A14, "IQ_PERIODDATE_IS", IQ_FY)</f>
        <v>#NAME?</v>
      </c>
      <c r="F14" s="68" t="e">
        <f ca="1">_xll.ciqfunctions.udf.CIQ(A14, "IQ_PERIODDATE_IS", IQ_LTM, $B$1,$L$4,$L$3)</f>
        <v>#NAME?</v>
      </c>
      <c r="G14" s="68" t="e">
        <f ca="1">_xll.ciqfunctions.udf.CIQ($A14, "IQ_FIRSTPRICINGDATE")</f>
        <v>#NAME?</v>
      </c>
      <c r="H14" s="84" t="e">
        <f ca="1">_xll.ciqfunctions.udf.CIQ($A14, "IQ_TEV", $L$2, $L$5, $L$6)</f>
        <v>#NAME?</v>
      </c>
      <c r="I14" s="84" t="e">
        <f ca="1">_xll.ciqfunctions.udf.CIQ(A14, "IQ_LASTSALEPRICE", $B$1,$L$5)</f>
        <v>#NAME?</v>
      </c>
      <c r="J14" s="84" t="e">
        <f ca="1">_xll.ciqfunctions.udf.CIQ($A14, "IQ_MARKETCAP", $L$2, $L$5, $L$6)</f>
        <v>#NAME?</v>
      </c>
      <c r="K14" s="84" t="e">
        <f ca="1">_xll.ciqfunctions.udf.CIQ($A14, "IQ_TOTAL_DEBT", IQ_LTM, $L$2,$L$4, $L$3, $L$5, $L$6)</f>
        <v>#NAME?</v>
      </c>
      <c r="L14" s="84" t="e">
        <f ca="1">_xll.ciqfunctions.udf.CIQ($A14, "IQ_PREF_EQUITY", IQ_LTM, $L$2, $L$4, $L$3, $L$5, $L$6)</f>
        <v>#NAME?</v>
      </c>
      <c r="M14" s="84" t="e">
        <f ca="1">_xll.ciqfunctions.udf.CIQ($A14, "IQ_MINORITY_INTEREST_TOTAL", IQ_LTM, $L$2, $L$4, $L$3, $L$5, $L$6)</f>
        <v>#NAME?</v>
      </c>
      <c r="N14" s="84" t="e">
        <f ca="1">_xll.ciqfunctions.udf.CIQ($A14, "IQ_CASH_ST_INVEST", IQ_LTM, $L$2, $L$4, $L$3, $L$5, $L$6)</f>
        <v>#NAME?</v>
      </c>
      <c r="O14" s="84" t="e">
        <f ca="1">_xll.ciqfunctions.udf.CIQ($A14, "IQ_TOTAL_REV", IQ_LTM-8, $L$2, $L$4, $L$3, $L$5, $L$6)</f>
        <v>#NAME?</v>
      </c>
      <c r="P14" s="84" t="e">
        <f ca="1">_xll.ciqfunctions.udf.CIQ($A14, "IQ_TOTAL_REV", IQ_LTM - 4, $L$2, $L$4, $L$3, $L$5,$L$6)</f>
        <v>#NAME?</v>
      </c>
      <c r="Q14" s="84" t="e">
        <f ca="1">_xll.ciqfunctions.udf.CIQ($A14, "IQ_TOTAL_REV", IQ_LTM, $L$2, $L$4, $L$3, $L$5, $L$6)</f>
        <v>#NAME?</v>
      </c>
      <c r="R14" s="84" t="e">
        <f ca="1">_xll.ciqfunctions.udf.CIQ($A14, "IQ_TOTAL_REV", $B$2, $L$2, $L$4, $L$3, $L$5, $L$6)</f>
        <v>#NAME?</v>
      </c>
      <c r="S14" s="84" t="e">
        <f ca="1">IF(_xll.ciqfunctions.udf.CIQ($A14, "IQ_TOTAL_REV", $B$3, $L$2,$L$4, $L$3, $L$5, $L$6)=0,Q14,_xll.ciqfunctions.udf.CIQ($A14, "IQ_TOTAL_REV", $B$3, $L$2,$L$4, $L$3, $L$5, $L$6))</f>
        <v>#NAME?</v>
      </c>
      <c r="T14" s="84" t="e">
        <f ca="1">IF(_xll.ciqfunctions.udf.CIQ($A14, "IQ_REVENUE_EST",$B$4, $L$2, "CON", $L$3, $L$5, $L$6)=0,"n/a",_xll.ciqfunctions.udf.CIQ($A14, "IQ_REVENUE_EST",$B$4, $L$2, "CON", $L$3, $L$5, $L$6))</f>
        <v>#NAME?</v>
      </c>
      <c r="U14" s="84" t="e">
        <f ca="1">IF(_xll.ciqfunctions.udf.CIQ($A14, "IQ_REVENUE_EST",$B$5, $L$2, "CON", $L$3, $L$5, $L$6)=0,"n/a",_xll.ciqfunctions.udf.CIQ($A14, "IQ_REVENUE_EST",$B$5, $L$2, "CON", $L$3, $L$5, $L$6))</f>
        <v>#NAME?</v>
      </c>
      <c r="V14" s="84" t="e">
        <f ca="1">IF(_xll.ciqfunctions.udf.CIQ($A14, "IQ_REVENUE_EST",$B$6, $L$2, "CON", $L$3, $L$5, $L$6)=0,"n/a",_xll.ciqfunctions.udf.CIQ($A14, "IQ_REVENUE_EST",$B$6, $L$2, "CON", $L$3, $L$5, $L$6))</f>
        <v>#NAME?</v>
      </c>
      <c r="W14" s="84" t="e">
        <f ca="1">IF(_xll.ciqfunctions.udf.CIQ($A14, "IQ_REVENUE_EST", $B$7, $L$2, "CON", $L$3, $L$5, $L$6)=0,"n/a",_xll.ciqfunctions.udf.CIQ($A14, "IQ_REVENUE_EST",$B$7, $L$2, "CON", $L$3, $L$5, $L$6))</f>
        <v>#NAME?</v>
      </c>
      <c r="X14" s="84" t="e">
        <f ca="1">_xll.ciqfunctions.udf.CIQ($A14, "IQ_EBITDA", IQ_LTM-8, $L$2, $L$4, $L$3, $L$5, $L$6)</f>
        <v>#NAME?</v>
      </c>
      <c r="Y14" s="84" t="e">
        <f ca="1">_xll.ciqfunctions.udf.CIQ($A14, "IQ_EBITDA", IQ_LTM-4, $L$2,$L$4, $L$3, $L$5, $L$6)</f>
        <v>#NAME?</v>
      </c>
      <c r="Z14" s="84" t="e">
        <f ca="1">_xll.ciqfunctions.udf.CIQ($A14, "IQ_EBITDA", IQ_LTM, $L$2, $L$4, $L$3, $L$5, $L$6)</f>
        <v>#NAME?</v>
      </c>
      <c r="AA14" s="84" t="e">
        <f ca="1">_xll.ciqfunctions.udf.CIQ($A14, "IQ_EBITDA", $B$2, $L$2, $L$4, $L$3, $L$5, $L$6)</f>
        <v>#NAME?</v>
      </c>
      <c r="AB14" s="84" t="e">
        <f ca="1">IF(_xll.ciqfunctions.udf.CIQ($A14, "IQ_EBITDA", $B$3, $L$2,$L$4, $L$3, $L$5, $L$6)=0,Z14,_xll.ciqfunctions.udf.CIQ($A14, "IQ_EBITDA", $B$3, $L$2,$L$4, $L$3, $L$5, $L$6))</f>
        <v>#NAME?</v>
      </c>
      <c r="AC14" s="84" t="e">
        <f ca="1">IF(_xll.ciqfunctions.udf.CIQ($A14, "IQ_EBITDA_EST",$B$4, $L$2, "CON", $L$3, $L$5, $L$6)=0,"n/a",_xll.ciqfunctions.udf.CIQ($A14, "IQ_EBITDA_EST",$B$4, $L$2, "CON", $L$3, $L$5, $L$6))</f>
        <v>#NAME?</v>
      </c>
      <c r="AD14" s="84" t="e">
        <f ca="1">IF(_xll.ciqfunctions.udf.CIQ($A14, "IQ_EBITDA_EST",$B$5, $L$2, "CON", $L$3, $L$5, $L$6)=0,"n/a",_xll.ciqfunctions.udf.CIQ($A14, "IQ_EBITDA_EST",$B$5, $L$2, "CON", $L$3, $L$5, $L$6))</f>
        <v>#NAME?</v>
      </c>
      <c r="AE14" s="84" t="e">
        <f ca="1">IF(_xll.ciqfunctions.udf.CIQ($A14, "IQ_EBITDA_EST",$B$6, $L$2, "CON", $L$3, $L$5, $L$6)=0,"n/a",_xll.ciqfunctions.udf.CIQ($A14, "IQ_EBITDA_EST",$B$6, $L$2, "CON", $L$3, $L$5, $L$6))</f>
        <v>#NAME?</v>
      </c>
      <c r="AF14" s="69" t="str">
        <f ca="1">IF(ISERROR(_xll.ciqfunctions.udf.CIQ($A14, "IQ_GROSS_MARGIN", IQ_LTM, $L$2,$L$4, $L$3, $L$5, $L$6)/100), "n/a", _xll.ciqfunctions.udf.CIQ($A14,  "IQ_GROSS_MARGIN", IQ_LTM, $L$2, $L$4, $L$3, $L$5, $L$6)/100)</f>
        <v>n/a</v>
      </c>
      <c r="AG14" s="69" t="str">
        <f ca="1">IF(ISERROR(_xll.ciqfunctions.udf.CIQ($A14,"IQ_EBITDA_MARGIN", IQ_LTM, $L$2, $L$4, $L$3, $L$5, $L$6)/100), "n/a", _xll.ciqfunctions.udf.CIQ($A14, "IQ_EBITDA_MARGIN", IQ_LTM, $L$2, $L$4, $L$3, $L$5, $L$6)/100)</f>
        <v>n/a</v>
      </c>
      <c r="AH14" s="69" t="str">
        <f ca="1">IF(ISERROR(_xll.ciqfunctions.udf.CIQ($A14,"IQ_EBIT_MARGIN", IQ_LTM, $L$2, $L$4, $L$3, $L$5, $L$6)/100), "n/a", _xll.ciqfunctions.udf.CIQ($A14, "IQ_EBIT_MARGIN", IQ_LTM, $L$2, $L$4, $L$3, $L$5, $L$6)/100)</f>
        <v>n/a</v>
      </c>
      <c r="AI14" s="69" t="str">
        <f ca="1">IF(ISERROR(_xll.ciqfunctions.udf.CIQ($A14,"IQ_NI_MARGIN", IQ_LTM, $L$2, $L$4, $L$3, $L$5, $L$6)/100), "n/a", _xll.ciqfunctions.udf.CIQ($A14, "IQ_NI_MARGIN", IQ_LTM, $L$2, $L$4, $L$3, $L$5, $L$6)/100)</f>
        <v>n/a</v>
      </c>
      <c r="AJ14" s="84" t="str">
        <f ca="1">IF(ISERROR(_xll.ciqfunctions.udf.CIQ($A14, "IQ_NET_WORKING_CAP", IQ_LTM-8, $L$2, $L$4, $L$3, $L$5, $L$6)), "n/a", _xll.ciqfunctions.udf.CIQ($A14, "IQ_NET_WORKING_CAP", IQ_LTM-8, $L$2, $L$4, $L$3, $L$5, $L$6))</f>
        <v>n/a</v>
      </c>
      <c r="AK14" s="84" t="str">
        <f ca="1">IF(ISERROR(_xll.ciqfunctions.udf.CIQ($A14, "IQ_NET_WORKING_CAP", IQ_LTM-4, $L$2, $L$4, $L$3, $L$5, $L$6)), "n/a", _xll.ciqfunctions.udf.CIQ($A14, "IQ_NET_WORKING_CAP", IQ_LTM-4, $L$2, $L$4, $L$3, $L$5, $L$6))</f>
        <v>n/a</v>
      </c>
      <c r="AL14" s="84" t="str">
        <f ca="1">IF(ISERROR(_xll.ciqfunctions.udf.CIQ($A14, "IQ_NET_WORKING_CAP", IQ_LTM, $L$2,$L$4, $L$3, $L$5, $L$6)), "n/a", _xll.ciqfunctions.udf.CIQ($A14, "IQ_NET_WORKING_CAP", IQ_LTM, $L$2, $L$4, $L$3, $L$5, $L$6))</f>
        <v>n/a</v>
      </c>
      <c r="AM14" s="84" t="str">
        <f ca="1">IF(ISERROR(_xll.ciqfunctions.udf.CIQ($A14, "IQ_Capex", IQ_LTM-8, $L$2,$L$4, $L$3, $L$5, $L$6)), "n/a", _xll.ciqfunctions.udf.CIQ($A14, "IQ_Capex", IQ_LTM-8, $L$2, $L$4, $L$3, $L$5, $L$6))</f>
        <v>n/a</v>
      </c>
      <c r="AN14" s="84" t="str">
        <f ca="1">IF(ISERROR(_xll.ciqfunctions.udf.CIQ($A14, "IQ_Capex", IQ_LTM-4, $L$2,$L$4, $L$3, $L$5, $L$6)), "n/a", _xll.ciqfunctions.udf.CIQ($A14, "IQ_Capex", IQ_LTM-4, $L$2,$L$4, $L$3, $L$5, $L$6))</f>
        <v>n/a</v>
      </c>
      <c r="AO14" s="84" t="str">
        <f ca="1">IF(ISERROR(_xll.ciqfunctions.udf.CIQ($A14, "IQ_Capex", IQ_LTM, $L$2, $L$4, $L$3, $L$5, $L$6)), "n/a", _xll.ciqfunctions.udf.CIQ($A14, "IQ_Capex", IQ_LTM, $L$2, $L$4, $L$3, $L$5, $L$6))</f>
        <v>n/a</v>
      </c>
      <c r="AP14" s="66" t="e">
        <f ca="1">_xll.ciqfunctions.udf.CIQ(A14, "IQ_BUSINESS_DESCRIPTION")</f>
        <v>#NAME?</v>
      </c>
      <c r="AQ14" s="85" t="e">
        <f ca="1">_xll.ciqfunctions.udf.CIQ($A14, "IQ_BETA_1YR", $B$1)</f>
        <v>#NAME?</v>
      </c>
      <c r="AR14" s="85" t="e">
        <f ca="1">_xll.ciqfunctions.udf.CIQ($A14, "IQ_BETA_2YR", $B$1)</f>
        <v>#NAME?</v>
      </c>
      <c r="AS14" s="85" t="e">
        <f ca="1">_xll.ciqfunctions.udf.CIQ($A14, "IQ_BETA_5YR", $B$1)</f>
        <v>#NAME?</v>
      </c>
      <c r="AT14" s="69" t="e">
        <f ca="1">_xll.ciqfunctions.udf.CIQ($A14, "IQ_DIVIDEND_YIELD", $B$1)/100</f>
        <v>#NAME?</v>
      </c>
      <c r="AU14" s="84" t="e">
        <f ca="1">_xll.ciqfunctions.udf.CIQ($A14, "IQ_EARNING_CO", IQ_LTM-8, $L$2, $L$4, $L$3, $L$5, $L$6)</f>
        <v>#NAME?</v>
      </c>
      <c r="AV14" s="84" t="e">
        <f ca="1">_xll.ciqfunctions.udf.CIQ($A14, "IQ_EARNING_CO", IQ_LTM-4, $L$2, $L$4, $L$3, $L$5, $L$6)</f>
        <v>#NAME?</v>
      </c>
      <c r="AW14" s="84" t="e">
        <f ca="1">_xll.ciqfunctions.udf.CIQ($A14, "IQ_EARNING_CO", IQ_LTM, $L$2, $L$4, $L$3, $L$5, $L$6)</f>
        <v>#NAME?</v>
      </c>
      <c r="AX14" s="84" t="e">
        <f ca="1">_xll.ciqfunctions.udf.CIQ($A14, "IQ_EARNING_CO", $B$2, $L$2, $L$4, $L$3, $L$5, $L$6)</f>
        <v>#NAME?</v>
      </c>
      <c r="AY14" s="84" t="e">
        <f ca="1">IF(_xll.ciqfunctions.udf.CIQ($A14, "IQ_EARNING_CO", $B$3, $L$2,$L$4, $L$3, $L$5, $L$6)=0,AW14,_xll.ciqfunctions.udf.CIQ($A14, "IQ_EARNING_CO", $B$3, $L$2,$L$4, $L$3, $L$5, $L$6))</f>
        <v>#NAME?</v>
      </c>
      <c r="AZ14" s="84" t="e">
        <f ca="1">_xll.ciqfunctions.udf.CIQ($A14, "IQ_TOTAL_EQUITY", IQ_LTM-8, $L$2, $L$4, $L$3, $L$5, $L$6)</f>
        <v>#NAME?</v>
      </c>
      <c r="BA14" s="84" t="e">
        <f ca="1">_xll.ciqfunctions.udf.CIQ($A14, "IQ_TOTAL_EQUITY", IQ_LTM-4, $L$2, $L$4, $L$3, $L$5, $L$6)</f>
        <v>#NAME?</v>
      </c>
      <c r="BB14" s="84" t="e">
        <f ca="1">_xll.ciqfunctions.udf.CIQ($A14, "IQ_TOTAL_EQUITY", IQ_LTM, $L$2, $L$4, $L$3, $L$5, $L$6)</f>
        <v>#NAME?</v>
      </c>
      <c r="BC14" s="84" t="e">
        <f ca="1">_xll.ciqfunctions.udf.CIQ($A14, "IQ_TOTAL_EQUITY", $B$2, $L$2, $L$4, $L$3, $L$5, $L$6)</f>
        <v>#NAME?</v>
      </c>
      <c r="BD14" s="84" t="e">
        <f ca="1">IF(_xll.ciqfunctions.udf.CIQ($A14, "IQ_TOTAL_EQUITY", $B$3, $L$2,$L$4, $L$3, $L$5, $L$6)=0,BB14,_xll.ciqfunctions.udf.CIQ($A14, "IQ_TOTAL_EQUITY", $B$3, $L$2,$L$4, $L$3, $L$5, $L$6))</f>
        <v>#NAME?</v>
      </c>
      <c r="BE14" s="84" t="e">
        <f ca="1">_xll.ciqfunctions.udf.CIQ(A14, "IQ_LASTSALEPRICE", $B$8)</f>
        <v>#NAME?</v>
      </c>
      <c r="BF14" s="84" t="e">
        <f ca="1">_xll.ciqfunctions.udf.CIQ($A14, "IQ_MARKETCAP", $B$8, $L$5, $L$6)</f>
        <v>#NAME?</v>
      </c>
      <c r="BG14" s="84" t="e">
        <f ca="1">_xll.ciqfunctions.udf.CIQ($A14, "IQ_TOTAL_DEBT", IQ_LTM, $B$8,$L$4, $L$3, $L$5, $L$6)</f>
        <v>#NAME?</v>
      </c>
      <c r="BH14" s="67" t="e">
        <f ca="1">_xll.ciqfunctions.udf.CIQ($A14,"IQ_PREF_EQUITY",IQ_LTM,$B$8,$L$4,$L$3,$L$5,$L$6)</f>
        <v>#NAME?</v>
      </c>
      <c r="BI14" s="67" t="e">
        <f ca="1">_xll.ciqfunctions.udf.CIQ($A14, "IQ_MINORITY_INTEREST_TOTAL", IQ_LTM,$B$8,$L$4,$L$3,$L$5,$L$6)</f>
        <v>#NAME?</v>
      </c>
      <c r="BJ14" s="84" t="e">
        <f ca="1">_xll.ciqfunctions.udf.CIQ($A14, "IQ_CASH_ST_INVEST", IQ_LTM, $B$8, $L$4, $L$3, $L$5, $L$6)</f>
        <v>#NAME?</v>
      </c>
      <c r="BK14" s="67" t="e">
        <f ca="1">_xll.ciqfunctions.udf.CIQ($A14, "IQ_EFFECT_TAX_RATE")</f>
        <v>#NAME?</v>
      </c>
      <c r="BL14" s="67" t="e">
        <f ca="1">IF(_xll.ciqfunctions.udf.CIQ($A14, "IQ_TOTAL_REV_2YR_ANN_CAGR", IQ_LTM, $B$1,$L$4, $L$3, $L$5, $L$6)="NM","n/a",(_xll.ciqfunctions.udf.CIQ($A14, "IQ_TOTAL_REV_2YR_ANN_CAGR", IQ_LTM, $B$1,$L$4, $L$3, $L$5, $L$6)/100))</f>
        <v>#NAME?</v>
      </c>
      <c r="BM14" s="67" t="e">
        <f ca="1">IF(_xll.ciqfunctions.udf.CIQ($A14, "IQ_TOTAL_REV_3YR_ANN_CAGR", IQ_LTM, $B$1,$L$4, $L$3, $L$5, $L$6)="NM","n/a",(_xll.ciqfunctions.udf.CIQ($A14, "IQ_TOTAL_REV_3YR_ANN_CAGR", IQ_LTM, $B$1,$L$4, $L$3, $L$5, $L$6)/100))</f>
        <v>#NAME?</v>
      </c>
      <c r="BN14" s="67" t="e">
        <f ca="1">IF(_xll.ciqfunctions.udf.CIQ($A14, "IQ_TOTAL_REV_5YR_ANN_CAGR", IQ_LTM, $B$1,$L$4, $L$3, $L$5, $L$6)="NM","n/a",(_xll.ciqfunctions.udf.CIQ($A14, "IQ_TOTAL_REV_5YR_ANN_CAGR", IQ_LTM, $B$1,$L$4, $L$3, $L$5, $L$6)/100))</f>
        <v>#NAME?</v>
      </c>
      <c r="BO14" s="67" t="e">
        <f ca="1">IF(_xll.ciqfunctions.udf.CIQ($A14,"IQ_EBITDA_2YR_ANN_CAGR", IQ_LTM,$B$1,$L$4, $L$3, $L$5, $L$6)="NM","n/a",(_xll.ciqfunctions.udf.CIQ($A14,"IQ_EBITDA_2YR_ANN_CAGR", IQ_LTM,$B$1,$L$4, $L$3, $L$5, $L$6)/100))</f>
        <v>#NAME?</v>
      </c>
      <c r="BP14" s="67" t="e">
        <f ca="1">IF(_xll.ciqfunctions.udf.CIQ($A14,"IQ_EBITDA_3YR_ANN_CAGR", IQ_LTM,$B$1,$L$4, $L$3, $L$5, $L$6)="NM","n/a",(_xll.ciqfunctions.udf.CIQ($A14,"IQ_EBITDA_3YR_ANN_CAGR", IQ_LTM,$B$1,$L$4, $L$3, $L$5, $L$6)/100))</f>
        <v>#NAME?</v>
      </c>
      <c r="BQ14" s="67" t="e">
        <f ca="1">IF(_xll.ciqfunctions.udf.CIQ($A14,"IQ_EBITDA_5YR_ANN_CAGR", IQ_LTM,$B$1,$L$4, $L$3, $L$5, $L$6)="NM","n/a",(_xll.ciqfunctions.udf.CIQ($A14,"IQ_EBITDA_5YR_ANN_CAGR", IQ_LTM,$B$1,$L$4, $L$3, $L$5, $L$6)/100))</f>
        <v>#NAME?</v>
      </c>
      <c r="BR14" s="69" t="str">
        <f ca="1">IFERROR((_xll.ciqfunctions.udf.CIQ($A14, "IQ_DA_CF", IQ_LTM, $B$1, $L$4, $L$3, $L$5, $L$6)/Q14),"NM")</f>
        <v>NM</v>
      </c>
      <c r="BS14" s="86">
        <f>'Capital IQ Sheet-GPC'!BS14</f>
        <v>0.52450314924919583</v>
      </c>
      <c r="BT14" s="86">
        <f>'Capital IQ Sheet-GPC'!BT14</f>
        <v>0.53858552321462028</v>
      </c>
      <c r="BU14" s="86">
        <f>'Capital IQ Sheet-GPC'!BU14</f>
        <v>0.62078542774096979</v>
      </c>
      <c r="BV14" s="86">
        <f>'Capital IQ Sheet-GPC'!BV14</f>
        <v>0.68241342423020646</v>
      </c>
      <c r="BW14" s="86">
        <f>'Capital IQ Sheet-GPC'!BW14</f>
        <v>0.72674534281867753</v>
      </c>
      <c r="BX14" s="86">
        <f>'Capital IQ Sheet-GPC'!BX14</f>
        <v>0.71274954029333282</v>
      </c>
      <c r="BY14" s="86" t="str">
        <f>'Capital IQ Sheet-GPC'!BY14</f>
        <v>n/a</v>
      </c>
      <c r="BZ14" s="86" t="str">
        <f>'Capital IQ Sheet-GPC'!BZ14</f>
        <v>n/a</v>
      </c>
      <c r="CB14" s="67">
        <v>2</v>
      </c>
      <c r="CC14" s="123" t="s">
        <v>295</v>
      </c>
      <c r="CD14" s="123" t="s">
        <v>294</v>
      </c>
      <c r="CE14" s="68">
        <f t="shared" ref="CE14:CE42" si="0">$B$1-365*CB14</f>
        <v>42766</v>
      </c>
    </row>
    <row r="15" spans="1:86" s="67" customFormat="1" ht="12.75">
      <c r="A15" s="67" t="e">
        <f ca="1">_xll.ciqfunctions.udf.CIQ($B15,"IQ_COMPANY_TICKER")</f>
        <v>#NAME?</v>
      </c>
      <c r="B15" s="67" t="str">
        <f>'Capital IQ Sheet-GPC'!B15</f>
        <v>IQ31498</v>
      </c>
      <c r="C15" s="67" t="e">
        <f ca="1">_xll.ciqfunctions.udf.CIQ($A15,"IQ_COMPANY_NAME")</f>
        <v>#NAME?</v>
      </c>
      <c r="D15" s="67" t="e">
        <f ca="1">_xll.ciqfunctions.udf.CIQ($A15, "IQ_EXCHANGE")</f>
        <v>#NAME?</v>
      </c>
      <c r="E15" s="68" t="e">
        <f ca="1">_xll.ciqfunctions.udf.CIQ($A15, "IQ_PERIODDATE_IS", IQ_FY)</f>
        <v>#NAME?</v>
      </c>
      <c r="F15" s="68" t="e">
        <f ca="1">_xll.ciqfunctions.udf.CIQ(A15, "IQ_PERIODDATE_IS", IQ_LTM, $B$1,$L$4,$L$3)</f>
        <v>#NAME?</v>
      </c>
      <c r="G15" s="68" t="e">
        <f ca="1">_xll.ciqfunctions.udf.CIQ($A15, "IQ_FIRSTPRICINGDATE")</f>
        <v>#NAME?</v>
      </c>
      <c r="H15" s="84" t="e">
        <f ca="1">_xll.ciqfunctions.udf.CIQ($A15, "IQ_TEV", $L$2, $L$5, $L$6)</f>
        <v>#NAME?</v>
      </c>
      <c r="I15" s="84" t="e">
        <f ca="1">_xll.ciqfunctions.udf.CIQ(A15, "IQ_LASTSALEPRICE", $B$1,$L$5)</f>
        <v>#NAME?</v>
      </c>
      <c r="J15" s="84" t="e">
        <f ca="1">_xll.ciqfunctions.udf.CIQ($A15, "IQ_MARKETCAP", $L$2, $L$5, $L$6)</f>
        <v>#NAME?</v>
      </c>
      <c r="K15" s="84" t="e">
        <f ca="1">_xll.ciqfunctions.udf.CIQ($A15, "IQ_TOTAL_DEBT", IQ_LTM, $L$2,$L$4, $L$3, $L$5, $L$6)</f>
        <v>#NAME?</v>
      </c>
      <c r="L15" s="84" t="e">
        <f ca="1">_xll.ciqfunctions.udf.CIQ($A15, "IQ_PREF_EQUITY", IQ_LTM, $L$2, $L$4, $L$3, $L$5, $L$6)</f>
        <v>#NAME?</v>
      </c>
      <c r="M15" s="84" t="e">
        <f ca="1">_xll.ciqfunctions.udf.CIQ($A15, "IQ_MINORITY_INTEREST_TOTAL", IQ_LTM, $L$2, $L$4, $L$3, $L$5, $L$6)</f>
        <v>#NAME?</v>
      </c>
      <c r="N15" s="84" t="e">
        <f ca="1">_xll.ciqfunctions.udf.CIQ($A15, "IQ_CASH_ST_INVEST", IQ_LTM, $L$2, $L$4, $L$3, $L$5, $L$6)</f>
        <v>#NAME?</v>
      </c>
      <c r="O15" s="84" t="e">
        <f ca="1">_xll.ciqfunctions.udf.CIQ($A15, "IQ_TOTAL_REV", IQ_LTM-8, $L$2, $L$4, $L$3, $L$5, $L$6)</f>
        <v>#NAME?</v>
      </c>
      <c r="P15" s="84" t="e">
        <f ca="1">_xll.ciqfunctions.udf.CIQ($A15, "IQ_TOTAL_REV", IQ_LTM - 4, $L$2, $L$4, $L$3, $L$5,$L$6)</f>
        <v>#NAME?</v>
      </c>
      <c r="Q15" s="84" t="e">
        <f ca="1">_xll.ciqfunctions.udf.CIQ($A15, "IQ_TOTAL_REV", IQ_LTM, $L$2, $L$4, $L$3, $L$5, $L$6)</f>
        <v>#NAME?</v>
      </c>
      <c r="R15" s="84" t="e">
        <f ca="1">_xll.ciqfunctions.udf.CIQ($A15, "IQ_TOTAL_REV", $B$2, $L$2, $L$4, $L$3, $L$5, $L$6)</f>
        <v>#NAME?</v>
      </c>
      <c r="S15" s="84" t="e">
        <f ca="1">IF(_xll.ciqfunctions.udf.CIQ($A15, "IQ_TOTAL_REV", $B$3, $L$2,$L$4, $L$3, $L$5, $L$6)=0,Q15,_xll.ciqfunctions.udf.CIQ($A15, "IQ_TOTAL_REV", $B$3, $L$2,$L$4, $L$3, $L$5, $L$6))</f>
        <v>#NAME?</v>
      </c>
      <c r="T15" s="84" t="e">
        <f ca="1">IF(_xll.ciqfunctions.udf.CIQ($A15, "IQ_REVENUE_EST",$B$4, $L$2, "CON", $L$3, $L$5, $L$6)=0,"n/a",_xll.ciqfunctions.udf.CIQ($A15, "IQ_REVENUE_EST",$B$4, $L$2, "CON", $L$3, $L$5, $L$6))</f>
        <v>#NAME?</v>
      </c>
      <c r="U15" s="84" t="e">
        <f ca="1">IF(_xll.ciqfunctions.udf.CIQ($A15, "IQ_REVENUE_EST",$B$5, $L$2, "CON", $L$3, $L$5, $L$6)=0,"n/a",_xll.ciqfunctions.udf.CIQ($A15, "IQ_REVENUE_EST",$B$5, $L$2, "CON", $L$3, $L$5, $L$6))</f>
        <v>#NAME?</v>
      </c>
      <c r="V15" s="84" t="e">
        <f ca="1">IF(_xll.ciqfunctions.udf.CIQ($A15, "IQ_REVENUE_EST",$B$6, $L$2, "CON", $L$3, $L$5, $L$6)=0,"n/a",_xll.ciqfunctions.udf.CIQ($A15, "IQ_REVENUE_EST",$B$6, $L$2, "CON", $L$3, $L$5, $L$6))</f>
        <v>#NAME?</v>
      </c>
      <c r="W15" s="84" t="e">
        <f ca="1">IF(_xll.ciqfunctions.udf.CIQ($A15, "IQ_REVENUE_EST", $B$7, $L$2, "CON", $L$3, $L$5, $L$6)=0,"n/a",_xll.ciqfunctions.udf.CIQ($A15, "IQ_REVENUE_EST",$B$7, $L$2, "CON", $L$3, $L$5, $L$6))</f>
        <v>#NAME?</v>
      </c>
      <c r="X15" s="84" t="e">
        <f ca="1">_xll.ciqfunctions.udf.CIQ($A15, "IQ_EBITDA", IQ_LTM-8, $L$2, $L$4, $L$3, $L$5, $L$6)</f>
        <v>#NAME?</v>
      </c>
      <c r="Y15" s="84" t="e">
        <f ca="1">_xll.ciqfunctions.udf.CIQ($A15, "IQ_EBITDA", IQ_LTM-4, $L$2,$L$4, $L$3, $L$5, $L$6)</f>
        <v>#NAME?</v>
      </c>
      <c r="Z15" s="84" t="e">
        <f ca="1">_xll.ciqfunctions.udf.CIQ($A15, "IQ_EBITDA", IQ_LTM, $L$2, $L$4, $L$3, $L$5, $L$6)</f>
        <v>#NAME?</v>
      </c>
      <c r="AA15" s="84" t="e">
        <f ca="1">_xll.ciqfunctions.udf.CIQ($A15, "IQ_EBITDA", $B$2, $L$2, $L$4, $L$3, $L$5, $L$6)</f>
        <v>#NAME?</v>
      </c>
      <c r="AB15" s="84" t="e">
        <f ca="1">IF(_xll.ciqfunctions.udf.CIQ($A15, "IQ_EBITDA", $B$3, $L$2,$L$4, $L$3, $L$5, $L$6)=0,Z15,_xll.ciqfunctions.udf.CIQ($A15, "IQ_EBITDA", $B$3, $L$2,$L$4, $L$3, $L$5, $L$6))</f>
        <v>#NAME?</v>
      </c>
      <c r="AC15" s="84" t="e">
        <f ca="1">IF(_xll.ciqfunctions.udf.CIQ($A15, "IQ_EBITDA_EST",$B$4, $L$2, "CON", $L$3, $L$5, $L$6)=0,"n/a",_xll.ciqfunctions.udf.CIQ($A15, "IQ_EBITDA_EST",$B$4, $L$2, "CON", $L$3, $L$5, $L$6))</f>
        <v>#NAME?</v>
      </c>
      <c r="AD15" s="84" t="e">
        <f ca="1">IF(_xll.ciqfunctions.udf.CIQ($A15, "IQ_EBITDA_EST",$B$5, $L$2, "CON", $L$3, $L$5, $L$6)=0,"n/a",_xll.ciqfunctions.udf.CIQ($A15, "IQ_EBITDA_EST",$B$5, $L$2, "CON", $L$3, $L$5, $L$6))</f>
        <v>#NAME?</v>
      </c>
      <c r="AE15" s="84" t="e">
        <f ca="1">IF(_xll.ciqfunctions.udf.CIQ($A15, "IQ_EBITDA_EST",$B$6, $L$2, "CON", $L$3, $L$5, $L$6)=0,"n/a",_xll.ciqfunctions.udf.CIQ($A15, "IQ_EBITDA_EST",$B$6, $L$2, "CON", $L$3, $L$5, $L$6))</f>
        <v>#NAME?</v>
      </c>
      <c r="AF15" s="69" t="str">
        <f ca="1">IF(ISERROR(_xll.ciqfunctions.udf.CIQ($A15, "IQ_GROSS_MARGIN", IQ_LTM, $L$2,$L$4, $L$3, $L$5, $L$6)/100), "n/a", _xll.ciqfunctions.udf.CIQ($A15,  "IQ_GROSS_MARGIN", IQ_LTM, $L$2, $L$4, $L$3, $L$5, $L$6)/100)</f>
        <v>n/a</v>
      </c>
      <c r="AG15" s="69" t="str">
        <f ca="1">IF(ISERROR(_xll.ciqfunctions.udf.CIQ($A15,"IQ_EBITDA_MARGIN", IQ_LTM, $L$2, $L$4, $L$3, $L$5, $L$6)/100), "n/a", _xll.ciqfunctions.udf.CIQ($A15, "IQ_EBITDA_MARGIN", IQ_LTM, $L$2, $L$4, $L$3, $L$5, $L$6)/100)</f>
        <v>n/a</v>
      </c>
      <c r="AH15" s="69" t="str">
        <f ca="1">IF(ISERROR(_xll.ciqfunctions.udf.CIQ($A15,"IQ_EBIT_MARGIN", IQ_LTM, $L$2, $L$4, $L$3, $L$5, $L$6)/100), "n/a", _xll.ciqfunctions.udf.CIQ($A15, "IQ_EBIT_MARGIN", IQ_LTM, $L$2, $L$4, $L$3, $L$5, $L$6)/100)</f>
        <v>n/a</v>
      </c>
      <c r="AI15" s="69" t="str">
        <f ca="1">IF(ISERROR(_xll.ciqfunctions.udf.CIQ($A15,"IQ_NI_MARGIN", IQ_LTM, $L$2, $L$4, $L$3, $L$5, $L$6)/100), "n/a", _xll.ciqfunctions.udf.CIQ($A15, "IQ_NI_MARGIN", IQ_LTM, $L$2, $L$4, $L$3, $L$5, $L$6)/100)</f>
        <v>n/a</v>
      </c>
      <c r="AJ15" s="84" t="str">
        <f ca="1">IF(ISERROR(_xll.ciqfunctions.udf.CIQ($A15, "IQ_NET_WORKING_CAP", IQ_LTM-8, $L$2, $L$4, $L$3, $L$5, $L$6)), "n/a", _xll.ciqfunctions.udf.CIQ($A15, "IQ_NET_WORKING_CAP", IQ_LTM-8, $L$2, $L$4, $L$3, $L$5, $L$6))</f>
        <v>n/a</v>
      </c>
      <c r="AK15" s="84" t="str">
        <f ca="1">IF(ISERROR(_xll.ciqfunctions.udf.CIQ($A15, "IQ_NET_WORKING_CAP", IQ_LTM-4, $L$2, $L$4, $L$3, $L$5, $L$6)), "n/a", _xll.ciqfunctions.udf.CIQ($A15, "IQ_NET_WORKING_CAP", IQ_LTM-4, $L$2, $L$4, $L$3, $L$5, $L$6))</f>
        <v>n/a</v>
      </c>
      <c r="AL15" s="84" t="str">
        <f ca="1">IF(ISERROR(_xll.ciqfunctions.udf.CIQ($A15, "IQ_NET_WORKING_CAP", IQ_LTM, $L$2,$L$4, $L$3, $L$5, $L$6)), "n/a", _xll.ciqfunctions.udf.CIQ($A15, "IQ_NET_WORKING_CAP", IQ_LTM, $L$2, $L$4, $L$3, $L$5, $L$6))</f>
        <v>n/a</v>
      </c>
      <c r="AM15" s="84" t="str">
        <f ca="1">IF(ISERROR(_xll.ciqfunctions.udf.CIQ($A15, "IQ_Capex", IQ_LTM-8, $L$2,$L$4, $L$3, $L$5, $L$6)), "n/a", _xll.ciqfunctions.udf.CIQ($A15, "IQ_Capex", IQ_LTM-8, $L$2, $L$4, $L$3, $L$5, $L$6))</f>
        <v>n/a</v>
      </c>
      <c r="AN15" s="84" t="str">
        <f ca="1">IF(ISERROR(_xll.ciqfunctions.udf.CIQ($A15, "IQ_Capex", IQ_LTM-4, $L$2,$L$4, $L$3, $L$5, $L$6)), "n/a", _xll.ciqfunctions.udf.CIQ($A15, "IQ_Capex", IQ_LTM-4, $L$2,$L$4, $L$3, $L$5, $L$6))</f>
        <v>n/a</v>
      </c>
      <c r="AO15" s="84" t="str">
        <f ca="1">IF(ISERROR(_xll.ciqfunctions.udf.CIQ($A15, "IQ_Capex", IQ_LTM, $L$2, $L$4, $L$3, $L$5, $L$6)), "n/a", _xll.ciqfunctions.udf.CIQ($A15, "IQ_Capex", IQ_LTM, $L$2, $L$4, $L$3, $L$5, $L$6))</f>
        <v>n/a</v>
      </c>
      <c r="AP15" s="66" t="e">
        <f ca="1">_xll.ciqfunctions.udf.CIQ(A15, "IQ_BUSINESS_DESCRIPTION")</f>
        <v>#NAME?</v>
      </c>
      <c r="AQ15" s="85" t="e">
        <f ca="1">_xll.ciqfunctions.udf.CIQ($A15, "IQ_BETA_1YR", $B$1)</f>
        <v>#NAME?</v>
      </c>
      <c r="AR15" s="85" t="e">
        <f ca="1">_xll.ciqfunctions.udf.CIQ($A15, "IQ_BETA_2YR", $B$1)</f>
        <v>#NAME?</v>
      </c>
      <c r="AS15" s="85" t="e">
        <f ca="1">_xll.ciqfunctions.udf.CIQ($A15, "IQ_BETA_5YR", $B$1)</f>
        <v>#NAME?</v>
      </c>
      <c r="AT15" s="69" t="e">
        <f ca="1">_xll.ciqfunctions.udf.CIQ($A15, "IQ_DIVIDEND_YIELD", $B$1)/100</f>
        <v>#NAME?</v>
      </c>
      <c r="AU15" s="84" t="e">
        <f ca="1">_xll.ciqfunctions.udf.CIQ($A15, "IQ_EARNING_CO", IQ_LTM-8, $L$2, $L$4, $L$3, $L$5, $L$6)</f>
        <v>#NAME?</v>
      </c>
      <c r="AV15" s="84" t="e">
        <f ca="1">_xll.ciqfunctions.udf.CIQ($A15, "IQ_EARNING_CO", IQ_LTM-4, $L$2, $L$4, $L$3, $L$5, $L$6)</f>
        <v>#NAME?</v>
      </c>
      <c r="AW15" s="84" t="e">
        <f ca="1">_xll.ciqfunctions.udf.CIQ($A15, "IQ_EARNING_CO", IQ_LTM, $L$2, $L$4, $L$3, $L$5, $L$6)</f>
        <v>#NAME?</v>
      </c>
      <c r="AX15" s="84" t="e">
        <f ca="1">_xll.ciqfunctions.udf.CIQ($A15, "IQ_EARNING_CO", $B$2, $L$2, $L$4, $L$3, $L$5, $L$6)</f>
        <v>#NAME?</v>
      </c>
      <c r="AY15" s="84" t="e">
        <f ca="1">IF(_xll.ciqfunctions.udf.CIQ($A15, "IQ_EARNING_CO", $B$3, $L$2,$L$4, $L$3, $L$5, $L$6)=0,AW15,_xll.ciqfunctions.udf.CIQ($A15, "IQ_EARNING_CO", $B$3, $L$2,$L$4, $L$3, $L$5, $L$6))</f>
        <v>#NAME?</v>
      </c>
      <c r="AZ15" s="84" t="e">
        <f ca="1">_xll.ciqfunctions.udf.CIQ($A15, "IQ_TOTAL_EQUITY", IQ_LTM-8, $L$2, $L$4, $L$3, $L$5, $L$6)</f>
        <v>#NAME?</v>
      </c>
      <c r="BA15" s="84" t="e">
        <f ca="1">_xll.ciqfunctions.udf.CIQ($A15, "IQ_TOTAL_EQUITY", IQ_LTM-4, $L$2, $L$4, $L$3, $L$5, $L$6)</f>
        <v>#NAME?</v>
      </c>
      <c r="BB15" s="84" t="e">
        <f ca="1">_xll.ciqfunctions.udf.CIQ($A15, "IQ_TOTAL_EQUITY", IQ_LTM, $L$2, $L$4, $L$3, $L$5, $L$6)</f>
        <v>#NAME?</v>
      </c>
      <c r="BC15" s="84" t="e">
        <f ca="1">_xll.ciqfunctions.udf.CIQ($A15, "IQ_TOTAL_EQUITY", $B$2, $L$2, $L$4, $L$3, $L$5, $L$6)</f>
        <v>#NAME?</v>
      </c>
      <c r="BD15" s="84" t="e">
        <f ca="1">IF(_xll.ciqfunctions.udf.CIQ($A15, "IQ_TOTAL_EQUITY", $B$3, $L$2,$L$4, $L$3, $L$5, $L$6)=0,BB15,_xll.ciqfunctions.udf.CIQ($A15, "IQ_TOTAL_EQUITY", $B$3, $L$2,$L$4, $L$3, $L$5, $L$6))</f>
        <v>#NAME?</v>
      </c>
      <c r="BE15" s="84" t="e">
        <f ca="1">_xll.ciqfunctions.udf.CIQ(A15, "IQ_LASTSALEPRICE", $B$8)</f>
        <v>#NAME?</v>
      </c>
      <c r="BF15" s="84" t="e">
        <f ca="1">_xll.ciqfunctions.udf.CIQ($A15, "IQ_MARKETCAP", $B$8, $L$5, $L$6)</f>
        <v>#NAME?</v>
      </c>
      <c r="BG15" s="84" t="e">
        <f ca="1">_xll.ciqfunctions.udf.CIQ($A15, "IQ_TOTAL_DEBT", IQ_LTM, $B$8,$L$4, $L$3, $L$5, $L$6)</f>
        <v>#NAME?</v>
      </c>
      <c r="BH15" s="67" t="e">
        <f ca="1">_xll.ciqfunctions.udf.CIQ($A15,"IQ_PREF_EQUITY",IQ_LTM,$B$8,$L$4,$L$3,$L$5,$L$6)</f>
        <v>#NAME?</v>
      </c>
      <c r="BI15" s="67" t="e">
        <f ca="1">_xll.ciqfunctions.udf.CIQ($A15, "IQ_MINORITY_INTEREST_TOTAL", IQ_LTM,$B$8,$L$4,$L$3,$L$5,$L$6)</f>
        <v>#NAME?</v>
      </c>
      <c r="BJ15" s="84" t="e">
        <f ca="1">_xll.ciqfunctions.udf.CIQ($A15, "IQ_CASH_ST_INVEST", IQ_LTM, $B$8, $L$4, $L$3, $L$5, $L$6)</f>
        <v>#NAME?</v>
      </c>
      <c r="BK15" s="67" t="e">
        <f ca="1">_xll.ciqfunctions.udf.CIQ($A15, "IQ_EFFECT_TAX_RATE")</f>
        <v>#NAME?</v>
      </c>
      <c r="BL15" s="67" t="e">
        <f ca="1">IF(_xll.ciqfunctions.udf.CIQ($A15, "IQ_TOTAL_REV_2YR_ANN_CAGR", IQ_LTM, $B$1,$L$4, $L$3, $L$5, $L$6)="NM","n/a",(_xll.ciqfunctions.udf.CIQ($A15, "IQ_TOTAL_REV_2YR_ANN_CAGR", IQ_LTM, $B$1,$L$4, $L$3, $L$5, $L$6)/100))</f>
        <v>#NAME?</v>
      </c>
      <c r="BM15" s="67" t="e">
        <f ca="1">IF(_xll.ciqfunctions.udf.CIQ($A15, "IQ_TOTAL_REV_3YR_ANN_CAGR", IQ_LTM, $B$1,$L$4, $L$3, $L$5, $L$6)="NM","n/a",(_xll.ciqfunctions.udf.CIQ($A15, "IQ_TOTAL_REV_3YR_ANN_CAGR", IQ_LTM, $B$1,$L$4, $L$3, $L$5, $L$6)/100))</f>
        <v>#NAME?</v>
      </c>
      <c r="BN15" s="67" t="e">
        <f ca="1">IF(_xll.ciqfunctions.udf.CIQ($A15, "IQ_TOTAL_REV_5YR_ANN_CAGR", IQ_LTM, $B$1,$L$4, $L$3, $L$5, $L$6)="NM","n/a",(_xll.ciqfunctions.udf.CIQ($A15, "IQ_TOTAL_REV_5YR_ANN_CAGR", IQ_LTM, $B$1,$L$4, $L$3, $L$5, $L$6)/100))</f>
        <v>#NAME?</v>
      </c>
      <c r="BO15" s="67" t="e">
        <f ca="1">IF(_xll.ciqfunctions.udf.CIQ($A15,"IQ_EBITDA_2YR_ANN_CAGR", IQ_LTM,$B$1,$L$4, $L$3, $L$5, $L$6)="NM","n/a",(_xll.ciqfunctions.udf.CIQ($A15,"IQ_EBITDA_2YR_ANN_CAGR", IQ_LTM,$B$1,$L$4, $L$3, $L$5, $L$6)/100))</f>
        <v>#NAME?</v>
      </c>
      <c r="BP15" s="67" t="e">
        <f ca="1">IF(_xll.ciqfunctions.udf.CIQ($A15,"IQ_EBITDA_3YR_ANN_CAGR", IQ_LTM,$B$1,$L$4, $L$3, $L$5, $L$6)="NM","n/a",(_xll.ciqfunctions.udf.CIQ($A15,"IQ_EBITDA_3YR_ANN_CAGR", IQ_LTM,$B$1,$L$4, $L$3, $L$5, $L$6)/100))</f>
        <v>#NAME?</v>
      </c>
      <c r="BQ15" s="67" t="e">
        <f ca="1">IF(_xll.ciqfunctions.udf.CIQ($A15,"IQ_EBITDA_5YR_ANN_CAGR", IQ_LTM,$B$1,$L$4, $L$3, $L$5, $L$6)="NM","n/a",(_xll.ciqfunctions.udf.CIQ($A15,"IQ_EBITDA_5YR_ANN_CAGR", IQ_LTM,$B$1,$L$4, $L$3, $L$5, $L$6)/100))</f>
        <v>#NAME?</v>
      </c>
      <c r="BR15" s="69" t="str">
        <f ca="1">IFERROR((_xll.ciqfunctions.udf.CIQ($A15, "IQ_DA_CF", IQ_LTM, $B$1, $L$4, $L$3, $L$5, $L$6)/Q15),"NM")</f>
        <v>NM</v>
      </c>
      <c r="BS15" s="86">
        <f>'Capital IQ Sheet-GPC'!BS15</f>
        <v>0.53584986559164549</v>
      </c>
      <c r="BT15" s="86">
        <f>'Capital IQ Sheet-GPC'!BT15</f>
        <v>0.4634353984441596</v>
      </c>
      <c r="BU15" s="86">
        <f>'Capital IQ Sheet-GPC'!BU15</f>
        <v>0.45368577964898188</v>
      </c>
      <c r="BV15" s="86">
        <f>'Capital IQ Sheet-GPC'!BV15</f>
        <v>0.43862245376883774</v>
      </c>
      <c r="BW15" s="86">
        <f>'Capital IQ Sheet-GPC'!BW15</f>
        <v>0.45976240890543452</v>
      </c>
      <c r="BX15" s="86">
        <f>'Capital IQ Sheet-GPC'!BX15</f>
        <v>0.45860802875494028</v>
      </c>
      <c r="BY15" s="86">
        <f>'Capital IQ Sheet-GPC'!BY15</f>
        <v>0.4528697950500134</v>
      </c>
      <c r="BZ15" s="86">
        <f>'Capital IQ Sheet-GPC'!BZ15</f>
        <v>0.4608751263835219</v>
      </c>
      <c r="CB15" s="67">
        <v>2</v>
      </c>
      <c r="CC15" s="123" t="s">
        <v>295</v>
      </c>
      <c r="CD15" s="123" t="s">
        <v>294</v>
      </c>
      <c r="CE15" s="68">
        <f t="shared" si="0"/>
        <v>42766</v>
      </c>
    </row>
    <row r="16" spans="1:86" s="67" customFormat="1" ht="12.75">
      <c r="A16" s="67" t="e">
        <f ca="1">_xll.ciqfunctions.udf.CIQ($B16,"IQ_COMPANY_TICKER")</f>
        <v>#NAME?</v>
      </c>
      <c r="B16" s="67" t="str">
        <f>'Capital IQ Sheet-GPC'!B16</f>
        <v>IQ208736100</v>
      </c>
      <c r="C16" s="67" t="e">
        <f ca="1">_xll.ciqfunctions.udf.CIQ($A16,"IQ_COMPANY_NAME")</f>
        <v>#NAME?</v>
      </c>
      <c r="D16" s="67" t="e">
        <f ca="1">_xll.ciqfunctions.udf.CIQ($A16, "IQ_EXCHANGE")</f>
        <v>#NAME?</v>
      </c>
      <c r="E16" s="68" t="e">
        <f ca="1">_xll.ciqfunctions.udf.CIQ($A16, "IQ_PERIODDATE_IS", IQ_FY)</f>
        <v>#NAME?</v>
      </c>
      <c r="F16" s="68" t="e">
        <f ca="1">_xll.ciqfunctions.udf.CIQ(A16, "IQ_PERIODDATE_IS", IQ_LTM, $B$1,$L$4,$L$3)</f>
        <v>#NAME?</v>
      </c>
      <c r="G16" s="68" t="e">
        <f ca="1">_xll.ciqfunctions.udf.CIQ($A16, "IQ_FIRSTPRICINGDATE")</f>
        <v>#NAME?</v>
      </c>
      <c r="H16" s="84" t="e">
        <f ca="1">_xll.ciqfunctions.udf.CIQ($A16, "IQ_TEV", $L$2, $L$5, $L$6)</f>
        <v>#NAME?</v>
      </c>
      <c r="I16" s="84" t="e">
        <f ca="1">_xll.ciqfunctions.udf.CIQ(A16, "IQ_LASTSALEPRICE", $B$1,$L$5)</f>
        <v>#NAME?</v>
      </c>
      <c r="J16" s="84" t="e">
        <f ca="1">_xll.ciqfunctions.udf.CIQ($A16, "IQ_MARKETCAP", $L$2, $L$5, $L$6)</f>
        <v>#NAME?</v>
      </c>
      <c r="K16" s="84" t="e">
        <f ca="1">_xll.ciqfunctions.udf.CIQ($A16, "IQ_TOTAL_DEBT", IQ_LTM, $L$2,$L$4, $L$3, $L$5, $L$6)</f>
        <v>#NAME?</v>
      </c>
      <c r="L16" s="84" t="e">
        <f ca="1">_xll.ciqfunctions.udf.CIQ($A16, "IQ_PREF_EQUITY", IQ_LTM, $L$2, $L$4, $L$3, $L$5, $L$6)</f>
        <v>#NAME?</v>
      </c>
      <c r="M16" s="84" t="e">
        <f ca="1">_xll.ciqfunctions.udf.CIQ($A16, "IQ_MINORITY_INTEREST_TOTAL", IQ_LTM, $L$2, $L$4, $L$3, $L$5, $L$6)</f>
        <v>#NAME?</v>
      </c>
      <c r="N16" s="84" t="e">
        <f ca="1">_xll.ciqfunctions.udf.CIQ($A16, "IQ_CASH_ST_INVEST", IQ_LTM, $L$2, $L$4, $L$3, $L$5, $L$6)</f>
        <v>#NAME?</v>
      </c>
      <c r="O16" s="84" t="e">
        <f ca="1">_xll.ciqfunctions.udf.CIQ($A16, "IQ_TOTAL_REV", IQ_LTM-8, $L$2, $L$4, $L$3, $L$5, $L$6)</f>
        <v>#NAME?</v>
      </c>
      <c r="P16" s="84" t="e">
        <f ca="1">_xll.ciqfunctions.udf.CIQ($A16, "IQ_TOTAL_REV", IQ_LTM - 4, $L$2, $L$4, $L$3, $L$5,$L$6)</f>
        <v>#NAME?</v>
      </c>
      <c r="Q16" s="84" t="e">
        <f ca="1">_xll.ciqfunctions.udf.CIQ($A16, "IQ_TOTAL_REV", IQ_LTM, $L$2, $L$4, $L$3, $L$5, $L$6)</f>
        <v>#NAME?</v>
      </c>
      <c r="R16" s="84" t="e">
        <f ca="1">_xll.ciqfunctions.udf.CIQ($A16, "IQ_TOTAL_REV", $B$2, $L$2, $L$4, $L$3, $L$5, $L$6)</f>
        <v>#NAME?</v>
      </c>
      <c r="S16" s="84" t="e">
        <f ca="1">IF(_xll.ciqfunctions.udf.CIQ($A16, "IQ_TOTAL_REV", $B$3, $L$2,$L$4, $L$3, $L$5, $L$6)=0,Q16,_xll.ciqfunctions.udf.CIQ($A16, "IQ_TOTAL_REV", $B$3, $L$2,$L$4, $L$3, $L$5, $L$6))</f>
        <v>#NAME?</v>
      </c>
      <c r="T16" s="84" t="e">
        <f ca="1">IF(_xll.ciqfunctions.udf.CIQ($A16, "IQ_REVENUE_EST",$B$4, $L$2, "CON", $L$3, $L$5, $L$6)=0,"n/a",_xll.ciqfunctions.udf.CIQ($A16, "IQ_REVENUE_EST",$B$4, $L$2, "CON", $L$3, $L$5, $L$6))</f>
        <v>#NAME?</v>
      </c>
      <c r="U16" s="84" t="e">
        <f ca="1">IF(_xll.ciqfunctions.udf.CIQ($A16, "IQ_REVENUE_EST",$B$5, $L$2, "CON", $L$3, $L$5, $L$6)=0,"n/a",_xll.ciqfunctions.udf.CIQ($A16, "IQ_REVENUE_EST",$B$5, $L$2, "CON", $L$3, $L$5, $L$6))</f>
        <v>#NAME?</v>
      </c>
      <c r="V16" s="84" t="e">
        <f ca="1">IF(_xll.ciqfunctions.udf.CIQ($A16, "IQ_REVENUE_EST",$B$6, $L$2, "CON", $L$3, $L$5, $L$6)=0,"n/a",_xll.ciqfunctions.udf.CIQ($A16, "IQ_REVENUE_EST",$B$6, $L$2, "CON", $L$3, $L$5, $L$6))</f>
        <v>#NAME?</v>
      </c>
      <c r="W16" s="84" t="e">
        <f ca="1">IF(_xll.ciqfunctions.udf.CIQ($A16, "IQ_REVENUE_EST", $B$7, $L$2, "CON", $L$3, $L$5, $L$6)=0,"n/a",_xll.ciqfunctions.udf.CIQ($A16, "IQ_REVENUE_EST",$B$7, $L$2, "CON", $L$3, $L$5, $L$6))</f>
        <v>#NAME?</v>
      </c>
      <c r="X16" s="84" t="e">
        <f ca="1">_xll.ciqfunctions.udf.CIQ($A16, "IQ_EBITDA", IQ_LTM-8, $L$2, $L$4, $L$3, $L$5, $L$6)</f>
        <v>#NAME?</v>
      </c>
      <c r="Y16" s="84" t="e">
        <f ca="1">_xll.ciqfunctions.udf.CIQ($A16, "IQ_EBITDA", IQ_LTM-4, $L$2,$L$4, $L$3, $L$5, $L$6)</f>
        <v>#NAME?</v>
      </c>
      <c r="Z16" s="84" t="e">
        <f ca="1">_xll.ciqfunctions.udf.CIQ($A16, "IQ_EBITDA", IQ_LTM, $L$2, $L$4, $L$3, $L$5, $L$6)</f>
        <v>#NAME?</v>
      </c>
      <c r="AA16" s="84" t="e">
        <f ca="1">_xll.ciqfunctions.udf.CIQ($A16, "IQ_EBITDA", $B$2, $L$2, $L$4, $L$3, $L$5, $L$6)</f>
        <v>#NAME?</v>
      </c>
      <c r="AB16" s="84" t="e">
        <f ca="1">IF(_xll.ciqfunctions.udf.CIQ($A16, "IQ_EBITDA", $B$3, $L$2,$L$4, $L$3, $L$5, $L$6)=0,Z16,_xll.ciqfunctions.udf.CIQ($A16, "IQ_EBITDA", $B$3, $L$2,$L$4, $L$3, $L$5, $L$6))</f>
        <v>#NAME?</v>
      </c>
      <c r="AC16" s="84" t="e">
        <f ca="1">IF(_xll.ciqfunctions.udf.CIQ($A16, "IQ_EBITDA_EST",$B$4, $L$2, "CON", $L$3, $L$5, $L$6)=0,"n/a",_xll.ciqfunctions.udf.CIQ($A16, "IQ_EBITDA_EST",$B$4, $L$2, "CON", $L$3, $L$5, $L$6))</f>
        <v>#NAME?</v>
      </c>
      <c r="AD16" s="84" t="e">
        <f ca="1">IF(_xll.ciqfunctions.udf.CIQ($A16, "IQ_EBITDA_EST",$B$5, $L$2, "CON", $L$3, $L$5, $L$6)=0,"n/a",_xll.ciqfunctions.udf.CIQ($A16, "IQ_EBITDA_EST",$B$5, $L$2, "CON", $L$3, $L$5, $L$6))</f>
        <v>#NAME?</v>
      </c>
      <c r="AE16" s="84" t="e">
        <f ca="1">IF(_xll.ciqfunctions.udf.CIQ($A16, "IQ_EBITDA_EST",$B$6, $L$2, "CON", $L$3, $L$5, $L$6)=0,"n/a",_xll.ciqfunctions.udf.CIQ($A16, "IQ_EBITDA_EST",$B$6, $L$2, "CON", $L$3, $L$5, $L$6))</f>
        <v>#NAME?</v>
      </c>
      <c r="AF16" s="69" t="str">
        <f ca="1">IF(ISERROR(_xll.ciqfunctions.udf.CIQ($A16, "IQ_GROSS_MARGIN", IQ_LTM, $L$2,$L$4, $L$3, $L$5, $L$6)/100), "n/a", _xll.ciqfunctions.udf.CIQ($A16,  "IQ_GROSS_MARGIN", IQ_LTM, $L$2, $L$4, $L$3, $L$5, $L$6)/100)</f>
        <v>n/a</v>
      </c>
      <c r="AG16" s="69" t="str">
        <f ca="1">IF(ISERROR(_xll.ciqfunctions.udf.CIQ($A16,"IQ_EBITDA_MARGIN", IQ_LTM, $L$2, $L$4, $L$3, $L$5, $L$6)/100), "n/a", _xll.ciqfunctions.udf.CIQ($A16, "IQ_EBITDA_MARGIN", IQ_LTM, $L$2, $L$4, $L$3, $L$5, $L$6)/100)</f>
        <v>n/a</v>
      </c>
      <c r="AH16" s="69" t="str">
        <f ca="1">IF(ISERROR(_xll.ciqfunctions.udf.CIQ($A16,"IQ_EBIT_MARGIN", IQ_LTM, $L$2, $L$4, $L$3, $L$5, $L$6)/100), "n/a", _xll.ciqfunctions.udf.CIQ($A16, "IQ_EBIT_MARGIN", IQ_LTM, $L$2, $L$4, $L$3, $L$5, $L$6)/100)</f>
        <v>n/a</v>
      </c>
      <c r="AI16" s="69" t="str">
        <f ca="1">IF(ISERROR(_xll.ciqfunctions.udf.CIQ($A16,"IQ_NI_MARGIN", IQ_LTM, $L$2, $L$4, $L$3, $L$5, $L$6)/100), "n/a", _xll.ciqfunctions.udf.CIQ($A16, "IQ_NI_MARGIN", IQ_LTM, $L$2, $L$4, $L$3, $L$5, $L$6)/100)</f>
        <v>n/a</v>
      </c>
      <c r="AJ16" s="84" t="str">
        <f ca="1">IF(ISERROR(_xll.ciqfunctions.udf.CIQ($A16, "IQ_NET_WORKING_CAP", IQ_LTM-8, $L$2, $L$4, $L$3, $L$5, $L$6)), "n/a", _xll.ciqfunctions.udf.CIQ($A16, "IQ_NET_WORKING_CAP", IQ_LTM-8, $L$2, $L$4, $L$3, $L$5, $L$6))</f>
        <v>n/a</v>
      </c>
      <c r="AK16" s="84" t="str">
        <f ca="1">IF(ISERROR(_xll.ciqfunctions.udf.CIQ($A16, "IQ_NET_WORKING_CAP", IQ_LTM-4, $L$2, $L$4, $L$3, $L$5, $L$6)), "n/a", _xll.ciqfunctions.udf.CIQ($A16, "IQ_NET_WORKING_CAP", IQ_LTM-4, $L$2, $L$4, $L$3, $L$5, $L$6))</f>
        <v>n/a</v>
      </c>
      <c r="AL16" s="84" t="str">
        <f ca="1">IF(ISERROR(_xll.ciqfunctions.udf.CIQ($A16, "IQ_NET_WORKING_CAP", IQ_LTM, $L$2,$L$4, $L$3, $L$5, $L$6)), "n/a", _xll.ciqfunctions.udf.CIQ($A16, "IQ_NET_WORKING_CAP", IQ_LTM, $L$2, $L$4, $L$3, $L$5, $L$6))</f>
        <v>n/a</v>
      </c>
      <c r="AM16" s="84" t="str">
        <f ca="1">IF(ISERROR(_xll.ciqfunctions.udf.CIQ($A16, "IQ_Capex", IQ_LTM-8, $L$2,$L$4, $L$3, $L$5, $L$6)), "n/a", _xll.ciqfunctions.udf.CIQ($A16, "IQ_Capex", IQ_LTM-8, $L$2, $L$4, $L$3, $L$5, $L$6))</f>
        <v>n/a</v>
      </c>
      <c r="AN16" s="84" t="str">
        <f ca="1">IF(ISERROR(_xll.ciqfunctions.udf.CIQ($A16, "IQ_Capex", IQ_LTM-4, $L$2,$L$4, $L$3, $L$5, $L$6)), "n/a", _xll.ciqfunctions.udf.CIQ($A16, "IQ_Capex", IQ_LTM-4, $L$2,$L$4, $L$3, $L$5, $L$6))</f>
        <v>n/a</v>
      </c>
      <c r="AO16" s="84" t="str">
        <f ca="1">IF(ISERROR(_xll.ciqfunctions.udf.CIQ($A16, "IQ_Capex", IQ_LTM, $L$2, $L$4, $L$3, $L$5, $L$6)), "n/a", _xll.ciqfunctions.udf.CIQ($A16, "IQ_Capex", IQ_LTM, $L$2, $L$4, $L$3, $L$5, $L$6))</f>
        <v>n/a</v>
      </c>
      <c r="AP16" s="66" t="e">
        <f ca="1">_xll.ciqfunctions.udf.CIQ(A16, "IQ_BUSINESS_DESCRIPTION")</f>
        <v>#NAME?</v>
      </c>
      <c r="AQ16" s="85" t="e">
        <f ca="1">_xll.ciqfunctions.udf.CIQ($A16, "IQ_BETA_1YR", $B$1)</f>
        <v>#NAME?</v>
      </c>
      <c r="AR16" s="85" t="e">
        <f ca="1">_xll.ciqfunctions.udf.CIQ($A16, "IQ_BETA_2YR", $B$1)</f>
        <v>#NAME?</v>
      </c>
      <c r="AS16" s="85" t="e">
        <f ca="1">_xll.ciqfunctions.udf.CIQ($A16, "IQ_BETA_5YR", $B$1)</f>
        <v>#NAME?</v>
      </c>
      <c r="AT16" s="69" t="e">
        <f ca="1">_xll.ciqfunctions.udf.CIQ($A16, "IQ_DIVIDEND_YIELD", $B$1)/100</f>
        <v>#NAME?</v>
      </c>
      <c r="AU16" s="84" t="e">
        <f ca="1">_xll.ciqfunctions.udf.CIQ($A16, "IQ_EARNING_CO", IQ_LTM-8, $L$2, $L$4, $L$3, $L$5, $L$6)</f>
        <v>#NAME?</v>
      </c>
      <c r="AV16" s="84" t="e">
        <f ca="1">_xll.ciqfunctions.udf.CIQ($A16, "IQ_EARNING_CO", IQ_LTM-4, $L$2, $L$4, $L$3, $L$5, $L$6)</f>
        <v>#NAME?</v>
      </c>
      <c r="AW16" s="84" t="e">
        <f ca="1">_xll.ciqfunctions.udf.CIQ($A16, "IQ_EARNING_CO", IQ_LTM, $L$2, $L$4, $L$3, $L$5, $L$6)</f>
        <v>#NAME?</v>
      </c>
      <c r="AX16" s="84" t="e">
        <f ca="1">_xll.ciqfunctions.udf.CIQ($A16, "IQ_EARNING_CO", $B$2, $L$2, $L$4, $L$3, $L$5, $L$6)</f>
        <v>#NAME?</v>
      </c>
      <c r="AY16" s="84" t="e">
        <f ca="1">IF(_xll.ciqfunctions.udf.CIQ($A16, "IQ_EARNING_CO", $B$3, $L$2,$L$4, $L$3, $L$5, $L$6)=0,AW16,_xll.ciqfunctions.udf.CIQ($A16, "IQ_EARNING_CO", $B$3, $L$2,$L$4, $L$3, $L$5, $L$6))</f>
        <v>#NAME?</v>
      </c>
      <c r="AZ16" s="84" t="e">
        <f ca="1">_xll.ciqfunctions.udf.CIQ($A16, "IQ_TOTAL_EQUITY", IQ_LTM-8, $L$2, $L$4, $L$3, $L$5, $L$6)</f>
        <v>#NAME?</v>
      </c>
      <c r="BA16" s="84" t="e">
        <f ca="1">_xll.ciqfunctions.udf.CIQ($A16, "IQ_TOTAL_EQUITY", IQ_LTM-4, $L$2, $L$4, $L$3, $L$5, $L$6)</f>
        <v>#NAME?</v>
      </c>
      <c r="BB16" s="84" t="e">
        <f ca="1">_xll.ciqfunctions.udf.CIQ($A16, "IQ_TOTAL_EQUITY", IQ_LTM, $L$2, $L$4, $L$3, $L$5, $L$6)</f>
        <v>#NAME?</v>
      </c>
      <c r="BC16" s="84" t="e">
        <f ca="1">_xll.ciqfunctions.udf.CIQ($A16, "IQ_TOTAL_EQUITY", $B$2, $L$2, $L$4, $L$3, $L$5, $L$6)</f>
        <v>#NAME?</v>
      </c>
      <c r="BD16" s="84" t="e">
        <f ca="1">IF(_xll.ciqfunctions.udf.CIQ($A16, "IQ_TOTAL_EQUITY", $B$3, $L$2,$L$4, $L$3, $L$5, $L$6)=0,BB16,_xll.ciqfunctions.udf.CIQ($A16, "IQ_TOTAL_EQUITY", $B$3, $L$2,$L$4, $L$3, $L$5, $L$6))</f>
        <v>#NAME?</v>
      </c>
      <c r="BE16" s="84" t="e">
        <f ca="1">_xll.ciqfunctions.udf.CIQ(A16, "IQ_LASTSALEPRICE", $B$8)</f>
        <v>#NAME?</v>
      </c>
      <c r="BF16" s="84" t="e">
        <f ca="1">_xll.ciqfunctions.udf.CIQ($A16, "IQ_MARKETCAP", $B$8, $L$5, $L$6)</f>
        <v>#NAME?</v>
      </c>
      <c r="BG16" s="84" t="e">
        <f ca="1">_xll.ciqfunctions.udf.CIQ($A16, "IQ_TOTAL_DEBT", IQ_LTM, $B$8,$L$4, $L$3, $L$5, $L$6)</f>
        <v>#NAME?</v>
      </c>
      <c r="BH16" s="67" t="e">
        <f ca="1">_xll.ciqfunctions.udf.CIQ($A16,"IQ_PREF_EQUITY",IQ_LTM,$B$8,$L$4,$L$3,$L$5,$L$6)</f>
        <v>#NAME?</v>
      </c>
      <c r="BI16" s="67" t="e">
        <f ca="1">_xll.ciqfunctions.udf.CIQ($A16, "IQ_MINORITY_INTEREST_TOTAL", IQ_LTM,$B$8,$L$4,$L$3,$L$5,$L$6)</f>
        <v>#NAME?</v>
      </c>
      <c r="BJ16" s="84" t="e">
        <f ca="1">_xll.ciqfunctions.udf.CIQ($A16, "IQ_CASH_ST_INVEST", IQ_LTM, $B$8, $L$4, $L$3, $L$5, $L$6)</f>
        <v>#NAME?</v>
      </c>
      <c r="BK16" s="67" t="e">
        <f ca="1">_xll.ciqfunctions.udf.CIQ($A16, "IQ_EFFECT_TAX_RATE")</f>
        <v>#NAME?</v>
      </c>
      <c r="BL16" s="67" t="e">
        <f ca="1">IF(_xll.ciqfunctions.udf.CIQ($A16, "IQ_TOTAL_REV_2YR_ANN_CAGR", IQ_LTM, $B$1,$L$4, $L$3, $L$5, $L$6)="NM","n/a",(_xll.ciqfunctions.udf.CIQ($A16, "IQ_TOTAL_REV_2YR_ANN_CAGR", IQ_LTM, $B$1,$L$4, $L$3, $L$5, $L$6)/100))</f>
        <v>#NAME?</v>
      </c>
      <c r="BM16" s="67" t="e">
        <f ca="1">IF(_xll.ciqfunctions.udf.CIQ($A16, "IQ_TOTAL_REV_3YR_ANN_CAGR", IQ_LTM, $B$1,$L$4, $L$3, $L$5, $L$6)="NM","n/a",(_xll.ciqfunctions.udf.CIQ($A16, "IQ_TOTAL_REV_3YR_ANN_CAGR", IQ_LTM, $B$1,$L$4, $L$3, $L$5, $L$6)/100))</f>
        <v>#NAME?</v>
      </c>
      <c r="BN16" s="67" t="e">
        <f ca="1">IF(_xll.ciqfunctions.udf.CIQ($A16, "IQ_TOTAL_REV_5YR_ANN_CAGR", IQ_LTM, $B$1,$L$4, $L$3, $L$5, $L$6)="NM","n/a",(_xll.ciqfunctions.udf.CIQ($A16, "IQ_TOTAL_REV_5YR_ANN_CAGR", IQ_LTM, $B$1,$L$4, $L$3, $L$5, $L$6)/100))</f>
        <v>#NAME?</v>
      </c>
      <c r="BO16" s="67" t="e">
        <f ca="1">IF(_xll.ciqfunctions.udf.CIQ($A16,"IQ_EBITDA_2YR_ANN_CAGR", IQ_LTM,$B$1,$L$4, $L$3, $L$5, $L$6)="NM","n/a",(_xll.ciqfunctions.udf.CIQ($A16,"IQ_EBITDA_2YR_ANN_CAGR", IQ_LTM,$B$1,$L$4, $L$3, $L$5, $L$6)/100))</f>
        <v>#NAME?</v>
      </c>
      <c r="BP16" s="67" t="e">
        <f ca="1">IF(_xll.ciqfunctions.udf.CIQ($A16,"IQ_EBITDA_3YR_ANN_CAGR", IQ_LTM,$B$1,$L$4, $L$3, $L$5, $L$6)="NM","n/a",(_xll.ciqfunctions.udf.CIQ($A16,"IQ_EBITDA_3YR_ANN_CAGR", IQ_LTM,$B$1,$L$4, $L$3, $L$5, $L$6)/100))</f>
        <v>#NAME?</v>
      </c>
      <c r="BQ16" s="67" t="e">
        <f ca="1">IF(_xll.ciqfunctions.udf.CIQ($A16,"IQ_EBITDA_5YR_ANN_CAGR", IQ_LTM,$B$1,$L$4, $L$3, $L$5, $L$6)="NM","n/a",(_xll.ciqfunctions.udf.CIQ($A16,"IQ_EBITDA_5YR_ANN_CAGR", IQ_LTM,$B$1,$L$4, $L$3, $L$5, $L$6)/100))</f>
        <v>#NAME?</v>
      </c>
      <c r="BR16" s="69" t="str">
        <f ca="1">IFERROR((_xll.ciqfunctions.udf.CIQ($A16, "IQ_DA_CF", IQ_LTM, $B$1, $L$4, $L$3, $L$5, $L$6)/Q16),"NM")</f>
        <v>NM</v>
      </c>
      <c r="BS16" s="86">
        <f>'Capital IQ Sheet-GPC'!BS16</f>
        <v>0.70210147812796531</v>
      </c>
      <c r="BT16" s="86">
        <f>'Capital IQ Sheet-GPC'!BT16</f>
        <v>0.70150122776605739</v>
      </c>
      <c r="BU16" s="86">
        <f>'Capital IQ Sheet-GPC'!BU16</f>
        <v>0.73278037479134861</v>
      </c>
      <c r="BV16" s="86">
        <f>'Capital IQ Sheet-GPC'!BV16</f>
        <v>0.77604783372898034</v>
      </c>
      <c r="BW16" s="86" t="str">
        <f>'Capital IQ Sheet-GPC'!BW16</f>
        <v>n/a</v>
      </c>
      <c r="BX16" s="86" t="str">
        <f>'Capital IQ Sheet-GPC'!BX16</f>
        <v>n/a</v>
      </c>
      <c r="BY16" s="86" t="str">
        <f>'Capital IQ Sheet-GPC'!BY16</f>
        <v>n/a</v>
      </c>
      <c r="BZ16" s="86" t="str">
        <f>'Capital IQ Sheet-GPC'!BZ16</f>
        <v>n/a</v>
      </c>
      <c r="CB16" s="67">
        <v>2</v>
      </c>
      <c r="CC16" s="123" t="s">
        <v>295</v>
      </c>
      <c r="CD16" s="123" t="s">
        <v>294</v>
      </c>
      <c r="CE16" s="68">
        <f t="shared" si="0"/>
        <v>42766</v>
      </c>
    </row>
    <row r="17" spans="1:83" s="67" customFormat="1" ht="12.75">
      <c r="A17" s="67" t="e">
        <f ca="1">_xll.ciqfunctions.udf.CIQ($B17,"IQ_COMPANY_TICKER")</f>
        <v>#NAME?</v>
      </c>
      <c r="B17" s="67" t="str">
        <f>'Capital IQ Sheet-GPC'!B17</f>
        <v>IQ9004482</v>
      </c>
      <c r="C17" s="67" t="e">
        <f ca="1">_xll.ciqfunctions.udf.CIQ($A17,"IQ_COMPANY_NAME")</f>
        <v>#NAME?</v>
      </c>
      <c r="D17" s="67" t="e">
        <f ca="1">_xll.ciqfunctions.udf.CIQ($A17, "IQ_EXCHANGE")</f>
        <v>#NAME?</v>
      </c>
      <c r="E17" s="68" t="e">
        <f ca="1">_xll.ciqfunctions.udf.CIQ($A17, "IQ_PERIODDATE_IS", IQ_FY)</f>
        <v>#NAME?</v>
      </c>
      <c r="F17" s="68" t="e">
        <f ca="1">_xll.ciqfunctions.udf.CIQ(A17, "IQ_PERIODDATE_IS", IQ_LTM, $B$1,$L$4,$L$3)</f>
        <v>#NAME?</v>
      </c>
      <c r="G17" s="68" t="e">
        <f ca="1">_xll.ciqfunctions.udf.CIQ($A17, "IQ_FIRSTPRICINGDATE")</f>
        <v>#NAME?</v>
      </c>
      <c r="H17" s="84" t="e">
        <f ca="1">_xll.ciqfunctions.udf.CIQ($A17, "IQ_TEV", $L$2, $L$5, $L$6)</f>
        <v>#NAME?</v>
      </c>
      <c r="I17" s="84" t="e">
        <f ca="1">_xll.ciqfunctions.udf.CIQ(A17, "IQ_LASTSALEPRICE", $B$1,$L$5)</f>
        <v>#NAME?</v>
      </c>
      <c r="J17" s="84" t="e">
        <f ca="1">_xll.ciqfunctions.udf.CIQ($A17, "IQ_MARKETCAP", $L$2, $L$5, $L$6)</f>
        <v>#NAME?</v>
      </c>
      <c r="K17" s="84" t="e">
        <f ca="1">_xll.ciqfunctions.udf.CIQ($A17, "IQ_TOTAL_DEBT", IQ_LTM, $L$2,$L$4, $L$3, $L$5, $L$6)</f>
        <v>#NAME?</v>
      </c>
      <c r="L17" s="84" t="e">
        <f ca="1">_xll.ciqfunctions.udf.CIQ($A17, "IQ_PREF_EQUITY", IQ_LTM, $L$2, $L$4, $L$3, $L$5, $L$6)</f>
        <v>#NAME?</v>
      </c>
      <c r="M17" s="84" t="e">
        <f ca="1">_xll.ciqfunctions.udf.CIQ($A17, "IQ_MINORITY_INTEREST_TOTAL", IQ_LTM, $L$2, $L$4, $L$3, $L$5, $L$6)</f>
        <v>#NAME?</v>
      </c>
      <c r="N17" s="84" t="e">
        <f ca="1">_xll.ciqfunctions.udf.CIQ($A17, "IQ_CASH_ST_INVEST", IQ_LTM, $L$2, $L$4, $L$3, $L$5, $L$6)</f>
        <v>#NAME?</v>
      </c>
      <c r="O17" s="84" t="e">
        <f ca="1">_xll.ciqfunctions.udf.CIQ($A17, "IQ_TOTAL_REV", IQ_LTM-8, $L$2, $L$4, $L$3, $L$5, $L$6)</f>
        <v>#NAME?</v>
      </c>
      <c r="P17" s="84" t="e">
        <f ca="1">_xll.ciqfunctions.udf.CIQ($A17, "IQ_TOTAL_REV", IQ_LTM - 4, $L$2, $L$4, $L$3, $L$5,$L$6)</f>
        <v>#NAME?</v>
      </c>
      <c r="Q17" s="84" t="e">
        <f ca="1">_xll.ciqfunctions.udf.CIQ($A17, "IQ_TOTAL_REV", IQ_LTM, $L$2, $L$4, $L$3, $L$5, $L$6)</f>
        <v>#NAME?</v>
      </c>
      <c r="R17" s="84" t="e">
        <f ca="1">_xll.ciqfunctions.udf.CIQ($A17, "IQ_TOTAL_REV", $B$2, $L$2, $L$4, $L$3, $L$5, $L$6)</f>
        <v>#NAME?</v>
      </c>
      <c r="S17" s="84" t="e">
        <f ca="1">IF(_xll.ciqfunctions.udf.CIQ($A17, "IQ_TOTAL_REV", $B$3, $L$2,$L$4, $L$3, $L$5, $L$6)=0,Q17,_xll.ciqfunctions.udf.CIQ($A17, "IQ_TOTAL_REV", $B$3, $L$2,$L$4, $L$3, $L$5, $L$6))</f>
        <v>#NAME?</v>
      </c>
      <c r="T17" s="84" t="e">
        <f ca="1">IF(_xll.ciqfunctions.udf.CIQ($A17, "IQ_REVENUE_EST",$B$4, $L$2, "CON", $L$3, $L$5, $L$6)=0,"n/a",_xll.ciqfunctions.udf.CIQ($A17, "IQ_REVENUE_EST",$B$4, $L$2, "CON", $L$3, $L$5, $L$6))</f>
        <v>#NAME?</v>
      </c>
      <c r="U17" s="84" t="e">
        <f ca="1">IF(_xll.ciqfunctions.udf.CIQ($A17, "IQ_REVENUE_EST",$B$5, $L$2, "CON", $L$3, $L$5, $L$6)=0,"n/a",_xll.ciqfunctions.udf.CIQ($A17, "IQ_REVENUE_EST",$B$5, $L$2, "CON", $L$3, $L$5, $L$6))</f>
        <v>#NAME?</v>
      </c>
      <c r="V17" s="84" t="e">
        <f ca="1">IF(_xll.ciqfunctions.udf.CIQ($A17, "IQ_REVENUE_EST",$B$6, $L$2, "CON", $L$3, $L$5, $L$6)=0,"n/a",_xll.ciqfunctions.udf.CIQ($A17, "IQ_REVENUE_EST",$B$6, $L$2, "CON", $L$3, $L$5, $L$6))</f>
        <v>#NAME?</v>
      </c>
      <c r="W17" s="84" t="e">
        <f ca="1">IF(_xll.ciqfunctions.udf.CIQ($A17, "IQ_REVENUE_EST", $B$7, $L$2, "CON", $L$3, $L$5, $L$6)=0,"n/a",_xll.ciqfunctions.udf.CIQ($A17, "IQ_REVENUE_EST",$B$7, $L$2, "CON", $L$3, $L$5, $L$6))</f>
        <v>#NAME?</v>
      </c>
      <c r="X17" s="84" t="e">
        <f ca="1">_xll.ciqfunctions.udf.CIQ($A17, "IQ_EBITDA", IQ_LTM-8, $L$2, $L$4, $L$3, $L$5, $L$6)</f>
        <v>#NAME?</v>
      </c>
      <c r="Y17" s="84" t="e">
        <f ca="1">_xll.ciqfunctions.udf.CIQ($A17, "IQ_EBITDA", IQ_LTM-4, $L$2,$L$4, $L$3, $L$5, $L$6)</f>
        <v>#NAME?</v>
      </c>
      <c r="Z17" s="84" t="e">
        <f ca="1">_xll.ciqfunctions.udf.CIQ($A17, "IQ_EBITDA", IQ_LTM, $L$2, $L$4, $L$3, $L$5, $L$6)</f>
        <v>#NAME?</v>
      </c>
      <c r="AA17" s="84" t="e">
        <f ca="1">_xll.ciqfunctions.udf.CIQ($A17, "IQ_EBITDA", $B$2, $L$2, $L$4, $L$3, $L$5, $L$6)</f>
        <v>#NAME?</v>
      </c>
      <c r="AB17" s="84" t="e">
        <f ca="1">IF(_xll.ciqfunctions.udf.CIQ($A17, "IQ_EBITDA", $B$3, $L$2,$L$4, $L$3, $L$5, $L$6)=0,Z17,_xll.ciqfunctions.udf.CIQ($A17, "IQ_EBITDA", $B$3, $L$2,$L$4, $L$3, $L$5, $L$6))</f>
        <v>#NAME?</v>
      </c>
      <c r="AC17" s="84" t="e">
        <f ca="1">IF(_xll.ciqfunctions.udf.CIQ($A17, "IQ_EBITDA_EST",$B$4, $L$2, "CON", $L$3, $L$5, $L$6)=0,"n/a",_xll.ciqfunctions.udf.CIQ($A17, "IQ_EBITDA_EST",$B$4, $L$2, "CON", $L$3, $L$5, $L$6))</f>
        <v>#NAME?</v>
      </c>
      <c r="AD17" s="84" t="e">
        <f ca="1">IF(_xll.ciqfunctions.udf.CIQ($A17, "IQ_EBITDA_EST",$B$5, $L$2, "CON", $L$3, $L$5, $L$6)=0,"n/a",_xll.ciqfunctions.udf.CIQ($A17, "IQ_EBITDA_EST",$B$5, $L$2, "CON", $L$3, $L$5, $L$6))</f>
        <v>#NAME?</v>
      </c>
      <c r="AE17" s="84" t="e">
        <f ca="1">IF(_xll.ciqfunctions.udf.CIQ($A17, "IQ_EBITDA_EST",$B$6, $L$2, "CON", $L$3, $L$5, $L$6)=0,"n/a",_xll.ciqfunctions.udf.CIQ($A17, "IQ_EBITDA_EST",$B$6, $L$2, "CON", $L$3, $L$5, $L$6))</f>
        <v>#NAME?</v>
      </c>
      <c r="AF17" s="69" t="str">
        <f ca="1">IF(ISERROR(_xll.ciqfunctions.udf.CIQ($A17, "IQ_GROSS_MARGIN", IQ_LTM, $L$2,$L$4, $L$3, $L$5, $L$6)/100), "n/a", _xll.ciqfunctions.udf.CIQ($A17,  "IQ_GROSS_MARGIN", IQ_LTM, $L$2, $L$4, $L$3, $L$5, $L$6)/100)</f>
        <v>n/a</v>
      </c>
      <c r="AG17" s="69" t="str">
        <f ca="1">IF(ISERROR(_xll.ciqfunctions.udf.CIQ($A17,"IQ_EBITDA_MARGIN", IQ_LTM, $L$2, $L$4, $L$3, $L$5, $L$6)/100), "n/a", _xll.ciqfunctions.udf.CIQ($A17, "IQ_EBITDA_MARGIN", IQ_LTM, $L$2, $L$4, $L$3, $L$5, $L$6)/100)</f>
        <v>n/a</v>
      </c>
      <c r="AH17" s="69" t="str">
        <f ca="1">IF(ISERROR(_xll.ciqfunctions.udf.CIQ($A17,"IQ_EBIT_MARGIN", IQ_LTM, $L$2, $L$4, $L$3, $L$5, $L$6)/100), "n/a", _xll.ciqfunctions.udf.CIQ($A17, "IQ_EBIT_MARGIN", IQ_LTM, $L$2, $L$4, $L$3, $L$5, $L$6)/100)</f>
        <v>n/a</v>
      </c>
      <c r="AI17" s="69" t="str">
        <f ca="1">IF(ISERROR(_xll.ciqfunctions.udf.CIQ($A17,"IQ_NI_MARGIN", IQ_LTM, $L$2, $L$4, $L$3, $L$5, $L$6)/100), "n/a", _xll.ciqfunctions.udf.CIQ($A17, "IQ_NI_MARGIN", IQ_LTM, $L$2, $L$4, $L$3, $L$5, $L$6)/100)</f>
        <v>n/a</v>
      </c>
      <c r="AJ17" s="84" t="str">
        <f ca="1">IF(ISERROR(_xll.ciqfunctions.udf.CIQ($A17, "IQ_NET_WORKING_CAP", IQ_LTM-8, $L$2, $L$4, $L$3, $L$5, $L$6)), "n/a", _xll.ciqfunctions.udf.CIQ($A17, "IQ_NET_WORKING_CAP", IQ_LTM-8, $L$2, $L$4, $L$3, $L$5, $L$6))</f>
        <v>n/a</v>
      </c>
      <c r="AK17" s="84" t="str">
        <f ca="1">IF(ISERROR(_xll.ciqfunctions.udf.CIQ($A17, "IQ_NET_WORKING_CAP", IQ_LTM-4, $L$2, $L$4, $L$3, $L$5, $L$6)), "n/a", _xll.ciqfunctions.udf.CIQ($A17, "IQ_NET_WORKING_CAP", IQ_LTM-4, $L$2, $L$4, $L$3, $L$5, $L$6))</f>
        <v>n/a</v>
      </c>
      <c r="AL17" s="84" t="str">
        <f ca="1">IF(ISERROR(_xll.ciqfunctions.udf.CIQ($A17, "IQ_NET_WORKING_CAP", IQ_LTM, $L$2,$L$4, $L$3, $L$5, $L$6)), "n/a", _xll.ciqfunctions.udf.CIQ($A17, "IQ_NET_WORKING_CAP", IQ_LTM, $L$2, $L$4, $L$3, $L$5, $L$6))</f>
        <v>n/a</v>
      </c>
      <c r="AM17" s="84" t="str">
        <f ca="1">IF(ISERROR(_xll.ciqfunctions.udf.CIQ($A17, "IQ_Capex", IQ_LTM-8, $L$2,$L$4, $L$3, $L$5, $L$6)), "n/a", _xll.ciqfunctions.udf.CIQ($A17, "IQ_Capex", IQ_LTM-8, $L$2, $L$4, $L$3, $L$5, $L$6))</f>
        <v>n/a</v>
      </c>
      <c r="AN17" s="84" t="str">
        <f ca="1">IF(ISERROR(_xll.ciqfunctions.udf.CIQ($A17, "IQ_Capex", IQ_LTM-4, $L$2,$L$4, $L$3, $L$5, $L$6)), "n/a", _xll.ciqfunctions.udf.CIQ($A17, "IQ_Capex", IQ_LTM-4, $L$2,$L$4, $L$3, $L$5, $L$6))</f>
        <v>n/a</v>
      </c>
      <c r="AO17" s="84" t="str">
        <f ca="1">IF(ISERROR(_xll.ciqfunctions.udf.CIQ($A17, "IQ_Capex", IQ_LTM, $L$2, $L$4, $L$3, $L$5, $L$6)), "n/a", _xll.ciqfunctions.udf.CIQ($A17, "IQ_Capex", IQ_LTM, $L$2, $L$4, $L$3, $L$5, $L$6))</f>
        <v>n/a</v>
      </c>
      <c r="AP17" s="66" t="e">
        <f ca="1">_xll.ciqfunctions.udf.CIQ(A17, "IQ_BUSINESS_DESCRIPTION")</f>
        <v>#NAME?</v>
      </c>
      <c r="AQ17" s="85" t="e">
        <f ca="1">_xll.ciqfunctions.udf.CIQ($A17, "IQ_BETA_1YR", $B$1)</f>
        <v>#NAME?</v>
      </c>
      <c r="AR17" s="85" t="e">
        <f ca="1">_xll.ciqfunctions.udf.CIQ($A17, "IQ_BETA_2YR", $B$1)</f>
        <v>#NAME?</v>
      </c>
      <c r="AS17" s="85" t="e">
        <f ca="1">_xll.ciqfunctions.udf.CIQ($A17, "IQ_BETA_5YR", $B$1)</f>
        <v>#NAME?</v>
      </c>
      <c r="AT17" s="69" t="e">
        <f ca="1">_xll.ciqfunctions.udf.CIQ($A17, "IQ_DIVIDEND_YIELD", $B$1)/100</f>
        <v>#NAME?</v>
      </c>
      <c r="AU17" s="84" t="e">
        <f ca="1">_xll.ciqfunctions.udf.CIQ($A17, "IQ_EARNING_CO", IQ_LTM-8, $L$2, $L$4, $L$3, $L$5, $L$6)</f>
        <v>#NAME?</v>
      </c>
      <c r="AV17" s="84" t="e">
        <f ca="1">_xll.ciqfunctions.udf.CIQ($A17, "IQ_EARNING_CO", IQ_LTM-4, $L$2, $L$4, $L$3, $L$5, $L$6)</f>
        <v>#NAME?</v>
      </c>
      <c r="AW17" s="84" t="e">
        <f ca="1">_xll.ciqfunctions.udf.CIQ($A17, "IQ_EARNING_CO", IQ_LTM, $L$2, $L$4, $L$3, $L$5, $L$6)</f>
        <v>#NAME?</v>
      </c>
      <c r="AX17" s="84" t="e">
        <f ca="1">_xll.ciqfunctions.udf.CIQ($A17, "IQ_EARNING_CO", $B$2, $L$2, $L$4, $L$3, $L$5, $L$6)</f>
        <v>#NAME?</v>
      </c>
      <c r="AY17" s="84" t="e">
        <f ca="1">IF(_xll.ciqfunctions.udf.CIQ($A17, "IQ_EARNING_CO", $B$3, $L$2,$L$4, $L$3, $L$5, $L$6)=0,AW17,_xll.ciqfunctions.udf.CIQ($A17, "IQ_EARNING_CO", $B$3, $L$2,$L$4, $L$3, $L$5, $L$6))</f>
        <v>#NAME?</v>
      </c>
      <c r="AZ17" s="84" t="e">
        <f ca="1">_xll.ciqfunctions.udf.CIQ($A17, "IQ_TOTAL_EQUITY", IQ_LTM-8, $L$2, $L$4, $L$3, $L$5, $L$6)</f>
        <v>#NAME?</v>
      </c>
      <c r="BA17" s="84" t="e">
        <f ca="1">_xll.ciqfunctions.udf.CIQ($A17, "IQ_TOTAL_EQUITY", IQ_LTM-4, $L$2, $L$4, $L$3, $L$5, $L$6)</f>
        <v>#NAME?</v>
      </c>
      <c r="BB17" s="84" t="e">
        <f ca="1">_xll.ciqfunctions.udf.CIQ($A17, "IQ_TOTAL_EQUITY", IQ_LTM, $L$2, $L$4, $L$3, $L$5, $L$6)</f>
        <v>#NAME?</v>
      </c>
      <c r="BC17" s="84" t="e">
        <f ca="1">_xll.ciqfunctions.udf.CIQ($A17, "IQ_TOTAL_EQUITY", $B$2, $L$2, $L$4, $L$3, $L$5, $L$6)</f>
        <v>#NAME?</v>
      </c>
      <c r="BD17" s="84" t="e">
        <f ca="1">IF(_xll.ciqfunctions.udf.CIQ($A17, "IQ_TOTAL_EQUITY", $B$3, $L$2,$L$4, $L$3, $L$5, $L$6)=0,BB17,_xll.ciqfunctions.udf.CIQ($A17, "IQ_TOTAL_EQUITY", $B$3, $L$2,$L$4, $L$3, $L$5, $L$6))</f>
        <v>#NAME?</v>
      </c>
      <c r="BE17" s="84" t="e">
        <f ca="1">_xll.ciqfunctions.udf.CIQ(A17, "IQ_LASTSALEPRICE", $B$8)</f>
        <v>#NAME?</v>
      </c>
      <c r="BF17" s="84" t="e">
        <f ca="1">_xll.ciqfunctions.udf.CIQ($A17, "IQ_MARKETCAP", $B$8, $L$5, $L$6)</f>
        <v>#NAME?</v>
      </c>
      <c r="BG17" s="84" t="e">
        <f ca="1">_xll.ciqfunctions.udf.CIQ($A17, "IQ_TOTAL_DEBT", IQ_LTM, $B$8,$L$4, $L$3, $L$5, $L$6)</f>
        <v>#NAME?</v>
      </c>
      <c r="BH17" s="67" t="e">
        <f ca="1">_xll.ciqfunctions.udf.CIQ($A17,"IQ_PREF_EQUITY",IQ_LTM,$B$8,$L$4,$L$3,$L$5,$L$6)</f>
        <v>#NAME?</v>
      </c>
      <c r="BI17" s="67" t="e">
        <f ca="1">_xll.ciqfunctions.udf.CIQ($A17, "IQ_MINORITY_INTEREST_TOTAL", IQ_LTM,$B$8,$L$4,$L$3,$L$5,$L$6)</f>
        <v>#NAME?</v>
      </c>
      <c r="BJ17" s="84" t="e">
        <f ca="1">_xll.ciqfunctions.udf.CIQ($A17, "IQ_CASH_ST_INVEST", IQ_LTM, $B$8, $L$4, $L$3, $L$5, $L$6)</f>
        <v>#NAME?</v>
      </c>
      <c r="BK17" s="67" t="e">
        <f ca="1">_xll.ciqfunctions.udf.CIQ($A17, "IQ_EFFECT_TAX_RATE")</f>
        <v>#NAME?</v>
      </c>
      <c r="BL17" s="67" t="e">
        <f ca="1">IF(_xll.ciqfunctions.udf.CIQ($A17, "IQ_TOTAL_REV_2YR_ANN_CAGR", IQ_LTM, $B$1,$L$4, $L$3, $L$5, $L$6)="NM","n/a",(_xll.ciqfunctions.udf.CIQ($A17, "IQ_TOTAL_REV_2YR_ANN_CAGR", IQ_LTM, $B$1,$L$4, $L$3, $L$5, $L$6)/100))</f>
        <v>#NAME?</v>
      </c>
      <c r="BM17" s="67" t="e">
        <f ca="1">IF(_xll.ciqfunctions.udf.CIQ($A17, "IQ_TOTAL_REV_3YR_ANN_CAGR", IQ_LTM, $B$1,$L$4, $L$3, $L$5, $L$6)="NM","n/a",(_xll.ciqfunctions.udf.CIQ($A17, "IQ_TOTAL_REV_3YR_ANN_CAGR", IQ_LTM, $B$1,$L$4, $L$3, $L$5, $L$6)/100))</f>
        <v>#NAME?</v>
      </c>
      <c r="BN17" s="67" t="e">
        <f ca="1">IF(_xll.ciqfunctions.udf.CIQ($A17, "IQ_TOTAL_REV_5YR_ANN_CAGR", IQ_LTM, $B$1,$L$4, $L$3, $L$5, $L$6)="NM","n/a",(_xll.ciqfunctions.udf.CIQ($A17, "IQ_TOTAL_REV_5YR_ANN_CAGR", IQ_LTM, $B$1,$L$4, $L$3, $L$5, $L$6)/100))</f>
        <v>#NAME?</v>
      </c>
      <c r="BO17" s="67" t="e">
        <f ca="1">IF(_xll.ciqfunctions.udf.CIQ($A17,"IQ_EBITDA_2YR_ANN_CAGR", IQ_LTM,$B$1,$L$4, $L$3, $L$5, $L$6)="NM","n/a",(_xll.ciqfunctions.udf.CIQ($A17,"IQ_EBITDA_2YR_ANN_CAGR", IQ_LTM,$B$1,$L$4, $L$3, $L$5, $L$6)/100))</f>
        <v>#NAME?</v>
      </c>
      <c r="BP17" s="67" t="e">
        <f ca="1">IF(_xll.ciqfunctions.udf.CIQ($A17,"IQ_EBITDA_3YR_ANN_CAGR", IQ_LTM,$B$1,$L$4, $L$3, $L$5, $L$6)="NM","n/a",(_xll.ciqfunctions.udf.CIQ($A17,"IQ_EBITDA_3YR_ANN_CAGR", IQ_LTM,$B$1,$L$4, $L$3, $L$5, $L$6)/100))</f>
        <v>#NAME?</v>
      </c>
      <c r="BQ17" s="67" t="e">
        <f ca="1">IF(_xll.ciqfunctions.udf.CIQ($A17,"IQ_EBITDA_5YR_ANN_CAGR", IQ_LTM,$B$1,$L$4, $L$3, $L$5, $L$6)="NM","n/a",(_xll.ciqfunctions.udf.CIQ($A17,"IQ_EBITDA_5YR_ANN_CAGR", IQ_LTM,$B$1,$L$4, $L$3, $L$5, $L$6)/100))</f>
        <v>#NAME?</v>
      </c>
      <c r="BR17" s="69" t="str">
        <f ca="1">IFERROR((_xll.ciqfunctions.udf.CIQ($A17, "IQ_DA_CF", IQ_LTM, $B$1, $L$4, $L$3, $L$5, $L$6)/Q17),"NM")</f>
        <v>NM</v>
      </c>
      <c r="BS17" s="86">
        <f>'Capital IQ Sheet-GPC'!BS17</f>
        <v>0.56886570795008284</v>
      </c>
      <c r="BT17" s="86">
        <f>'Capital IQ Sheet-GPC'!BT17</f>
        <v>0.52894966684130962</v>
      </c>
      <c r="BU17" s="86">
        <f>'Capital IQ Sheet-GPC'!BU17</f>
        <v>0.56423016277929228</v>
      </c>
      <c r="BV17" s="86">
        <f>'Capital IQ Sheet-GPC'!BV17</f>
        <v>0.56506394177110653</v>
      </c>
      <c r="BW17" s="86">
        <f>'Capital IQ Sheet-GPC'!BW17</f>
        <v>0.56975187093811019</v>
      </c>
      <c r="BX17" s="86">
        <f>'Capital IQ Sheet-GPC'!BX17</f>
        <v>0.59075584591716213</v>
      </c>
      <c r="BY17" s="86" t="str">
        <f>'Capital IQ Sheet-GPC'!BY17</f>
        <v>n/a</v>
      </c>
      <c r="BZ17" s="86" t="str">
        <f>'Capital IQ Sheet-GPC'!BZ17</f>
        <v>n/a</v>
      </c>
      <c r="CB17" s="67">
        <v>2</v>
      </c>
      <c r="CC17" s="123" t="s">
        <v>295</v>
      </c>
      <c r="CD17" s="123" t="s">
        <v>294</v>
      </c>
      <c r="CE17" s="68">
        <f t="shared" si="0"/>
        <v>42766</v>
      </c>
    </row>
    <row r="18" spans="1:83" s="67" customFormat="1" ht="12.75">
      <c r="A18" s="67" t="e">
        <f ca="1">_xll.ciqfunctions.udf.CIQ($B18,"IQ_COMPANY_TICKER")</f>
        <v>#NAME?</v>
      </c>
      <c r="B18" s="67" t="str">
        <f>'Capital IQ Sheet-GPC'!B18</f>
        <v>IQ249341857</v>
      </c>
      <c r="C18" s="67" t="e">
        <f ca="1">_xll.ciqfunctions.udf.CIQ($A18,"IQ_COMPANY_NAME")</f>
        <v>#NAME?</v>
      </c>
      <c r="D18" s="67" t="e">
        <f ca="1">_xll.ciqfunctions.udf.CIQ($A18, "IQ_EXCHANGE")</f>
        <v>#NAME?</v>
      </c>
      <c r="E18" s="68" t="e">
        <f ca="1">_xll.ciqfunctions.udf.CIQ($A18, "IQ_PERIODDATE_IS", IQ_FY)</f>
        <v>#NAME?</v>
      </c>
      <c r="F18" s="68" t="e">
        <f ca="1">_xll.ciqfunctions.udf.CIQ(A18, "IQ_PERIODDATE_IS", IQ_LTM, $B$1,$L$4,$L$3)</f>
        <v>#NAME?</v>
      </c>
      <c r="G18" s="68" t="e">
        <f ca="1">_xll.ciqfunctions.udf.CIQ($A18, "IQ_FIRSTPRICINGDATE")</f>
        <v>#NAME?</v>
      </c>
      <c r="H18" s="84" t="e">
        <f ca="1">_xll.ciqfunctions.udf.CIQ($A18, "IQ_TEV", $L$2, $L$5, $L$6)</f>
        <v>#NAME?</v>
      </c>
      <c r="I18" s="84" t="e">
        <f ca="1">_xll.ciqfunctions.udf.CIQ(A18, "IQ_LASTSALEPRICE", $B$1,$L$5)</f>
        <v>#NAME?</v>
      </c>
      <c r="J18" s="84" t="e">
        <f ca="1">_xll.ciqfunctions.udf.CIQ($A18, "IQ_MARKETCAP", $L$2, $L$5, $L$6)</f>
        <v>#NAME?</v>
      </c>
      <c r="K18" s="84" t="e">
        <f ca="1">_xll.ciqfunctions.udf.CIQ($A18, "IQ_TOTAL_DEBT", IQ_LTM, $L$2,$L$4, $L$3, $L$5, $L$6)</f>
        <v>#NAME?</v>
      </c>
      <c r="L18" s="84" t="e">
        <f ca="1">_xll.ciqfunctions.udf.CIQ($A18, "IQ_PREF_EQUITY", IQ_LTM, $L$2, $L$4, $L$3, $L$5, $L$6)</f>
        <v>#NAME?</v>
      </c>
      <c r="M18" s="84" t="e">
        <f ca="1">_xll.ciqfunctions.udf.CIQ($A18, "IQ_MINORITY_INTEREST_TOTAL", IQ_LTM, $L$2, $L$4, $L$3, $L$5, $L$6)</f>
        <v>#NAME?</v>
      </c>
      <c r="N18" s="84" t="e">
        <f ca="1">_xll.ciqfunctions.udf.CIQ($A18, "IQ_CASH_ST_INVEST", IQ_LTM, $L$2, $L$4, $L$3, $L$5, $L$6)</f>
        <v>#NAME?</v>
      </c>
      <c r="O18" s="84" t="e">
        <f ca="1">_xll.ciqfunctions.udf.CIQ($A18, "IQ_TOTAL_REV", IQ_LTM-8, $L$2, $L$4, $L$3, $L$5, $L$6)</f>
        <v>#NAME?</v>
      </c>
      <c r="P18" s="84" t="e">
        <f ca="1">_xll.ciqfunctions.udf.CIQ($A18, "IQ_TOTAL_REV", IQ_LTM - 4, $L$2, $L$4, $L$3, $L$5,$L$6)</f>
        <v>#NAME?</v>
      </c>
      <c r="Q18" s="84" t="e">
        <f ca="1">_xll.ciqfunctions.udf.CIQ($A18, "IQ_TOTAL_REV", IQ_LTM, $L$2, $L$4, $L$3, $L$5, $L$6)</f>
        <v>#NAME?</v>
      </c>
      <c r="R18" s="84" t="e">
        <f ca="1">_xll.ciqfunctions.udf.CIQ($A18, "IQ_TOTAL_REV", $B$2, $L$2, $L$4, $L$3, $L$5, $L$6)</f>
        <v>#NAME?</v>
      </c>
      <c r="S18" s="84" t="e">
        <f ca="1">IF(_xll.ciqfunctions.udf.CIQ($A18, "IQ_TOTAL_REV", $B$3, $L$2,$L$4, $L$3, $L$5, $L$6)=0,Q18,_xll.ciqfunctions.udf.CIQ($A18, "IQ_TOTAL_REV", $B$3, $L$2,$L$4, $L$3, $L$5, $L$6))</f>
        <v>#NAME?</v>
      </c>
      <c r="T18" s="84" t="e">
        <f ca="1">IF(_xll.ciqfunctions.udf.CIQ($A18, "IQ_REVENUE_EST",$B$4, $L$2, "CON", $L$3, $L$5, $L$6)=0,"n/a",_xll.ciqfunctions.udf.CIQ($A18, "IQ_REVENUE_EST",$B$4, $L$2, "CON", $L$3, $L$5, $L$6))</f>
        <v>#NAME?</v>
      </c>
      <c r="U18" s="84" t="e">
        <f ca="1">IF(_xll.ciqfunctions.udf.CIQ($A18, "IQ_REVENUE_EST",$B$5, $L$2, "CON", $L$3, $L$5, $L$6)=0,"n/a",_xll.ciqfunctions.udf.CIQ($A18, "IQ_REVENUE_EST",$B$5, $L$2, "CON", $L$3, $L$5, $L$6))</f>
        <v>#NAME?</v>
      </c>
      <c r="V18" s="84" t="e">
        <f ca="1">IF(_xll.ciqfunctions.udf.CIQ($A18, "IQ_REVENUE_EST",$B$6, $L$2, "CON", $L$3, $L$5, $L$6)=0,"n/a",_xll.ciqfunctions.udf.CIQ($A18, "IQ_REVENUE_EST",$B$6, $L$2, "CON", $L$3, $L$5, $L$6))</f>
        <v>#NAME?</v>
      </c>
      <c r="W18" s="84" t="e">
        <f ca="1">IF(_xll.ciqfunctions.udf.CIQ($A18, "IQ_REVENUE_EST", $B$7, $L$2, "CON", $L$3, $L$5, $L$6)=0,"n/a",_xll.ciqfunctions.udf.CIQ($A18, "IQ_REVENUE_EST",$B$7, $L$2, "CON", $L$3, $L$5, $L$6))</f>
        <v>#NAME?</v>
      </c>
      <c r="X18" s="84" t="e">
        <f ca="1">_xll.ciqfunctions.udf.CIQ($A18, "IQ_EBITDA", IQ_LTM-8, $L$2, $L$4, $L$3, $L$5, $L$6)</f>
        <v>#NAME?</v>
      </c>
      <c r="Y18" s="84" t="e">
        <f ca="1">_xll.ciqfunctions.udf.CIQ($A18, "IQ_EBITDA", IQ_LTM-4, $L$2,$L$4, $L$3, $L$5, $L$6)</f>
        <v>#NAME?</v>
      </c>
      <c r="Z18" s="84" t="e">
        <f ca="1">_xll.ciqfunctions.udf.CIQ($A18, "IQ_EBITDA", IQ_LTM, $L$2, $L$4, $L$3, $L$5, $L$6)</f>
        <v>#NAME?</v>
      </c>
      <c r="AA18" s="84" t="e">
        <f ca="1">_xll.ciqfunctions.udf.CIQ($A18, "IQ_EBITDA", $B$2, $L$2, $L$4, $L$3, $L$5, $L$6)</f>
        <v>#NAME?</v>
      </c>
      <c r="AB18" s="84" t="e">
        <f ca="1">IF(_xll.ciqfunctions.udf.CIQ($A18, "IQ_EBITDA", $B$3, $L$2,$L$4, $L$3, $L$5, $L$6)=0,Z18,_xll.ciqfunctions.udf.CIQ($A18, "IQ_EBITDA", $B$3, $L$2,$L$4, $L$3, $L$5, $L$6))</f>
        <v>#NAME?</v>
      </c>
      <c r="AC18" s="84" t="e">
        <f ca="1">IF(_xll.ciqfunctions.udf.CIQ($A18, "IQ_EBITDA_EST",$B$4, $L$2, "CON", $L$3, $L$5, $L$6)=0,"n/a",_xll.ciqfunctions.udf.CIQ($A18, "IQ_EBITDA_EST",$B$4, $L$2, "CON", $L$3, $L$5, $L$6))</f>
        <v>#NAME?</v>
      </c>
      <c r="AD18" s="84" t="e">
        <f ca="1">IF(_xll.ciqfunctions.udf.CIQ($A18, "IQ_EBITDA_EST",$B$5, $L$2, "CON", $L$3, $L$5, $L$6)=0,"n/a",_xll.ciqfunctions.udf.CIQ($A18, "IQ_EBITDA_EST",$B$5, $L$2, "CON", $L$3, $L$5, $L$6))</f>
        <v>#NAME?</v>
      </c>
      <c r="AE18" s="84" t="e">
        <f ca="1">IF(_xll.ciqfunctions.udf.CIQ($A18, "IQ_EBITDA_EST",$B$6, $L$2, "CON", $L$3, $L$5, $L$6)=0,"n/a",_xll.ciqfunctions.udf.CIQ($A18, "IQ_EBITDA_EST",$B$6, $L$2, "CON", $L$3, $L$5, $L$6))</f>
        <v>#NAME?</v>
      </c>
      <c r="AF18" s="69" t="str">
        <f ca="1">IF(ISERROR(_xll.ciqfunctions.udf.CIQ($A18, "IQ_GROSS_MARGIN", IQ_LTM, $L$2,$L$4, $L$3, $L$5, $L$6)/100), "n/a", _xll.ciqfunctions.udf.CIQ($A18,  "IQ_GROSS_MARGIN", IQ_LTM, $L$2, $L$4, $L$3, $L$5, $L$6)/100)</f>
        <v>n/a</v>
      </c>
      <c r="AG18" s="69" t="str">
        <f ca="1">IF(ISERROR(_xll.ciqfunctions.udf.CIQ($A18,"IQ_EBITDA_MARGIN", IQ_LTM, $L$2, $L$4, $L$3, $L$5, $L$6)/100), "n/a", _xll.ciqfunctions.udf.CIQ($A18, "IQ_EBITDA_MARGIN", IQ_LTM, $L$2, $L$4, $L$3, $L$5, $L$6)/100)</f>
        <v>n/a</v>
      </c>
      <c r="AH18" s="69" t="str">
        <f ca="1">IF(ISERROR(_xll.ciqfunctions.udf.CIQ($A18,"IQ_EBIT_MARGIN", IQ_LTM, $L$2, $L$4, $L$3, $L$5, $L$6)/100), "n/a", _xll.ciqfunctions.udf.CIQ($A18, "IQ_EBIT_MARGIN", IQ_LTM, $L$2, $L$4, $L$3, $L$5, $L$6)/100)</f>
        <v>n/a</v>
      </c>
      <c r="AI18" s="69" t="str">
        <f ca="1">IF(ISERROR(_xll.ciqfunctions.udf.CIQ($A18,"IQ_NI_MARGIN", IQ_LTM, $L$2, $L$4, $L$3, $L$5, $L$6)/100), "n/a", _xll.ciqfunctions.udf.CIQ($A18, "IQ_NI_MARGIN", IQ_LTM, $L$2, $L$4, $L$3, $L$5, $L$6)/100)</f>
        <v>n/a</v>
      </c>
      <c r="AJ18" s="84" t="str">
        <f ca="1">IF(ISERROR(_xll.ciqfunctions.udf.CIQ($A18, "IQ_NET_WORKING_CAP", IQ_LTM-8, $L$2, $L$4, $L$3, $L$5, $L$6)), "n/a", _xll.ciqfunctions.udf.CIQ($A18, "IQ_NET_WORKING_CAP", IQ_LTM-8, $L$2, $L$4, $L$3, $L$5, $L$6))</f>
        <v>n/a</v>
      </c>
      <c r="AK18" s="84" t="str">
        <f ca="1">IF(ISERROR(_xll.ciqfunctions.udf.CIQ($A18, "IQ_NET_WORKING_CAP", IQ_LTM-4, $L$2, $L$4, $L$3, $L$5, $L$6)), "n/a", _xll.ciqfunctions.udf.CIQ($A18, "IQ_NET_WORKING_CAP", IQ_LTM-4, $L$2, $L$4, $L$3, $L$5, $L$6))</f>
        <v>n/a</v>
      </c>
      <c r="AL18" s="84" t="str">
        <f ca="1">IF(ISERROR(_xll.ciqfunctions.udf.CIQ($A18, "IQ_NET_WORKING_CAP", IQ_LTM, $L$2,$L$4, $L$3, $L$5, $L$6)), "n/a", _xll.ciqfunctions.udf.CIQ($A18, "IQ_NET_WORKING_CAP", IQ_LTM, $L$2, $L$4, $L$3, $L$5, $L$6))</f>
        <v>n/a</v>
      </c>
      <c r="AM18" s="84" t="str">
        <f ca="1">IF(ISERROR(_xll.ciqfunctions.udf.CIQ($A18, "IQ_Capex", IQ_LTM-8, $L$2,$L$4, $L$3, $L$5, $L$6)), "n/a", _xll.ciqfunctions.udf.CIQ($A18, "IQ_Capex", IQ_LTM-8, $L$2, $L$4, $L$3, $L$5, $L$6))</f>
        <v>n/a</v>
      </c>
      <c r="AN18" s="84" t="str">
        <f ca="1">IF(ISERROR(_xll.ciqfunctions.udf.CIQ($A18, "IQ_Capex", IQ_LTM-4, $L$2,$L$4, $L$3, $L$5, $L$6)), "n/a", _xll.ciqfunctions.udf.CIQ($A18, "IQ_Capex", IQ_LTM-4, $L$2,$L$4, $L$3, $L$5, $L$6))</f>
        <v>n/a</v>
      </c>
      <c r="AO18" s="84" t="str">
        <f ca="1">IF(ISERROR(_xll.ciqfunctions.udf.CIQ($A18, "IQ_Capex", IQ_LTM, $L$2, $L$4, $L$3, $L$5, $L$6)), "n/a", _xll.ciqfunctions.udf.CIQ($A18, "IQ_Capex", IQ_LTM, $L$2, $L$4, $L$3, $L$5, $L$6))</f>
        <v>n/a</v>
      </c>
      <c r="AP18" s="66" t="e">
        <f ca="1">_xll.ciqfunctions.udf.CIQ(A18, "IQ_BUSINESS_DESCRIPTION")</f>
        <v>#NAME?</v>
      </c>
      <c r="AQ18" s="85" t="e">
        <f ca="1">_xll.ciqfunctions.udf.CIQ($A18, "IQ_BETA_1YR", $B$1)</f>
        <v>#NAME?</v>
      </c>
      <c r="AR18" s="85" t="e">
        <f ca="1">_xll.ciqfunctions.udf.CIQ($A18, "IQ_BETA_2YR", $B$1)</f>
        <v>#NAME?</v>
      </c>
      <c r="AS18" s="85" t="e">
        <f ca="1">_xll.ciqfunctions.udf.CIQ($A18, "IQ_BETA_5YR", $B$1)</f>
        <v>#NAME?</v>
      </c>
      <c r="AT18" s="69" t="e">
        <f ca="1">_xll.ciqfunctions.udf.CIQ($A18, "IQ_DIVIDEND_YIELD", $B$1)/100</f>
        <v>#NAME?</v>
      </c>
      <c r="AU18" s="84" t="e">
        <f ca="1">_xll.ciqfunctions.udf.CIQ($A18, "IQ_EARNING_CO", IQ_LTM-8, $L$2, $L$4, $L$3, $L$5, $L$6)</f>
        <v>#NAME?</v>
      </c>
      <c r="AV18" s="84" t="e">
        <f ca="1">_xll.ciqfunctions.udf.CIQ($A18, "IQ_EARNING_CO", IQ_LTM-4, $L$2, $L$4, $L$3, $L$5, $L$6)</f>
        <v>#NAME?</v>
      </c>
      <c r="AW18" s="84" t="e">
        <f ca="1">_xll.ciqfunctions.udf.CIQ($A18, "IQ_EARNING_CO", IQ_LTM, $L$2, $L$4, $L$3, $L$5, $L$6)</f>
        <v>#NAME?</v>
      </c>
      <c r="AX18" s="84" t="e">
        <f ca="1">_xll.ciqfunctions.udf.CIQ($A18, "IQ_EARNING_CO", $B$2, $L$2, $L$4, $L$3, $L$5, $L$6)</f>
        <v>#NAME?</v>
      </c>
      <c r="AY18" s="84" t="e">
        <f ca="1">IF(_xll.ciqfunctions.udf.CIQ($A18, "IQ_EARNING_CO", $B$3, $L$2,$L$4, $L$3, $L$5, $L$6)=0,AW18,_xll.ciqfunctions.udf.CIQ($A18, "IQ_EARNING_CO", $B$3, $L$2,$L$4, $L$3, $L$5, $L$6))</f>
        <v>#NAME?</v>
      </c>
      <c r="AZ18" s="84" t="e">
        <f ca="1">_xll.ciqfunctions.udf.CIQ($A18, "IQ_TOTAL_EQUITY", IQ_LTM-8, $L$2, $L$4, $L$3, $L$5, $L$6)</f>
        <v>#NAME?</v>
      </c>
      <c r="BA18" s="84" t="e">
        <f ca="1">_xll.ciqfunctions.udf.CIQ($A18, "IQ_TOTAL_EQUITY", IQ_LTM-4, $L$2, $L$4, $L$3, $L$5, $L$6)</f>
        <v>#NAME?</v>
      </c>
      <c r="BB18" s="84" t="e">
        <f ca="1">_xll.ciqfunctions.udf.CIQ($A18, "IQ_TOTAL_EQUITY", IQ_LTM, $L$2, $L$4, $L$3, $L$5, $L$6)</f>
        <v>#NAME?</v>
      </c>
      <c r="BC18" s="84" t="e">
        <f ca="1">_xll.ciqfunctions.udf.CIQ($A18, "IQ_TOTAL_EQUITY", $B$2, $L$2, $L$4, $L$3, $L$5, $L$6)</f>
        <v>#NAME?</v>
      </c>
      <c r="BD18" s="84" t="e">
        <f ca="1">IF(_xll.ciqfunctions.udf.CIQ($A18, "IQ_TOTAL_EQUITY", $B$3, $L$2,$L$4, $L$3, $L$5, $L$6)=0,BB18,_xll.ciqfunctions.udf.CIQ($A18, "IQ_TOTAL_EQUITY", $B$3, $L$2,$L$4, $L$3, $L$5, $L$6))</f>
        <v>#NAME?</v>
      </c>
      <c r="BE18" s="84" t="e">
        <f ca="1">_xll.ciqfunctions.udf.CIQ(A18, "IQ_LASTSALEPRICE", $B$8)</f>
        <v>#NAME?</v>
      </c>
      <c r="BF18" s="84" t="e">
        <f ca="1">_xll.ciqfunctions.udf.CIQ($A18, "IQ_MARKETCAP", $B$8, $L$5, $L$6)</f>
        <v>#NAME?</v>
      </c>
      <c r="BG18" s="84" t="e">
        <f ca="1">_xll.ciqfunctions.udf.CIQ($A18, "IQ_TOTAL_DEBT", IQ_LTM, $B$8,$L$4, $L$3, $L$5, $L$6)</f>
        <v>#NAME?</v>
      </c>
      <c r="BH18" s="67" t="e">
        <f ca="1">_xll.ciqfunctions.udf.CIQ($A18,"IQ_PREF_EQUITY",IQ_LTM,$B$8,$L$4,$L$3,$L$5,$L$6)</f>
        <v>#NAME?</v>
      </c>
      <c r="BI18" s="67" t="e">
        <f ca="1">_xll.ciqfunctions.udf.CIQ($A18, "IQ_MINORITY_INTEREST_TOTAL", IQ_LTM,$B$8,$L$4,$L$3,$L$5,$L$6)</f>
        <v>#NAME?</v>
      </c>
      <c r="BJ18" s="84" t="e">
        <f ca="1">_xll.ciqfunctions.udf.CIQ($A18, "IQ_CASH_ST_INVEST", IQ_LTM, $B$8, $L$4, $L$3, $L$5, $L$6)</f>
        <v>#NAME?</v>
      </c>
      <c r="BK18" s="67" t="e">
        <f ca="1">_xll.ciqfunctions.udf.CIQ($A18, "IQ_EFFECT_TAX_RATE")</f>
        <v>#NAME?</v>
      </c>
      <c r="BL18" s="67" t="e">
        <f ca="1">IF(_xll.ciqfunctions.udf.CIQ($A18, "IQ_TOTAL_REV_2YR_ANN_CAGR", IQ_LTM, $B$1,$L$4, $L$3, $L$5, $L$6)="NM","n/a",(_xll.ciqfunctions.udf.CIQ($A18, "IQ_TOTAL_REV_2YR_ANN_CAGR", IQ_LTM, $B$1,$L$4, $L$3, $L$5, $L$6)/100))</f>
        <v>#NAME?</v>
      </c>
      <c r="BM18" s="67" t="e">
        <f ca="1">IF(_xll.ciqfunctions.udf.CIQ($A18, "IQ_TOTAL_REV_3YR_ANN_CAGR", IQ_LTM, $B$1,$L$4, $L$3, $L$5, $L$6)="NM","n/a",(_xll.ciqfunctions.udf.CIQ($A18, "IQ_TOTAL_REV_3YR_ANN_CAGR", IQ_LTM, $B$1,$L$4, $L$3, $L$5, $L$6)/100))</f>
        <v>#NAME?</v>
      </c>
      <c r="BN18" s="67" t="e">
        <f ca="1">IF(_xll.ciqfunctions.udf.CIQ($A18, "IQ_TOTAL_REV_5YR_ANN_CAGR", IQ_LTM, $B$1,$L$4, $L$3, $L$5, $L$6)="NM","n/a",(_xll.ciqfunctions.udf.CIQ($A18, "IQ_TOTAL_REV_5YR_ANN_CAGR", IQ_LTM, $B$1,$L$4, $L$3, $L$5, $L$6)/100))</f>
        <v>#NAME?</v>
      </c>
      <c r="BO18" s="67" t="e">
        <f ca="1">IF(_xll.ciqfunctions.udf.CIQ($A18,"IQ_EBITDA_2YR_ANN_CAGR", IQ_LTM,$B$1,$L$4, $L$3, $L$5, $L$6)="NM","n/a",(_xll.ciqfunctions.udf.CIQ($A18,"IQ_EBITDA_2YR_ANN_CAGR", IQ_LTM,$B$1,$L$4, $L$3, $L$5, $L$6)/100))</f>
        <v>#NAME?</v>
      </c>
      <c r="BP18" s="67" t="e">
        <f ca="1">IF(_xll.ciqfunctions.udf.CIQ($A18,"IQ_EBITDA_3YR_ANN_CAGR", IQ_LTM,$B$1,$L$4, $L$3, $L$5, $L$6)="NM","n/a",(_xll.ciqfunctions.udf.CIQ($A18,"IQ_EBITDA_3YR_ANN_CAGR", IQ_LTM,$B$1,$L$4, $L$3, $L$5, $L$6)/100))</f>
        <v>#NAME?</v>
      </c>
      <c r="BQ18" s="67" t="e">
        <f ca="1">IF(_xll.ciqfunctions.udf.CIQ($A18,"IQ_EBITDA_5YR_ANN_CAGR", IQ_LTM,$B$1,$L$4, $L$3, $L$5, $L$6)="NM","n/a",(_xll.ciqfunctions.udf.CIQ($A18,"IQ_EBITDA_5YR_ANN_CAGR", IQ_LTM,$B$1,$L$4, $L$3, $L$5, $L$6)/100))</f>
        <v>#NAME?</v>
      </c>
      <c r="BR18" s="69" t="str">
        <f ca="1">IFERROR((_xll.ciqfunctions.udf.CIQ($A18, "IQ_DA_CF", IQ_LTM, $B$1, $L$4, $L$3, $L$5, $L$6)/Q18),"NM")</f>
        <v>NM</v>
      </c>
      <c r="BS18" s="86">
        <f>'Capital IQ Sheet-GPC'!BS18</f>
        <v>0.64210138454157772</v>
      </c>
      <c r="BT18" s="86">
        <f>'Capital IQ Sheet-GPC'!BT18</f>
        <v>0.64539841996562952</v>
      </c>
      <c r="BU18" s="86">
        <f>'Capital IQ Sheet-GPC'!BU18</f>
        <v>0.67870462913818252</v>
      </c>
      <c r="BV18" s="86">
        <f>'Capital IQ Sheet-GPC'!BV18</f>
        <v>0.70620405110079632</v>
      </c>
      <c r="BW18" s="86" t="str">
        <f>'Capital IQ Sheet-GPC'!BW18</f>
        <v>n/a</v>
      </c>
      <c r="BX18" s="86" t="str">
        <f>'Capital IQ Sheet-GPC'!BX18</f>
        <v>n/a</v>
      </c>
      <c r="BY18" s="86" t="str">
        <f>'Capital IQ Sheet-GPC'!BY18</f>
        <v>n/a</v>
      </c>
      <c r="BZ18" s="86" t="str">
        <f>'Capital IQ Sheet-GPC'!BZ18</f>
        <v>n/a</v>
      </c>
      <c r="CB18" s="67">
        <v>2</v>
      </c>
      <c r="CC18" s="123" t="s">
        <v>295</v>
      </c>
      <c r="CD18" s="123" t="s">
        <v>294</v>
      </c>
      <c r="CE18" s="68">
        <f t="shared" si="0"/>
        <v>42766</v>
      </c>
    </row>
    <row r="19" spans="1:83" s="67" customFormat="1" ht="12.75">
      <c r="A19" s="67" t="e">
        <f ca="1">_xll.ciqfunctions.udf.CIQ($B19,"IQ_COMPANY_TICKER")</f>
        <v>#NAME?</v>
      </c>
      <c r="B19" s="67" t="str">
        <f>'Capital IQ Sheet-GPC'!B19</f>
        <v>IQ130641748</v>
      </c>
      <c r="C19" s="67" t="e">
        <f ca="1">_xll.ciqfunctions.udf.CIQ($A19,"IQ_COMPANY_NAME")</f>
        <v>#NAME?</v>
      </c>
      <c r="D19" s="67" t="e">
        <f ca="1">_xll.ciqfunctions.udf.CIQ($A19, "IQ_EXCHANGE")</f>
        <v>#NAME?</v>
      </c>
      <c r="E19" s="68" t="e">
        <f ca="1">_xll.ciqfunctions.udf.CIQ($A19, "IQ_PERIODDATE_IS", IQ_FY)</f>
        <v>#NAME?</v>
      </c>
      <c r="F19" s="68" t="e">
        <f ca="1">_xll.ciqfunctions.udf.CIQ(A19, "IQ_PERIODDATE_IS", IQ_LTM, $B$1,$L$4,$L$3)</f>
        <v>#NAME?</v>
      </c>
      <c r="G19" s="68" t="e">
        <f ca="1">_xll.ciqfunctions.udf.CIQ($A19, "IQ_FIRSTPRICINGDATE")</f>
        <v>#NAME?</v>
      </c>
      <c r="H19" s="84" t="e">
        <f ca="1">_xll.ciqfunctions.udf.CIQ($A19, "IQ_TEV", $L$2, $L$5, $L$6)</f>
        <v>#NAME?</v>
      </c>
      <c r="I19" s="84" t="e">
        <f ca="1">_xll.ciqfunctions.udf.CIQ(A19, "IQ_LASTSALEPRICE", $B$1,$L$5)</f>
        <v>#NAME?</v>
      </c>
      <c r="J19" s="84" t="e">
        <f ca="1">_xll.ciqfunctions.udf.CIQ($A19, "IQ_MARKETCAP", $L$2, $L$5, $L$6)</f>
        <v>#NAME?</v>
      </c>
      <c r="K19" s="84" t="e">
        <f ca="1">_xll.ciqfunctions.udf.CIQ($A19, "IQ_TOTAL_DEBT", IQ_LTM, $L$2,$L$4, $L$3, $L$5, $L$6)</f>
        <v>#NAME?</v>
      </c>
      <c r="L19" s="84" t="e">
        <f ca="1">_xll.ciqfunctions.udf.CIQ($A19, "IQ_PREF_EQUITY", IQ_LTM, $L$2, $L$4, $L$3, $L$5, $L$6)</f>
        <v>#NAME?</v>
      </c>
      <c r="M19" s="84" t="e">
        <f ca="1">_xll.ciqfunctions.udf.CIQ($A19, "IQ_MINORITY_INTEREST_TOTAL", IQ_LTM, $L$2, $L$4, $L$3, $L$5, $L$6)</f>
        <v>#NAME?</v>
      </c>
      <c r="N19" s="84" t="e">
        <f ca="1">_xll.ciqfunctions.udf.CIQ($A19, "IQ_CASH_ST_INVEST", IQ_LTM, $L$2, $L$4, $L$3, $L$5, $L$6)</f>
        <v>#NAME?</v>
      </c>
      <c r="O19" s="84" t="e">
        <f ca="1">_xll.ciqfunctions.udf.CIQ($A19, "IQ_TOTAL_REV", IQ_LTM-8, $L$2, $L$4, $L$3, $L$5, $L$6)</f>
        <v>#NAME?</v>
      </c>
      <c r="P19" s="84" t="e">
        <f ca="1">_xll.ciqfunctions.udf.CIQ($A19, "IQ_TOTAL_REV", IQ_LTM - 4, $L$2, $L$4, $L$3, $L$5,$L$6)</f>
        <v>#NAME?</v>
      </c>
      <c r="Q19" s="84" t="e">
        <f ca="1">_xll.ciqfunctions.udf.CIQ($A19, "IQ_TOTAL_REV", IQ_LTM, $L$2, $L$4, $L$3, $L$5, $L$6)</f>
        <v>#NAME?</v>
      </c>
      <c r="R19" s="84" t="e">
        <f ca="1">_xll.ciqfunctions.udf.CIQ($A19, "IQ_TOTAL_REV", $B$2, $L$2, $L$4, $L$3, $L$5, $L$6)</f>
        <v>#NAME?</v>
      </c>
      <c r="S19" s="84" t="e">
        <f ca="1">IF(_xll.ciqfunctions.udf.CIQ($A19, "IQ_TOTAL_REV", $B$3, $L$2,$L$4, $L$3, $L$5, $L$6)=0,Q19,_xll.ciqfunctions.udf.CIQ($A19, "IQ_TOTAL_REV", $B$3, $L$2,$L$4, $L$3, $L$5, $L$6))</f>
        <v>#NAME?</v>
      </c>
      <c r="T19" s="84" t="e">
        <f ca="1">IF(_xll.ciqfunctions.udf.CIQ($A19, "IQ_REVENUE_EST",$B$4, $L$2, "CON", $L$3, $L$5, $L$6)=0,"n/a",_xll.ciqfunctions.udf.CIQ($A19, "IQ_REVENUE_EST",$B$4, $L$2, "CON", $L$3, $L$5, $L$6))</f>
        <v>#NAME?</v>
      </c>
      <c r="U19" s="84" t="e">
        <f ca="1">IF(_xll.ciqfunctions.udf.CIQ($A19, "IQ_REVENUE_EST",$B$5, $L$2, "CON", $L$3, $L$5, $L$6)=0,"n/a",_xll.ciqfunctions.udf.CIQ($A19, "IQ_REVENUE_EST",$B$5, $L$2, "CON", $L$3, $L$5, $L$6))</f>
        <v>#NAME?</v>
      </c>
      <c r="V19" s="84" t="e">
        <f ca="1">IF(_xll.ciqfunctions.udf.CIQ($A19, "IQ_REVENUE_EST",$B$6, $L$2, "CON", $L$3, $L$5, $L$6)=0,"n/a",_xll.ciqfunctions.udf.CIQ($A19, "IQ_REVENUE_EST",$B$6, $L$2, "CON", $L$3, $L$5, $L$6))</f>
        <v>#NAME?</v>
      </c>
      <c r="W19" s="84" t="e">
        <f ca="1">IF(_xll.ciqfunctions.udf.CIQ($A19, "IQ_REVENUE_EST", $B$7, $L$2, "CON", $L$3, $L$5, $L$6)=0,"n/a",_xll.ciqfunctions.udf.CIQ($A19, "IQ_REVENUE_EST",$B$7, $L$2, "CON", $L$3, $L$5, $L$6))</f>
        <v>#NAME?</v>
      </c>
      <c r="X19" s="84" t="e">
        <f ca="1">_xll.ciqfunctions.udf.CIQ($A19, "IQ_EBITDA", IQ_LTM-8, $L$2, $L$4, $L$3, $L$5, $L$6)</f>
        <v>#NAME?</v>
      </c>
      <c r="Y19" s="84" t="e">
        <f ca="1">_xll.ciqfunctions.udf.CIQ($A19, "IQ_EBITDA", IQ_LTM-4, $L$2,$L$4, $L$3, $L$5, $L$6)</f>
        <v>#NAME?</v>
      </c>
      <c r="Z19" s="84" t="e">
        <f ca="1">_xll.ciqfunctions.udf.CIQ($A19, "IQ_EBITDA", IQ_LTM, $L$2, $L$4, $L$3, $L$5, $L$6)</f>
        <v>#NAME?</v>
      </c>
      <c r="AA19" s="84" t="e">
        <f ca="1">_xll.ciqfunctions.udf.CIQ($A19, "IQ_EBITDA", $B$2, $L$2, $L$4, $L$3, $L$5, $L$6)</f>
        <v>#NAME?</v>
      </c>
      <c r="AB19" s="84" t="e">
        <f ca="1">IF(_xll.ciqfunctions.udf.CIQ($A19, "IQ_EBITDA", $B$3, $L$2,$L$4, $L$3, $L$5, $L$6)=0,Z19,_xll.ciqfunctions.udf.CIQ($A19, "IQ_EBITDA", $B$3, $L$2,$L$4, $L$3, $L$5, $L$6))</f>
        <v>#NAME?</v>
      </c>
      <c r="AC19" s="84" t="e">
        <f ca="1">IF(_xll.ciqfunctions.udf.CIQ($A19, "IQ_EBITDA_EST",$B$4, $L$2, "CON", $L$3, $L$5, $L$6)=0,"n/a",_xll.ciqfunctions.udf.CIQ($A19, "IQ_EBITDA_EST",$B$4, $L$2, "CON", $L$3, $L$5, $L$6))</f>
        <v>#NAME?</v>
      </c>
      <c r="AD19" s="84" t="e">
        <f ca="1">IF(_xll.ciqfunctions.udf.CIQ($A19, "IQ_EBITDA_EST",$B$5, $L$2, "CON", $L$3, $L$5, $L$6)=0,"n/a",_xll.ciqfunctions.udf.CIQ($A19, "IQ_EBITDA_EST",$B$5, $L$2, "CON", $L$3, $L$5, $L$6))</f>
        <v>#NAME?</v>
      </c>
      <c r="AE19" s="84" t="e">
        <f ca="1">IF(_xll.ciqfunctions.udf.CIQ($A19, "IQ_EBITDA_EST",$B$6, $L$2, "CON", $L$3, $L$5, $L$6)=0,"n/a",_xll.ciqfunctions.udf.CIQ($A19, "IQ_EBITDA_EST",$B$6, $L$2, "CON", $L$3, $L$5, $L$6))</f>
        <v>#NAME?</v>
      </c>
      <c r="AF19" s="69" t="str">
        <f ca="1">IF(ISERROR(_xll.ciqfunctions.udf.CIQ($A19, "IQ_GROSS_MARGIN", IQ_LTM, $L$2,$L$4, $L$3, $L$5, $L$6)/100), "n/a", _xll.ciqfunctions.udf.CIQ($A19,  "IQ_GROSS_MARGIN", IQ_LTM, $L$2, $L$4, $L$3, $L$5, $L$6)/100)</f>
        <v>n/a</v>
      </c>
      <c r="AG19" s="69" t="str">
        <f ca="1">IF(ISERROR(_xll.ciqfunctions.udf.CIQ($A19,"IQ_EBITDA_MARGIN", IQ_LTM, $L$2, $L$4, $L$3, $L$5, $L$6)/100), "n/a", _xll.ciqfunctions.udf.CIQ($A19, "IQ_EBITDA_MARGIN", IQ_LTM, $L$2, $L$4, $L$3, $L$5, $L$6)/100)</f>
        <v>n/a</v>
      </c>
      <c r="AH19" s="69" t="str">
        <f ca="1">IF(ISERROR(_xll.ciqfunctions.udf.CIQ($A19,"IQ_EBIT_MARGIN", IQ_LTM, $L$2, $L$4, $L$3, $L$5, $L$6)/100), "n/a", _xll.ciqfunctions.udf.CIQ($A19, "IQ_EBIT_MARGIN", IQ_LTM, $L$2, $L$4, $L$3, $L$5, $L$6)/100)</f>
        <v>n/a</v>
      </c>
      <c r="AI19" s="69" t="str">
        <f ca="1">IF(ISERROR(_xll.ciqfunctions.udf.CIQ($A19,"IQ_NI_MARGIN", IQ_LTM, $L$2, $L$4, $L$3, $L$5, $L$6)/100), "n/a", _xll.ciqfunctions.udf.CIQ($A19, "IQ_NI_MARGIN", IQ_LTM, $L$2, $L$4, $L$3, $L$5, $L$6)/100)</f>
        <v>n/a</v>
      </c>
      <c r="AJ19" s="84" t="str">
        <f ca="1">IF(ISERROR(_xll.ciqfunctions.udf.CIQ($A19, "IQ_NET_WORKING_CAP", IQ_LTM-8, $L$2, $L$4, $L$3, $L$5, $L$6)), "n/a", _xll.ciqfunctions.udf.CIQ($A19, "IQ_NET_WORKING_CAP", IQ_LTM-8, $L$2, $L$4, $L$3, $L$5, $L$6))</f>
        <v>n/a</v>
      </c>
      <c r="AK19" s="84" t="str">
        <f ca="1">IF(ISERROR(_xll.ciqfunctions.udf.CIQ($A19, "IQ_NET_WORKING_CAP", IQ_LTM-4, $L$2, $L$4, $L$3, $L$5, $L$6)), "n/a", _xll.ciqfunctions.udf.CIQ($A19, "IQ_NET_WORKING_CAP", IQ_LTM-4, $L$2, $L$4, $L$3, $L$5, $L$6))</f>
        <v>n/a</v>
      </c>
      <c r="AL19" s="84" t="str">
        <f ca="1">IF(ISERROR(_xll.ciqfunctions.udf.CIQ($A19, "IQ_NET_WORKING_CAP", IQ_LTM, $L$2,$L$4, $L$3, $L$5, $L$6)), "n/a", _xll.ciqfunctions.udf.CIQ($A19, "IQ_NET_WORKING_CAP", IQ_LTM, $L$2, $L$4, $L$3, $L$5, $L$6))</f>
        <v>n/a</v>
      </c>
      <c r="AM19" s="84" t="str">
        <f ca="1">IF(ISERROR(_xll.ciqfunctions.udf.CIQ($A19, "IQ_Capex", IQ_LTM-8, $L$2,$L$4, $L$3, $L$5, $L$6)), "n/a", _xll.ciqfunctions.udf.CIQ($A19, "IQ_Capex", IQ_LTM-8, $L$2, $L$4, $L$3, $L$5, $L$6))</f>
        <v>n/a</v>
      </c>
      <c r="AN19" s="84" t="str">
        <f ca="1">IF(ISERROR(_xll.ciqfunctions.udf.CIQ($A19, "IQ_Capex", IQ_LTM-4, $L$2,$L$4, $L$3, $L$5, $L$6)), "n/a", _xll.ciqfunctions.udf.CIQ($A19, "IQ_Capex", IQ_LTM-4, $L$2,$L$4, $L$3, $L$5, $L$6))</f>
        <v>n/a</v>
      </c>
      <c r="AO19" s="84" t="str">
        <f ca="1">IF(ISERROR(_xll.ciqfunctions.udf.CIQ($A19, "IQ_Capex", IQ_LTM, $L$2, $L$4, $L$3, $L$5, $L$6)), "n/a", _xll.ciqfunctions.udf.CIQ($A19, "IQ_Capex", IQ_LTM, $L$2, $L$4, $L$3, $L$5, $L$6))</f>
        <v>n/a</v>
      </c>
      <c r="AP19" s="66" t="e">
        <f ca="1">_xll.ciqfunctions.udf.CIQ(A19, "IQ_BUSINESS_DESCRIPTION")</f>
        <v>#NAME?</v>
      </c>
      <c r="AQ19" s="85" t="e">
        <f ca="1">_xll.ciqfunctions.udf.CIQ($A19, "IQ_BETA_1YR", $B$1)</f>
        <v>#NAME?</v>
      </c>
      <c r="AR19" s="85" t="e">
        <f ca="1">_xll.ciqfunctions.udf.CIQ($A19, "IQ_BETA_2YR", $B$1)</f>
        <v>#NAME?</v>
      </c>
      <c r="AS19" s="85" t="e">
        <f ca="1">_xll.ciqfunctions.udf.CIQ($A19, "IQ_BETA_5YR", $B$1)</f>
        <v>#NAME?</v>
      </c>
      <c r="AT19" s="69" t="e">
        <f ca="1">_xll.ciqfunctions.udf.CIQ($A19, "IQ_DIVIDEND_YIELD", $B$1)/100</f>
        <v>#NAME?</v>
      </c>
      <c r="AU19" s="84" t="e">
        <f ca="1">_xll.ciqfunctions.udf.CIQ($A19, "IQ_EARNING_CO", IQ_LTM-8, $L$2, $L$4, $L$3, $L$5, $L$6)</f>
        <v>#NAME?</v>
      </c>
      <c r="AV19" s="84" t="e">
        <f ca="1">_xll.ciqfunctions.udf.CIQ($A19, "IQ_EARNING_CO", IQ_LTM-4, $L$2, $L$4, $L$3, $L$5, $L$6)</f>
        <v>#NAME?</v>
      </c>
      <c r="AW19" s="84" t="e">
        <f ca="1">_xll.ciqfunctions.udf.CIQ($A19, "IQ_EARNING_CO", IQ_LTM, $L$2, $L$4, $L$3, $L$5, $L$6)</f>
        <v>#NAME?</v>
      </c>
      <c r="AX19" s="84" t="e">
        <f ca="1">_xll.ciqfunctions.udf.CIQ($A19, "IQ_EARNING_CO", $B$2, $L$2, $L$4, $L$3, $L$5, $L$6)</f>
        <v>#NAME?</v>
      </c>
      <c r="AY19" s="84" t="e">
        <f ca="1">IF(_xll.ciqfunctions.udf.CIQ($A19, "IQ_EARNING_CO", $B$3, $L$2,$L$4, $L$3, $L$5, $L$6)=0,AW19,_xll.ciqfunctions.udf.CIQ($A19, "IQ_EARNING_CO", $B$3, $L$2,$L$4, $L$3, $L$5, $L$6))</f>
        <v>#NAME?</v>
      </c>
      <c r="AZ19" s="84" t="e">
        <f ca="1">_xll.ciqfunctions.udf.CIQ($A19, "IQ_TOTAL_EQUITY", IQ_LTM-8, $L$2, $L$4, $L$3, $L$5, $L$6)</f>
        <v>#NAME?</v>
      </c>
      <c r="BA19" s="84" t="e">
        <f ca="1">_xll.ciqfunctions.udf.CIQ($A19, "IQ_TOTAL_EQUITY", IQ_LTM-4, $L$2, $L$4, $L$3, $L$5, $L$6)</f>
        <v>#NAME?</v>
      </c>
      <c r="BB19" s="84" t="e">
        <f ca="1">_xll.ciqfunctions.udf.CIQ($A19, "IQ_TOTAL_EQUITY", IQ_LTM, $L$2, $L$4, $L$3, $L$5, $L$6)</f>
        <v>#NAME?</v>
      </c>
      <c r="BC19" s="84" t="e">
        <f ca="1">_xll.ciqfunctions.udf.CIQ($A19, "IQ_TOTAL_EQUITY", $B$2, $L$2, $L$4, $L$3, $L$5, $L$6)</f>
        <v>#NAME?</v>
      </c>
      <c r="BD19" s="84" t="e">
        <f ca="1">IF(_xll.ciqfunctions.udf.CIQ($A19, "IQ_TOTAL_EQUITY", $B$3, $L$2,$L$4, $L$3, $L$5, $L$6)=0,BB19,_xll.ciqfunctions.udf.CIQ($A19, "IQ_TOTAL_EQUITY", $B$3, $L$2,$L$4, $L$3, $L$5, $L$6))</f>
        <v>#NAME?</v>
      </c>
      <c r="BE19" s="84" t="e">
        <f ca="1">_xll.ciqfunctions.udf.CIQ(A19, "IQ_LASTSALEPRICE", $B$8)</f>
        <v>#NAME?</v>
      </c>
      <c r="BF19" s="84" t="e">
        <f ca="1">_xll.ciqfunctions.udf.CIQ($A19, "IQ_MARKETCAP", $B$8, $L$5, $L$6)</f>
        <v>#NAME?</v>
      </c>
      <c r="BG19" s="84" t="e">
        <f ca="1">_xll.ciqfunctions.udf.CIQ($A19, "IQ_TOTAL_DEBT", IQ_LTM, $B$8,$L$4, $L$3, $L$5, $L$6)</f>
        <v>#NAME?</v>
      </c>
      <c r="BH19" s="67" t="e">
        <f ca="1">_xll.ciqfunctions.udf.CIQ($A19,"IQ_PREF_EQUITY",IQ_LTM,$B$8,$L$4,$L$3,$L$5,$L$6)</f>
        <v>#NAME?</v>
      </c>
      <c r="BI19" s="67" t="e">
        <f ca="1">_xll.ciqfunctions.udf.CIQ($A19, "IQ_MINORITY_INTEREST_TOTAL", IQ_LTM,$B$8,$L$4,$L$3,$L$5,$L$6)</f>
        <v>#NAME?</v>
      </c>
      <c r="BJ19" s="84" t="e">
        <f ca="1">_xll.ciqfunctions.udf.CIQ($A19, "IQ_CASH_ST_INVEST", IQ_LTM, $B$8, $L$4, $L$3, $L$5, $L$6)</f>
        <v>#NAME?</v>
      </c>
      <c r="BK19" s="67" t="e">
        <f ca="1">_xll.ciqfunctions.udf.CIQ($A19, "IQ_EFFECT_TAX_RATE")</f>
        <v>#NAME?</v>
      </c>
      <c r="BL19" s="67" t="e">
        <f ca="1">IF(_xll.ciqfunctions.udf.CIQ($A19, "IQ_TOTAL_REV_2YR_ANN_CAGR", IQ_LTM, $B$1,$L$4, $L$3, $L$5, $L$6)="NM","n/a",(_xll.ciqfunctions.udf.CIQ($A19, "IQ_TOTAL_REV_2YR_ANN_CAGR", IQ_LTM, $B$1,$L$4, $L$3, $L$5, $L$6)/100))</f>
        <v>#NAME?</v>
      </c>
      <c r="BM19" s="67" t="e">
        <f ca="1">IF(_xll.ciqfunctions.udf.CIQ($A19, "IQ_TOTAL_REV_3YR_ANN_CAGR", IQ_LTM, $B$1,$L$4, $L$3, $L$5, $L$6)="NM","n/a",(_xll.ciqfunctions.udf.CIQ($A19, "IQ_TOTAL_REV_3YR_ANN_CAGR", IQ_LTM, $B$1,$L$4, $L$3, $L$5, $L$6)/100))</f>
        <v>#NAME?</v>
      </c>
      <c r="BN19" s="67" t="e">
        <f ca="1">IF(_xll.ciqfunctions.udf.CIQ($A19, "IQ_TOTAL_REV_5YR_ANN_CAGR", IQ_LTM, $B$1,$L$4, $L$3, $L$5, $L$6)="NM","n/a",(_xll.ciqfunctions.udf.CIQ($A19, "IQ_TOTAL_REV_5YR_ANN_CAGR", IQ_LTM, $B$1,$L$4, $L$3, $L$5, $L$6)/100))</f>
        <v>#NAME?</v>
      </c>
      <c r="BO19" s="67" t="e">
        <f ca="1">IF(_xll.ciqfunctions.udf.CIQ($A19,"IQ_EBITDA_2YR_ANN_CAGR", IQ_LTM,$B$1,$L$4, $L$3, $L$5, $L$6)="NM","n/a",(_xll.ciqfunctions.udf.CIQ($A19,"IQ_EBITDA_2YR_ANN_CAGR", IQ_LTM,$B$1,$L$4, $L$3, $L$5, $L$6)/100))</f>
        <v>#NAME?</v>
      </c>
      <c r="BP19" s="67" t="e">
        <f ca="1">IF(_xll.ciqfunctions.udf.CIQ($A19,"IQ_EBITDA_3YR_ANN_CAGR", IQ_LTM,$B$1,$L$4, $L$3, $L$5, $L$6)="NM","n/a",(_xll.ciqfunctions.udf.CIQ($A19,"IQ_EBITDA_3YR_ANN_CAGR", IQ_LTM,$B$1,$L$4, $L$3, $L$5, $L$6)/100))</f>
        <v>#NAME?</v>
      </c>
      <c r="BQ19" s="67" t="e">
        <f ca="1">IF(_xll.ciqfunctions.udf.CIQ($A19,"IQ_EBITDA_5YR_ANN_CAGR", IQ_LTM,$B$1,$L$4, $L$3, $L$5, $L$6)="NM","n/a",(_xll.ciqfunctions.udf.CIQ($A19,"IQ_EBITDA_5YR_ANN_CAGR", IQ_LTM,$B$1,$L$4, $L$3, $L$5, $L$6)/100))</f>
        <v>#NAME?</v>
      </c>
      <c r="BR19" s="69" t="str">
        <f ca="1">IFERROR((_xll.ciqfunctions.udf.CIQ($A19, "IQ_DA_CF", IQ_LTM, $B$1, $L$4, $L$3, $L$5, $L$6)/Q19),"NM")</f>
        <v>NM</v>
      </c>
      <c r="BS19" s="86">
        <f>'Capital IQ Sheet-GPC'!BS19</f>
        <v>0.71424690928758428</v>
      </c>
      <c r="BT19" s="86">
        <f>'Capital IQ Sheet-GPC'!BT19</f>
        <v>0.67554666584600742</v>
      </c>
      <c r="BU19" s="86">
        <f>'Capital IQ Sheet-GPC'!BU19</f>
        <v>0.66256910320315288</v>
      </c>
      <c r="BV19" s="86">
        <f>'Capital IQ Sheet-GPC'!BV19</f>
        <v>0.69199779427093266</v>
      </c>
      <c r="BW19" s="86" t="str">
        <f>'Capital IQ Sheet-GPC'!BW19</f>
        <v>n/a</v>
      </c>
      <c r="BX19" s="86" t="str">
        <f>'Capital IQ Sheet-GPC'!BX19</f>
        <v>n/a</v>
      </c>
      <c r="BY19" s="86" t="str">
        <f>'Capital IQ Sheet-GPC'!BY19</f>
        <v>n/a</v>
      </c>
      <c r="BZ19" s="86" t="str">
        <f>'Capital IQ Sheet-GPC'!BZ19</f>
        <v>n/a</v>
      </c>
      <c r="CB19" s="67">
        <v>2</v>
      </c>
      <c r="CC19" s="123" t="s">
        <v>295</v>
      </c>
      <c r="CD19" s="123" t="s">
        <v>294</v>
      </c>
      <c r="CE19" s="68">
        <f t="shared" si="0"/>
        <v>42766</v>
      </c>
    </row>
    <row r="20" spans="1:83" s="67" customFormat="1" ht="12.75">
      <c r="A20" s="67" t="e">
        <f ca="1">_xll.ciqfunctions.udf.CIQ($B20,"IQ_COMPANY_TICKER")</f>
        <v>#NAME?</v>
      </c>
      <c r="B20" s="67" t="str">
        <f>'Capital IQ Sheet-GPC'!B20</f>
        <v>IQ171029664</v>
      </c>
      <c r="C20" s="67" t="e">
        <f ca="1">_xll.ciqfunctions.udf.CIQ($A20,"IQ_COMPANY_NAME")</f>
        <v>#NAME?</v>
      </c>
      <c r="D20" s="67" t="e">
        <f ca="1">_xll.ciqfunctions.udf.CIQ($A20, "IQ_EXCHANGE")</f>
        <v>#NAME?</v>
      </c>
      <c r="E20" s="68" t="e">
        <f ca="1">_xll.ciqfunctions.udf.CIQ($A20, "IQ_PERIODDATE_IS", IQ_FY)</f>
        <v>#NAME?</v>
      </c>
      <c r="F20" s="68" t="e">
        <f ca="1">_xll.ciqfunctions.udf.CIQ(A20, "IQ_PERIODDATE_IS", IQ_LTM, $B$1,$L$4,$L$3)</f>
        <v>#NAME?</v>
      </c>
      <c r="G20" s="68" t="e">
        <f ca="1">_xll.ciqfunctions.udf.CIQ($A20, "IQ_FIRSTPRICINGDATE")</f>
        <v>#NAME?</v>
      </c>
      <c r="H20" s="84" t="e">
        <f ca="1">_xll.ciqfunctions.udf.CIQ($A20, "IQ_TEV", $L$2, $L$5, $L$6)</f>
        <v>#NAME?</v>
      </c>
      <c r="I20" s="84" t="e">
        <f ca="1">_xll.ciqfunctions.udf.CIQ(A20, "IQ_LASTSALEPRICE", $B$1,$L$5)</f>
        <v>#NAME?</v>
      </c>
      <c r="J20" s="84" t="e">
        <f ca="1">_xll.ciqfunctions.udf.CIQ($A20, "IQ_MARKETCAP", $L$2, $L$5, $L$6)</f>
        <v>#NAME?</v>
      </c>
      <c r="K20" s="84" t="e">
        <f ca="1">_xll.ciqfunctions.udf.CIQ($A20, "IQ_TOTAL_DEBT", IQ_LTM, $L$2,$L$4, $L$3, $L$5, $L$6)</f>
        <v>#NAME?</v>
      </c>
      <c r="L20" s="84" t="e">
        <f ca="1">_xll.ciqfunctions.udf.CIQ($A20, "IQ_PREF_EQUITY", IQ_LTM, $L$2, $L$4, $L$3, $L$5, $L$6)</f>
        <v>#NAME?</v>
      </c>
      <c r="M20" s="84" t="e">
        <f ca="1">_xll.ciqfunctions.udf.CIQ($A20, "IQ_MINORITY_INTEREST_TOTAL", IQ_LTM, $L$2, $L$4, $L$3, $L$5, $L$6)</f>
        <v>#NAME?</v>
      </c>
      <c r="N20" s="84" t="e">
        <f ca="1">_xll.ciqfunctions.udf.CIQ($A20, "IQ_CASH_ST_INVEST", IQ_LTM, $L$2, $L$4, $L$3, $L$5, $L$6)</f>
        <v>#NAME?</v>
      </c>
      <c r="O20" s="84" t="e">
        <f ca="1">_xll.ciqfunctions.udf.CIQ($A20, "IQ_TOTAL_REV", IQ_LTM-8, $L$2, $L$4, $L$3, $L$5, $L$6)</f>
        <v>#NAME?</v>
      </c>
      <c r="P20" s="84" t="e">
        <f ca="1">_xll.ciqfunctions.udf.CIQ($A20, "IQ_TOTAL_REV", IQ_LTM - 4, $L$2, $L$4, $L$3, $L$5,$L$6)</f>
        <v>#NAME?</v>
      </c>
      <c r="Q20" s="84" t="e">
        <f ca="1">_xll.ciqfunctions.udf.CIQ($A20, "IQ_TOTAL_REV", IQ_LTM, $L$2, $L$4, $L$3, $L$5, $L$6)</f>
        <v>#NAME?</v>
      </c>
      <c r="R20" s="84" t="e">
        <f ca="1">_xll.ciqfunctions.udf.CIQ($A20, "IQ_TOTAL_REV", $B$2, $L$2, $L$4, $L$3, $L$5, $L$6)</f>
        <v>#NAME?</v>
      </c>
      <c r="S20" s="84" t="e">
        <f ca="1">IF(_xll.ciqfunctions.udf.CIQ($A20, "IQ_TOTAL_REV", $B$3, $L$2,$L$4, $L$3, $L$5, $L$6)=0,Q20,_xll.ciqfunctions.udf.CIQ($A20, "IQ_TOTAL_REV", $B$3, $L$2,$L$4, $L$3, $L$5, $L$6))</f>
        <v>#NAME?</v>
      </c>
      <c r="T20" s="84" t="e">
        <f ca="1">IF(_xll.ciqfunctions.udf.CIQ($A20, "IQ_REVENUE_EST",$B$4, $L$2, "CON", $L$3, $L$5, $L$6)=0,"n/a",_xll.ciqfunctions.udf.CIQ($A20, "IQ_REVENUE_EST",$B$4, $L$2, "CON", $L$3, $L$5, $L$6))</f>
        <v>#NAME?</v>
      </c>
      <c r="U20" s="84" t="e">
        <f ca="1">IF(_xll.ciqfunctions.udf.CIQ($A20, "IQ_REVENUE_EST",$B$5, $L$2, "CON", $L$3, $L$5, $L$6)=0,"n/a",_xll.ciqfunctions.udf.CIQ($A20, "IQ_REVENUE_EST",$B$5, $L$2, "CON", $L$3, $L$5, $L$6))</f>
        <v>#NAME?</v>
      </c>
      <c r="V20" s="84" t="e">
        <f ca="1">IF(_xll.ciqfunctions.udf.CIQ($A20, "IQ_REVENUE_EST",$B$6, $L$2, "CON", $L$3, $L$5, $L$6)=0,"n/a",_xll.ciqfunctions.udf.CIQ($A20, "IQ_REVENUE_EST",$B$6, $L$2, "CON", $L$3, $L$5, $L$6))</f>
        <v>#NAME?</v>
      </c>
      <c r="W20" s="84" t="e">
        <f ca="1">IF(_xll.ciqfunctions.udf.CIQ($A20, "IQ_REVENUE_EST", $B$7, $L$2, "CON", $L$3, $L$5, $L$6)=0,"n/a",_xll.ciqfunctions.udf.CIQ($A20, "IQ_REVENUE_EST",$B$7, $L$2, "CON", $L$3, $L$5, $L$6))</f>
        <v>#NAME?</v>
      </c>
      <c r="X20" s="84" t="e">
        <f ca="1">_xll.ciqfunctions.udf.CIQ($A20, "IQ_EBITDA", IQ_LTM-8, $L$2, $L$4, $L$3, $L$5, $L$6)</f>
        <v>#NAME?</v>
      </c>
      <c r="Y20" s="84" t="e">
        <f ca="1">_xll.ciqfunctions.udf.CIQ($A20, "IQ_EBITDA", IQ_LTM-4, $L$2,$L$4, $L$3, $L$5, $L$6)</f>
        <v>#NAME?</v>
      </c>
      <c r="Z20" s="84" t="e">
        <f ca="1">_xll.ciqfunctions.udf.CIQ($A20, "IQ_EBITDA", IQ_LTM, $L$2, $L$4, $L$3, $L$5, $L$6)</f>
        <v>#NAME?</v>
      </c>
      <c r="AA20" s="84" t="e">
        <f ca="1">_xll.ciqfunctions.udf.CIQ($A20, "IQ_EBITDA", $B$2, $L$2, $L$4, $L$3, $L$5, $L$6)</f>
        <v>#NAME?</v>
      </c>
      <c r="AB20" s="84" t="e">
        <f ca="1">IF(_xll.ciqfunctions.udf.CIQ($A20, "IQ_EBITDA", $B$3, $L$2,$L$4, $L$3, $L$5, $L$6)=0,Z20,_xll.ciqfunctions.udf.CIQ($A20, "IQ_EBITDA", $B$3, $L$2,$L$4, $L$3, $L$5, $L$6))</f>
        <v>#NAME?</v>
      </c>
      <c r="AC20" s="84" t="e">
        <f ca="1">IF(_xll.ciqfunctions.udf.CIQ($A20, "IQ_EBITDA_EST",$B$4, $L$2, "CON", $L$3, $L$5, $L$6)=0,"n/a",_xll.ciqfunctions.udf.CIQ($A20, "IQ_EBITDA_EST",$B$4, $L$2, "CON", $L$3, $L$5, $L$6))</f>
        <v>#NAME?</v>
      </c>
      <c r="AD20" s="84" t="e">
        <f ca="1">IF(_xll.ciqfunctions.udf.CIQ($A20, "IQ_EBITDA_EST",$B$5, $L$2, "CON", $L$3, $L$5, $L$6)=0,"n/a",_xll.ciqfunctions.udf.CIQ($A20, "IQ_EBITDA_EST",$B$5, $L$2, "CON", $L$3, $L$5, $L$6))</f>
        <v>#NAME?</v>
      </c>
      <c r="AE20" s="84" t="e">
        <f ca="1">IF(_xll.ciqfunctions.udf.CIQ($A20, "IQ_EBITDA_EST",$B$6, $L$2, "CON", $L$3, $L$5, $L$6)=0,"n/a",_xll.ciqfunctions.udf.CIQ($A20, "IQ_EBITDA_EST",$B$6, $L$2, "CON", $L$3, $L$5, $L$6))</f>
        <v>#NAME?</v>
      </c>
      <c r="AF20" s="69" t="str">
        <f ca="1">IF(ISERROR(_xll.ciqfunctions.udf.CIQ($A20, "IQ_GROSS_MARGIN", IQ_LTM, $L$2,$L$4, $L$3, $L$5, $L$6)/100), "n/a", _xll.ciqfunctions.udf.CIQ($A20,  "IQ_GROSS_MARGIN", IQ_LTM, $L$2, $L$4, $L$3, $L$5, $L$6)/100)</f>
        <v>n/a</v>
      </c>
      <c r="AG20" s="69" t="str">
        <f ca="1">IF(ISERROR(_xll.ciqfunctions.udf.CIQ($A20,"IQ_EBITDA_MARGIN", IQ_LTM, $L$2, $L$4, $L$3, $L$5, $L$6)/100), "n/a", _xll.ciqfunctions.udf.CIQ($A20, "IQ_EBITDA_MARGIN", IQ_LTM, $L$2, $L$4, $L$3, $L$5, $L$6)/100)</f>
        <v>n/a</v>
      </c>
      <c r="AH20" s="69" t="str">
        <f ca="1">IF(ISERROR(_xll.ciqfunctions.udf.CIQ($A20,"IQ_EBIT_MARGIN", IQ_LTM, $L$2, $L$4, $L$3, $L$5, $L$6)/100), "n/a", _xll.ciqfunctions.udf.CIQ($A20, "IQ_EBIT_MARGIN", IQ_LTM, $L$2, $L$4, $L$3, $L$5, $L$6)/100)</f>
        <v>n/a</v>
      </c>
      <c r="AI20" s="69" t="str">
        <f ca="1">IF(ISERROR(_xll.ciqfunctions.udf.CIQ($A20,"IQ_NI_MARGIN", IQ_LTM, $L$2, $L$4, $L$3, $L$5, $L$6)/100), "n/a", _xll.ciqfunctions.udf.CIQ($A20, "IQ_NI_MARGIN", IQ_LTM, $L$2, $L$4, $L$3, $L$5, $L$6)/100)</f>
        <v>n/a</v>
      </c>
      <c r="AJ20" s="84" t="str">
        <f ca="1">IF(ISERROR(_xll.ciqfunctions.udf.CIQ($A20, "IQ_NET_WORKING_CAP", IQ_LTM-8, $L$2, $L$4, $L$3, $L$5, $L$6)), "n/a", _xll.ciqfunctions.udf.CIQ($A20, "IQ_NET_WORKING_CAP", IQ_LTM-8, $L$2, $L$4, $L$3, $L$5, $L$6))</f>
        <v>n/a</v>
      </c>
      <c r="AK20" s="84" t="str">
        <f ca="1">IF(ISERROR(_xll.ciqfunctions.udf.CIQ($A20, "IQ_NET_WORKING_CAP", IQ_LTM-4, $L$2, $L$4, $L$3, $L$5, $L$6)), "n/a", _xll.ciqfunctions.udf.CIQ($A20, "IQ_NET_WORKING_CAP", IQ_LTM-4, $L$2, $L$4, $L$3, $L$5, $L$6))</f>
        <v>n/a</v>
      </c>
      <c r="AL20" s="84" t="str">
        <f ca="1">IF(ISERROR(_xll.ciqfunctions.udf.CIQ($A20, "IQ_NET_WORKING_CAP", IQ_LTM, $L$2,$L$4, $L$3, $L$5, $L$6)), "n/a", _xll.ciqfunctions.udf.CIQ($A20, "IQ_NET_WORKING_CAP", IQ_LTM, $L$2, $L$4, $L$3, $L$5, $L$6))</f>
        <v>n/a</v>
      </c>
      <c r="AM20" s="84" t="str">
        <f ca="1">IF(ISERROR(_xll.ciqfunctions.udf.CIQ($A20, "IQ_Capex", IQ_LTM-8, $L$2,$L$4, $L$3, $L$5, $L$6)), "n/a", _xll.ciqfunctions.udf.CIQ($A20, "IQ_Capex", IQ_LTM-8, $L$2, $L$4, $L$3, $L$5, $L$6))</f>
        <v>n/a</v>
      </c>
      <c r="AN20" s="84" t="str">
        <f ca="1">IF(ISERROR(_xll.ciqfunctions.udf.CIQ($A20, "IQ_Capex", IQ_LTM-4, $L$2,$L$4, $L$3, $L$5, $L$6)), "n/a", _xll.ciqfunctions.udf.CIQ($A20, "IQ_Capex", IQ_LTM-4, $L$2,$L$4, $L$3, $L$5, $L$6))</f>
        <v>n/a</v>
      </c>
      <c r="AO20" s="84" t="str">
        <f ca="1">IF(ISERROR(_xll.ciqfunctions.udf.CIQ($A20, "IQ_Capex", IQ_LTM, $L$2, $L$4, $L$3, $L$5, $L$6)), "n/a", _xll.ciqfunctions.udf.CIQ($A20, "IQ_Capex", IQ_LTM, $L$2, $L$4, $L$3, $L$5, $L$6))</f>
        <v>n/a</v>
      </c>
      <c r="AP20" s="66" t="e">
        <f ca="1">_xll.ciqfunctions.udf.CIQ(A20, "IQ_BUSINESS_DESCRIPTION")</f>
        <v>#NAME?</v>
      </c>
      <c r="AQ20" s="85" t="e">
        <f ca="1">_xll.ciqfunctions.udf.CIQ($A20, "IQ_BETA_1YR", $B$1)</f>
        <v>#NAME?</v>
      </c>
      <c r="AR20" s="85" t="e">
        <f ca="1">_xll.ciqfunctions.udf.CIQ($A20, "IQ_BETA_2YR", $B$1)</f>
        <v>#NAME?</v>
      </c>
      <c r="AS20" s="85" t="e">
        <f ca="1">_xll.ciqfunctions.udf.CIQ($A20, "IQ_BETA_5YR", $B$1)</f>
        <v>#NAME?</v>
      </c>
      <c r="AT20" s="69" t="e">
        <f ca="1">_xll.ciqfunctions.udf.CIQ($A20, "IQ_DIVIDEND_YIELD", $B$1)/100</f>
        <v>#NAME?</v>
      </c>
      <c r="AU20" s="84" t="e">
        <f ca="1">_xll.ciqfunctions.udf.CIQ($A20, "IQ_EARNING_CO", IQ_LTM-8, $L$2, $L$4, $L$3, $L$5, $L$6)</f>
        <v>#NAME?</v>
      </c>
      <c r="AV20" s="84" t="e">
        <f ca="1">_xll.ciqfunctions.udf.CIQ($A20, "IQ_EARNING_CO", IQ_LTM-4, $L$2, $L$4, $L$3, $L$5, $L$6)</f>
        <v>#NAME?</v>
      </c>
      <c r="AW20" s="84" t="e">
        <f ca="1">_xll.ciqfunctions.udf.CIQ($A20, "IQ_EARNING_CO", IQ_LTM, $L$2, $L$4, $L$3, $L$5, $L$6)</f>
        <v>#NAME?</v>
      </c>
      <c r="AX20" s="84" t="e">
        <f ca="1">_xll.ciqfunctions.udf.CIQ($A20, "IQ_EARNING_CO", $B$2, $L$2, $L$4, $L$3, $L$5, $L$6)</f>
        <v>#NAME?</v>
      </c>
      <c r="AY20" s="84" t="e">
        <f ca="1">IF(_xll.ciqfunctions.udf.CIQ($A20, "IQ_EARNING_CO", $B$3, $L$2,$L$4, $L$3, $L$5, $L$6)=0,AW20,_xll.ciqfunctions.udf.CIQ($A20, "IQ_EARNING_CO", $B$3, $L$2,$L$4, $L$3, $L$5, $L$6))</f>
        <v>#NAME?</v>
      </c>
      <c r="AZ20" s="84" t="e">
        <f ca="1">_xll.ciqfunctions.udf.CIQ($A20, "IQ_TOTAL_EQUITY", IQ_LTM-8, $L$2, $L$4, $L$3, $L$5, $L$6)</f>
        <v>#NAME?</v>
      </c>
      <c r="BA20" s="84" t="e">
        <f ca="1">_xll.ciqfunctions.udf.CIQ($A20, "IQ_TOTAL_EQUITY", IQ_LTM-4, $L$2, $L$4, $L$3, $L$5, $L$6)</f>
        <v>#NAME?</v>
      </c>
      <c r="BB20" s="84" t="e">
        <f ca="1">_xll.ciqfunctions.udf.CIQ($A20, "IQ_TOTAL_EQUITY", IQ_LTM, $L$2, $L$4, $L$3, $L$5, $L$6)</f>
        <v>#NAME?</v>
      </c>
      <c r="BC20" s="84" t="e">
        <f ca="1">_xll.ciqfunctions.udf.CIQ($A20, "IQ_TOTAL_EQUITY", $B$2, $L$2, $L$4, $L$3, $L$5, $L$6)</f>
        <v>#NAME?</v>
      </c>
      <c r="BD20" s="84" t="e">
        <f ca="1">IF(_xll.ciqfunctions.udf.CIQ($A20, "IQ_TOTAL_EQUITY", $B$3, $L$2,$L$4, $L$3, $L$5, $L$6)=0,BB20,_xll.ciqfunctions.udf.CIQ($A20, "IQ_TOTAL_EQUITY", $B$3, $L$2,$L$4, $L$3, $L$5, $L$6))</f>
        <v>#NAME?</v>
      </c>
      <c r="BE20" s="84" t="e">
        <f ca="1">_xll.ciqfunctions.udf.CIQ(A20, "IQ_LASTSALEPRICE", $B$8)</f>
        <v>#NAME?</v>
      </c>
      <c r="BF20" s="84" t="e">
        <f ca="1">_xll.ciqfunctions.udf.CIQ($A20, "IQ_MARKETCAP", $B$8, $L$5, $L$6)</f>
        <v>#NAME?</v>
      </c>
      <c r="BG20" s="84" t="e">
        <f ca="1">_xll.ciqfunctions.udf.CIQ($A20, "IQ_TOTAL_DEBT", IQ_LTM, $B$8,$L$4, $L$3, $L$5, $L$6)</f>
        <v>#NAME?</v>
      </c>
      <c r="BH20" s="67" t="e">
        <f ca="1">_xll.ciqfunctions.udf.CIQ($A20,"IQ_PREF_EQUITY",IQ_LTM,$B$8,$L$4,$L$3,$L$5,$L$6)</f>
        <v>#NAME?</v>
      </c>
      <c r="BI20" s="67" t="e">
        <f ca="1">_xll.ciqfunctions.udf.CIQ($A20, "IQ_MINORITY_INTEREST_TOTAL", IQ_LTM,$B$8,$L$4,$L$3,$L$5,$L$6)</f>
        <v>#NAME?</v>
      </c>
      <c r="BJ20" s="84" t="e">
        <f ca="1">_xll.ciqfunctions.udf.CIQ($A20, "IQ_CASH_ST_INVEST", IQ_LTM, $B$8, $L$4, $L$3, $L$5, $L$6)</f>
        <v>#NAME?</v>
      </c>
      <c r="BK20" s="67" t="e">
        <f ca="1">_xll.ciqfunctions.udf.CIQ($A20, "IQ_EFFECT_TAX_RATE")</f>
        <v>#NAME?</v>
      </c>
      <c r="BL20" s="67" t="e">
        <f ca="1">IF(_xll.ciqfunctions.udf.CIQ($A20, "IQ_TOTAL_REV_2YR_ANN_CAGR", IQ_LTM, $B$1,$L$4, $L$3, $L$5, $L$6)="NM","n/a",(_xll.ciqfunctions.udf.CIQ($A20, "IQ_TOTAL_REV_2YR_ANN_CAGR", IQ_LTM, $B$1,$L$4, $L$3, $L$5, $L$6)/100))</f>
        <v>#NAME?</v>
      </c>
      <c r="BM20" s="67" t="e">
        <f ca="1">IF(_xll.ciqfunctions.udf.CIQ($A20, "IQ_TOTAL_REV_3YR_ANN_CAGR", IQ_LTM, $B$1,$L$4, $L$3, $L$5, $L$6)="NM","n/a",(_xll.ciqfunctions.udf.CIQ($A20, "IQ_TOTAL_REV_3YR_ANN_CAGR", IQ_LTM, $B$1,$L$4, $L$3, $L$5, $L$6)/100))</f>
        <v>#NAME?</v>
      </c>
      <c r="BN20" s="67" t="e">
        <f ca="1">IF(_xll.ciqfunctions.udf.CIQ($A20, "IQ_TOTAL_REV_5YR_ANN_CAGR", IQ_LTM, $B$1,$L$4, $L$3, $L$5, $L$6)="NM","n/a",(_xll.ciqfunctions.udf.CIQ($A20, "IQ_TOTAL_REV_5YR_ANN_CAGR", IQ_LTM, $B$1,$L$4, $L$3, $L$5, $L$6)/100))</f>
        <v>#NAME?</v>
      </c>
      <c r="BO20" s="67" t="e">
        <f ca="1">IF(_xll.ciqfunctions.udf.CIQ($A20,"IQ_EBITDA_2YR_ANN_CAGR", IQ_LTM,$B$1,$L$4, $L$3, $L$5, $L$6)="NM","n/a",(_xll.ciqfunctions.udf.CIQ($A20,"IQ_EBITDA_2YR_ANN_CAGR", IQ_LTM,$B$1,$L$4, $L$3, $L$5, $L$6)/100))</f>
        <v>#NAME?</v>
      </c>
      <c r="BP20" s="67" t="e">
        <f ca="1">IF(_xll.ciqfunctions.udf.CIQ($A20,"IQ_EBITDA_3YR_ANN_CAGR", IQ_LTM,$B$1,$L$4, $L$3, $L$5, $L$6)="NM","n/a",(_xll.ciqfunctions.udf.CIQ($A20,"IQ_EBITDA_3YR_ANN_CAGR", IQ_LTM,$B$1,$L$4, $L$3, $L$5, $L$6)/100))</f>
        <v>#NAME?</v>
      </c>
      <c r="BQ20" s="67" t="e">
        <f ca="1">IF(_xll.ciqfunctions.udf.CIQ($A20,"IQ_EBITDA_5YR_ANN_CAGR", IQ_LTM,$B$1,$L$4, $L$3, $L$5, $L$6)="NM","n/a",(_xll.ciqfunctions.udf.CIQ($A20,"IQ_EBITDA_5YR_ANN_CAGR", IQ_LTM,$B$1,$L$4, $L$3, $L$5, $L$6)/100))</f>
        <v>#NAME?</v>
      </c>
      <c r="BR20" s="69" t="str">
        <f ca="1">IFERROR((_xll.ciqfunctions.udf.CIQ($A20, "IQ_DA_CF", IQ_LTM, $B$1, $L$4, $L$3, $L$5, $L$6)/Q20),"NM")</f>
        <v>NM</v>
      </c>
      <c r="BS20" s="86">
        <f>'Capital IQ Sheet-GPC'!BS20</f>
        <v>0.7023271176462661</v>
      </c>
      <c r="BT20" s="86">
        <f>'Capital IQ Sheet-GPC'!BT20</f>
        <v>0.76002768683622213</v>
      </c>
      <c r="BU20" s="86">
        <f>'Capital IQ Sheet-GPC'!BU20</f>
        <v>0.72202351879102378</v>
      </c>
      <c r="BV20" s="86">
        <f>'Capital IQ Sheet-GPC'!BV20</f>
        <v>0.74709905352006156</v>
      </c>
      <c r="BW20" s="86">
        <f>'Capital IQ Sheet-GPC'!BW20</f>
        <v>0.74360496881317673</v>
      </c>
      <c r="BX20" s="86" t="str">
        <f>'Capital IQ Sheet-GPC'!BX20</f>
        <v>n/a</v>
      </c>
      <c r="BY20" s="86" t="str">
        <f>'Capital IQ Sheet-GPC'!BY20</f>
        <v>n/a</v>
      </c>
      <c r="BZ20" s="86" t="str">
        <f>'Capital IQ Sheet-GPC'!BZ20</f>
        <v>n/a</v>
      </c>
      <c r="CB20" s="67">
        <v>2</v>
      </c>
      <c r="CC20" s="123" t="s">
        <v>295</v>
      </c>
      <c r="CD20" s="123" t="s">
        <v>294</v>
      </c>
      <c r="CE20" s="68">
        <f t="shared" si="0"/>
        <v>42766</v>
      </c>
    </row>
    <row r="21" spans="1:83" s="67" customFormat="1" ht="12.75">
      <c r="A21" s="67" t="e">
        <f ca="1">_xll.ciqfunctions.udf.CIQ($B21,"IQ_COMPANY_TICKER")</f>
        <v>#NAME?</v>
      </c>
      <c r="B21" s="67" t="str">
        <f>'Capital IQ Sheet-GPC'!B21</f>
        <v>IQ243223852</v>
      </c>
      <c r="C21" s="67" t="e">
        <f ca="1">_xll.ciqfunctions.udf.CIQ($A21,"IQ_COMPANY_NAME")</f>
        <v>#NAME?</v>
      </c>
      <c r="D21" s="67" t="e">
        <f ca="1">_xll.ciqfunctions.udf.CIQ($A21, "IQ_EXCHANGE")</f>
        <v>#NAME?</v>
      </c>
      <c r="E21" s="68" t="e">
        <f ca="1">_xll.ciqfunctions.udf.CIQ($A21, "IQ_PERIODDATE_IS", IQ_FY)</f>
        <v>#NAME?</v>
      </c>
      <c r="F21" s="68" t="e">
        <f ca="1">_xll.ciqfunctions.udf.CIQ(A21, "IQ_PERIODDATE_IS", IQ_LTM, $B$1,$L$4,$L$3)</f>
        <v>#NAME?</v>
      </c>
      <c r="G21" s="68" t="e">
        <f ca="1">_xll.ciqfunctions.udf.CIQ($A21, "IQ_FIRSTPRICINGDATE")</f>
        <v>#NAME?</v>
      </c>
      <c r="H21" s="84" t="e">
        <f ca="1">_xll.ciqfunctions.udf.CIQ($A21, "IQ_TEV", $L$2, $L$5, $L$6)</f>
        <v>#NAME?</v>
      </c>
      <c r="I21" s="84" t="e">
        <f ca="1">_xll.ciqfunctions.udf.CIQ(A21, "IQ_LASTSALEPRICE", $B$1,$L$5)</f>
        <v>#NAME?</v>
      </c>
      <c r="J21" s="84" t="e">
        <f ca="1">_xll.ciqfunctions.udf.CIQ($A21, "IQ_MARKETCAP", $L$2, $L$5, $L$6)</f>
        <v>#NAME?</v>
      </c>
      <c r="K21" s="84" t="e">
        <f ca="1">_xll.ciqfunctions.udf.CIQ($A21, "IQ_TOTAL_DEBT", IQ_LTM, $L$2,$L$4, $L$3, $L$5, $L$6)</f>
        <v>#NAME?</v>
      </c>
      <c r="L21" s="84" t="e">
        <f ca="1">_xll.ciqfunctions.udf.CIQ($A21, "IQ_PREF_EQUITY", IQ_LTM, $L$2, $L$4, $L$3, $L$5, $L$6)</f>
        <v>#NAME?</v>
      </c>
      <c r="M21" s="84" t="e">
        <f ca="1">_xll.ciqfunctions.udf.CIQ($A21, "IQ_MINORITY_INTEREST_TOTAL", IQ_LTM, $L$2, $L$4, $L$3, $L$5, $L$6)</f>
        <v>#NAME?</v>
      </c>
      <c r="N21" s="84" t="e">
        <f ca="1">_xll.ciqfunctions.udf.CIQ($A21, "IQ_CASH_ST_INVEST", IQ_LTM, $L$2, $L$4, $L$3, $L$5, $L$6)</f>
        <v>#NAME?</v>
      </c>
      <c r="O21" s="84" t="e">
        <f ca="1">_xll.ciqfunctions.udf.CIQ($A21, "IQ_TOTAL_REV", IQ_LTM-8, $L$2, $L$4, $L$3, $L$5, $L$6)</f>
        <v>#NAME?</v>
      </c>
      <c r="P21" s="84" t="e">
        <f ca="1">_xll.ciqfunctions.udf.CIQ($A21, "IQ_TOTAL_REV", IQ_LTM - 4, $L$2, $L$4, $L$3, $L$5,$L$6)</f>
        <v>#NAME?</v>
      </c>
      <c r="Q21" s="84" t="e">
        <f ca="1">_xll.ciqfunctions.udf.CIQ($A21, "IQ_TOTAL_REV", IQ_LTM, $L$2, $L$4, $L$3, $L$5, $L$6)</f>
        <v>#NAME?</v>
      </c>
      <c r="R21" s="84" t="e">
        <f ca="1">_xll.ciqfunctions.udf.CIQ($A21, "IQ_TOTAL_REV", $B$2, $L$2, $L$4, $L$3, $L$5, $L$6)</f>
        <v>#NAME?</v>
      </c>
      <c r="S21" s="84" t="e">
        <f ca="1">IF(_xll.ciqfunctions.udf.CIQ($A21, "IQ_TOTAL_REV", $B$3, $L$2,$L$4, $L$3, $L$5, $L$6)=0,Q21,_xll.ciqfunctions.udf.CIQ($A21, "IQ_TOTAL_REV", $B$3, $L$2,$L$4, $L$3, $L$5, $L$6))</f>
        <v>#NAME?</v>
      </c>
      <c r="T21" s="84" t="e">
        <f ca="1">IF(_xll.ciqfunctions.udf.CIQ($A21, "IQ_REVENUE_EST",$B$4, $L$2, "CON", $L$3, $L$5, $L$6)=0,"n/a",_xll.ciqfunctions.udf.CIQ($A21, "IQ_REVENUE_EST",$B$4, $L$2, "CON", $L$3, $L$5, $L$6))</f>
        <v>#NAME?</v>
      </c>
      <c r="U21" s="84" t="e">
        <f ca="1">IF(_xll.ciqfunctions.udf.CIQ($A21, "IQ_REVENUE_EST",$B$5, $L$2, "CON", $L$3, $L$5, $L$6)=0,"n/a",_xll.ciqfunctions.udf.CIQ($A21, "IQ_REVENUE_EST",$B$5, $L$2, "CON", $L$3, $L$5, $L$6))</f>
        <v>#NAME?</v>
      </c>
      <c r="V21" s="84" t="e">
        <f ca="1">IF(_xll.ciqfunctions.udf.CIQ($A21, "IQ_REVENUE_EST",$B$6, $L$2, "CON", $L$3, $L$5, $L$6)=0,"n/a",_xll.ciqfunctions.udf.CIQ($A21, "IQ_REVENUE_EST",$B$6, $L$2, "CON", $L$3, $L$5, $L$6))</f>
        <v>#NAME?</v>
      </c>
      <c r="W21" s="84" t="e">
        <f ca="1">IF(_xll.ciqfunctions.udf.CIQ($A21, "IQ_REVENUE_EST", $B$7, $L$2, "CON", $L$3, $L$5, $L$6)=0,"n/a",_xll.ciqfunctions.udf.CIQ($A21, "IQ_REVENUE_EST",$B$7, $L$2, "CON", $L$3, $L$5, $L$6))</f>
        <v>#NAME?</v>
      </c>
      <c r="X21" s="84" t="e">
        <f ca="1">_xll.ciqfunctions.udf.CIQ($A21, "IQ_EBITDA", IQ_LTM-8, $L$2, $L$4, $L$3, $L$5, $L$6)</f>
        <v>#NAME?</v>
      </c>
      <c r="Y21" s="84" t="e">
        <f ca="1">_xll.ciqfunctions.udf.CIQ($A21, "IQ_EBITDA", IQ_LTM-4, $L$2,$L$4, $L$3, $L$5, $L$6)</f>
        <v>#NAME?</v>
      </c>
      <c r="Z21" s="84" t="e">
        <f ca="1">_xll.ciqfunctions.udf.CIQ($A21, "IQ_EBITDA", IQ_LTM, $L$2, $L$4, $L$3, $L$5, $L$6)</f>
        <v>#NAME?</v>
      </c>
      <c r="AA21" s="84" t="e">
        <f ca="1">_xll.ciqfunctions.udf.CIQ($A21, "IQ_EBITDA", $B$2, $L$2, $L$4, $L$3, $L$5, $L$6)</f>
        <v>#NAME?</v>
      </c>
      <c r="AB21" s="84" t="e">
        <f ca="1">IF(_xll.ciqfunctions.udf.CIQ($A21, "IQ_EBITDA", $B$3, $L$2,$L$4, $L$3, $L$5, $L$6)=0,Z21,_xll.ciqfunctions.udf.CIQ($A21, "IQ_EBITDA", $B$3, $L$2,$L$4, $L$3, $L$5, $L$6))</f>
        <v>#NAME?</v>
      </c>
      <c r="AC21" s="84" t="e">
        <f ca="1">IF(_xll.ciqfunctions.udf.CIQ($A21, "IQ_EBITDA_EST",$B$4, $L$2, "CON", $L$3, $L$5, $L$6)=0,"n/a",_xll.ciqfunctions.udf.CIQ($A21, "IQ_EBITDA_EST",$B$4, $L$2, "CON", $L$3, $L$5, $L$6))</f>
        <v>#NAME?</v>
      </c>
      <c r="AD21" s="84" t="e">
        <f ca="1">IF(_xll.ciqfunctions.udf.CIQ($A21, "IQ_EBITDA_EST",$B$5, $L$2, "CON", $L$3, $L$5, $L$6)=0,"n/a",_xll.ciqfunctions.udf.CIQ($A21, "IQ_EBITDA_EST",$B$5, $L$2, "CON", $L$3, $L$5, $L$6))</f>
        <v>#NAME?</v>
      </c>
      <c r="AE21" s="84" t="e">
        <f ca="1">IF(_xll.ciqfunctions.udf.CIQ($A21, "IQ_EBITDA_EST",$B$6, $L$2, "CON", $L$3, $L$5, $L$6)=0,"n/a",_xll.ciqfunctions.udf.CIQ($A21, "IQ_EBITDA_EST",$B$6, $L$2, "CON", $L$3, $L$5, $L$6))</f>
        <v>#NAME?</v>
      </c>
      <c r="AF21" s="69" t="str">
        <f ca="1">IF(ISERROR(_xll.ciqfunctions.udf.CIQ($A21, "IQ_GROSS_MARGIN", IQ_LTM, $L$2,$L$4, $L$3, $L$5, $L$6)/100), "n/a", _xll.ciqfunctions.udf.CIQ($A21,  "IQ_GROSS_MARGIN", IQ_LTM, $L$2, $L$4, $L$3, $L$5, $L$6)/100)</f>
        <v>n/a</v>
      </c>
      <c r="AG21" s="69" t="str">
        <f ca="1">IF(ISERROR(_xll.ciqfunctions.udf.CIQ($A21,"IQ_EBITDA_MARGIN", IQ_LTM, $L$2, $L$4, $L$3, $L$5, $L$6)/100), "n/a", _xll.ciqfunctions.udf.CIQ($A21, "IQ_EBITDA_MARGIN", IQ_LTM, $L$2, $L$4, $L$3, $L$5, $L$6)/100)</f>
        <v>n/a</v>
      </c>
      <c r="AH21" s="69" t="str">
        <f ca="1">IF(ISERROR(_xll.ciqfunctions.udf.CIQ($A21,"IQ_EBIT_MARGIN", IQ_LTM, $L$2, $L$4, $L$3, $L$5, $L$6)/100), "n/a", _xll.ciqfunctions.udf.CIQ($A21, "IQ_EBIT_MARGIN", IQ_LTM, $L$2, $L$4, $L$3, $L$5, $L$6)/100)</f>
        <v>n/a</v>
      </c>
      <c r="AI21" s="69" t="str">
        <f ca="1">IF(ISERROR(_xll.ciqfunctions.udf.CIQ($A21,"IQ_NI_MARGIN", IQ_LTM, $L$2, $L$4, $L$3, $L$5, $L$6)/100), "n/a", _xll.ciqfunctions.udf.CIQ($A21, "IQ_NI_MARGIN", IQ_LTM, $L$2, $L$4, $L$3, $L$5, $L$6)/100)</f>
        <v>n/a</v>
      </c>
      <c r="AJ21" s="84" t="str">
        <f ca="1">IF(ISERROR(_xll.ciqfunctions.udf.CIQ($A21, "IQ_NET_WORKING_CAP", IQ_LTM-8, $L$2, $L$4, $L$3, $L$5, $L$6)), "n/a", _xll.ciqfunctions.udf.CIQ($A21, "IQ_NET_WORKING_CAP", IQ_LTM-8, $L$2, $L$4, $L$3, $L$5, $L$6))</f>
        <v>n/a</v>
      </c>
      <c r="AK21" s="84" t="str">
        <f ca="1">IF(ISERROR(_xll.ciqfunctions.udf.CIQ($A21, "IQ_NET_WORKING_CAP", IQ_LTM-4, $L$2, $L$4, $L$3, $L$5, $L$6)), "n/a", _xll.ciqfunctions.udf.CIQ($A21, "IQ_NET_WORKING_CAP", IQ_LTM-4, $L$2, $L$4, $L$3, $L$5, $L$6))</f>
        <v>n/a</v>
      </c>
      <c r="AL21" s="84" t="str">
        <f ca="1">IF(ISERROR(_xll.ciqfunctions.udf.CIQ($A21, "IQ_NET_WORKING_CAP", IQ_LTM, $L$2,$L$4, $L$3, $L$5, $L$6)), "n/a", _xll.ciqfunctions.udf.CIQ($A21, "IQ_NET_WORKING_CAP", IQ_LTM, $L$2, $L$4, $L$3, $L$5, $L$6))</f>
        <v>n/a</v>
      </c>
      <c r="AM21" s="84" t="str">
        <f ca="1">IF(ISERROR(_xll.ciqfunctions.udf.CIQ($A21, "IQ_Capex", IQ_LTM-8, $L$2,$L$4, $L$3, $L$5, $L$6)), "n/a", _xll.ciqfunctions.udf.CIQ($A21, "IQ_Capex", IQ_LTM-8, $L$2, $L$4, $L$3, $L$5, $L$6))</f>
        <v>n/a</v>
      </c>
      <c r="AN21" s="84" t="str">
        <f ca="1">IF(ISERROR(_xll.ciqfunctions.udf.CIQ($A21, "IQ_Capex", IQ_LTM-4, $L$2,$L$4, $L$3, $L$5, $L$6)), "n/a", _xll.ciqfunctions.udf.CIQ($A21, "IQ_Capex", IQ_LTM-4, $L$2,$L$4, $L$3, $L$5, $L$6))</f>
        <v>n/a</v>
      </c>
      <c r="AO21" s="84" t="str">
        <f ca="1">IF(ISERROR(_xll.ciqfunctions.udf.CIQ($A21, "IQ_Capex", IQ_LTM, $L$2, $L$4, $L$3, $L$5, $L$6)), "n/a", _xll.ciqfunctions.udf.CIQ($A21, "IQ_Capex", IQ_LTM, $L$2, $L$4, $L$3, $L$5, $L$6))</f>
        <v>n/a</v>
      </c>
      <c r="AP21" s="66" t="e">
        <f ca="1">_xll.ciqfunctions.udf.CIQ(A21, "IQ_BUSINESS_DESCRIPTION")</f>
        <v>#NAME?</v>
      </c>
      <c r="AQ21" s="85" t="e">
        <f ca="1">_xll.ciqfunctions.udf.CIQ($A21, "IQ_BETA_1YR", $B$1)</f>
        <v>#NAME?</v>
      </c>
      <c r="AR21" s="85" t="e">
        <f ca="1">_xll.ciqfunctions.udf.CIQ($A21, "IQ_BETA_2YR", $B$1)</f>
        <v>#NAME?</v>
      </c>
      <c r="AS21" s="85" t="e">
        <f ca="1">_xll.ciqfunctions.udf.CIQ($A21, "IQ_BETA_5YR", $B$1)</f>
        <v>#NAME?</v>
      </c>
      <c r="AT21" s="69" t="e">
        <f ca="1">_xll.ciqfunctions.udf.CIQ($A21, "IQ_DIVIDEND_YIELD", $B$1)/100</f>
        <v>#NAME?</v>
      </c>
      <c r="AU21" s="84" t="e">
        <f ca="1">_xll.ciqfunctions.udf.CIQ($A21, "IQ_EARNING_CO", IQ_LTM-8, $L$2, $L$4, $L$3, $L$5, $L$6)</f>
        <v>#NAME?</v>
      </c>
      <c r="AV21" s="84" t="e">
        <f ca="1">_xll.ciqfunctions.udf.CIQ($A21, "IQ_EARNING_CO", IQ_LTM-4, $L$2, $L$4, $L$3, $L$5, $L$6)</f>
        <v>#NAME?</v>
      </c>
      <c r="AW21" s="84" t="e">
        <f ca="1">_xll.ciqfunctions.udf.CIQ($A21, "IQ_EARNING_CO", IQ_LTM, $L$2, $L$4, $L$3, $L$5, $L$6)</f>
        <v>#NAME?</v>
      </c>
      <c r="AX21" s="84" t="e">
        <f ca="1">_xll.ciqfunctions.udf.CIQ($A21, "IQ_EARNING_CO", $B$2, $L$2, $L$4, $L$3, $L$5, $L$6)</f>
        <v>#NAME?</v>
      </c>
      <c r="AY21" s="84" t="e">
        <f ca="1">IF(_xll.ciqfunctions.udf.CIQ($A21, "IQ_EARNING_CO", $B$3, $L$2,$L$4, $L$3, $L$5, $L$6)=0,AW21,_xll.ciqfunctions.udf.CIQ($A21, "IQ_EARNING_CO", $B$3, $L$2,$L$4, $L$3, $L$5, $L$6))</f>
        <v>#NAME?</v>
      </c>
      <c r="AZ21" s="84" t="e">
        <f ca="1">_xll.ciqfunctions.udf.CIQ($A21, "IQ_TOTAL_EQUITY", IQ_LTM-8, $L$2, $L$4, $L$3, $L$5, $L$6)</f>
        <v>#NAME?</v>
      </c>
      <c r="BA21" s="84" t="e">
        <f ca="1">_xll.ciqfunctions.udf.CIQ($A21, "IQ_TOTAL_EQUITY", IQ_LTM-4, $L$2, $L$4, $L$3, $L$5, $L$6)</f>
        <v>#NAME?</v>
      </c>
      <c r="BB21" s="84" t="e">
        <f ca="1">_xll.ciqfunctions.udf.CIQ($A21, "IQ_TOTAL_EQUITY", IQ_LTM, $L$2, $L$4, $L$3, $L$5, $L$6)</f>
        <v>#NAME?</v>
      </c>
      <c r="BC21" s="84" t="e">
        <f ca="1">_xll.ciqfunctions.udf.CIQ($A21, "IQ_TOTAL_EQUITY", $B$2, $L$2, $L$4, $L$3, $L$5, $L$6)</f>
        <v>#NAME?</v>
      </c>
      <c r="BD21" s="84" t="e">
        <f ca="1">IF(_xll.ciqfunctions.udf.CIQ($A21, "IQ_TOTAL_EQUITY", $B$3, $L$2,$L$4, $L$3, $L$5, $L$6)=0,BB21,_xll.ciqfunctions.udf.CIQ($A21, "IQ_TOTAL_EQUITY", $B$3, $L$2,$L$4, $L$3, $L$5, $L$6))</f>
        <v>#NAME?</v>
      </c>
      <c r="BE21" s="84" t="e">
        <f ca="1">_xll.ciqfunctions.udf.CIQ(A21, "IQ_LASTSALEPRICE", $B$8)</f>
        <v>#NAME?</v>
      </c>
      <c r="BF21" s="84" t="e">
        <f ca="1">_xll.ciqfunctions.udf.CIQ($A21, "IQ_MARKETCAP", $B$8, $L$5, $L$6)</f>
        <v>#NAME?</v>
      </c>
      <c r="BG21" s="84" t="e">
        <f ca="1">_xll.ciqfunctions.udf.CIQ($A21, "IQ_TOTAL_DEBT", IQ_LTM, $B$8,$L$4, $L$3, $L$5, $L$6)</f>
        <v>#NAME?</v>
      </c>
      <c r="BH21" s="67" t="e">
        <f ca="1">_xll.ciqfunctions.udf.CIQ($A21,"IQ_PREF_EQUITY",IQ_LTM,$B$8,$L$4,$L$3,$L$5,$L$6)</f>
        <v>#NAME?</v>
      </c>
      <c r="BI21" s="67" t="e">
        <f ca="1">_xll.ciqfunctions.udf.CIQ($A21, "IQ_MINORITY_INTEREST_TOTAL", IQ_LTM,$B$8,$L$4,$L$3,$L$5,$L$6)</f>
        <v>#NAME?</v>
      </c>
      <c r="BJ21" s="84" t="e">
        <f ca="1">_xll.ciqfunctions.udf.CIQ($A21, "IQ_CASH_ST_INVEST", IQ_LTM, $B$8, $L$4, $L$3, $L$5, $L$6)</f>
        <v>#NAME?</v>
      </c>
      <c r="BK21" s="67" t="e">
        <f ca="1">_xll.ciqfunctions.udf.CIQ($A21, "IQ_EFFECT_TAX_RATE")</f>
        <v>#NAME?</v>
      </c>
      <c r="BL21" s="67" t="e">
        <f ca="1">IF(_xll.ciqfunctions.udf.CIQ($A21, "IQ_TOTAL_REV_2YR_ANN_CAGR", IQ_LTM, $B$1,$L$4, $L$3, $L$5, $L$6)="NM","n/a",(_xll.ciqfunctions.udf.CIQ($A21, "IQ_TOTAL_REV_2YR_ANN_CAGR", IQ_LTM, $B$1,$L$4, $L$3, $L$5, $L$6)/100))</f>
        <v>#NAME?</v>
      </c>
      <c r="BM21" s="67" t="e">
        <f ca="1">IF(_xll.ciqfunctions.udf.CIQ($A21, "IQ_TOTAL_REV_3YR_ANN_CAGR", IQ_LTM, $B$1,$L$4, $L$3, $L$5, $L$6)="NM","n/a",(_xll.ciqfunctions.udf.CIQ($A21, "IQ_TOTAL_REV_3YR_ANN_CAGR", IQ_LTM, $B$1,$L$4, $L$3, $L$5, $L$6)/100))</f>
        <v>#NAME?</v>
      </c>
      <c r="BN21" s="67" t="e">
        <f ca="1">IF(_xll.ciqfunctions.udf.CIQ($A21, "IQ_TOTAL_REV_5YR_ANN_CAGR", IQ_LTM, $B$1,$L$4, $L$3, $L$5, $L$6)="NM","n/a",(_xll.ciqfunctions.udf.CIQ($A21, "IQ_TOTAL_REV_5YR_ANN_CAGR", IQ_LTM, $B$1,$L$4, $L$3, $L$5, $L$6)/100))</f>
        <v>#NAME?</v>
      </c>
      <c r="BO21" s="67" t="e">
        <f ca="1">IF(_xll.ciqfunctions.udf.CIQ($A21,"IQ_EBITDA_2YR_ANN_CAGR", IQ_LTM,$B$1,$L$4, $L$3, $L$5, $L$6)="NM","n/a",(_xll.ciqfunctions.udf.CIQ($A21,"IQ_EBITDA_2YR_ANN_CAGR", IQ_LTM,$B$1,$L$4, $L$3, $L$5, $L$6)/100))</f>
        <v>#NAME?</v>
      </c>
      <c r="BP21" s="67" t="e">
        <f ca="1">IF(_xll.ciqfunctions.udf.CIQ($A21,"IQ_EBITDA_3YR_ANN_CAGR", IQ_LTM,$B$1,$L$4, $L$3, $L$5, $L$6)="NM","n/a",(_xll.ciqfunctions.udf.CIQ($A21,"IQ_EBITDA_3YR_ANN_CAGR", IQ_LTM,$B$1,$L$4, $L$3, $L$5, $L$6)/100))</f>
        <v>#NAME?</v>
      </c>
      <c r="BQ21" s="67" t="e">
        <f ca="1">IF(_xll.ciqfunctions.udf.CIQ($A21,"IQ_EBITDA_5YR_ANN_CAGR", IQ_LTM,$B$1,$L$4, $L$3, $L$5, $L$6)="NM","n/a",(_xll.ciqfunctions.udf.CIQ($A21,"IQ_EBITDA_5YR_ANN_CAGR", IQ_LTM,$B$1,$L$4, $L$3, $L$5, $L$6)/100))</f>
        <v>#NAME?</v>
      </c>
      <c r="BR21" s="69" t="str">
        <f ca="1">IFERROR((_xll.ciqfunctions.udf.CIQ($A21, "IQ_DA_CF", IQ_LTM, $B$1, $L$4, $L$3, $L$5, $L$6)/Q21),"NM")</f>
        <v>NM</v>
      </c>
      <c r="BS21" s="86">
        <f>'Capital IQ Sheet-GPC'!BS21</f>
        <v>0.66006063710498863</v>
      </c>
      <c r="BT21" s="86">
        <f>'Capital IQ Sheet-GPC'!BT21</f>
        <v>0.60947723086456018</v>
      </c>
      <c r="BU21" s="86">
        <f>'Capital IQ Sheet-GPC'!BU21</f>
        <v>0.59768048017248299</v>
      </c>
      <c r="BV21" s="86" t="str">
        <f>'Capital IQ Sheet-GPC'!BV21</f>
        <v>n/a</v>
      </c>
      <c r="BW21" s="86" t="str">
        <f>'Capital IQ Sheet-GPC'!BW21</f>
        <v>n/a</v>
      </c>
      <c r="BX21" s="86" t="str">
        <f>'Capital IQ Sheet-GPC'!BX21</f>
        <v>n/a</v>
      </c>
      <c r="BY21" s="86" t="str">
        <f>'Capital IQ Sheet-GPC'!BY21</f>
        <v>n/a</v>
      </c>
      <c r="BZ21" s="86" t="str">
        <f>'Capital IQ Sheet-GPC'!BZ21</f>
        <v>n/a</v>
      </c>
      <c r="CB21" s="67">
        <v>2</v>
      </c>
      <c r="CC21" s="123" t="s">
        <v>295</v>
      </c>
      <c r="CD21" s="123" t="s">
        <v>294</v>
      </c>
      <c r="CE21" s="68">
        <f t="shared" si="0"/>
        <v>42766</v>
      </c>
    </row>
    <row r="22" spans="1:83" s="67" customFormat="1" ht="12.75">
      <c r="A22" s="67" t="e">
        <f ca="1">_xll.ciqfunctions.udf.CIQ($B22,"IQ_COMPANY_TICKER")</f>
        <v>#NAME?</v>
      </c>
      <c r="B22" s="67" t="str">
        <f>'Capital IQ Sheet-GPC'!B22</f>
        <v>IQ412674</v>
      </c>
      <c r="C22" s="67" t="e">
        <f ca="1">_xll.ciqfunctions.udf.CIQ($A22,"IQ_COMPANY_NAME")</f>
        <v>#NAME?</v>
      </c>
      <c r="D22" s="67" t="e">
        <f ca="1">_xll.ciqfunctions.udf.CIQ($A22, "IQ_EXCHANGE")</f>
        <v>#NAME?</v>
      </c>
      <c r="E22" s="68" t="e">
        <f ca="1">_xll.ciqfunctions.udf.CIQ($A22, "IQ_PERIODDATE_IS", IQ_FY)</f>
        <v>#NAME?</v>
      </c>
      <c r="F22" s="68" t="e">
        <f ca="1">_xll.ciqfunctions.udf.CIQ(A22, "IQ_PERIODDATE_IS", IQ_LTM, $B$1,$L$4,$L$3)</f>
        <v>#NAME?</v>
      </c>
      <c r="G22" s="68" t="e">
        <f ca="1">_xll.ciqfunctions.udf.CIQ($A22, "IQ_FIRSTPRICINGDATE")</f>
        <v>#NAME?</v>
      </c>
      <c r="H22" s="84" t="e">
        <f ca="1">_xll.ciqfunctions.udf.CIQ($A22, "IQ_TEV", $L$2, $L$5, $L$6)</f>
        <v>#NAME?</v>
      </c>
      <c r="I22" s="84" t="e">
        <f ca="1">_xll.ciqfunctions.udf.CIQ(A22, "IQ_LASTSALEPRICE", $B$1,$L$5)</f>
        <v>#NAME?</v>
      </c>
      <c r="J22" s="84" t="e">
        <f ca="1">_xll.ciqfunctions.udf.CIQ($A22, "IQ_MARKETCAP", $L$2, $L$5, $L$6)</f>
        <v>#NAME?</v>
      </c>
      <c r="K22" s="84" t="e">
        <f ca="1">_xll.ciqfunctions.udf.CIQ($A22, "IQ_TOTAL_DEBT", IQ_LTM, $L$2,$L$4, $L$3, $L$5, $L$6)</f>
        <v>#NAME?</v>
      </c>
      <c r="L22" s="84" t="e">
        <f ca="1">_xll.ciqfunctions.udf.CIQ($A22, "IQ_PREF_EQUITY", IQ_LTM, $L$2, $L$4, $L$3, $L$5, $L$6)</f>
        <v>#NAME?</v>
      </c>
      <c r="M22" s="84" t="e">
        <f ca="1">_xll.ciqfunctions.udf.CIQ($A22, "IQ_MINORITY_INTEREST_TOTAL", IQ_LTM, $L$2, $L$4, $L$3, $L$5, $L$6)</f>
        <v>#NAME?</v>
      </c>
      <c r="N22" s="84" t="e">
        <f ca="1">_xll.ciqfunctions.udf.CIQ($A22, "IQ_CASH_ST_INVEST", IQ_LTM, $L$2, $L$4, $L$3, $L$5, $L$6)</f>
        <v>#NAME?</v>
      </c>
      <c r="O22" s="84" t="e">
        <f ca="1">_xll.ciqfunctions.udf.CIQ($A22, "IQ_TOTAL_REV", IQ_LTM-8, $L$2, $L$4, $L$3, $L$5, $L$6)</f>
        <v>#NAME?</v>
      </c>
      <c r="P22" s="84" t="e">
        <f ca="1">_xll.ciqfunctions.udf.CIQ($A22, "IQ_TOTAL_REV", IQ_LTM - 4, $L$2, $L$4, $L$3, $L$5,$L$6)</f>
        <v>#NAME?</v>
      </c>
      <c r="Q22" s="84" t="e">
        <f ca="1">_xll.ciqfunctions.udf.CIQ($A22, "IQ_TOTAL_REV", IQ_LTM, $L$2, $L$4, $L$3, $L$5, $L$6)</f>
        <v>#NAME?</v>
      </c>
      <c r="R22" s="84" t="e">
        <f ca="1">_xll.ciqfunctions.udf.CIQ($A22, "IQ_TOTAL_REV", $B$2, $L$2, $L$4, $L$3, $L$5, $L$6)</f>
        <v>#NAME?</v>
      </c>
      <c r="S22" s="84" t="e">
        <f ca="1">IF(_xll.ciqfunctions.udf.CIQ($A22, "IQ_TOTAL_REV", $B$3, $L$2,$L$4, $L$3, $L$5, $L$6)=0,Q22,_xll.ciqfunctions.udf.CIQ($A22, "IQ_TOTAL_REV", $B$3, $L$2,$L$4, $L$3, $L$5, $L$6))</f>
        <v>#NAME?</v>
      </c>
      <c r="T22" s="84" t="e">
        <f ca="1">IF(_xll.ciqfunctions.udf.CIQ($A22, "IQ_REVENUE_EST",$B$4, $L$2, "CON", $L$3, $L$5, $L$6)=0,"n/a",_xll.ciqfunctions.udf.CIQ($A22, "IQ_REVENUE_EST",$B$4, $L$2, "CON", $L$3, $L$5, $L$6))</f>
        <v>#NAME?</v>
      </c>
      <c r="U22" s="84" t="e">
        <f ca="1">IF(_xll.ciqfunctions.udf.CIQ($A22, "IQ_REVENUE_EST",$B$5, $L$2, "CON", $L$3, $L$5, $L$6)=0,"n/a",_xll.ciqfunctions.udf.CIQ($A22, "IQ_REVENUE_EST",$B$5, $L$2, "CON", $L$3, $L$5, $L$6))</f>
        <v>#NAME?</v>
      </c>
      <c r="V22" s="84" t="e">
        <f ca="1">IF(_xll.ciqfunctions.udf.CIQ($A22, "IQ_REVENUE_EST",$B$6, $L$2, "CON", $L$3, $L$5, $L$6)=0,"n/a",_xll.ciqfunctions.udf.CIQ($A22, "IQ_REVENUE_EST",$B$6, $L$2, "CON", $L$3, $L$5, $L$6))</f>
        <v>#NAME?</v>
      </c>
      <c r="W22" s="84" t="e">
        <f ca="1">IF(_xll.ciqfunctions.udf.CIQ($A22, "IQ_REVENUE_EST", $B$7, $L$2, "CON", $L$3, $L$5, $L$6)=0,"n/a",_xll.ciqfunctions.udf.CIQ($A22, "IQ_REVENUE_EST",$B$7, $L$2, "CON", $L$3, $L$5, $L$6))</f>
        <v>#NAME?</v>
      </c>
      <c r="X22" s="84" t="e">
        <f ca="1">_xll.ciqfunctions.udf.CIQ($A22, "IQ_EBITDA", IQ_LTM-8, $L$2, $L$4, $L$3, $L$5, $L$6)</f>
        <v>#NAME?</v>
      </c>
      <c r="Y22" s="84" t="e">
        <f ca="1">_xll.ciqfunctions.udf.CIQ($A22, "IQ_EBITDA", IQ_LTM-4, $L$2,$L$4, $L$3, $L$5, $L$6)</f>
        <v>#NAME?</v>
      </c>
      <c r="Z22" s="84" t="e">
        <f ca="1">_xll.ciqfunctions.udf.CIQ($A22, "IQ_EBITDA", IQ_LTM, $L$2, $L$4, $L$3, $L$5, $L$6)</f>
        <v>#NAME?</v>
      </c>
      <c r="AA22" s="84" t="e">
        <f ca="1">_xll.ciqfunctions.udf.CIQ($A22, "IQ_EBITDA", $B$2, $L$2, $L$4, $L$3, $L$5, $L$6)</f>
        <v>#NAME?</v>
      </c>
      <c r="AB22" s="84" t="e">
        <f ca="1">IF(_xll.ciqfunctions.udf.CIQ($A22, "IQ_EBITDA", $B$3, $L$2,$L$4, $L$3, $L$5, $L$6)=0,Z22,_xll.ciqfunctions.udf.CIQ($A22, "IQ_EBITDA", $B$3, $L$2,$L$4, $L$3, $L$5, $L$6))</f>
        <v>#NAME?</v>
      </c>
      <c r="AC22" s="84" t="e">
        <f ca="1">IF(_xll.ciqfunctions.udf.CIQ($A22, "IQ_EBITDA_EST",$B$4, $L$2, "CON", $L$3, $L$5, $L$6)=0,"n/a",_xll.ciqfunctions.udf.CIQ($A22, "IQ_EBITDA_EST",$B$4, $L$2, "CON", $L$3, $L$5, $L$6))</f>
        <v>#NAME?</v>
      </c>
      <c r="AD22" s="84" t="e">
        <f ca="1">IF(_xll.ciqfunctions.udf.CIQ($A22, "IQ_EBITDA_EST",$B$5, $L$2, "CON", $L$3, $L$5, $L$6)=0,"n/a",_xll.ciqfunctions.udf.CIQ($A22, "IQ_EBITDA_EST",$B$5, $L$2, "CON", $L$3, $L$5, $L$6))</f>
        <v>#NAME?</v>
      </c>
      <c r="AE22" s="84" t="e">
        <f ca="1">IF(_xll.ciqfunctions.udf.CIQ($A22, "IQ_EBITDA_EST",$B$6, $L$2, "CON", $L$3, $L$5, $L$6)=0,"n/a",_xll.ciqfunctions.udf.CIQ($A22, "IQ_EBITDA_EST",$B$6, $L$2, "CON", $L$3, $L$5, $L$6))</f>
        <v>#NAME?</v>
      </c>
      <c r="AF22" s="69" t="str">
        <f ca="1">IF(ISERROR(_xll.ciqfunctions.udf.CIQ($A22, "IQ_GROSS_MARGIN", IQ_LTM, $L$2,$L$4, $L$3, $L$5, $L$6)/100), "n/a", _xll.ciqfunctions.udf.CIQ($A22,  "IQ_GROSS_MARGIN", IQ_LTM, $L$2, $L$4, $L$3, $L$5, $L$6)/100)</f>
        <v>n/a</v>
      </c>
      <c r="AG22" s="69" t="str">
        <f ca="1">IF(ISERROR(_xll.ciqfunctions.udf.CIQ($A22,"IQ_EBITDA_MARGIN", IQ_LTM, $L$2, $L$4, $L$3, $L$5, $L$6)/100), "n/a", _xll.ciqfunctions.udf.CIQ($A22, "IQ_EBITDA_MARGIN", IQ_LTM, $L$2, $L$4, $L$3, $L$5, $L$6)/100)</f>
        <v>n/a</v>
      </c>
      <c r="AH22" s="69" t="str">
        <f ca="1">IF(ISERROR(_xll.ciqfunctions.udf.CIQ($A22,"IQ_EBIT_MARGIN", IQ_LTM, $L$2, $L$4, $L$3, $L$5, $L$6)/100), "n/a", _xll.ciqfunctions.udf.CIQ($A22, "IQ_EBIT_MARGIN", IQ_LTM, $L$2, $L$4, $L$3, $L$5, $L$6)/100)</f>
        <v>n/a</v>
      </c>
      <c r="AI22" s="69" t="str">
        <f ca="1">IF(ISERROR(_xll.ciqfunctions.udf.CIQ($A22,"IQ_NI_MARGIN", IQ_LTM, $L$2, $L$4, $L$3, $L$5, $L$6)/100), "n/a", _xll.ciqfunctions.udf.CIQ($A22, "IQ_NI_MARGIN", IQ_LTM, $L$2, $L$4, $L$3, $L$5, $L$6)/100)</f>
        <v>n/a</v>
      </c>
      <c r="AJ22" s="84" t="str">
        <f ca="1">IF(ISERROR(_xll.ciqfunctions.udf.CIQ($A22, "IQ_NET_WORKING_CAP", IQ_LTM-8, $L$2, $L$4, $L$3, $L$5, $L$6)), "n/a", _xll.ciqfunctions.udf.CIQ($A22, "IQ_NET_WORKING_CAP", IQ_LTM-8, $L$2, $L$4, $L$3, $L$5, $L$6))</f>
        <v>n/a</v>
      </c>
      <c r="AK22" s="84" t="str">
        <f ca="1">IF(ISERROR(_xll.ciqfunctions.udf.CIQ($A22, "IQ_NET_WORKING_CAP", IQ_LTM-4, $L$2, $L$4, $L$3, $L$5, $L$6)), "n/a", _xll.ciqfunctions.udf.CIQ($A22, "IQ_NET_WORKING_CAP", IQ_LTM-4, $L$2, $L$4, $L$3, $L$5, $L$6))</f>
        <v>n/a</v>
      </c>
      <c r="AL22" s="84" t="str">
        <f ca="1">IF(ISERROR(_xll.ciqfunctions.udf.CIQ($A22, "IQ_NET_WORKING_CAP", IQ_LTM, $L$2,$L$4, $L$3, $L$5, $L$6)), "n/a", _xll.ciqfunctions.udf.CIQ($A22, "IQ_NET_WORKING_CAP", IQ_LTM, $L$2, $L$4, $L$3, $L$5, $L$6))</f>
        <v>n/a</v>
      </c>
      <c r="AM22" s="84" t="str">
        <f ca="1">IF(ISERROR(_xll.ciqfunctions.udf.CIQ($A22, "IQ_Capex", IQ_LTM-8, $L$2,$L$4, $L$3, $L$5, $L$6)), "n/a", _xll.ciqfunctions.udf.CIQ($A22, "IQ_Capex", IQ_LTM-8, $L$2, $L$4, $L$3, $L$5, $L$6))</f>
        <v>n/a</v>
      </c>
      <c r="AN22" s="84" t="str">
        <f ca="1">IF(ISERROR(_xll.ciqfunctions.udf.CIQ($A22, "IQ_Capex", IQ_LTM-4, $L$2,$L$4, $L$3, $L$5, $L$6)), "n/a", _xll.ciqfunctions.udf.CIQ($A22, "IQ_Capex", IQ_LTM-4, $L$2,$L$4, $L$3, $L$5, $L$6))</f>
        <v>n/a</v>
      </c>
      <c r="AO22" s="84" t="str">
        <f ca="1">IF(ISERROR(_xll.ciqfunctions.udf.CIQ($A22, "IQ_Capex", IQ_LTM, $L$2, $L$4, $L$3, $L$5, $L$6)), "n/a", _xll.ciqfunctions.udf.CIQ($A22, "IQ_Capex", IQ_LTM, $L$2, $L$4, $L$3, $L$5, $L$6))</f>
        <v>n/a</v>
      </c>
      <c r="AP22" s="66" t="e">
        <f ca="1">_xll.ciqfunctions.udf.CIQ(A22, "IQ_BUSINESS_DESCRIPTION")</f>
        <v>#NAME?</v>
      </c>
      <c r="AQ22" s="85" t="e">
        <f ca="1">_xll.ciqfunctions.udf.CIQ($A22, "IQ_BETA_1YR", $B$1)</f>
        <v>#NAME?</v>
      </c>
      <c r="AR22" s="85" t="e">
        <f ca="1">_xll.ciqfunctions.udf.CIQ($A22, "IQ_BETA_2YR", $B$1)</f>
        <v>#NAME?</v>
      </c>
      <c r="AS22" s="85" t="e">
        <f ca="1">_xll.ciqfunctions.udf.CIQ($A22, "IQ_BETA_5YR", $B$1)</f>
        <v>#NAME?</v>
      </c>
      <c r="AT22" s="69" t="e">
        <f ca="1">_xll.ciqfunctions.udf.CIQ($A22, "IQ_DIVIDEND_YIELD", $B$1)/100</f>
        <v>#NAME?</v>
      </c>
      <c r="AU22" s="84" t="e">
        <f ca="1">_xll.ciqfunctions.udf.CIQ($A22, "IQ_EARNING_CO", IQ_LTM-8, $L$2, $L$4, $L$3, $L$5, $L$6)</f>
        <v>#NAME?</v>
      </c>
      <c r="AV22" s="84" t="e">
        <f ca="1">_xll.ciqfunctions.udf.CIQ($A22, "IQ_EARNING_CO", IQ_LTM-4, $L$2, $L$4, $L$3, $L$5, $L$6)</f>
        <v>#NAME?</v>
      </c>
      <c r="AW22" s="84" t="e">
        <f ca="1">_xll.ciqfunctions.udf.CIQ($A22, "IQ_EARNING_CO", IQ_LTM, $L$2, $L$4, $L$3, $L$5, $L$6)</f>
        <v>#NAME?</v>
      </c>
      <c r="AX22" s="84" t="e">
        <f ca="1">_xll.ciqfunctions.udf.CIQ($A22, "IQ_EARNING_CO", $B$2, $L$2, $L$4, $L$3, $L$5, $L$6)</f>
        <v>#NAME?</v>
      </c>
      <c r="AY22" s="84" t="e">
        <f ca="1">IF(_xll.ciqfunctions.udf.CIQ($A22, "IQ_EARNING_CO", $B$3, $L$2,$L$4, $L$3, $L$5, $L$6)=0,AW22,_xll.ciqfunctions.udf.CIQ($A22, "IQ_EARNING_CO", $B$3, $L$2,$L$4, $L$3, $L$5, $L$6))</f>
        <v>#NAME?</v>
      </c>
      <c r="AZ22" s="84" t="e">
        <f ca="1">_xll.ciqfunctions.udf.CIQ($A22, "IQ_TOTAL_EQUITY", IQ_LTM-8, $L$2, $L$4, $L$3, $L$5, $L$6)</f>
        <v>#NAME?</v>
      </c>
      <c r="BA22" s="84" t="e">
        <f ca="1">_xll.ciqfunctions.udf.CIQ($A22, "IQ_TOTAL_EQUITY", IQ_LTM-4, $L$2, $L$4, $L$3, $L$5, $L$6)</f>
        <v>#NAME?</v>
      </c>
      <c r="BB22" s="84" t="e">
        <f ca="1">_xll.ciqfunctions.udf.CIQ($A22, "IQ_TOTAL_EQUITY", IQ_LTM, $L$2, $L$4, $L$3, $L$5, $L$6)</f>
        <v>#NAME?</v>
      </c>
      <c r="BC22" s="84" t="e">
        <f ca="1">_xll.ciqfunctions.udf.CIQ($A22, "IQ_TOTAL_EQUITY", $B$2, $L$2, $L$4, $L$3, $L$5, $L$6)</f>
        <v>#NAME?</v>
      </c>
      <c r="BD22" s="84" t="e">
        <f ca="1">IF(_xll.ciqfunctions.udf.CIQ($A22, "IQ_TOTAL_EQUITY", $B$3, $L$2,$L$4, $L$3, $L$5, $L$6)=0,BB22,_xll.ciqfunctions.udf.CIQ($A22, "IQ_TOTAL_EQUITY", $B$3, $L$2,$L$4, $L$3, $L$5, $L$6))</f>
        <v>#NAME?</v>
      </c>
      <c r="BE22" s="84" t="e">
        <f ca="1">_xll.ciqfunctions.udf.CIQ(A22, "IQ_LASTSALEPRICE", $B$8)</f>
        <v>#NAME?</v>
      </c>
      <c r="BF22" s="84" t="e">
        <f ca="1">_xll.ciqfunctions.udf.CIQ($A22, "IQ_MARKETCAP", $B$8, $L$5, $L$6)</f>
        <v>#NAME?</v>
      </c>
      <c r="BG22" s="84" t="e">
        <f ca="1">_xll.ciqfunctions.udf.CIQ($A22, "IQ_TOTAL_DEBT", IQ_LTM, $B$8,$L$4, $L$3, $L$5, $L$6)</f>
        <v>#NAME?</v>
      </c>
      <c r="BH22" s="67" t="e">
        <f ca="1">_xll.ciqfunctions.udf.CIQ($A22,"IQ_PREF_EQUITY",IQ_LTM,$B$8,$L$4,$L$3,$L$5,$L$6)</f>
        <v>#NAME?</v>
      </c>
      <c r="BI22" s="67" t="e">
        <f ca="1">_xll.ciqfunctions.udf.CIQ($A22, "IQ_MINORITY_INTEREST_TOTAL", IQ_LTM,$B$8,$L$4,$L$3,$L$5,$L$6)</f>
        <v>#NAME?</v>
      </c>
      <c r="BJ22" s="84" t="e">
        <f ca="1">_xll.ciqfunctions.udf.CIQ($A22, "IQ_CASH_ST_INVEST", IQ_LTM, $B$8, $L$4, $L$3, $L$5, $L$6)</f>
        <v>#NAME?</v>
      </c>
      <c r="BK22" s="67" t="e">
        <f ca="1">_xll.ciqfunctions.udf.CIQ($A22, "IQ_EFFECT_TAX_RATE")</f>
        <v>#NAME?</v>
      </c>
      <c r="BL22" s="67" t="e">
        <f ca="1">IF(_xll.ciqfunctions.udf.CIQ($A22, "IQ_TOTAL_REV_2YR_ANN_CAGR", IQ_LTM, $B$1,$L$4, $L$3, $L$5, $L$6)="NM","n/a",(_xll.ciqfunctions.udf.CIQ($A22, "IQ_TOTAL_REV_2YR_ANN_CAGR", IQ_LTM, $B$1,$L$4, $L$3, $L$5, $L$6)/100))</f>
        <v>#NAME?</v>
      </c>
      <c r="BM22" s="67" t="e">
        <f ca="1">IF(_xll.ciqfunctions.udf.CIQ($A22, "IQ_TOTAL_REV_3YR_ANN_CAGR", IQ_LTM, $B$1,$L$4, $L$3, $L$5, $L$6)="NM","n/a",(_xll.ciqfunctions.udf.CIQ($A22, "IQ_TOTAL_REV_3YR_ANN_CAGR", IQ_LTM, $B$1,$L$4, $L$3, $L$5, $L$6)/100))</f>
        <v>#NAME?</v>
      </c>
      <c r="BN22" s="67" t="e">
        <f ca="1">IF(_xll.ciqfunctions.udf.CIQ($A22, "IQ_TOTAL_REV_5YR_ANN_CAGR", IQ_LTM, $B$1,$L$4, $L$3, $L$5, $L$6)="NM","n/a",(_xll.ciqfunctions.udf.CIQ($A22, "IQ_TOTAL_REV_5YR_ANN_CAGR", IQ_LTM, $B$1,$L$4, $L$3, $L$5, $L$6)/100))</f>
        <v>#NAME?</v>
      </c>
      <c r="BO22" s="67" t="e">
        <f ca="1">IF(_xll.ciqfunctions.udf.CIQ($A22,"IQ_EBITDA_2YR_ANN_CAGR", IQ_LTM,$B$1,$L$4, $L$3, $L$5, $L$6)="NM","n/a",(_xll.ciqfunctions.udf.CIQ($A22,"IQ_EBITDA_2YR_ANN_CAGR", IQ_LTM,$B$1,$L$4, $L$3, $L$5, $L$6)/100))</f>
        <v>#NAME?</v>
      </c>
      <c r="BP22" s="67" t="e">
        <f ca="1">IF(_xll.ciqfunctions.udf.CIQ($A22,"IQ_EBITDA_3YR_ANN_CAGR", IQ_LTM,$B$1,$L$4, $L$3, $L$5, $L$6)="NM","n/a",(_xll.ciqfunctions.udf.CIQ($A22,"IQ_EBITDA_3YR_ANN_CAGR", IQ_LTM,$B$1,$L$4, $L$3, $L$5, $L$6)/100))</f>
        <v>#NAME?</v>
      </c>
      <c r="BQ22" s="67" t="e">
        <f ca="1">IF(_xll.ciqfunctions.udf.CIQ($A22,"IQ_EBITDA_5YR_ANN_CAGR", IQ_LTM,$B$1,$L$4, $L$3, $L$5, $L$6)="NM","n/a",(_xll.ciqfunctions.udf.CIQ($A22,"IQ_EBITDA_5YR_ANN_CAGR", IQ_LTM,$B$1,$L$4, $L$3, $L$5, $L$6)/100))</f>
        <v>#NAME?</v>
      </c>
      <c r="BR22" s="69" t="str">
        <f ca="1">IFERROR((_xll.ciqfunctions.udf.CIQ($A22, "IQ_DA_CF", IQ_LTM, $B$1, $L$4, $L$3, $L$5, $L$6)/Q22),"NM")</f>
        <v>NM</v>
      </c>
      <c r="BS22" s="86">
        <f>'Capital IQ Sheet-GPC'!BS22</f>
        <v>0.79986978461518343</v>
      </c>
      <c r="BT22" s="86">
        <f>'Capital IQ Sheet-GPC'!BT22</f>
        <v>0.8134368682842571</v>
      </c>
      <c r="BU22" s="86">
        <f>'Capital IQ Sheet-GPC'!BU22</f>
        <v>0.81085681085935835</v>
      </c>
      <c r="BV22" s="86">
        <f>'Capital IQ Sheet-GPC'!BV22</f>
        <v>0.79008025868768383</v>
      </c>
      <c r="BW22" s="86">
        <f>'Capital IQ Sheet-GPC'!BW22</f>
        <v>0.76756249781285035</v>
      </c>
      <c r="BX22" s="86">
        <f>'Capital IQ Sheet-GPC'!BX22</f>
        <v>0.74782030727678916</v>
      </c>
      <c r="BY22" s="86">
        <f>'Capital IQ Sheet-GPC'!BY22</f>
        <v>0.72641601692174951</v>
      </c>
      <c r="BZ22" s="86">
        <f>'Capital IQ Sheet-GPC'!BZ22</f>
        <v>0.72830590732875689</v>
      </c>
      <c r="CB22" s="67">
        <v>2</v>
      </c>
      <c r="CC22" s="123" t="s">
        <v>295</v>
      </c>
      <c r="CD22" s="123" t="s">
        <v>294</v>
      </c>
      <c r="CE22" s="68">
        <f t="shared" si="0"/>
        <v>42766</v>
      </c>
    </row>
    <row r="23" spans="1:83" s="67" customFormat="1" ht="12.75">
      <c r="A23" s="67" t="e">
        <f ca="1">_xll.ciqfunctions.udf.CIQ($B23,"IQ_COMPANY_TICKER")</f>
        <v>#NAME?</v>
      </c>
      <c r="B23" s="67" t="str">
        <f>'Capital IQ Sheet-GPC'!B23</f>
        <v>IQ321461593</v>
      </c>
      <c r="C23" s="67" t="e">
        <f ca="1">_xll.ciqfunctions.udf.CIQ($A23,"IQ_COMPANY_NAME")</f>
        <v>#NAME?</v>
      </c>
      <c r="D23" s="67" t="e">
        <f ca="1">_xll.ciqfunctions.udf.CIQ($A23, "IQ_EXCHANGE")</f>
        <v>#NAME?</v>
      </c>
      <c r="E23" s="68" t="e">
        <f ca="1">_xll.ciqfunctions.udf.CIQ($A23, "IQ_PERIODDATE_IS", IQ_FY)</f>
        <v>#NAME?</v>
      </c>
      <c r="F23" s="68" t="e">
        <f ca="1">_xll.ciqfunctions.udf.CIQ(A23, "IQ_PERIODDATE_IS", IQ_LTM, $B$1,$L$4,$L$3)</f>
        <v>#NAME?</v>
      </c>
      <c r="G23" s="68" t="e">
        <f ca="1">_xll.ciqfunctions.udf.CIQ($A23, "IQ_FIRSTPRICINGDATE")</f>
        <v>#NAME?</v>
      </c>
      <c r="H23" s="84" t="e">
        <f ca="1">_xll.ciqfunctions.udf.CIQ($A23, "IQ_TEV", $L$2, $L$5, $L$6)</f>
        <v>#NAME?</v>
      </c>
      <c r="I23" s="84" t="e">
        <f ca="1">_xll.ciqfunctions.udf.CIQ(A23, "IQ_LASTSALEPRICE", $B$1,$L$5)</f>
        <v>#NAME?</v>
      </c>
      <c r="J23" s="84" t="e">
        <f ca="1">_xll.ciqfunctions.udf.CIQ($A23, "IQ_MARKETCAP", $L$2, $L$5, $L$6)</f>
        <v>#NAME?</v>
      </c>
      <c r="K23" s="84" t="e">
        <f ca="1">_xll.ciqfunctions.udf.CIQ($A23, "IQ_TOTAL_DEBT", IQ_LTM, $L$2,$L$4, $L$3, $L$5, $L$6)</f>
        <v>#NAME?</v>
      </c>
      <c r="L23" s="84" t="e">
        <f ca="1">_xll.ciqfunctions.udf.CIQ($A23, "IQ_PREF_EQUITY", IQ_LTM, $L$2, $L$4, $L$3, $L$5, $L$6)</f>
        <v>#NAME?</v>
      </c>
      <c r="M23" s="84" t="e">
        <f ca="1">_xll.ciqfunctions.udf.CIQ($A23, "IQ_MINORITY_INTEREST_TOTAL", IQ_LTM, $L$2, $L$4, $L$3, $L$5, $L$6)</f>
        <v>#NAME?</v>
      </c>
      <c r="N23" s="84" t="e">
        <f ca="1">_xll.ciqfunctions.udf.CIQ($A23, "IQ_CASH_ST_INVEST", IQ_LTM, $L$2, $L$4, $L$3, $L$5, $L$6)</f>
        <v>#NAME?</v>
      </c>
      <c r="O23" s="84" t="e">
        <f ca="1">_xll.ciqfunctions.udf.CIQ($A23, "IQ_TOTAL_REV", IQ_LTM-8, $L$2, $L$4, $L$3, $L$5, $L$6)</f>
        <v>#NAME?</v>
      </c>
      <c r="P23" s="84" t="e">
        <f ca="1">_xll.ciqfunctions.udf.CIQ($A23, "IQ_TOTAL_REV", IQ_LTM - 4, $L$2, $L$4, $L$3, $L$5,$L$6)</f>
        <v>#NAME?</v>
      </c>
      <c r="Q23" s="84" t="e">
        <f ca="1">_xll.ciqfunctions.udf.CIQ($A23, "IQ_TOTAL_REV", IQ_LTM, $L$2, $L$4, $L$3, $L$5, $L$6)</f>
        <v>#NAME?</v>
      </c>
      <c r="R23" s="84" t="e">
        <f ca="1">_xll.ciqfunctions.udf.CIQ($A23, "IQ_TOTAL_REV", $B$2, $L$2, $L$4, $L$3, $L$5, $L$6)</f>
        <v>#NAME?</v>
      </c>
      <c r="S23" s="84" t="e">
        <f ca="1">IF(_xll.ciqfunctions.udf.CIQ($A23, "IQ_TOTAL_REV", $B$3, $L$2,$L$4, $L$3, $L$5, $L$6)=0,Q23,_xll.ciqfunctions.udf.CIQ($A23, "IQ_TOTAL_REV", $B$3, $L$2,$L$4, $L$3, $L$5, $L$6))</f>
        <v>#NAME?</v>
      </c>
      <c r="T23" s="84" t="e">
        <f ca="1">IF(_xll.ciqfunctions.udf.CIQ($A23, "IQ_REVENUE_EST",$B$4, $L$2, "CON", $L$3, $L$5, $L$6)=0,"n/a",_xll.ciqfunctions.udf.CIQ($A23, "IQ_REVENUE_EST",$B$4, $L$2, "CON", $L$3, $L$5, $L$6))</f>
        <v>#NAME?</v>
      </c>
      <c r="U23" s="84" t="e">
        <f ca="1">IF(_xll.ciqfunctions.udf.CIQ($A23, "IQ_REVENUE_EST",$B$5, $L$2, "CON", $L$3, $L$5, $L$6)=0,"n/a",_xll.ciqfunctions.udf.CIQ($A23, "IQ_REVENUE_EST",$B$5, $L$2, "CON", $L$3, $L$5, $L$6))</f>
        <v>#NAME?</v>
      </c>
      <c r="V23" s="84" t="e">
        <f ca="1">IF(_xll.ciqfunctions.udf.CIQ($A23, "IQ_REVENUE_EST",$B$6, $L$2, "CON", $L$3, $L$5, $L$6)=0,"n/a",_xll.ciqfunctions.udf.CIQ($A23, "IQ_REVENUE_EST",$B$6, $L$2, "CON", $L$3, $L$5, $L$6))</f>
        <v>#NAME?</v>
      </c>
      <c r="W23" s="84" t="e">
        <f ca="1">IF(_xll.ciqfunctions.udf.CIQ($A23, "IQ_REVENUE_EST", $B$7, $L$2, "CON", $L$3, $L$5, $L$6)=0,"n/a",_xll.ciqfunctions.udf.CIQ($A23, "IQ_REVENUE_EST",$B$7, $L$2, "CON", $L$3, $L$5, $L$6))</f>
        <v>#NAME?</v>
      </c>
      <c r="X23" s="84" t="e">
        <f ca="1">_xll.ciqfunctions.udf.CIQ($A23, "IQ_EBITDA", IQ_LTM-8, $L$2, $L$4, $L$3, $L$5, $L$6)</f>
        <v>#NAME?</v>
      </c>
      <c r="Y23" s="84" t="e">
        <f ca="1">_xll.ciqfunctions.udf.CIQ($A23, "IQ_EBITDA", IQ_LTM-4, $L$2,$L$4, $L$3, $L$5, $L$6)</f>
        <v>#NAME?</v>
      </c>
      <c r="Z23" s="84" t="e">
        <f ca="1">_xll.ciqfunctions.udf.CIQ($A23, "IQ_EBITDA", IQ_LTM, $L$2, $L$4, $L$3, $L$5, $L$6)</f>
        <v>#NAME?</v>
      </c>
      <c r="AA23" s="84" t="e">
        <f ca="1">_xll.ciqfunctions.udf.CIQ($A23, "IQ_EBITDA", $B$2, $L$2, $L$4, $L$3, $L$5, $L$6)</f>
        <v>#NAME?</v>
      </c>
      <c r="AB23" s="84" t="e">
        <f ca="1">IF(_xll.ciqfunctions.udf.CIQ($A23, "IQ_EBITDA", $B$3, $L$2,$L$4, $L$3, $L$5, $L$6)=0,Z23,_xll.ciqfunctions.udf.CIQ($A23, "IQ_EBITDA", $B$3, $L$2,$L$4, $L$3, $L$5, $L$6))</f>
        <v>#NAME?</v>
      </c>
      <c r="AC23" s="84" t="e">
        <f ca="1">IF(_xll.ciqfunctions.udf.CIQ($A23, "IQ_EBITDA_EST",$B$4, $L$2, "CON", $L$3, $L$5, $L$6)=0,"n/a",_xll.ciqfunctions.udf.CIQ($A23, "IQ_EBITDA_EST",$B$4, $L$2, "CON", $L$3, $L$5, $L$6))</f>
        <v>#NAME?</v>
      </c>
      <c r="AD23" s="84" t="e">
        <f ca="1">IF(_xll.ciqfunctions.udf.CIQ($A23, "IQ_EBITDA_EST",$B$5, $L$2, "CON", $L$3, $L$5, $L$6)=0,"n/a",_xll.ciqfunctions.udf.CIQ($A23, "IQ_EBITDA_EST",$B$5, $L$2, "CON", $L$3, $L$5, $L$6))</f>
        <v>#NAME?</v>
      </c>
      <c r="AE23" s="84" t="e">
        <f ca="1">IF(_xll.ciqfunctions.udf.CIQ($A23, "IQ_EBITDA_EST",$B$6, $L$2, "CON", $L$3, $L$5, $L$6)=0,"n/a",_xll.ciqfunctions.udf.CIQ($A23, "IQ_EBITDA_EST",$B$6, $L$2, "CON", $L$3, $L$5, $L$6))</f>
        <v>#NAME?</v>
      </c>
      <c r="AF23" s="69" t="str">
        <f ca="1">IF(ISERROR(_xll.ciqfunctions.udf.CIQ($A23, "IQ_GROSS_MARGIN", IQ_LTM, $L$2,$L$4, $L$3, $L$5, $L$6)/100), "n/a", _xll.ciqfunctions.udf.CIQ($A23,  "IQ_GROSS_MARGIN", IQ_LTM, $L$2, $L$4, $L$3, $L$5, $L$6)/100)</f>
        <v>n/a</v>
      </c>
      <c r="AG23" s="69" t="str">
        <f ca="1">IF(ISERROR(_xll.ciqfunctions.udf.CIQ($A23,"IQ_EBITDA_MARGIN", IQ_LTM, $L$2, $L$4, $L$3, $L$5, $L$6)/100), "n/a", _xll.ciqfunctions.udf.CIQ($A23, "IQ_EBITDA_MARGIN", IQ_LTM, $L$2, $L$4, $L$3, $L$5, $L$6)/100)</f>
        <v>n/a</v>
      </c>
      <c r="AH23" s="69" t="str">
        <f ca="1">IF(ISERROR(_xll.ciqfunctions.udf.CIQ($A23,"IQ_EBIT_MARGIN", IQ_LTM, $L$2, $L$4, $L$3, $L$5, $L$6)/100), "n/a", _xll.ciqfunctions.udf.CIQ($A23, "IQ_EBIT_MARGIN", IQ_LTM, $L$2, $L$4, $L$3, $L$5, $L$6)/100)</f>
        <v>n/a</v>
      </c>
      <c r="AI23" s="69" t="str">
        <f ca="1">IF(ISERROR(_xll.ciqfunctions.udf.CIQ($A23,"IQ_NI_MARGIN", IQ_LTM, $L$2, $L$4, $L$3, $L$5, $L$6)/100), "n/a", _xll.ciqfunctions.udf.CIQ($A23, "IQ_NI_MARGIN", IQ_LTM, $L$2, $L$4, $L$3, $L$5, $L$6)/100)</f>
        <v>n/a</v>
      </c>
      <c r="AJ23" s="84" t="str">
        <f ca="1">IF(ISERROR(_xll.ciqfunctions.udf.CIQ($A23, "IQ_NET_WORKING_CAP", IQ_LTM-8, $L$2, $L$4, $L$3, $L$5, $L$6)), "n/a", _xll.ciqfunctions.udf.CIQ($A23, "IQ_NET_WORKING_CAP", IQ_LTM-8, $L$2, $L$4, $L$3, $L$5, $L$6))</f>
        <v>n/a</v>
      </c>
      <c r="AK23" s="84" t="str">
        <f ca="1">IF(ISERROR(_xll.ciqfunctions.udf.CIQ($A23, "IQ_NET_WORKING_CAP", IQ_LTM-4, $L$2, $L$4, $L$3, $L$5, $L$6)), "n/a", _xll.ciqfunctions.udf.CIQ($A23, "IQ_NET_WORKING_CAP", IQ_LTM-4, $L$2, $L$4, $L$3, $L$5, $L$6))</f>
        <v>n/a</v>
      </c>
      <c r="AL23" s="84" t="str">
        <f ca="1">IF(ISERROR(_xll.ciqfunctions.udf.CIQ($A23, "IQ_NET_WORKING_CAP", IQ_LTM, $L$2,$L$4, $L$3, $L$5, $L$6)), "n/a", _xll.ciqfunctions.udf.CIQ($A23, "IQ_NET_WORKING_CAP", IQ_LTM, $L$2, $L$4, $L$3, $L$5, $L$6))</f>
        <v>n/a</v>
      </c>
      <c r="AM23" s="84" t="str">
        <f ca="1">IF(ISERROR(_xll.ciqfunctions.udf.CIQ($A23, "IQ_Capex", IQ_LTM-8, $L$2,$L$4, $L$3, $L$5, $L$6)), "n/a", _xll.ciqfunctions.udf.CIQ($A23, "IQ_Capex", IQ_LTM-8, $L$2, $L$4, $L$3, $L$5, $L$6))</f>
        <v>n/a</v>
      </c>
      <c r="AN23" s="84" t="str">
        <f ca="1">IF(ISERROR(_xll.ciqfunctions.udf.CIQ($A23, "IQ_Capex", IQ_LTM-4, $L$2,$L$4, $L$3, $L$5, $L$6)), "n/a", _xll.ciqfunctions.udf.CIQ($A23, "IQ_Capex", IQ_LTM-4, $L$2,$L$4, $L$3, $L$5, $L$6))</f>
        <v>n/a</v>
      </c>
      <c r="AO23" s="84" t="str">
        <f ca="1">IF(ISERROR(_xll.ciqfunctions.udf.CIQ($A23, "IQ_Capex", IQ_LTM, $L$2, $L$4, $L$3, $L$5, $L$6)), "n/a", _xll.ciqfunctions.udf.CIQ($A23, "IQ_Capex", IQ_LTM, $L$2, $L$4, $L$3, $L$5, $L$6))</f>
        <v>n/a</v>
      </c>
      <c r="AP23" s="66" t="e">
        <f ca="1">_xll.ciqfunctions.udf.CIQ(A23, "IQ_BUSINESS_DESCRIPTION")</f>
        <v>#NAME?</v>
      </c>
      <c r="AQ23" s="85" t="e">
        <f ca="1">_xll.ciqfunctions.udf.CIQ($A23, "IQ_BETA_1YR", $B$1)</f>
        <v>#NAME?</v>
      </c>
      <c r="AR23" s="85" t="e">
        <f ca="1">_xll.ciqfunctions.udf.CIQ($A23, "IQ_BETA_2YR", $B$1)</f>
        <v>#NAME?</v>
      </c>
      <c r="AS23" s="85" t="e">
        <f ca="1">_xll.ciqfunctions.udf.CIQ($A23, "IQ_BETA_5YR", $B$1)</f>
        <v>#NAME?</v>
      </c>
      <c r="AT23" s="69" t="e">
        <f ca="1">_xll.ciqfunctions.udf.CIQ($A23, "IQ_DIVIDEND_YIELD", $B$1)/100</f>
        <v>#NAME?</v>
      </c>
      <c r="AU23" s="84" t="e">
        <f ca="1">_xll.ciqfunctions.udf.CIQ($A23, "IQ_EARNING_CO", IQ_LTM-8, $L$2, $L$4, $L$3, $L$5, $L$6)</f>
        <v>#NAME?</v>
      </c>
      <c r="AV23" s="84" t="e">
        <f ca="1">_xll.ciqfunctions.udf.CIQ($A23, "IQ_EARNING_CO", IQ_LTM-4, $L$2, $L$4, $L$3, $L$5, $L$6)</f>
        <v>#NAME?</v>
      </c>
      <c r="AW23" s="84" t="e">
        <f ca="1">_xll.ciqfunctions.udf.CIQ($A23, "IQ_EARNING_CO", IQ_LTM, $L$2, $L$4, $L$3, $L$5, $L$6)</f>
        <v>#NAME?</v>
      </c>
      <c r="AX23" s="84" t="e">
        <f ca="1">_xll.ciqfunctions.udf.CIQ($A23, "IQ_EARNING_CO", $B$2, $L$2, $L$4, $L$3, $L$5, $L$6)</f>
        <v>#NAME?</v>
      </c>
      <c r="AY23" s="84" t="e">
        <f ca="1">IF(_xll.ciqfunctions.udf.CIQ($A23, "IQ_EARNING_CO", $B$3, $L$2,$L$4, $L$3, $L$5, $L$6)=0,AW23,_xll.ciqfunctions.udf.CIQ($A23, "IQ_EARNING_CO", $B$3, $L$2,$L$4, $L$3, $L$5, $L$6))</f>
        <v>#NAME?</v>
      </c>
      <c r="AZ23" s="84" t="e">
        <f ca="1">_xll.ciqfunctions.udf.CIQ($A23, "IQ_TOTAL_EQUITY", IQ_LTM-8, $L$2, $L$4, $L$3, $L$5, $L$6)</f>
        <v>#NAME?</v>
      </c>
      <c r="BA23" s="84" t="e">
        <f ca="1">_xll.ciqfunctions.udf.CIQ($A23, "IQ_TOTAL_EQUITY", IQ_LTM-4, $L$2, $L$4, $L$3, $L$5, $L$6)</f>
        <v>#NAME?</v>
      </c>
      <c r="BB23" s="84" t="e">
        <f ca="1">_xll.ciqfunctions.udf.CIQ($A23, "IQ_TOTAL_EQUITY", IQ_LTM, $L$2, $L$4, $L$3, $L$5, $L$6)</f>
        <v>#NAME?</v>
      </c>
      <c r="BC23" s="84" t="e">
        <f ca="1">_xll.ciqfunctions.udf.CIQ($A23, "IQ_TOTAL_EQUITY", $B$2, $L$2, $L$4, $L$3, $L$5, $L$6)</f>
        <v>#NAME?</v>
      </c>
      <c r="BD23" s="84" t="e">
        <f ca="1">IF(_xll.ciqfunctions.udf.CIQ($A23, "IQ_TOTAL_EQUITY", $B$3, $L$2,$L$4, $L$3, $L$5, $L$6)=0,BB23,_xll.ciqfunctions.udf.CIQ($A23, "IQ_TOTAL_EQUITY", $B$3, $L$2,$L$4, $L$3, $L$5, $L$6))</f>
        <v>#NAME?</v>
      </c>
      <c r="BE23" s="84" t="e">
        <f ca="1">_xll.ciqfunctions.udf.CIQ(A23, "IQ_LASTSALEPRICE", $B$8)</f>
        <v>#NAME?</v>
      </c>
      <c r="BF23" s="84" t="e">
        <f ca="1">_xll.ciqfunctions.udf.CIQ($A23, "IQ_MARKETCAP", $B$8, $L$5, $L$6)</f>
        <v>#NAME?</v>
      </c>
      <c r="BG23" s="84" t="e">
        <f ca="1">_xll.ciqfunctions.udf.CIQ($A23, "IQ_TOTAL_DEBT", IQ_LTM, $B$8,$L$4, $L$3, $L$5, $L$6)</f>
        <v>#NAME?</v>
      </c>
      <c r="BH23" s="67" t="e">
        <f ca="1">_xll.ciqfunctions.udf.CIQ($A23,"IQ_PREF_EQUITY",IQ_LTM,$B$8,$L$4,$L$3,$L$5,$L$6)</f>
        <v>#NAME?</v>
      </c>
      <c r="BI23" s="67" t="e">
        <f ca="1">_xll.ciqfunctions.udf.CIQ($A23, "IQ_MINORITY_INTEREST_TOTAL", IQ_LTM,$B$8,$L$4,$L$3,$L$5,$L$6)</f>
        <v>#NAME?</v>
      </c>
      <c r="BJ23" s="84" t="e">
        <f ca="1">_xll.ciqfunctions.udf.CIQ($A23, "IQ_CASH_ST_INVEST", IQ_LTM, $B$8, $L$4, $L$3, $L$5, $L$6)</f>
        <v>#NAME?</v>
      </c>
      <c r="BK23" s="67" t="e">
        <f ca="1">_xll.ciqfunctions.udf.CIQ($A23, "IQ_EFFECT_TAX_RATE")</f>
        <v>#NAME?</v>
      </c>
      <c r="BL23" s="67" t="e">
        <f ca="1">IF(_xll.ciqfunctions.udf.CIQ($A23, "IQ_TOTAL_REV_2YR_ANN_CAGR", IQ_LTM, $B$1,$L$4, $L$3, $L$5, $L$6)="NM","n/a",(_xll.ciqfunctions.udf.CIQ($A23, "IQ_TOTAL_REV_2YR_ANN_CAGR", IQ_LTM, $B$1,$L$4, $L$3, $L$5, $L$6)/100))</f>
        <v>#NAME?</v>
      </c>
      <c r="BM23" s="67" t="e">
        <f ca="1">IF(_xll.ciqfunctions.udf.CIQ($A23, "IQ_TOTAL_REV_3YR_ANN_CAGR", IQ_LTM, $B$1,$L$4, $L$3, $L$5, $L$6)="NM","n/a",(_xll.ciqfunctions.udf.CIQ($A23, "IQ_TOTAL_REV_3YR_ANN_CAGR", IQ_LTM, $B$1,$L$4, $L$3, $L$5, $L$6)/100))</f>
        <v>#NAME?</v>
      </c>
      <c r="BN23" s="67" t="e">
        <f ca="1">IF(_xll.ciqfunctions.udf.CIQ($A23, "IQ_TOTAL_REV_5YR_ANN_CAGR", IQ_LTM, $B$1,$L$4, $L$3, $L$5, $L$6)="NM","n/a",(_xll.ciqfunctions.udf.CIQ($A23, "IQ_TOTAL_REV_5YR_ANN_CAGR", IQ_LTM, $B$1,$L$4, $L$3, $L$5, $L$6)/100))</f>
        <v>#NAME?</v>
      </c>
      <c r="BO23" s="67" t="e">
        <f ca="1">IF(_xll.ciqfunctions.udf.CIQ($A23,"IQ_EBITDA_2YR_ANN_CAGR", IQ_LTM,$B$1,$L$4, $L$3, $L$5, $L$6)="NM","n/a",(_xll.ciqfunctions.udf.CIQ($A23,"IQ_EBITDA_2YR_ANN_CAGR", IQ_LTM,$B$1,$L$4, $L$3, $L$5, $L$6)/100))</f>
        <v>#NAME?</v>
      </c>
      <c r="BP23" s="67" t="e">
        <f ca="1">IF(_xll.ciqfunctions.udf.CIQ($A23,"IQ_EBITDA_3YR_ANN_CAGR", IQ_LTM,$B$1,$L$4, $L$3, $L$5, $L$6)="NM","n/a",(_xll.ciqfunctions.udf.CIQ($A23,"IQ_EBITDA_3YR_ANN_CAGR", IQ_LTM,$B$1,$L$4, $L$3, $L$5, $L$6)/100))</f>
        <v>#NAME?</v>
      </c>
      <c r="BQ23" s="67" t="e">
        <f ca="1">IF(_xll.ciqfunctions.udf.CIQ($A23,"IQ_EBITDA_5YR_ANN_CAGR", IQ_LTM,$B$1,$L$4, $L$3, $L$5, $L$6)="NM","n/a",(_xll.ciqfunctions.udf.CIQ($A23,"IQ_EBITDA_5YR_ANN_CAGR", IQ_LTM,$B$1,$L$4, $L$3, $L$5, $L$6)/100))</f>
        <v>#NAME?</v>
      </c>
      <c r="BR23" s="69" t="str">
        <f ca="1">IFERROR((_xll.ciqfunctions.udf.CIQ($A23, "IQ_DA_CF", IQ_LTM, $B$1, $L$4, $L$3, $L$5, $L$6)/Q23),"NM")</f>
        <v>NM</v>
      </c>
      <c r="BS23" s="86">
        <f>'Capital IQ Sheet-GPC'!BS23</f>
        <v>0.54364305078104935</v>
      </c>
      <c r="BT23" s="86" t="str">
        <f>'Capital IQ Sheet-GPC'!BT23</f>
        <v>n/a</v>
      </c>
      <c r="BU23" s="86" t="str">
        <f>'Capital IQ Sheet-GPC'!BU23</f>
        <v>n/a</v>
      </c>
      <c r="BV23" s="86" t="str">
        <f>'Capital IQ Sheet-GPC'!BV23</f>
        <v>n/a</v>
      </c>
      <c r="BW23" s="86" t="str">
        <f>'Capital IQ Sheet-GPC'!BW23</f>
        <v>n/a</v>
      </c>
      <c r="BX23" s="86" t="str">
        <f>'Capital IQ Sheet-GPC'!BX23</f>
        <v>n/a</v>
      </c>
      <c r="BY23" s="86" t="str">
        <f>'Capital IQ Sheet-GPC'!BY23</f>
        <v>n/a</v>
      </c>
      <c r="BZ23" s="86" t="str">
        <f>'Capital IQ Sheet-GPC'!BZ23</f>
        <v>n/a</v>
      </c>
      <c r="CB23" s="67">
        <v>2</v>
      </c>
      <c r="CC23" s="123" t="s">
        <v>295</v>
      </c>
      <c r="CD23" s="123" t="s">
        <v>294</v>
      </c>
      <c r="CE23" s="68">
        <f t="shared" si="0"/>
        <v>42766</v>
      </c>
    </row>
    <row r="24" spans="1:83" s="67" customFormat="1" ht="12.75">
      <c r="A24" s="67" t="e">
        <f ca="1">_xll.ciqfunctions.udf.CIQ($B24,"IQ_COMPANY_TICKER")</f>
        <v>#NAME?</v>
      </c>
      <c r="B24" s="67" t="str">
        <f>'Capital IQ Sheet-GPC'!B24</f>
        <v>IQ254045988</v>
      </c>
      <c r="C24" s="67" t="e">
        <f ca="1">_xll.ciqfunctions.udf.CIQ($A24,"IQ_COMPANY_NAME")</f>
        <v>#NAME?</v>
      </c>
      <c r="D24" s="67" t="e">
        <f ca="1">_xll.ciqfunctions.udf.CIQ($A24, "IQ_EXCHANGE")</f>
        <v>#NAME?</v>
      </c>
      <c r="E24" s="68" t="e">
        <f ca="1">_xll.ciqfunctions.udf.CIQ($A24, "IQ_PERIODDATE_IS", IQ_FY)</f>
        <v>#NAME?</v>
      </c>
      <c r="F24" s="68" t="e">
        <f ca="1">_xll.ciqfunctions.udf.CIQ(A24, "IQ_PERIODDATE_IS", IQ_LTM, $B$1,$L$4,$L$3)</f>
        <v>#NAME?</v>
      </c>
      <c r="G24" s="68" t="e">
        <f ca="1">_xll.ciqfunctions.udf.CIQ($A24, "IQ_FIRSTPRICINGDATE")</f>
        <v>#NAME?</v>
      </c>
      <c r="H24" s="84" t="e">
        <f ca="1">_xll.ciqfunctions.udf.CIQ($A24, "IQ_TEV", $L$2, $L$5, $L$6)</f>
        <v>#NAME?</v>
      </c>
      <c r="I24" s="84" t="e">
        <f ca="1">_xll.ciqfunctions.udf.CIQ(A24, "IQ_LASTSALEPRICE", $B$1,$L$5)</f>
        <v>#NAME?</v>
      </c>
      <c r="J24" s="84" t="e">
        <f ca="1">_xll.ciqfunctions.udf.CIQ($A24, "IQ_MARKETCAP", $L$2, $L$5, $L$6)</f>
        <v>#NAME?</v>
      </c>
      <c r="K24" s="84" t="e">
        <f ca="1">_xll.ciqfunctions.udf.CIQ($A24, "IQ_TOTAL_DEBT", IQ_LTM, $L$2,$L$4, $L$3, $L$5, $L$6)</f>
        <v>#NAME?</v>
      </c>
      <c r="L24" s="84" t="e">
        <f ca="1">_xll.ciqfunctions.udf.CIQ($A24, "IQ_PREF_EQUITY", IQ_LTM, $L$2, $L$4, $L$3, $L$5, $L$6)</f>
        <v>#NAME?</v>
      </c>
      <c r="M24" s="84" t="e">
        <f ca="1">_xll.ciqfunctions.udf.CIQ($A24, "IQ_MINORITY_INTEREST_TOTAL", IQ_LTM, $L$2, $L$4, $L$3, $L$5, $L$6)</f>
        <v>#NAME?</v>
      </c>
      <c r="N24" s="84" t="e">
        <f ca="1">_xll.ciqfunctions.udf.CIQ($A24, "IQ_CASH_ST_INVEST", IQ_LTM, $L$2, $L$4, $L$3, $L$5, $L$6)</f>
        <v>#NAME?</v>
      </c>
      <c r="O24" s="84" t="e">
        <f ca="1">_xll.ciqfunctions.udf.CIQ($A24, "IQ_TOTAL_REV", IQ_LTM-8, $L$2, $L$4, $L$3, $L$5, $L$6)</f>
        <v>#NAME?</v>
      </c>
      <c r="P24" s="84" t="e">
        <f ca="1">_xll.ciqfunctions.udf.CIQ($A24, "IQ_TOTAL_REV", IQ_LTM - 4, $L$2, $L$4, $L$3, $L$5,$L$6)</f>
        <v>#NAME?</v>
      </c>
      <c r="Q24" s="84" t="e">
        <f ca="1">_xll.ciqfunctions.udf.CIQ($A24, "IQ_TOTAL_REV", IQ_LTM, $L$2, $L$4, $L$3, $L$5, $L$6)</f>
        <v>#NAME?</v>
      </c>
      <c r="R24" s="84" t="e">
        <f ca="1">_xll.ciqfunctions.udf.CIQ($A24, "IQ_TOTAL_REV", $B$2, $L$2, $L$4, $L$3, $L$5, $L$6)</f>
        <v>#NAME?</v>
      </c>
      <c r="S24" s="84" t="e">
        <f ca="1">IF(_xll.ciqfunctions.udf.CIQ($A24, "IQ_TOTAL_REV", $B$3, $L$2,$L$4, $L$3, $L$5, $L$6)=0,Q24,_xll.ciqfunctions.udf.CIQ($A24, "IQ_TOTAL_REV", $B$3, $L$2,$L$4, $L$3, $L$5, $L$6))</f>
        <v>#NAME?</v>
      </c>
      <c r="T24" s="84" t="e">
        <f ca="1">IF(_xll.ciqfunctions.udf.CIQ($A24, "IQ_REVENUE_EST",$B$4, $L$2, "CON", $L$3, $L$5, $L$6)=0,"n/a",_xll.ciqfunctions.udf.CIQ($A24, "IQ_REVENUE_EST",$B$4, $L$2, "CON", $L$3, $L$5, $L$6))</f>
        <v>#NAME?</v>
      </c>
      <c r="U24" s="84" t="e">
        <f ca="1">IF(_xll.ciqfunctions.udf.CIQ($A24, "IQ_REVENUE_EST",$B$5, $L$2, "CON", $L$3, $L$5, $L$6)=0,"n/a",_xll.ciqfunctions.udf.CIQ($A24, "IQ_REVENUE_EST",$B$5, $L$2, "CON", $L$3, $L$5, $L$6))</f>
        <v>#NAME?</v>
      </c>
      <c r="V24" s="84" t="e">
        <f ca="1">IF(_xll.ciqfunctions.udf.CIQ($A24, "IQ_REVENUE_EST",$B$6, $L$2, "CON", $L$3, $L$5, $L$6)=0,"n/a",_xll.ciqfunctions.udf.CIQ($A24, "IQ_REVENUE_EST",$B$6, $L$2, "CON", $L$3, $L$5, $L$6))</f>
        <v>#NAME?</v>
      </c>
      <c r="W24" s="84" t="e">
        <f ca="1">IF(_xll.ciqfunctions.udf.CIQ($A24, "IQ_REVENUE_EST", $B$7, $L$2, "CON", $L$3, $L$5, $L$6)=0,"n/a",_xll.ciqfunctions.udf.CIQ($A24, "IQ_REVENUE_EST",$B$7, $L$2, "CON", $L$3, $L$5, $L$6))</f>
        <v>#NAME?</v>
      </c>
      <c r="X24" s="84" t="e">
        <f ca="1">_xll.ciqfunctions.udf.CIQ($A24, "IQ_EBITDA", IQ_LTM-8, $L$2, $L$4, $L$3, $L$5, $L$6)</f>
        <v>#NAME?</v>
      </c>
      <c r="Y24" s="84" t="e">
        <f ca="1">_xll.ciqfunctions.udf.CIQ($A24, "IQ_EBITDA", IQ_LTM-4, $L$2,$L$4, $L$3, $L$5, $L$6)</f>
        <v>#NAME?</v>
      </c>
      <c r="Z24" s="84" t="e">
        <f ca="1">_xll.ciqfunctions.udf.CIQ($A24, "IQ_EBITDA", IQ_LTM, $L$2, $L$4, $L$3, $L$5, $L$6)</f>
        <v>#NAME?</v>
      </c>
      <c r="AA24" s="84" t="e">
        <f ca="1">_xll.ciqfunctions.udf.CIQ($A24, "IQ_EBITDA", $B$2, $L$2, $L$4, $L$3, $L$5, $L$6)</f>
        <v>#NAME?</v>
      </c>
      <c r="AB24" s="84" t="e">
        <f ca="1">IF(_xll.ciqfunctions.udf.CIQ($A24, "IQ_EBITDA", $B$3, $L$2,$L$4, $L$3, $L$5, $L$6)=0,Z24,_xll.ciqfunctions.udf.CIQ($A24, "IQ_EBITDA", $B$3, $L$2,$L$4, $L$3, $L$5, $L$6))</f>
        <v>#NAME?</v>
      </c>
      <c r="AC24" s="84" t="e">
        <f ca="1">IF(_xll.ciqfunctions.udf.CIQ($A24, "IQ_EBITDA_EST",$B$4, $L$2, "CON", $L$3, $L$5, $L$6)=0,"n/a",_xll.ciqfunctions.udf.CIQ($A24, "IQ_EBITDA_EST",$B$4, $L$2, "CON", $L$3, $L$5, $L$6))</f>
        <v>#NAME?</v>
      </c>
      <c r="AD24" s="84" t="e">
        <f ca="1">IF(_xll.ciqfunctions.udf.CIQ($A24, "IQ_EBITDA_EST",$B$5, $L$2, "CON", $L$3, $L$5, $L$6)=0,"n/a",_xll.ciqfunctions.udf.CIQ($A24, "IQ_EBITDA_EST",$B$5, $L$2, "CON", $L$3, $L$5, $L$6))</f>
        <v>#NAME?</v>
      </c>
      <c r="AE24" s="84" t="e">
        <f ca="1">IF(_xll.ciqfunctions.udf.CIQ($A24, "IQ_EBITDA_EST",$B$6, $L$2, "CON", $L$3, $L$5, $L$6)=0,"n/a",_xll.ciqfunctions.udf.CIQ($A24, "IQ_EBITDA_EST",$B$6, $L$2, "CON", $L$3, $L$5, $L$6))</f>
        <v>#NAME?</v>
      </c>
      <c r="AF24" s="69" t="str">
        <f ca="1">IF(ISERROR(_xll.ciqfunctions.udf.CIQ($A24, "IQ_GROSS_MARGIN", IQ_LTM, $L$2,$L$4, $L$3, $L$5, $L$6)/100), "n/a", _xll.ciqfunctions.udf.CIQ($A24,  "IQ_GROSS_MARGIN", IQ_LTM, $L$2, $L$4, $L$3, $L$5, $L$6)/100)</f>
        <v>n/a</v>
      </c>
      <c r="AG24" s="69" t="str">
        <f ca="1">IF(ISERROR(_xll.ciqfunctions.udf.CIQ($A24,"IQ_EBITDA_MARGIN", IQ_LTM, $L$2, $L$4, $L$3, $L$5, $L$6)/100), "n/a", _xll.ciqfunctions.udf.CIQ($A24, "IQ_EBITDA_MARGIN", IQ_LTM, $L$2, $L$4, $L$3, $L$5, $L$6)/100)</f>
        <v>n/a</v>
      </c>
      <c r="AH24" s="69" t="str">
        <f ca="1">IF(ISERROR(_xll.ciqfunctions.udf.CIQ($A24,"IQ_EBIT_MARGIN", IQ_LTM, $L$2, $L$4, $L$3, $L$5, $L$6)/100), "n/a", _xll.ciqfunctions.udf.CIQ($A24, "IQ_EBIT_MARGIN", IQ_LTM, $L$2, $L$4, $L$3, $L$5, $L$6)/100)</f>
        <v>n/a</v>
      </c>
      <c r="AI24" s="69" t="str">
        <f ca="1">IF(ISERROR(_xll.ciqfunctions.udf.CIQ($A24,"IQ_NI_MARGIN", IQ_LTM, $L$2, $L$4, $L$3, $L$5, $L$6)/100), "n/a", _xll.ciqfunctions.udf.CIQ($A24, "IQ_NI_MARGIN", IQ_LTM, $L$2, $L$4, $L$3, $L$5, $L$6)/100)</f>
        <v>n/a</v>
      </c>
      <c r="AJ24" s="84" t="str">
        <f ca="1">IF(ISERROR(_xll.ciqfunctions.udf.CIQ($A24, "IQ_NET_WORKING_CAP", IQ_LTM-8, $L$2, $L$4, $L$3, $L$5, $L$6)), "n/a", _xll.ciqfunctions.udf.CIQ($A24, "IQ_NET_WORKING_CAP", IQ_LTM-8, $L$2, $L$4, $L$3, $L$5, $L$6))</f>
        <v>n/a</v>
      </c>
      <c r="AK24" s="84" t="str">
        <f ca="1">IF(ISERROR(_xll.ciqfunctions.udf.CIQ($A24, "IQ_NET_WORKING_CAP", IQ_LTM-4, $L$2, $L$4, $L$3, $L$5, $L$6)), "n/a", _xll.ciqfunctions.udf.CIQ($A24, "IQ_NET_WORKING_CAP", IQ_LTM-4, $L$2, $L$4, $L$3, $L$5, $L$6))</f>
        <v>n/a</v>
      </c>
      <c r="AL24" s="84" t="str">
        <f ca="1">IF(ISERROR(_xll.ciqfunctions.udf.CIQ($A24, "IQ_NET_WORKING_CAP", IQ_LTM, $L$2,$L$4, $L$3, $L$5, $L$6)), "n/a", _xll.ciqfunctions.udf.CIQ($A24, "IQ_NET_WORKING_CAP", IQ_LTM, $L$2, $L$4, $L$3, $L$5, $L$6))</f>
        <v>n/a</v>
      </c>
      <c r="AM24" s="84" t="str">
        <f ca="1">IF(ISERROR(_xll.ciqfunctions.udf.CIQ($A24, "IQ_Capex", IQ_LTM-8, $L$2,$L$4, $L$3, $L$5, $L$6)), "n/a", _xll.ciqfunctions.udf.CIQ($A24, "IQ_Capex", IQ_LTM-8, $L$2, $L$4, $L$3, $L$5, $L$6))</f>
        <v>n/a</v>
      </c>
      <c r="AN24" s="84" t="str">
        <f ca="1">IF(ISERROR(_xll.ciqfunctions.udf.CIQ($A24, "IQ_Capex", IQ_LTM-4, $L$2,$L$4, $L$3, $L$5, $L$6)), "n/a", _xll.ciqfunctions.udf.CIQ($A24, "IQ_Capex", IQ_LTM-4, $L$2,$L$4, $L$3, $L$5, $L$6))</f>
        <v>n/a</v>
      </c>
      <c r="AO24" s="84" t="str">
        <f ca="1">IF(ISERROR(_xll.ciqfunctions.udf.CIQ($A24, "IQ_Capex", IQ_LTM, $L$2, $L$4, $L$3, $L$5, $L$6)), "n/a", _xll.ciqfunctions.udf.CIQ($A24, "IQ_Capex", IQ_LTM, $L$2, $L$4, $L$3, $L$5, $L$6))</f>
        <v>n/a</v>
      </c>
      <c r="AP24" s="66" t="e">
        <f ca="1">_xll.ciqfunctions.udf.CIQ(A24, "IQ_BUSINESS_DESCRIPTION")</f>
        <v>#NAME?</v>
      </c>
      <c r="AQ24" s="85" t="e">
        <f ca="1">_xll.ciqfunctions.udf.CIQ($A24, "IQ_BETA_1YR", $B$1)</f>
        <v>#NAME?</v>
      </c>
      <c r="AR24" s="85" t="e">
        <f ca="1">_xll.ciqfunctions.udf.CIQ($A24, "IQ_BETA_2YR", $B$1)</f>
        <v>#NAME?</v>
      </c>
      <c r="AS24" s="85" t="e">
        <f ca="1">_xll.ciqfunctions.udf.CIQ($A24, "IQ_BETA_5YR", $B$1)</f>
        <v>#NAME?</v>
      </c>
      <c r="AT24" s="69" t="e">
        <f ca="1">_xll.ciqfunctions.udf.CIQ($A24, "IQ_DIVIDEND_YIELD", $B$1)/100</f>
        <v>#NAME?</v>
      </c>
      <c r="AU24" s="84" t="e">
        <f ca="1">_xll.ciqfunctions.udf.CIQ($A24, "IQ_EARNING_CO", IQ_LTM-8, $L$2, $L$4, $L$3, $L$5, $L$6)</f>
        <v>#NAME?</v>
      </c>
      <c r="AV24" s="84" t="e">
        <f ca="1">_xll.ciqfunctions.udf.CIQ($A24, "IQ_EARNING_CO", IQ_LTM-4, $L$2, $L$4, $L$3, $L$5, $L$6)</f>
        <v>#NAME?</v>
      </c>
      <c r="AW24" s="84" t="e">
        <f ca="1">_xll.ciqfunctions.udf.CIQ($A24, "IQ_EARNING_CO", IQ_LTM, $L$2, $L$4, $L$3, $L$5, $L$6)</f>
        <v>#NAME?</v>
      </c>
      <c r="AX24" s="84" t="e">
        <f ca="1">_xll.ciqfunctions.udf.CIQ($A24, "IQ_EARNING_CO", $B$2, $L$2, $L$4, $L$3, $L$5, $L$6)</f>
        <v>#NAME?</v>
      </c>
      <c r="AY24" s="84" t="e">
        <f ca="1">IF(_xll.ciqfunctions.udf.CIQ($A24, "IQ_EARNING_CO", $B$3, $L$2,$L$4, $L$3, $L$5, $L$6)=0,AW24,_xll.ciqfunctions.udf.CIQ($A24, "IQ_EARNING_CO", $B$3, $L$2,$L$4, $L$3, $L$5, $L$6))</f>
        <v>#NAME?</v>
      </c>
      <c r="AZ24" s="84" t="e">
        <f ca="1">_xll.ciqfunctions.udf.CIQ($A24, "IQ_TOTAL_EQUITY", IQ_LTM-8, $L$2, $L$4, $L$3, $L$5, $L$6)</f>
        <v>#NAME?</v>
      </c>
      <c r="BA24" s="84" t="e">
        <f ca="1">_xll.ciqfunctions.udf.CIQ($A24, "IQ_TOTAL_EQUITY", IQ_LTM-4, $L$2, $L$4, $L$3, $L$5, $L$6)</f>
        <v>#NAME?</v>
      </c>
      <c r="BB24" s="84" t="e">
        <f ca="1">_xll.ciqfunctions.udf.CIQ($A24, "IQ_TOTAL_EQUITY", IQ_LTM, $L$2, $L$4, $L$3, $L$5, $L$6)</f>
        <v>#NAME?</v>
      </c>
      <c r="BC24" s="84" t="e">
        <f ca="1">_xll.ciqfunctions.udf.CIQ($A24, "IQ_TOTAL_EQUITY", $B$2, $L$2, $L$4, $L$3, $L$5, $L$6)</f>
        <v>#NAME?</v>
      </c>
      <c r="BD24" s="84" t="e">
        <f ca="1">IF(_xll.ciqfunctions.udf.CIQ($A24, "IQ_TOTAL_EQUITY", $B$3, $L$2,$L$4, $L$3, $L$5, $L$6)=0,BB24,_xll.ciqfunctions.udf.CIQ($A24, "IQ_TOTAL_EQUITY", $B$3, $L$2,$L$4, $L$3, $L$5, $L$6))</f>
        <v>#NAME?</v>
      </c>
      <c r="BE24" s="84" t="e">
        <f ca="1">_xll.ciqfunctions.udf.CIQ(A24, "IQ_LASTSALEPRICE", $B$8)</f>
        <v>#NAME?</v>
      </c>
      <c r="BF24" s="84" t="e">
        <f ca="1">_xll.ciqfunctions.udf.CIQ($A24, "IQ_MARKETCAP", $B$8, $L$5, $L$6)</f>
        <v>#NAME?</v>
      </c>
      <c r="BG24" s="84" t="e">
        <f ca="1">_xll.ciqfunctions.udf.CIQ($A24, "IQ_TOTAL_DEBT", IQ_LTM, $B$8,$L$4, $L$3, $L$5, $L$6)</f>
        <v>#NAME?</v>
      </c>
      <c r="BH24" s="67" t="e">
        <f ca="1">_xll.ciqfunctions.udf.CIQ($A24,"IQ_PREF_EQUITY",IQ_LTM,$B$8,$L$4,$L$3,$L$5,$L$6)</f>
        <v>#NAME?</v>
      </c>
      <c r="BI24" s="67" t="e">
        <f ca="1">_xll.ciqfunctions.udf.CIQ($A24, "IQ_MINORITY_INTEREST_TOTAL", IQ_LTM,$B$8,$L$4,$L$3,$L$5,$L$6)</f>
        <v>#NAME?</v>
      </c>
      <c r="BJ24" s="84" t="e">
        <f ca="1">_xll.ciqfunctions.udf.CIQ($A24, "IQ_CASH_ST_INVEST", IQ_LTM, $B$8, $L$4, $L$3, $L$5, $L$6)</f>
        <v>#NAME?</v>
      </c>
      <c r="BK24" s="67" t="e">
        <f ca="1">_xll.ciqfunctions.udf.CIQ($A24, "IQ_EFFECT_TAX_RATE")</f>
        <v>#NAME?</v>
      </c>
      <c r="BL24" s="67" t="e">
        <f ca="1">IF(_xll.ciqfunctions.udf.CIQ($A24, "IQ_TOTAL_REV_2YR_ANN_CAGR", IQ_LTM, $B$1,$L$4, $L$3, $L$5, $L$6)="NM","n/a",(_xll.ciqfunctions.udf.CIQ($A24, "IQ_TOTAL_REV_2YR_ANN_CAGR", IQ_LTM, $B$1,$L$4, $L$3, $L$5, $L$6)/100))</f>
        <v>#NAME?</v>
      </c>
      <c r="BM24" s="67" t="e">
        <f ca="1">IF(_xll.ciqfunctions.udf.CIQ($A24, "IQ_TOTAL_REV_3YR_ANN_CAGR", IQ_LTM, $B$1,$L$4, $L$3, $L$5, $L$6)="NM","n/a",(_xll.ciqfunctions.udf.CIQ($A24, "IQ_TOTAL_REV_3YR_ANN_CAGR", IQ_LTM, $B$1,$L$4, $L$3, $L$5, $L$6)/100))</f>
        <v>#NAME?</v>
      </c>
      <c r="BN24" s="67" t="e">
        <f ca="1">IF(_xll.ciqfunctions.udf.CIQ($A24, "IQ_TOTAL_REV_5YR_ANN_CAGR", IQ_LTM, $B$1,$L$4, $L$3, $L$5, $L$6)="NM","n/a",(_xll.ciqfunctions.udf.CIQ($A24, "IQ_TOTAL_REV_5YR_ANN_CAGR", IQ_LTM, $B$1,$L$4, $L$3, $L$5, $L$6)/100))</f>
        <v>#NAME?</v>
      </c>
      <c r="BO24" s="67" t="e">
        <f ca="1">IF(_xll.ciqfunctions.udf.CIQ($A24,"IQ_EBITDA_2YR_ANN_CAGR", IQ_LTM,$B$1,$L$4, $L$3, $L$5, $L$6)="NM","n/a",(_xll.ciqfunctions.udf.CIQ($A24,"IQ_EBITDA_2YR_ANN_CAGR", IQ_LTM,$B$1,$L$4, $L$3, $L$5, $L$6)/100))</f>
        <v>#NAME?</v>
      </c>
      <c r="BP24" s="67" t="e">
        <f ca="1">IF(_xll.ciqfunctions.udf.CIQ($A24,"IQ_EBITDA_3YR_ANN_CAGR", IQ_LTM,$B$1,$L$4, $L$3, $L$5, $L$6)="NM","n/a",(_xll.ciqfunctions.udf.CIQ($A24,"IQ_EBITDA_3YR_ANN_CAGR", IQ_LTM,$B$1,$L$4, $L$3, $L$5, $L$6)/100))</f>
        <v>#NAME?</v>
      </c>
      <c r="BQ24" s="67" t="e">
        <f ca="1">IF(_xll.ciqfunctions.udf.CIQ($A24,"IQ_EBITDA_5YR_ANN_CAGR", IQ_LTM,$B$1,$L$4, $L$3, $L$5, $L$6)="NM","n/a",(_xll.ciqfunctions.udf.CIQ($A24,"IQ_EBITDA_5YR_ANN_CAGR", IQ_LTM,$B$1,$L$4, $L$3, $L$5, $L$6)/100))</f>
        <v>#NAME?</v>
      </c>
      <c r="BR24" s="69" t="str">
        <f ca="1">IFERROR((_xll.ciqfunctions.udf.CIQ($A24, "IQ_DA_CF", IQ_LTM, $B$1, $L$4, $L$3, $L$5, $L$6)/Q24),"NM")</f>
        <v>NM</v>
      </c>
      <c r="BS24" s="86">
        <f>'Capital IQ Sheet-GPC'!BS24</f>
        <v>0.74991877261248097</v>
      </c>
      <c r="BT24" s="86">
        <f>'Capital IQ Sheet-GPC'!BT24</f>
        <v>0.6748916162350671</v>
      </c>
      <c r="BU24" s="86">
        <f>'Capital IQ Sheet-GPC'!BU24</f>
        <v>0.8020029159787504</v>
      </c>
      <c r="BV24" s="86">
        <f>'Capital IQ Sheet-GPC'!BV24</f>
        <v>0.82195391684459584</v>
      </c>
      <c r="BW24" s="86">
        <f>'Capital IQ Sheet-GPC'!BW24</f>
        <v>0.90147438590513396</v>
      </c>
      <c r="BX24" s="86" t="str">
        <f>'Capital IQ Sheet-GPC'!BX24</f>
        <v>n/a</v>
      </c>
      <c r="BY24" s="86" t="str">
        <f>'Capital IQ Sheet-GPC'!BY24</f>
        <v>n/a</v>
      </c>
      <c r="BZ24" s="86" t="str">
        <f>'Capital IQ Sheet-GPC'!BZ24</f>
        <v>n/a</v>
      </c>
      <c r="CB24" s="67">
        <v>2</v>
      </c>
      <c r="CC24" s="123" t="s">
        <v>295</v>
      </c>
      <c r="CD24" s="123" t="s">
        <v>294</v>
      </c>
      <c r="CE24" s="68">
        <f t="shared" ref="CE24:CE34" si="1">$B$1-365*CB24</f>
        <v>42766</v>
      </c>
    </row>
    <row r="25" spans="1:83" s="67" customFormat="1" ht="12.75">
      <c r="A25" s="67" t="e">
        <f ca="1">_xll.ciqfunctions.udf.CIQ($B25,"IQ_COMPANY_TICKER")</f>
        <v>#NAME?</v>
      </c>
      <c r="B25" s="67" t="str">
        <f>'Capital IQ Sheet-GPC'!B25</f>
        <v>IQ5703481</v>
      </c>
      <c r="C25" s="67" t="e">
        <f ca="1">_xll.ciqfunctions.udf.CIQ($A25,"IQ_COMPANY_NAME")</f>
        <v>#NAME?</v>
      </c>
      <c r="D25" s="67" t="e">
        <f ca="1">_xll.ciqfunctions.udf.CIQ($A25, "IQ_EXCHANGE")</f>
        <v>#NAME?</v>
      </c>
      <c r="E25" s="68" t="e">
        <f ca="1">_xll.ciqfunctions.udf.CIQ($A25, "IQ_PERIODDATE_IS", IQ_FY)</f>
        <v>#NAME?</v>
      </c>
      <c r="F25" s="68" t="e">
        <f ca="1">_xll.ciqfunctions.udf.CIQ(A25, "IQ_PERIODDATE_IS", IQ_LTM, $B$1,$L$4,$L$3)</f>
        <v>#NAME?</v>
      </c>
      <c r="G25" s="68" t="e">
        <f ca="1">_xll.ciqfunctions.udf.CIQ($A25, "IQ_FIRSTPRICINGDATE")</f>
        <v>#NAME?</v>
      </c>
      <c r="H25" s="84" t="e">
        <f ca="1">_xll.ciqfunctions.udf.CIQ($A25, "IQ_TEV", $L$2, $L$5, $L$6)</f>
        <v>#NAME?</v>
      </c>
      <c r="I25" s="84" t="e">
        <f ca="1">_xll.ciqfunctions.udf.CIQ(A25, "IQ_LASTSALEPRICE", $B$1,$L$5)</f>
        <v>#NAME?</v>
      </c>
      <c r="J25" s="84" t="e">
        <f ca="1">_xll.ciqfunctions.udf.CIQ($A25, "IQ_MARKETCAP", $L$2, $L$5, $L$6)</f>
        <v>#NAME?</v>
      </c>
      <c r="K25" s="84" t="e">
        <f ca="1">_xll.ciqfunctions.udf.CIQ($A25, "IQ_TOTAL_DEBT", IQ_LTM, $L$2,$L$4, $L$3, $L$5, $L$6)</f>
        <v>#NAME?</v>
      </c>
      <c r="L25" s="84" t="e">
        <f ca="1">_xll.ciqfunctions.udf.CIQ($A25, "IQ_PREF_EQUITY", IQ_LTM, $L$2, $L$4, $L$3, $L$5, $L$6)</f>
        <v>#NAME?</v>
      </c>
      <c r="M25" s="84" t="e">
        <f ca="1">_xll.ciqfunctions.udf.CIQ($A25, "IQ_MINORITY_INTEREST_TOTAL", IQ_LTM, $L$2, $L$4, $L$3, $L$5, $L$6)</f>
        <v>#NAME?</v>
      </c>
      <c r="N25" s="84" t="e">
        <f ca="1">_xll.ciqfunctions.udf.CIQ($A25, "IQ_CASH_ST_INVEST", IQ_LTM, $L$2, $L$4, $L$3, $L$5, $L$6)</f>
        <v>#NAME?</v>
      </c>
      <c r="O25" s="84" t="e">
        <f ca="1">_xll.ciqfunctions.udf.CIQ($A25, "IQ_TOTAL_REV", IQ_LTM-8, $L$2, $L$4, $L$3, $L$5, $L$6)</f>
        <v>#NAME?</v>
      </c>
      <c r="P25" s="84" t="e">
        <f ca="1">_xll.ciqfunctions.udf.CIQ($A25, "IQ_TOTAL_REV", IQ_LTM - 4, $L$2, $L$4, $L$3, $L$5,$L$6)</f>
        <v>#NAME?</v>
      </c>
      <c r="Q25" s="84" t="e">
        <f ca="1">_xll.ciqfunctions.udf.CIQ($A25, "IQ_TOTAL_REV", IQ_LTM, $L$2, $L$4, $L$3, $L$5, $L$6)</f>
        <v>#NAME?</v>
      </c>
      <c r="R25" s="84" t="e">
        <f ca="1">_xll.ciqfunctions.udf.CIQ($A25, "IQ_TOTAL_REV", $B$2, $L$2, $L$4, $L$3, $L$5, $L$6)</f>
        <v>#NAME?</v>
      </c>
      <c r="S25" s="84" t="e">
        <f ca="1">IF(_xll.ciqfunctions.udf.CIQ($A25, "IQ_TOTAL_REV", $B$3, $L$2,$L$4, $L$3, $L$5, $L$6)=0,Q25,_xll.ciqfunctions.udf.CIQ($A25, "IQ_TOTAL_REV", $B$3, $L$2,$L$4, $L$3, $L$5, $L$6))</f>
        <v>#NAME?</v>
      </c>
      <c r="T25" s="84" t="e">
        <f ca="1">IF(_xll.ciqfunctions.udf.CIQ($A25, "IQ_REVENUE_EST",$B$4, $L$2, "CON", $L$3, $L$5, $L$6)=0,"n/a",_xll.ciqfunctions.udf.CIQ($A25, "IQ_REVENUE_EST",$B$4, $L$2, "CON", $L$3, $L$5, $L$6))</f>
        <v>#NAME?</v>
      </c>
      <c r="U25" s="84" t="e">
        <f ca="1">IF(_xll.ciqfunctions.udf.CIQ($A25, "IQ_REVENUE_EST",$B$5, $L$2, "CON", $L$3, $L$5, $L$6)=0,"n/a",_xll.ciqfunctions.udf.CIQ($A25, "IQ_REVENUE_EST",$B$5, $L$2, "CON", $L$3, $L$5, $L$6))</f>
        <v>#NAME?</v>
      </c>
      <c r="V25" s="84" t="e">
        <f ca="1">IF(_xll.ciqfunctions.udf.CIQ($A25, "IQ_REVENUE_EST",$B$6, $L$2, "CON", $L$3, $L$5, $L$6)=0,"n/a",_xll.ciqfunctions.udf.CIQ($A25, "IQ_REVENUE_EST",$B$6, $L$2, "CON", $L$3, $L$5, $L$6))</f>
        <v>#NAME?</v>
      </c>
      <c r="W25" s="84" t="e">
        <f ca="1">IF(_xll.ciqfunctions.udf.CIQ($A25, "IQ_REVENUE_EST", $B$7, $L$2, "CON", $L$3, $L$5, $L$6)=0,"n/a",_xll.ciqfunctions.udf.CIQ($A25, "IQ_REVENUE_EST",$B$7, $L$2, "CON", $L$3, $L$5, $L$6))</f>
        <v>#NAME?</v>
      </c>
      <c r="X25" s="84" t="e">
        <f ca="1">_xll.ciqfunctions.udf.CIQ($A25, "IQ_EBITDA", IQ_LTM-8, $L$2, $L$4, $L$3, $L$5, $L$6)</f>
        <v>#NAME?</v>
      </c>
      <c r="Y25" s="84" t="e">
        <f ca="1">_xll.ciqfunctions.udf.CIQ($A25, "IQ_EBITDA", IQ_LTM-4, $L$2,$L$4, $L$3, $L$5, $L$6)</f>
        <v>#NAME?</v>
      </c>
      <c r="Z25" s="84" t="e">
        <f ca="1">_xll.ciqfunctions.udf.CIQ($A25, "IQ_EBITDA", IQ_LTM, $L$2, $L$4, $L$3, $L$5, $L$6)</f>
        <v>#NAME?</v>
      </c>
      <c r="AA25" s="84" t="e">
        <f ca="1">_xll.ciqfunctions.udf.CIQ($A25, "IQ_EBITDA", $B$2, $L$2, $L$4, $L$3, $L$5, $L$6)</f>
        <v>#NAME?</v>
      </c>
      <c r="AB25" s="84" t="e">
        <f ca="1">IF(_xll.ciqfunctions.udf.CIQ($A25, "IQ_EBITDA", $B$3, $L$2,$L$4, $L$3, $L$5, $L$6)=0,Z25,_xll.ciqfunctions.udf.CIQ($A25, "IQ_EBITDA", $B$3, $L$2,$L$4, $L$3, $L$5, $L$6))</f>
        <v>#NAME?</v>
      </c>
      <c r="AC25" s="84" t="e">
        <f ca="1">IF(_xll.ciqfunctions.udf.CIQ($A25, "IQ_EBITDA_EST",$B$4, $L$2, "CON", $L$3, $L$5, $L$6)=0,"n/a",_xll.ciqfunctions.udf.CIQ($A25, "IQ_EBITDA_EST",$B$4, $L$2, "CON", $L$3, $L$5, $L$6))</f>
        <v>#NAME?</v>
      </c>
      <c r="AD25" s="84" t="e">
        <f ca="1">IF(_xll.ciqfunctions.udf.CIQ($A25, "IQ_EBITDA_EST",$B$5, $L$2, "CON", $L$3, $L$5, $L$6)=0,"n/a",_xll.ciqfunctions.udf.CIQ($A25, "IQ_EBITDA_EST",$B$5, $L$2, "CON", $L$3, $L$5, $L$6))</f>
        <v>#NAME?</v>
      </c>
      <c r="AE25" s="84" t="e">
        <f ca="1">IF(_xll.ciqfunctions.udf.CIQ($A25, "IQ_EBITDA_EST",$B$6, $L$2, "CON", $L$3, $L$5, $L$6)=0,"n/a",_xll.ciqfunctions.udf.CIQ($A25, "IQ_EBITDA_EST",$B$6, $L$2, "CON", $L$3, $L$5, $L$6))</f>
        <v>#NAME?</v>
      </c>
      <c r="AF25" s="69" t="str">
        <f ca="1">IF(ISERROR(_xll.ciqfunctions.udf.CIQ($A25, "IQ_GROSS_MARGIN", IQ_LTM, $L$2,$L$4, $L$3, $L$5, $L$6)/100), "n/a", _xll.ciqfunctions.udf.CIQ($A25,  "IQ_GROSS_MARGIN", IQ_LTM, $L$2, $L$4, $L$3, $L$5, $L$6)/100)</f>
        <v>n/a</v>
      </c>
      <c r="AG25" s="69" t="str">
        <f ca="1">IF(ISERROR(_xll.ciqfunctions.udf.CIQ($A25,"IQ_EBITDA_MARGIN", IQ_LTM, $L$2, $L$4, $L$3, $L$5, $L$6)/100), "n/a", _xll.ciqfunctions.udf.CIQ($A25, "IQ_EBITDA_MARGIN", IQ_LTM, $L$2, $L$4, $L$3, $L$5, $L$6)/100)</f>
        <v>n/a</v>
      </c>
      <c r="AH25" s="69" t="str">
        <f ca="1">IF(ISERROR(_xll.ciqfunctions.udf.CIQ($A25,"IQ_EBIT_MARGIN", IQ_LTM, $L$2, $L$4, $L$3, $L$5, $L$6)/100), "n/a", _xll.ciqfunctions.udf.CIQ($A25, "IQ_EBIT_MARGIN", IQ_LTM, $L$2, $L$4, $L$3, $L$5, $L$6)/100)</f>
        <v>n/a</v>
      </c>
      <c r="AI25" s="69" t="str">
        <f ca="1">IF(ISERROR(_xll.ciqfunctions.udf.CIQ($A25,"IQ_NI_MARGIN", IQ_LTM, $L$2, $L$4, $L$3, $L$5, $L$6)/100), "n/a", _xll.ciqfunctions.udf.CIQ($A25, "IQ_NI_MARGIN", IQ_LTM, $L$2, $L$4, $L$3, $L$5, $L$6)/100)</f>
        <v>n/a</v>
      </c>
      <c r="AJ25" s="84" t="str">
        <f ca="1">IF(ISERROR(_xll.ciqfunctions.udf.CIQ($A25, "IQ_NET_WORKING_CAP", IQ_LTM-8, $L$2, $L$4, $L$3, $L$5, $L$6)), "n/a", _xll.ciqfunctions.udf.CIQ($A25, "IQ_NET_WORKING_CAP", IQ_LTM-8, $L$2, $L$4, $L$3, $L$5, $L$6))</f>
        <v>n/a</v>
      </c>
      <c r="AK25" s="84" t="str">
        <f ca="1">IF(ISERROR(_xll.ciqfunctions.udf.CIQ($A25, "IQ_NET_WORKING_CAP", IQ_LTM-4, $L$2, $L$4, $L$3, $L$5, $L$6)), "n/a", _xll.ciqfunctions.udf.CIQ($A25, "IQ_NET_WORKING_CAP", IQ_LTM-4, $L$2, $L$4, $L$3, $L$5, $L$6))</f>
        <v>n/a</v>
      </c>
      <c r="AL25" s="84" t="str">
        <f ca="1">IF(ISERROR(_xll.ciqfunctions.udf.CIQ($A25, "IQ_NET_WORKING_CAP", IQ_LTM, $L$2,$L$4, $L$3, $L$5, $L$6)), "n/a", _xll.ciqfunctions.udf.CIQ($A25, "IQ_NET_WORKING_CAP", IQ_LTM, $L$2, $L$4, $L$3, $L$5, $L$6))</f>
        <v>n/a</v>
      </c>
      <c r="AM25" s="84" t="str">
        <f ca="1">IF(ISERROR(_xll.ciqfunctions.udf.CIQ($A25, "IQ_Capex", IQ_LTM-8, $L$2,$L$4, $L$3, $L$5, $L$6)), "n/a", _xll.ciqfunctions.udf.CIQ($A25, "IQ_Capex", IQ_LTM-8, $L$2, $L$4, $L$3, $L$5, $L$6))</f>
        <v>n/a</v>
      </c>
      <c r="AN25" s="84" t="str">
        <f ca="1">IF(ISERROR(_xll.ciqfunctions.udf.CIQ($A25, "IQ_Capex", IQ_LTM-4, $L$2,$L$4, $L$3, $L$5, $L$6)), "n/a", _xll.ciqfunctions.udf.CIQ($A25, "IQ_Capex", IQ_LTM-4, $L$2,$L$4, $L$3, $L$5, $L$6))</f>
        <v>n/a</v>
      </c>
      <c r="AO25" s="84" t="str">
        <f ca="1">IF(ISERROR(_xll.ciqfunctions.udf.CIQ($A25, "IQ_Capex", IQ_LTM, $L$2, $L$4, $L$3, $L$5, $L$6)), "n/a", _xll.ciqfunctions.udf.CIQ($A25, "IQ_Capex", IQ_LTM, $L$2, $L$4, $L$3, $L$5, $L$6))</f>
        <v>n/a</v>
      </c>
      <c r="AP25" s="66" t="e">
        <f ca="1">_xll.ciqfunctions.udf.CIQ(A25, "IQ_BUSINESS_DESCRIPTION")</f>
        <v>#NAME?</v>
      </c>
      <c r="AQ25" s="85" t="e">
        <f ca="1">_xll.ciqfunctions.udf.CIQ($A25, "IQ_BETA_1YR", $B$1)</f>
        <v>#NAME?</v>
      </c>
      <c r="AR25" s="85" t="e">
        <f ca="1">_xll.ciqfunctions.udf.CIQ($A25, "IQ_BETA_2YR", $B$1)</f>
        <v>#NAME?</v>
      </c>
      <c r="AS25" s="85" t="e">
        <f ca="1">_xll.ciqfunctions.udf.CIQ($A25, "IQ_BETA_5YR", $B$1)</f>
        <v>#NAME?</v>
      </c>
      <c r="AT25" s="69" t="e">
        <f ca="1">_xll.ciqfunctions.udf.CIQ($A25, "IQ_DIVIDEND_YIELD", $B$1)/100</f>
        <v>#NAME?</v>
      </c>
      <c r="AU25" s="84" t="e">
        <f ca="1">_xll.ciqfunctions.udf.CIQ($A25, "IQ_EARNING_CO", IQ_LTM-8, $L$2, $L$4, $L$3, $L$5, $L$6)</f>
        <v>#NAME?</v>
      </c>
      <c r="AV25" s="84" t="e">
        <f ca="1">_xll.ciqfunctions.udf.CIQ($A25, "IQ_EARNING_CO", IQ_LTM-4, $L$2, $L$4, $L$3, $L$5, $L$6)</f>
        <v>#NAME?</v>
      </c>
      <c r="AW25" s="84" t="e">
        <f ca="1">_xll.ciqfunctions.udf.CIQ($A25, "IQ_EARNING_CO", IQ_LTM, $L$2, $L$4, $L$3, $L$5, $L$6)</f>
        <v>#NAME?</v>
      </c>
      <c r="AX25" s="84" t="e">
        <f ca="1">_xll.ciqfunctions.udf.CIQ($A25, "IQ_EARNING_CO", $B$2, $L$2, $L$4, $L$3, $L$5, $L$6)</f>
        <v>#NAME?</v>
      </c>
      <c r="AY25" s="84" t="e">
        <f ca="1">IF(_xll.ciqfunctions.udf.CIQ($A25, "IQ_EARNING_CO", $B$3, $L$2,$L$4, $L$3, $L$5, $L$6)=0,AW25,_xll.ciqfunctions.udf.CIQ($A25, "IQ_EARNING_CO", $B$3, $L$2,$L$4, $L$3, $L$5, $L$6))</f>
        <v>#NAME?</v>
      </c>
      <c r="AZ25" s="84" t="e">
        <f ca="1">_xll.ciqfunctions.udf.CIQ($A25, "IQ_TOTAL_EQUITY", IQ_LTM-8, $L$2, $L$4, $L$3, $L$5, $L$6)</f>
        <v>#NAME?</v>
      </c>
      <c r="BA25" s="84" t="e">
        <f ca="1">_xll.ciqfunctions.udf.CIQ($A25, "IQ_TOTAL_EQUITY", IQ_LTM-4, $L$2, $L$4, $L$3, $L$5, $L$6)</f>
        <v>#NAME?</v>
      </c>
      <c r="BB25" s="84" t="e">
        <f ca="1">_xll.ciqfunctions.udf.CIQ($A25, "IQ_TOTAL_EQUITY", IQ_LTM, $L$2, $L$4, $L$3, $L$5, $L$6)</f>
        <v>#NAME?</v>
      </c>
      <c r="BC25" s="84" t="e">
        <f ca="1">_xll.ciqfunctions.udf.CIQ($A25, "IQ_TOTAL_EQUITY", $B$2, $L$2, $L$4, $L$3, $L$5, $L$6)</f>
        <v>#NAME?</v>
      </c>
      <c r="BD25" s="84" t="e">
        <f ca="1">IF(_xll.ciqfunctions.udf.CIQ($A25, "IQ_TOTAL_EQUITY", $B$3, $L$2,$L$4, $L$3, $L$5, $L$6)=0,BB25,_xll.ciqfunctions.udf.CIQ($A25, "IQ_TOTAL_EQUITY", $B$3, $L$2,$L$4, $L$3, $L$5, $L$6))</f>
        <v>#NAME?</v>
      </c>
      <c r="BE25" s="84" t="e">
        <f ca="1">_xll.ciqfunctions.udf.CIQ(A25, "IQ_LASTSALEPRICE", $B$8)</f>
        <v>#NAME?</v>
      </c>
      <c r="BF25" s="84" t="e">
        <f ca="1">_xll.ciqfunctions.udf.CIQ($A25, "IQ_MARKETCAP", $B$8, $L$5, $L$6)</f>
        <v>#NAME?</v>
      </c>
      <c r="BG25" s="84" t="e">
        <f ca="1">_xll.ciqfunctions.udf.CIQ($A25, "IQ_TOTAL_DEBT", IQ_LTM, $B$8,$L$4, $L$3, $L$5, $L$6)</f>
        <v>#NAME?</v>
      </c>
      <c r="BH25" s="67" t="e">
        <f ca="1">_xll.ciqfunctions.udf.CIQ($A25,"IQ_PREF_EQUITY",IQ_LTM,$B$8,$L$4,$L$3,$L$5,$L$6)</f>
        <v>#NAME?</v>
      </c>
      <c r="BI25" s="67" t="e">
        <f ca="1">_xll.ciqfunctions.udf.CIQ($A25, "IQ_MINORITY_INTEREST_TOTAL", IQ_LTM,$B$8,$L$4,$L$3,$L$5,$L$6)</f>
        <v>#NAME?</v>
      </c>
      <c r="BJ25" s="84" t="e">
        <f ca="1">_xll.ciqfunctions.udf.CIQ($A25, "IQ_CASH_ST_INVEST", IQ_LTM, $B$8, $L$4, $L$3, $L$5, $L$6)</f>
        <v>#NAME?</v>
      </c>
      <c r="BK25" s="67" t="e">
        <f ca="1">_xll.ciqfunctions.udf.CIQ($A25, "IQ_EFFECT_TAX_RATE")</f>
        <v>#NAME?</v>
      </c>
      <c r="BL25" s="67" t="e">
        <f ca="1">IF(_xll.ciqfunctions.udf.CIQ($A25, "IQ_TOTAL_REV_2YR_ANN_CAGR", IQ_LTM, $B$1,$L$4, $L$3, $L$5, $L$6)="NM","n/a",(_xll.ciqfunctions.udf.CIQ($A25, "IQ_TOTAL_REV_2YR_ANN_CAGR", IQ_LTM, $B$1,$L$4, $L$3, $L$5, $L$6)/100))</f>
        <v>#NAME?</v>
      </c>
      <c r="BM25" s="67" t="e">
        <f ca="1">IF(_xll.ciqfunctions.udf.CIQ($A25, "IQ_TOTAL_REV_3YR_ANN_CAGR", IQ_LTM, $B$1,$L$4, $L$3, $L$5, $L$6)="NM","n/a",(_xll.ciqfunctions.udf.CIQ($A25, "IQ_TOTAL_REV_3YR_ANN_CAGR", IQ_LTM, $B$1,$L$4, $L$3, $L$5, $L$6)/100))</f>
        <v>#NAME?</v>
      </c>
      <c r="BN25" s="67" t="e">
        <f ca="1">IF(_xll.ciqfunctions.udf.CIQ($A25, "IQ_TOTAL_REV_5YR_ANN_CAGR", IQ_LTM, $B$1,$L$4, $L$3, $L$5, $L$6)="NM","n/a",(_xll.ciqfunctions.udf.CIQ($A25, "IQ_TOTAL_REV_5YR_ANN_CAGR", IQ_LTM, $B$1,$L$4, $L$3, $L$5, $L$6)/100))</f>
        <v>#NAME?</v>
      </c>
      <c r="BO25" s="67" t="e">
        <f ca="1">IF(_xll.ciqfunctions.udf.CIQ($A25,"IQ_EBITDA_2YR_ANN_CAGR", IQ_LTM,$B$1,$L$4, $L$3, $L$5, $L$6)="NM","n/a",(_xll.ciqfunctions.udf.CIQ($A25,"IQ_EBITDA_2YR_ANN_CAGR", IQ_LTM,$B$1,$L$4, $L$3, $L$5, $L$6)/100))</f>
        <v>#NAME?</v>
      </c>
      <c r="BP25" s="67" t="e">
        <f ca="1">IF(_xll.ciqfunctions.udf.CIQ($A25,"IQ_EBITDA_3YR_ANN_CAGR", IQ_LTM,$B$1,$L$4, $L$3, $L$5, $L$6)="NM","n/a",(_xll.ciqfunctions.udf.CIQ($A25,"IQ_EBITDA_3YR_ANN_CAGR", IQ_LTM,$B$1,$L$4, $L$3, $L$5, $L$6)/100))</f>
        <v>#NAME?</v>
      </c>
      <c r="BQ25" s="67" t="e">
        <f ca="1">IF(_xll.ciqfunctions.udf.CIQ($A25,"IQ_EBITDA_5YR_ANN_CAGR", IQ_LTM,$B$1,$L$4, $L$3, $L$5, $L$6)="NM","n/a",(_xll.ciqfunctions.udf.CIQ($A25,"IQ_EBITDA_5YR_ANN_CAGR", IQ_LTM,$B$1,$L$4, $L$3, $L$5, $L$6)/100))</f>
        <v>#NAME?</v>
      </c>
      <c r="BR25" s="69" t="str">
        <f ca="1">IFERROR((_xll.ciqfunctions.udf.CIQ($A25, "IQ_DA_CF", IQ_LTM, $B$1, $L$4, $L$3, $L$5, $L$6)/Q25),"NM")</f>
        <v>NM</v>
      </c>
      <c r="BS25" s="86">
        <f>'Capital IQ Sheet-GPC'!BS25</f>
        <v>0.59298257511127617</v>
      </c>
      <c r="BT25" s="86">
        <f>'Capital IQ Sheet-GPC'!BT25</f>
        <v>0.81863428009693251</v>
      </c>
      <c r="BU25" s="86">
        <f>'Capital IQ Sheet-GPC'!BU25</f>
        <v>0.75849447476702381</v>
      </c>
      <c r="BV25" s="86">
        <f>'Capital IQ Sheet-GPC'!BV25</f>
        <v>0.69953280830101872</v>
      </c>
      <c r="BW25" s="86">
        <f>'Capital IQ Sheet-GPC'!BW25</f>
        <v>0.70084150334510786</v>
      </c>
      <c r="BX25" s="86">
        <f>'Capital IQ Sheet-GPC'!BX25</f>
        <v>0.70421940975924457</v>
      </c>
      <c r="BY25" s="86" t="str">
        <f>'Capital IQ Sheet-GPC'!BY25</f>
        <v>n/a</v>
      </c>
      <c r="BZ25" s="86" t="str">
        <f>'Capital IQ Sheet-GPC'!BZ25</f>
        <v>n/a</v>
      </c>
      <c r="CB25" s="67">
        <v>2</v>
      </c>
      <c r="CC25" s="123" t="s">
        <v>295</v>
      </c>
      <c r="CD25" s="123" t="s">
        <v>294</v>
      </c>
      <c r="CE25" s="68">
        <f t="shared" si="1"/>
        <v>42766</v>
      </c>
    </row>
    <row r="26" spans="1:83" s="67" customFormat="1" ht="12.75">
      <c r="A26" s="67" t="e">
        <f ca="1">_xll.ciqfunctions.udf.CIQ($B26,"IQ_COMPANY_TICKER")</f>
        <v>#NAME?</v>
      </c>
      <c r="B26" s="67" t="str">
        <f>'Capital IQ Sheet-GPC'!B26</f>
        <v>IQ322758292</v>
      </c>
      <c r="C26" s="67" t="e">
        <f ca="1">_xll.ciqfunctions.udf.CIQ($A26,"IQ_COMPANY_NAME")</f>
        <v>#NAME?</v>
      </c>
      <c r="D26" s="67" t="e">
        <f ca="1">_xll.ciqfunctions.udf.CIQ($A26, "IQ_EXCHANGE")</f>
        <v>#NAME?</v>
      </c>
      <c r="E26" s="68" t="e">
        <f ca="1">_xll.ciqfunctions.udf.CIQ($A26, "IQ_PERIODDATE_IS", IQ_FY)</f>
        <v>#NAME?</v>
      </c>
      <c r="F26" s="68" t="e">
        <f ca="1">_xll.ciqfunctions.udf.CIQ(A26, "IQ_PERIODDATE_IS", IQ_LTM, $B$1,$L$4,$L$3)</f>
        <v>#NAME?</v>
      </c>
      <c r="G26" s="68" t="e">
        <f ca="1">_xll.ciqfunctions.udf.CIQ($A26, "IQ_FIRSTPRICINGDATE")</f>
        <v>#NAME?</v>
      </c>
      <c r="H26" s="84" t="e">
        <f ca="1">_xll.ciqfunctions.udf.CIQ($A26, "IQ_TEV", $L$2, $L$5, $L$6)</f>
        <v>#NAME?</v>
      </c>
      <c r="I26" s="84" t="e">
        <f ca="1">_xll.ciqfunctions.udf.CIQ(A26, "IQ_LASTSALEPRICE", $B$1,$L$5)</f>
        <v>#NAME?</v>
      </c>
      <c r="J26" s="84" t="e">
        <f ca="1">_xll.ciqfunctions.udf.CIQ($A26, "IQ_MARKETCAP", $L$2, $L$5, $L$6)</f>
        <v>#NAME?</v>
      </c>
      <c r="K26" s="84" t="e">
        <f ca="1">_xll.ciqfunctions.udf.CIQ($A26, "IQ_TOTAL_DEBT", IQ_LTM, $L$2,$L$4, $L$3, $L$5, $L$6)</f>
        <v>#NAME?</v>
      </c>
      <c r="L26" s="84" t="e">
        <f ca="1">_xll.ciqfunctions.udf.CIQ($A26, "IQ_PREF_EQUITY", IQ_LTM, $L$2, $L$4, $L$3, $L$5, $L$6)</f>
        <v>#NAME?</v>
      </c>
      <c r="M26" s="84" t="e">
        <f ca="1">_xll.ciqfunctions.udf.CIQ($A26, "IQ_MINORITY_INTEREST_TOTAL", IQ_LTM, $L$2, $L$4, $L$3, $L$5, $L$6)</f>
        <v>#NAME?</v>
      </c>
      <c r="N26" s="84" t="e">
        <f ca="1">_xll.ciqfunctions.udf.CIQ($A26, "IQ_CASH_ST_INVEST", IQ_LTM, $L$2, $L$4, $L$3, $L$5, $L$6)</f>
        <v>#NAME?</v>
      </c>
      <c r="O26" s="84" t="e">
        <f ca="1">_xll.ciqfunctions.udf.CIQ($A26, "IQ_TOTAL_REV", IQ_LTM-8, $L$2, $L$4, $L$3, $L$5, $L$6)</f>
        <v>#NAME?</v>
      </c>
      <c r="P26" s="84" t="e">
        <f ca="1">_xll.ciqfunctions.udf.CIQ($A26, "IQ_TOTAL_REV", IQ_LTM - 4, $L$2, $L$4, $L$3, $L$5,$L$6)</f>
        <v>#NAME?</v>
      </c>
      <c r="Q26" s="84" t="e">
        <f ca="1">_xll.ciqfunctions.udf.CIQ($A26, "IQ_TOTAL_REV", IQ_LTM, $L$2, $L$4, $L$3, $L$5, $L$6)</f>
        <v>#NAME?</v>
      </c>
      <c r="R26" s="84" t="e">
        <f ca="1">_xll.ciqfunctions.udf.CIQ($A26, "IQ_TOTAL_REV", $B$2, $L$2, $L$4, $L$3, $L$5, $L$6)</f>
        <v>#NAME?</v>
      </c>
      <c r="S26" s="84" t="e">
        <f ca="1">IF(_xll.ciqfunctions.udf.CIQ($A26, "IQ_TOTAL_REV", $B$3, $L$2,$L$4, $L$3, $L$5, $L$6)=0,Q26,_xll.ciqfunctions.udf.CIQ($A26, "IQ_TOTAL_REV", $B$3, $L$2,$L$4, $L$3, $L$5, $L$6))</f>
        <v>#NAME?</v>
      </c>
      <c r="T26" s="84" t="e">
        <f ca="1">IF(_xll.ciqfunctions.udf.CIQ($A26, "IQ_REVENUE_EST",$B$4, $L$2, "CON", $L$3, $L$5, $L$6)=0,"n/a",_xll.ciqfunctions.udf.CIQ($A26, "IQ_REVENUE_EST",$B$4, $L$2, "CON", $L$3, $L$5, $L$6))</f>
        <v>#NAME?</v>
      </c>
      <c r="U26" s="84" t="e">
        <f ca="1">IF(_xll.ciqfunctions.udf.CIQ($A26, "IQ_REVENUE_EST",$B$5, $L$2, "CON", $L$3, $L$5, $L$6)=0,"n/a",_xll.ciqfunctions.udf.CIQ($A26, "IQ_REVENUE_EST",$B$5, $L$2, "CON", $L$3, $L$5, $L$6))</f>
        <v>#NAME?</v>
      </c>
      <c r="V26" s="84" t="e">
        <f ca="1">IF(_xll.ciqfunctions.udf.CIQ($A26, "IQ_REVENUE_EST",$B$6, $L$2, "CON", $L$3, $L$5, $L$6)=0,"n/a",_xll.ciqfunctions.udf.CIQ($A26, "IQ_REVENUE_EST",$B$6, $L$2, "CON", $L$3, $L$5, $L$6))</f>
        <v>#NAME?</v>
      </c>
      <c r="W26" s="84" t="e">
        <f ca="1">IF(_xll.ciqfunctions.udf.CIQ($A26, "IQ_REVENUE_EST", $B$7, $L$2, "CON", $L$3, $L$5, $L$6)=0,"n/a",_xll.ciqfunctions.udf.CIQ($A26, "IQ_REVENUE_EST",$B$7, $L$2, "CON", $L$3, $L$5, $L$6))</f>
        <v>#NAME?</v>
      </c>
      <c r="X26" s="84" t="e">
        <f ca="1">_xll.ciqfunctions.udf.CIQ($A26, "IQ_EBITDA", IQ_LTM-8, $L$2, $L$4, $L$3, $L$5, $L$6)</f>
        <v>#NAME?</v>
      </c>
      <c r="Y26" s="84" t="e">
        <f ca="1">_xll.ciqfunctions.udf.CIQ($A26, "IQ_EBITDA", IQ_LTM-4, $L$2,$L$4, $L$3, $L$5, $L$6)</f>
        <v>#NAME?</v>
      </c>
      <c r="Z26" s="84" t="e">
        <f ca="1">_xll.ciqfunctions.udf.CIQ($A26, "IQ_EBITDA", IQ_LTM, $L$2, $L$4, $L$3, $L$5, $L$6)</f>
        <v>#NAME?</v>
      </c>
      <c r="AA26" s="84" t="e">
        <f ca="1">_xll.ciqfunctions.udf.CIQ($A26, "IQ_EBITDA", $B$2, $L$2, $L$4, $L$3, $L$5, $L$6)</f>
        <v>#NAME?</v>
      </c>
      <c r="AB26" s="84" t="e">
        <f ca="1">IF(_xll.ciqfunctions.udf.CIQ($A26, "IQ_EBITDA", $B$3, $L$2,$L$4, $L$3, $L$5, $L$6)=0,Z26,_xll.ciqfunctions.udf.CIQ($A26, "IQ_EBITDA", $B$3, $L$2,$L$4, $L$3, $L$5, $L$6))</f>
        <v>#NAME?</v>
      </c>
      <c r="AC26" s="84" t="e">
        <f ca="1">IF(_xll.ciqfunctions.udf.CIQ($A26, "IQ_EBITDA_EST",$B$4, $L$2, "CON", $L$3, $L$5, $L$6)=0,"n/a",_xll.ciqfunctions.udf.CIQ($A26, "IQ_EBITDA_EST",$B$4, $L$2, "CON", $L$3, $L$5, $L$6))</f>
        <v>#NAME?</v>
      </c>
      <c r="AD26" s="84" t="e">
        <f ca="1">IF(_xll.ciqfunctions.udf.CIQ($A26, "IQ_EBITDA_EST",$B$5, $L$2, "CON", $L$3, $L$5, $L$6)=0,"n/a",_xll.ciqfunctions.udf.CIQ($A26, "IQ_EBITDA_EST",$B$5, $L$2, "CON", $L$3, $L$5, $L$6))</f>
        <v>#NAME?</v>
      </c>
      <c r="AE26" s="84" t="e">
        <f ca="1">IF(_xll.ciqfunctions.udf.CIQ($A26, "IQ_EBITDA_EST",$B$6, $L$2, "CON", $L$3, $L$5, $L$6)=0,"n/a",_xll.ciqfunctions.udf.CIQ($A26, "IQ_EBITDA_EST",$B$6, $L$2, "CON", $L$3, $L$5, $L$6))</f>
        <v>#NAME?</v>
      </c>
      <c r="AF26" s="69" t="str">
        <f ca="1">IF(ISERROR(_xll.ciqfunctions.udf.CIQ($A26, "IQ_GROSS_MARGIN", IQ_LTM, $L$2,$L$4, $L$3, $L$5, $L$6)/100), "n/a", _xll.ciqfunctions.udf.CIQ($A26,  "IQ_GROSS_MARGIN", IQ_LTM, $L$2, $L$4, $L$3, $L$5, $L$6)/100)</f>
        <v>n/a</v>
      </c>
      <c r="AG26" s="69" t="str">
        <f ca="1">IF(ISERROR(_xll.ciqfunctions.udf.CIQ($A26,"IQ_EBITDA_MARGIN", IQ_LTM, $L$2, $L$4, $L$3, $L$5, $L$6)/100), "n/a", _xll.ciqfunctions.udf.CIQ($A26, "IQ_EBITDA_MARGIN", IQ_LTM, $L$2, $L$4, $L$3, $L$5, $L$6)/100)</f>
        <v>n/a</v>
      </c>
      <c r="AH26" s="69" t="str">
        <f ca="1">IF(ISERROR(_xll.ciqfunctions.udf.CIQ($A26,"IQ_EBIT_MARGIN", IQ_LTM, $L$2, $L$4, $L$3, $L$5, $L$6)/100), "n/a", _xll.ciqfunctions.udf.CIQ($A26, "IQ_EBIT_MARGIN", IQ_LTM, $L$2, $L$4, $L$3, $L$5, $L$6)/100)</f>
        <v>n/a</v>
      </c>
      <c r="AI26" s="69" t="str">
        <f ca="1">IF(ISERROR(_xll.ciqfunctions.udf.CIQ($A26,"IQ_NI_MARGIN", IQ_LTM, $L$2, $L$4, $L$3, $L$5, $L$6)/100), "n/a", _xll.ciqfunctions.udf.CIQ($A26, "IQ_NI_MARGIN", IQ_LTM, $L$2, $L$4, $L$3, $L$5, $L$6)/100)</f>
        <v>n/a</v>
      </c>
      <c r="AJ26" s="84" t="str">
        <f ca="1">IF(ISERROR(_xll.ciqfunctions.udf.CIQ($A26, "IQ_NET_WORKING_CAP", IQ_LTM-8, $L$2, $L$4, $L$3, $L$5, $L$6)), "n/a", _xll.ciqfunctions.udf.CIQ($A26, "IQ_NET_WORKING_CAP", IQ_LTM-8, $L$2, $L$4, $L$3, $L$5, $L$6))</f>
        <v>n/a</v>
      </c>
      <c r="AK26" s="84" t="str">
        <f ca="1">IF(ISERROR(_xll.ciqfunctions.udf.CIQ($A26, "IQ_NET_WORKING_CAP", IQ_LTM-4, $L$2, $L$4, $L$3, $L$5, $L$6)), "n/a", _xll.ciqfunctions.udf.CIQ($A26, "IQ_NET_WORKING_CAP", IQ_LTM-4, $L$2, $L$4, $L$3, $L$5, $L$6))</f>
        <v>n/a</v>
      </c>
      <c r="AL26" s="84" t="str">
        <f ca="1">IF(ISERROR(_xll.ciqfunctions.udf.CIQ($A26, "IQ_NET_WORKING_CAP", IQ_LTM, $L$2,$L$4, $L$3, $L$5, $L$6)), "n/a", _xll.ciqfunctions.udf.CIQ($A26, "IQ_NET_WORKING_CAP", IQ_LTM, $L$2, $L$4, $L$3, $L$5, $L$6))</f>
        <v>n/a</v>
      </c>
      <c r="AM26" s="84" t="str">
        <f ca="1">IF(ISERROR(_xll.ciqfunctions.udf.CIQ($A26, "IQ_Capex", IQ_LTM-8, $L$2,$L$4, $L$3, $L$5, $L$6)), "n/a", _xll.ciqfunctions.udf.CIQ($A26, "IQ_Capex", IQ_LTM-8, $L$2, $L$4, $L$3, $L$5, $L$6))</f>
        <v>n/a</v>
      </c>
      <c r="AN26" s="84" t="str">
        <f ca="1">IF(ISERROR(_xll.ciqfunctions.udf.CIQ($A26, "IQ_Capex", IQ_LTM-4, $L$2,$L$4, $L$3, $L$5, $L$6)), "n/a", _xll.ciqfunctions.udf.CIQ($A26, "IQ_Capex", IQ_LTM-4, $L$2,$L$4, $L$3, $L$5, $L$6))</f>
        <v>n/a</v>
      </c>
      <c r="AO26" s="84" t="str">
        <f ca="1">IF(ISERROR(_xll.ciqfunctions.udf.CIQ($A26, "IQ_Capex", IQ_LTM, $L$2, $L$4, $L$3, $L$5, $L$6)), "n/a", _xll.ciqfunctions.udf.CIQ($A26, "IQ_Capex", IQ_LTM, $L$2, $L$4, $L$3, $L$5, $L$6))</f>
        <v>n/a</v>
      </c>
      <c r="AP26" s="66" t="e">
        <f ca="1">_xll.ciqfunctions.udf.CIQ(A26, "IQ_BUSINESS_DESCRIPTION")</f>
        <v>#NAME?</v>
      </c>
      <c r="AQ26" s="85" t="e">
        <f ca="1">_xll.ciqfunctions.udf.CIQ($A26, "IQ_BETA_1YR", $B$1)</f>
        <v>#NAME?</v>
      </c>
      <c r="AR26" s="85" t="e">
        <f ca="1">_xll.ciqfunctions.udf.CIQ($A26, "IQ_BETA_2YR", $B$1)</f>
        <v>#NAME?</v>
      </c>
      <c r="AS26" s="85" t="e">
        <f ca="1">_xll.ciqfunctions.udf.CIQ($A26, "IQ_BETA_5YR", $B$1)</f>
        <v>#NAME?</v>
      </c>
      <c r="AT26" s="69" t="e">
        <f ca="1">_xll.ciqfunctions.udf.CIQ($A26, "IQ_DIVIDEND_YIELD", $B$1)/100</f>
        <v>#NAME?</v>
      </c>
      <c r="AU26" s="84" t="e">
        <f ca="1">_xll.ciqfunctions.udf.CIQ($A26, "IQ_EARNING_CO", IQ_LTM-8, $L$2, $L$4, $L$3, $L$5, $L$6)</f>
        <v>#NAME?</v>
      </c>
      <c r="AV26" s="84" t="e">
        <f ca="1">_xll.ciqfunctions.udf.CIQ($A26, "IQ_EARNING_CO", IQ_LTM-4, $L$2, $L$4, $L$3, $L$5, $L$6)</f>
        <v>#NAME?</v>
      </c>
      <c r="AW26" s="84" t="e">
        <f ca="1">_xll.ciqfunctions.udf.CIQ($A26, "IQ_EARNING_CO", IQ_LTM, $L$2, $L$4, $L$3, $L$5, $L$6)</f>
        <v>#NAME?</v>
      </c>
      <c r="AX26" s="84" t="e">
        <f ca="1">_xll.ciqfunctions.udf.CIQ($A26, "IQ_EARNING_CO", $B$2, $L$2, $L$4, $L$3, $L$5, $L$6)</f>
        <v>#NAME?</v>
      </c>
      <c r="AY26" s="84" t="e">
        <f ca="1">IF(_xll.ciqfunctions.udf.CIQ($A26, "IQ_EARNING_CO", $B$3, $L$2,$L$4, $L$3, $L$5, $L$6)=0,AW26,_xll.ciqfunctions.udf.CIQ($A26, "IQ_EARNING_CO", $B$3, $L$2,$L$4, $L$3, $L$5, $L$6))</f>
        <v>#NAME?</v>
      </c>
      <c r="AZ26" s="84" t="e">
        <f ca="1">_xll.ciqfunctions.udf.CIQ($A26, "IQ_TOTAL_EQUITY", IQ_LTM-8, $L$2, $L$4, $L$3, $L$5, $L$6)</f>
        <v>#NAME?</v>
      </c>
      <c r="BA26" s="84" t="e">
        <f ca="1">_xll.ciqfunctions.udf.CIQ($A26, "IQ_TOTAL_EQUITY", IQ_LTM-4, $L$2, $L$4, $L$3, $L$5, $L$6)</f>
        <v>#NAME?</v>
      </c>
      <c r="BB26" s="84" t="e">
        <f ca="1">_xll.ciqfunctions.udf.CIQ($A26, "IQ_TOTAL_EQUITY", IQ_LTM, $L$2, $L$4, $L$3, $L$5, $L$6)</f>
        <v>#NAME?</v>
      </c>
      <c r="BC26" s="84" t="e">
        <f ca="1">_xll.ciqfunctions.udf.CIQ($A26, "IQ_TOTAL_EQUITY", $B$2, $L$2, $L$4, $L$3, $L$5, $L$6)</f>
        <v>#NAME?</v>
      </c>
      <c r="BD26" s="84" t="e">
        <f ca="1">IF(_xll.ciqfunctions.udf.CIQ($A26, "IQ_TOTAL_EQUITY", $B$3, $L$2,$L$4, $L$3, $L$5, $L$6)=0,BB26,_xll.ciqfunctions.udf.CIQ($A26, "IQ_TOTAL_EQUITY", $B$3, $L$2,$L$4, $L$3, $L$5, $L$6))</f>
        <v>#NAME?</v>
      </c>
      <c r="BE26" s="84" t="e">
        <f ca="1">_xll.ciqfunctions.udf.CIQ(A26, "IQ_LASTSALEPRICE", $B$8)</f>
        <v>#NAME?</v>
      </c>
      <c r="BF26" s="84" t="e">
        <f ca="1">_xll.ciqfunctions.udf.CIQ($A26, "IQ_MARKETCAP", $B$8, $L$5, $L$6)</f>
        <v>#NAME?</v>
      </c>
      <c r="BG26" s="84" t="e">
        <f ca="1">_xll.ciqfunctions.udf.CIQ($A26, "IQ_TOTAL_DEBT", IQ_LTM, $B$8,$L$4, $L$3, $L$5, $L$6)</f>
        <v>#NAME?</v>
      </c>
      <c r="BH26" s="67" t="e">
        <f ca="1">_xll.ciqfunctions.udf.CIQ($A26,"IQ_PREF_EQUITY",IQ_LTM,$B$8,$L$4,$L$3,$L$5,$L$6)</f>
        <v>#NAME?</v>
      </c>
      <c r="BI26" s="67" t="e">
        <f ca="1">_xll.ciqfunctions.udf.CIQ($A26, "IQ_MINORITY_INTEREST_TOTAL", IQ_LTM,$B$8,$L$4,$L$3,$L$5,$L$6)</f>
        <v>#NAME?</v>
      </c>
      <c r="BJ26" s="84" t="e">
        <f ca="1">_xll.ciqfunctions.udf.CIQ($A26, "IQ_CASH_ST_INVEST", IQ_LTM, $B$8, $L$4, $L$3, $L$5, $L$6)</f>
        <v>#NAME?</v>
      </c>
      <c r="BK26" s="67" t="e">
        <f ca="1">_xll.ciqfunctions.udf.CIQ($A26, "IQ_EFFECT_TAX_RATE")</f>
        <v>#NAME?</v>
      </c>
      <c r="BL26" s="67" t="e">
        <f ca="1">IF(_xll.ciqfunctions.udf.CIQ($A26, "IQ_TOTAL_REV_2YR_ANN_CAGR", IQ_LTM, $B$1,$L$4, $L$3, $L$5, $L$6)="NM","n/a",(_xll.ciqfunctions.udf.CIQ($A26, "IQ_TOTAL_REV_2YR_ANN_CAGR", IQ_LTM, $B$1,$L$4, $L$3, $L$5, $L$6)/100))</f>
        <v>#NAME?</v>
      </c>
      <c r="BM26" s="67" t="e">
        <f ca="1">IF(_xll.ciqfunctions.udf.CIQ($A26, "IQ_TOTAL_REV_3YR_ANN_CAGR", IQ_LTM, $B$1,$L$4, $L$3, $L$5, $L$6)="NM","n/a",(_xll.ciqfunctions.udf.CIQ($A26, "IQ_TOTAL_REV_3YR_ANN_CAGR", IQ_LTM, $B$1,$L$4, $L$3, $L$5, $L$6)/100))</f>
        <v>#NAME?</v>
      </c>
      <c r="BN26" s="67" t="e">
        <f ca="1">IF(_xll.ciqfunctions.udf.CIQ($A26, "IQ_TOTAL_REV_5YR_ANN_CAGR", IQ_LTM, $B$1,$L$4, $L$3, $L$5, $L$6)="NM","n/a",(_xll.ciqfunctions.udf.CIQ($A26, "IQ_TOTAL_REV_5YR_ANN_CAGR", IQ_LTM, $B$1,$L$4, $L$3, $L$5, $L$6)/100))</f>
        <v>#NAME?</v>
      </c>
      <c r="BO26" s="67" t="e">
        <f ca="1">IF(_xll.ciqfunctions.udf.CIQ($A26,"IQ_EBITDA_2YR_ANN_CAGR", IQ_LTM,$B$1,$L$4, $L$3, $L$5, $L$6)="NM","n/a",(_xll.ciqfunctions.udf.CIQ($A26,"IQ_EBITDA_2YR_ANN_CAGR", IQ_LTM,$B$1,$L$4, $L$3, $L$5, $L$6)/100))</f>
        <v>#NAME?</v>
      </c>
      <c r="BP26" s="67" t="e">
        <f ca="1">IF(_xll.ciqfunctions.udf.CIQ($A26,"IQ_EBITDA_3YR_ANN_CAGR", IQ_LTM,$B$1,$L$4, $L$3, $L$5, $L$6)="NM","n/a",(_xll.ciqfunctions.udf.CIQ($A26,"IQ_EBITDA_3YR_ANN_CAGR", IQ_LTM,$B$1,$L$4, $L$3, $L$5, $L$6)/100))</f>
        <v>#NAME?</v>
      </c>
      <c r="BQ26" s="67" t="e">
        <f ca="1">IF(_xll.ciqfunctions.udf.CIQ($A26,"IQ_EBITDA_5YR_ANN_CAGR", IQ_LTM,$B$1,$L$4, $L$3, $L$5, $L$6)="NM","n/a",(_xll.ciqfunctions.udf.CIQ($A26,"IQ_EBITDA_5YR_ANN_CAGR", IQ_LTM,$B$1,$L$4, $L$3, $L$5, $L$6)/100))</f>
        <v>#NAME?</v>
      </c>
      <c r="BR26" s="69" t="str">
        <f ca="1">IFERROR((_xll.ciqfunctions.udf.CIQ($A26, "IQ_DA_CF", IQ_LTM, $B$1, $L$4, $L$3, $L$5, $L$6)/Q26),"NM")</f>
        <v>NM</v>
      </c>
      <c r="BS26" s="86">
        <f>'Capital IQ Sheet-GPC'!BS26</f>
        <v>1.3576943705755391</v>
      </c>
      <c r="BT26" s="86" t="str">
        <f>'Capital IQ Sheet-GPC'!BT26</f>
        <v>n/a</v>
      </c>
      <c r="BU26" s="86" t="str">
        <f>'Capital IQ Sheet-GPC'!BU26</f>
        <v>n/a</v>
      </c>
      <c r="BV26" s="86" t="str">
        <f>'Capital IQ Sheet-GPC'!BV26</f>
        <v>n/a</v>
      </c>
      <c r="BW26" s="86" t="str">
        <f>'Capital IQ Sheet-GPC'!BW26</f>
        <v>n/a</v>
      </c>
      <c r="BX26" s="86" t="str">
        <f>'Capital IQ Sheet-GPC'!BX26</f>
        <v>n/a</v>
      </c>
      <c r="BY26" s="86" t="str">
        <f>'Capital IQ Sheet-GPC'!BY26</f>
        <v>n/a</v>
      </c>
      <c r="BZ26" s="86" t="str">
        <f>'Capital IQ Sheet-GPC'!BZ26</f>
        <v>n/a</v>
      </c>
      <c r="CB26" s="67">
        <v>2</v>
      </c>
      <c r="CC26" s="123" t="s">
        <v>295</v>
      </c>
      <c r="CD26" s="123" t="s">
        <v>294</v>
      </c>
      <c r="CE26" s="68">
        <f t="shared" si="1"/>
        <v>42766</v>
      </c>
    </row>
    <row r="27" spans="1:83" s="67" customFormat="1" ht="12.75">
      <c r="A27" s="67" t="e">
        <f ca="1">_xll.ciqfunctions.udf.CIQ($B27,"IQ_COMPANY_TICKER")</f>
        <v>#NAME?</v>
      </c>
      <c r="B27" s="67" t="str">
        <f>'Capital IQ Sheet-GPC'!B27</f>
        <v>IQ34160168</v>
      </c>
      <c r="C27" s="67" t="e">
        <f ca="1">_xll.ciqfunctions.udf.CIQ($A27,"IQ_COMPANY_NAME")</f>
        <v>#NAME?</v>
      </c>
      <c r="D27" s="67" t="e">
        <f ca="1">_xll.ciqfunctions.udf.CIQ($A27, "IQ_EXCHANGE")</f>
        <v>#NAME?</v>
      </c>
      <c r="E27" s="68" t="e">
        <f ca="1">_xll.ciqfunctions.udf.CIQ($A27, "IQ_PERIODDATE_IS", IQ_FY)</f>
        <v>#NAME?</v>
      </c>
      <c r="F27" s="68" t="e">
        <f ca="1">_xll.ciqfunctions.udf.CIQ(A27, "IQ_PERIODDATE_IS", IQ_LTM, $B$1,$L$4,$L$3)</f>
        <v>#NAME?</v>
      </c>
      <c r="G27" s="68" t="e">
        <f ca="1">_xll.ciqfunctions.udf.CIQ($A27, "IQ_FIRSTPRICINGDATE")</f>
        <v>#NAME?</v>
      </c>
      <c r="H27" s="84" t="e">
        <f ca="1">_xll.ciqfunctions.udf.CIQ($A27, "IQ_TEV", $L$2, $L$5, $L$6)</f>
        <v>#NAME?</v>
      </c>
      <c r="I27" s="84" t="e">
        <f ca="1">_xll.ciqfunctions.udf.CIQ(A27, "IQ_LASTSALEPRICE", $B$1,$L$5)</f>
        <v>#NAME?</v>
      </c>
      <c r="J27" s="84" t="e">
        <f ca="1">_xll.ciqfunctions.udf.CIQ($A27, "IQ_MARKETCAP", $L$2, $L$5, $L$6)</f>
        <v>#NAME?</v>
      </c>
      <c r="K27" s="84" t="e">
        <f ca="1">_xll.ciqfunctions.udf.CIQ($A27, "IQ_TOTAL_DEBT", IQ_LTM, $L$2,$L$4, $L$3, $L$5, $L$6)</f>
        <v>#NAME?</v>
      </c>
      <c r="L27" s="84" t="e">
        <f ca="1">_xll.ciqfunctions.udf.CIQ($A27, "IQ_PREF_EQUITY", IQ_LTM, $L$2, $L$4, $L$3, $L$5, $L$6)</f>
        <v>#NAME?</v>
      </c>
      <c r="M27" s="84" t="e">
        <f ca="1">_xll.ciqfunctions.udf.CIQ($A27, "IQ_MINORITY_INTEREST_TOTAL", IQ_LTM, $L$2, $L$4, $L$3, $L$5, $L$6)</f>
        <v>#NAME?</v>
      </c>
      <c r="N27" s="84" t="e">
        <f ca="1">_xll.ciqfunctions.udf.CIQ($A27, "IQ_CASH_ST_INVEST", IQ_LTM, $L$2, $L$4, $L$3, $L$5, $L$6)</f>
        <v>#NAME?</v>
      </c>
      <c r="O27" s="84" t="e">
        <f ca="1">_xll.ciqfunctions.udf.CIQ($A27, "IQ_TOTAL_REV", IQ_LTM-8, $L$2, $L$4, $L$3, $L$5, $L$6)</f>
        <v>#NAME?</v>
      </c>
      <c r="P27" s="84" t="e">
        <f ca="1">_xll.ciqfunctions.udf.CIQ($A27, "IQ_TOTAL_REV", IQ_LTM - 4, $L$2, $L$4, $L$3, $L$5,$L$6)</f>
        <v>#NAME?</v>
      </c>
      <c r="Q27" s="84" t="e">
        <f ca="1">_xll.ciqfunctions.udf.CIQ($A27, "IQ_TOTAL_REV", IQ_LTM, $L$2, $L$4, $L$3, $L$5, $L$6)</f>
        <v>#NAME?</v>
      </c>
      <c r="R27" s="84" t="e">
        <f ca="1">_xll.ciqfunctions.udf.CIQ($A27, "IQ_TOTAL_REV", $B$2, $L$2, $L$4, $L$3, $L$5, $L$6)</f>
        <v>#NAME?</v>
      </c>
      <c r="S27" s="84" t="e">
        <f ca="1">IF(_xll.ciqfunctions.udf.CIQ($A27, "IQ_TOTAL_REV", $B$3, $L$2,$L$4, $L$3, $L$5, $L$6)=0,Q27,_xll.ciqfunctions.udf.CIQ($A27, "IQ_TOTAL_REV", $B$3, $L$2,$L$4, $L$3, $L$5, $L$6))</f>
        <v>#NAME?</v>
      </c>
      <c r="T27" s="84" t="e">
        <f ca="1">IF(_xll.ciqfunctions.udf.CIQ($A27, "IQ_REVENUE_EST",$B$4, $L$2, "CON", $L$3, $L$5, $L$6)=0,"n/a",_xll.ciqfunctions.udf.CIQ($A27, "IQ_REVENUE_EST",$B$4, $L$2, "CON", $L$3, $L$5, $L$6))</f>
        <v>#NAME?</v>
      </c>
      <c r="U27" s="84" t="e">
        <f ca="1">IF(_xll.ciqfunctions.udf.CIQ($A27, "IQ_REVENUE_EST",$B$5, $L$2, "CON", $L$3, $L$5, $L$6)=0,"n/a",_xll.ciqfunctions.udf.CIQ($A27, "IQ_REVENUE_EST",$B$5, $L$2, "CON", $L$3, $L$5, $L$6))</f>
        <v>#NAME?</v>
      </c>
      <c r="V27" s="84" t="e">
        <f ca="1">IF(_xll.ciqfunctions.udf.CIQ($A27, "IQ_REVENUE_EST",$B$6, $L$2, "CON", $L$3, $L$5, $L$6)=0,"n/a",_xll.ciqfunctions.udf.CIQ($A27, "IQ_REVENUE_EST",$B$6, $L$2, "CON", $L$3, $L$5, $L$6))</f>
        <v>#NAME?</v>
      </c>
      <c r="W27" s="84" t="e">
        <f ca="1">IF(_xll.ciqfunctions.udf.CIQ($A27, "IQ_REVENUE_EST", $B$7, $L$2, "CON", $L$3, $L$5, $L$6)=0,"n/a",_xll.ciqfunctions.udf.CIQ($A27, "IQ_REVENUE_EST",$B$7, $L$2, "CON", $L$3, $L$5, $L$6))</f>
        <v>#NAME?</v>
      </c>
      <c r="X27" s="84" t="e">
        <f ca="1">_xll.ciqfunctions.udf.CIQ($A27, "IQ_EBITDA", IQ_LTM-8, $L$2, $L$4, $L$3, $L$5, $L$6)</f>
        <v>#NAME?</v>
      </c>
      <c r="Y27" s="84" t="e">
        <f ca="1">_xll.ciqfunctions.udf.CIQ($A27, "IQ_EBITDA", IQ_LTM-4, $L$2,$L$4, $L$3, $L$5, $L$6)</f>
        <v>#NAME?</v>
      </c>
      <c r="Z27" s="84" t="e">
        <f ca="1">_xll.ciqfunctions.udf.CIQ($A27, "IQ_EBITDA", IQ_LTM, $L$2, $L$4, $L$3, $L$5, $L$6)</f>
        <v>#NAME?</v>
      </c>
      <c r="AA27" s="84" t="e">
        <f ca="1">_xll.ciqfunctions.udf.CIQ($A27, "IQ_EBITDA", $B$2, $L$2, $L$4, $L$3, $L$5, $L$6)</f>
        <v>#NAME?</v>
      </c>
      <c r="AB27" s="84" t="e">
        <f ca="1">IF(_xll.ciqfunctions.udf.CIQ($A27, "IQ_EBITDA", $B$3, $L$2,$L$4, $L$3, $L$5, $L$6)=0,Z27,_xll.ciqfunctions.udf.CIQ($A27, "IQ_EBITDA", $B$3, $L$2,$L$4, $L$3, $L$5, $L$6))</f>
        <v>#NAME?</v>
      </c>
      <c r="AC27" s="84" t="e">
        <f ca="1">IF(_xll.ciqfunctions.udf.CIQ($A27, "IQ_EBITDA_EST",$B$4, $L$2, "CON", $L$3, $L$5, $L$6)=0,"n/a",_xll.ciqfunctions.udf.CIQ($A27, "IQ_EBITDA_EST",$B$4, $L$2, "CON", $L$3, $L$5, $L$6))</f>
        <v>#NAME?</v>
      </c>
      <c r="AD27" s="84" t="e">
        <f ca="1">IF(_xll.ciqfunctions.udf.CIQ($A27, "IQ_EBITDA_EST",$B$5, $L$2, "CON", $L$3, $L$5, $L$6)=0,"n/a",_xll.ciqfunctions.udf.CIQ($A27, "IQ_EBITDA_EST",$B$5, $L$2, "CON", $L$3, $L$5, $L$6))</f>
        <v>#NAME?</v>
      </c>
      <c r="AE27" s="84" t="e">
        <f ca="1">IF(_xll.ciqfunctions.udf.CIQ($A27, "IQ_EBITDA_EST",$B$6, $L$2, "CON", $L$3, $L$5, $L$6)=0,"n/a",_xll.ciqfunctions.udf.CIQ($A27, "IQ_EBITDA_EST",$B$6, $L$2, "CON", $L$3, $L$5, $L$6))</f>
        <v>#NAME?</v>
      </c>
      <c r="AF27" s="69" t="str">
        <f ca="1">IF(ISERROR(_xll.ciqfunctions.udf.CIQ($A27, "IQ_GROSS_MARGIN", IQ_LTM, $L$2,$L$4, $L$3, $L$5, $L$6)/100), "n/a", _xll.ciqfunctions.udf.CIQ($A27,  "IQ_GROSS_MARGIN", IQ_LTM, $L$2, $L$4, $L$3, $L$5, $L$6)/100)</f>
        <v>n/a</v>
      </c>
      <c r="AG27" s="69" t="str">
        <f ca="1">IF(ISERROR(_xll.ciqfunctions.udf.CIQ($A27,"IQ_EBITDA_MARGIN", IQ_LTM, $L$2, $L$4, $L$3, $L$5, $L$6)/100), "n/a", _xll.ciqfunctions.udf.CIQ($A27, "IQ_EBITDA_MARGIN", IQ_LTM, $L$2, $L$4, $L$3, $L$5, $L$6)/100)</f>
        <v>n/a</v>
      </c>
      <c r="AH27" s="69" t="str">
        <f ca="1">IF(ISERROR(_xll.ciqfunctions.udf.CIQ($A27,"IQ_EBIT_MARGIN", IQ_LTM, $L$2, $L$4, $L$3, $L$5, $L$6)/100), "n/a", _xll.ciqfunctions.udf.CIQ($A27, "IQ_EBIT_MARGIN", IQ_LTM, $L$2, $L$4, $L$3, $L$5, $L$6)/100)</f>
        <v>n/a</v>
      </c>
      <c r="AI27" s="69" t="str">
        <f ca="1">IF(ISERROR(_xll.ciqfunctions.udf.CIQ($A27,"IQ_NI_MARGIN", IQ_LTM, $L$2, $L$4, $L$3, $L$5, $L$6)/100), "n/a", _xll.ciqfunctions.udf.CIQ($A27, "IQ_NI_MARGIN", IQ_LTM, $L$2, $L$4, $L$3, $L$5, $L$6)/100)</f>
        <v>n/a</v>
      </c>
      <c r="AJ27" s="84" t="str">
        <f ca="1">IF(ISERROR(_xll.ciqfunctions.udf.CIQ($A27, "IQ_NET_WORKING_CAP", IQ_LTM-8, $L$2, $L$4, $L$3, $L$5, $L$6)), "n/a", _xll.ciqfunctions.udf.CIQ($A27, "IQ_NET_WORKING_CAP", IQ_LTM-8, $L$2, $L$4, $L$3, $L$5, $L$6))</f>
        <v>n/a</v>
      </c>
      <c r="AK27" s="84" t="str">
        <f ca="1">IF(ISERROR(_xll.ciqfunctions.udf.CIQ($A27, "IQ_NET_WORKING_CAP", IQ_LTM-4, $L$2, $L$4, $L$3, $L$5, $L$6)), "n/a", _xll.ciqfunctions.udf.CIQ($A27, "IQ_NET_WORKING_CAP", IQ_LTM-4, $L$2, $L$4, $L$3, $L$5, $L$6))</f>
        <v>n/a</v>
      </c>
      <c r="AL27" s="84" t="str">
        <f ca="1">IF(ISERROR(_xll.ciqfunctions.udf.CIQ($A27, "IQ_NET_WORKING_CAP", IQ_LTM, $L$2,$L$4, $L$3, $L$5, $L$6)), "n/a", _xll.ciqfunctions.udf.CIQ($A27, "IQ_NET_WORKING_CAP", IQ_LTM, $L$2, $L$4, $L$3, $L$5, $L$6))</f>
        <v>n/a</v>
      </c>
      <c r="AM27" s="84" t="str">
        <f ca="1">IF(ISERROR(_xll.ciqfunctions.udf.CIQ($A27, "IQ_Capex", IQ_LTM-8, $L$2,$L$4, $L$3, $L$5, $L$6)), "n/a", _xll.ciqfunctions.udf.CIQ($A27, "IQ_Capex", IQ_LTM-8, $L$2, $L$4, $L$3, $L$5, $L$6))</f>
        <v>n/a</v>
      </c>
      <c r="AN27" s="84" t="str">
        <f ca="1">IF(ISERROR(_xll.ciqfunctions.udf.CIQ($A27, "IQ_Capex", IQ_LTM-4, $L$2,$L$4, $L$3, $L$5, $L$6)), "n/a", _xll.ciqfunctions.udf.CIQ($A27, "IQ_Capex", IQ_LTM-4, $L$2,$L$4, $L$3, $L$5, $L$6))</f>
        <v>n/a</v>
      </c>
      <c r="AO27" s="84" t="str">
        <f ca="1">IF(ISERROR(_xll.ciqfunctions.udf.CIQ($A27, "IQ_Capex", IQ_LTM, $L$2, $L$4, $L$3, $L$5, $L$6)), "n/a", _xll.ciqfunctions.udf.CIQ($A27, "IQ_Capex", IQ_LTM, $L$2, $L$4, $L$3, $L$5, $L$6))</f>
        <v>n/a</v>
      </c>
      <c r="AP27" s="66" t="e">
        <f ca="1">_xll.ciqfunctions.udf.CIQ(A27, "IQ_BUSINESS_DESCRIPTION")</f>
        <v>#NAME?</v>
      </c>
      <c r="AQ27" s="85" t="e">
        <f ca="1">_xll.ciqfunctions.udf.CIQ($A27, "IQ_BETA_1YR", $B$1)</f>
        <v>#NAME?</v>
      </c>
      <c r="AR27" s="85" t="e">
        <f ca="1">_xll.ciqfunctions.udf.CIQ($A27, "IQ_BETA_2YR", $B$1)</f>
        <v>#NAME?</v>
      </c>
      <c r="AS27" s="85" t="e">
        <f ca="1">_xll.ciqfunctions.udf.CIQ($A27, "IQ_BETA_5YR", $B$1)</f>
        <v>#NAME?</v>
      </c>
      <c r="AT27" s="69" t="e">
        <f ca="1">_xll.ciqfunctions.udf.CIQ($A27, "IQ_DIVIDEND_YIELD", $B$1)/100</f>
        <v>#NAME?</v>
      </c>
      <c r="AU27" s="84" t="e">
        <f ca="1">_xll.ciqfunctions.udf.CIQ($A27, "IQ_EARNING_CO", IQ_LTM-8, $L$2, $L$4, $L$3, $L$5, $L$6)</f>
        <v>#NAME?</v>
      </c>
      <c r="AV27" s="84" t="e">
        <f ca="1">_xll.ciqfunctions.udf.CIQ($A27, "IQ_EARNING_CO", IQ_LTM-4, $L$2, $L$4, $L$3, $L$5, $L$6)</f>
        <v>#NAME?</v>
      </c>
      <c r="AW27" s="84" t="e">
        <f ca="1">_xll.ciqfunctions.udf.CIQ($A27, "IQ_EARNING_CO", IQ_LTM, $L$2, $L$4, $L$3, $L$5, $L$6)</f>
        <v>#NAME?</v>
      </c>
      <c r="AX27" s="84" t="e">
        <f ca="1">_xll.ciqfunctions.udf.CIQ($A27, "IQ_EARNING_CO", $B$2, $L$2, $L$4, $L$3, $L$5, $L$6)</f>
        <v>#NAME?</v>
      </c>
      <c r="AY27" s="84" t="e">
        <f ca="1">IF(_xll.ciqfunctions.udf.CIQ($A27, "IQ_EARNING_CO", $B$3, $L$2,$L$4, $L$3, $L$5, $L$6)=0,AW27,_xll.ciqfunctions.udf.CIQ($A27, "IQ_EARNING_CO", $B$3, $L$2,$L$4, $L$3, $L$5, $L$6))</f>
        <v>#NAME?</v>
      </c>
      <c r="AZ27" s="84" t="e">
        <f ca="1">_xll.ciqfunctions.udf.CIQ($A27, "IQ_TOTAL_EQUITY", IQ_LTM-8, $L$2, $L$4, $L$3, $L$5, $L$6)</f>
        <v>#NAME?</v>
      </c>
      <c r="BA27" s="84" t="e">
        <f ca="1">_xll.ciqfunctions.udf.CIQ($A27, "IQ_TOTAL_EQUITY", IQ_LTM-4, $L$2, $L$4, $L$3, $L$5, $L$6)</f>
        <v>#NAME?</v>
      </c>
      <c r="BB27" s="84" t="e">
        <f ca="1">_xll.ciqfunctions.udf.CIQ($A27, "IQ_TOTAL_EQUITY", IQ_LTM, $L$2, $L$4, $L$3, $L$5, $L$6)</f>
        <v>#NAME?</v>
      </c>
      <c r="BC27" s="84" t="e">
        <f ca="1">_xll.ciqfunctions.udf.CIQ($A27, "IQ_TOTAL_EQUITY", $B$2, $L$2, $L$4, $L$3, $L$5, $L$6)</f>
        <v>#NAME?</v>
      </c>
      <c r="BD27" s="84" t="e">
        <f ca="1">IF(_xll.ciqfunctions.udf.CIQ($A27, "IQ_TOTAL_EQUITY", $B$3, $L$2,$L$4, $L$3, $L$5, $L$6)=0,BB27,_xll.ciqfunctions.udf.CIQ($A27, "IQ_TOTAL_EQUITY", $B$3, $L$2,$L$4, $L$3, $L$5, $L$6))</f>
        <v>#NAME?</v>
      </c>
      <c r="BE27" s="84" t="e">
        <f ca="1">_xll.ciqfunctions.udf.CIQ(A27, "IQ_LASTSALEPRICE", $B$8)</f>
        <v>#NAME?</v>
      </c>
      <c r="BF27" s="84" t="e">
        <f ca="1">_xll.ciqfunctions.udf.CIQ($A27, "IQ_MARKETCAP", $B$8, $L$5, $L$6)</f>
        <v>#NAME?</v>
      </c>
      <c r="BG27" s="84" t="e">
        <f ca="1">_xll.ciqfunctions.udf.CIQ($A27, "IQ_TOTAL_DEBT", IQ_LTM, $B$8,$L$4, $L$3, $L$5, $L$6)</f>
        <v>#NAME?</v>
      </c>
      <c r="BH27" s="67" t="e">
        <f ca="1">_xll.ciqfunctions.udf.CIQ($A27,"IQ_PREF_EQUITY",IQ_LTM,$B$8,$L$4,$L$3,$L$5,$L$6)</f>
        <v>#NAME?</v>
      </c>
      <c r="BI27" s="67" t="e">
        <f ca="1">_xll.ciqfunctions.udf.CIQ($A27, "IQ_MINORITY_INTEREST_TOTAL", IQ_LTM,$B$8,$L$4,$L$3,$L$5,$L$6)</f>
        <v>#NAME?</v>
      </c>
      <c r="BJ27" s="84" t="e">
        <f ca="1">_xll.ciqfunctions.udf.CIQ($A27, "IQ_CASH_ST_INVEST", IQ_LTM, $B$8, $L$4, $L$3, $L$5, $L$6)</f>
        <v>#NAME?</v>
      </c>
      <c r="BK27" s="67" t="e">
        <f ca="1">_xll.ciqfunctions.udf.CIQ($A27, "IQ_EFFECT_TAX_RATE")</f>
        <v>#NAME?</v>
      </c>
      <c r="BL27" s="67" t="e">
        <f ca="1">IF(_xll.ciqfunctions.udf.CIQ($A27, "IQ_TOTAL_REV_2YR_ANN_CAGR", IQ_LTM, $B$1,$L$4, $L$3, $L$5, $L$6)="NM","n/a",(_xll.ciqfunctions.udf.CIQ($A27, "IQ_TOTAL_REV_2YR_ANN_CAGR", IQ_LTM, $B$1,$L$4, $L$3, $L$5, $L$6)/100))</f>
        <v>#NAME?</v>
      </c>
      <c r="BM27" s="67" t="e">
        <f ca="1">IF(_xll.ciqfunctions.udf.CIQ($A27, "IQ_TOTAL_REV_3YR_ANN_CAGR", IQ_LTM, $B$1,$L$4, $L$3, $L$5, $L$6)="NM","n/a",(_xll.ciqfunctions.udf.CIQ($A27, "IQ_TOTAL_REV_3YR_ANN_CAGR", IQ_LTM, $B$1,$L$4, $L$3, $L$5, $L$6)/100))</f>
        <v>#NAME?</v>
      </c>
      <c r="BN27" s="67" t="e">
        <f ca="1">IF(_xll.ciqfunctions.udf.CIQ($A27, "IQ_TOTAL_REV_5YR_ANN_CAGR", IQ_LTM, $B$1,$L$4, $L$3, $L$5, $L$6)="NM","n/a",(_xll.ciqfunctions.udf.CIQ($A27, "IQ_TOTAL_REV_5YR_ANN_CAGR", IQ_LTM, $B$1,$L$4, $L$3, $L$5, $L$6)/100))</f>
        <v>#NAME?</v>
      </c>
      <c r="BO27" s="67" t="e">
        <f ca="1">IF(_xll.ciqfunctions.udf.CIQ($A27,"IQ_EBITDA_2YR_ANN_CAGR", IQ_LTM,$B$1,$L$4, $L$3, $L$5, $L$6)="NM","n/a",(_xll.ciqfunctions.udf.CIQ($A27,"IQ_EBITDA_2YR_ANN_CAGR", IQ_LTM,$B$1,$L$4, $L$3, $L$5, $L$6)/100))</f>
        <v>#NAME?</v>
      </c>
      <c r="BP27" s="67" t="e">
        <f ca="1">IF(_xll.ciqfunctions.udf.CIQ($A27,"IQ_EBITDA_3YR_ANN_CAGR", IQ_LTM,$B$1,$L$4, $L$3, $L$5, $L$6)="NM","n/a",(_xll.ciqfunctions.udf.CIQ($A27,"IQ_EBITDA_3YR_ANN_CAGR", IQ_LTM,$B$1,$L$4, $L$3, $L$5, $L$6)/100))</f>
        <v>#NAME?</v>
      </c>
      <c r="BQ27" s="67" t="e">
        <f ca="1">IF(_xll.ciqfunctions.udf.CIQ($A27,"IQ_EBITDA_5YR_ANN_CAGR", IQ_LTM,$B$1,$L$4, $L$3, $L$5, $L$6)="NM","n/a",(_xll.ciqfunctions.udf.CIQ($A27,"IQ_EBITDA_5YR_ANN_CAGR", IQ_LTM,$B$1,$L$4, $L$3, $L$5, $L$6)/100))</f>
        <v>#NAME?</v>
      </c>
      <c r="BR27" s="69" t="str">
        <f ca="1">IFERROR((_xll.ciqfunctions.udf.CIQ($A27, "IQ_DA_CF", IQ_LTM, $B$1, $L$4, $L$3, $L$5, $L$6)/Q27),"NM")</f>
        <v>NM</v>
      </c>
      <c r="BS27" s="86">
        <f>'Capital IQ Sheet-GPC'!BS27</f>
        <v>0.92326799640435764</v>
      </c>
      <c r="BT27" s="86">
        <f>'Capital IQ Sheet-GPC'!BT27</f>
        <v>0.78028811938036324</v>
      </c>
      <c r="BU27" s="86">
        <f>'Capital IQ Sheet-GPC'!BU27</f>
        <v>0.71784148374896406</v>
      </c>
      <c r="BV27" s="86">
        <f>'Capital IQ Sheet-GPC'!BV27</f>
        <v>0.67684767311578031</v>
      </c>
      <c r="BW27" s="86">
        <f>'Capital IQ Sheet-GPC'!BW27</f>
        <v>0.79555038982014692</v>
      </c>
      <c r="BX27" s="86">
        <f>'Capital IQ Sheet-GPC'!BX27</f>
        <v>0.76394436602003879</v>
      </c>
      <c r="BY27" s="86">
        <f>'Capital IQ Sheet-GPC'!BY27</f>
        <v>0.75763066644485699</v>
      </c>
      <c r="BZ27" s="86">
        <f>'Capital IQ Sheet-GPC'!BZ27</f>
        <v>0.74800084461626937</v>
      </c>
      <c r="CB27" s="67">
        <v>2</v>
      </c>
      <c r="CC27" s="123" t="s">
        <v>295</v>
      </c>
      <c r="CD27" s="123" t="s">
        <v>294</v>
      </c>
      <c r="CE27" s="68">
        <f t="shared" si="1"/>
        <v>42766</v>
      </c>
    </row>
    <row r="28" spans="1:83" s="67" customFormat="1" ht="12.75">
      <c r="A28" s="67" t="e">
        <f ca="1">_xll.ciqfunctions.udf.CIQ($B28,"IQ_COMPANY_TICKER")</f>
        <v>#NAME?</v>
      </c>
      <c r="B28" s="67" t="str">
        <f>'Capital IQ Sheet-GPC'!B28</f>
        <v>IQ256887902</v>
      </c>
      <c r="C28" s="67" t="e">
        <f ca="1">_xll.ciqfunctions.udf.CIQ($A28,"IQ_COMPANY_NAME")</f>
        <v>#NAME?</v>
      </c>
      <c r="D28" s="67" t="e">
        <f ca="1">_xll.ciqfunctions.udf.CIQ($A28, "IQ_EXCHANGE")</f>
        <v>#NAME?</v>
      </c>
      <c r="E28" s="68" t="e">
        <f ca="1">_xll.ciqfunctions.udf.CIQ($A28, "IQ_PERIODDATE_IS", IQ_FY)</f>
        <v>#NAME?</v>
      </c>
      <c r="F28" s="68" t="e">
        <f ca="1">_xll.ciqfunctions.udf.CIQ(A28, "IQ_PERIODDATE_IS", IQ_LTM, $B$1,$L$4,$L$3)</f>
        <v>#NAME?</v>
      </c>
      <c r="G28" s="68" t="e">
        <f ca="1">_xll.ciqfunctions.udf.CIQ($A28, "IQ_FIRSTPRICINGDATE")</f>
        <v>#NAME?</v>
      </c>
      <c r="H28" s="84" t="e">
        <f ca="1">_xll.ciqfunctions.udf.CIQ($A28, "IQ_TEV", $L$2, $L$5, $L$6)</f>
        <v>#NAME?</v>
      </c>
      <c r="I28" s="84" t="e">
        <f ca="1">_xll.ciqfunctions.udf.CIQ(A28, "IQ_LASTSALEPRICE", $B$1,$L$5)</f>
        <v>#NAME?</v>
      </c>
      <c r="J28" s="84" t="e">
        <f ca="1">_xll.ciqfunctions.udf.CIQ($A28, "IQ_MARKETCAP", $L$2, $L$5, $L$6)</f>
        <v>#NAME?</v>
      </c>
      <c r="K28" s="84" t="e">
        <f ca="1">_xll.ciqfunctions.udf.CIQ($A28, "IQ_TOTAL_DEBT", IQ_LTM, $L$2,$L$4, $L$3, $L$5, $L$6)</f>
        <v>#NAME?</v>
      </c>
      <c r="L28" s="84" t="e">
        <f ca="1">_xll.ciqfunctions.udf.CIQ($A28, "IQ_PREF_EQUITY", IQ_LTM, $L$2, $L$4, $L$3, $L$5, $L$6)</f>
        <v>#NAME?</v>
      </c>
      <c r="M28" s="84" t="e">
        <f ca="1">_xll.ciqfunctions.udf.CIQ($A28, "IQ_MINORITY_INTEREST_TOTAL", IQ_LTM, $L$2, $L$4, $L$3, $L$5, $L$6)</f>
        <v>#NAME?</v>
      </c>
      <c r="N28" s="84" t="e">
        <f ca="1">_xll.ciqfunctions.udf.CIQ($A28, "IQ_CASH_ST_INVEST", IQ_LTM, $L$2, $L$4, $L$3, $L$5, $L$6)</f>
        <v>#NAME?</v>
      </c>
      <c r="O28" s="84" t="e">
        <f ca="1">_xll.ciqfunctions.udf.CIQ($A28, "IQ_TOTAL_REV", IQ_LTM-8, $L$2, $L$4, $L$3, $L$5, $L$6)</f>
        <v>#NAME?</v>
      </c>
      <c r="P28" s="84" t="e">
        <f ca="1">_xll.ciqfunctions.udf.CIQ($A28, "IQ_TOTAL_REV", IQ_LTM - 4, $L$2, $L$4, $L$3, $L$5,$L$6)</f>
        <v>#NAME?</v>
      </c>
      <c r="Q28" s="84" t="e">
        <f ca="1">_xll.ciqfunctions.udf.CIQ($A28, "IQ_TOTAL_REV", IQ_LTM, $L$2, $L$4, $L$3, $L$5, $L$6)</f>
        <v>#NAME?</v>
      </c>
      <c r="R28" s="84" t="e">
        <f ca="1">_xll.ciqfunctions.udf.CIQ($A28, "IQ_TOTAL_REV", $B$2, $L$2, $L$4, $L$3, $L$5, $L$6)</f>
        <v>#NAME?</v>
      </c>
      <c r="S28" s="84" t="e">
        <f ca="1">IF(_xll.ciqfunctions.udf.CIQ($A28, "IQ_TOTAL_REV", $B$3, $L$2,$L$4, $L$3, $L$5, $L$6)=0,Q28,_xll.ciqfunctions.udf.CIQ($A28, "IQ_TOTAL_REV", $B$3, $L$2,$L$4, $L$3, $L$5, $L$6))</f>
        <v>#NAME?</v>
      </c>
      <c r="T28" s="84" t="e">
        <f ca="1">IF(_xll.ciqfunctions.udf.CIQ($A28, "IQ_REVENUE_EST",$B$4, $L$2, "CON", $L$3, $L$5, $L$6)=0,"n/a",_xll.ciqfunctions.udf.CIQ($A28, "IQ_REVENUE_EST",$B$4, $L$2, "CON", $L$3, $L$5, $L$6))</f>
        <v>#NAME?</v>
      </c>
      <c r="U28" s="84" t="e">
        <f ca="1">IF(_xll.ciqfunctions.udf.CIQ($A28, "IQ_REVENUE_EST",$B$5, $L$2, "CON", $L$3, $L$5, $L$6)=0,"n/a",_xll.ciqfunctions.udf.CIQ($A28, "IQ_REVENUE_EST",$B$5, $L$2, "CON", $L$3, $L$5, $L$6))</f>
        <v>#NAME?</v>
      </c>
      <c r="V28" s="84" t="e">
        <f ca="1">IF(_xll.ciqfunctions.udf.CIQ($A28, "IQ_REVENUE_EST",$B$6, $L$2, "CON", $L$3, $L$5, $L$6)=0,"n/a",_xll.ciqfunctions.udf.CIQ($A28, "IQ_REVENUE_EST",$B$6, $L$2, "CON", $L$3, $L$5, $L$6))</f>
        <v>#NAME?</v>
      </c>
      <c r="W28" s="84" t="e">
        <f ca="1">IF(_xll.ciqfunctions.udf.CIQ($A28, "IQ_REVENUE_EST", $B$7, $L$2, "CON", $L$3, $L$5, $L$6)=0,"n/a",_xll.ciqfunctions.udf.CIQ($A28, "IQ_REVENUE_EST",$B$7, $L$2, "CON", $L$3, $L$5, $L$6))</f>
        <v>#NAME?</v>
      </c>
      <c r="X28" s="84" t="e">
        <f ca="1">_xll.ciqfunctions.udf.CIQ($A28, "IQ_EBITDA", IQ_LTM-8, $L$2, $L$4, $L$3, $L$5, $L$6)</f>
        <v>#NAME?</v>
      </c>
      <c r="Y28" s="84" t="e">
        <f ca="1">_xll.ciqfunctions.udf.CIQ($A28, "IQ_EBITDA", IQ_LTM-4, $L$2,$L$4, $L$3, $L$5, $L$6)</f>
        <v>#NAME?</v>
      </c>
      <c r="Z28" s="84" t="e">
        <f ca="1">_xll.ciqfunctions.udf.CIQ($A28, "IQ_EBITDA", IQ_LTM, $L$2, $L$4, $L$3, $L$5, $L$6)</f>
        <v>#NAME?</v>
      </c>
      <c r="AA28" s="84" t="e">
        <f ca="1">_xll.ciqfunctions.udf.CIQ($A28, "IQ_EBITDA", $B$2, $L$2, $L$4, $L$3, $L$5, $L$6)</f>
        <v>#NAME?</v>
      </c>
      <c r="AB28" s="84" t="e">
        <f ca="1">IF(_xll.ciqfunctions.udf.CIQ($A28, "IQ_EBITDA", $B$3, $L$2,$L$4, $L$3, $L$5, $L$6)=0,Z28,_xll.ciqfunctions.udf.CIQ($A28, "IQ_EBITDA", $B$3, $L$2,$L$4, $L$3, $L$5, $L$6))</f>
        <v>#NAME?</v>
      </c>
      <c r="AC28" s="84" t="e">
        <f ca="1">IF(_xll.ciqfunctions.udf.CIQ($A28, "IQ_EBITDA_EST",$B$4, $L$2, "CON", $L$3, $L$5, $L$6)=0,"n/a",_xll.ciqfunctions.udf.CIQ($A28, "IQ_EBITDA_EST",$B$4, $L$2, "CON", $L$3, $L$5, $L$6))</f>
        <v>#NAME?</v>
      </c>
      <c r="AD28" s="84" t="e">
        <f ca="1">IF(_xll.ciqfunctions.udf.CIQ($A28, "IQ_EBITDA_EST",$B$5, $L$2, "CON", $L$3, $L$5, $L$6)=0,"n/a",_xll.ciqfunctions.udf.CIQ($A28, "IQ_EBITDA_EST",$B$5, $L$2, "CON", $L$3, $L$5, $L$6))</f>
        <v>#NAME?</v>
      </c>
      <c r="AE28" s="84" t="e">
        <f ca="1">IF(_xll.ciqfunctions.udf.CIQ($A28, "IQ_EBITDA_EST",$B$6, $L$2, "CON", $L$3, $L$5, $L$6)=0,"n/a",_xll.ciqfunctions.udf.CIQ($A28, "IQ_EBITDA_EST",$B$6, $L$2, "CON", $L$3, $L$5, $L$6))</f>
        <v>#NAME?</v>
      </c>
      <c r="AF28" s="69" t="str">
        <f ca="1">IF(ISERROR(_xll.ciqfunctions.udf.CIQ($A28, "IQ_GROSS_MARGIN", IQ_LTM, $L$2,$L$4, $L$3, $L$5, $L$6)/100), "n/a", _xll.ciqfunctions.udf.CIQ($A28,  "IQ_GROSS_MARGIN", IQ_LTM, $L$2, $L$4, $L$3, $L$5, $L$6)/100)</f>
        <v>n/a</v>
      </c>
      <c r="AG28" s="69" t="str">
        <f ca="1">IF(ISERROR(_xll.ciqfunctions.udf.CIQ($A28,"IQ_EBITDA_MARGIN", IQ_LTM, $L$2, $L$4, $L$3, $L$5, $L$6)/100), "n/a", _xll.ciqfunctions.udf.CIQ($A28, "IQ_EBITDA_MARGIN", IQ_LTM, $L$2, $L$4, $L$3, $L$5, $L$6)/100)</f>
        <v>n/a</v>
      </c>
      <c r="AH28" s="69" t="str">
        <f ca="1">IF(ISERROR(_xll.ciqfunctions.udf.CIQ($A28,"IQ_EBIT_MARGIN", IQ_LTM, $L$2, $L$4, $L$3, $L$5, $L$6)/100), "n/a", _xll.ciqfunctions.udf.CIQ($A28, "IQ_EBIT_MARGIN", IQ_LTM, $L$2, $L$4, $L$3, $L$5, $L$6)/100)</f>
        <v>n/a</v>
      </c>
      <c r="AI28" s="69" t="str">
        <f ca="1">IF(ISERROR(_xll.ciqfunctions.udf.CIQ($A28,"IQ_NI_MARGIN", IQ_LTM, $L$2, $L$4, $L$3, $L$5, $L$6)/100), "n/a", _xll.ciqfunctions.udf.CIQ($A28, "IQ_NI_MARGIN", IQ_LTM, $L$2, $L$4, $L$3, $L$5, $L$6)/100)</f>
        <v>n/a</v>
      </c>
      <c r="AJ28" s="84" t="str">
        <f ca="1">IF(ISERROR(_xll.ciqfunctions.udf.CIQ($A28, "IQ_NET_WORKING_CAP", IQ_LTM-8, $L$2, $L$4, $L$3, $L$5, $L$6)), "n/a", _xll.ciqfunctions.udf.CIQ($A28, "IQ_NET_WORKING_CAP", IQ_LTM-8, $L$2, $L$4, $L$3, $L$5, $L$6))</f>
        <v>n/a</v>
      </c>
      <c r="AK28" s="84" t="str">
        <f ca="1">IF(ISERROR(_xll.ciqfunctions.udf.CIQ($A28, "IQ_NET_WORKING_CAP", IQ_LTM-4, $L$2, $L$4, $L$3, $L$5, $L$6)), "n/a", _xll.ciqfunctions.udf.CIQ($A28, "IQ_NET_WORKING_CAP", IQ_LTM-4, $L$2, $L$4, $L$3, $L$5, $L$6))</f>
        <v>n/a</v>
      </c>
      <c r="AL28" s="84" t="str">
        <f ca="1">IF(ISERROR(_xll.ciqfunctions.udf.CIQ($A28, "IQ_NET_WORKING_CAP", IQ_LTM, $L$2,$L$4, $L$3, $L$5, $L$6)), "n/a", _xll.ciqfunctions.udf.CIQ($A28, "IQ_NET_WORKING_CAP", IQ_LTM, $L$2, $L$4, $L$3, $L$5, $L$6))</f>
        <v>n/a</v>
      </c>
      <c r="AM28" s="84" t="str">
        <f ca="1">IF(ISERROR(_xll.ciqfunctions.udf.CIQ($A28, "IQ_Capex", IQ_LTM-8, $L$2,$L$4, $L$3, $L$5, $L$6)), "n/a", _xll.ciqfunctions.udf.CIQ($A28, "IQ_Capex", IQ_LTM-8, $L$2, $L$4, $L$3, $L$5, $L$6))</f>
        <v>n/a</v>
      </c>
      <c r="AN28" s="84" t="str">
        <f ca="1">IF(ISERROR(_xll.ciqfunctions.udf.CIQ($A28, "IQ_Capex", IQ_LTM-4, $L$2,$L$4, $L$3, $L$5, $L$6)), "n/a", _xll.ciqfunctions.udf.CIQ($A28, "IQ_Capex", IQ_LTM-4, $L$2,$L$4, $L$3, $L$5, $L$6))</f>
        <v>n/a</v>
      </c>
      <c r="AO28" s="84" t="str">
        <f ca="1">IF(ISERROR(_xll.ciqfunctions.udf.CIQ($A28, "IQ_Capex", IQ_LTM, $L$2, $L$4, $L$3, $L$5, $L$6)), "n/a", _xll.ciqfunctions.udf.CIQ($A28, "IQ_Capex", IQ_LTM, $L$2, $L$4, $L$3, $L$5, $L$6))</f>
        <v>n/a</v>
      </c>
      <c r="AP28" s="66" t="e">
        <f ca="1">_xll.ciqfunctions.udf.CIQ(A28, "IQ_BUSINESS_DESCRIPTION")</f>
        <v>#NAME?</v>
      </c>
      <c r="AQ28" s="85" t="e">
        <f ca="1">_xll.ciqfunctions.udf.CIQ($A28, "IQ_BETA_1YR", $B$1)</f>
        <v>#NAME?</v>
      </c>
      <c r="AR28" s="85" t="e">
        <f ca="1">_xll.ciqfunctions.udf.CIQ($A28, "IQ_BETA_2YR", $B$1)</f>
        <v>#NAME?</v>
      </c>
      <c r="AS28" s="85" t="e">
        <f ca="1">_xll.ciqfunctions.udf.CIQ($A28, "IQ_BETA_5YR", $B$1)</f>
        <v>#NAME?</v>
      </c>
      <c r="AT28" s="69" t="e">
        <f ca="1">_xll.ciqfunctions.udf.CIQ($A28, "IQ_DIVIDEND_YIELD", $B$1)/100</f>
        <v>#NAME?</v>
      </c>
      <c r="AU28" s="84" t="e">
        <f ca="1">_xll.ciqfunctions.udf.CIQ($A28, "IQ_EARNING_CO", IQ_LTM-8, $L$2, $L$4, $L$3, $L$5, $L$6)</f>
        <v>#NAME?</v>
      </c>
      <c r="AV28" s="84" t="e">
        <f ca="1">_xll.ciqfunctions.udf.CIQ($A28, "IQ_EARNING_CO", IQ_LTM-4, $L$2, $L$4, $L$3, $L$5, $L$6)</f>
        <v>#NAME?</v>
      </c>
      <c r="AW28" s="84" t="e">
        <f ca="1">_xll.ciqfunctions.udf.CIQ($A28, "IQ_EARNING_CO", IQ_LTM, $L$2, $L$4, $L$3, $L$5, $L$6)</f>
        <v>#NAME?</v>
      </c>
      <c r="AX28" s="84" t="e">
        <f ca="1">_xll.ciqfunctions.udf.CIQ($A28, "IQ_EARNING_CO", $B$2, $L$2, $L$4, $L$3, $L$5, $L$6)</f>
        <v>#NAME?</v>
      </c>
      <c r="AY28" s="84" t="e">
        <f ca="1">IF(_xll.ciqfunctions.udf.CIQ($A28, "IQ_EARNING_CO", $B$3, $L$2,$L$4, $L$3, $L$5, $L$6)=0,AW28,_xll.ciqfunctions.udf.CIQ($A28, "IQ_EARNING_CO", $B$3, $L$2,$L$4, $L$3, $L$5, $L$6))</f>
        <v>#NAME?</v>
      </c>
      <c r="AZ28" s="84" t="e">
        <f ca="1">_xll.ciqfunctions.udf.CIQ($A28, "IQ_TOTAL_EQUITY", IQ_LTM-8, $L$2, $L$4, $L$3, $L$5, $L$6)</f>
        <v>#NAME?</v>
      </c>
      <c r="BA28" s="84" t="e">
        <f ca="1">_xll.ciqfunctions.udf.CIQ($A28, "IQ_TOTAL_EQUITY", IQ_LTM-4, $L$2, $L$4, $L$3, $L$5, $L$6)</f>
        <v>#NAME?</v>
      </c>
      <c r="BB28" s="84" t="e">
        <f ca="1">_xll.ciqfunctions.udf.CIQ($A28, "IQ_TOTAL_EQUITY", IQ_LTM, $L$2, $L$4, $L$3, $L$5, $L$6)</f>
        <v>#NAME?</v>
      </c>
      <c r="BC28" s="84" t="e">
        <f ca="1">_xll.ciqfunctions.udf.CIQ($A28, "IQ_TOTAL_EQUITY", $B$2, $L$2, $L$4, $L$3, $L$5, $L$6)</f>
        <v>#NAME?</v>
      </c>
      <c r="BD28" s="84" t="e">
        <f ca="1">IF(_xll.ciqfunctions.udf.CIQ($A28, "IQ_TOTAL_EQUITY", $B$3, $L$2,$L$4, $L$3, $L$5, $L$6)=0,BB28,_xll.ciqfunctions.udf.CIQ($A28, "IQ_TOTAL_EQUITY", $B$3, $L$2,$L$4, $L$3, $L$5, $L$6))</f>
        <v>#NAME?</v>
      </c>
      <c r="BE28" s="84" t="e">
        <f ca="1">_xll.ciqfunctions.udf.CIQ(A28, "IQ_LASTSALEPRICE", $B$8)</f>
        <v>#NAME?</v>
      </c>
      <c r="BF28" s="84" t="e">
        <f ca="1">_xll.ciqfunctions.udf.CIQ($A28, "IQ_MARKETCAP", $B$8, $L$5, $L$6)</f>
        <v>#NAME?</v>
      </c>
      <c r="BG28" s="84" t="e">
        <f ca="1">_xll.ciqfunctions.udf.CIQ($A28, "IQ_TOTAL_DEBT", IQ_LTM, $B$8,$L$4, $L$3, $L$5, $L$6)</f>
        <v>#NAME?</v>
      </c>
      <c r="BH28" s="67" t="e">
        <f ca="1">_xll.ciqfunctions.udf.CIQ($A28,"IQ_PREF_EQUITY",IQ_LTM,$B$8,$L$4,$L$3,$L$5,$L$6)</f>
        <v>#NAME?</v>
      </c>
      <c r="BI28" s="67" t="e">
        <f ca="1">_xll.ciqfunctions.udf.CIQ($A28, "IQ_MINORITY_INTEREST_TOTAL", IQ_LTM,$B$8,$L$4,$L$3,$L$5,$L$6)</f>
        <v>#NAME?</v>
      </c>
      <c r="BJ28" s="84" t="e">
        <f ca="1">_xll.ciqfunctions.udf.CIQ($A28, "IQ_CASH_ST_INVEST", IQ_LTM, $B$8, $L$4, $L$3, $L$5, $L$6)</f>
        <v>#NAME?</v>
      </c>
      <c r="BK28" s="67" t="e">
        <f ca="1">_xll.ciqfunctions.udf.CIQ($A28, "IQ_EFFECT_TAX_RATE")</f>
        <v>#NAME?</v>
      </c>
      <c r="BL28" s="67" t="e">
        <f ca="1">IF(_xll.ciqfunctions.udf.CIQ($A28, "IQ_TOTAL_REV_2YR_ANN_CAGR", IQ_LTM, $B$1,$L$4, $L$3, $L$5, $L$6)="NM","n/a",(_xll.ciqfunctions.udf.CIQ($A28, "IQ_TOTAL_REV_2YR_ANN_CAGR", IQ_LTM, $B$1,$L$4, $L$3, $L$5, $L$6)/100))</f>
        <v>#NAME?</v>
      </c>
      <c r="BM28" s="67" t="e">
        <f ca="1">IF(_xll.ciqfunctions.udf.CIQ($A28, "IQ_TOTAL_REV_3YR_ANN_CAGR", IQ_LTM, $B$1,$L$4, $L$3, $L$5, $L$6)="NM","n/a",(_xll.ciqfunctions.udf.CIQ($A28, "IQ_TOTAL_REV_3YR_ANN_CAGR", IQ_LTM, $B$1,$L$4, $L$3, $L$5, $L$6)/100))</f>
        <v>#NAME?</v>
      </c>
      <c r="BN28" s="67" t="e">
        <f ca="1">IF(_xll.ciqfunctions.udf.CIQ($A28, "IQ_TOTAL_REV_5YR_ANN_CAGR", IQ_LTM, $B$1,$L$4, $L$3, $L$5, $L$6)="NM","n/a",(_xll.ciqfunctions.udf.CIQ($A28, "IQ_TOTAL_REV_5YR_ANN_CAGR", IQ_LTM, $B$1,$L$4, $L$3, $L$5, $L$6)/100))</f>
        <v>#NAME?</v>
      </c>
      <c r="BO28" s="67" t="e">
        <f ca="1">IF(_xll.ciqfunctions.udf.CIQ($A28,"IQ_EBITDA_2YR_ANN_CAGR", IQ_LTM,$B$1,$L$4, $L$3, $L$5, $L$6)="NM","n/a",(_xll.ciqfunctions.udf.CIQ($A28,"IQ_EBITDA_2YR_ANN_CAGR", IQ_LTM,$B$1,$L$4, $L$3, $L$5, $L$6)/100))</f>
        <v>#NAME?</v>
      </c>
      <c r="BP28" s="67" t="e">
        <f ca="1">IF(_xll.ciqfunctions.udf.CIQ($A28,"IQ_EBITDA_3YR_ANN_CAGR", IQ_LTM,$B$1,$L$4, $L$3, $L$5, $L$6)="NM","n/a",(_xll.ciqfunctions.udf.CIQ($A28,"IQ_EBITDA_3YR_ANN_CAGR", IQ_LTM,$B$1,$L$4, $L$3, $L$5, $L$6)/100))</f>
        <v>#NAME?</v>
      </c>
      <c r="BQ28" s="67" t="e">
        <f ca="1">IF(_xll.ciqfunctions.udf.CIQ($A28,"IQ_EBITDA_5YR_ANN_CAGR", IQ_LTM,$B$1,$L$4, $L$3, $L$5, $L$6)="NM","n/a",(_xll.ciqfunctions.udf.CIQ($A28,"IQ_EBITDA_5YR_ANN_CAGR", IQ_LTM,$B$1,$L$4, $L$3, $L$5, $L$6)/100))</f>
        <v>#NAME?</v>
      </c>
      <c r="BR28" s="69" t="str">
        <f ca="1">IFERROR((_xll.ciqfunctions.udf.CIQ($A28, "IQ_DA_CF", IQ_LTM, $B$1, $L$4, $L$3, $L$5, $L$6)/Q28),"NM")</f>
        <v>NM</v>
      </c>
      <c r="BS28" s="86">
        <f>'Capital IQ Sheet-GPC'!BS28</f>
        <v>0.75903735255635152</v>
      </c>
      <c r="BT28" s="86">
        <f>'Capital IQ Sheet-GPC'!BT28</f>
        <v>0.75170905184037895</v>
      </c>
      <c r="BU28" s="86">
        <f>'Capital IQ Sheet-GPC'!BU28</f>
        <v>0.72546741238615475</v>
      </c>
      <c r="BV28" s="86">
        <f>'Capital IQ Sheet-GPC'!BV28</f>
        <v>0.74305494919301052</v>
      </c>
      <c r="BW28" s="86" t="str">
        <f>'Capital IQ Sheet-GPC'!BW28</f>
        <v>n/a</v>
      </c>
      <c r="BX28" s="86" t="str">
        <f>'Capital IQ Sheet-GPC'!BX28</f>
        <v>n/a</v>
      </c>
      <c r="BY28" s="86" t="str">
        <f>'Capital IQ Sheet-GPC'!BY28</f>
        <v>n/a</v>
      </c>
      <c r="BZ28" s="86" t="str">
        <f>'Capital IQ Sheet-GPC'!BZ28</f>
        <v>n/a</v>
      </c>
      <c r="CB28" s="67">
        <v>2</v>
      </c>
      <c r="CC28" s="123" t="s">
        <v>295</v>
      </c>
      <c r="CD28" s="123" t="s">
        <v>294</v>
      </c>
      <c r="CE28" s="68">
        <f t="shared" si="1"/>
        <v>42766</v>
      </c>
    </row>
    <row r="29" spans="1:83" s="67" customFormat="1" ht="12.75">
      <c r="A29" s="67" t="e">
        <f ca="1">_xll.ciqfunctions.udf.CIQ($B29,"IQ_COMPANY_TICKER")</f>
        <v>#NAME?</v>
      </c>
      <c r="B29" s="67" t="e">
        <f>'Capital IQ Sheet-GPC'!#REF!</f>
        <v>#REF!</v>
      </c>
      <c r="C29" s="67" t="e">
        <f ca="1">_xll.ciqfunctions.udf.CIQ($A29,"IQ_COMPANY_NAME")</f>
        <v>#NAME?</v>
      </c>
      <c r="D29" s="67" t="e">
        <f ca="1">_xll.ciqfunctions.udf.CIQ($A29, "IQ_EXCHANGE")</f>
        <v>#NAME?</v>
      </c>
      <c r="E29" s="68" t="e">
        <f ca="1">_xll.ciqfunctions.udf.CIQ($A29, "IQ_PERIODDATE_IS", IQ_FY)</f>
        <v>#NAME?</v>
      </c>
      <c r="F29" s="68" t="e">
        <f ca="1">_xll.ciqfunctions.udf.CIQ(A29, "IQ_PERIODDATE_IS", IQ_LTM, $B$1,$L$4,$L$3)</f>
        <v>#NAME?</v>
      </c>
      <c r="G29" s="68" t="e">
        <f ca="1">_xll.ciqfunctions.udf.CIQ($A29, "IQ_FIRSTPRICINGDATE")</f>
        <v>#NAME?</v>
      </c>
      <c r="H29" s="84" t="e">
        <f ca="1">_xll.ciqfunctions.udf.CIQ($A29, "IQ_TEV", $L$2, $L$5, $L$6)</f>
        <v>#NAME?</v>
      </c>
      <c r="I29" s="84" t="e">
        <f ca="1">_xll.ciqfunctions.udf.CIQ(A29, "IQ_LASTSALEPRICE", $B$1,$L$5)</f>
        <v>#NAME?</v>
      </c>
      <c r="J29" s="84" t="e">
        <f ca="1">_xll.ciqfunctions.udf.CIQ($A29, "IQ_MARKETCAP", $L$2, $L$5, $L$6)</f>
        <v>#NAME?</v>
      </c>
      <c r="K29" s="84" t="e">
        <f ca="1">_xll.ciqfunctions.udf.CIQ($A29, "IQ_TOTAL_DEBT", IQ_LTM, $L$2,$L$4, $L$3, $L$5, $L$6)</f>
        <v>#NAME?</v>
      </c>
      <c r="L29" s="84" t="e">
        <f ca="1">_xll.ciqfunctions.udf.CIQ($A29, "IQ_PREF_EQUITY", IQ_LTM, $L$2, $L$4, $L$3, $L$5, $L$6)</f>
        <v>#NAME?</v>
      </c>
      <c r="M29" s="84" t="e">
        <f ca="1">_xll.ciqfunctions.udf.CIQ($A29, "IQ_MINORITY_INTEREST_TOTAL", IQ_LTM, $L$2, $L$4, $L$3, $L$5, $L$6)</f>
        <v>#NAME?</v>
      </c>
      <c r="N29" s="84" t="e">
        <f ca="1">_xll.ciqfunctions.udf.CIQ($A29, "IQ_CASH_ST_INVEST", IQ_LTM, $L$2, $L$4, $L$3, $L$5, $L$6)</f>
        <v>#NAME?</v>
      </c>
      <c r="O29" s="84" t="e">
        <f ca="1">_xll.ciqfunctions.udf.CIQ($A29, "IQ_TOTAL_REV", IQ_LTM-8, $L$2, $L$4, $L$3, $L$5, $L$6)</f>
        <v>#NAME?</v>
      </c>
      <c r="P29" s="84" t="e">
        <f ca="1">_xll.ciqfunctions.udf.CIQ($A29, "IQ_TOTAL_REV", IQ_LTM - 4, $L$2, $L$4, $L$3, $L$5,$L$6)</f>
        <v>#NAME?</v>
      </c>
      <c r="Q29" s="84" t="e">
        <f ca="1">_xll.ciqfunctions.udf.CIQ($A29, "IQ_TOTAL_REV", IQ_LTM, $L$2, $L$4, $L$3, $L$5, $L$6)</f>
        <v>#NAME?</v>
      </c>
      <c r="R29" s="84" t="e">
        <f ca="1">_xll.ciqfunctions.udf.CIQ($A29, "IQ_TOTAL_REV", $B$2, $L$2, $L$4, $L$3, $L$5, $L$6)</f>
        <v>#NAME?</v>
      </c>
      <c r="S29" s="84" t="e">
        <f ca="1">IF(_xll.ciqfunctions.udf.CIQ($A29, "IQ_TOTAL_REV", $B$3, $L$2,$L$4, $L$3, $L$5, $L$6)=0,Q29,_xll.ciqfunctions.udf.CIQ($A29, "IQ_TOTAL_REV", $B$3, $L$2,$L$4, $L$3, $L$5, $L$6))</f>
        <v>#NAME?</v>
      </c>
      <c r="T29" s="84" t="e">
        <f ca="1">IF(_xll.ciqfunctions.udf.CIQ($A29, "IQ_REVENUE_EST",$B$4, $L$2, "CON", $L$3, $L$5, $L$6)=0,"n/a",_xll.ciqfunctions.udf.CIQ($A29, "IQ_REVENUE_EST",$B$4, $L$2, "CON", $L$3, $L$5, $L$6))</f>
        <v>#NAME?</v>
      </c>
      <c r="U29" s="84" t="e">
        <f ca="1">IF(_xll.ciqfunctions.udf.CIQ($A29, "IQ_REVENUE_EST",$B$5, $L$2, "CON", $L$3, $L$5, $L$6)=0,"n/a",_xll.ciqfunctions.udf.CIQ($A29, "IQ_REVENUE_EST",$B$5, $L$2, "CON", $L$3, $L$5, $L$6))</f>
        <v>#NAME?</v>
      </c>
      <c r="V29" s="84" t="e">
        <f ca="1">IF(_xll.ciqfunctions.udf.CIQ($A29, "IQ_REVENUE_EST",$B$6, $L$2, "CON", $L$3, $L$5, $L$6)=0,"n/a",_xll.ciqfunctions.udf.CIQ($A29, "IQ_REVENUE_EST",$B$6, $L$2, "CON", $L$3, $L$5, $L$6))</f>
        <v>#NAME?</v>
      </c>
      <c r="W29" s="84" t="e">
        <f ca="1">IF(_xll.ciqfunctions.udf.CIQ($A29, "IQ_REVENUE_EST", $B$7, $L$2, "CON", $L$3, $L$5, $L$6)=0,"n/a",_xll.ciqfunctions.udf.CIQ($A29, "IQ_REVENUE_EST",$B$7, $L$2, "CON", $L$3, $L$5, $L$6))</f>
        <v>#NAME?</v>
      </c>
      <c r="X29" s="84" t="e">
        <f ca="1">_xll.ciqfunctions.udf.CIQ($A29, "IQ_EBITDA", IQ_LTM-8, $L$2, $L$4, $L$3, $L$5, $L$6)</f>
        <v>#NAME?</v>
      </c>
      <c r="Y29" s="84" t="e">
        <f ca="1">_xll.ciqfunctions.udf.CIQ($A29, "IQ_EBITDA", IQ_LTM-4, $L$2,$L$4, $L$3, $L$5, $L$6)</f>
        <v>#NAME?</v>
      </c>
      <c r="Z29" s="84" t="e">
        <f ca="1">_xll.ciqfunctions.udf.CIQ($A29, "IQ_EBITDA", IQ_LTM, $L$2, $L$4, $L$3, $L$5, $L$6)</f>
        <v>#NAME?</v>
      </c>
      <c r="AA29" s="84" t="e">
        <f ca="1">_xll.ciqfunctions.udf.CIQ($A29, "IQ_EBITDA", $B$2, $L$2, $L$4, $L$3, $L$5, $L$6)</f>
        <v>#NAME?</v>
      </c>
      <c r="AB29" s="84" t="e">
        <f ca="1">IF(_xll.ciqfunctions.udf.CIQ($A29, "IQ_EBITDA", $B$3, $L$2,$L$4, $L$3, $L$5, $L$6)=0,Z29,_xll.ciqfunctions.udf.CIQ($A29, "IQ_EBITDA", $B$3, $L$2,$L$4, $L$3, $L$5, $L$6))</f>
        <v>#NAME?</v>
      </c>
      <c r="AC29" s="84" t="e">
        <f ca="1">IF(_xll.ciqfunctions.udf.CIQ($A29, "IQ_EBITDA_EST",$B$4, $L$2, "CON", $L$3, $L$5, $L$6)=0,"n/a",_xll.ciqfunctions.udf.CIQ($A29, "IQ_EBITDA_EST",$B$4, $L$2, "CON", $L$3, $L$5, $L$6))</f>
        <v>#NAME?</v>
      </c>
      <c r="AD29" s="84" t="e">
        <f ca="1">IF(_xll.ciqfunctions.udf.CIQ($A29, "IQ_EBITDA_EST",$B$5, $L$2, "CON", $L$3, $L$5, $L$6)=0,"n/a",_xll.ciqfunctions.udf.CIQ($A29, "IQ_EBITDA_EST",$B$5, $L$2, "CON", $L$3, $L$5, $L$6))</f>
        <v>#NAME?</v>
      </c>
      <c r="AE29" s="84" t="e">
        <f ca="1">IF(_xll.ciqfunctions.udf.CIQ($A29, "IQ_EBITDA_EST",$B$6, $L$2, "CON", $L$3, $L$5, $L$6)=0,"n/a",_xll.ciqfunctions.udf.CIQ($A29, "IQ_EBITDA_EST",$B$6, $L$2, "CON", $L$3, $L$5, $L$6))</f>
        <v>#NAME?</v>
      </c>
      <c r="AF29" s="69" t="str">
        <f ca="1">IF(ISERROR(_xll.ciqfunctions.udf.CIQ($A29, "IQ_GROSS_MARGIN", IQ_LTM, $L$2,$L$4, $L$3, $L$5, $L$6)/100), "n/a", _xll.ciqfunctions.udf.CIQ($A29,  "IQ_GROSS_MARGIN", IQ_LTM, $L$2, $L$4, $L$3, $L$5, $L$6)/100)</f>
        <v>n/a</v>
      </c>
      <c r="AG29" s="69" t="str">
        <f ca="1">IF(ISERROR(_xll.ciqfunctions.udf.CIQ($A29,"IQ_EBITDA_MARGIN", IQ_LTM, $L$2, $L$4, $L$3, $L$5, $L$6)/100), "n/a", _xll.ciqfunctions.udf.CIQ($A29, "IQ_EBITDA_MARGIN", IQ_LTM, $L$2, $L$4, $L$3, $L$5, $L$6)/100)</f>
        <v>n/a</v>
      </c>
      <c r="AH29" s="69" t="str">
        <f ca="1">IF(ISERROR(_xll.ciqfunctions.udf.CIQ($A29,"IQ_EBIT_MARGIN", IQ_LTM, $L$2, $L$4, $L$3, $L$5, $L$6)/100), "n/a", _xll.ciqfunctions.udf.CIQ($A29, "IQ_EBIT_MARGIN", IQ_LTM, $L$2, $L$4, $L$3, $L$5, $L$6)/100)</f>
        <v>n/a</v>
      </c>
      <c r="AI29" s="69" t="str">
        <f ca="1">IF(ISERROR(_xll.ciqfunctions.udf.CIQ($A29,"IQ_NI_MARGIN", IQ_LTM, $L$2, $L$4, $L$3, $L$5, $L$6)/100), "n/a", _xll.ciqfunctions.udf.CIQ($A29, "IQ_NI_MARGIN", IQ_LTM, $L$2, $L$4, $L$3, $L$5, $L$6)/100)</f>
        <v>n/a</v>
      </c>
      <c r="AJ29" s="84" t="str">
        <f ca="1">IF(ISERROR(_xll.ciqfunctions.udf.CIQ($A29, "IQ_NET_WORKING_CAP", IQ_LTM-8, $L$2, $L$4, $L$3, $L$5, $L$6)), "n/a", _xll.ciqfunctions.udf.CIQ($A29, "IQ_NET_WORKING_CAP", IQ_LTM-8, $L$2, $L$4, $L$3, $L$5, $L$6))</f>
        <v>n/a</v>
      </c>
      <c r="AK29" s="84" t="str">
        <f ca="1">IF(ISERROR(_xll.ciqfunctions.udf.CIQ($A29, "IQ_NET_WORKING_CAP", IQ_LTM-4, $L$2, $L$4, $L$3, $L$5, $L$6)), "n/a", _xll.ciqfunctions.udf.CIQ($A29, "IQ_NET_WORKING_CAP", IQ_LTM-4, $L$2, $L$4, $L$3, $L$5, $L$6))</f>
        <v>n/a</v>
      </c>
      <c r="AL29" s="84" t="str">
        <f ca="1">IF(ISERROR(_xll.ciqfunctions.udf.CIQ($A29, "IQ_NET_WORKING_CAP", IQ_LTM, $L$2,$L$4, $L$3, $L$5, $L$6)), "n/a", _xll.ciqfunctions.udf.CIQ($A29, "IQ_NET_WORKING_CAP", IQ_LTM, $L$2, $L$4, $L$3, $L$5, $L$6))</f>
        <v>n/a</v>
      </c>
      <c r="AM29" s="84" t="str">
        <f ca="1">IF(ISERROR(_xll.ciqfunctions.udf.CIQ($A29, "IQ_Capex", IQ_LTM-8, $L$2,$L$4, $L$3, $L$5, $L$6)), "n/a", _xll.ciqfunctions.udf.CIQ($A29, "IQ_Capex", IQ_LTM-8, $L$2, $L$4, $L$3, $L$5, $L$6))</f>
        <v>n/a</v>
      </c>
      <c r="AN29" s="84" t="str">
        <f ca="1">IF(ISERROR(_xll.ciqfunctions.udf.CIQ($A29, "IQ_Capex", IQ_LTM-4, $L$2,$L$4, $L$3, $L$5, $L$6)), "n/a", _xll.ciqfunctions.udf.CIQ($A29, "IQ_Capex", IQ_LTM-4, $L$2,$L$4, $L$3, $L$5, $L$6))</f>
        <v>n/a</v>
      </c>
      <c r="AO29" s="84" t="str">
        <f ca="1">IF(ISERROR(_xll.ciqfunctions.udf.CIQ($A29, "IQ_Capex", IQ_LTM, $L$2, $L$4, $L$3, $L$5, $L$6)), "n/a", _xll.ciqfunctions.udf.CIQ($A29, "IQ_Capex", IQ_LTM, $L$2, $L$4, $L$3, $L$5, $L$6))</f>
        <v>n/a</v>
      </c>
      <c r="AP29" s="66" t="e">
        <f ca="1">_xll.ciqfunctions.udf.CIQ(A29, "IQ_BUSINESS_DESCRIPTION")</f>
        <v>#NAME?</v>
      </c>
      <c r="AQ29" s="85" t="e">
        <f ca="1">_xll.ciqfunctions.udf.CIQ($A29, "IQ_BETA_1YR", $B$1)</f>
        <v>#NAME?</v>
      </c>
      <c r="AR29" s="85" t="e">
        <f ca="1">_xll.ciqfunctions.udf.CIQ($A29, "IQ_BETA_2YR", $B$1)</f>
        <v>#NAME?</v>
      </c>
      <c r="AS29" s="85" t="e">
        <f ca="1">_xll.ciqfunctions.udf.CIQ($A29, "IQ_BETA_5YR", $B$1)</f>
        <v>#NAME?</v>
      </c>
      <c r="AT29" s="69" t="e">
        <f ca="1">_xll.ciqfunctions.udf.CIQ($A29, "IQ_DIVIDEND_YIELD", $B$1)/100</f>
        <v>#NAME?</v>
      </c>
      <c r="AU29" s="84" t="e">
        <f ca="1">_xll.ciqfunctions.udf.CIQ($A29, "IQ_EARNING_CO", IQ_LTM-8, $L$2, $L$4, $L$3, $L$5, $L$6)</f>
        <v>#NAME?</v>
      </c>
      <c r="AV29" s="84" t="e">
        <f ca="1">_xll.ciqfunctions.udf.CIQ($A29, "IQ_EARNING_CO", IQ_LTM-4, $L$2, $L$4, $L$3, $L$5, $L$6)</f>
        <v>#NAME?</v>
      </c>
      <c r="AW29" s="84" t="e">
        <f ca="1">_xll.ciqfunctions.udf.CIQ($A29, "IQ_EARNING_CO", IQ_LTM, $L$2, $L$4, $L$3, $L$5, $L$6)</f>
        <v>#NAME?</v>
      </c>
      <c r="AX29" s="84" t="e">
        <f ca="1">_xll.ciqfunctions.udf.CIQ($A29, "IQ_EARNING_CO", $B$2, $L$2, $L$4, $L$3, $L$5, $L$6)</f>
        <v>#NAME?</v>
      </c>
      <c r="AY29" s="84" t="e">
        <f ca="1">IF(_xll.ciqfunctions.udf.CIQ($A29, "IQ_EARNING_CO", $B$3, $L$2,$L$4, $L$3, $L$5, $L$6)=0,AW29,_xll.ciqfunctions.udf.CIQ($A29, "IQ_EARNING_CO", $B$3, $L$2,$L$4, $L$3, $L$5, $L$6))</f>
        <v>#NAME?</v>
      </c>
      <c r="AZ29" s="84" t="e">
        <f ca="1">_xll.ciqfunctions.udf.CIQ($A29, "IQ_TOTAL_EQUITY", IQ_LTM-8, $L$2, $L$4, $L$3, $L$5, $L$6)</f>
        <v>#NAME?</v>
      </c>
      <c r="BA29" s="84" t="e">
        <f ca="1">_xll.ciqfunctions.udf.CIQ($A29, "IQ_TOTAL_EQUITY", IQ_LTM-4, $L$2, $L$4, $L$3, $L$5, $L$6)</f>
        <v>#NAME?</v>
      </c>
      <c r="BB29" s="84" t="e">
        <f ca="1">_xll.ciqfunctions.udf.CIQ($A29, "IQ_TOTAL_EQUITY", IQ_LTM, $L$2, $L$4, $L$3, $L$5, $L$6)</f>
        <v>#NAME?</v>
      </c>
      <c r="BC29" s="84" t="e">
        <f ca="1">_xll.ciqfunctions.udf.CIQ($A29, "IQ_TOTAL_EQUITY", $B$2, $L$2, $L$4, $L$3, $L$5, $L$6)</f>
        <v>#NAME?</v>
      </c>
      <c r="BD29" s="84" t="e">
        <f ca="1">IF(_xll.ciqfunctions.udf.CIQ($A29, "IQ_TOTAL_EQUITY", $B$3, $L$2,$L$4, $L$3, $L$5, $L$6)=0,BB29,_xll.ciqfunctions.udf.CIQ($A29, "IQ_TOTAL_EQUITY", $B$3, $L$2,$L$4, $L$3, $L$5, $L$6))</f>
        <v>#NAME?</v>
      </c>
      <c r="BE29" s="84" t="e">
        <f ca="1">_xll.ciqfunctions.udf.CIQ(A29, "IQ_LASTSALEPRICE", $B$8)</f>
        <v>#NAME?</v>
      </c>
      <c r="BF29" s="84" t="e">
        <f ca="1">_xll.ciqfunctions.udf.CIQ($A29, "IQ_MARKETCAP", $B$8, $L$5, $L$6)</f>
        <v>#NAME?</v>
      </c>
      <c r="BG29" s="84" t="e">
        <f ca="1">_xll.ciqfunctions.udf.CIQ($A29, "IQ_TOTAL_DEBT", IQ_LTM, $B$8,$L$4, $L$3, $L$5, $L$6)</f>
        <v>#NAME?</v>
      </c>
      <c r="BH29" s="67" t="e">
        <f ca="1">_xll.ciqfunctions.udf.CIQ($A29,"IQ_PREF_EQUITY",IQ_LTM,$B$8,$L$4,$L$3,$L$5,$L$6)</f>
        <v>#NAME?</v>
      </c>
      <c r="BI29" s="67" t="e">
        <f ca="1">_xll.ciqfunctions.udf.CIQ($A29, "IQ_MINORITY_INTEREST_TOTAL", IQ_LTM,$B$8,$L$4,$L$3,$L$5,$L$6)</f>
        <v>#NAME?</v>
      </c>
      <c r="BJ29" s="84" t="e">
        <f ca="1">_xll.ciqfunctions.udf.CIQ($A29, "IQ_CASH_ST_INVEST", IQ_LTM, $B$8, $L$4, $L$3, $L$5, $L$6)</f>
        <v>#NAME?</v>
      </c>
      <c r="BK29" s="67" t="e">
        <f ca="1">_xll.ciqfunctions.udf.CIQ($A29, "IQ_EFFECT_TAX_RATE")</f>
        <v>#NAME?</v>
      </c>
      <c r="BL29" s="67" t="e">
        <f ca="1">IF(_xll.ciqfunctions.udf.CIQ($A29, "IQ_TOTAL_REV_2YR_ANN_CAGR", IQ_LTM, $B$1,$L$4, $L$3, $L$5, $L$6)="NM","n/a",(_xll.ciqfunctions.udf.CIQ($A29, "IQ_TOTAL_REV_2YR_ANN_CAGR", IQ_LTM, $B$1,$L$4, $L$3, $L$5, $L$6)/100))</f>
        <v>#NAME?</v>
      </c>
      <c r="BM29" s="67" t="e">
        <f ca="1">IF(_xll.ciqfunctions.udf.CIQ($A29, "IQ_TOTAL_REV_3YR_ANN_CAGR", IQ_LTM, $B$1,$L$4, $L$3, $L$5, $L$6)="NM","n/a",(_xll.ciqfunctions.udf.CIQ($A29, "IQ_TOTAL_REV_3YR_ANN_CAGR", IQ_LTM, $B$1,$L$4, $L$3, $L$5, $L$6)/100))</f>
        <v>#NAME?</v>
      </c>
      <c r="BN29" s="67" t="e">
        <f ca="1">IF(_xll.ciqfunctions.udf.CIQ($A29, "IQ_TOTAL_REV_5YR_ANN_CAGR", IQ_LTM, $B$1,$L$4, $L$3, $L$5, $L$6)="NM","n/a",(_xll.ciqfunctions.udf.CIQ($A29, "IQ_TOTAL_REV_5YR_ANN_CAGR", IQ_LTM, $B$1,$L$4, $L$3, $L$5, $L$6)/100))</f>
        <v>#NAME?</v>
      </c>
      <c r="BO29" s="67" t="e">
        <f ca="1">IF(_xll.ciqfunctions.udf.CIQ($A29,"IQ_EBITDA_2YR_ANN_CAGR", IQ_LTM,$B$1,$L$4, $L$3, $L$5, $L$6)="NM","n/a",(_xll.ciqfunctions.udf.CIQ($A29,"IQ_EBITDA_2YR_ANN_CAGR", IQ_LTM,$B$1,$L$4, $L$3, $L$5, $L$6)/100))</f>
        <v>#NAME?</v>
      </c>
      <c r="BP29" s="67" t="e">
        <f ca="1">IF(_xll.ciqfunctions.udf.CIQ($A29,"IQ_EBITDA_3YR_ANN_CAGR", IQ_LTM,$B$1,$L$4, $L$3, $L$5, $L$6)="NM","n/a",(_xll.ciqfunctions.udf.CIQ($A29,"IQ_EBITDA_3YR_ANN_CAGR", IQ_LTM,$B$1,$L$4, $L$3, $L$5, $L$6)/100))</f>
        <v>#NAME?</v>
      </c>
      <c r="BQ29" s="67" t="e">
        <f ca="1">IF(_xll.ciqfunctions.udf.CIQ($A29,"IQ_EBITDA_5YR_ANN_CAGR", IQ_LTM,$B$1,$L$4, $L$3, $L$5, $L$6)="NM","n/a",(_xll.ciqfunctions.udf.CIQ($A29,"IQ_EBITDA_5YR_ANN_CAGR", IQ_LTM,$B$1,$L$4, $L$3, $L$5, $L$6)/100))</f>
        <v>#NAME?</v>
      </c>
      <c r="BR29" s="69" t="str">
        <f ca="1">IFERROR((_xll.ciqfunctions.udf.CIQ($A29, "IQ_DA_CF", IQ_LTM, $B$1, $L$4, $L$3, $L$5, $L$6)/Q29),"NM")</f>
        <v>NM</v>
      </c>
      <c r="BS29" s="86" t="e">
        <f>'Capital IQ Sheet-GPC'!#REF!</f>
        <v>#REF!</v>
      </c>
      <c r="BT29" s="86" t="e">
        <f>'Capital IQ Sheet-GPC'!#REF!</f>
        <v>#REF!</v>
      </c>
      <c r="BU29" s="86" t="e">
        <f>'Capital IQ Sheet-GPC'!#REF!</f>
        <v>#REF!</v>
      </c>
      <c r="BV29" s="86" t="e">
        <f>'Capital IQ Sheet-GPC'!#REF!</f>
        <v>#REF!</v>
      </c>
      <c r="BW29" s="86" t="e">
        <f>'Capital IQ Sheet-GPC'!#REF!</f>
        <v>#REF!</v>
      </c>
      <c r="BX29" s="86" t="e">
        <f>'Capital IQ Sheet-GPC'!#REF!</f>
        <v>#REF!</v>
      </c>
      <c r="BY29" s="86" t="e">
        <f>'Capital IQ Sheet-GPC'!#REF!</f>
        <v>#REF!</v>
      </c>
      <c r="BZ29" s="86" t="e">
        <f>'Capital IQ Sheet-GPC'!#REF!</f>
        <v>#REF!</v>
      </c>
      <c r="CB29" s="67">
        <v>2</v>
      </c>
      <c r="CC29" s="123" t="s">
        <v>295</v>
      </c>
      <c r="CD29" s="123" t="s">
        <v>294</v>
      </c>
      <c r="CE29" s="68">
        <f t="shared" si="1"/>
        <v>42766</v>
      </c>
    </row>
    <row r="30" spans="1:83" s="67" customFormat="1" ht="12.75">
      <c r="A30" s="67" t="e">
        <f ca="1">_xll.ciqfunctions.udf.CIQ($B30,"IQ_COMPANY_TICKER")</f>
        <v>#NAME?</v>
      </c>
      <c r="B30" s="67" t="str">
        <f>'Capital IQ Sheet-GPC'!B29</f>
        <v>IQ30632</v>
      </c>
      <c r="C30" s="67" t="e">
        <f ca="1">_xll.ciqfunctions.udf.CIQ($A30,"IQ_COMPANY_NAME")</f>
        <v>#NAME?</v>
      </c>
      <c r="D30" s="67" t="e">
        <f ca="1">_xll.ciqfunctions.udf.CIQ($A30, "IQ_EXCHANGE")</f>
        <v>#NAME?</v>
      </c>
      <c r="E30" s="68" t="e">
        <f ca="1">_xll.ciqfunctions.udf.CIQ($A30, "IQ_PERIODDATE_IS", IQ_FY)</f>
        <v>#NAME?</v>
      </c>
      <c r="F30" s="68" t="e">
        <f ca="1">_xll.ciqfunctions.udf.CIQ(A30, "IQ_PERIODDATE_IS", IQ_LTM, $B$1,$L$4,$L$3)</f>
        <v>#NAME?</v>
      </c>
      <c r="G30" s="68" t="e">
        <f ca="1">_xll.ciqfunctions.udf.CIQ($A30, "IQ_FIRSTPRICINGDATE")</f>
        <v>#NAME?</v>
      </c>
      <c r="H30" s="84" t="e">
        <f ca="1">_xll.ciqfunctions.udf.CIQ($A30, "IQ_TEV", $L$2, $L$5, $L$6)</f>
        <v>#NAME?</v>
      </c>
      <c r="I30" s="84" t="e">
        <f ca="1">_xll.ciqfunctions.udf.CIQ(A30, "IQ_LASTSALEPRICE", $B$1,$L$5)</f>
        <v>#NAME?</v>
      </c>
      <c r="J30" s="84" t="e">
        <f ca="1">_xll.ciqfunctions.udf.CIQ($A30, "IQ_MARKETCAP", $L$2, $L$5, $L$6)</f>
        <v>#NAME?</v>
      </c>
      <c r="K30" s="84" t="e">
        <f ca="1">_xll.ciqfunctions.udf.CIQ($A30, "IQ_TOTAL_DEBT", IQ_LTM, $L$2,$L$4, $L$3, $L$5, $L$6)</f>
        <v>#NAME?</v>
      </c>
      <c r="L30" s="84" t="e">
        <f ca="1">_xll.ciqfunctions.udf.CIQ($A30, "IQ_PREF_EQUITY", IQ_LTM, $L$2, $L$4, $L$3, $L$5, $L$6)</f>
        <v>#NAME?</v>
      </c>
      <c r="M30" s="84" t="e">
        <f ca="1">_xll.ciqfunctions.udf.CIQ($A30, "IQ_MINORITY_INTEREST_TOTAL", IQ_LTM, $L$2, $L$4, $L$3, $L$5, $L$6)</f>
        <v>#NAME?</v>
      </c>
      <c r="N30" s="84" t="e">
        <f ca="1">_xll.ciqfunctions.udf.CIQ($A30, "IQ_CASH_ST_INVEST", IQ_LTM, $L$2, $L$4, $L$3, $L$5, $L$6)</f>
        <v>#NAME?</v>
      </c>
      <c r="O30" s="84" t="e">
        <f ca="1">_xll.ciqfunctions.udf.CIQ($A30, "IQ_TOTAL_REV", IQ_LTM-8, $L$2, $L$4, $L$3, $L$5, $L$6)</f>
        <v>#NAME?</v>
      </c>
      <c r="P30" s="84" t="e">
        <f ca="1">_xll.ciqfunctions.udf.CIQ($A30, "IQ_TOTAL_REV", IQ_LTM - 4, $L$2, $L$4, $L$3, $L$5,$L$6)</f>
        <v>#NAME?</v>
      </c>
      <c r="Q30" s="84" t="e">
        <f ca="1">_xll.ciqfunctions.udf.CIQ($A30, "IQ_TOTAL_REV", IQ_LTM, $L$2, $L$4, $L$3, $L$5, $L$6)</f>
        <v>#NAME?</v>
      </c>
      <c r="R30" s="84" t="e">
        <f ca="1">_xll.ciqfunctions.udf.CIQ($A30, "IQ_TOTAL_REV", $B$2, $L$2, $L$4, $L$3, $L$5, $L$6)</f>
        <v>#NAME?</v>
      </c>
      <c r="S30" s="84" t="e">
        <f ca="1">IF(_xll.ciqfunctions.udf.CIQ($A30, "IQ_TOTAL_REV", $B$3, $L$2,$L$4, $L$3, $L$5, $L$6)=0,Q30,_xll.ciqfunctions.udf.CIQ($A30, "IQ_TOTAL_REV", $B$3, $L$2,$L$4, $L$3, $L$5, $L$6))</f>
        <v>#NAME?</v>
      </c>
      <c r="T30" s="84" t="e">
        <f ca="1">IF(_xll.ciqfunctions.udf.CIQ($A30, "IQ_REVENUE_EST",$B$4, $L$2, "CON", $L$3, $L$5, $L$6)=0,"n/a",_xll.ciqfunctions.udf.CIQ($A30, "IQ_REVENUE_EST",$B$4, $L$2, "CON", $L$3, $L$5, $L$6))</f>
        <v>#NAME?</v>
      </c>
      <c r="U30" s="84" t="e">
        <f ca="1">IF(_xll.ciqfunctions.udf.CIQ($A30, "IQ_REVENUE_EST",$B$5, $L$2, "CON", $L$3, $L$5, $L$6)=0,"n/a",_xll.ciqfunctions.udf.CIQ($A30, "IQ_REVENUE_EST",$B$5, $L$2, "CON", $L$3, $L$5, $L$6))</f>
        <v>#NAME?</v>
      </c>
      <c r="V30" s="84" t="e">
        <f ca="1">IF(_xll.ciqfunctions.udf.CIQ($A30, "IQ_REVENUE_EST",$B$6, $L$2, "CON", $L$3, $L$5, $L$6)=0,"n/a",_xll.ciqfunctions.udf.CIQ($A30, "IQ_REVENUE_EST",$B$6, $L$2, "CON", $L$3, $L$5, $L$6))</f>
        <v>#NAME?</v>
      </c>
      <c r="W30" s="84" t="e">
        <f ca="1">IF(_xll.ciqfunctions.udf.CIQ($A30, "IQ_REVENUE_EST", $B$7, $L$2, "CON", $L$3, $L$5, $L$6)=0,"n/a",_xll.ciqfunctions.udf.CIQ($A30, "IQ_REVENUE_EST",$B$7, $L$2, "CON", $L$3, $L$5, $L$6))</f>
        <v>#NAME?</v>
      </c>
      <c r="X30" s="84" t="e">
        <f ca="1">_xll.ciqfunctions.udf.CIQ($A30, "IQ_EBITDA", IQ_LTM-8, $L$2, $L$4, $L$3, $L$5, $L$6)</f>
        <v>#NAME?</v>
      </c>
      <c r="Y30" s="84" t="e">
        <f ca="1">_xll.ciqfunctions.udf.CIQ($A30, "IQ_EBITDA", IQ_LTM-4, $L$2,$L$4, $L$3, $L$5, $L$6)</f>
        <v>#NAME?</v>
      </c>
      <c r="Z30" s="84" t="e">
        <f ca="1">_xll.ciqfunctions.udf.CIQ($A30, "IQ_EBITDA", IQ_LTM, $L$2, $L$4, $L$3, $L$5, $L$6)</f>
        <v>#NAME?</v>
      </c>
      <c r="AA30" s="84" t="e">
        <f ca="1">_xll.ciqfunctions.udf.CIQ($A30, "IQ_EBITDA", $B$2, $L$2, $L$4, $L$3, $L$5, $L$6)</f>
        <v>#NAME?</v>
      </c>
      <c r="AB30" s="84" t="e">
        <f ca="1">IF(_xll.ciqfunctions.udf.CIQ($A30, "IQ_EBITDA", $B$3, $L$2,$L$4, $L$3, $L$5, $L$6)=0,Z30,_xll.ciqfunctions.udf.CIQ($A30, "IQ_EBITDA", $B$3, $L$2,$L$4, $L$3, $L$5, $L$6))</f>
        <v>#NAME?</v>
      </c>
      <c r="AC30" s="84" t="e">
        <f ca="1">IF(_xll.ciqfunctions.udf.CIQ($A30, "IQ_EBITDA_EST",$B$4, $L$2, "CON", $L$3, $L$5, $L$6)=0,"n/a",_xll.ciqfunctions.udf.CIQ($A30, "IQ_EBITDA_EST",$B$4, $L$2, "CON", $L$3, $L$5, $L$6))</f>
        <v>#NAME?</v>
      </c>
      <c r="AD30" s="84" t="e">
        <f ca="1">IF(_xll.ciqfunctions.udf.CIQ($A30, "IQ_EBITDA_EST",$B$5, $L$2, "CON", $L$3, $L$5, $L$6)=0,"n/a",_xll.ciqfunctions.udf.CIQ($A30, "IQ_EBITDA_EST",$B$5, $L$2, "CON", $L$3, $L$5, $L$6))</f>
        <v>#NAME?</v>
      </c>
      <c r="AE30" s="84" t="e">
        <f ca="1">IF(_xll.ciqfunctions.udf.CIQ($A30, "IQ_EBITDA_EST",$B$6, $L$2, "CON", $L$3, $L$5, $L$6)=0,"n/a",_xll.ciqfunctions.udf.CIQ($A30, "IQ_EBITDA_EST",$B$6, $L$2, "CON", $L$3, $L$5, $L$6))</f>
        <v>#NAME?</v>
      </c>
      <c r="AF30" s="69" t="str">
        <f ca="1">IF(ISERROR(_xll.ciqfunctions.udf.CIQ($A30, "IQ_GROSS_MARGIN", IQ_LTM, $L$2,$L$4, $L$3, $L$5, $L$6)/100), "n/a", _xll.ciqfunctions.udf.CIQ($A30,  "IQ_GROSS_MARGIN", IQ_LTM, $L$2, $L$4, $L$3, $L$5, $L$6)/100)</f>
        <v>n/a</v>
      </c>
      <c r="AG30" s="69" t="str">
        <f ca="1">IF(ISERROR(_xll.ciqfunctions.udf.CIQ($A30,"IQ_EBITDA_MARGIN", IQ_LTM, $L$2, $L$4, $L$3, $L$5, $L$6)/100), "n/a", _xll.ciqfunctions.udf.CIQ($A30, "IQ_EBITDA_MARGIN", IQ_LTM, $L$2, $L$4, $L$3, $L$5, $L$6)/100)</f>
        <v>n/a</v>
      </c>
      <c r="AH30" s="69" t="str">
        <f ca="1">IF(ISERROR(_xll.ciqfunctions.udf.CIQ($A30,"IQ_EBIT_MARGIN", IQ_LTM, $L$2, $L$4, $L$3, $L$5, $L$6)/100), "n/a", _xll.ciqfunctions.udf.CIQ($A30, "IQ_EBIT_MARGIN", IQ_LTM, $L$2, $L$4, $L$3, $L$5, $L$6)/100)</f>
        <v>n/a</v>
      </c>
      <c r="AI30" s="69" t="str">
        <f ca="1">IF(ISERROR(_xll.ciqfunctions.udf.CIQ($A30,"IQ_NI_MARGIN", IQ_LTM, $L$2, $L$4, $L$3, $L$5, $L$6)/100), "n/a", _xll.ciqfunctions.udf.CIQ($A30, "IQ_NI_MARGIN", IQ_LTM, $L$2, $L$4, $L$3, $L$5, $L$6)/100)</f>
        <v>n/a</v>
      </c>
      <c r="AJ30" s="84" t="str">
        <f ca="1">IF(ISERROR(_xll.ciqfunctions.udf.CIQ($A30, "IQ_NET_WORKING_CAP", IQ_LTM-8, $L$2, $L$4, $L$3, $L$5, $L$6)), "n/a", _xll.ciqfunctions.udf.CIQ($A30, "IQ_NET_WORKING_CAP", IQ_LTM-8, $L$2, $L$4, $L$3, $L$5, $L$6))</f>
        <v>n/a</v>
      </c>
      <c r="AK30" s="84" t="str">
        <f ca="1">IF(ISERROR(_xll.ciqfunctions.udf.CIQ($A30, "IQ_NET_WORKING_CAP", IQ_LTM-4, $L$2, $L$4, $L$3, $L$5, $L$6)), "n/a", _xll.ciqfunctions.udf.CIQ($A30, "IQ_NET_WORKING_CAP", IQ_LTM-4, $L$2, $L$4, $L$3, $L$5, $L$6))</f>
        <v>n/a</v>
      </c>
      <c r="AL30" s="84" t="str">
        <f ca="1">IF(ISERROR(_xll.ciqfunctions.udf.CIQ($A30, "IQ_NET_WORKING_CAP", IQ_LTM, $L$2,$L$4, $L$3, $L$5, $L$6)), "n/a", _xll.ciqfunctions.udf.CIQ($A30, "IQ_NET_WORKING_CAP", IQ_LTM, $L$2, $L$4, $L$3, $L$5, $L$6))</f>
        <v>n/a</v>
      </c>
      <c r="AM30" s="84" t="str">
        <f ca="1">IF(ISERROR(_xll.ciqfunctions.udf.CIQ($A30, "IQ_Capex", IQ_LTM-8, $L$2,$L$4, $L$3, $L$5, $L$6)), "n/a", _xll.ciqfunctions.udf.CIQ($A30, "IQ_Capex", IQ_LTM-8, $L$2, $L$4, $L$3, $L$5, $L$6))</f>
        <v>n/a</v>
      </c>
      <c r="AN30" s="84" t="str">
        <f ca="1">IF(ISERROR(_xll.ciqfunctions.udf.CIQ($A30, "IQ_Capex", IQ_LTM-4, $L$2,$L$4, $L$3, $L$5, $L$6)), "n/a", _xll.ciqfunctions.udf.CIQ($A30, "IQ_Capex", IQ_LTM-4, $L$2,$L$4, $L$3, $L$5, $L$6))</f>
        <v>n/a</v>
      </c>
      <c r="AO30" s="84" t="str">
        <f ca="1">IF(ISERROR(_xll.ciqfunctions.udf.CIQ($A30, "IQ_Capex", IQ_LTM, $L$2, $L$4, $L$3, $L$5, $L$6)), "n/a", _xll.ciqfunctions.udf.CIQ($A30, "IQ_Capex", IQ_LTM, $L$2, $L$4, $L$3, $L$5, $L$6))</f>
        <v>n/a</v>
      </c>
      <c r="AP30" s="66" t="e">
        <f ca="1">_xll.ciqfunctions.udf.CIQ(A30, "IQ_BUSINESS_DESCRIPTION")</f>
        <v>#NAME?</v>
      </c>
      <c r="AQ30" s="85" t="e">
        <f ca="1">_xll.ciqfunctions.udf.CIQ($A30, "IQ_BETA_1YR", $B$1)</f>
        <v>#NAME?</v>
      </c>
      <c r="AR30" s="85" t="e">
        <f ca="1">_xll.ciqfunctions.udf.CIQ($A30, "IQ_BETA_2YR", $B$1)</f>
        <v>#NAME?</v>
      </c>
      <c r="AS30" s="85" t="e">
        <f ca="1">_xll.ciqfunctions.udf.CIQ($A30, "IQ_BETA_5YR", $B$1)</f>
        <v>#NAME?</v>
      </c>
      <c r="AT30" s="69" t="e">
        <f ca="1">_xll.ciqfunctions.udf.CIQ($A30, "IQ_DIVIDEND_YIELD", $B$1)/100</f>
        <v>#NAME?</v>
      </c>
      <c r="AU30" s="84" t="e">
        <f ca="1">_xll.ciqfunctions.udf.CIQ($A30, "IQ_EARNING_CO", IQ_LTM-8, $L$2, $L$4, $L$3, $L$5, $L$6)</f>
        <v>#NAME?</v>
      </c>
      <c r="AV30" s="84" t="e">
        <f ca="1">_xll.ciqfunctions.udf.CIQ($A30, "IQ_EARNING_CO", IQ_LTM-4, $L$2, $L$4, $L$3, $L$5, $L$6)</f>
        <v>#NAME?</v>
      </c>
      <c r="AW30" s="84" t="e">
        <f ca="1">_xll.ciqfunctions.udf.CIQ($A30, "IQ_EARNING_CO", IQ_LTM, $L$2, $L$4, $L$3, $L$5, $L$6)</f>
        <v>#NAME?</v>
      </c>
      <c r="AX30" s="84" t="e">
        <f ca="1">_xll.ciqfunctions.udf.CIQ($A30, "IQ_EARNING_CO", $B$2, $L$2, $L$4, $L$3, $L$5, $L$6)</f>
        <v>#NAME?</v>
      </c>
      <c r="AY30" s="84" t="e">
        <f ca="1">IF(_xll.ciqfunctions.udf.CIQ($A30, "IQ_EARNING_CO", $B$3, $L$2,$L$4, $L$3, $L$5, $L$6)=0,AW30,_xll.ciqfunctions.udf.CIQ($A30, "IQ_EARNING_CO", $B$3, $L$2,$L$4, $L$3, $L$5, $L$6))</f>
        <v>#NAME?</v>
      </c>
      <c r="AZ30" s="84" t="e">
        <f ca="1">_xll.ciqfunctions.udf.CIQ($A30, "IQ_TOTAL_EQUITY", IQ_LTM-8, $L$2, $L$4, $L$3, $L$5, $L$6)</f>
        <v>#NAME?</v>
      </c>
      <c r="BA30" s="84" t="e">
        <f ca="1">_xll.ciqfunctions.udf.CIQ($A30, "IQ_TOTAL_EQUITY", IQ_LTM-4, $L$2, $L$4, $L$3, $L$5, $L$6)</f>
        <v>#NAME?</v>
      </c>
      <c r="BB30" s="84" t="e">
        <f ca="1">_xll.ciqfunctions.udf.CIQ($A30, "IQ_TOTAL_EQUITY", IQ_LTM, $L$2, $L$4, $L$3, $L$5, $L$6)</f>
        <v>#NAME?</v>
      </c>
      <c r="BC30" s="84" t="e">
        <f ca="1">_xll.ciqfunctions.udf.CIQ($A30, "IQ_TOTAL_EQUITY", $B$2, $L$2, $L$4, $L$3, $L$5, $L$6)</f>
        <v>#NAME?</v>
      </c>
      <c r="BD30" s="84" t="e">
        <f ca="1">IF(_xll.ciqfunctions.udf.CIQ($A30, "IQ_TOTAL_EQUITY", $B$3, $L$2,$L$4, $L$3, $L$5, $L$6)=0,BB30,_xll.ciqfunctions.udf.CIQ($A30, "IQ_TOTAL_EQUITY", $B$3, $L$2,$L$4, $L$3, $L$5, $L$6))</f>
        <v>#NAME?</v>
      </c>
      <c r="BE30" s="84" t="e">
        <f ca="1">_xll.ciqfunctions.udf.CIQ(A30, "IQ_LASTSALEPRICE", $B$8)</f>
        <v>#NAME?</v>
      </c>
      <c r="BF30" s="84" t="e">
        <f ca="1">_xll.ciqfunctions.udf.CIQ($A30, "IQ_MARKETCAP", $B$8, $L$5, $L$6)</f>
        <v>#NAME?</v>
      </c>
      <c r="BG30" s="84" t="e">
        <f ca="1">_xll.ciqfunctions.udf.CIQ($A30, "IQ_TOTAL_DEBT", IQ_LTM, $B$8,$L$4, $L$3, $L$5, $L$6)</f>
        <v>#NAME?</v>
      </c>
      <c r="BH30" s="67" t="e">
        <f ca="1">_xll.ciqfunctions.udf.CIQ($A30,"IQ_PREF_EQUITY",IQ_LTM,$B$8,$L$4,$L$3,$L$5,$L$6)</f>
        <v>#NAME?</v>
      </c>
      <c r="BI30" s="67" t="e">
        <f ca="1">_xll.ciqfunctions.udf.CIQ($A30, "IQ_MINORITY_INTEREST_TOTAL", IQ_LTM,$B$8,$L$4,$L$3,$L$5,$L$6)</f>
        <v>#NAME?</v>
      </c>
      <c r="BJ30" s="84" t="e">
        <f ca="1">_xll.ciqfunctions.udf.CIQ($A30, "IQ_CASH_ST_INVEST", IQ_LTM, $B$8, $L$4, $L$3, $L$5, $L$6)</f>
        <v>#NAME?</v>
      </c>
      <c r="BK30" s="67" t="e">
        <f ca="1">_xll.ciqfunctions.udf.CIQ($A30, "IQ_EFFECT_TAX_RATE")</f>
        <v>#NAME?</v>
      </c>
      <c r="BL30" s="67" t="e">
        <f ca="1">IF(_xll.ciqfunctions.udf.CIQ($A30, "IQ_TOTAL_REV_2YR_ANN_CAGR", IQ_LTM, $B$1,$L$4, $L$3, $L$5, $L$6)="NM","n/a",(_xll.ciqfunctions.udf.CIQ($A30, "IQ_TOTAL_REV_2YR_ANN_CAGR", IQ_LTM, $B$1,$L$4, $L$3, $L$5, $L$6)/100))</f>
        <v>#NAME?</v>
      </c>
      <c r="BM30" s="67" t="e">
        <f ca="1">IF(_xll.ciqfunctions.udf.CIQ($A30, "IQ_TOTAL_REV_3YR_ANN_CAGR", IQ_LTM, $B$1,$L$4, $L$3, $L$5, $L$6)="NM","n/a",(_xll.ciqfunctions.udf.CIQ($A30, "IQ_TOTAL_REV_3YR_ANN_CAGR", IQ_LTM, $B$1,$L$4, $L$3, $L$5, $L$6)/100))</f>
        <v>#NAME?</v>
      </c>
      <c r="BN30" s="67" t="e">
        <f ca="1">IF(_xll.ciqfunctions.udf.CIQ($A30, "IQ_TOTAL_REV_5YR_ANN_CAGR", IQ_LTM, $B$1,$L$4, $L$3, $L$5, $L$6)="NM","n/a",(_xll.ciqfunctions.udf.CIQ($A30, "IQ_TOTAL_REV_5YR_ANN_CAGR", IQ_LTM, $B$1,$L$4, $L$3, $L$5, $L$6)/100))</f>
        <v>#NAME?</v>
      </c>
      <c r="BO30" s="67" t="e">
        <f ca="1">IF(_xll.ciqfunctions.udf.CIQ($A30,"IQ_EBITDA_2YR_ANN_CAGR", IQ_LTM,$B$1,$L$4, $L$3, $L$5, $L$6)="NM","n/a",(_xll.ciqfunctions.udf.CIQ($A30,"IQ_EBITDA_2YR_ANN_CAGR", IQ_LTM,$B$1,$L$4, $L$3, $L$5, $L$6)/100))</f>
        <v>#NAME?</v>
      </c>
      <c r="BP30" s="67" t="e">
        <f ca="1">IF(_xll.ciqfunctions.udf.CIQ($A30,"IQ_EBITDA_3YR_ANN_CAGR", IQ_LTM,$B$1,$L$4, $L$3, $L$5, $L$6)="NM","n/a",(_xll.ciqfunctions.udf.CIQ($A30,"IQ_EBITDA_3YR_ANN_CAGR", IQ_LTM,$B$1,$L$4, $L$3, $L$5, $L$6)/100))</f>
        <v>#NAME?</v>
      </c>
      <c r="BQ30" s="67" t="e">
        <f ca="1">IF(_xll.ciqfunctions.udf.CIQ($A30,"IQ_EBITDA_5YR_ANN_CAGR", IQ_LTM,$B$1,$L$4, $L$3, $L$5, $L$6)="NM","n/a",(_xll.ciqfunctions.udf.CIQ($A30,"IQ_EBITDA_5YR_ANN_CAGR", IQ_LTM,$B$1,$L$4, $L$3, $L$5, $L$6)/100))</f>
        <v>#NAME?</v>
      </c>
      <c r="BR30" s="69" t="str">
        <f ca="1">IFERROR((_xll.ciqfunctions.udf.CIQ($A30, "IQ_DA_CF", IQ_LTM, $B$1, $L$4, $L$3, $L$5, $L$6)/Q30),"NM")</f>
        <v>NM</v>
      </c>
      <c r="BS30" s="86">
        <f>'Capital IQ Sheet-GPC'!BS29</f>
        <v>0.96015844939375949</v>
      </c>
      <c r="BT30" s="86">
        <f>'Capital IQ Sheet-GPC'!BT29</f>
        <v>0.89691591389580794</v>
      </c>
      <c r="BU30" s="86">
        <f>'Capital IQ Sheet-GPC'!BU29</f>
        <v>0.83012698647985494</v>
      </c>
      <c r="BV30" s="86">
        <f>'Capital IQ Sheet-GPC'!BV29</f>
        <v>0.8332343854173021</v>
      </c>
      <c r="BW30" s="86">
        <f>'Capital IQ Sheet-GPC'!BW29</f>
        <v>0.86113120281070321</v>
      </c>
      <c r="BX30" s="86">
        <f>'Capital IQ Sheet-GPC'!BX29</f>
        <v>0.92583323557468966</v>
      </c>
      <c r="BY30" s="86">
        <f>'Capital IQ Sheet-GPC'!BY29</f>
        <v>1.3125893344937063</v>
      </c>
      <c r="BZ30" s="86">
        <f>'Capital IQ Sheet-GPC'!BZ29</f>
        <v>1.781789329770215</v>
      </c>
      <c r="CB30" s="67">
        <v>2</v>
      </c>
      <c r="CC30" s="123" t="s">
        <v>295</v>
      </c>
      <c r="CD30" s="123" t="s">
        <v>294</v>
      </c>
      <c r="CE30" s="68">
        <f t="shared" si="1"/>
        <v>42766</v>
      </c>
    </row>
    <row r="31" spans="1:83" s="67" customFormat="1" ht="12.75">
      <c r="A31" s="67" t="e">
        <f ca="1">_xll.ciqfunctions.udf.CIQ($B31,"IQ_COMPANY_TICKER")</f>
        <v>#NAME?</v>
      </c>
      <c r="B31" s="67" t="str">
        <f>'Capital IQ Sheet-GPC'!B30</f>
        <v>IQ129263324</v>
      </c>
      <c r="C31" s="67" t="e">
        <f ca="1">_xll.ciqfunctions.udf.CIQ($A31,"IQ_COMPANY_NAME")</f>
        <v>#NAME?</v>
      </c>
      <c r="D31" s="67" t="e">
        <f ca="1">_xll.ciqfunctions.udf.CIQ($A31, "IQ_EXCHANGE")</f>
        <v>#NAME?</v>
      </c>
      <c r="E31" s="68" t="e">
        <f ca="1">_xll.ciqfunctions.udf.CIQ($A31, "IQ_PERIODDATE_IS", IQ_FY)</f>
        <v>#NAME?</v>
      </c>
      <c r="F31" s="68" t="e">
        <f ca="1">_xll.ciqfunctions.udf.CIQ(A31, "IQ_PERIODDATE_IS", IQ_LTM, $B$1,$L$4,$L$3)</f>
        <v>#NAME?</v>
      </c>
      <c r="G31" s="68" t="e">
        <f ca="1">_xll.ciqfunctions.udf.CIQ($A31, "IQ_FIRSTPRICINGDATE")</f>
        <v>#NAME?</v>
      </c>
      <c r="H31" s="84" t="e">
        <f ca="1">_xll.ciqfunctions.udf.CIQ($A31, "IQ_TEV", $L$2, $L$5, $L$6)</f>
        <v>#NAME?</v>
      </c>
      <c r="I31" s="84" t="e">
        <f ca="1">_xll.ciqfunctions.udf.CIQ(A31, "IQ_LASTSALEPRICE", $B$1,$L$5)</f>
        <v>#NAME?</v>
      </c>
      <c r="J31" s="84" t="e">
        <f ca="1">_xll.ciqfunctions.udf.CIQ($A31, "IQ_MARKETCAP", $L$2, $L$5, $L$6)</f>
        <v>#NAME?</v>
      </c>
      <c r="K31" s="84" t="e">
        <f ca="1">_xll.ciqfunctions.udf.CIQ($A31, "IQ_TOTAL_DEBT", IQ_LTM, $L$2,$L$4, $L$3, $L$5, $L$6)</f>
        <v>#NAME?</v>
      </c>
      <c r="L31" s="84" t="e">
        <f ca="1">_xll.ciqfunctions.udf.CIQ($A31, "IQ_PREF_EQUITY", IQ_LTM, $L$2, $L$4, $L$3, $L$5, $L$6)</f>
        <v>#NAME?</v>
      </c>
      <c r="M31" s="84" t="e">
        <f ca="1">_xll.ciqfunctions.udf.CIQ($A31, "IQ_MINORITY_INTEREST_TOTAL", IQ_LTM, $L$2, $L$4, $L$3, $L$5, $L$6)</f>
        <v>#NAME?</v>
      </c>
      <c r="N31" s="84" t="e">
        <f ca="1">_xll.ciqfunctions.udf.CIQ($A31, "IQ_CASH_ST_INVEST", IQ_LTM, $L$2, $L$4, $L$3, $L$5, $L$6)</f>
        <v>#NAME?</v>
      </c>
      <c r="O31" s="84" t="e">
        <f ca="1">_xll.ciqfunctions.udf.CIQ($A31, "IQ_TOTAL_REV", IQ_LTM-8, $L$2, $L$4, $L$3, $L$5, $L$6)</f>
        <v>#NAME?</v>
      </c>
      <c r="P31" s="84" t="e">
        <f ca="1">_xll.ciqfunctions.udf.CIQ($A31, "IQ_TOTAL_REV", IQ_LTM - 4, $L$2, $L$4, $L$3, $L$5,$L$6)</f>
        <v>#NAME?</v>
      </c>
      <c r="Q31" s="84" t="e">
        <f ca="1">_xll.ciqfunctions.udf.CIQ($A31, "IQ_TOTAL_REV", IQ_LTM, $L$2, $L$4, $L$3, $L$5, $L$6)</f>
        <v>#NAME?</v>
      </c>
      <c r="R31" s="84" t="e">
        <f ca="1">_xll.ciqfunctions.udf.CIQ($A31, "IQ_TOTAL_REV", $B$2, $L$2, $L$4, $L$3, $L$5, $L$6)</f>
        <v>#NAME?</v>
      </c>
      <c r="S31" s="84" t="e">
        <f ca="1">IF(_xll.ciqfunctions.udf.CIQ($A31, "IQ_TOTAL_REV", $B$3, $L$2,$L$4, $L$3, $L$5, $L$6)=0,Q31,_xll.ciqfunctions.udf.CIQ($A31, "IQ_TOTAL_REV", $B$3, $L$2,$L$4, $L$3, $L$5, $L$6))</f>
        <v>#NAME?</v>
      </c>
      <c r="T31" s="84" t="e">
        <f ca="1">IF(_xll.ciqfunctions.udf.CIQ($A31, "IQ_REVENUE_EST",$B$4, $L$2, "CON", $L$3, $L$5, $L$6)=0,"n/a",_xll.ciqfunctions.udf.CIQ($A31, "IQ_REVENUE_EST",$B$4, $L$2, "CON", $L$3, $L$5, $L$6))</f>
        <v>#NAME?</v>
      </c>
      <c r="U31" s="84" t="e">
        <f ca="1">IF(_xll.ciqfunctions.udf.CIQ($A31, "IQ_REVENUE_EST",$B$5, $L$2, "CON", $L$3, $L$5, $L$6)=0,"n/a",_xll.ciqfunctions.udf.CIQ($A31, "IQ_REVENUE_EST",$B$5, $L$2, "CON", $L$3, $L$5, $L$6))</f>
        <v>#NAME?</v>
      </c>
      <c r="V31" s="84" t="e">
        <f ca="1">IF(_xll.ciqfunctions.udf.CIQ($A31, "IQ_REVENUE_EST",$B$6, $L$2, "CON", $L$3, $L$5, $L$6)=0,"n/a",_xll.ciqfunctions.udf.CIQ($A31, "IQ_REVENUE_EST",$B$6, $L$2, "CON", $L$3, $L$5, $L$6))</f>
        <v>#NAME?</v>
      </c>
      <c r="W31" s="84" t="e">
        <f ca="1">IF(_xll.ciqfunctions.udf.CIQ($A31, "IQ_REVENUE_EST", $B$7, $L$2, "CON", $L$3, $L$5, $L$6)=0,"n/a",_xll.ciqfunctions.udf.CIQ($A31, "IQ_REVENUE_EST",$B$7, $L$2, "CON", $L$3, $L$5, $L$6))</f>
        <v>#NAME?</v>
      </c>
      <c r="X31" s="84" t="e">
        <f ca="1">_xll.ciqfunctions.udf.CIQ($A31, "IQ_EBITDA", IQ_LTM-8, $L$2, $L$4, $L$3, $L$5, $L$6)</f>
        <v>#NAME?</v>
      </c>
      <c r="Y31" s="84" t="e">
        <f ca="1">_xll.ciqfunctions.udf.CIQ($A31, "IQ_EBITDA", IQ_LTM-4, $L$2,$L$4, $L$3, $L$5, $L$6)</f>
        <v>#NAME?</v>
      </c>
      <c r="Z31" s="84" t="e">
        <f ca="1">_xll.ciqfunctions.udf.CIQ($A31, "IQ_EBITDA", IQ_LTM, $L$2, $L$4, $L$3, $L$5, $L$6)</f>
        <v>#NAME?</v>
      </c>
      <c r="AA31" s="84" t="e">
        <f ca="1">_xll.ciqfunctions.udf.CIQ($A31, "IQ_EBITDA", $B$2, $L$2, $L$4, $L$3, $L$5, $L$6)</f>
        <v>#NAME?</v>
      </c>
      <c r="AB31" s="84" t="e">
        <f ca="1">IF(_xll.ciqfunctions.udf.CIQ($A31, "IQ_EBITDA", $B$3, $L$2,$L$4, $L$3, $L$5, $L$6)=0,Z31,_xll.ciqfunctions.udf.CIQ($A31, "IQ_EBITDA", $B$3, $L$2,$L$4, $L$3, $L$5, $L$6))</f>
        <v>#NAME?</v>
      </c>
      <c r="AC31" s="84" t="e">
        <f ca="1">IF(_xll.ciqfunctions.udf.CIQ($A31, "IQ_EBITDA_EST",$B$4, $L$2, "CON", $L$3, $L$5, $L$6)=0,"n/a",_xll.ciqfunctions.udf.CIQ($A31, "IQ_EBITDA_EST",$B$4, $L$2, "CON", $L$3, $L$5, $L$6))</f>
        <v>#NAME?</v>
      </c>
      <c r="AD31" s="84" t="e">
        <f ca="1">IF(_xll.ciqfunctions.udf.CIQ($A31, "IQ_EBITDA_EST",$B$5, $L$2, "CON", $L$3, $L$5, $L$6)=0,"n/a",_xll.ciqfunctions.udf.CIQ($A31, "IQ_EBITDA_EST",$B$5, $L$2, "CON", $L$3, $L$5, $L$6))</f>
        <v>#NAME?</v>
      </c>
      <c r="AE31" s="84" t="e">
        <f ca="1">IF(_xll.ciqfunctions.udf.CIQ($A31, "IQ_EBITDA_EST",$B$6, $L$2, "CON", $L$3, $L$5, $L$6)=0,"n/a",_xll.ciqfunctions.udf.CIQ($A31, "IQ_EBITDA_EST",$B$6, $L$2, "CON", $L$3, $L$5, $L$6))</f>
        <v>#NAME?</v>
      </c>
      <c r="AF31" s="69" t="str">
        <f ca="1">IF(ISERROR(_xll.ciqfunctions.udf.CIQ($A31, "IQ_GROSS_MARGIN", IQ_LTM, $L$2,$L$4, $L$3, $L$5, $L$6)/100), "n/a", _xll.ciqfunctions.udf.CIQ($A31,  "IQ_GROSS_MARGIN", IQ_LTM, $L$2, $L$4, $L$3, $L$5, $L$6)/100)</f>
        <v>n/a</v>
      </c>
      <c r="AG31" s="69" t="str">
        <f ca="1">IF(ISERROR(_xll.ciqfunctions.udf.CIQ($A31,"IQ_EBITDA_MARGIN", IQ_LTM, $L$2, $L$4, $L$3, $L$5, $L$6)/100), "n/a", _xll.ciqfunctions.udf.CIQ($A31, "IQ_EBITDA_MARGIN", IQ_LTM, $L$2, $L$4, $L$3, $L$5, $L$6)/100)</f>
        <v>n/a</v>
      </c>
      <c r="AH31" s="69" t="str">
        <f ca="1">IF(ISERROR(_xll.ciqfunctions.udf.CIQ($A31,"IQ_EBIT_MARGIN", IQ_LTM, $L$2, $L$4, $L$3, $L$5, $L$6)/100), "n/a", _xll.ciqfunctions.udf.CIQ($A31, "IQ_EBIT_MARGIN", IQ_LTM, $L$2, $L$4, $L$3, $L$5, $L$6)/100)</f>
        <v>n/a</v>
      </c>
      <c r="AI31" s="69" t="str">
        <f ca="1">IF(ISERROR(_xll.ciqfunctions.udf.CIQ($A31,"IQ_NI_MARGIN", IQ_LTM, $L$2, $L$4, $L$3, $L$5, $L$6)/100), "n/a", _xll.ciqfunctions.udf.CIQ($A31, "IQ_NI_MARGIN", IQ_LTM, $L$2, $L$4, $L$3, $L$5, $L$6)/100)</f>
        <v>n/a</v>
      </c>
      <c r="AJ31" s="84" t="str">
        <f ca="1">IF(ISERROR(_xll.ciqfunctions.udf.CIQ($A31, "IQ_NET_WORKING_CAP", IQ_LTM-8, $L$2, $L$4, $L$3, $L$5, $L$6)), "n/a", _xll.ciqfunctions.udf.CIQ($A31, "IQ_NET_WORKING_CAP", IQ_LTM-8, $L$2, $L$4, $L$3, $L$5, $L$6))</f>
        <v>n/a</v>
      </c>
      <c r="AK31" s="84" t="str">
        <f ca="1">IF(ISERROR(_xll.ciqfunctions.udf.CIQ($A31, "IQ_NET_WORKING_CAP", IQ_LTM-4, $L$2, $L$4, $L$3, $L$5, $L$6)), "n/a", _xll.ciqfunctions.udf.CIQ($A31, "IQ_NET_WORKING_CAP", IQ_LTM-4, $L$2, $L$4, $L$3, $L$5, $L$6))</f>
        <v>n/a</v>
      </c>
      <c r="AL31" s="84" t="str">
        <f ca="1">IF(ISERROR(_xll.ciqfunctions.udf.CIQ($A31, "IQ_NET_WORKING_CAP", IQ_LTM, $L$2,$L$4, $L$3, $L$5, $L$6)), "n/a", _xll.ciqfunctions.udf.CIQ($A31, "IQ_NET_WORKING_CAP", IQ_LTM, $L$2, $L$4, $L$3, $L$5, $L$6))</f>
        <v>n/a</v>
      </c>
      <c r="AM31" s="84" t="str">
        <f ca="1">IF(ISERROR(_xll.ciqfunctions.udf.CIQ($A31, "IQ_Capex", IQ_LTM-8, $L$2,$L$4, $L$3, $L$5, $L$6)), "n/a", _xll.ciqfunctions.udf.CIQ($A31, "IQ_Capex", IQ_LTM-8, $L$2, $L$4, $L$3, $L$5, $L$6))</f>
        <v>n/a</v>
      </c>
      <c r="AN31" s="84" t="str">
        <f ca="1">IF(ISERROR(_xll.ciqfunctions.udf.CIQ($A31, "IQ_Capex", IQ_LTM-4, $L$2,$L$4, $L$3, $L$5, $L$6)), "n/a", _xll.ciqfunctions.udf.CIQ($A31, "IQ_Capex", IQ_LTM-4, $L$2,$L$4, $L$3, $L$5, $L$6))</f>
        <v>n/a</v>
      </c>
      <c r="AO31" s="84" t="str">
        <f ca="1">IF(ISERROR(_xll.ciqfunctions.udf.CIQ($A31, "IQ_Capex", IQ_LTM, $L$2, $L$4, $L$3, $L$5, $L$6)), "n/a", _xll.ciqfunctions.udf.CIQ($A31, "IQ_Capex", IQ_LTM, $L$2, $L$4, $L$3, $L$5, $L$6))</f>
        <v>n/a</v>
      </c>
      <c r="AP31" s="66" t="e">
        <f ca="1">_xll.ciqfunctions.udf.CIQ(A31, "IQ_BUSINESS_DESCRIPTION")</f>
        <v>#NAME?</v>
      </c>
      <c r="AQ31" s="85" t="e">
        <f ca="1">_xll.ciqfunctions.udf.CIQ($A31, "IQ_BETA_1YR", $B$1)</f>
        <v>#NAME?</v>
      </c>
      <c r="AR31" s="85" t="e">
        <f ca="1">_xll.ciqfunctions.udf.CIQ($A31, "IQ_BETA_2YR", $B$1)</f>
        <v>#NAME?</v>
      </c>
      <c r="AS31" s="85" t="e">
        <f ca="1">_xll.ciqfunctions.udf.CIQ($A31, "IQ_BETA_5YR", $B$1)</f>
        <v>#NAME?</v>
      </c>
      <c r="AT31" s="69" t="e">
        <f ca="1">_xll.ciqfunctions.udf.CIQ($A31, "IQ_DIVIDEND_YIELD", $B$1)/100</f>
        <v>#NAME?</v>
      </c>
      <c r="AU31" s="84" t="e">
        <f ca="1">_xll.ciqfunctions.udf.CIQ($A31, "IQ_EARNING_CO", IQ_LTM-8, $L$2, $L$4, $L$3, $L$5, $L$6)</f>
        <v>#NAME?</v>
      </c>
      <c r="AV31" s="84" t="e">
        <f ca="1">_xll.ciqfunctions.udf.CIQ($A31, "IQ_EARNING_CO", IQ_LTM-4, $L$2, $L$4, $L$3, $L$5, $L$6)</f>
        <v>#NAME?</v>
      </c>
      <c r="AW31" s="84" t="e">
        <f ca="1">_xll.ciqfunctions.udf.CIQ($A31, "IQ_EARNING_CO", IQ_LTM, $L$2, $L$4, $L$3, $L$5, $L$6)</f>
        <v>#NAME?</v>
      </c>
      <c r="AX31" s="84" t="e">
        <f ca="1">_xll.ciqfunctions.udf.CIQ($A31, "IQ_EARNING_CO", $B$2, $L$2, $L$4, $L$3, $L$5, $L$6)</f>
        <v>#NAME?</v>
      </c>
      <c r="AY31" s="84" t="e">
        <f ca="1">IF(_xll.ciqfunctions.udf.CIQ($A31, "IQ_EARNING_CO", $B$3, $L$2,$L$4, $L$3, $L$5, $L$6)=0,AW31,_xll.ciqfunctions.udf.CIQ($A31, "IQ_EARNING_CO", $B$3, $L$2,$L$4, $L$3, $L$5, $L$6))</f>
        <v>#NAME?</v>
      </c>
      <c r="AZ31" s="84" t="e">
        <f ca="1">_xll.ciqfunctions.udf.CIQ($A31, "IQ_TOTAL_EQUITY", IQ_LTM-8, $L$2, $L$4, $L$3, $L$5, $L$6)</f>
        <v>#NAME?</v>
      </c>
      <c r="BA31" s="84" t="e">
        <f ca="1">_xll.ciqfunctions.udf.CIQ($A31, "IQ_TOTAL_EQUITY", IQ_LTM-4, $L$2, $L$4, $L$3, $L$5, $L$6)</f>
        <v>#NAME?</v>
      </c>
      <c r="BB31" s="84" t="e">
        <f ca="1">_xll.ciqfunctions.udf.CIQ($A31, "IQ_TOTAL_EQUITY", IQ_LTM, $L$2, $L$4, $L$3, $L$5, $L$6)</f>
        <v>#NAME?</v>
      </c>
      <c r="BC31" s="84" t="e">
        <f ca="1">_xll.ciqfunctions.udf.CIQ($A31, "IQ_TOTAL_EQUITY", $B$2, $L$2, $L$4, $L$3, $L$5, $L$6)</f>
        <v>#NAME?</v>
      </c>
      <c r="BD31" s="84" t="e">
        <f ca="1">IF(_xll.ciqfunctions.udf.CIQ($A31, "IQ_TOTAL_EQUITY", $B$3, $L$2,$L$4, $L$3, $L$5, $L$6)=0,BB31,_xll.ciqfunctions.udf.CIQ($A31, "IQ_TOTAL_EQUITY", $B$3, $L$2,$L$4, $L$3, $L$5, $L$6))</f>
        <v>#NAME?</v>
      </c>
      <c r="BE31" s="84" t="e">
        <f ca="1">_xll.ciqfunctions.udf.CIQ(A31, "IQ_LASTSALEPRICE", $B$8)</f>
        <v>#NAME?</v>
      </c>
      <c r="BF31" s="84" t="e">
        <f ca="1">_xll.ciqfunctions.udf.CIQ($A31, "IQ_MARKETCAP", $B$8, $L$5, $L$6)</f>
        <v>#NAME?</v>
      </c>
      <c r="BG31" s="84" t="e">
        <f ca="1">_xll.ciqfunctions.udf.CIQ($A31, "IQ_TOTAL_DEBT", IQ_LTM, $B$8,$L$4, $L$3, $L$5, $L$6)</f>
        <v>#NAME?</v>
      </c>
      <c r="BH31" s="67" t="e">
        <f ca="1">_xll.ciqfunctions.udf.CIQ($A31,"IQ_PREF_EQUITY",IQ_LTM,$B$8,$L$4,$L$3,$L$5,$L$6)</f>
        <v>#NAME?</v>
      </c>
      <c r="BI31" s="67" t="e">
        <f ca="1">_xll.ciqfunctions.udf.CIQ($A31, "IQ_MINORITY_INTEREST_TOTAL", IQ_LTM,$B$8,$L$4,$L$3,$L$5,$L$6)</f>
        <v>#NAME?</v>
      </c>
      <c r="BJ31" s="84" t="e">
        <f ca="1">_xll.ciqfunctions.udf.CIQ($A31, "IQ_CASH_ST_INVEST", IQ_LTM, $B$8, $L$4, $L$3, $L$5, $L$6)</f>
        <v>#NAME?</v>
      </c>
      <c r="BK31" s="67" t="e">
        <f ca="1">_xll.ciqfunctions.udf.CIQ($A31, "IQ_EFFECT_TAX_RATE")</f>
        <v>#NAME?</v>
      </c>
      <c r="BL31" s="67" t="e">
        <f ca="1">IF(_xll.ciqfunctions.udf.CIQ($A31, "IQ_TOTAL_REV_2YR_ANN_CAGR", IQ_LTM, $B$1,$L$4, $L$3, $L$5, $L$6)="NM","n/a",(_xll.ciqfunctions.udf.CIQ($A31, "IQ_TOTAL_REV_2YR_ANN_CAGR", IQ_LTM, $B$1,$L$4, $L$3, $L$5, $L$6)/100))</f>
        <v>#NAME?</v>
      </c>
      <c r="BM31" s="67" t="e">
        <f ca="1">IF(_xll.ciqfunctions.udf.CIQ($A31, "IQ_TOTAL_REV_3YR_ANN_CAGR", IQ_LTM, $B$1,$L$4, $L$3, $L$5, $L$6)="NM","n/a",(_xll.ciqfunctions.udf.CIQ($A31, "IQ_TOTAL_REV_3YR_ANN_CAGR", IQ_LTM, $B$1,$L$4, $L$3, $L$5, $L$6)/100))</f>
        <v>#NAME?</v>
      </c>
      <c r="BN31" s="67" t="e">
        <f ca="1">IF(_xll.ciqfunctions.udf.CIQ($A31, "IQ_TOTAL_REV_5YR_ANN_CAGR", IQ_LTM, $B$1,$L$4, $L$3, $L$5, $L$6)="NM","n/a",(_xll.ciqfunctions.udf.CIQ($A31, "IQ_TOTAL_REV_5YR_ANN_CAGR", IQ_LTM, $B$1,$L$4, $L$3, $L$5, $L$6)/100))</f>
        <v>#NAME?</v>
      </c>
      <c r="BO31" s="67" t="e">
        <f ca="1">IF(_xll.ciqfunctions.udf.CIQ($A31,"IQ_EBITDA_2YR_ANN_CAGR", IQ_LTM,$B$1,$L$4, $L$3, $L$5, $L$6)="NM","n/a",(_xll.ciqfunctions.udf.CIQ($A31,"IQ_EBITDA_2YR_ANN_CAGR", IQ_LTM,$B$1,$L$4, $L$3, $L$5, $L$6)/100))</f>
        <v>#NAME?</v>
      </c>
      <c r="BP31" s="67" t="e">
        <f ca="1">IF(_xll.ciqfunctions.udf.CIQ($A31,"IQ_EBITDA_3YR_ANN_CAGR", IQ_LTM,$B$1,$L$4, $L$3, $L$5, $L$6)="NM","n/a",(_xll.ciqfunctions.udf.CIQ($A31,"IQ_EBITDA_3YR_ANN_CAGR", IQ_LTM,$B$1,$L$4, $L$3, $L$5, $L$6)/100))</f>
        <v>#NAME?</v>
      </c>
      <c r="BQ31" s="67" t="e">
        <f ca="1">IF(_xll.ciqfunctions.udf.CIQ($A31,"IQ_EBITDA_5YR_ANN_CAGR", IQ_LTM,$B$1,$L$4, $L$3, $L$5, $L$6)="NM","n/a",(_xll.ciqfunctions.udf.CIQ($A31,"IQ_EBITDA_5YR_ANN_CAGR", IQ_LTM,$B$1,$L$4, $L$3, $L$5, $L$6)/100))</f>
        <v>#NAME?</v>
      </c>
      <c r="BR31" s="69" t="str">
        <f ca="1">IFERROR((_xll.ciqfunctions.udf.CIQ($A31, "IQ_DA_CF", IQ_LTM, $B$1, $L$4, $L$3, $L$5, $L$6)/Q31),"NM")</f>
        <v>NM</v>
      </c>
      <c r="BS31" s="86">
        <f>'Capital IQ Sheet-GPC'!BS30</f>
        <v>1.1866317083427274</v>
      </c>
      <c r="BT31" s="86">
        <f>'Capital IQ Sheet-GPC'!BT30</f>
        <v>0.9785041500826186</v>
      </c>
      <c r="BU31" s="86">
        <f>'Capital IQ Sheet-GPC'!BU30</f>
        <v>0.91520299544650408</v>
      </c>
      <c r="BV31" s="86" t="str">
        <f>'Capital IQ Sheet-GPC'!BV30</f>
        <v>n/a</v>
      </c>
      <c r="BW31" s="86" t="str">
        <f>'Capital IQ Sheet-GPC'!BW30</f>
        <v>n/a</v>
      </c>
      <c r="BX31" s="86" t="str">
        <f>'Capital IQ Sheet-GPC'!BX30</f>
        <v>n/a</v>
      </c>
      <c r="BY31" s="86" t="str">
        <f>'Capital IQ Sheet-GPC'!BY30</f>
        <v>n/a</v>
      </c>
      <c r="BZ31" s="86" t="str">
        <f>'Capital IQ Sheet-GPC'!BZ30</f>
        <v>n/a</v>
      </c>
      <c r="CB31" s="67">
        <v>2</v>
      </c>
      <c r="CC31" s="123" t="s">
        <v>295</v>
      </c>
      <c r="CD31" s="123" t="s">
        <v>294</v>
      </c>
      <c r="CE31" s="68">
        <f t="shared" si="1"/>
        <v>42766</v>
      </c>
    </row>
    <row r="32" spans="1:83" s="67" customFormat="1" ht="12.75">
      <c r="A32" s="67" t="e">
        <f ca="1">_xll.ciqfunctions.udf.CIQ($B32,"IQ_COMPANY_TICKER")</f>
        <v>#NAME?</v>
      </c>
      <c r="B32" s="67" t="str">
        <f>'Capital IQ Sheet-GPC'!B31</f>
        <v>IQ1517644</v>
      </c>
      <c r="C32" s="67" t="e">
        <f ca="1">_xll.ciqfunctions.udf.CIQ($A32,"IQ_COMPANY_NAME")</f>
        <v>#NAME?</v>
      </c>
      <c r="D32" s="67" t="e">
        <f ca="1">_xll.ciqfunctions.udf.CIQ($A32, "IQ_EXCHANGE")</f>
        <v>#NAME?</v>
      </c>
      <c r="E32" s="68" t="e">
        <f ca="1">_xll.ciqfunctions.udf.CIQ($A32, "IQ_PERIODDATE_IS", IQ_FY)</f>
        <v>#NAME?</v>
      </c>
      <c r="F32" s="68" t="e">
        <f ca="1">_xll.ciqfunctions.udf.CIQ(A32, "IQ_PERIODDATE_IS", IQ_LTM, $B$1,$L$4,$L$3)</f>
        <v>#NAME?</v>
      </c>
      <c r="G32" s="68" t="e">
        <f ca="1">_xll.ciqfunctions.udf.CIQ($A32, "IQ_FIRSTPRICINGDATE")</f>
        <v>#NAME?</v>
      </c>
      <c r="H32" s="84" t="e">
        <f ca="1">_xll.ciqfunctions.udf.CIQ($A32, "IQ_TEV", $L$2, $L$5, $L$6)</f>
        <v>#NAME?</v>
      </c>
      <c r="I32" s="84" t="e">
        <f ca="1">_xll.ciqfunctions.udf.CIQ(A32, "IQ_LASTSALEPRICE", $B$1,$L$5)</f>
        <v>#NAME?</v>
      </c>
      <c r="J32" s="84" t="e">
        <f ca="1">_xll.ciqfunctions.udf.CIQ($A32, "IQ_MARKETCAP", $L$2, $L$5, $L$6)</f>
        <v>#NAME?</v>
      </c>
      <c r="K32" s="84" t="e">
        <f ca="1">_xll.ciqfunctions.udf.CIQ($A32, "IQ_TOTAL_DEBT", IQ_LTM, $L$2,$L$4, $L$3, $L$5, $L$6)</f>
        <v>#NAME?</v>
      </c>
      <c r="L32" s="84" t="e">
        <f ca="1">_xll.ciqfunctions.udf.CIQ($A32, "IQ_PREF_EQUITY", IQ_LTM, $L$2, $L$4, $L$3, $L$5, $L$6)</f>
        <v>#NAME?</v>
      </c>
      <c r="M32" s="84" t="e">
        <f ca="1">_xll.ciqfunctions.udf.CIQ($A32, "IQ_MINORITY_INTEREST_TOTAL", IQ_LTM, $L$2, $L$4, $L$3, $L$5, $L$6)</f>
        <v>#NAME?</v>
      </c>
      <c r="N32" s="84" t="e">
        <f ca="1">_xll.ciqfunctions.udf.CIQ($A32, "IQ_CASH_ST_INVEST", IQ_LTM, $L$2, $L$4, $L$3, $L$5, $L$6)</f>
        <v>#NAME?</v>
      </c>
      <c r="O32" s="84" t="e">
        <f ca="1">_xll.ciqfunctions.udf.CIQ($A32, "IQ_TOTAL_REV", IQ_LTM-8, $L$2, $L$4, $L$3, $L$5, $L$6)</f>
        <v>#NAME?</v>
      </c>
      <c r="P32" s="84" t="e">
        <f ca="1">_xll.ciqfunctions.udf.CIQ($A32, "IQ_TOTAL_REV", IQ_LTM - 4, $L$2, $L$4, $L$3, $L$5,$L$6)</f>
        <v>#NAME?</v>
      </c>
      <c r="Q32" s="84" t="e">
        <f ca="1">_xll.ciqfunctions.udf.CIQ($A32, "IQ_TOTAL_REV", IQ_LTM, $L$2, $L$4, $L$3, $L$5, $L$6)</f>
        <v>#NAME?</v>
      </c>
      <c r="R32" s="84" t="e">
        <f ca="1">_xll.ciqfunctions.udf.CIQ($A32, "IQ_TOTAL_REV", $B$2, $L$2, $L$4, $L$3, $L$5, $L$6)</f>
        <v>#NAME?</v>
      </c>
      <c r="S32" s="84" t="e">
        <f ca="1">IF(_xll.ciqfunctions.udf.CIQ($A32, "IQ_TOTAL_REV", $B$3, $L$2,$L$4, $L$3, $L$5, $L$6)=0,Q32,_xll.ciqfunctions.udf.CIQ($A32, "IQ_TOTAL_REV", $B$3, $L$2,$L$4, $L$3, $L$5, $L$6))</f>
        <v>#NAME?</v>
      </c>
      <c r="T32" s="84" t="e">
        <f ca="1">IF(_xll.ciqfunctions.udf.CIQ($A32, "IQ_REVENUE_EST",$B$4, $L$2, "CON", $L$3, $L$5, $L$6)=0,"n/a",_xll.ciqfunctions.udf.CIQ($A32, "IQ_REVENUE_EST",$B$4, $L$2, "CON", $L$3, $L$5, $L$6))</f>
        <v>#NAME?</v>
      </c>
      <c r="U32" s="84" t="e">
        <f ca="1">IF(_xll.ciqfunctions.udf.CIQ($A32, "IQ_REVENUE_EST",$B$5, $L$2, "CON", $L$3, $L$5, $L$6)=0,"n/a",_xll.ciqfunctions.udf.CIQ($A32, "IQ_REVENUE_EST",$B$5, $L$2, "CON", $L$3, $L$5, $L$6))</f>
        <v>#NAME?</v>
      </c>
      <c r="V32" s="84" t="e">
        <f ca="1">IF(_xll.ciqfunctions.udf.CIQ($A32, "IQ_REVENUE_EST",$B$6, $L$2, "CON", $L$3, $L$5, $L$6)=0,"n/a",_xll.ciqfunctions.udf.CIQ($A32, "IQ_REVENUE_EST",$B$6, $L$2, "CON", $L$3, $L$5, $L$6))</f>
        <v>#NAME?</v>
      </c>
      <c r="W32" s="84" t="e">
        <f ca="1">IF(_xll.ciqfunctions.udf.CIQ($A32, "IQ_REVENUE_EST", $B$7, $L$2, "CON", $L$3, $L$5, $L$6)=0,"n/a",_xll.ciqfunctions.udf.CIQ($A32, "IQ_REVENUE_EST",$B$7, $L$2, "CON", $L$3, $L$5, $L$6))</f>
        <v>#NAME?</v>
      </c>
      <c r="X32" s="84" t="e">
        <f ca="1">_xll.ciqfunctions.udf.CIQ($A32, "IQ_EBITDA", IQ_LTM-8, $L$2, $L$4, $L$3, $L$5, $L$6)</f>
        <v>#NAME?</v>
      </c>
      <c r="Y32" s="84" t="e">
        <f ca="1">_xll.ciqfunctions.udf.CIQ($A32, "IQ_EBITDA", IQ_LTM-4, $L$2,$L$4, $L$3, $L$5, $L$6)</f>
        <v>#NAME?</v>
      </c>
      <c r="Z32" s="84" t="e">
        <f ca="1">_xll.ciqfunctions.udf.CIQ($A32, "IQ_EBITDA", IQ_LTM, $L$2, $L$4, $L$3, $L$5, $L$6)</f>
        <v>#NAME?</v>
      </c>
      <c r="AA32" s="84" t="e">
        <f ca="1">_xll.ciqfunctions.udf.CIQ($A32, "IQ_EBITDA", $B$2, $L$2, $L$4, $L$3, $L$5, $L$6)</f>
        <v>#NAME?</v>
      </c>
      <c r="AB32" s="84" t="e">
        <f ca="1">IF(_xll.ciqfunctions.udf.CIQ($A32, "IQ_EBITDA", $B$3, $L$2,$L$4, $L$3, $L$5, $L$6)=0,Z32,_xll.ciqfunctions.udf.CIQ($A32, "IQ_EBITDA", $B$3, $L$2,$L$4, $L$3, $L$5, $L$6))</f>
        <v>#NAME?</v>
      </c>
      <c r="AC32" s="84" t="e">
        <f ca="1">IF(_xll.ciqfunctions.udf.CIQ($A32, "IQ_EBITDA_EST",$B$4, $L$2, "CON", $L$3, $L$5, $L$6)=0,"n/a",_xll.ciqfunctions.udf.CIQ($A32, "IQ_EBITDA_EST",$B$4, $L$2, "CON", $L$3, $L$5, $L$6))</f>
        <v>#NAME?</v>
      </c>
      <c r="AD32" s="84" t="e">
        <f ca="1">IF(_xll.ciqfunctions.udf.CIQ($A32, "IQ_EBITDA_EST",$B$5, $L$2, "CON", $L$3, $L$5, $L$6)=0,"n/a",_xll.ciqfunctions.udf.CIQ($A32, "IQ_EBITDA_EST",$B$5, $L$2, "CON", $L$3, $L$5, $L$6))</f>
        <v>#NAME?</v>
      </c>
      <c r="AE32" s="84" t="e">
        <f ca="1">IF(_xll.ciqfunctions.udf.CIQ($A32, "IQ_EBITDA_EST",$B$6, $L$2, "CON", $L$3, $L$5, $L$6)=0,"n/a",_xll.ciqfunctions.udf.CIQ($A32, "IQ_EBITDA_EST",$B$6, $L$2, "CON", $L$3, $L$5, $L$6))</f>
        <v>#NAME?</v>
      </c>
      <c r="AF32" s="69" t="str">
        <f ca="1">IF(ISERROR(_xll.ciqfunctions.udf.CIQ($A32, "IQ_GROSS_MARGIN", IQ_LTM, $L$2,$L$4, $L$3, $L$5, $L$6)/100), "n/a", _xll.ciqfunctions.udf.CIQ($A32,  "IQ_GROSS_MARGIN", IQ_LTM, $L$2, $L$4, $L$3, $L$5, $L$6)/100)</f>
        <v>n/a</v>
      </c>
      <c r="AG32" s="69" t="str">
        <f ca="1">IF(ISERROR(_xll.ciqfunctions.udf.CIQ($A32,"IQ_EBITDA_MARGIN", IQ_LTM, $L$2, $L$4, $L$3, $L$5, $L$6)/100), "n/a", _xll.ciqfunctions.udf.CIQ($A32, "IQ_EBITDA_MARGIN", IQ_LTM, $L$2, $L$4, $L$3, $L$5, $L$6)/100)</f>
        <v>n/a</v>
      </c>
      <c r="AH32" s="69" t="str">
        <f ca="1">IF(ISERROR(_xll.ciqfunctions.udf.CIQ($A32,"IQ_EBIT_MARGIN", IQ_LTM, $L$2, $L$4, $L$3, $L$5, $L$6)/100), "n/a", _xll.ciqfunctions.udf.CIQ($A32, "IQ_EBIT_MARGIN", IQ_LTM, $L$2, $L$4, $L$3, $L$5, $L$6)/100)</f>
        <v>n/a</v>
      </c>
      <c r="AI32" s="69" t="str">
        <f ca="1">IF(ISERROR(_xll.ciqfunctions.udf.CIQ($A32,"IQ_NI_MARGIN", IQ_LTM, $L$2, $L$4, $L$3, $L$5, $L$6)/100), "n/a", _xll.ciqfunctions.udf.CIQ($A32, "IQ_NI_MARGIN", IQ_LTM, $L$2, $L$4, $L$3, $L$5, $L$6)/100)</f>
        <v>n/a</v>
      </c>
      <c r="AJ32" s="84" t="str">
        <f ca="1">IF(ISERROR(_xll.ciqfunctions.udf.CIQ($A32, "IQ_NET_WORKING_CAP", IQ_LTM-8, $L$2, $L$4, $L$3, $L$5, $L$6)), "n/a", _xll.ciqfunctions.udf.CIQ($A32, "IQ_NET_WORKING_CAP", IQ_LTM-8, $L$2, $L$4, $L$3, $L$5, $L$6))</f>
        <v>n/a</v>
      </c>
      <c r="AK32" s="84" t="str">
        <f ca="1">IF(ISERROR(_xll.ciqfunctions.udf.CIQ($A32, "IQ_NET_WORKING_CAP", IQ_LTM-4, $L$2, $L$4, $L$3, $L$5, $L$6)), "n/a", _xll.ciqfunctions.udf.CIQ($A32, "IQ_NET_WORKING_CAP", IQ_LTM-4, $L$2, $L$4, $L$3, $L$5, $L$6))</f>
        <v>n/a</v>
      </c>
      <c r="AL32" s="84" t="str">
        <f ca="1">IF(ISERROR(_xll.ciqfunctions.udf.CIQ($A32, "IQ_NET_WORKING_CAP", IQ_LTM, $L$2,$L$4, $L$3, $L$5, $L$6)), "n/a", _xll.ciqfunctions.udf.CIQ($A32, "IQ_NET_WORKING_CAP", IQ_LTM, $L$2, $L$4, $L$3, $L$5, $L$6))</f>
        <v>n/a</v>
      </c>
      <c r="AM32" s="84" t="str">
        <f ca="1">IF(ISERROR(_xll.ciqfunctions.udf.CIQ($A32, "IQ_Capex", IQ_LTM-8, $L$2,$L$4, $L$3, $L$5, $L$6)), "n/a", _xll.ciqfunctions.udf.CIQ($A32, "IQ_Capex", IQ_LTM-8, $L$2, $L$4, $L$3, $L$5, $L$6))</f>
        <v>n/a</v>
      </c>
      <c r="AN32" s="84" t="str">
        <f ca="1">IF(ISERROR(_xll.ciqfunctions.udf.CIQ($A32, "IQ_Capex", IQ_LTM-4, $L$2,$L$4, $L$3, $L$5, $L$6)), "n/a", _xll.ciqfunctions.udf.CIQ($A32, "IQ_Capex", IQ_LTM-4, $L$2,$L$4, $L$3, $L$5, $L$6))</f>
        <v>n/a</v>
      </c>
      <c r="AO32" s="84" t="str">
        <f ca="1">IF(ISERROR(_xll.ciqfunctions.udf.CIQ($A32, "IQ_Capex", IQ_LTM, $L$2, $L$4, $L$3, $L$5, $L$6)), "n/a", _xll.ciqfunctions.udf.CIQ($A32, "IQ_Capex", IQ_LTM, $L$2, $L$4, $L$3, $L$5, $L$6))</f>
        <v>n/a</v>
      </c>
      <c r="AP32" s="66" t="e">
        <f ca="1">_xll.ciqfunctions.udf.CIQ(A32, "IQ_BUSINESS_DESCRIPTION")</f>
        <v>#NAME?</v>
      </c>
      <c r="AQ32" s="85" t="e">
        <f ca="1">_xll.ciqfunctions.udf.CIQ($A32, "IQ_BETA_1YR", $B$1)</f>
        <v>#NAME?</v>
      </c>
      <c r="AR32" s="85" t="e">
        <f ca="1">_xll.ciqfunctions.udf.CIQ($A32, "IQ_BETA_2YR", $B$1)</f>
        <v>#NAME?</v>
      </c>
      <c r="AS32" s="85" t="e">
        <f ca="1">_xll.ciqfunctions.udf.CIQ($A32, "IQ_BETA_5YR", $B$1)</f>
        <v>#NAME?</v>
      </c>
      <c r="AT32" s="69" t="e">
        <f ca="1">_xll.ciqfunctions.udf.CIQ($A32, "IQ_DIVIDEND_YIELD", $B$1)/100</f>
        <v>#NAME?</v>
      </c>
      <c r="AU32" s="84" t="e">
        <f ca="1">_xll.ciqfunctions.udf.CIQ($A32, "IQ_EARNING_CO", IQ_LTM-8, $L$2, $L$4, $L$3, $L$5, $L$6)</f>
        <v>#NAME?</v>
      </c>
      <c r="AV32" s="84" t="e">
        <f ca="1">_xll.ciqfunctions.udf.CIQ($A32, "IQ_EARNING_CO", IQ_LTM-4, $L$2, $L$4, $L$3, $L$5, $L$6)</f>
        <v>#NAME?</v>
      </c>
      <c r="AW32" s="84" t="e">
        <f ca="1">_xll.ciqfunctions.udf.CIQ($A32, "IQ_EARNING_CO", IQ_LTM, $L$2, $L$4, $L$3, $L$5, $L$6)</f>
        <v>#NAME?</v>
      </c>
      <c r="AX32" s="84" t="e">
        <f ca="1">_xll.ciqfunctions.udf.CIQ($A32, "IQ_EARNING_CO", $B$2, $L$2, $L$4, $L$3, $L$5, $L$6)</f>
        <v>#NAME?</v>
      </c>
      <c r="AY32" s="84" t="e">
        <f ca="1">IF(_xll.ciqfunctions.udf.CIQ($A32, "IQ_EARNING_CO", $B$3, $L$2,$L$4, $L$3, $L$5, $L$6)=0,AW32,_xll.ciqfunctions.udf.CIQ($A32, "IQ_EARNING_CO", $B$3, $L$2,$L$4, $L$3, $L$5, $L$6))</f>
        <v>#NAME?</v>
      </c>
      <c r="AZ32" s="84" t="e">
        <f ca="1">_xll.ciqfunctions.udf.CIQ($A32, "IQ_TOTAL_EQUITY", IQ_LTM-8, $L$2, $L$4, $L$3, $L$5, $L$6)</f>
        <v>#NAME?</v>
      </c>
      <c r="BA32" s="84" t="e">
        <f ca="1">_xll.ciqfunctions.udf.CIQ($A32, "IQ_TOTAL_EQUITY", IQ_LTM-4, $L$2, $L$4, $L$3, $L$5, $L$6)</f>
        <v>#NAME?</v>
      </c>
      <c r="BB32" s="84" t="e">
        <f ca="1">_xll.ciqfunctions.udf.CIQ($A32, "IQ_TOTAL_EQUITY", IQ_LTM, $L$2, $L$4, $L$3, $L$5, $L$6)</f>
        <v>#NAME?</v>
      </c>
      <c r="BC32" s="84" t="e">
        <f ca="1">_xll.ciqfunctions.udf.CIQ($A32, "IQ_TOTAL_EQUITY", $B$2, $L$2, $L$4, $L$3, $L$5, $L$6)</f>
        <v>#NAME?</v>
      </c>
      <c r="BD32" s="84" t="e">
        <f ca="1">IF(_xll.ciqfunctions.udf.CIQ($A32, "IQ_TOTAL_EQUITY", $B$3, $L$2,$L$4, $L$3, $L$5, $L$6)=0,BB32,_xll.ciqfunctions.udf.CIQ($A32, "IQ_TOTAL_EQUITY", $B$3, $L$2,$L$4, $L$3, $L$5, $L$6))</f>
        <v>#NAME?</v>
      </c>
      <c r="BE32" s="84" t="e">
        <f ca="1">_xll.ciqfunctions.udf.CIQ(A32, "IQ_LASTSALEPRICE", $B$8)</f>
        <v>#NAME?</v>
      </c>
      <c r="BF32" s="84" t="e">
        <f ca="1">_xll.ciqfunctions.udf.CIQ($A32, "IQ_MARKETCAP", $B$8, $L$5, $L$6)</f>
        <v>#NAME?</v>
      </c>
      <c r="BG32" s="84" t="e">
        <f ca="1">_xll.ciqfunctions.udf.CIQ($A32, "IQ_TOTAL_DEBT", IQ_LTM, $B$8,$L$4, $L$3, $L$5, $L$6)</f>
        <v>#NAME?</v>
      </c>
      <c r="BH32" s="67" t="e">
        <f ca="1">_xll.ciqfunctions.udf.CIQ($A32,"IQ_PREF_EQUITY",IQ_LTM,$B$8,$L$4,$L$3,$L$5,$L$6)</f>
        <v>#NAME?</v>
      </c>
      <c r="BI32" s="67" t="e">
        <f ca="1">_xll.ciqfunctions.udf.CIQ($A32, "IQ_MINORITY_INTEREST_TOTAL", IQ_LTM,$B$8,$L$4,$L$3,$L$5,$L$6)</f>
        <v>#NAME?</v>
      </c>
      <c r="BJ32" s="84" t="e">
        <f ca="1">_xll.ciqfunctions.udf.CIQ($A32, "IQ_CASH_ST_INVEST", IQ_LTM, $B$8, $L$4, $L$3, $L$5, $L$6)</f>
        <v>#NAME?</v>
      </c>
      <c r="BK32" s="67" t="e">
        <f ca="1">_xll.ciqfunctions.udf.CIQ($A32, "IQ_EFFECT_TAX_RATE")</f>
        <v>#NAME?</v>
      </c>
      <c r="BL32" s="67" t="e">
        <f ca="1">IF(_xll.ciqfunctions.udf.CIQ($A32, "IQ_TOTAL_REV_2YR_ANN_CAGR", IQ_LTM, $B$1,$L$4, $L$3, $L$5, $L$6)="NM","n/a",(_xll.ciqfunctions.udf.CIQ($A32, "IQ_TOTAL_REV_2YR_ANN_CAGR", IQ_LTM, $B$1,$L$4, $L$3, $L$5, $L$6)/100))</f>
        <v>#NAME?</v>
      </c>
      <c r="BM32" s="67" t="e">
        <f ca="1">IF(_xll.ciqfunctions.udf.CIQ($A32, "IQ_TOTAL_REV_3YR_ANN_CAGR", IQ_LTM, $B$1,$L$4, $L$3, $L$5, $L$6)="NM","n/a",(_xll.ciqfunctions.udf.CIQ($A32, "IQ_TOTAL_REV_3YR_ANN_CAGR", IQ_LTM, $B$1,$L$4, $L$3, $L$5, $L$6)/100))</f>
        <v>#NAME?</v>
      </c>
      <c r="BN32" s="67" t="e">
        <f ca="1">IF(_xll.ciqfunctions.udf.CIQ($A32, "IQ_TOTAL_REV_5YR_ANN_CAGR", IQ_LTM, $B$1,$L$4, $L$3, $L$5, $L$6)="NM","n/a",(_xll.ciqfunctions.udf.CIQ($A32, "IQ_TOTAL_REV_5YR_ANN_CAGR", IQ_LTM, $B$1,$L$4, $L$3, $L$5, $L$6)/100))</f>
        <v>#NAME?</v>
      </c>
      <c r="BO32" s="67" t="e">
        <f ca="1">IF(_xll.ciqfunctions.udf.CIQ($A32,"IQ_EBITDA_2YR_ANN_CAGR", IQ_LTM,$B$1,$L$4, $L$3, $L$5, $L$6)="NM","n/a",(_xll.ciqfunctions.udf.CIQ($A32,"IQ_EBITDA_2YR_ANN_CAGR", IQ_LTM,$B$1,$L$4, $L$3, $L$5, $L$6)/100))</f>
        <v>#NAME?</v>
      </c>
      <c r="BP32" s="67" t="e">
        <f ca="1">IF(_xll.ciqfunctions.udf.CIQ($A32,"IQ_EBITDA_3YR_ANN_CAGR", IQ_LTM,$B$1,$L$4, $L$3, $L$5, $L$6)="NM","n/a",(_xll.ciqfunctions.udf.CIQ($A32,"IQ_EBITDA_3YR_ANN_CAGR", IQ_LTM,$B$1,$L$4, $L$3, $L$5, $L$6)/100))</f>
        <v>#NAME?</v>
      </c>
      <c r="BQ32" s="67" t="e">
        <f ca="1">IF(_xll.ciqfunctions.udf.CIQ($A32,"IQ_EBITDA_5YR_ANN_CAGR", IQ_LTM,$B$1,$L$4, $L$3, $L$5, $L$6)="NM","n/a",(_xll.ciqfunctions.udf.CIQ($A32,"IQ_EBITDA_5YR_ANN_CAGR", IQ_LTM,$B$1,$L$4, $L$3, $L$5, $L$6)/100))</f>
        <v>#NAME?</v>
      </c>
      <c r="BR32" s="69" t="str">
        <f ca="1">IFERROR((_xll.ciqfunctions.udf.CIQ($A32, "IQ_DA_CF", IQ_LTM, $B$1, $L$4, $L$3, $L$5, $L$6)/Q32),"NM")</f>
        <v>NM</v>
      </c>
      <c r="BS32" s="86">
        <f>'Capital IQ Sheet-GPC'!BS31</f>
        <v>0.86469838218025463</v>
      </c>
      <c r="BT32" s="86">
        <f>'Capital IQ Sheet-GPC'!BT31</f>
        <v>0.88336531692825482</v>
      </c>
      <c r="BU32" s="86">
        <f>'Capital IQ Sheet-GPC'!BU31</f>
        <v>0.92725005077133138</v>
      </c>
      <c r="BV32" s="86">
        <f>'Capital IQ Sheet-GPC'!BV31</f>
        <v>0.91248999315047907</v>
      </c>
      <c r="BW32" s="86">
        <f>'Capital IQ Sheet-GPC'!BW31</f>
        <v>0.88871910618520333</v>
      </c>
      <c r="BX32" s="86">
        <f>'Capital IQ Sheet-GPC'!BX31</f>
        <v>0.8529122500226376</v>
      </c>
      <c r="BY32" s="86">
        <f>'Capital IQ Sheet-GPC'!BY31</f>
        <v>0.99384144123167484</v>
      </c>
      <c r="BZ32" s="86">
        <f>'Capital IQ Sheet-GPC'!BZ31</f>
        <v>0.97429795321752155</v>
      </c>
      <c r="CB32" s="67">
        <v>2</v>
      </c>
      <c r="CC32" s="123" t="s">
        <v>295</v>
      </c>
      <c r="CD32" s="123" t="s">
        <v>294</v>
      </c>
      <c r="CE32" s="68">
        <f t="shared" si="1"/>
        <v>42766</v>
      </c>
    </row>
    <row r="33" spans="1:83" s="67" customFormat="1" ht="12.75">
      <c r="A33" s="67" t="e">
        <f ca="1">_xll.ciqfunctions.udf.CIQ($B33,"IQ_COMPANY_TICKER")</f>
        <v>#NAME?</v>
      </c>
      <c r="B33" s="67" t="str">
        <f>'Capital IQ Sheet-GPC'!B32</f>
        <v>(Invalid Identifier)</v>
      </c>
      <c r="C33" s="67" t="e">
        <f ca="1">_xll.ciqfunctions.udf.CIQ($A33,"IQ_COMPANY_NAME")</f>
        <v>#NAME?</v>
      </c>
      <c r="D33" s="67" t="e">
        <f ca="1">_xll.ciqfunctions.udf.CIQ($A33, "IQ_EXCHANGE")</f>
        <v>#NAME?</v>
      </c>
      <c r="E33" s="68" t="e">
        <f ca="1">_xll.ciqfunctions.udf.CIQ($A33, "IQ_PERIODDATE_IS", IQ_FY)</f>
        <v>#NAME?</v>
      </c>
      <c r="F33" s="68" t="e">
        <f ca="1">_xll.ciqfunctions.udf.CIQ(A33, "IQ_PERIODDATE_IS", IQ_LTM, $B$1,$L$4,$L$3)</f>
        <v>#NAME?</v>
      </c>
      <c r="G33" s="68" t="e">
        <f ca="1">_xll.ciqfunctions.udf.CIQ($A33, "IQ_FIRSTPRICINGDATE")</f>
        <v>#NAME?</v>
      </c>
      <c r="H33" s="84" t="e">
        <f ca="1">_xll.ciqfunctions.udf.CIQ($A33, "IQ_TEV", $L$2, $L$5, $L$6)</f>
        <v>#NAME?</v>
      </c>
      <c r="I33" s="84" t="e">
        <f ca="1">_xll.ciqfunctions.udf.CIQ(A33, "IQ_LASTSALEPRICE", $B$1,$L$5)</f>
        <v>#NAME?</v>
      </c>
      <c r="J33" s="84" t="e">
        <f ca="1">_xll.ciqfunctions.udf.CIQ($A33, "IQ_MARKETCAP", $L$2, $L$5, $L$6)</f>
        <v>#NAME?</v>
      </c>
      <c r="K33" s="84" t="e">
        <f ca="1">_xll.ciqfunctions.udf.CIQ($A33, "IQ_TOTAL_DEBT", IQ_LTM, $L$2,$L$4, $L$3, $L$5, $L$6)</f>
        <v>#NAME?</v>
      </c>
      <c r="L33" s="84" t="e">
        <f ca="1">_xll.ciqfunctions.udf.CIQ($A33, "IQ_PREF_EQUITY", IQ_LTM, $L$2, $L$4, $L$3, $L$5, $L$6)</f>
        <v>#NAME?</v>
      </c>
      <c r="M33" s="84" t="e">
        <f ca="1">_xll.ciqfunctions.udf.CIQ($A33, "IQ_MINORITY_INTEREST_TOTAL", IQ_LTM, $L$2, $L$4, $L$3, $L$5, $L$6)</f>
        <v>#NAME?</v>
      </c>
      <c r="N33" s="84" t="e">
        <f ca="1">_xll.ciqfunctions.udf.CIQ($A33, "IQ_CASH_ST_INVEST", IQ_LTM, $L$2, $L$4, $L$3, $L$5, $L$6)</f>
        <v>#NAME?</v>
      </c>
      <c r="O33" s="84" t="e">
        <f ca="1">_xll.ciqfunctions.udf.CIQ($A33, "IQ_TOTAL_REV", IQ_LTM-8, $L$2, $L$4, $L$3, $L$5, $L$6)</f>
        <v>#NAME?</v>
      </c>
      <c r="P33" s="84" t="e">
        <f ca="1">_xll.ciqfunctions.udf.CIQ($A33, "IQ_TOTAL_REV", IQ_LTM - 4, $L$2, $L$4, $L$3, $L$5,$L$6)</f>
        <v>#NAME?</v>
      </c>
      <c r="Q33" s="84" t="e">
        <f ca="1">_xll.ciqfunctions.udf.CIQ($A33, "IQ_TOTAL_REV", IQ_LTM, $L$2, $L$4, $L$3, $L$5, $L$6)</f>
        <v>#NAME?</v>
      </c>
      <c r="R33" s="84" t="e">
        <f ca="1">_xll.ciqfunctions.udf.CIQ($A33, "IQ_TOTAL_REV", $B$2, $L$2, $L$4, $L$3, $L$5, $L$6)</f>
        <v>#NAME?</v>
      </c>
      <c r="S33" s="84" t="e">
        <f ca="1">IF(_xll.ciqfunctions.udf.CIQ($A33, "IQ_TOTAL_REV", $B$3, $L$2,$L$4, $L$3, $L$5, $L$6)=0,Q33,_xll.ciqfunctions.udf.CIQ($A33, "IQ_TOTAL_REV", $B$3, $L$2,$L$4, $L$3, $L$5, $L$6))</f>
        <v>#NAME?</v>
      </c>
      <c r="T33" s="84" t="e">
        <f ca="1">IF(_xll.ciqfunctions.udf.CIQ($A33, "IQ_REVENUE_EST",$B$4, $L$2, "CON", $L$3, $L$5, $L$6)=0,"n/a",_xll.ciqfunctions.udf.CIQ($A33, "IQ_REVENUE_EST",$B$4, $L$2, "CON", $L$3, $L$5, $L$6))</f>
        <v>#NAME?</v>
      </c>
      <c r="U33" s="84" t="e">
        <f ca="1">IF(_xll.ciqfunctions.udf.CIQ($A33, "IQ_REVENUE_EST",$B$5, $L$2, "CON", $L$3, $L$5, $L$6)=0,"n/a",_xll.ciqfunctions.udf.CIQ($A33, "IQ_REVENUE_EST",$B$5, $L$2, "CON", $L$3, $L$5, $L$6))</f>
        <v>#NAME?</v>
      </c>
      <c r="V33" s="84" t="e">
        <f ca="1">IF(_xll.ciqfunctions.udf.CIQ($A33, "IQ_REVENUE_EST",$B$6, $L$2, "CON", $L$3, $L$5, $L$6)=0,"n/a",_xll.ciqfunctions.udf.CIQ($A33, "IQ_REVENUE_EST",$B$6, $L$2, "CON", $L$3, $L$5, $L$6))</f>
        <v>#NAME?</v>
      </c>
      <c r="W33" s="84" t="e">
        <f ca="1">IF(_xll.ciqfunctions.udf.CIQ($A33, "IQ_REVENUE_EST", $B$7, $L$2, "CON", $L$3, $L$5, $L$6)=0,"n/a",_xll.ciqfunctions.udf.CIQ($A33, "IQ_REVENUE_EST",$B$7, $L$2, "CON", $L$3, $L$5, $L$6))</f>
        <v>#NAME?</v>
      </c>
      <c r="X33" s="84" t="e">
        <f ca="1">_xll.ciqfunctions.udf.CIQ($A33, "IQ_EBITDA", IQ_LTM-8, $L$2, $L$4, $L$3, $L$5, $L$6)</f>
        <v>#NAME?</v>
      </c>
      <c r="Y33" s="84" t="e">
        <f ca="1">_xll.ciqfunctions.udf.CIQ($A33, "IQ_EBITDA", IQ_LTM-4, $L$2,$L$4, $L$3, $L$5, $L$6)</f>
        <v>#NAME?</v>
      </c>
      <c r="Z33" s="84" t="e">
        <f ca="1">_xll.ciqfunctions.udf.CIQ($A33, "IQ_EBITDA", IQ_LTM, $L$2, $L$4, $L$3, $L$5, $L$6)</f>
        <v>#NAME?</v>
      </c>
      <c r="AA33" s="84" t="e">
        <f ca="1">_xll.ciqfunctions.udf.CIQ($A33, "IQ_EBITDA", $B$2, $L$2, $L$4, $L$3, $L$5, $L$6)</f>
        <v>#NAME?</v>
      </c>
      <c r="AB33" s="84" t="e">
        <f ca="1">IF(_xll.ciqfunctions.udf.CIQ($A33, "IQ_EBITDA", $B$3, $L$2,$L$4, $L$3, $L$5, $L$6)=0,Z33,_xll.ciqfunctions.udf.CIQ($A33, "IQ_EBITDA", $B$3, $L$2,$L$4, $L$3, $L$5, $L$6))</f>
        <v>#NAME?</v>
      </c>
      <c r="AC33" s="84" t="e">
        <f ca="1">IF(_xll.ciqfunctions.udf.CIQ($A33, "IQ_EBITDA_EST",$B$4, $L$2, "CON", $L$3, $L$5, $L$6)=0,"n/a",_xll.ciqfunctions.udf.CIQ($A33, "IQ_EBITDA_EST",$B$4, $L$2, "CON", $L$3, $L$5, $L$6))</f>
        <v>#NAME?</v>
      </c>
      <c r="AD33" s="84" t="e">
        <f ca="1">IF(_xll.ciqfunctions.udf.CIQ($A33, "IQ_EBITDA_EST",$B$5, $L$2, "CON", $L$3, $L$5, $L$6)=0,"n/a",_xll.ciqfunctions.udf.CIQ($A33, "IQ_EBITDA_EST",$B$5, $L$2, "CON", $L$3, $L$5, $L$6))</f>
        <v>#NAME?</v>
      </c>
      <c r="AE33" s="84" t="e">
        <f ca="1">IF(_xll.ciqfunctions.udf.CIQ($A33, "IQ_EBITDA_EST",$B$6, $L$2, "CON", $L$3, $L$5, $L$6)=0,"n/a",_xll.ciqfunctions.udf.CIQ($A33, "IQ_EBITDA_EST",$B$6, $L$2, "CON", $L$3, $L$5, $L$6))</f>
        <v>#NAME?</v>
      </c>
      <c r="AF33" s="69" t="str">
        <f ca="1">IF(ISERROR(_xll.ciqfunctions.udf.CIQ($A33, "IQ_GROSS_MARGIN", IQ_LTM, $L$2,$L$4, $L$3, $L$5, $L$6)/100), "n/a", _xll.ciqfunctions.udf.CIQ($A33,  "IQ_GROSS_MARGIN", IQ_LTM, $L$2, $L$4, $L$3, $L$5, $L$6)/100)</f>
        <v>n/a</v>
      </c>
      <c r="AG33" s="69" t="str">
        <f ca="1">IF(ISERROR(_xll.ciqfunctions.udf.CIQ($A33,"IQ_EBITDA_MARGIN", IQ_LTM, $L$2, $L$4, $L$3, $L$5, $L$6)/100), "n/a", _xll.ciqfunctions.udf.CIQ($A33, "IQ_EBITDA_MARGIN", IQ_LTM, $L$2, $L$4, $L$3, $L$5, $L$6)/100)</f>
        <v>n/a</v>
      </c>
      <c r="AH33" s="69" t="str">
        <f ca="1">IF(ISERROR(_xll.ciqfunctions.udf.CIQ($A33,"IQ_EBIT_MARGIN", IQ_LTM, $L$2, $L$4, $L$3, $L$5, $L$6)/100), "n/a", _xll.ciqfunctions.udf.CIQ($A33, "IQ_EBIT_MARGIN", IQ_LTM, $L$2, $L$4, $L$3, $L$5, $L$6)/100)</f>
        <v>n/a</v>
      </c>
      <c r="AI33" s="69" t="str">
        <f ca="1">IF(ISERROR(_xll.ciqfunctions.udf.CIQ($A33,"IQ_NI_MARGIN", IQ_LTM, $L$2, $L$4, $L$3, $L$5, $L$6)/100), "n/a", _xll.ciqfunctions.udf.CIQ($A33, "IQ_NI_MARGIN", IQ_LTM, $L$2, $L$4, $L$3, $L$5, $L$6)/100)</f>
        <v>n/a</v>
      </c>
      <c r="AJ33" s="84" t="str">
        <f ca="1">IF(ISERROR(_xll.ciqfunctions.udf.CIQ($A33, "IQ_NET_WORKING_CAP", IQ_LTM-8, $L$2, $L$4, $L$3, $L$5, $L$6)), "n/a", _xll.ciqfunctions.udf.CIQ($A33, "IQ_NET_WORKING_CAP", IQ_LTM-8, $L$2, $L$4, $L$3, $L$5, $L$6))</f>
        <v>n/a</v>
      </c>
      <c r="AK33" s="84" t="str">
        <f ca="1">IF(ISERROR(_xll.ciqfunctions.udf.CIQ($A33, "IQ_NET_WORKING_CAP", IQ_LTM-4, $L$2, $L$4, $L$3, $L$5, $L$6)), "n/a", _xll.ciqfunctions.udf.CIQ($A33, "IQ_NET_WORKING_CAP", IQ_LTM-4, $L$2, $L$4, $L$3, $L$5, $L$6))</f>
        <v>n/a</v>
      </c>
      <c r="AL33" s="84" t="str">
        <f ca="1">IF(ISERROR(_xll.ciqfunctions.udf.CIQ($A33, "IQ_NET_WORKING_CAP", IQ_LTM, $L$2,$L$4, $L$3, $L$5, $L$6)), "n/a", _xll.ciqfunctions.udf.CIQ($A33, "IQ_NET_WORKING_CAP", IQ_LTM, $L$2, $L$4, $L$3, $L$5, $L$6))</f>
        <v>n/a</v>
      </c>
      <c r="AM33" s="84" t="str">
        <f ca="1">IF(ISERROR(_xll.ciqfunctions.udf.CIQ($A33, "IQ_Capex", IQ_LTM-8, $L$2,$L$4, $L$3, $L$5, $L$6)), "n/a", _xll.ciqfunctions.udf.CIQ($A33, "IQ_Capex", IQ_LTM-8, $L$2, $L$4, $L$3, $L$5, $L$6))</f>
        <v>n/a</v>
      </c>
      <c r="AN33" s="84" t="str">
        <f ca="1">IF(ISERROR(_xll.ciqfunctions.udf.CIQ($A33, "IQ_Capex", IQ_LTM-4, $L$2,$L$4, $L$3, $L$5, $L$6)), "n/a", _xll.ciqfunctions.udf.CIQ($A33, "IQ_Capex", IQ_LTM-4, $L$2,$L$4, $L$3, $L$5, $L$6))</f>
        <v>n/a</v>
      </c>
      <c r="AO33" s="84" t="str">
        <f ca="1">IF(ISERROR(_xll.ciqfunctions.udf.CIQ($A33, "IQ_Capex", IQ_LTM, $L$2, $L$4, $L$3, $L$5, $L$6)), "n/a", _xll.ciqfunctions.udf.CIQ($A33, "IQ_Capex", IQ_LTM, $L$2, $L$4, $L$3, $L$5, $L$6))</f>
        <v>n/a</v>
      </c>
      <c r="AP33" s="66" t="e">
        <f ca="1">_xll.ciqfunctions.udf.CIQ(A33, "IQ_BUSINESS_DESCRIPTION")</f>
        <v>#NAME?</v>
      </c>
      <c r="AQ33" s="85" t="e">
        <f ca="1">_xll.ciqfunctions.udf.CIQ($A33, "IQ_BETA_1YR", $B$1)</f>
        <v>#NAME?</v>
      </c>
      <c r="AR33" s="85" t="e">
        <f ca="1">_xll.ciqfunctions.udf.CIQ($A33, "IQ_BETA_2YR", $B$1)</f>
        <v>#NAME?</v>
      </c>
      <c r="AS33" s="85" t="e">
        <f ca="1">_xll.ciqfunctions.udf.CIQ($A33, "IQ_BETA_5YR", $B$1)</f>
        <v>#NAME?</v>
      </c>
      <c r="AT33" s="69" t="e">
        <f ca="1">_xll.ciqfunctions.udf.CIQ($A33, "IQ_DIVIDEND_YIELD", $B$1)/100</f>
        <v>#NAME?</v>
      </c>
      <c r="AU33" s="84" t="e">
        <f ca="1">_xll.ciqfunctions.udf.CIQ($A33, "IQ_EARNING_CO", IQ_LTM-8, $L$2, $L$4, $L$3, $L$5, $L$6)</f>
        <v>#NAME?</v>
      </c>
      <c r="AV33" s="84" t="e">
        <f ca="1">_xll.ciqfunctions.udf.CIQ($A33, "IQ_EARNING_CO", IQ_LTM-4, $L$2, $L$4, $L$3, $L$5, $L$6)</f>
        <v>#NAME?</v>
      </c>
      <c r="AW33" s="84" t="e">
        <f ca="1">_xll.ciqfunctions.udf.CIQ($A33, "IQ_EARNING_CO", IQ_LTM, $L$2, $L$4, $L$3, $L$5, $L$6)</f>
        <v>#NAME?</v>
      </c>
      <c r="AX33" s="84" t="e">
        <f ca="1">_xll.ciqfunctions.udf.CIQ($A33, "IQ_EARNING_CO", $B$2, $L$2, $L$4, $L$3, $L$5, $L$6)</f>
        <v>#NAME?</v>
      </c>
      <c r="AY33" s="84" t="e">
        <f ca="1">IF(_xll.ciqfunctions.udf.CIQ($A33, "IQ_EARNING_CO", $B$3, $L$2,$L$4, $L$3, $L$5, $L$6)=0,AW33,_xll.ciqfunctions.udf.CIQ($A33, "IQ_EARNING_CO", $B$3, $L$2,$L$4, $L$3, $L$5, $L$6))</f>
        <v>#NAME?</v>
      </c>
      <c r="AZ33" s="84" t="e">
        <f ca="1">_xll.ciqfunctions.udf.CIQ($A33, "IQ_TOTAL_EQUITY", IQ_LTM-8, $L$2, $L$4, $L$3, $L$5, $L$6)</f>
        <v>#NAME?</v>
      </c>
      <c r="BA33" s="84" t="e">
        <f ca="1">_xll.ciqfunctions.udf.CIQ($A33, "IQ_TOTAL_EQUITY", IQ_LTM-4, $L$2, $L$4, $L$3, $L$5, $L$6)</f>
        <v>#NAME?</v>
      </c>
      <c r="BB33" s="84" t="e">
        <f ca="1">_xll.ciqfunctions.udf.CIQ($A33, "IQ_TOTAL_EQUITY", IQ_LTM, $L$2, $L$4, $L$3, $L$5, $L$6)</f>
        <v>#NAME?</v>
      </c>
      <c r="BC33" s="84" t="e">
        <f ca="1">_xll.ciqfunctions.udf.CIQ($A33, "IQ_TOTAL_EQUITY", $B$2, $L$2, $L$4, $L$3, $L$5, $L$6)</f>
        <v>#NAME?</v>
      </c>
      <c r="BD33" s="84" t="e">
        <f ca="1">IF(_xll.ciqfunctions.udf.CIQ($A33, "IQ_TOTAL_EQUITY", $B$3, $L$2,$L$4, $L$3, $L$5, $L$6)=0,BB33,_xll.ciqfunctions.udf.CIQ($A33, "IQ_TOTAL_EQUITY", $B$3, $L$2,$L$4, $L$3, $L$5, $L$6))</f>
        <v>#NAME?</v>
      </c>
      <c r="BE33" s="84" t="e">
        <f ca="1">_xll.ciqfunctions.udf.CIQ(A33, "IQ_LASTSALEPRICE", $B$8)</f>
        <v>#NAME?</v>
      </c>
      <c r="BF33" s="84" t="e">
        <f ca="1">_xll.ciqfunctions.udf.CIQ($A33, "IQ_MARKETCAP", $B$8, $L$5, $L$6)</f>
        <v>#NAME?</v>
      </c>
      <c r="BG33" s="84" t="e">
        <f ca="1">_xll.ciqfunctions.udf.CIQ($A33, "IQ_TOTAL_DEBT", IQ_LTM, $B$8,$L$4, $L$3, $L$5, $L$6)</f>
        <v>#NAME?</v>
      </c>
      <c r="BH33" s="67" t="e">
        <f ca="1">_xll.ciqfunctions.udf.CIQ($A33,"IQ_PREF_EQUITY",IQ_LTM,$B$8,$L$4,$L$3,$L$5,$L$6)</f>
        <v>#NAME?</v>
      </c>
      <c r="BI33" s="67" t="e">
        <f ca="1">_xll.ciqfunctions.udf.CIQ($A33, "IQ_MINORITY_INTEREST_TOTAL", IQ_LTM,$B$8,$L$4,$L$3,$L$5,$L$6)</f>
        <v>#NAME?</v>
      </c>
      <c r="BJ33" s="84" t="e">
        <f ca="1">_xll.ciqfunctions.udf.CIQ($A33, "IQ_CASH_ST_INVEST", IQ_LTM, $B$8, $L$4, $L$3, $L$5, $L$6)</f>
        <v>#NAME?</v>
      </c>
      <c r="BK33" s="67" t="e">
        <f ca="1">_xll.ciqfunctions.udf.CIQ($A33, "IQ_EFFECT_TAX_RATE")</f>
        <v>#NAME?</v>
      </c>
      <c r="BL33" s="67" t="e">
        <f ca="1">IF(_xll.ciqfunctions.udf.CIQ($A33, "IQ_TOTAL_REV_2YR_ANN_CAGR", IQ_LTM, $B$1,$L$4, $L$3, $L$5, $L$6)="NM","n/a",(_xll.ciqfunctions.udf.CIQ($A33, "IQ_TOTAL_REV_2YR_ANN_CAGR", IQ_LTM, $B$1,$L$4, $L$3, $L$5, $L$6)/100))</f>
        <v>#NAME?</v>
      </c>
      <c r="BM33" s="67" t="e">
        <f ca="1">IF(_xll.ciqfunctions.udf.CIQ($A33, "IQ_TOTAL_REV_3YR_ANN_CAGR", IQ_LTM, $B$1,$L$4, $L$3, $L$5, $L$6)="NM","n/a",(_xll.ciqfunctions.udf.CIQ($A33, "IQ_TOTAL_REV_3YR_ANN_CAGR", IQ_LTM, $B$1,$L$4, $L$3, $L$5, $L$6)/100))</f>
        <v>#NAME?</v>
      </c>
      <c r="BN33" s="67" t="e">
        <f ca="1">IF(_xll.ciqfunctions.udf.CIQ($A33, "IQ_TOTAL_REV_5YR_ANN_CAGR", IQ_LTM, $B$1,$L$4, $L$3, $L$5, $L$6)="NM","n/a",(_xll.ciqfunctions.udf.CIQ($A33, "IQ_TOTAL_REV_5YR_ANN_CAGR", IQ_LTM, $B$1,$L$4, $L$3, $L$5, $L$6)/100))</f>
        <v>#NAME?</v>
      </c>
      <c r="BO33" s="67" t="e">
        <f ca="1">IF(_xll.ciqfunctions.udf.CIQ($A33,"IQ_EBITDA_2YR_ANN_CAGR", IQ_LTM,$B$1,$L$4, $L$3, $L$5, $L$6)="NM","n/a",(_xll.ciqfunctions.udf.CIQ($A33,"IQ_EBITDA_2YR_ANN_CAGR", IQ_LTM,$B$1,$L$4, $L$3, $L$5, $L$6)/100))</f>
        <v>#NAME?</v>
      </c>
      <c r="BP33" s="67" t="e">
        <f ca="1">IF(_xll.ciqfunctions.udf.CIQ($A33,"IQ_EBITDA_3YR_ANN_CAGR", IQ_LTM,$B$1,$L$4, $L$3, $L$5, $L$6)="NM","n/a",(_xll.ciqfunctions.udf.CIQ($A33,"IQ_EBITDA_3YR_ANN_CAGR", IQ_LTM,$B$1,$L$4, $L$3, $L$5, $L$6)/100))</f>
        <v>#NAME?</v>
      </c>
      <c r="BQ33" s="67" t="e">
        <f ca="1">IF(_xll.ciqfunctions.udf.CIQ($A33,"IQ_EBITDA_5YR_ANN_CAGR", IQ_LTM,$B$1,$L$4, $L$3, $L$5, $L$6)="NM","n/a",(_xll.ciqfunctions.udf.CIQ($A33,"IQ_EBITDA_5YR_ANN_CAGR", IQ_LTM,$B$1,$L$4, $L$3, $L$5, $L$6)/100))</f>
        <v>#NAME?</v>
      </c>
      <c r="BR33" s="69" t="str">
        <f ca="1">IFERROR((_xll.ciqfunctions.udf.CIQ($A33, "IQ_DA_CF", IQ_LTM, $B$1, $L$4, $L$3, $L$5, $L$6)/Q33),"NM")</f>
        <v>NM</v>
      </c>
      <c r="BS33" s="86" t="e">
        <f>'Capital IQ Sheet-GPC'!BS32</f>
        <v>#VALUE!</v>
      </c>
      <c r="BT33" s="86" t="e">
        <f>'Capital IQ Sheet-GPC'!BT32</f>
        <v>#VALUE!</v>
      </c>
      <c r="BU33" s="86" t="e">
        <f>'Capital IQ Sheet-GPC'!BU32</f>
        <v>#VALUE!</v>
      </c>
      <c r="BV33" s="86" t="e">
        <f>'Capital IQ Sheet-GPC'!BV32</f>
        <v>#VALUE!</v>
      </c>
      <c r="BW33" s="86" t="e">
        <f>'Capital IQ Sheet-GPC'!BW32</f>
        <v>#VALUE!</v>
      </c>
      <c r="BX33" s="86" t="e">
        <f>'Capital IQ Sheet-GPC'!BX32</f>
        <v>#VALUE!</v>
      </c>
      <c r="BY33" s="86" t="e">
        <f>'Capital IQ Sheet-GPC'!BY32</f>
        <v>#VALUE!</v>
      </c>
      <c r="BZ33" s="86" t="e">
        <f>'Capital IQ Sheet-GPC'!BZ32</f>
        <v>#VALUE!</v>
      </c>
      <c r="CB33" s="67">
        <v>2</v>
      </c>
      <c r="CC33" s="123" t="s">
        <v>295</v>
      </c>
      <c r="CD33" s="123" t="s">
        <v>294</v>
      </c>
      <c r="CE33" s="68">
        <f t="shared" si="1"/>
        <v>42766</v>
      </c>
    </row>
    <row r="34" spans="1:83" s="67" customFormat="1" ht="12.75">
      <c r="A34" s="67" t="e">
        <f ca="1">_xll.ciqfunctions.udf.CIQ($B34,"IQ_COMPANY_TICKER")</f>
        <v>#NAME?</v>
      </c>
      <c r="B34" s="67" t="str">
        <f>'Capital IQ Sheet-GPC'!B33</f>
        <v>IQ262549448</v>
      </c>
      <c r="C34" s="67" t="e">
        <f ca="1">_xll.ciqfunctions.udf.CIQ($A34,"IQ_COMPANY_NAME")</f>
        <v>#NAME?</v>
      </c>
      <c r="D34" s="67" t="e">
        <f ca="1">_xll.ciqfunctions.udf.CIQ($A34, "IQ_EXCHANGE")</f>
        <v>#NAME?</v>
      </c>
      <c r="E34" s="68" t="e">
        <f ca="1">_xll.ciqfunctions.udf.CIQ($A34, "IQ_PERIODDATE_IS", IQ_FY)</f>
        <v>#NAME?</v>
      </c>
      <c r="F34" s="68" t="e">
        <f ca="1">_xll.ciqfunctions.udf.CIQ(A34, "IQ_PERIODDATE_IS", IQ_LTM, $B$1,$L$4,$L$3)</f>
        <v>#NAME?</v>
      </c>
      <c r="G34" s="68" t="e">
        <f ca="1">_xll.ciqfunctions.udf.CIQ($A34, "IQ_FIRSTPRICINGDATE")</f>
        <v>#NAME?</v>
      </c>
      <c r="H34" s="84" t="e">
        <f ca="1">_xll.ciqfunctions.udf.CIQ($A34, "IQ_TEV", $L$2, $L$5, $L$6)</f>
        <v>#NAME?</v>
      </c>
      <c r="I34" s="84" t="e">
        <f ca="1">_xll.ciqfunctions.udf.CIQ(A34, "IQ_LASTSALEPRICE", $B$1,$L$5)</f>
        <v>#NAME?</v>
      </c>
      <c r="J34" s="84" t="e">
        <f ca="1">_xll.ciqfunctions.udf.CIQ($A34, "IQ_MARKETCAP", $L$2, $L$5, $L$6)</f>
        <v>#NAME?</v>
      </c>
      <c r="K34" s="84" t="e">
        <f ca="1">_xll.ciqfunctions.udf.CIQ($A34, "IQ_TOTAL_DEBT", IQ_LTM, $L$2,$L$4, $L$3, $L$5, $L$6)</f>
        <v>#NAME?</v>
      </c>
      <c r="L34" s="84" t="e">
        <f ca="1">_xll.ciqfunctions.udf.CIQ($A34, "IQ_PREF_EQUITY", IQ_LTM, $L$2, $L$4, $L$3, $L$5, $L$6)</f>
        <v>#NAME?</v>
      </c>
      <c r="M34" s="84" t="e">
        <f ca="1">_xll.ciqfunctions.udf.CIQ($A34, "IQ_MINORITY_INTEREST_TOTAL", IQ_LTM, $L$2, $L$4, $L$3, $L$5, $L$6)</f>
        <v>#NAME?</v>
      </c>
      <c r="N34" s="84" t="e">
        <f ca="1">_xll.ciqfunctions.udf.CIQ($A34, "IQ_CASH_ST_INVEST", IQ_LTM, $L$2, $L$4, $L$3, $L$5, $L$6)</f>
        <v>#NAME?</v>
      </c>
      <c r="O34" s="84" t="e">
        <f ca="1">_xll.ciqfunctions.udf.CIQ($A34, "IQ_TOTAL_REV", IQ_LTM-8, $L$2, $L$4, $L$3, $L$5, $L$6)</f>
        <v>#NAME?</v>
      </c>
      <c r="P34" s="84" t="e">
        <f ca="1">_xll.ciqfunctions.udf.CIQ($A34, "IQ_TOTAL_REV", IQ_LTM - 4, $L$2, $L$4, $L$3, $L$5,$L$6)</f>
        <v>#NAME?</v>
      </c>
      <c r="Q34" s="84" t="e">
        <f ca="1">_xll.ciqfunctions.udf.CIQ($A34, "IQ_TOTAL_REV", IQ_LTM, $L$2, $L$4, $L$3, $L$5, $L$6)</f>
        <v>#NAME?</v>
      </c>
      <c r="R34" s="84" t="e">
        <f ca="1">_xll.ciqfunctions.udf.CIQ($A34, "IQ_TOTAL_REV", $B$2, $L$2, $L$4, $L$3, $L$5, $L$6)</f>
        <v>#NAME?</v>
      </c>
      <c r="S34" s="84" t="e">
        <f ca="1">IF(_xll.ciqfunctions.udf.CIQ($A34, "IQ_TOTAL_REV", $B$3, $L$2,$L$4, $L$3, $L$5, $L$6)=0,Q34,_xll.ciqfunctions.udf.CIQ($A34, "IQ_TOTAL_REV", $B$3, $L$2,$L$4, $L$3, $L$5, $L$6))</f>
        <v>#NAME?</v>
      </c>
      <c r="T34" s="84" t="e">
        <f ca="1">IF(_xll.ciqfunctions.udf.CIQ($A34, "IQ_REVENUE_EST",$B$4, $L$2, "CON", $L$3, $L$5, $L$6)=0,"n/a",_xll.ciqfunctions.udf.CIQ($A34, "IQ_REVENUE_EST",$B$4, $L$2, "CON", $L$3, $L$5, $L$6))</f>
        <v>#NAME?</v>
      </c>
      <c r="U34" s="84" t="e">
        <f ca="1">IF(_xll.ciqfunctions.udf.CIQ($A34, "IQ_REVENUE_EST",$B$5, $L$2, "CON", $L$3, $L$5, $L$6)=0,"n/a",_xll.ciqfunctions.udf.CIQ($A34, "IQ_REVENUE_EST",$B$5, $L$2, "CON", $L$3, $L$5, $L$6))</f>
        <v>#NAME?</v>
      </c>
      <c r="V34" s="84" t="e">
        <f ca="1">IF(_xll.ciqfunctions.udf.CIQ($A34, "IQ_REVENUE_EST",$B$6, $L$2, "CON", $L$3, $L$5, $L$6)=0,"n/a",_xll.ciqfunctions.udf.CIQ($A34, "IQ_REVENUE_EST",$B$6, $L$2, "CON", $L$3, $L$5, $L$6))</f>
        <v>#NAME?</v>
      </c>
      <c r="W34" s="84" t="e">
        <f ca="1">IF(_xll.ciqfunctions.udf.CIQ($A34, "IQ_REVENUE_EST", $B$7, $L$2, "CON", $L$3, $L$5, $L$6)=0,"n/a",_xll.ciqfunctions.udf.CIQ($A34, "IQ_REVENUE_EST",$B$7, $L$2, "CON", $L$3, $L$5, $L$6))</f>
        <v>#NAME?</v>
      </c>
      <c r="X34" s="84" t="e">
        <f ca="1">_xll.ciqfunctions.udf.CIQ($A34, "IQ_EBITDA", IQ_LTM-8, $L$2, $L$4, $L$3, $L$5, $L$6)</f>
        <v>#NAME?</v>
      </c>
      <c r="Y34" s="84" t="e">
        <f ca="1">_xll.ciqfunctions.udf.CIQ($A34, "IQ_EBITDA", IQ_LTM-4, $L$2,$L$4, $L$3, $L$5, $L$6)</f>
        <v>#NAME?</v>
      </c>
      <c r="Z34" s="84" t="e">
        <f ca="1">_xll.ciqfunctions.udf.CIQ($A34, "IQ_EBITDA", IQ_LTM, $L$2, $L$4, $L$3, $L$5, $L$6)</f>
        <v>#NAME?</v>
      </c>
      <c r="AA34" s="84" t="e">
        <f ca="1">_xll.ciqfunctions.udf.CIQ($A34, "IQ_EBITDA", $B$2, $L$2, $L$4, $L$3, $L$5, $L$6)</f>
        <v>#NAME?</v>
      </c>
      <c r="AB34" s="84" t="e">
        <f ca="1">IF(_xll.ciqfunctions.udf.CIQ($A34, "IQ_EBITDA", $B$3, $L$2,$L$4, $L$3, $L$5, $L$6)=0,Z34,_xll.ciqfunctions.udf.CIQ($A34, "IQ_EBITDA", $B$3, $L$2,$L$4, $L$3, $L$5, $L$6))</f>
        <v>#NAME?</v>
      </c>
      <c r="AC34" s="84" t="e">
        <f ca="1">IF(_xll.ciqfunctions.udf.CIQ($A34, "IQ_EBITDA_EST",$B$4, $L$2, "CON", $L$3, $L$5, $L$6)=0,"n/a",_xll.ciqfunctions.udf.CIQ($A34, "IQ_EBITDA_EST",$B$4, $L$2, "CON", $L$3, $L$5, $L$6))</f>
        <v>#NAME?</v>
      </c>
      <c r="AD34" s="84" t="e">
        <f ca="1">IF(_xll.ciqfunctions.udf.CIQ($A34, "IQ_EBITDA_EST",$B$5, $L$2, "CON", $L$3, $L$5, $L$6)=0,"n/a",_xll.ciqfunctions.udf.CIQ($A34, "IQ_EBITDA_EST",$B$5, $L$2, "CON", $L$3, $L$5, $L$6))</f>
        <v>#NAME?</v>
      </c>
      <c r="AE34" s="84" t="e">
        <f ca="1">IF(_xll.ciqfunctions.udf.CIQ($A34, "IQ_EBITDA_EST",$B$6, $L$2, "CON", $L$3, $L$5, $L$6)=0,"n/a",_xll.ciqfunctions.udf.CIQ($A34, "IQ_EBITDA_EST",$B$6, $L$2, "CON", $L$3, $L$5, $L$6))</f>
        <v>#NAME?</v>
      </c>
      <c r="AF34" s="69" t="str">
        <f ca="1">IF(ISERROR(_xll.ciqfunctions.udf.CIQ($A34, "IQ_GROSS_MARGIN", IQ_LTM, $L$2,$L$4, $L$3, $L$5, $L$6)/100), "n/a", _xll.ciqfunctions.udf.CIQ($A34,  "IQ_GROSS_MARGIN", IQ_LTM, $L$2, $L$4, $L$3, $L$5, $L$6)/100)</f>
        <v>n/a</v>
      </c>
      <c r="AG34" s="69" t="str">
        <f ca="1">IF(ISERROR(_xll.ciqfunctions.udf.CIQ($A34,"IQ_EBITDA_MARGIN", IQ_LTM, $L$2, $L$4, $L$3, $L$5, $L$6)/100), "n/a", _xll.ciqfunctions.udf.CIQ($A34, "IQ_EBITDA_MARGIN", IQ_LTM, $L$2, $L$4, $L$3, $L$5, $L$6)/100)</f>
        <v>n/a</v>
      </c>
      <c r="AH34" s="69" t="str">
        <f ca="1">IF(ISERROR(_xll.ciqfunctions.udf.CIQ($A34,"IQ_EBIT_MARGIN", IQ_LTM, $L$2, $L$4, $L$3, $L$5, $L$6)/100), "n/a", _xll.ciqfunctions.udf.CIQ($A34, "IQ_EBIT_MARGIN", IQ_LTM, $L$2, $L$4, $L$3, $L$5, $L$6)/100)</f>
        <v>n/a</v>
      </c>
      <c r="AI34" s="69" t="str">
        <f ca="1">IF(ISERROR(_xll.ciqfunctions.udf.CIQ($A34,"IQ_NI_MARGIN", IQ_LTM, $L$2, $L$4, $L$3, $L$5, $L$6)/100), "n/a", _xll.ciqfunctions.udf.CIQ($A34, "IQ_NI_MARGIN", IQ_LTM, $L$2, $L$4, $L$3, $L$5, $L$6)/100)</f>
        <v>n/a</v>
      </c>
      <c r="AJ34" s="84" t="str">
        <f ca="1">IF(ISERROR(_xll.ciqfunctions.udf.CIQ($A34, "IQ_NET_WORKING_CAP", IQ_LTM-8, $L$2, $L$4, $L$3, $L$5, $L$6)), "n/a", _xll.ciqfunctions.udf.CIQ($A34, "IQ_NET_WORKING_CAP", IQ_LTM-8, $L$2, $L$4, $L$3, $L$5, $L$6))</f>
        <v>n/a</v>
      </c>
      <c r="AK34" s="84" t="str">
        <f ca="1">IF(ISERROR(_xll.ciqfunctions.udf.CIQ($A34, "IQ_NET_WORKING_CAP", IQ_LTM-4, $L$2, $L$4, $L$3, $L$5, $L$6)), "n/a", _xll.ciqfunctions.udf.CIQ($A34, "IQ_NET_WORKING_CAP", IQ_LTM-4, $L$2, $L$4, $L$3, $L$5, $L$6))</f>
        <v>n/a</v>
      </c>
      <c r="AL34" s="84" t="str">
        <f ca="1">IF(ISERROR(_xll.ciqfunctions.udf.CIQ($A34, "IQ_NET_WORKING_CAP", IQ_LTM, $L$2,$L$4, $L$3, $L$5, $L$6)), "n/a", _xll.ciqfunctions.udf.CIQ($A34, "IQ_NET_WORKING_CAP", IQ_LTM, $L$2, $L$4, $L$3, $L$5, $L$6))</f>
        <v>n/a</v>
      </c>
      <c r="AM34" s="84" t="str">
        <f ca="1">IF(ISERROR(_xll.ciqfunctions.udf.CIQ($A34, "IQ_Capex", IQ_LTM-8, $L$2,$L$4, $L$3, $L$5, $L$6)), "n/a", _xll.ciqfunctions.udf.CIQ($A34, "IQ_Capex", IQ_LTM-8, $L$2, $L$4, $L$3, $L$5, $L$6))</f>
        <v>n/a</v>
      </c>
      <c r="AN34" s="84" t="str">
        <f ca="1">IF(ISERROR(_xll.ciqfunctions.udf.CIQ($A34, "IQ_Capex", IQ_LTM-4, $L$2,$L$4, $L$3, $L$5, $L$6)), "n/a", _xll.ciqfunctions.udf.CIQ($A34, "IQ_Capex", IQ_LTM-4, $L$2,$L$4, $L$3, $L$5, $L$6))</f>
        <v>n/a</v>
      </c>
      <c r="AO34" s="84" t="str">
        <f ca="1">IF(ISERROR(_xll.ciqfunctions.udf.CIQ($A34, "IQ_Capex", IQ_LTM, $L$2, $L$4, $L$3, $L$5, $L$6)), "n/a", _xll.ciqfunctions.udf.CIQ($A34, "IQ_Capex", IQ_LTM, $L$2, $L$4, $L$3, $L$5, $L$6))</f>
        <v>n/a</v>
      </c>
      <c r="AP34" s="66" t="e">
        <f ca="1">_xll.ciqfunctions.udf.CIQ(A34, "IQ_BUSINESS_DESCRIPTION")</f>
        <v>#NAME?</v>
      </c>
      <c r="AQ34" s="85" t="e">
        <f ca="1">_xll.ciqfunctions.udf.CIQ($A34, "IQ_BETA_1YR", $B$1)</f>
        <v>#NAME?</v>
      </c>
      <c r="AR34" s="85" t="e">
        <f ca="1">_xll.ciqfunctions.udf.CIQ($A34, "IQ_BETA_2YR", $B$1)</f>
        <v>#NAME?</v>
      </c>
      <c r="AS34" s="85" t="e">
        <f ca="1">_xll.ciqfunctions.udf.CIQ($A34, "IQ_BETA_5YR", $B$1)</f>
        <v>#NAME?</v>
      </c>
      <c r="AT34" s="69" t="e">
        <f ca="1">_xll.ciqfunctions.udf.CIQ($A34, "IQ_DIVIDEND_YIELD", $B$1)/100</f>
        <v>#NAME?</v>
      </c>
      <c r="AU34" s="84" t="e">
        <f ca="1">_xll.ciqfunctions.udf.CIQ($A34, "IQ_EARNING_CO", IQ_LTM-8, $L$2, $L$4, $L$3, $L$5, $L$6)</f>
        <v>#NAME?</v>
      </c>
      <c r="AV34" s="84" t="e">
        <f ca="1">_xll.ciqfunctions.udf.CIQ($A34, "IQ_EARNING_CO", IQ_LTM-4, $L$2, $L$4, $L$3, $L$5, $L$6)</f>
        <v>#NAME?</v>
      </c>
      <c r="AW34" s="84" t="e">
        <f ca="1">_xll.ciqfunctions.udf.CIQ($A34, "IQ_EARNING_CO", IQ_LTM, $L$2, $L$4, $L$3, $L$5, $L$6)</f>
        <v>#NAME?</v>
      </c>
      <c r="AX34" s="84" t="e">
        <f ca="1">_xll.ciqfunctions.udf.CIQ($A34, "IQ_EARNING_CO", $B$2, $L$2, $L$4, $L$3, $L$5, $L$6)</f>
        <v>#NAME?</v>
      </c>
      <c r="AY34" s="84" t="e">
        <f ca="1">IF(_xll.ciqfunctions.udf.CIQ($A34, "IQ_EARNING_CO", $B$3, $L$2,$L$4, $L$3, $L$5, $L$6)=0,AW34,_xll.ciqfunctions.udf.CIQ($A34, "IQ_EARNING_CO", $B$3, $L$2,$L$4, $L$3, $L$5, $L$6))</f>
        <v>#NAME?</v>
      </c>
      <c r="AZ34" s="84" t="e">
        <f ca="1">_xll.ciqfunctions.udf.CIQ($A34, "IQ_TOTAL_EQUITY", IQ_LTM-8, $L$2, $L$4, $L$3, $L$5, $L$6)</f>
        <v>#NAME?</v>
      </c>
      <c r="BA34" s="84" t="e">
        <f ca="1">_xll.ciqfunctions.udf.CIQ($A34, "IQ_TOTAL_EQUITY", IQ_LTM-4, $L$2, $L$4, $L$3, $L$5, $L$6)</f>
        <v>#NAME?</v>
      </c>
      <c r="BB34" s="84" t="e">
        <f ca="1">_xll.ciqfunctions.udf.CIQ($A34, "IQ_TOTAL_EQUITY", IQ_LTM, $L$2, $L$4, $L$3, $L$5, $L$6)</f>
        <v>#NAME?</v>
      </c>
      <c r="BC34" s="84" t="e">
        <f ca="1">_xll.ciqfunctions.udf.CIQ($A34, "IQ_TOTAL_EQUITY", $B$2, $L$2, $L$4, $L$3, $L$5, $L$6)</f>
        <v>#NAME?</v>
      </c>
      <c r="BD34" s="84" t="e">
        <f ca="1">IF(_xll.ciqfunctions.udf.CIQ($A34, "IQ_TOTAL_EQUITY", $B$3, $L$2,$L$4, $L$3, $L$5, $L$6)=0,BB34,_xll.ciqfunctions.udf.CIQ($A34, "IQ_TOTAL_EQUITY", $B$3, $L$2,$L$4, $L$3, $L$5, $L$6))</f>
        <v>#NAME?</v>
      </c>
      <c r="BE34" s="84" t="e">
        <f ca="1">_xll.ciqfunctions.udf.CIQ(A34, "IQ_LASTSALEPRICE", $B$8)</f>
        <v>#NAME?</v>
      </c>
      <c r="BF34" s="84" t="e">
        <f ca="1">_xll.ciqfunctions.udf.CIQ($A34, "IQ_MARKETCAP", $B$8, $L$5, $L$6)</f>
        <v>#NAME?</v>
      </c>
      <c r="BG34" s="84" t="e">
        <f ca="1">_xll.ciqfunctions.udf.CIQ($A34, "IQ_TOTAL_DEBT", IQ_LTM, $B$8,$L$4, $L$3, $L$5, $L$6)</f>
        <v>#NAME?</v>
      </c>
      <c r="BH34" s="67" t="e">
        <f ca="1">_xll.ciqfunctions.udf.CIQ($A34,"IQ_PREF_EQUITY",IQ_LTM,$B$8,$L$4,$L$3,$L$5,$L$6)</f>
        <v>#NAME?</v>
      </c>
      <c r="BI34" s="67" t="e">
        <f ca="1">_xll.ciqfunctions.udf.CIQ($A34, "IQ_MINORITY_INTEREST_TOTAL", IQ_LTM,$B$8,$L$4,$L$3,$L$5,$L$6)</f>
        <v>#NAME?</v>
      </c>
      <c r="BJ34" s="84" t="e">
        <f ca="1">_xll.ciqfunctions.udf.CIQ($A34, "IQ_CASH_ST_INVEST", IQ_LTM, $B$8, $L$4, $L$3, $L$5, $L$6)</f>
        <v>#NAME?</v>
      </c>
      <c r="BK34" s="67" t="e">
        <f ca="1">_xll.ciqfunctions.udf.CIQ($A34, "IQ_EFFECT_TAX_RATE")</f>
        <v>#NAME?</v>
      </c>
      <c r="BL34" s="67" t="e">
        <f ca="1">IF(_xll.ciqfunctions.udf.CIQ($A34, "IQ_TOTAL_REV_2YR_ANN_CAGR", IQ_LTM, $B$1,$L$4, $L$3, $L$5, $L$6)="NM","n/a",(_xll.ciqfunctions.udf.CIQ($A34, "IQ_TOTAL_REV_2YR_ANN_CAGR", IQ_LTM, $B$1,$L$4, $L$3, $L$5, $L$6)/100))</f>
        <v>#NAME?</v>
      </c>
      <c r="BM34" s="67" t="e">
        <f ca="1">IF(_xll.ciqfunctions.udf.CIQ($A34, "IQ_TOTAL_REV_3YR_ANN_CAGR", IQ_LTM, $B$1,$L$4, $L$3, $L$5, $L$6)="NM","n/a",(_xll.ciqfunctions.udf.CIQ($A34, "IQ_TOTAL_REV_3YR_ANN_CAGR", IQ_LTM, $B$1,$L$4, $L$3, $L$5, $L$6)/100))</f>
        <v>#NAME?</v>
      </c>
      <c r="BN34" s="67" t="e">
        <f ca="1">IF(_xll.ciqfunctions.udf.CIQ($A34, "IQ_TOTAL_REV_5YR_ANN_CAGR", IQ_LTM, $B$1,$L$4, $L$3, $L$5, $L$6)="NM","n/a",(_xll.ciqfunctions.udf.CIQ($A34, "IQ_TOTAL_REV_5YR_ANN_CAGR", IQ_LTM, $B$1,$L$4, $L$3, $L$5, $L$6)/100))</f>
        <v>#NAME?</v>
      </c>
      <c r="BO34" s="67" t="e">
        <f ca="1">IF(_xll.ciqfunctions.udf.CIQ($A34,"IQ_EBITDA_2YR_ANN_CAGR", IQ_LTM,$B$1,$L$4, $L$3, $L$5, $L$6)="NM","n/a",(_xll.ciqfunctions.udf.CIQ($A34,"IQ_EBITDA_2YR_ANN_CAGR", IQ_LTM,$B$1,$L$4, $L$3, $L$5, $L$6)/100))</f>
        <v>#NAME?</v>
      </c>
      <c r="BP34" s="67" t="e">
        <f ca="1">IF(_xll.ciqfunctions.udf.CIQ($A34,"IQ_EBITDA_3YR_ANN_CAGR", IQ_LTM,$B$1,$L$4, $L$3, $L$5, $L$6)="NM","n/a",(_xll.ciqfunctions.udf.CIQ($A34,"IQ_EBITDA_3YR_ANN_CAGR", IQ_LTM,$B$1,$L$4, $L$3, $L$5, $L$6)/100))</f>
        <v>#NAME?</v>
      </c>
      <c r="BQ34" s="67" t="e">
        <f ca="1">IF(_xll.ciqfunctions.udf.CIQ($A34,"IQ_EBITDA_5YR_ANN_CAGR", IQ_LTM,$B$1,$L$4, $L$3, $L$5, $L$6)="NM","n/a",(_xll.ciqfunctions.udf.CIQ($A34,"IQ_EBITDA_5YR_ANN_CAGR", IQ_LTM,$B$1,$L$4, $L$3, $L$5, $L$6)/100))</f>
        <v>#NAME?</v>
      </c>
      <c r="BR34" s="69" t="str">
        <f ca="1">IFERROR((_xll.ciqfunctions.udf.CIQ($A34, "IQ_DA_CF", IQ_LTM, $B$1, $L$4, $L$3, $L$5, $L$6)/Q34),"NM")</f>
        <v>NM</v>
      </c>
      <c r="BS34" s="86">
        <f>'Capital IQ Sheet-GPC'!BS33</f>
        <v>0.7549114113841694</v>
      </c>
      <c r="BT34" s="86">
        <f>'Capital IQ Sheet-GPC'!BT33</f>
        <v>0.69448805510556844</v>
      </c>
      <c r="BU34" s="86">
        <f>'Capital IQ Sheet-GPC'!BU33</f>
        <v>0.70462779949123155</v>
      </c>
      <c r="BV34" s="86" t="str">
        <f>'Capital IQ Sheet-GPC'!BV33</f>
        <v>n/a</v>
      </c>
      <c r="BW34" s="86" t="str">
        <f>'Capital IQ Sheet-GPC'!BW33</f>
        <v>n/a</v>
      </c>
      <c r="BX34" s="86" t="str">
        <f>'Capital IQ Sheet-GPC'!BX33</f>
        <v>n/a</v>
      </c>
      <c r="BY34" s="86" t="str">
        <f>'Capital IQ Sheet-GPC'!BY33</f>
        <v>n/a</v>
      </c>
      <c r="BZ34" s="86" t="str">
        <f>'Capital IQ Sheet-GPC'!BZ33</f>
        <v>n/a</v>
      </c>
      <c r="CB34" s="67">
        <v>2</v>
      </c>
      <c r="CC34" s="123" t="s">
        <v>295</v>
      </c>
      <c r="CD34" s="123" t="s">
        <v>294</v>
      </c>
      <c r="CE34" s="68">
        <f t="shared" si="1"/>
        <v>42766</v>
      </c>
    </row>
    <row r="35" spans="1:83" s="67" customFormat="1" ht="12.75">
      <c r="A35" s="67" t="e">
        <f ca="1">_xll.ciqfunctions.udf.CIQ($B35,"IQ_COMPANY_TICKER")</f>
        <v>#NAME?</v>
      </c>
      <c r="B35" s="67" t="str">
        <f>'Capital IQ Sheet-GPC'!B34</f>
        <v>IQ252050056</v>
      </c>
      <c r="C35" s="67" t="e">
        <f ca="1">_xll.ciqfunctions.udf.CIQ($A35,"IQ_COMPANY_NAME")</f>
        <v>#NAME?</v>
      </c>
      <c r="D35" s="67" t="e">
        <f ca="1">_xll.ciqfunctions.udf.CIQ($A35, "IQ_EXCHANGE")</f>
        <v>#NAME?</v>
      </c>
      <c r="E35" s="68" t="e">
        <f ca="1">_xll.ciqfunctions.udf.CIQ($A35, "IQ_PERIODDATE_IS", IQ_FY)</f>
        <v>#NAME?</v>
      </c>
      <c r="F35" s="68" t="e">
        <f ca="1">_xll.ciqfunctions.udf.CIQ(A35, "IQ_PERIODDATE_IS", IQ_LTM, $B$1,$L$4,$L$3)</f>
        <v>#NAME?</v>
      </c>
      <c r="G35" s="68" t="e">
        <f ca="1">_xll.ciqfunctions.udf.CIQ($A35, "IQ_FIRSTPRICINGDATE")</f>
        <v>#NAME?</v>
      </c>
      <c r="H35" s="84" t="e">
        <f ca="1">_xll.ciqfunctions.udf.CIQ($A35, "IQ_TEV", $L$2, $L$5, $L$6)</f>
        <v>#NAME?</v>
      </c>
      <c r="I35" s="84" t="e">
        <f ca="1">_xll.ciqfunctions.udf.CIQ(A35, "IQ_LASTSALEPRICE", $B$1,$L$5)</f>
        <v>#NAME?</v>
      </c>
      <c r="J35" s="84" t="e">
        <f ca="1">_xll.ciqfunctions.udf.CIQ($A35, "IQ_MARKETCAP", $L$2, $L$5, $L$6)</f>
        <v>#NAME?</v>
      </c>
      <c r="K35" s="84" t="e">
        <f ca="1">_xll.ciqfunctions.udf.CIQ($A35, "IQ_TOTAL_DEBT", IQ_LTM, $L$2,$L$4, $L$3, $L$5, $L$6)</f>
        <v>#NAME?</v>
      </c>
      <c r="L35" s="84" t="e">
        <f ca="1">_xll.ciqfunctions.udf.CIQ($A35, "IQ_PREF_EQUITY", IQ_LTM, $L$2, $L$4, $L$3, $L$5, $L$6)</f>
        <v>#NAME?</v>
      </c>
      <c r="M35" s="84" t="e">
        <f ca="1">_xll.ciqfunctions.udf.CIQ($A35, "IQ_MINORITY_INTEREST_TOTAL", IQ_LTM, $L$2, $L$4, $L$3, $L$5, $L$6)</f>
        <v>#NAME?</v>
      </c>
      <c r="N35" s="84" t="e">
        <f ca="1">_xll.ciqfunctions.udf.CIQ($A35, "IQ_CASH_ST_INVEST", IQ_LTM, $L$2, $L$4, $L$3, $L$5, $L$6)</f>
        <v>#NAME?</v>
      </c>
      <c r="O35" s="84" t="e">
        <f ca="1">_xll.ciqfunctions.udf.CIQ($A35, "IQ_TOTAL_REV", IQ_LTM-8, $L$2, $L$4, $L$3, $L$5, $L$6)</f>
        <v>#NAME?</v>
      </c>
      <c r="P35" s="84" t="e">
        <f ca="1">_xll.ciqfunctions.udf.CIQ($A35, "IQ_TOTAL_REV", IQ_LTM - 4, $L$2, $L$4, $L$3, $L$5,$L$6)</f>
        <v>#NAME?</v>
      </c>
      <c r="Q35" s="84" t="e">
        <f ca="1">_xll.ciqfunctions.udf.CIQ($A35, "IQ_TOTAL_REV", IQ_LTM, $L$2, $L$4, $L$3, $L$5, $L$6)</f>
        <v>#NAME?</v>
      </c>
      <c r="R35" s="84" t="e">
        <f ca="1">_xll.ciqfunctions.udf.CIQ($A35, "IQ_TOTAL_REV", $B$2, $L$2, $L$4, $L$3, $L$5, $L$6)</f>
        <v>#NAME?</v>
      </c>
      <c r="S35" s="84" t="e">
        <f ca="1">IF(_xll.ciqfunctions.udf.CIQ($A35, "IQ_TOTAL_REV", $B$3, $L$2,$L$4, $L$3, $L$5, $L$6)=0,Q35,_xll.ciqfunctions.udf.CIQ($A35, "IQ_TOTAL_REV", $B$3, $L$2,$L$4, $L$3, $L$5, $L$6))</f>
        <v>#NAME?</v>
      </c>
      <c r="T35" s="84" t="e">
        <f ca="1">IF(_xll.ciqfunctions.udf.CIQ($A35, "IQ_REVENUE_EST",$B$4, $L$2, "CON", $L$3, $L$5, $L$6)=0,"n/a",_xll.ciqfunctions.udf.CIQ($A35, "IQ_REVENUE_EST",$B$4, $L$2, "CON", $L$3, $L$5, $L$6))</f>
        <v>#NAME?</v>
      </c>
      <c r="U35" s="84" t="e">
        <f ca="1">IF(_xll.ciqfunctions.udf.CIQ($A35, "IQ_REVENUE_EST",$B$5, $L$2, "CON", $L$3, $L$5, $L$6)=0,"n/a",_xll.ciqfunctions.udf.CIQ($A35, "IQ_REVENUE_EST",$B$5, $L$2, "CON", $L$3, $L$5, $L$6))</f>
        <v>#NAME?</v>
      </c>
      <c r="V35" s="84" t="e">
        <f ca="1">IF(_xll.ciqfunctions.udf.CIQ($A35, "IQ_REVENUE_EST",$B$6, $L$2, "CON", $L$3, $L$5, $L$6)=0,"n/a",_xll.ciqfunctions.udf.CIQ($A35, "IQ_REVENUE_EST",$B$6, $L$2, "CON", $L$3, $L$5, $L$6))</f>
        <v>#NAME?</v>
      </c>
      <c r="W35" s="84" t="e">
        <f ca="1">IF(_xll.ciqfunctions.udf.CIQ($A35, "IQ_REVENUE_EST", $B$7, $L$2, "CON", $L$3, $L$5, $L$6)=0,"n/a",_xll.ciqfunctions.udf.CIQ($A35, "IQ_REVENUE_EST",$B$7, $L$2, "CON", $L$3, $L$5, $L$6))</f>
        <v>#NAME?</v>
      </c>
      <c r="X35" s="84" t="e">
        <f ca="1">_xll.ciqfunctions.udf.CIQ($A35, "IQ_EBITDA", IQ_LTM-8, $L$2, $L$4, $L$3, $L$5, $L$6)</f>
        <v>#NAME?</v>
      </c>
      <c r="Y35" s="84" t="e">
        <f ca="1">_xll.ciqfunctions.udf.CIQ($A35, "IQ_EBITDA", IQ_LTM-4, $L$2,$L$4, $L$3, $L$5, $L$6)</f>
        <v>#NAME?</v>
      </c>
      <c r="Z35" s="84" t="e">
        <f ca="1">_xll.ciqfunctions.udf.CIQ($A35, "IQ_EBITDA", IQ_LTM, $L$2, $L$4, $L$3, $L$5, $L$6)</f>
        <v>#NAME?</v>
      </c>
      <c r="AA35" s="84" t="e">
        <f ca="1">_xll.ciqfunctions.udf.CIQ($A35, "IQ_EBITDA", $B$2, $L$2, $L$4, $L$3, $L$5, $L$6)</f>
        <v>#NAME?</v>
      </c>
      <c r="AB35" s="84" t="e">
        <f ca="1">IF(_xll.ciqfunctions.udf.CIQ($A35, "IQ_EBITDA", $B$3, $L$2,$L$4, $L$3, $L$5, $L$6)=0,Z35,_xll.ciqfunctions.udf.CIQ($A35, "IQ_EBITDA", $B$3, $L$2,$L$4, $L$3, $L$5, $L$6))</f>
        <v>#NAME?</v>
      </c>
      <c r="AC35" s="84" t="e">
        <f ca="1">IF(_xll.ciqfunctions.udf.CIQ($A35, "IQ_EBITDA_EST",$B$4, $L$2, "CON", $L$3, $L$5, $L$6)=0,"n/a",_xll.ciqfunctions.udf.CIQ($A35, "IQ_EBITDA_EST",$B$4, $L$2, "CON", $L$3, $L$5, $L$6))</f>
        <v>#NAME?</v>
      </c>
      <c r="AD35" s="84" t="e">
        <f ca="1">IF(_xll.ciqfunctions.udf.CIQ($A35, "IQ_EBITDA_EST",$B$5, $L$2, "CON", $L$3, $L$5, $L$6)=0,"n/a",_xll.ciqfunctions.udf.CIQ($A35, "IQ_EBITDA_EST",$B$5, $L$2, "CON", $L$3, $L$5, $L$6))</f>
        <v>#NAME?</v>
      </c>
      <c r="AE35" s="84" t="e">
        <f ca="1">IF(_xll.ciqfunctions.udf.CIQ($A35, "IQ_EBITDA_EST",$B$6, $L$2, "CON", $L$3, $L$5, $L$6)=0,"n/a",_xll.ciqfunctions.udf.CIQ($A35, "IQ_EBITDA_EST",$B$6, $L$2, "CON", $L$3, $L$5, $L$6))</f>
        <v>#NAME?</v>
      </c>
      <c r="AF35" s="69" t="str">
        <f ca="1">IF(ISERROR(_xll.ciqfunctions.udf.CIQ($A35, "IQ_GROSS_MARGIN", IQ_LTM, $L$2,$L$4, $L$3, $L$5, $L$6)/100), "n/a", _xll.ciqfunctions.udf.CIQ($A35,  "IQ_GROSS_MARGIN", IQ_LTM, $L$2, $L$4, $L$3, $L$5, $L$6)/100)</f>
        <v>n/a</v>
      </c>
      <c r="AG35" s="69" t="str">
        <f ca="1">IF(ISERROR(_xll.ciqfunctions.udf.CIQ($A35,"IQ_EBITDA_MARGIN", IQ_LTM, $L$2, $L$4, $L$3, $L$5, $L$6)/100), "n/a", _xll.ciqfunctions.udf.CIQ($A35, "IQ_EBITDA_MARGIN", IQ_LTM, $L$2, $L$4, $L$3, $L$5, $L$6)/100)</f>
        <v>n/a</v>
      </c>
      <c r="AH35" s="69" t="str">
        <f ca="1">IF(ISERROR(_xll.ciqfunctions.udf.CIQ($A35,"IQ_EBIT_MARGIN", IQ_LTM, $L$2, $L$4, $L$3, $L$5, $L$6)/100), "n/a", _xll.ciqfunctions.udf.CIQ($A35, "IQ_EBIT_MARGIN", IQ_LTM, $L$2, $L$4, $L$3, $L$5, $L$6)/100)</f>
        <v>n/a</v>
      </c>
      <c r="AI35" s="69" t="str">
        <f ca="1">IF(ISERROR(_xll.ciqfunctions.udf.CIQ($A35,"IQ_NI_MARGIN", IQ_LTM, $L$2, $L$4, $L$3, $L$5, $L$6)/100), "n/a", _xll.ciqfunctions.udf.CIQ($A35, "IQ_NI_MARGIN", IQ_LTM, $L$2, $L$4, $L$3, $L$5, $L$6)/100)</f>
        <v>n/a</v>
      </c>
      <c r="AJ35" s="84" t="str">
        <f ca="1">IF(ISERROR(_xll.ciqfunctions.udf.CIQ($A35, "IQ_NET_WORKING_CAP", IQ_LTM-8, $L$2, $L$4, $L$3, $L$5, $L$6)), "n/a", _xll.ciqfunctions.udf.CIQ($A35, "IQ_NET_WORKING_CAP", IQ_LTM-8, $L$2, $L$4, $L$3, $L$5, $L$6))</f>
        <v>n/a</v>
      </c>
      <c r="AK35" s="84" t="str">
        <f ca="1">IF(ISERROR(_xll.ciqfunctions.udf.CIQ($A35, "IQ_NET_WORKING_CAP", IQ_LTM-4, $L$2, $L$4, $L$3, $L$5, $L$6)), "n/a", _xll.ciqfunctions.udf.CIQ($A35, "IQ_NET_WORKING_CAP", IQ_LTM-4, $L$2, $L$4, $L$3, $L$5, $L$6))</f>
        <v>n/a</v>
      </c>
      <c r="AL35" s="84" t="str">
        <f ca="1">IF(ISERROR(_xll.ciqfunctions.udf.CIQ($A35, "IQ_NET_WORKING_CAP", IQ_LTM, $L$2,$L$4, $L$3, $L$5, $L$6)), "n/a", _xll.ciqfunctions.udf.CIQ($A35, "IQ_NET_WORKING_CAP", IQ_LTM, $L$2, $L$4, $L$3, $L$5, $L$6))</f>
        <v>n/a</v>
      </c>
      <c r="AM35" s="84" t="str">
        <f ca="1">IF(ISERROR(_xll.ciqfunctions.udf.CIQ($A35, "IQ_Capex", IQ_LTM-8, $L$2,$L$4, $L$3, $L$5, $L$6)), "n/a", _xll.ciqfunctions.udf.CIQ($A35, "IQ_Capex", IQ_LTM-8, $L$2, $L$4, $L$3, $L$5, $L$6))</f>
        <v>n/a</v>
      </c>
      <c r="AN35" s="84" t="str">
        <f ca="1">IF(ISERROR(_xll.ciqfunctions.udf.CIQ($A35, "IQ_Capex", IQ_LTM-4, $L$2,$L$4, $L$3, $L$5, $L$6)), "n/a", _xll.ciqfunctions.udf.CIQ($A35, "IQ_Capex", IQ_LTM-4, $L$2,$L$4, $L$3, $L$5, $L$6))</f>
        <v>n/a</v>
      </c>
      <c r="AO35" s="84" t="str">
        <f ca="1">IF(ISERROR(_xll.ciqfunctions.udf.CIQ($A35, "IQ_Capex", IQ_LTM, $L$2, $L$4, $L$3, $L$5, $L$6)), "n/a", _xll.ciqfunctions.udf.CIQ($A35, "IQ_Capex", IQ_LTM, $L$2, $L$4, $L$3, $L$5, $L$6))</f>
        <v>n/a</v>
      </c>
      <c r="AP35" s="66" t="e">
        <f ca="1">_xll.ciqfunctions.udf.CIQ(A35, "IQ_BUSINESS_DESCRIPTION")</f>
        <v>#NAME?</v>
      </c>
      <c r="AQ35" s="85" t="e">
        <f ca="1">_xll.ciqfunctions.udf.CIQ($A35, "IQ_BETA_1YR", $B$1)</f>
        <v>#NAME?</v>
      </c>
      <c r="AR35" s="85" t="e">
        <f ca="1">_xll.ciqfunctions.udf.CIQ($A35, "IQ_BETA_2YR", $B$1)</f>
        <v>#NAME?</v>
      </c>
      <c r="AS35" s="85" t="e">
        <f ca="1">_xll.ciqfunctions.udf.CIQ($A35, "IQ_BETA_5YR", $B$1)</f>
        <v>#NAME?</v>
      </c>
      <c r="AT35" s="69" t="e">
        <f ca="1">_xll.ciqfunctions.udf.CIQ($A35, "IQ_DIVIDEND_YIELD", $B$1)/100</f>
        <v>#NAME?</v>
      </c>
      <c r="AU35" s="84" t="e">
        <f ca="1">_xll.ciqfunctions.udf.CIQ($A35, "IQ_EARNING_CO", IQ_LTM-8, $L$2, $L$4, $L$3, $L$5, $L$6)</f>
        <v>#NAME?</v>
      </c>
      <c r="AV35" s="84" t="e">
        <f ca="1">_xll.ciqfunctions.udf.CIQ($A35, "IQ_EARNING_CO", IQ_LTM-4, $L$2, $L$4, $L$3, $L$5, $L$6)</f>
        <v>#NAME?</v>
      </c>
      <c r="AW35" s="84" t="e">
        <f ca="1">_xll.ciqfunctions.udf.CIQ($A35, "IQ_EARNING_CO", IQ_LTM, $L$2, $L$4, $L$3, $L$5, $L$6)</f>
        <v>#NAME?</v>
      </c>
      <c r="AX35" s="84" t="e">
        <f ca="1">_xll.ciqfunctions.udf.CIQ($A35, "IQ_EARNING_CO", $B$2, $L$2, $L$4, $L$3, $L$5, $L$6)</f>
        <v>#NAME?</v>
      </c>
      <c r="AY35" s="84" t="e">
        <f ca="1">IF(_xll.ciqfunctions.udf.CIQ($A35, "IQ_EARNING_CO", $B$3, $L$2,$L$4, $L$3, $L$5, $L$6)=0,AW35,_xll.ciqfunctions.udf.CIQ($A35, "IQ_EARNING_CO", $B$3, $L$2,$L$4, $L$3, $L$5, $L$6))</f>
        <v>#NAME?</v>
      </c>
      <c r="AZ35" s="84" t="e">
        <f ca="1">_xll.ciqfunctions.udf.CIQ($A35, "IQ_TOTAL_EQUITY", IQ_LTM-8, $L$2, $L$4, $L$3, $L$5, $L$6)</f>
        <v>#NAME?</v>
      </c>
      <c r="BA35" s="84" t="e">
        <f ca="1">_xll.ciqfunctions.udf.CIQ($A35, "IQ_TOTAL_EQUITY", IQ_LTM-4, $L$2, $L$4, $L$3, $L$5, $L$6)</f>
        <v>#NAME?</v>
      </c>
      <c r="BB35" s="84" t="e">
        <f ca="1">_xll.ciqfunctions.udf.CIQ($A35, "IQ_TOTAL_EQUITY", IQ_LTM, $L$2, $L$4, $L$3, $L$5, $L$6)</f>
        <v>#NAME?</v>
      </c>
      <c r="BC35" s="84" t="e">
        <f ca="1">_xll.ciqfunctions.udf.CIQ($A35, "IQ_TOTAL_EQUITY", $B$2, $L$2, $L$4, $L$3, $L$5, $L$6)</f>
        <v>#NAME?</v>
      </c>
      <c r="BD35" s="84" t="e">
        <f ca="1">IF(_xll.ciqfunctions.udf.CIQ($A35, "IQ_TOTAL_EQUITY", $B$3, $L$2,$L$4, $L$3, $L$5, $L$6)=0,BB35,_xll.ciqfunctions.udf.CIQ($A35, "IQ_TOTAL_EQUITY", $B$3, $L$2,$L$4, $L$3, $L$5, $L$6))</f>
        <v>#NAME?</v>
      </c>
      <c r="BE35" s="84" t="e">
        <f ca="1">_xll.ciqfunctions.udf.CIQ(A35, "IQ_LASTSALEPRICE", $B$8)</f>
        <v>#NAME?</v>
      </c>
      <c r="BF35" s="84" t="e">
        <f ca="1">_xll.ciqfunctions.udf.CIQ($A35, "IQ_MARKETCAP", $B$8, $L$5, $L$6)</f>
        <v>#NAME?</v>
      </c>
      <c r="BG35" s="84" t="e">
        <f ca="1">_xll.ciqfunctions.udf.CIQ($A35, "IQ_TOTAL_DEBT", IQ_LTM, $B$8,$L$4, $L$3, $L$5, $L$6)</f>
        <v>#NAME?</v>
      </c>
      <c r="BH35" s="67" t="e">
        <f ca="1">_xll.ciqfunctions.udf.CIQ($A35,"IQ_PREF_EQUITY",IQ_LTM,$B$8,$L$4,$L$3,$L$5,$L$6)</f>
        <v>#NAME?</v>
      </c>
      <c r="BI35" s="67" t="e">
        <f ca="1">_xll.ciqfunctions.udf.CIQ($A35, "IQ_MINORITY_INTEREST_TOTAL", IQ_LTM,$B$8,$L$4,$L$3,$L$5,$L$6)</f>
        <v>#NAME?</v>
      </c>
      <c r="BJ35" s="84" t="e">
        <f ca="1">_xll.ciqfunctions.udf.CIQ($A35, "IQ_CASH_ST_INVEST", IQ_LTM, $B$8, $L$4, $L$3, $L$5, $L$6)</f>
        <v>#NAME?</v>
      </c>
      <c r="BK35" s="67" t="e">
        <f ca="1">_xll.ciqfunctions.udf.CIQ($A35, "IQ_EFFECT_TAX_RATE")</f>
        <v>#NAME?</v>
      </c>
      <c r="BL35" s="67" t="e">
        <f ca="1">IF(_xll.ciqfunctions.udf.CIQ($A35, "IQ_TOTAL_REV_2YR_ANN_CAGR", IQ_LTM, $B$1,$L$4, $L$3, $L$5, $L$6)="NM","n/a",(_xll.ciqfunctions.udf.CIQ($A35, "IQ_TOTAL_REV_2YR_ANN_CAGR", IQ_LTM, $B$1,$L$4, $L$3, $L$5, $L$6)/100))</f>
        <v>#NAME?</v>
      </c>
      <c r="BM35" s="67" t="e">
        <f ca="1">IF(_xll.ciqfunctions.udf.CIQ($A35, "IQ_TOTAL_REV_3YR_ANN_CAGR", IQ_LTM, $B$1,$L$4, $L$3, $L$5, $L$6)="NM","n/a",(_xll.ciqfunctions.udf.CIQ($A35, "IQ_TOTAL_REV_3YR_ANN_CAGR", IQ_LTM, $B$1,$L$4, $L$3, $L$5, $L$6)/100))</f>
        <v>#NAME?</v>
      </c>
      <c r="BN35" s="67" t="e">
        <f ca="1">IF(_xll.ciqfunctions.udf.CIQ($A35, "IQ_TOTAL_REV_5YR_ANN_CAGR", IQ_LTM, $B$1,$L$4, $L$3, $L$5, $L$6)="NM","n/a",(_xll.ciqfunctions.udf.CIQ($A35, "IQ_TOTAL_REV_5YR_ANN_CAGR", IQ_LTM, $B$1,$L$4, $L$3, $L$5, $L$6)/100))</f>
        <v>#NAME?</v>
      </c>
      <c r="BO35" s="67" t="e">
        <f ca="1">IF(_xll.ciqfunctions.udf.CIQ($A35,"IQ_EBITDA_2YR_ANN_CAGR", IQ_LTM,$B$1,$L$4, $L$3, $L$5, $L$6)="NM","n/a",(_xll.ciqfunctions.udf.CIQ($A35,"IQ_EBITDA_2YR_ANN_CAGR", IQ_LTM,$B$1,$L$4, $L$3, $L$5, $L$6)/100))</f>
        <v>#NAME?</v>
      </c>
      <c r="BP35" s="67" t="e">
        <f ca="1">IF(_xll.ciqfunctions.udf.CIQ($A35,"IQ_EBITDA_3YR_ANN_CAGR", IQ_LTM,$B$1,$L$4, $L$3, $L$5, $L$6)="NM","n/a",(_xll.ciqfunctions.udf.CIQ($A35,"IQ_EBITDA_3YR_ANN_CAGR", IQ_LTM,$B$1,$L$4, $L$3, $L$5, $L$6)/100))</f>
        <v>#NAME?</v>
      </c>
      <c r="BQ35" s="67" t="e">
        <f ca="1">IF(_xll.ciqfunctions.udf.CIQ($A35,"IQ_EBITDA_5YR_ANN_CAGR", IQ_LTM,$B$1,$L$4, $L$3, $L$5, $L$6)="NM","n/a",(_xll.ciqfunctions.udf.CIQ($A35,"IQ_EBITDA_5YR_ANN_CAGR", IQ_LTM,$B$1,$L$4, $L$3, $L$5, $L$6)/100))</f>
        <v>#NAME?</v>
      </c>
      <c r="BR35" s="69" t="str">
        <f ca="1">IFERROR((_xll.ciqfunctions.udf.CIQ($A35, "IQ_DA_CF", IQ_LTM, $B$1, $L$4, $L$3, $L$5, $L$6)/Q35),"NM")</f>
        <v>NM</v>
      </c>
      <c r="BS35" s="86">
        <f>'Capital IQ Sheet-GPC'!BS34</f>
        <v>0.66939621536028371</v>
      </c>
      <c r="BT35" s="86">
        <f>'Capital IQ Sheet-GPC'!BT34</f>
        <v>0.71472719223896919</v>
      </c>
      <c r="BU35" s="86">
        <f>'Capital IQ Sheet-GPC'!BU34</f>
        <v>0.76544326890760306</v>
      </c>
      <c r="BV35" s="86" t="str">
        <f>'Capital IQ Sheet-GPC'!BV34</f>
        <v>n/a</v>
      </c>
      <c r="BW35" s="86" t="str">
        <f>'Capital IQ Sheet-GPC'!BW34</f>
        <v>n/a</v>
      </c>
      <c r="BX35" s="86" t="str">
        <f>'Capital IQ Sheet-GPC'!BX34</f>
        <v>n/a</v>
      </c>
      <c r="BY35" s="86" t="str">
        <f>'Capital IQ Sheet-GPC'!BY34</f>
        <v>n/a</v>
      </c>
      <c r="BZ35" s="86" t="str">
        <f>'Capital IQ Sheet-GPC'!BZ34</f>
        <v>n/a</v>
      </c>
      <c r="CB35" s="67">
        <v>2</v>
      </c>
      <c r="CC35" s="123" t="s">
        <v>295</v>
      </c>
      <c r="CD35" s="123" t="s">
        <v>294</v>
      </c>
      <c r="CE35" s="68">
        <f t="shared" si="0"/>
        <v>42766</v>
      </c>
    </row>
    <row r="36" spans="1:83" s="67" customFormat="1" ht="12.75">
      <c r="A36" s="67" t="e">
        <f ca="1">_xll.ciqfunctions.udf.CIQ($B36,"IQ_COMPANY_TICKER")</f>
        <v>#NAME?</v>
      </c>
      <c r="B36" s="67" t="str">
        <f>'Capital IQ Sheet-GPC'!B35</f>
        <v>IQ277799796</v>
      </c>
      <c r="C36" s="67" t="e">
        <f ca="1">_xll.ciqfunctions.udf.CIQ($A36,"IQ_COMPANY_NAME")</f>
        <v>#NAME?</v>
      </c>
      <c r="D36" s="67" t="e">
        <f ca="1">_xll.ciqfunctions.udf.CIQ($A36, "IQ_EXCHANGE")</f>
        <v>#NAME?</v>
      </c>
      <c r="E36" s="68" t="e">
        <f ca="1">_xll.ciqfunctions.udf.CIQ($A36, "IQ_PERIODDATE_IS", IQ_FY)</f>
        <v>#NAME?</v>
      </c>
      <c r="F36" s="68" t="e">
        <f ca="1">_xll.ciqfunctions.udf.CIQ(A36, "IQ_PERIODDATE_IS", IQ_LTM, $B$1,$L$4,$L$3)</f>
        <v>#NAME?</v>
      </c>
      <c r="G36" s="68" t="e">
        <f ca="1">_xll.ciqfunctions.udf.CIQ($A36, "IQ_FIRSTPRICINGDATE")</f>
        <v>#NAME?</v>
      </c>
      <c r="H36" s="84" t="e">
        <f ca="1">_xll.ciqfunctions.udf.CIQ($A36, "IQ_TEV", $L$2, $L$5, $L$6)</f>
        <v>#NAME?</v>
      </c>
      <c r="I36" s="84" t="e">
        <f ca="1">_xll.ciqfunctions.udf.CIQ(A36, "IQ_LASTSALEPRICE", $B$1,$L$5)</f>
        <v>#NAME?</v>
      </c>
      <c r="J36" s="84" t="e">
        <f ca="1">_xll.ciqfunctions.udf.CIQ($A36, "IQ_MARKETCAP", $L$2, $L$5, $L$6)</f>
        <v>#NAME?</v>
      </c>
      <c r="K36" s="84" t="e">
        <f ca="1">_xll.ciqfunctions.udf.CIQ($A36, "IQ_TOTAL_DEBT", IQ_LTM, $L$2,$L$4, $L$3, $L$5, $L$6)</f>
        <v>#NAME?</v>
      </c>
      <c r="L36" s="84" t="e">
        <f ca="1">_xll.ciqfunctions.udf.CIQ($A36, "IQ_PREF_EQUITY", IQ_LTM, $L$2, $L$4, $L$3, $L$5, $L$6)</f>
        <v>#NAME?</v>
      </c>
      <c r="M36" s="84" t="e">
        <f ca="1">_xll.ciqfunctions.udf.CIQ($A36, "IQ_MINORITY_INTEREST_TOTAL", IQ_LTM, $L$2, $L$4, $L$3, $L$5, $L$6)</f>
        <v>#NAME?</v>
      </c>
      <c r="N36" s="84" t="e">
        <f ca="1">_xll.ciqfunctions.udf.CIQ($A36, "IQ_CASH_ST_INVEST", IQ_LTM, $L$2, $L$4, $L$3, $L$5, $L$6)</f>
        <v>#NAME?</v>
      </c>
      <c r="O36" s="84" t="e">
        <f ca="1">_xll.ciqfunctions.udf.CIQ($A36, "IQ_TOTAL_REV", IQ_LTM-8, $L$2, $L$4, $L$3, $L$5, $L$6)</f>
        <v>#NAME?</v>
      </c>
      <c r="P36" s="84" t="e">
        <f ca="1">_xll.ciqfunctions.udf.CIQ($A36, "IQ_TOTAL_REV", IQ_LTM - 4, $L$2, $L$4, $L$3, $L$5,$L$6)</f>
        <v>#NAME?</v>
      </c>
      <c r="Q36" s="84" t="e">
        <f ca="1">_xll.ciqfunctions.udf.CIQ($A36, "IQ_TOTAL_REV", IQ_LTM, $L$2, $L$4, $L$3, $L$5, $L$6)</f>
        <v>#NAME?</v>
      </c>
      <c r="R36" s="84" t="e">
        <f ca="1">_xll.ciqfunctions.udf.CIQ($A36, "IQ_TOTAL_REV", $B$2, $L$2, $L$4, $L$3, $L$5, $L$6)</f>
        <v>#NAME?</v>
      </c>
      <c r="S36" s="84" t="e">
        <f ca="1">IF(_xll.ciqfunctions.udf.CIQ($A36, "IQ_TOTAL_REV", $B$3, $L$2,$L$4, $L$3, $L$5, $L$6)=0,Q36,_xll.ciqfunctions.udf.CIQ($A36, "IQ_TOTAL_REV", $B$3, $L$2,$L$4, $L$3, $L$5, $L$6))</f>
        <v>#NAME?</v>
      </c>
      <c r="T36" s="84" t="e">
        <f ca="1">IF(_xll.ciqfunctions.udf.CIQ($A36, "IQ_REVENUE_EST",$B$4, $L$2, "CON", $L$3, $L$5, $L$6)=0,"n/a",_xll.ciqfunctions.udf.CIQ($A36, "IQ_REVENUE_EST",$B$4, $L$2, "CON", $L$3, $L$5, $L$6))</f>
        <v>#NAME?</v>
      </c>
      <c r="U36" s="84" t="e">
        <f ca="1">IF(_xll.ciqfunctions.udf.CIQ($A36, "IQ_REVENUE_EST",$B$5, $L$2, "CON", $L$3, $L$5, $L$6)=0,"n/a",_xll.ciqfunctions.udf.CIQ($A36, "IQ_REVENUE_EST",$B$5, $L$2, "CON", $L$3, $L$5, $L$6))</f>
        <v>#NAME?</v>
      </c>
      <c r="V36" s="84" t="e">
        <f ca="1">IF(_xll.ciqfunctions.udf.CIQ($A36, "IQ_REVENUE_EST",$B$6, $L$2, "CON", $L$3, $L$5, $L$6)=0,"n/a",_xll.ciqfunctions.udf.CIQ($A36, "IQ_REVENUE_EST",$B$6, $L$2, "CON", $L$3, $L$5, $L$6))</f>
        <v>#NAME?</v>
      </c>
      <c r="W36" s="84" t="e">
        <f ca="1">IF(_xll.ciqfunctions.udf.CIQ($A36, "IQ_REVENUE_EST", $B$7, $L$2, "CON", $L$3, $L$5, $L$6)=0,"n/a",_xll.ciqfunctions.udf.CIQ($A36, "IQ_REVENUE_EST",$B$7, $L$2, "CON", $L$3, $L$5, $L$6))</f>
        <v>#NAME?</v>
      </c>
      <c r="X36" s="84" t="e">
        <f ca="1">_xll.ciqfunctions.udf.CIQ($A36, "IQ_EBITDA", IQ_LTM-8, $L$2, $L$4, $L$3, $L$5, $L$6)</f>
        <v>#NAME?</v>
      </c>
      <c r="Y36" s="84" t="e">
        <f ca="1">_xll.ciqfunctions.udf.CIQ($A36, "IQ_EBITDA", IQ_LTM-4, $L$2,$L$4, $L$3, $L$5, $L$6)</f>
        <v>#NAME?</v>
      </c>
      <c r="Z36" s="84" t="e">
        <f ca="1">_xll.ciqfunctions.udf.CIQ($A36, "IQ_EBITDA", IQ_LTM, $L$2, $L$4, $L$3, $L$5, $L$6)</f>
        <v>#NAME?</v>
      </c>
      <c r="AA36" s="84" t="e">
        <f ca="1">_xll.ciqfunctions.udf.CIQ($A36, "IQ_EBITDA", $B$2, $L$2, $L$4, $L$3, $L$5, $L$6)</f>
        <v>#NAME?</v>
      </c>
      <c r="AB36" s="84" t="e">
        <f ca="1">IF(_xll.ciqfunctions.udf.CIQ($A36, "IQ_EBITDA", $B$3, $L$2,$L$4, $L$3, $L$5, $L$6)=0,Z36,_xll.ciqfunctions.udf.CIQ($A36, "IQ_EBITDA", $B$3, $L$2,$L$4, $L$3, $L$5, $L$6))</f>
        <v>#NAME?</v>
      </c>
      <c r="AC36" s="84" t="e">
        <f ca="1">IF(_xll.ciqfunctions.udf.CIQ($A36, "IQ_EBITDA_EST",$B$4, $L$2, "CON", $L$3, $L$5, $L$6)=0,"n/a",_xll.ciqfunctions.udf.CIQ($A36, "IQ_EBITDA_EST",$B$4, $L$2, "CON", $L$3, $L$5, $L$6))</f>
        <v>#NAME?</v>
      </c>
      <c r="AD36" s="84" t="e">
        <f ca="1">IF(_xll.ciqfunctions.udf.CIQ($A36, "IQ_EBITDA_EST",$B$5, $L$2, "CON", $L$3, $L$5, $L$6)=0,"n/a",_xll.ciqfunctions.udf.CIQ($A36, "IQ_EBITDA_EST",$B$5, $L$2, "CON", $L$3, $L$5, $L$6))</f>
        <v>#NAME?</v>
      </c>
      <c r="AE36" s="84" t="e">
        <f ca="1">IF(_xll.ciqfunctions.udf.CIQ($A36, "IQ_EBITDA_EST",$B$6, $L$2, "CON", $L$3, $L$5, $L$6)=0,"n/a",_xll.ciqfunctions.udf.CIQ($A36, "IQ_EBITDA_EST",$B$6, $L$2, "CON", $L$3, $L$5, $L$6))</f>
        <v>#NAME?</v>
      </c>
      <c r="AF36" s="69" t="str">
        <f ca="1">IF(ISERROR(_xll.ciqfunctions.udf.CIQ($A36, "IQ_GROSS_MARGIN", IQ_LTM, $L$2,$L$4, $L$3, $L$5, $L$6)/100), "n/a", _xll.ciqfunctions.udf.CIQ($A36,  "IQ_GROSS_MARGIN", IQ_LTM, $L$2, $L$4, $L$3, $L$5, $L$6)/100)</f>
        <v>n/a</v>
      </c>
      <c r="AG36" s="69" t="str">
        <f ca="1">IF(ISERROR(_xll.ciqfunctions.udf.CIQ($A36,"IQ_EBITDA_MARGIN", IQ_LTM, $L$2, $L$4, $L$3, $L$5, $L$6)/100), "n/a", _xll.ciqfunctions.udf.CIQ($A36, "IQ_EBITDA_MARGIN", IQ_LTM, $L$2, $L$4, $L$3, $L$5, $L$6)/100)</f>
        <v>n/a</v>
      </c>
      <c r="AH36" s="69" t="str">
        <f ca="1">IF(ISERROR(_xll.ciqfunctions.udf.CIQ($A36,"IQ_EBIT_MARGIN", IQ_LTM, $L$2, $L$4, $L$3, $L$5, $L$6)/100), "n/a", _xll.ciqfunctions.udf.CIQ($A36, "IQ_EBIT_MARGIN", IQ_LTM, $L$2, $L$4, $L$3, $L$5, $L$6)/100)</f>
        <v>n/a</v>
      </c>
      <c r="AI36" s="69" t="str">
        <f ca="1">IF(ISERROR(_xll.ciqfunctions.udf.CIQ($A36,"IQ_NI_MARGIN", IQ_LTM, $L$2, $L$4, $L$3, $L$5, $L$6)/100), "n/a", _xll.ciqfunctions.udf.CIQ($A36, "IQ_NI_MARGIN", IQ_LTM, $L$2, $L$4, $L$3, $L$5, $L$6)/100)</f>
        <v>n/a</v>
      </c>
      <c r="AJ36" s="84" t="str">
        <f ca="1">IF(ISERROR(_xll.ciqfunctions.udf.CIQ($A36, "IQ_NET_WORKING_CAP", IQ_LTM-8, $L$2, $L$4, $L$3, $L$5, $L$6)), "n/a", _xll.ciqfunctions.udf.CIQ($A36, "IQ_NET_WORKING_CAP", IQ_LTM-8, $L$2, $L$4, $L$3, $L$5, $L$6))</f>
        <v>n/a</v>
      </c>
      <c r="AK36" s="84" t="str">
        <f ca="1">IF(ISERROR(_xll.ciqfunctions.udf.CIQ($A36, "IQ_NET_WORKING_CAP", IQ_LTM-4, $L$2, $L$4, $L$3, $L$5, $L$6)), "n/a", _xll.ciqfunctions.udf.CIQ($A36, "IQ_NET_WORKING_CAP", IQ_LTM-4, $L$2, $L$4, $L$3, $L$5, $L$6))</f>
        <v>n/a</v>
      </c>
      <c r="AL36" s="84" t="str">
        <f ca="1">IF(ISERROR(_xll.ciqfunctions.udf.CIQ($A36, "IQ_NET_WORKING_CAP", IQ_LTM, $L$2,$L$4, $L$3, $L$5, $L$6)), "n/a", _xll.ciqfunctions.udf.CIQ($A36, "IQ_NET_WORKING_CAP", IQ_LTM, $L$2, $L$4, $L$3, $L$5, $L$6))</f>
        <v>n/a</v>
      </c>
      <c r="AM36" s="84" t="str">
        <f ca="1">IF(ISERROR(_xll.ciqfunctions.udf.CIQ($A36, "IQ_Capex", IQ_LTM-8, $L$2,$L$4, $L$3, $L$5, $L$6)), "n/a", _xll.ciqfunctions.udf.CIQ($A36, "IQ_Capex", IQ_LTM-8, $L$2, $L$4, $L$3, $L$5, $L$6))</f>
        <v>n/a</v>
      </c>
      <c r="AN36" s="84" t="str">
        <f ca="1">IF(ISERROR(_xll.ciqfunctions.udf.CIQ($A36, "IQ_Capex", IQ_LTM-4, $L$2,$L$4, $L$3, $L$5, $L$6)), "n/a", _xll.ciqfunctions.udf.CIQ($A36, "IQ_Capex", IQ_LTM-4, $L$2,$L$4, $L$3, $L$5, $L$6))</f>
        <v>n/a</v>
      </c>
      <c r="AO36" s="84" t="str">
        <f ca="1">IF(ISERROR(_xll.ciqfunctions.udf.CIQ($A36, "IQ_Capex", IQ_LTM, $L$2, $L$4, $L$3, $L$5, $L$6)), "n/a", _xll.ciqfunctions.udf.CIQ($A36, "IQ_Capex", IQ_LTM, $L$2, $L$4, $L$3, $L$5, $L$6))</f>
        <v>n/a</v>
      </c>
      <c r="AP36" s="66" t="e">
        <f ca="1">_xll.ciqfunctions.udf.CIQ(A36, "IQ_BUSINESS_DESCRIPTION")</f>
        <v>#NAME?</v>
      </c>
      <c r="AQ36" s="85" t="e">
        <f ca="1">_xll.ciqfunctions.udf.CIQ($A36, "IQ_BETA_1YR", $B$1)</f>
        <v>#NAME?</v>
      </c>
      <c r="AR36" s="85" t="e">
        <f ca="1">_xll.ciqfunctions.udf.CIQ($A36, "IQ_BETA_2YR", $B$1)</f>
        <v>#NAME?</v>
      </c>
      <c r="AS36" s="85" t="e">
        <f ca="1">_xll.ciqfunctions.udf.CIQ($A36, "IQ_BETA_5YR", $B$1)</f>
        <v>#NAME?</v>
      </c>
      <c r="AT36" s="69" t="e">
        <f ca="1">_xll.ciqfunctions.udf.CIQ($A36, "IQ_DIVIDEND_YIELD", $B$1)/100</f>
        <v>#NAME?</v>
      </c>
      <c r="AU36" s="84" t="e">
        <f ca="1">_xll.ciqfunctions.udf.CIQ($A36, "IQ_EARNING_CO", IQ_LTM-8, $L$2, $L$4, $L$3, $L$5, $L$6)</f>
        <v>#NAME?</v>
      </c>
      <c r="AV36" s="84" t="e">
        <f ca="1">_xll.ciqfunctions.udf.CIQ($A36, "IQ_EARNING_CO", IQ_LTM-4, $L$2, $L$4, $L$3, $L$5, $L$6)</f>
        <v>#NAME?</v>
      </c>
      <c r="AW36" s="84" t="e">
        <f ca="1">_xll.ciqfunctions.udf.CIQ($A36, "IQ_EARNING_CO", IQ_LTM, $L$2, $L$4, $L$3, $L$5, $L$6)</f>
        <v>#NAME?</v>
      </c>
      <c r="AX36" s="84" t="e">
        <f ca="1">_xll.ciqfunctions.udf.CIQ($A36, "IQ_EARNING_CO", $B$2, $L$2, $L$4, $L$3, $L$5, $L$6)</f>
        <v>#NAME?</v>
      </c>
      <c r="AY36" s="84" t="e">
        <f ca="1">IF(_xll.ciqfunctions.udf.CIQ($A36, "IQ_EARNING_CO", $B$3, $L$2,$L$4, $L$3, $L$5, $L$6)=0,AW36,_xll.ciqfunctions.udf.CIQ($A36, "IQ_EARNING_CO", $B$3, $L$2,$L$4, $L$3, $L$5, $L$6))</f>
        <v>#NAME?</v>
      </c>
      <c r="AZ36" s="84" t="e">
        <f ca="1">_xll.ciqfunctions.udf.CIQ($A36, "IQ_TOTAL_EQUITY", IQ_LTM-8, $L$2, $L$4, $L$3, $L$5, $L$6)</f>
        <v>#NAME?</v>
      </c>
      <c r="BA36" s="84" t="e">
        <f ca="1">_xll.ciqfunctions.udf.CIQ($A36, "IQ_TOTAL_EQUITY", IQ_LTM-4, $L$2, $L$4, $L$3, $L$5, $L$6)</f>
        <v>#NAME?</v>
      </c>
      <c r="BB36" s="84" t="e">
        <f ca="1">_xll.ciqfunctions.udf.CIQ($A36, "IQ_TOTAL_EQUITY", IQ_LTM, $L$2, $L$4, $L$3, $L$5, $L$6)</f>
        <v>#NAME?</v>
      </c>
      <c r="BC36" s="84" t="e">
        <f ca="1">_xll.ciqfunctions.udf.CIQ($A36, "IQ_TOTAL_EQUITY", $B$2, $L$2, $L$4, $L$3, $L$5, $L$6)</f>
        <v>#NAME?</v>
      </c>
      <c r="BD36" s="84" t="e">
        <f ca="1">IF(_xll.ciqfunctions.udf.CIQ($A36, "IQ_TOTAL_EQUITY", $B$3, $L$2,$L$4, $L$3, $L$5, $L$6)=0,BB36,_xll.ciqfunctions.udf.CIQ($A36, "IQ_TOTAL_EQUITY", $B$3, $L$2,$L$4, $L$3, $L$5, $L$6))</f>
        <v>#NAME?</v>
      </c>
      <c r="BE36" s="84" t="e">
        <f ca="1">_xll.ciqfunctions.udf.CIQ(A36, "IQ_LASTSALEPRICE", $B$8)</f>
        <v>#NAME?</v>
      </c>
      <c r="BF36" s="84" t="e">
        <f ca="1">_xll.ciqfunctions.udf.CIQ($A36, "IQ_MARKETCAP", $B$8, $L$5, $L$6)</f>
        <v>#NAME?</v>
      </c>
      <c r="BG36" s="84" t="e">
        <f ca="1">_xll.ciqfunctions.udf.CIQ($A36, "IQ_TOTAL_DEBT", IQ_LTM, $B$8,$L$4, $L$3, $L$5, $L$6)</f>
        <v>#NAME?</v>
      </c>
      <c r="BH36" s="67" t="e">
        <f ca="1">_xll.ciqfunctions.udf.CIQ($A36,"IQ_PREF_EQUITY",IQ_LTM,$B$8,$L$4,$L$3,$L$5,$L$6)</f>
        <v>#NAME?</v>
      </c>
      <c r="BI36" s="67" t="e">
        <f ca="1">_xll.ciqfunctions.udf.CIQ($A36, "IQ_MINORITY_INTEREST_TOTAL", IQ_LTM,$B$8,$L$4,$L$3,$L$5,$L$6)</f>
        <v>#NAME?</v>
      </c>
      <c r="BJ36" s="84" t="e">
        <f ca="1">_xll.ciqfunctions.udf.CIQ($A36, "IQ_CASH_ST_INVEST", IQ_LTM, $B$8, $L$4, $L$3, $L$5, $L$6)</f>
        <v>#NAME?</v>
      </c>
      <c r="BK36" s="67" t="e">
        <f ca="1">_xll.ciqfunctions.udf.CIQ($A36, "IQ_EFFECT_TAX_RATE")</f>
        <v>#NAME?</v>
      </c>
      <c r="BL36" s="67" t="e">
        <f ca="1">IF(_xll.ciqfunctions.udf.CIQ($A36, "IQ_TOTAL_REV_2YR_ANN_CAGR", IQ_LTM, $B$1,$L$4, $L$3, $L$5, $L$6)="NM","n/a",(_xll.ciqfunctions.udf.CIQ($A36, "IQ_TOTAL_REV_2YR_ANN_CAGR", IQ_LTM, $B$1,$L$4, $L$3, $L$5, $L$6)/100))</f>
        <v>#NAME?</v>
      </c>
      <c r="BM36" s="67" t="e">
        <f ca="1">IF(_xll.ciqfunctions.udf.CIQ($A36, "IQ_TOTAL_REV_3YR_ANN_CAGR", IQ_LTM, $B$1,$L$4, $L$3, $L$5, $L$6)="NM","n/a",(_xll.ciqfunctions.udf.CIQ($A36, "IQ_TOTAL_REV_3YR_ANN_CAGR", IQ_LTM, $B$1,$L$4, $L$3, $L$5, $L$6)/100))</f>
        <v>#NAME?</v>
      </c>
      <c r="BN36" s="67" t="e">
        <f ca="1">IF(_xll.ciqfunctions.udf.CIQ($A36, "IQ_TOTAL_REV_5YR_ANN_CAGR", IQ_LTM, $B$1,$L$4, $L$3, $L$5, $L$6)="NM","n/a",(_xll.ciqfunctions.udf.CIQ($A36, "IQ_TOTAL_REV_5YR_ANN_CAGR", IQ_LTM, $B$1,$L$4, $L$3, $L$5, $L$6)/100))</f>
        <v>#NAME?</v>
      </c>
      <c r="BO36" s="67" t="e">
        <f ca="1">IF(_xll.ciqfunctions.udf.CIQ($A36,"IQ_EBITDA_2YR_ANN_CAGR", IQ_LTM,$B$1,$L$4, $L$3, $L$5, $L$6)="NM","n/a",(_xll.ciqfunctions.udf.CIQ($A36,"IQ_EBITDA_2YR_ANN_CAGR", IQ_LTM,$B$1,$L$4, $L$3, $L$5, $L$6)/100))</f>
        <v>#NAME?</v>
      </c>
      <c r="BP36" s="67" t="e">
        <f ca="1">IF(_xll.ciqfunctions.udf.CIQ($A36,"IQ_EBITDA_3YR_ANN_CAGR", IQ_LTM,$B$1,$L$4, $L$3, $L$5, $L$6)="NM","n/a",(_xll.ciqfunctions.udf.CIQ($A36,"IQ_EBITDA_3YR_ANN_CAGR", IQ_LTM,$B$1,$L$4, $L$3, $L$5, $L$6)/100))</f>
        <v>#NAME?</v>
      </c>
      <c r="BQ36" s="67" t="e">
        <f ca="1">IF(_xll.ciqfunctions.udf.CIQ($A36,"IQ_EBITDA_5YR_ANN_CAGR", IQ_LTM,$B$1,$L$4, $L$3, $L$5, $L$6)="NM","n/a",(_xll.ciqfunctions.udf.CIQ($A36,"IQ_EBITDA_5YR_ANN_CAGR", IQ_LTM,$B$1,$L$4, $L$3, $L$5, $L$6)/100))</f>
        <v>#NAME?</v>
      </c>
      <c r="BR36" s="69" t="str">
        <f ca="1">IFERROR((_xll.ciqfunctions.udf.CIQ($A36, "IQ_DA_CF", IQ_LTM, $B$1, $L$4, $L$3, $L$5, $L$6)/Q36),"NM")</f>
        <v>NM</v>
      </c>
      <c r="BS36" s="86">
        <f>'Capital IQ Sheet-GPC'!BS35</f>
        <v>0.74149168668740961</v>
      </c>
      <c r="BT36" s="86">
        <f>'Capital IQ Sheet-GPC'!BT35</f>
        <v>0.74114018699687567</v>
      </c>
      <c r="BU36" s="86">
        <f>'Capital IQ Sheet-GPC'!BU35</f>
        <v>0.72806937672607763</v>
      </c>
      <c r="BV36" s="86" t="str">
        <f>'Capital IQ Sheet-GPC'!BV35</f>
        <v>n/a</v>
      </c>
      <c r="BW36" s="86" t="str">
        <f>'Capital IQ Sheet-GPC'!BW35</f>
        <v>n/a</v>
      </c>
      <c r="BX36" s="86" t="str">
        <f>'Capital IQ Sheet-GPC'!BX35</f>
        <v>n/a</v>
      </c>
      <c r="BY36" s="86" t="str">
        <f>'Capital IQ Sheet-GPC'!BY35</f>
        <v>n/a</v>
      </c>
      <c r="BZ36" s="86" t="str">
        <f>'Capital IQ Sheet-GPC'!BZ35</f>
        <v>n/a</v>
      </c>
      <c r="CB36" s="67">
        <v>2</v>
      </c>
      <c r="CC36" s="123" t="s">
        <v>295</v>
      </c>
      <c r="CD36" s="123" t="s">
        <v>294</v>
      </c>
      <c r="CE36" s="68">
        <f t="shared" si="0"/>
        <v>42766</v>
      </c>
    </row>
    <row r="37" spans="1:83" s="67" customFormat="1" ht="12.75">
      <c r="A37" s="67" t="e">
        <f ca="1">_xll.ciqfunctions.udf.CIQ($B37,"IQ_COMPANY_TICKER")</f>
        <v>#NAME?</v>
      </c>
      <c r="B37" s="67" t="str">
        <f>'Capital IQ Sheet-GPC'!B36</f>
        <v>IQ360935</v>
      </c>
      <c r="C37" s="67" t="e">
        <f ca="1">_xll.ciqfunctions.udf.CIQ($A37,"IQ_COMPANY_NAME")</f>
        <v>#NAME?</v>
      </c>
      <c r="D37" s="67" t="e">
        <f ca="1">_xll.ciqfunctions.udf.CIQ($A37, "IQ_EXCHANGE")</f>
        <v>#NAME?</v>
      </c>
      <c r="E37" s="68" t="e">
        <f ca="1">_xll.ciqfunctions.udf.CIQ($A37, "IQ_PERIODDATE_IS", IQ_FY)</f>
        <v>#NAME?</v>
      </c>
      <c r="F37" s="68" t="e">
        <f ca="1">_xll.ciqfunctions.udf.CIQ(A37, "IQ_PERIODDATE_IS", IQ_LTM, $B$1,$L$4,$L$3)</f>
        <v>#NAME?</v>
      </c>
      <c r="G37" s="68" t="e">
        <f ca="1">_xll.ciqfunctions.udf.CIQ($A37, "IQ_FIRSTPRICINGDATE")</f>
        <v>#NAME?</v>
      </c>
      <c r="H37" s="84" t="e">
        <f ca="1">_xll.ciqfunctions.udf.CIQ($A37, "IQ_TEV", $L$2, $L$5, $L$6)</f>
        <v>#NAME?</v>
      </c>
      <c r="I37" s="84" t="e">
        <f ca="1">_xll.ciqfunctions.udf.CIQ(A37, "IQ_LASTSALEPRICE", $B$1,$L$5)</f>
        <v>#NAME?</v>
      </c>
      <c r="J37" s="84" t="e">
        <f ca="1">_xll.ciqfunctions.udf.CIQ($A37, "IQ_MARKETCAP", $L$2, $L$5, $L$6)</f>
        <v>#NAME?</v>
      </c>
      <c r="K37" s="84" t="e">
        <f ca="1">_xll.ciqfunctions.udf.CIQ($A37, "IQ_TOTAL_DEBT", IQ_LTM, $L$2,$L$4, $L$3, $L$5, $L$6)</f>
        <v>#NAME?</v>
      </c>
      <c r="L37" s="84" t="e">
        <f ca="1">_xll.ciqfunctions.udf.CIQ($A37, "IQ_PREF_EQUITY", IQ_LTM, $L$2, $L$4, $L$3, $L$5, $L$6)</f>
        <v>#NAME?</v>
      </c>
      <c r="M37" s="84" t="e">
        <f ca="1">_xll.ciqfunctions.udf.CIQ($A37, "IQ_MINORITY_INTEREST_TOTAL", IQ_LTM, $L$2, $L$4, $L$3, $L$5, $L$6)</f>
        <v>#NAME?</v>
      </c>
      <c r="N37" s="84" t="e">
        <f ca="1">_xll.ciqfunctions.udf.CIQ($A37, "IQ_CASH_ST_INVEST", IQ_LTM, $L$2, $L$4, $L$3, $L$5, $L$6)</f>
        <v>#NAME?</v>
      </c>
      <c r="O37" s="84" t="e">
        <f ca="1">_xll.ciqfunctions.udf.CIQ($A37, "IQ_TOTAL_REV", IQ_LTM-8, $L$2, $L$4, $L$3, $L$5, $L$6)</f>
        <v>#NAME?</v>
      </c>
      <c r="P37" s="84" t="e">
        <f ca="1">_xll.ciqfunctions.udf.CIQ($A37, "IQ_TOTAL_REV", IQ_LTM - 4, $L$2, $L$4, $L$3, $L$5,$L$6)</f>
        <v>#NAME?</v>
      </c>
      <c r="Q37" s="84" t="e">
        <f ca="1">_xll.ciqfunctions.udf.CIQ($A37, "IQ_TOTAL_REV", IQ_LTM, $L$2, $L$4, $L$3, $L$5, $L$6)</f>
        <v>#NAME?</v>
      </c>
      <c r="R37" s="84" t="e">
        <f ca="1">_xll.ciqfunctions.udf.CIQ($A37, "IQ_TOTAL_REV", $B$2, $L$2, $L$4, $L$3, $L$5, $L$6)</f>
        <v>#NAME?</v>
      </c>
      <c r="S37" s="84" t="e">
        <f ca="1">IF(_xll.ciqfunctions.udf.CIQ($A37, "IQ_TOTAL_REV", $B$3, $L$2,$L$4, $L$3, $L$5, $L$6)=0,Q37,_xll.ciqfunctions.udf.CIQ($A37, "IQ_TOTAL_REV", $B$3, $L$2,$L$4, $L$3, $L$5, $L$6))</f>
        <v>#NAME?</v>
      </c>
      <c r="T37" s="84" t="e">
        <f ca="1">IF(_xll.ciqfunctions.udf.CIQ($A37, "IQ_REVENUE_EST",$B$4, $L$2, "CON", $L$3, $L$5, $L$6)=0,"n/a",_xll.ciqfunctions.udf.CIQ($A37, "IQ_REVENUE_EST",$B$4, $L$2, "CON", $L$3, $L$5, $L$6))</f>
        <v>#NAME?</v>
      </c>
      <c r="U37" s="84" t="e">
        <f ca="1">IF(_xll.ciqfunctions.udf.CIQ($A37, "IQ_REVENUE_EST",$B$5, $L$2, "CON", $L$3, $L$5, $L$6)=0,"n/a",_xll.ciqfunctions.udf.CIQ($A37, "IQ_REVENUE_EST",$B$5, $L$2, "CON", $L$3, $L$5, $L$6))</f>
        <v>#NAME?</v>
      </c>
      <c r="V37" s="84" t="e">
        <f ca="1">IF(_xll.ciqfunctions.udf.CIQ($A37, "IQ_REVENUE_EST",$B$6, $L$2, "CON", $L$3, $L$5, $L$6)=0,"n/a",_xll.ciqfunctions.udf.CIQ($A37, "IQ_REVENUE_EST",$B$6, $L$2, "CON", $L$3, $L$5, $L$6))</f>
        <v>#NAME?</v>
      </c>
      <c r="W37" s="84" t="e">
        <f ca="1">IF(_xll.ciqfunctions.udf.CIQ($A37, "IQ_REVENUE_EST", $B$7, $L$2, "CON", $L$3, $L$5, $L$6)=0,"n/a",_xll.ciqfunctions.udf.CIQ($A37, "IQ_REVENUE_EST",$B$7, $L$2, "CON", $L$3, $L$5, $L$6))</f>
        <v>#NAME?</v>
      </c>
      <c r="X37" s="84" t="e">
        <f ca="1">_xll.ciqfunctions.udf.CIQ($A37, "IQ_EBITDA", IQ_LTM-8, $L$2, $L$4, $L$3, $L$5, $L$6)</f>
        <v>#NAME?</v>
      </c>
      <c r="Y37" s="84" t="e">
        <f ca="1">_xll.ciqfunctions.udf.CIQ($A37, "IQ_EBITDA", IQ_LTM-4, $L$2,$L$4, $L$3, $L$5, $L$6)</f>
        <v>#NAME?</v>
      </c>
      <c r="Z37" s="84" t="e">
        <f ca="1">_xll.ciqfunctions.udf.CIQ($A37, "IQ_EBITDA", IQ_LTM, $L$2, $L$4, $L$3, $L$5, $L$6)</f>
        <v>#NAME?</v>
      </c>
      <c r="AA37" s="84" t="e">
        <f ca="1">_xll.ciqfunctions.udf.CIQ($A37, "IQ_EBITDA", $B$2, $L$2, $L$4, $L$3, $L$5, $L$6)</f>
        <v>#NAME?</v>
      </c>
      <c r="AB37" s="84" t="e">
        <f ca="1">IF(_xll.ciqfunctions.udf.CIQ($A37, "IQ_EBITDA", $B$3, $L$2,$L$4, $L$3, $L$5, $L$6)=0,Z37,_xll.ciqfunctions.udf.CIQ($A37, "IQ_EBITDA", $B$3, $L$2,$L$4, $L$3, $L$5, $L$6))</f>
        <v>#NAME?</v>
      </c>
      <c r="AC37" s="84" t="e">
        <f ca="1">IF(_xll.ciqfunctions.udf.CIQ($A37, "IQ_EBITDA_EST",$B$4, $L$2, "CON", $L$3, $L$5, $L$6)=0,"n/a",_xll.ciqfunctions.udf.CIQ($A37, "IQ_EBITDA_EST",$B$4, $L$2, "CON", $L$3, $L$5, $L$6))</f>
        <v>#NAME?</v>
      </c>
      <c r="AD37" s="84" t="e">
        <f ca="1">IF(_xll.ciqfunctions.udf.CIQ($A37, "IQ_EBITDA_EST",$B$5, $L$2, "CON", $L$3, $L$5, $L$6)=0,"n/a",_xll.ciqfunctions.udf.CIQ($A37, "IQ_EBITDA_EST",$B$5, $L$2, "CON", $L$3, $L$5, $L$6))</f>
        <v>#NAME?</v>
      </c>
      <c r="AE37" s="84" t="e">
        <f ca="1">IF(_xll.ciqfunctions.udf.CIQ($A37, "IQ_EBITDA_EST",$B$6, $L$2, "CON", $L$3, $L$5, $L$6)=0,"n/a",_xll.ciqfunctions.udf.CIQ($A37, "IQ_EBITDA_EST",$B$6, $L$2, "CON", $L$3, $L$5, $L$6))</f>
        <v>#NAME?</v>
      </c>
      <c r="AF37" s="69" t="str">
        <f ca="1">IF(ISERROR(_xll.ciqfunctions.udf.CIQ($A37, "IQ_GROSS_MARGIN", IQ_LTM, $L$2,$L$4, $L$3, $L$5, $L$6)/100), "n/a", _xll.ciqfunctions.udf.CIQ($A37,  "IQ_GROSS_MARGIN", IQ_LTM, $L$2, $L$4, $L$3, $L$5, $L$6)/100)</f>
        <v>n/a</v>
      </c>
      <c r="AG37" s="69" t="str">
        <f ca="1">IF(ISERROR(_xll.ciqfunctions.udf.CIQ($A37,"IQ_EBITDA_MARGIN", IQ_LTM, $L$2, $L$4, $L$3, $L$5, $L$6)/100), "n/a", _xll.ciqfunctions.udf.CIQ($A37, "IQ_EBITDA_MARGIN", IQ_LTM, $L$2, $L$4, $L$3, $L$5, $L$6)/100)</f>
        <v>n/a</v>
      </c>
      <c r="AH37" s="69" t="str">
        <f ca="1">IF(ISERROR(_xll.ciqfunctions.udf.CIQ($A37,"IQ_EBIT_MARGIN", IQ_LTM, $L$2, $L$4, $L$3, $L$5, $L$6)/100), "n/a", _xll.ciqfunctions.udf.CIQ($A37, "IQ_EBIT_MARGIN", IQ_LTM, $L$2, $L$4, $L$3, $L$5, $L$6)/100)</f>
        <v>n/a</v>
      </c>
      <c r="AI37" s="69" t="str">
        <f ca="1">IF(ISERROR(_xll.ciqfunctions.udf.CIQ($A37,"IQ_NI_MARGIN", IQ_LTM, $L$2, $L$4, $L$3, $L$5, $L$6)/100), "n/a", _xll.ciqfunctions.udf.CIQ($A37, "IQ_NI_MARGIN", IQ_LTM, $L$2, $L$4, $L$3, $L$5, $L$6)/100)</f>
        <v>n/a</v>
      </c>
      <c r="AJ37" s="84" t="str">
        <f ca="1">IF(ISERROR(_xll.ciqfunctions.udf.CIQ($A37, "IQ_NET_WORKING_CAP", IQ_LTM-8, $L$2, $L$4, $L$3, $L$5, $L$6)), "n/a", _xll.ciqfunctions.udf.CIQ($A37, "IQ_NET_WORKING_CAP", IQ_LTM-8, $L$2, $L$4, $L$3, $L$5, $L$6))</f>
        <v>n/a</v>
      </c>
      <c r="AK37" s="84" t="str">
        <f ca="1">IF(ISERROR(_xll.ciqfunctions.udf.CIQ($A37, "IQ_NET_WORKING_CAP", IQ_LTM-4, $L$2, $L$4, $L$3, $L$5, $L$6)), "n/a", _xll.ciqfunctions.udf.CIQ($A37, "IQ_NET_WORKING_CAP", IQ_LTM-4, $L$2, $L$4, $L$3, $L$5, $L$6))</f>
        <v>n/a</v>
      </c>
      <c r="AL37" s="84" t="str">
        <f ca="1">IF(ISERROR(_xll.ciqfunctions.udf.CIQ($A37, "IQ_NET_WORKING_CAP", IQ_LTM, $L$2,$L$4, $L$3, $L$5, $L$6)), "n/a", _xll.ciqfunctions.udf.CIQ($A37, "IQ_NET_WORKING_CAP", IQ_LTM, $L$2, $L$4, $L$3, $L$5, $L$6))</f>
        <v>n/a</v>
      </c>
      <c r="AM37" s="84" t="str">
        <f ca="1">IF(ISERROR(_xll.ciqfunctions.udf.CIQ($A37, "IQ_Capex", IQ_LTM-8, $L$2,$L$4, $L$3, $L$5, $L$6)), "n/a", _xll.ciqfunctions.udf.CIQ($A37, "IQ_Capex", IQ_LTM-8, $L$2, $L$4, $L$3, $L$5, $L$6))</f>
        <v>n/a</v>
      </c>
      <c r="AN37" s="84" t="str">
        <f ca="1">IF(ISERROR(_xll.ciqfunctions.udf.CIQ($A37, "IQ_Capex", IQ_LTM-4, $L$2,$L$4, $L$3, $L$5, $L$6)), "n/a", _xll.ciqfunctions.udf.CIQ($A37, "IQ_Capex", IQ_LTM-4, $L$2,$L$4, $L$3, $L$5, $L$6))</f>
        <v>n/a</v>
      </c>
      <c r="AO37" s="84" t="str">
        <f ca="1">IF(ISERROR(_xll.ciqfunctions.udf.CIQ($A37, "IQ_Capex", IQ_LTM, $L$2, $L$4, $L$3, $L$5, $L$6)), "n/a", _xll.ciqfunctions.udf.CIQ($A37, "IQ_Capex", IQ_LTM, $L$2, $L$4, $L$3, $L$5, $L$6))</f>
        <v>n/a</v>
      </c>
      <c r="AP37" s="66" t="e">
        <f ca="1">_xll.ciqfunctions.udf.CIQ(A37, "IQ_BUSINESS_DESCRIPTION")</f>
        <v>#NAME?</v>
      </c>
      <c r="AQ37" s="85" t="e">
        <f ca="1">_xll.ciqfunctions.udf.CIQ($A37, "IQ_BETA_1YR", $B$1)</f>
        <v>#NAME?</v>
      </c>
      <c r="AR37" s="85" t="e">
        <f ca="1">_xll.ciqfunctions.udf.CIQ($A37, "IQ_BETA_2YR", $B$1)</f>
        <v>#NAME?</v>
      </c>
      <c r="AS37" s="85" t="e">
        <f ca="1">_xll.ciqfunctions.udf.CIQ($A37, "IQ_BETA_5YR", $B$1)</f>
        <v>#NAME?</v>
      </c>
      <c r="AT37" s="69" t="e">
        <f ca="1">_xll.ciqfunctions.udf.CIQ($A37, "IQ_DIVIDEND_YIELD", $B$1)/100</f>
        <v>#NAME?</v>
      </c>
      <c r="AU37" s="84" t="e">
        <f ca="1">_xll.ciqfunctions.udf.CIQ($A37, "IQ_EARNING_CO", IQ_LTM-8, $L$2, $L$4, $L$3, $L$5, $L$6)</f>
        <v>#NAME?</v>
      </c>
      <c r="AV37" s="84" t="e">
        <f ca="1">_xll.ciqfunctions.udf.CIQ($A37, "IQ_EARNING_CO", IQ_LTM-4, $L$2, $L$4, $L$3, $L$5, $L$6)</f>
        <v>#NAME?</v>
      </c>
      <c r="AW37" s="84" t="e">
        <f ca="1">_xll.ciqfunctions.udf.CIQ($A37, "IQ_EARNING_CO", IQ_LTM, $L$2, $L$4, $L$3, $L$5, $L$6)</f>
        <v>#NAME?</v>
      </c>
      <c r="AX37" s="84" t="e">
        <f ca="1">_xll.ciqfunctions.udf.CIQ($A37, "IQ_EARNING_CO", $B$2, $L$2, $L$4, $L$3, $L$5, $L$6)</f>
        <v>#NAME?</v>
      </c>
      <c r="AY37" s="84" t="e">
        <f ca="1">IF(_xll.ciqfunctions.udf.CIQ($A37, "IQ_EARNING_CO", $B$3, $L$2,$L$4, $L$3, $L$5, $L$6)=0,AW37,_xll.ciqfunctions.udf.CIQ($A37, "IQ_EARNING_CO", $B$3, $L$2,$L$4, $L$3, $L$5, $L$6))</f>
        <v>#NAME?</v>
      </c>
      <c r="AZ37" s="84" t="e">
        <f ca="1">_xll.ciqfunctions.udf.CIQ($A37, "IQ_TOTAL_EQUITY", IQ_LTM-8, $L$2, $L$4, $L$3, $L$5, $L$6)</f>
        <v>#NAME?</v>
      </c>
      <c r="BA37" s="84" t="e">
        <f ca="1">_xll.ciqfunctions.udf.CIQ($A37, "IQ_TOTAL_EQUITY", IQ_LTM-4, $L$2, $L$4, $L$3, $L$5, $L$6)</f>
        <v>#NAME?</v>
      </c>
      <c r="BB37" s="84" t="e">
        <f ca="1">_xll.ciqfunctions.udf.CIQ($A37, "IQ_TOTAL_EQUITY", IQ_LTM, $L$2, $L$4, $L$3, $L$5, $L$6)</f>
        <v>#NAME?</v>
      </c>
      <c r="BC37" s="84" t="e">
        <f ca="1">_xll.ciqfunctions.udf.CIQ($A37, "IQ_TOTAL_EQUITY", $B$2, $L$2, $L$4, $L$3, $L$5, $L$6)</f>
        <v>#NAME?</v>
      </c>
      <c r="BD37" s="84" t="e">
        <f ca="1">IF(_xll.ciqfunctions.udf.CIQ($A37, "IQ_TOTAL_EQUITY", $B$3, $L$2,$L$4, $L$3, $L$5, $L$6)=0,BB37,_xll.ciqfunctions.udf.CIQ($A37, "IQ_TOTAL_EQUITY", $B$3, $L$2,$L$4, $L$3, $L$5, $L$6))</f>
        <v>#NAME?</v>
      </c>
      <c r="BE37" s="84" t="e">
        <f ca="1">_xll.ciqfunctions.udf.CIQ(A37, "IQ_LASTSALEPRICE", $B$8)</f>
        <v>#NAME?</v>
      </c>
      <c r="BF37" s="84" t="e">
        <f ca="1">_xll.ciqfunctions.udf.CIQ($A37, "IQ_MARKETCAP", $B$8, $L$5, $L$6)</f>
        <v>#NAME?</v>
      </c>
      <c r="BG37" s="84" t="e">
        <f ca="1">_xll.ciqfunctions.udf.CIQ($A37, "IQ_TOTAL_DEBT", IQ_LTM, $B$8,$L$4, $L$3, $L$5, $L$6)</f>
        <v>#NAME?</v>
      </c>
      <c r="BH37" s="67" t="e">
        <f ca="1">_xll.ciqfunctions.udf.CIQ($A37,"IQ_PREF_EQUITY",IQ_LTM,$B$8,$L$4,$L$3,$L$5,$L$6)</f>
        <v>#NAME?</v>
      </c>
      <c r="BI37" s="67" t="e">
        <f ca="1">_xll.ciqfunctions.udf.CIQ($A37, "IQ_MINORITY_INTEREST_TOTAL", IQ_LTM,$B$8,$L$4,$L$3,$L$5,$L$6)</f>
        <v>#NAME?</v>
      </c>
      <c r="BJ37" s="84" t="e">
        <f ca="1">_xll.ciqfunctions.udf.CIQ($A37, "IQ_CASH_ST_INVEST", IQ_LTM, $B$8, $L$4, $L$3, $L$5, $L$6)</f>
        <v>#NAME?</v>
      </c>
      <c r="BK37" s="67" t="e">
        <f ca="1">_xll.ciqfunctions.udf.CIQ($A37, "IQ_EFFECT_TAX_RATE")</f>
        <v>#NAME?</v>
      </c>
      <c r="BL37" s="67" t="e">
        <f ca="1">IF(_xll.ciqfunctions.udf.CIQ($A37, "IQ_TOTAL_REV_2YR_ANN_CAGR", IQ_LTM, $B$1,$L$4, $L$3, $L$5, $L$6)="NM","n/a",(_xll.ciqfunctions.udf.CIQ($A37, "IQ_TOTAL_REV_2YR_ANN_CAGR", IQ_LTM, $B$1,$L$4, $L$3, $L$5, $L$6)/100))</f>
        <v>#NAME?</v>
      </c>
      <c r="BM37" s="67" t="e">
        <f ca="1">IF(_xll.ciqfunctions.udf.CIQ($A37, "IQ_TOTAL_REV_3YR_ANN_CAGR", IQ_LTM, $B$1,$L$4, $L$3, $L$5, $L$6)="NM","n/a",(_xll.ciqfunctions.udf.CIQ($A37, "IQ_TOTAL_REV_3YR_ANN_CAGR", IQ_LTM, $B$1,$L$4, $L$3, $L$5, $L$6)/100))</f>
        <v>#NAME?</v>
      </c>
      <c r="BN37" s="67" t="e">
        <f ca="1">IF(_xll.ciqfunctions.udf.CIQ($A37, "IQ_TOTAL_REV_5YR_ANN_CAGR", IQ_LTM, $B$1,$L$4, $L$3, $L$5, $L$6)="NM","n/a",(_xll.ciqfunctions.udf.CIQ($A37, "IQ_TOTAL_REV_5YR_ANN_CAGR", IQ_LTM, $B$1,$L$4, $L$3, $L$5, $L$6)/100))</f>
        <v>#NAME?</v>
      </c>
      <c r="BO37" s="67" t="e">
        <f ca="1">IF(_xll.ciqfunctions.udf.CIQ($A37,"IQ_EBITDA_2YR_ANN_CAGR", IQ_LTM,$B$1,$L$4, $L$3, $L$5, $L$6)="NM","n/a",(_xll.ciqfunctions.udf.CIQ($A37,"IQ_EBITDA_2YR_ANN_CAGR", IQ_LTM,$B$1,$L$4, $L$3, $L$5, $L$6)/100))</f>
        <v>#NAME?</v>
      </c>
      <c r="BP37" s="67" t="e">
        <f ca="1">IF(_xll.ciqfunctions.udf.CIQ($A37,"IQ_EBITDA_3YR_ANN_CAGR", IQ_LTM,$B$1,$L$4, $L$3, $L$5, $L$6)="NM","n/a",(_xll.ciqfunctions.udf.CIQ($A37,"IQ_EBITDA_3YR_ANN_CAGR", IQ_LTM,$B$1,$L$4, $L$3, $L$5, $L$6)/100))</f>
        <v>#NAME?</v>
      </c>
      <c r="BQ37" s="67" t="e">
        <f ca="1">IF(_xll.ciqfunctions.udf.CIQ($A37,"IQ_EBITDA_5YR_ANN_CAGR", IQ_LTM,$B$1,$L$4, $L$3, $L$5, $L$6)="NM","n/a",(_xll.ciqfunctions.udf.CIQ($A37,"IQ_EBITDA_5YR_ANN_CAGR", IQ_LTM,$B$1,$L$4, $L$3, $L$5, $L$6)/100))</f>
        <v>#NAME?</v>
      </c>
      <c r="BR37" s="69" t="str">
        <f ca="1">IFERROR((_xll.ciqfunctions.udf.CIQ($A37, "IQ_DA_CF", IQ_LTM, $B$1, $L$4, $L$3, $L$5, $L$6)/Q37),"NM")</f>
        <v>NM</v>
      </c>
      <c r="BS37" s="86">
        <f>'Capital IQ Sheet-GPC'!BS36</f>
        <v>0.78494464793871888</v>
      </c>
      <c r="BT37" s="86">
        <f>'Capital IQ Sheet-GPC'!BT36</f>
        <v>0.77912879298972271</v>
      </c>
      <c r="BU37" s="86">
        <f>'Capital IQ Sheet-GPC'!BU36</f>
        <v>0.76863186184610754</v>
      </c>
      <c r="BV37" s="86">
        <f>'Capital IQ Sheet-GPC'!BV36</f>
        <v>0.8803241164043264</v>
      </c>
      <c r="BW37" s="86">
        <f>'Capital IQ Sheet-GPC'!BW36</f>
        <v>0.90924925730613859</v>
      </c>
      <c r="BX37" s="86">
        <f>'Capital IQ Sheet-GPC'!BX36</f>
        <v>0.92608171202320422</v>
      </c>
      <c r="BY37" s="86">
        <f>'Capital IQ Sheet-GPC'!BY36</f>
        <v>1.0060614006443884</v>
      </c>
      <c r="BZ37" s="86">
        <f>'Capital IQ Sheet-GPC'!BZ36</f>
        <v>0.96295477099377902</v>
      </c>
      <c r="CB37" s="67">
        <v>2</v>
      </c>
      <c r="CC37" s="123" t="s">
        <v>295</v>
      </c>
      <c r="CD37" s="123" t="s">
        <v>294</v>
      </c>
      <c r="CE37" s="68">
        <f t="shared" si="0"/>
        <v>42766</v>
      </c>
    </row>
    <row r="38" spans="1:83" s="67" customFormat="1" ht="12.75">
      <c r="A38" s="67" t="e">
        <f ca="1">_xll.ciqfunctions.udf.CIQ($B38,"IQ_COMPANY_TICKER")</f>
        <v>#NAME?</v>
      </c>
      <c r="B38" s="67" t="str">
        <f>'Capital IQ Sheet-GPC'!B37</f>
        <v>(Invalid Identifier)</v>
      </c>
      <c r="C38" s="67" t="e">
        <f ca="1">_xll.ciqfunctions.udf.CIQ($A38,"IQ_COMPANY_NAME")</f>
        <v>#NAME?</v>
      </c>
      <c r="D38" s="67" t="e">
        <f ca="1">_xll.ciqfunctions.udf.CIQ($A38, "IQ_EXCHANGE")</f>
        <v>#NAME?</v>
      </c>
      <c r="E38" s="68" t="e">
        <f ca="1">_xll.ciqfunctions.udf.CIQ($A38, "IQ_PERIODDATE_IS", IQ_FY)</f>
        <v>#NAME?</v>
      </c>
      <c r="F38" s="68" t="e">
        <f ca="1">_xll.ciqfunctions.udf.CIQ(A38, "IQ_PERIODDATE_IS", IQ_LTM, $B$1,$L$4,$L$3)</f>
        <v>#NAME?</v>
      </c>
      <c r="G38" s="68" t="e">
        <f ca="1">_xll.ciqfunctions.udf.CIQ($A38, "IQ_FIRSTPRICINGDATE")</f>
        <v>#NAME?</v>
      </c>
      <c r="H38" s="84" t="e">
        <f ca="1">_xll.ciqfunctions.udf.CIQ($A38, "IQ_TEV", $L$2, $L$5, $L$6)</f>
        <v>#NAME?</v>
      </c>
      <c r="I38" s="84" t="e">
        <f ca="1">_xll.ciqfunctions.udf.CIQ(A38, "IQ_LASTSALEPRICE", $B$1,$L$5)</f>
        <v>#NAME?</v>
      </c>
      <c r="J38" s="84" t="e">
        <f ca="1">_xll.ciqfunctions.udf.CIQ($A38, "IQ_MARKETCAP", $L$2, $L$5, $L$6)</f>
        <v>#NAME?</v>
      </c>
      <c r="K38" s="84" t="e">
        <f ca="1">_xll.ciqfunctions.udf.CIQ($A38, "IQ_TOTAL_DEBT", IQ_LTM, $L$2,$L$4, $L$3, $L$5, $L$6)</f>
        <v>#NAME?</v>
      </c>
      <c r="L38" s="84" t="e">
        <f ca="1">_xll.ciqfunctions.udf.CIQ($A38, "IQ_PREF_EQUITY", IQ_LTM, $L$2, $L$4, $L$3, $L$5, $L$6)</f>
        <v>#NAME?</v>
      </c>
      <c r="M38" s="84" t="e">
        <f ca="1">_xll.ciqfunctions.udf.CIQ($A38, "IQ_MINORITY_INTEREST_TOTAL", IQ_LTM, $L$2, $L$4, $L$3, $L$5, $L$6)</f>
        <v>#NAME?</v>
      </c>
      <c r="N38" s="84" t="e">
        <f ca="1">_xll.ciqfunctions.udf.CIQ($A38, "IQ_CASH_ST_INVEST", IQ_LTM, $L$2, $L$4, $L$3, $L$5, $L$6)</f>
        <v>#NAME?</v>
      </c>
      <c r="O38" s="84" t="e">
        <f ca="1">_xll.ciqfunctions.udf.CIQ($A38, "IQ_TOTAL_REV", IQ_LTM-8, $L$2, $L$4, $L$3, $L$5, $L$6)</f>
        <v>#NAME?</v>
      </c>
      <c r="P38" s="84" t="e">
        <f ca="1">_xll.ciqfunctions.udf.CIQ($A38, "IQ_TOTAL_REV", IQ_LTM - 4, $L$2, $L$4, $L$3, $L$5,$L$6)</f>
        <v>#NAME?</v>
      </c>
      <c r="Q38" s="84" t="e">
        <f ca="1">_xll.ciqfunctions.udf.CIQ($A38, "IQ_TOTAL_REV", IQ_LTM, $L$2, $L$4, $L$3, $L$5, $L$6)</f>
        <v>#NAME?</v>
      </c>
      <c r="R38" s="84" t="e">
        <f ca="1">_xll.ciqfunctions.udf.CIQ($A38, "IQ_TOTAL_REV", $B$2, $L$2, $L$4, $L$3, $L$5, $L$6)</f>
        <v>#NAME?</v>
      </c>
      <c r="S38" s="84" t="e">
        <f ca="1">IF(_xll.ciqfunctions.udf.CIQ($A38, "IQ_TOTAL_REV", $B$3, $L$2,$L$4, $L$3, $L$5, $L$6)=0,Q38,_xll.ciqfunctions.udf.CIQ($A38, "IQ_TOTAL_REV", $B$3, $L$2,$L$4, $L$3, $L$5, $L$6))</f>
        <v>#NAME?</v>
      </c>
      <c r="T38" s="84" t="e">
        <f ca="1">IF(_xll.ciqfunctions.udf.CIQ($A38, "IQ_REVENUE_EST",$B$4, $L$2, "CON", $L$3, $L$5, $L$6)=0,"n/a",_xll.ciqfunctions.udf.CIQ($A38, "IQ_REVENUE_EST",$B$4, $L$2, "CON", $L$3, $L$5, $L$6))</f>
        <v>#NAME?</v>
      </c>
      <c r="U38" s="84" t="e">
        <f ca="1">IF(_xll.ciqfunctions.udf.CIQ($A38, "IQ_REVENUE_EST",$B$5, $L$2, "CON", $L$3, $L$5, $L$6)=0,"n/a",_xll.ciqfunctions.udf.CIQ($A38, "IQ_REVENUE_EST",$B$5, $L$2, "CON", $L$3, $L$5, $L$6))</f>
        <v>#NAME?</v>
      </c>
      <c r="V38" s="84" t="e">
        <f ca="1">IF(_xll.ciqfunctions.udf.CIQ($A38, "IQ_REVENUE_EST",$B$6, $L$2, "CON", $L$3, $L$5, $L$6)=0,"n/a",_xll.ciqfunctions.udf.CIQ($A38, "IQ_REVENUE_EST",$B$6, $L$2, "CON", $L$3, $L$5, $L$6))</f>
        <v>#NAME?</v>
      </c>
      <c r="W38" s="84" t="e">
        <f ca="1">IF(_xll.ciqfunctions.udf.CIQ($A38, "IQ_REVENUE_EST", $B$7, $L$2, "CON", $L$3, $L$5, $L$6)=0,"n/a",_xll.ciqfunctions.udf.CIQ($A38, "IQ_REVENUE_EST",$B$7, $L$2, "CON", $L$3, $L$5, $L$6))</f>
        <v>#NAME?</v>
      </c>
      <c r="X38" s="84" t="e">
        <f ca="1">_xll.ciqfunctions.udf.CIQ($A38, "IQ_EBITDA", IQ_LTM-8, $L$2, $L$4, $L$3, $L$5, $L$6)</f>
        <v>#NAME?</v>
      </c>
      <c r="Y38" s="84" t="e">
        <f ca="1">_xll.ciqfunctions.udf.CIQ($A38, "IQ_EBITDA", IQ_LTM-4, $L$2,$L$4, $L$3, $L$5, $L$6)</f>
        <v>#NAME?</v>
      </c>
      <c r="Z38" s="84" t="e">
        <f ca="1">_xll.ciqfunctions.udf.CIQ($A38, "IQ_EBITDA", IQ_LTM, $L$2, $L$4, $L$3, $L$5, $L$6)</f>
        <v>#NAME?</v>
      </c>
      <c r="AA38" s="84" t="e">
        <f ca="1">_xll.ciqfunctions.udf.CIQ($A38, "IQ_EBITDA", $B$2, $L$2, $L$4, $L$3, $L$5, $L$6)</f>
        <v>#NAME?</v>
      </c>
      <c r="AB38" s="84" t="e">
        <f ca="1">IF(_xll.ciqfunctions.udf.CIQ($A38, "IQ_EBITDA", $B$3, $L$2,$L$4, $L$3, $L$5, $L$6)=0,Z38,_xll.ciqfunctions.udf.CIQ($A38, "IQ_EBITDA", $B$3, $L$2,$L$4, $L$3, $L$5, $L$6))</f>
        <v>#NAME?</v>
      </c>
      <c r="AC38" s="84" t="e">
        <f ca="1">IF(_xll.ciqfunctions.udf.CIQ($A38, "IQ_EBITDA_EST",$B$4, $L$2, "CON", $L$3, $L$5, $L$6)=0,"n/a",_xll.ciqfunctions.udf.CIQ($A38, "IQ_EBITDA_EST",$B$4, $L$2, "CON", $L$3, $L$5, $L$6))</f>
        <v>#NAME?</v>
      </c>
      <c r="AD38" s="84" t="e">
        <f ca="1">IF(_xll.ciqfunctions.udf.CIQ($A38, "IQ_EBITDA_EST",$B$5, $L$2, "CON", $L$3, $L$5, $L$6)=0,"n/a",_xll.ciqfunctions.udf.CIQ($A38, "IQ_EBITDA_EST",$B$5, $L$2, "CON", $L$3, $L$5, $L$6))</f>
        <v>#NAME?</v>
      </c>
      <c r="AE38" s="84" t="e">
        <f ca="1">IF(_xll.ciqfunctions.udf.CIQ($A38, "IQ_EBITDA_EST",$B$6, $L$2, "CON", $L$3, $L$5, $L$6)=0,"n/a",_xll.ciqfunctions.udf.CIQ($A38, "IQ_EBITDA_EST",$B$6, $L$2, "CON", $L$3, $L$5, $L$6))</f>
        <v>#NAME?</v>
      </c>
      <c r="AF38" s="69" t="str">
        <f ca="1">IF(ISERROR(_xll.ciqfunctions.udf.CIQ($A38, "IQ_GROSS_MARGIN", IQ_LTM, $L$2,$L$4, $L$3, $L$5, $L$6)/100), "n/a", _xll.ciqfunctions.udf.CIQ($A38,  "IQ_GROSS_MARGIN", IQ_LTM, $L$2, $L$4, $L$3, $L$5, $L$6)/100)</f>
        <v>n/a</v>
      </c>
      <c r="AG38" s="69" t="str">
        <f ca="1">IF(ISERROR(_xll.ciqfunctions.udf.CIQ($A38,"IQ_EBITDA_MARGIN", IQ_LTM, $L$2, $L$4, $L$3, $L$5, $L$6)/100), "n/a", _xll.ciqfunctions.udf.CIQ($A38, "IQ_EBITDA_MARGIN", IQ_LTM, $L$2, $L$4, $L$3, $L$5, $L$6)/100)</f>
        <v>n/a</v>
      </c>
      <c r="AH38" s="69" t="str">
        <f ca="1">IF(ISERROR(_xll.ciqfunctions.udf.CIQ($A38,"IQ_EBIT_MARGIN", IQ_LTM, $L$2, $L$4, $L$3, $L$5, $L$6)/100), "n/a", _xll.ciqfunctions.udf.CIQ($A38, "IQ_EBIT_MARGIN", IQ_LTM, $L$2, $L$4, $L$3, $L$5, $L$6)/100)</f>
        <v>n/a</v>
      </c>
      <c r="AI38" s="69" t="str">
        <f ca="1">IF(ISERROR(_xll.ciqfunctions.udf.CIQ($A38,"IQ_NI_MARGIN", IQ_LTM, $L$2, $L$4, $L$3, $L$5, $L$6)/100), "n/a", _xll.ciqfunctions.udf.CIQ($A38, "IQ_NI_MARGIN", IQ_LTM, $L$2, $L$4, $L$3, $L$5, $L$6)/100)</f>
        <v>n/a</v>
      </c>
      <c r="AJ38" s="84" t="str">
        <f ca="1">IF(ISERROR(_xll.ciqfunctions.udf.CIQ($A38, "IQ_NET_WORKING_CAP", IQ_LTM-8, $L$2, $L$4, $L$3, $L$5, $L$6)), "n/a", _xll.ciqfunctions.udf.CIQ($A38, "IQ_NET_WORKING_CAP", IQ_LTM-8, $L$2, $L$4, $L$3, $L$5, $L$6))</f>
        <v>n/a</v>
      </c>
      <c r="AK38" s="84" t="str">
        <f ca="1">IF(ISERROR(_xll.ciqfunctions.udf.CIQ($A38, "IQ_NET_WORKING_CAP", IQ_LTM-4, $L$2, $L$4, $L$3, $L$5, $L$6)), "n/a", _xll.ciqfunctions.udf.CIQ($A38, "IQ_NET_WORKING_CAP", IQ_LTM-4, $L$2, $L$4, $L$3, $L$5, $L$6))</f>
        <v>n/a</v>
      </c>
      <c r="AL38" s="84" t="str">
        <f ca="1">IF(ISERROR(_xll.ciqfunctions.udf.CIQ($A38, "IQ_NET_WORKING_CAP", IQ_LTM, $L$2,$L$4, $L$3, $L$5, $L$6)), "n/a", _xll.ciqfunctions.udf.CIQ($A38, "IQ_NET_WORKING_CAP", IQ_LTM, $L$2, $L$4, $L$3, $L$5, $L$6))</f>
        <v>n/a</v>
      </c>
      <c r="AM38" s="84" t="str">
        <f ca="1">IF(ISERROR(_xll.ciqfunctions.udf.CIQ($A38, "IQ_Capex", IQ_LTM-8, $L$2,$L$4, $L$3, $L$5, $L$6)), "n/a", _xll.ciqfunctions.udf.CIQ($A38, "IQ_Capex", IQ_LTM-8, $L$2, $L$4, $L$3, $L$5, $L$6))</f>
        <v>n/a</v>
      </c>
      <c r="AN38" s="84" t="str">
        <f ca="1">IF(ISERROR(_xll.ciqfunctions.udf.CIQ($A38, "IQ_Capex", IQ_LTM-4, $L$2,$L$4, $L$3, $L$5, $L$6)), "n/a", _xll.ciqfunctions.udf.CIQ($A38, "IQ_Capex", IQ_LTM-4, $L$2,$L$4, $L$3, $L$5, $L$6))</f>
        <v>n/a</v>
      </c>
      <c r="AO38" s="84" t="str">
        <f ca="1">IF(ISERROR(_xll.ciqfunctions.udf.CIQ($A38, "IQ_Capex", IQ_LTM, $L$2, $L$4, $L$3, $L$5, $L$6)), "n/a", _xll.ciqfunctions.udf.CIQ($A38, "IQ_Capex", IQ_LTM, $L$2, $L$4, $L$3, $L$5, $L$6))</f>
        <v>n/a</v>
      </c>
      <c r="AP38" s="66" t="e">
        <f ca="1">_xll.ciqfunctions.udf.CIQ(A38, "IQ_BUSINESS_DESCRIPTION")</f>
        <v>#NAME?</v>
      </c>
      <c r="AQ38" s="85" t="e">
        <f ca="1">_xll.ciqfunctions.udf.CIQ($A38, "IQ_BETA_1YR", $B$1)</f>
        <v>#NAME?</v>
      </c>
      <c r="AR38" s="85" t="e">
        <f ca="1">_xll.ciqfunctions.udf.CIQ($A38, "IQ_BETA_2YR", $B$1)</f>
        <v>#NAME?</v>
      </c>
      <c r="AS38" s="85" t="e">
        <f ca="1">_xll.ciqfunctions.udf.CIQ($A38, "IQ_BETA_5YR", $B$1)</f>
        <v>#NAME?</v>
      </c>
      <c r="AT38" s="69" t="e">
        <f ca="1">_xll.ciqfunctions.udf.CIQ($A38, "IQ_DIVIDEND_YIELD", $B$1)/100</f>
        <v>#NAME?</v>
      </c>
      <c r="AU38" s="84" t="e">
        <f ca="1">_xll.ciqfunctions.udf.CIQ($A38, "IQ_EARNING_CO", IQ_LTM-8, $L$2, $L$4, $L$3, $L$5, $L$6)</f>
        <v>#NAME?</v>
      </c>
      <c r="AV38" s="84" t="e">
        <f ca="1">_xll.ciqfunctions.udf.CIQ($A38, "IQ_EARNING_CO", IQ_LTM-4, $L$2, $L$4, $L$3, $L$5, $L$6)</f>
        <v>#NAME?</v>
      </c>
      <c r="AW38" s="84" t="e">
        <f ca="1">_xll.ciqfunctions.udf.CIQ($A38, "IQ_EARNING_CO", IQ_LTM, $L$2, $L$4, $L$3, $L$5, $L$6)</f>
        <v>#NAME?</v>
      </c>
      <c r="AX38" s="84" t="e">
        <f ca="1">_xll.ciqfunctions.udf.CIQ($A38, "IQ_EARNING_CO", $B$2, $L$2, $L$4, $L$3, $L$5, $L$6)</f>
        <v>#NAME?</v>
      </c>
      <c r="AY38" s="84" t="e">
        <f ca="1">IF(_xll.ciqfunctions.udf.CIQ($A38, "IQ_EARNING_CO", $B$3, $L$2,$L$4, $L$3, $L$5, $L$6)=0,AW38,_xll.ciqfunctions.udf.CIQ($A38, "IQ_EARNING_CO", $B$3, $L$2,$L$4, $L$3, $L$5, $L$6))</f>
        <v>#NAME?</v>
      </c>
      <c r="AZ38" s="84" t="e">
        <f ca="1">_xll.ciqfunctions.udf.CIQ($A38, "IQ_TOTAL_EQUITY", IQ_LTM-8, $L$2, $L$4, $L$3, $L$5, $L$6)</f>
        <v>#NAME?</v>
      </c>
      <c r="BA38" s="84" t="e">
        <f ca="1">_xll.ciqfunctions.udf.CIQ($A38, "IQ_TOTAL_EQUITY", IQ_LTM-4, $L$2, $L$4, $L$3, $L$5, $L$6)</f>
        <v>#NAME?</v>
      </c>
      <c r="BB38" s="84" t="e">
        <f ca="1">_xll.ciqfunctions.udf.CIQ($A38, "IQ_TOTAL_EQUITY", IQ_LTM, $L$2, $L$4, $L$3, $L$5, $L$6)</f>
        <v>#NAME?</v>
      </c>
      <c r="BC38" s="84" t="e">
        <f ca="1">_xll.ciqfunctions.udf.CIQ($A38, "IQ_TOTAL_EQUITY", $B$2, $L$2, $L$4, $L$3, $L$5, $L$6)</f>
        <v>#NAME?</v>
      </c>
      <c r="BD38" s="84" t="e">
        <f ca="1">IF(_xll.ciqfunctions.udf.CIQ($A38, "IQ_TOTAL_EQUITY", $B$3, $L$2,$L$4, $L$3, $L$5, $L$6)=0,BB38,_xll.ciqfunctions.udf.CIQ($A38, "IQ_TOTAL_EQUITY", $B$3, $L$2,$L$4, $L$3, $L$5, $L$6))</f>
        <v>#NAME?</v>
      </c>
      <c r="BE38" s="84" t="e">
        <f ca="1">_xll.ciqfunctions.udf.CIQ(A38, "IQ_LASTSALEPRICE", $B$8)</f>
        <v>#NAME?</v>
      </c>
      <c r="BF38" s="84" t="e">
        <f ca="1">_xll.ciqfunctions.udf.CIQ($A38, "IQ_MARKETCAP", $B$8, $L$5, $L$6)</f>
        <v>#NAME?</v>
      </c>
      <c r="BG38" s="84" t="e">
        <f ca="1">_xll.ciqfunctions.udf.CIQ($A38, "IQ_TOTAL_DEBT", IQ_LTM, $B$8,$L$4, $L$3, $L$5, $L$6)</f>
        <v>#NAME?</v>
      </c>
      <c r="BH38" s="67" t="e">
        <f ca="1">_xll.ciqfunctions.udf.CIQ($A38,"IQ_PREF_EQUITY",IQ_LTM,$B$8,$L$4,$L$3,$L$5,$L$6)</f>
        <v>#NAME?</v>
      </c>
      <c r="BI38" s="67" t="e">
        <f ca="1">_xll.ciqfunctions.udf.CIQ($A38, "IQ_MINORITY_INTEREST_TOTAL", IQ_LTM,$B$8,$L$4,$L$3,$L$5,$L$6)</f>
        <v>#NAME?</v>
      </c>
      <c r="BJ38" s="84" t="e">
        <f ca="1">_xll.ciqfunctions.udf.CIQ($A38, "IQ_CASH_ST_INVEST", IQ_LTM, $B$8, $L$4, $L$3, $L$5, $L$6)</f>
        <v>#NAME?</v>
      </c>
      <c r="BK38" s="67" t="e">
        <f ca="1">_xll.ciqfunctions.udf.CIQ($A38, "IQ_EFFECT_TAX_RATE")</f>
        <v>#NAME?</v>
      </c>
      <c r="BL38" s="67" t="e">
        <f ca="1">IF(_xll.ciqfunctions.udf.CIQ($A38, "IQ_TOTAL_REV_2YR_ANN_CAGR", IQ_LTM, $B$1,$L$4, $L$3, $L$5, $L$6)="NM","n/a",(_xll.ciqfunctions.udf.CIQ($A38, "IQ_TOTAL_REV_2YR_ANN_CAGR", IQ_LTM, $B$1,$L$4, $L$3, $L$5, $L$6)/100))</f>
        <v>#NAME?</v>
      </c>
      <c r="BM38" s="67" t="e">
        <f ca="1">IF(_xll.ciqfunctions.udf.CIQ($A38, "IQ_TOTAL_REV_3YR_ANN_CAGR", IQ_LTM, $B$1,$L$4, $L$3, $L$5, $L$6)="NM","n/a",(_xll.ciqfunctions.udf.CIQ($A38, "IQ_TOTAL_REV_3YR_ANN_CAGR", IQ_LTM, $B$1,$L$4, $L$3, $L$5, $L$6)/100))</f>
        <v>#NAME?</v>
      </c>
      <c r="BN38" s="67" t="e">
        <f ca="1">IF(_xll.ciqfunctions.udf.CIQ($A38, "IQ_TOTAL_REV_5YR_ANN_CAGR", IQ_LTM, $B$1,$L$4, $L$3, $L$5, $L$6)="NM","n/a",(_xll.ciqfunctions.udf.CIQ($A38, "IQ_TOTAL_REV_5YR_ANN_CAGR", IQ_LTM, $B$1,$L$4, $L$3, $L$5, $L$6)/100))</f>
        <v>#NAME?</v>
      </c>
      <c r="BO38" s="67" t="e">
        <f ca="1">IF(_xll.ciqfunctions.udf.CIQ($A38,"IQ_EBITDA_2YR_ANN_CAGR", IQ_LTM,$B$1,$L$4, $L$3, $L$5, $L$6)="NM","n/a",(_xll.ciqfunctions.udf.CIQ($A38,"IQ_EBITDA_2YR_ANN_CAGR", IQ_LTM,$B$1,$L$4, $L$3, $L$5, $L$6)/100))</f>
        <v>#NAME?</v>
      </c>
      <c r="BP38" s="67" t="e">
        <f ca="1">IF(_xll.ciqfunctions.udf.CIQ($A38,"IQ_EBITDA_3YR_ANN_CAGR", IQ_LTM,$B$1,$L$4, $L$3, $L$5, $L$6)="NM","n/a",(_xll.ciqfunctions.udf.CIQ($A38,"IQ_EBITDA_3YR_ANN_CAGR", IQ_LTM,$B$1,$L$4, $L$3, $L$5, $L$6)/100))</f>
        <v>#NAME?</v>
      </c>
      <c r="BQ38" s="67" t="e">
        <f ca="1">IF(_xll.ciqfunctions.udf.CIQ($A38,"IQ_EBITDA_5YR_ANN_CAGR", IQ_LTM,$B$1,$L$4, $L$3, $L$5, $L$6)="NM","n/a",(_xll.ciqfunctions.udf.CIQ($A38,"IQ_EBITDA_5YR_ANN_CAGR", IQ_LTM,$B$1,$L$4, $L$3, $L$5, $L$6)/100))</f>
        <v>#NAME?</v>
      </c>
      <c r="BR38" s="69" t="str">
        <f ca="1">IFERROR((_xll.ciqfunctions.udf.CIQ($A38, "IQ_DA_CF", IQ_LTM, $B$1, $L$4, $L$3, $L$5, $L$6)/Q38),"NM")</f>
        <v>NM</v>
      </c>
      <c r="BS38" s="86" t="e">
        <f>'Capital IQ Sheet-GPC'!BS37</f>
        <v>#VALUE!</v>
      </c>
      <c r="BT38" s="86" t="e">
        <f>'Capital IQ Sheet-GPC'!BT37</f>
        <v>#VALUE!</v>
      </c>
      <c r="BU38" s="86" t="e">
        <f>'Capital IQ Sheet-GPC'!BU37</f>
        <v>#VALUE!</v>
      </c>
      <c r="BV38" s="86" t="e">
        <f>'Capital IQ Sheet-GPC'!BV37</f>
        <v>#VALUE!</v>
      </c>
      <c r="BW38" s="86" t="e">
        <f>'Capital IQ Sheet-GPC'!BW37</f>
        <v>#VALUE!</v>
      </c>
      <c r="BX38" s="86" t="e">
        <f>'Capital IQ Sheet-GPC'!BX37</f>
        <v>#VALUE!</v>
      </c>
      <c r="BY38" s="86" t="e">
        <f>'Capital IQ Sheet-GPC'!BY37</f>
        <v>#VALUE!</v>
      </c>
      <c r="BZ38" s="86" t="e">
        <f>'Capital IQ Sheet-GPC'!BZ37</f>
        <v>#VALUE!</v>
      </c>
      <c r="CB38" s="67">
        <v>2</v>
      </c>
      <c r="CC38" s="123" t="s">
        <v>295</v>
      </c>
      <c r="CD38" s="123" t="s">
        <v>294</v>
      </c>
      <c r="CE38" s="68">
        <f t="shared" si="0"/>
        <v>42766</v>
      </c>
    </row>
    <row r="39" spans="1:83" s="67" customFormat="1" ht="12.75">
      <c r="A39" s="67" t="e">
        <f ca="1">_xll.ciqfunctions.udf.CIQ($B39,"IQ_COMPANY_TICKER")</f>
        <v>#NAME?</v>
      </c>
      <c r="B39" s="67" t="str">
        <f>'Capital IQ Sheet-GPC'!B38</f>
        <v>(Invalid Identifier)</v>
      </c>
      <c r="C39" s="67" t="e">
        <f ca="1">_xll.ciqfunctions.udf.CIQ($A39,"IQ_COMPANY_NAME")</f>
        <v>#NAME?</v>
      </c>
      <c r="D39" s="67" t="e">
        <f ca="1">_xll.ciqfunctions.udf.CIQ($A39, "IQ_EXCHANGE")</f>
        <v>#NAME?</v>
      </c>
      <c r="E39" s="68" t="e">
        <f ca="1">_xll.ciqfunctions.udf.CIQ($A39, "IQ_PERIODDATE_IS", IQ_FY)</f>
        <v>#NAME?</v>
      </c>
      <c r="F39" s="68" t="e">
        <f ca="1">_xll.ciqfunctions.udf.CIQ(A39, "IQ_PERIODDATE_IS", IQ_LTM, $B$1,$L$4,$L$3)</f>
        <v>#NAME?</v>
      </c>
      <c r="G39" s="68" t="e">
        <f ca="1">_xll.ciqfunctions.udf.CIQ($A39, "IQ_FIRSTPRICINGDATE")</f>
        <v>#NAME?</v>
      </c>
      <c r="H39" s="84" t="e">
        <f ca="1">_xll.ciqfunctions.udf.CIQ($A39, "IQ_TEV", $L$2, $L$5, $L$6)</f>
        <v>#NAME?</v>
      </c>
      <c r="I39" s="84" t="e">
        <f ca="1">_xll.ciqfunctions.udf.CIQ(A39, "IQ_LASTSALEPRICE", $B$1,$L$5)</f>
        <v>#NAME?</v>
      </c>
      <c r="J39" s="84" t="e">
        <f ca="1">_xll.ciqfunctions.udf.CIQ($A39, "IQ_MARKETCAP", $L$2, $L$5, $L$6)</f>
        <v>#NAME?</v>
      </c>
      <c r="K39" s="84" t="e">
        <f ca="1">_xll.ciqfunctions.udf.CIQ($A39, "IQ_TOTAL_DEBT", IQ_LTM, $L$2,$L$4, $L$3, $L$5, $L$6)</f>
        <v>#NAME?</v>
      </c>
      <c r="L39" s="84" t="e">
        <f ca="1">_xll.ciqfunctions.udf.CIQ($A39, "IQ_PREF_EQUITY", IQ_LTM, $L$2, $L$4, $L$3, $L$5, $L$6)</f>
        <v>#NAME?</v>
      </c>
      <c r="M39" s="84" t="e">
        <f ca="1">_xll.ciqfunctions.udf.CIQ($A39, "IQ_MINORITY_INTEREST_TOTAL", IQ_LTM, $L$2, $L$4, $L$3, $L$5, $L$6)</f>
        <v>#NAME?</v>
      </c>
      <c r="N39" s="84" t="e">
        <f ca="1">_xll.ciqfunctions.udf.CIQ($A39, "IQ_CASH_ST_INVEST", IQ_LTM, $L$2, $L$4, $L$3, $L$5, $L$6)</f>
        <v>#NAME?</v>
      </c>
      <c r="O39" s="84" t="e">
        <f ca="1">_xll.ciqfunctions.udf.CIQ($A39, "IQ_TOTAL_REV", IQ_LTM-8, $L$2, $L$4, $L$3, $L$5, $L$6)</f>
        <v>#NAME?</v>
      </c>
      <c r="P39" s="84" t="e">
        <f ca="1">_xll.ciqfunctions.udf.CIQ($A39, "IQ_TOTAL_REV", IQ_LTM - 4, $L$2, $L$4, $L$3, $L$5,$L$6)</f>
        <v>#NAME?</v>
      </c>
      <c r="Q39" s="84" t="e">
        <f ca="1">_xll.ciqfunctions.udf.CIQ($A39, "IQ_TOTAL_REV", IQ_LTM, $L$2, $L$4, $L$3, $L$5, $L$6)</f>
        <v>#NAME?</v>
      </c>
      <c r="R39" s="84" t="e">
        <f ca="1">_xll.ciqfunctions.udf.CIQ($A39, "IQ_TOTAL_REV", $B$2, $L$2, $L$4, $L$3, $L$5, $L$6)</f>
        <v>#NAME?</v>
      </c>
      <c r="S39" s="84" t="e">
        <f ca="1">IF(_xll.ciqfunctions.udf.CIQ($A39, "IQ_TOTAL_REV", $B$3, $L$2,$L$4, $L$3, $L$5, $L$6)=0,Q39,_xll.ciqfunctions.udf.CIQ($A39, "IQ_TOTAL_REV", $B$3, $L$2,$L$4, $L$3, $L$5, $L$6))</f>
        <v>#NAME?</v>
      </c>
      <c r="T39" s="84" t="e">
        <f ca="1">IF(_xll.ciqfunctions.udf.CIQ($A39, "IQ_REVENUE_EST",$B$4, $L$2, "CON", $L$3, $L$5, $L$6)=0,"n/a",_xll.ciqfunctions.udf.CIQ($A39, "IQ_REVENUE_EST",$B$4, $L$2, "CON", $L$3, $L$5, $L$6))</f>
        <v>#NAME?</v>
      </c>
      <c r="U39" s="84" t="e">
        <f ca="1">IF(_xll.ciqfunctions.udf.CIQ($A39, "IQ_REVENUE_EST",$B$5, $L$2, "CON", $L$3, $L$5, $L$6)=0,"n/a",_xll.ciqfunctions.udf.CIQ($A39, "IQ_REVENUE_EST",$B$5, $L$2, "CON", $L$3, $L$5, $L$6))</f>
        <v>#NAME?</v>
      </c>
      <c r="V39" s="84" t="e">
        <f ca="1">IF(_xll.ciqfunctions.udf.CIQ($A39, "IQ_REVENUE_EST",$B$6, $L$2, "CON", $L$3, $L$5, $L$6)=0,"n/a",_xll.ciqfunctions.udf.CIQ($A39, "IQ_REVENUE_EST",$B$6, $L$2, "CON", $L$3, $L$5, $L$6))</f>
        <v>#NAME?</v>
      </c>
      <c r="W39" s="84" t="e">
        <f ca="1">IF(_xll.ciqfunctions.udf.CIQ($A39, "IQ_REVENUE_EST", $B$7, $L$2, "CON", $L$3, $L$5, $L$6)=0,"n/a",_xll.ciqfunctions.udf.CIQ($A39, "IQ_REVENUE_EST",$B$7, $L$2, "CON", $L$3, $L$5, $L$6))</f>
        <v>#NAME?</v>
      </c>
      <c r="X39" s="84" t="e">
        <f ca="1">_xll.ciqfunctions.udf.CIQ($A39, "IQ_EBITDA", IQ_LTM-8, $L$2, $L$4, $L$3, $L$5, $L$6)</f>
        <v>#NAME?</v>
      </c>
      <c r="Y39" s="84" t="e">
        <f ca="1">_xll.ciqfunctions.udf.CIQ($A39, "IQ_EBITDA", IQ_LTM-4, $L$2,$L$4, $L$3, $L$5, $L$6)</f>
        <v>#NAME?</v>
      </c>
      <c r="Z39" s="84" t="e">
        <f ca="1">_xll.ciqfunctions.udf.CIQ($A39, "IQ_EBITDA", IQ_LTM, $L$2, $L$4, $L$3, $L$5, $L$6)</f>
        <v>#NAME?</v>
      </c>
      <c r="AA39" s="84" t="e">
        <f ca="1">_xll.ciqfunctions.udf.CIQ($A39, "IQ_EBITDA", $B$2, $L$2, $L$4, $L$3, $L$5, $L$6)</f>
        <v>#NAME?</v>
      </c>
      <c r="AB39" s="84" t="e">
        <f ca="1">IF(_xll.ciqfunctions.udf.CIQ($A39, "IQ_EBITDA", $B$3, $L$2,$L$4, $L$3, $L$5, $L$6)=0,Z39,_xll.ciqfunctions.udf.CIQ($A39, "IQ_EBITDA", $B$3, $L$2,$L$4, $L$3, $L$5, $L$6))</f>
        <v>#NAME?</v>
      </c>
      <c r="AC39" s="84" t="e">
        <f ca="1">IF(_xll.ciqfunctions.udf.CIQ($A39, "IQ_EBITDA_EST",$B$4, $L$2, "CON", $L$3, $L$5, $L$6)=0,"n/a",_xll.ciqfunctions.udf.CIQ($A39, "IQ_EBITDA_EST",$B$4, $L$2, "CON", $L$3, $L$5, $L$6))</f>
        <v>#NAME?</v>
      </c>
      <c r="AD39" s="84" t="e">
        <f ca="1">IF(_xll.ciqfunctions.udf.CIQ($A39, "IQ_EBITDA_EST",$B$5, $L$2, "CON", $L$3, $L$5, $L$6)=0,"n/a",_xll.ciqfunctions.udf.CIQ($A39, "IQ_EBITDA_EST",$B$5, $L$2, "CON", $L$3, $L$5, $L$6))</f>
        <v>#NAME?</v>
      </c>
      <c r="AE39" s="84" t="e">
        <f ca="1">IF(_xll.ciqfunctions.udf.CIQ($A39, "IQ_EBITDA_EST",$B$6, $L$2, "CON", $L$3, $L$5, $L$6)=0,"n/a",_xll.ciqfunctions.udf.CIQ($A39, "IQ_EBITDA_EST",$B$6, $L$2, "CON", $L$3, $L$5, $L$6))</f>
        <v>#NAME?</v>
      </c>
      <c r="AF39" s="69" t="str">
        <f ca="1">IF(ISERROR(_xll.ciqfunctions.udf.CIQ($A39, "IQ_GROSS_MARGIN", IQ_LTM, $L$2,$L$4, $L$3, $L$5, $L$6)/100), "n/a", _xll.ciqfunctions.udf.CIQ($A39,  "IQ_GROSS_MARGIN", IQ_LTM, $L$2, $L$4, $L$3, $L$5, $L$6)/100)</f>
        <v>n/a</v>
      </c>
      <c r="AG39" s="69" t="str">
        <f ca="1">IF(ISERROR(_xll.ciqfunctions.udf.CIQ($A39,"IQ_EBITDA_MARGIN", IQ_LTM, $L$2, $L$4, $L$3, $L$5, $L$6)/100), "n/a", _xll.ciqfunctions.udf.CIQ($A39, "IQ_EBITDA_MARGIN", IQ_LTM, $L$2, $L$4, $L$3, $L$5, $L$6)/100)</f>
        <v>n/a</v>
      </c>
      <c r="AH39" s="69" t="str">
        <f ca="1">IF(ISERROR(_xll.ciqfunctions.udf.CIQ($A39,"IQ_EBIT_MARGIN", IQ_LTM, $L$2, $L$4, $L$3, $L$5, $L$6)/100), "n/a", _xll.ciqfunctions.udf.CIQ($A39, "IQ_EBIT_MARGIN", IQ_LTM, $L$2, $L$4, $L$3, $L$5, $L$6)/100)</f>
        <v>n/a</v>
      </c>
      <c r="AI39" s="69" t="str">
        <f ca="1">IF(ISERROR(_xll.ciqfunctions.udf.CIQ($A39,"IQ_NI_MARGIN", IQ_LTM, $L$2, $L$4, $L$3, $L$5, $L$6)/100), "n/a", _xll.ciqfunctions.udf.CIQ($A39, "IQ_NI_MARGIN", IQ_LTM, $L$2, $L$4, $L$3, $L$5, $L$6)/100)</f>
        <v>n/a</v>
      </c>
      <c r="AJ39" s="84" t="str">
        <f ca="1">IF(ISERROR(_xll.ciqfunctions.udf.CIQ($A39, "IQ_NET_WORKING_CAP", IQ_LTM-8, $L$2, $L$4, $L$3, $L$5, $L$6)), "n/a", _xll.ciqfunctions.udf.CIQ($A39, "IQ_NET_WORKING_CAP", IQ_LTM-8, $L$2, $L$4, $L$3, $L$5, $L$6))</f>
        <v>n/a</v>
      </c>
      <c r="AK39" s="84" t="str">
        <f ca="1">IF(ISERROR(_xll.ciqfunctions.udf.CIQ($A39, "IQ_NET_WORKING_CAP", IQ_LTM-4, $L$2, $L$4, $L$3, $L$5, $L$6)), "n/a", _xll.ciqfunctions.udf.CIQ($A39, "IQ_NET_WORKING_CAP", IQ_LTM-4, $L$2, $L$4, $L$3, $L$5, $L$6))</f>
        <v>n/a</v>
      </c>
      <c r="AL39" s="84" t="str">
        <f ca="1">IF(ISERROR(_xll.ciqfunctions.udf.CIQ($A39, "IQ_NET_WORKING_CAP", IQ_LTM, $L$2,$L$4, $L$3, $L$5, $L$6)), "n/a", _xll.ciqfunctions.udf.CIQ($A39, "IQ_NET_WORKING_CAP", IQ_LTM, $L$2, $L$4, $L$3, $L$5, $L$6))</f>
        <v>n/a</v>
      </c>
      <c r="AM39" s="84" t="str">
        <f ca="1">IF(ISERROR(_xll.ciqfunctions.udf.CIQ($A39, "IQ_Capex", IQ_LTM-8, $L$2,$L$4, $L$3, $L$5, $L$6)), "n/a", _xll.ciqfunctions.udf.CIQ($A39, "IQ_Capex", IQ_LTM-8, $L$2, $L$4, $L$3, $L$5, $L$6))</f>
        <v>n/a</v>
      </c>
      <c r="AN39" s="84" t="str">
        <f ca="1">IF(ISERROR(_xll.ciqfunctions.udf.CIQ($A39, "IQ_Capex", IQ_LTM-4, $L$2,$L$4, $L$3, $L$5, $L$6)), "n/a", _xll.ciqfunctions.udf.CIQ($A39, "IQ_Capex", IQ_LTM-4, $L$2,$L$4, $L$3, $L$5, $L$6))</f>
        <v>n/a</v>
      </c>
      <c r="AO39" s="84" t="str">
        <f ca="1">IF(ISERROR(_xll.ciqfunctions.udf.CIQ($A39, "IQ_Capex", IQ_LTM, $L$2, $L$4, $L$3, $L$5, $L$6)), "n/a", _xll.ciqfunctions.udf.CIQ($A39, "IQ_Capex", IQ_LTM, $L$2, $L$4, $L$3, $L$5, $L$6))</f>
        <v>n/a</v>
      </c>
      <c r="AP39" s="66" t="e">
        <f ca="1">_xll.ciqfunctions.udf.CIQ(A39, "IQ_BUSINESS_DESCRIPTION")</f>
        <v>#NAME?</v>
      </c>
      <c r="AQ39" s="85" t="e">
        <f ca="1">_xll.ciqfunctions.udf.CIQ($A39, "IQ_BETA_1YR", $B$1)</f>
        <v>#NAME?</v>
      </c>
      <c r="AR39" s="85" t="e">
        <f ca="1">_xll.ciqfunctions.udf.CIQ($A39, "IQ_BETA_2YR", $B$1)</f>
        <v>#NAME?</v>
      </c>
      <c r="AS39" s="85" t="e">
        <f ca="1">_xll.ciqfunctions.udf.CIQ($A39, "IQ_BETA_5YR", $B$1)</f>
        <v>#NAME?</v>
      </c>
      <c r="AT39" s="69" t="e">
        <f ca="1">_xll.ciqfunctions.udf.CIQ($A39, "IQ_DIVIDEND_YIELD", $B$1)/100</f>
        <v>#NAME?</v>
      </c>
      <c r="AU39" s="84" t="e">
        <f ca="1">_xll.ciqfunctions.udf.CIQ($A39, "IQ_EARNING_CO", IQ_LTM-8, $L$2, $L$4, $L$3, $L$5, $L$6)</f>
        <v>#NAME?</v>
      </c>
      <c r="AV39" s="84" t="e">
        <f ca="1">_xll.ciqfunctions.udf.CIQ($A39, "IQ_EARNING_CO", IQ_LTM-4, $L$2, $L$4, $L$3, $L$5, $L$6)</f>
        <v>#NAME?</v>
      </c>
      <c r="AW39" s="84" t="e">
        <f ca="1">_xll.ciqfunctions.udf.CIQ($A39, "IQ_EARNING_CO", IQ_LTM, $L$2, $L$4, $L$3, $L$5, $L$6)</f>
        <v>#NAME?</v>
      </c>
      <c r="AX39" s="84" t="e">
        <f ca="1">_xll.ciqfunctions.udf.CIQ($A39, "IQ_EARNING_CO", $B$2, $L$2, $L$4, $L$3, $L$5, $L$6)</f>
        <v>#NAME?</v>
      </c>
      <c r="AY39" s="84" t="e">
        <f ca="1">IF(_xll.ciqfunctions.udf.CIQ($A39, "IQ_EARNING_CO", $B$3, $L$2,$L$4, $L$3, $L$5, $L$6)=0,AW39,_xll.ciqfunctions.udf.CIQ($A39, "IQ_EARNING_CO", $B$3, $L$2,$L$4, $L$3, $L$5, $L$6))</f>
        <v>#NAME?</v>
      </c>
      <c r="AZ39" s="84" t="e">
        <f ca="1">_xll.ciqfunctions.udf.CIQ($A39, "IQ_TOTAL_EQUITY", IQ_LTM-8, $L$2, $L$4, $L$3, $L$5, $L$6)</f>
        <v>#NAME?</v>
      </c>
      <c r="BA39" s="84" t="e">
        <f ca="1">_xll.ciqfunctions.udf.CIQ($A39, "IQ_TOTAL_EQUITY", IQ_LTM-4, $L$2, $L$4, $L$3, $L$5, $L$6)</f>
        <v>#NAME?</v>
      </c>
      <c r="BB39" s="84" t="e">
        <f ca="1">_xll.ciqfunctions.udf.CIQ($A39, "IQ_TOTAL_EQUITY", IQ_LTM, $L$2, $L$4, $L$3, $L$5, $L$6)</f>
        <v>#NAME?</v>
      </c>
      <c r="BC39" s="84" t="e">
        <f ca="1">_xll.ciqfunctions.udf.CIQ($A39, "IQ_TOTAL_EQUITY", $B$2, $L$2, $L$4, $L$3, $L$5, $L$6)</f>
        <v>#NAME?</v>
      </c>
      <c r="BD39" s="84" t="e">
        <f ca="1">IF(_xll.ciqfunctions.udf.CIQ($A39, "IQ_TOTAL_EQUITY", $B$3, $L$2,$L$4, $L$3, $L$5, $L$6)=0,BB39,_xll.ciqfunctions.udf.CIQ($A39, "IQ_TOTAL_EQUITY", $B$3, $L$2,$L$4, $L$3, $L$5, $L$6))</f>
        <v>#NAME?</v>
      </c>
      <c r="BE39" s="84" t="e">
        <f ca="1">_xll.ciqfunctions.udf.CIQ(A39, "IQ_LASTSALEPRICE", $B$8)</f>
        <v>#NAME?</v>
      </c>
      <c r="BF39" s="84" t="e">
        <f ca="1">_xll.ciqfunctions.udf.CIQ($A39, "IQ_MARKETCAP", $B$8, $L$5, $L$6)</f>
        <v>#NAME?</v>
      </c>
      <c r="BG39" s="84" t="e">
        <f ca="1">_xll.ciqfunctions.udf.CIQ($A39, "IQ_TOTAL_DEBT", IQ_LTM, $B$8,$L$4, $L$3, $L$5, $L$6)</f>
        <v>#NAME?</v>
      </c>
      <c r="BH39" s="67" t="e">
        <f ca="1">_xll.ciqfunctions.udf.CIQ($A39,"IQ_PREF_EQUITY",IQ_LTM,$B$8,$L$4,$L$3,$L$5,$L$6)</f>
        <v>#NAME?</v>
      </c>
      <c r="BI39" s="67" t="e">
        <f ca="1">_xll.ciqfunctions.udf.CIQ($A39, "IQ_MINORITY_INTEREST_TOTAL", IQ_LTM,$B$8,$L$4,$L$3,$L$5,$L$6)</f>
        <v>#NAME?</v>
      </c>
      <c r="BJ39" s="84" t="e">
        <f ca="1">_xll.ciqfunctions.udf.CIQ($A39, "IQ_CASH_ST_INVEST", IQ_LTM, $B$8, $L$4, $L$3, $L$5, $L$6)</f>
        <v>#NAME?</v>
      </c>
      <c r="BK39" s="67" t="e">
        <f ca="1">_xll.ciqfunctions.udf.CIQ($A39, "IQ_EFFECT_TAX_RATE")</f>
        <v>#NAME?</v>
      </c>
      <c r="BL39" s="67" t="e">
        <f ca="1">IF(_xll.ciqfunctions.udf.CIQ($A39, "IQ_TOTAL_REV_2YR_ANN_CAGR", IQ_LTM, $B$1,$L$4, $L$3, $L$5, $L$6)="NM","n/a",(_xll.ciqfunctions.udf.CIQ($A39, "IQ_TOTAL_REV_2YR_ANN_CAGR", IQ_LTM, $B$1,$L$4, $L$3, $L$5, $L$6)/100))</f>
        <v>#NAME?</v>
      </c>
      <c r="BM39" s="67" t="e">
        <f ca="1">IF(_xll.ciqfunctions.udf.CIQ($A39, "IQ_TOTAL_REV_3YR_ANN_CAGR", IQ_LTM, $B$1,$L$4, $L$3, $L$5, $L$6)="NM","n/a",(_xll.ciqfunctions.udf.CIQ($A39, "IQ_TOTAL_REV_3YR_ANN_CAGR", IQ_LTM, $B$1,$L$4, $L$3, $L$5, $L$6)/100))</f>
        <v>#NAME?</v>
      </c>
      <c r="BN39" s="67" t="e">
        <f ca="1">IF(_xll.ciqfunctions.udf.CIQ($A39, "IQ_TOTAL_REV_5YR_ANN_CAGR", IQ_LTM, $B$1,$L$4, $L$3, $L$5, $L$6)="NM","n/a",(_xll.ciqfunctions.udf.CIQ($A39, "IQ_TOTAL_REV_5YR_ANN_CAGR", IQ_LTM, $B$1,$L$4, $L$3, $L$5, $L$6)/100))</f>
        <v>#NAME?</v>
      </c>
      <c r="BO39" s="67" t="e">
        <f ca="1">IF(_xll.ciqfunctions.udf.CIQ($A39,"IQ_EBITDA_2YR_ANN_CAGR", IQ_LTM,$B$1,$L$4, $L$3, $L$5, $L$6)="NM","n/a",(_xll.ciqfunctions.udf.CIQ($A39,"IQ_EBITDA_2YR_ANN_CAGR", IQ_LTM,$B$1,$L$4, $L$3, $L$5, $L$6)/100))</f>
        <v>#NAME?</v>
      </c>
      <c r="BP39" s="67" t="e">
        <f ca="1">IF(_xll.ciqfunctions.udf.CIQ($A39,"IQ_EBITDA_3YR_ANN_CAGR", IQ_LTM,$B$1,$L$4, $L$3, $L$5, $L$6)="NM","n/a",(_xll.ciqfunctions.udf.CIQ($A39,"IQ_EBITDA_3YR_ANN_CAGR", IQ_LTM,$B$1,$L$4, $L$3, $L$5, $L$6)/100))</f>
        <v>#NAME?</v>
      </c>
      <c r="BQ39" s="67" t="e">
        <f ca="1">IF(_xll.ciqfunctions.udf.CIQ($A39,"IQ_EBITDA_5YR_ANN_CAGR", IQ_LTM,$B$1,$L$4, $L$3, $L$5, $L$6)="NM","n/a",(_xll.ciqfunctions.udf.CIQ($A39,"IQ_EBITDA_5YR_ANN_CAGR", IQ_LTM,$B$1,$L$4, $L$3, $L$5, $L$6)/100))</f>
        <v>#NAME?</v>
      </c>
      <c r="BR39" s="69" t="str">
        <f ca="1">IFERROR((_xll.ciqfunctions.udf.CIQ($A39, "IQ_DA_CF", IQ_LTM, $B$1, $L$4, $L$3, $L$5, $L$6)/Q39),"NM")</f>
        <v>NM</v>
      </c>
      <c r="BS39" s="86" t="e">
        <f>'Capital IQ Sheet-GPC'!BS38</f>
        <v>#VALUE!</v>
      </c>
      <c r="BT39" s="86" t="e">
        <f>'Capital IQ Sheet-GPC'!BT38</f>
        <v>#VALUE!</v>
      </c>
      <c r="BU39" s="86" t="e">
        <f>'Capital IQ Sheet-GPC'!BU38</f>
        <v>#VALUE!</v>
      </c>
      <c r="BV39" s="86" t="e">
        <f>'Capital IQ Sheet-GPC'!BV38</f>
        <v>#VALUE!</v>
      </c>
      <c r="BW39" s="86" t="e">
        <f>'Capital IQ Sheet-GPC'!BW38</f>
        <v>#VALUE!</v>
      </c>
      <c r="BX39" s="86" t="e">
        <f>'Capital IQ Sheet-GPC'!BX38</f>
        <v>#VALUE!</v>
      </c>
      <c r="BY39" s="86" t="e">
        <f>'Capital IQ Sheet-GPC'!BY38</f>
        <v>#VALUE!</v>
      </c>
      <c r="BZ39" s="86" t="e">
        <f>'Capital IQ Sheet-GPC'!BZ38</f>
        <v>#VALUE!</v>
      </c>
      <c r="CB39" s="67">
        <v>2</v>
      </c>
      <c r="CC39" s="123" t="s">
        <v>295</v>
      </c>
      <c r="CD39" s="123" t="s">
        <v>294</v>
      </c>
      <c r="CE39" s="68">
        <f t="shared" si="0"/>
        <v>42766</v>
      </c>
    </row>
    <row r="40" spans="1:83" s="67" customFormat="1" ht="12.75">
      <c r="A40" s="67" t="e">
        <f ca="1">_xll.ciqfunctions.udf.CIQ($B40,"IQ_COMPANY_TICKER")</f>
        <v>#NAME?</v>
      </c>
      <c r="B40" s="67" t="str">
        <f>'Capital IQ Sheet-GPC'!B39</f>
        <v>(Invalid Identifier)</v>
      </c>
      <c r="C40" s="67" t="e">
        <f ca="1">_xll.ciqfunctions.udf.CIQ($A40,"IQ_COMPANY_NAME")</f>
        <v>#NAME?</v>
      </c>
      <c r="D40" s="67" t="e">
        <f ca="1">_xll.ciqfunctions.udf.CIQ($A40, "IQ_EXCHANGE")</f>
        <v>#NAME?</v>
      </c>
      <c r="E40" s="68" t="e">
        <f ca="1">_xll.ciqfunctions.udf.CIQ($A40, "IQ_PERIODDATE_IS", IQ_FY)</f>
        <v>#NAME?</v>
      </c>
      <c r="F40" s="68" t="e">
        <f ca="1">_xll.ciqfunctions.udf.CIQ(A40, "IQ_PERIODDATE_IS", IQ_LTM, $B$1,$L$4,$L$3)</f>
        <v>#NAME?</v>
      </c>
      <c r="G40" s="68" t="e">
        <f ca="1">_xll.ciqfunctions.udf.CIQ($A40, "IQ_FIRSTPRICINGDATE")</f>
        <v>#NAME?</v>
      </c>
      <c r="H40" s="84" t="e">
        <f ca="1">_xll.ciqfunctions.udf.CIQ($A40, "IQ_TEV", $L$2, $L$5, $L$6)</f>
        <v>#NAME?</v>
      </c>
      <c r="I40" s="84" t="e">
        <f ca="1">_xll.ciqfunctions.udf.CIQ(A40, "IQ_LASTSALEPRICE", $B$1,$L$5)</f>
        <v>#NAME?</v>
      </c>
      <c r="J40" s="84" t="e">
        <f ca="1">_xll.ciqfunctions.udf.CIQ($A40, "IQ_MARKETCAP", $L$2, $L$5, $L$6)</f>
        <v>#NAME?</v>
      </c>
      <c r="K40" s="84" t="e">
        <f ca="1">_xll.ciqfunctions.udf.CIQ($A40, "IQ_TOTAL_DEBT", IQ_LTM, $L$2,$L$4, $L$3, $L$5, $L$6)</f>
        <v>#NAME?</v>
      </c>
      <c r="L40" s="84" t="e">
        <f ca="1">_xll.ciqfunctions.udf.CIQ($A40, "IQ_PREF_EQUITY", IQ_LTM, $L$2, $L$4, $L$3, $L$5, $L$6)</f>
        <v>#NAME?</v>
      </c>
      <c r="M40" s="84" t="e">
        <f ca="1">_xll.ciqfunctions.udf.CIQ($A40, "IQ_MINORITY_INTEREST_TOTAL", IQ_LTM, $L$2, $L$4, $L$3, $L$5, $L$6)</f>
        <v>#NAME?</v>
      </c>
      <c r="N40" s="84" t="e">
        <f ca="1">_xll.ciqfunctions.udf.CIQ($A40, "IQ_CASH_ST_INVEST", IQ_LTM, $L$2, $L$4, $L$3, $L$5, $L$6)</f>
        <v>#NAME?</v>
      </c>
      <c r="O40" s="84" t="e">
        <f ca="1">_xll.ciqfunctions.udf.CIQ($A40, "IQ_TOTAL_REV", IQ_LTM-8, $L$2, $L$4, $L$3, $L$5, $L$6)</f>
        <v>#NAME?</v>
      </c>
      <c r="P40" s="84" t="e">
        <f ca="1">_xll.ciqfunctions.udf.CIQ($A40, "IQ_TOTAL_REV", IQ_LTM - 4, $L$2, $L$4, $L$3, $L$5,$L$6)</f>
        <v>#NAME?</v>
      </c>
      <c r="Q40" s="84" t="e">
        <f ca="1">_xll.ciqfunctions.udf.CIQ($A40, "IQ_TOTAL_REV", IQ_LTM, $L$2, $L$4, $L$3, $L$5, $L$6)</f>
        <v>#NAME?</v>
      </c>
      <c r="R40" s="84" t="e">
        <f ca="1">_xll.ciqfunctions.udf.CIQ($A40, "IQ_TOTAL_REV", $B$2, $L$2, $L$4, $L$3, $L$5, $L$6)</f>
        <v>#NAME?</v>
      </c>
      <c r="S40" s="84" t="e">
        <f ca="1">IF(_xll.ciqfunctions.udf.CIQ($A40, "IQ_TOTAL_REV", $B$3, $L$2,$L$4, $L$3, $L$5, $L$6)=0,Q40,_xll.ciqfunctions.udf.CIQ($A40, "IQ_TOTAL_REV", $B$3, $L$2,$L$4, $L$3, $L$5, $L$6))</f>
        <v>#NAME?</v>
      </c>
      <c r="T40" s="84" t="e">
        <f ca="1">IF(_xll.ciqfunctions.udf.CIQ($A40, "IQ_REVENUE_EST",$B$4, $L$2, "CON", $L$3, $L$5, $L$6)=0,"n/a",_xll.ciqfunctions.udf.CIQ($A40, "IQ_REVENUE_EST",$B$4, $L$2, "CON", $L$3, $L$5, $L$6))</f>
        <v>#NAME?</v>
      </c>
      <c r="U40" s="84" t="e">
        <f ca="1">IF(_xll.ciqfunctions.udf.CIQ($A40, "IQ_REVENUE_EST",$B$5, $L$2, "CON", $L$3, $L$5, $L$6)=0,"n/a",_xll.ciqfunctions.udf.CIQ($A40, "IQ_REVENUE_EST",$B$5, $L$2, "CON", $L$3, $L$5, $L$6))</f>
        <v>#NAME?</v>
      </c>
      <c r="V40" s="84" t="e">
        <f ca="1">IF(_xll.ciqfunctions.udf.CIQ($A40, "IQ_REVENUE_EST",$B$6, $L$2, "CON", $L$3, $L$5, $L$6)=0,"n/a",_xll.ciqfunctions.udf.CIQ($A40, "IQ_REVENUE_EST",$B$6, $L$2, "CON", $L$3, $L$5, $L$6))</f>
        <v>#NAME?</v>
      </c>
      <c r="W40" s="84" t="e">
        <f ca="1">IF(_xll.ciqfunctions.udf.CIQ($A40, "IQ_REVENUE_EST", $B$7, $L$2, "CON", $L$3, $L$5, $L$6)=0,"n/a",_xll.ciqfunctions.udf.CIQ($A40, "IQ_REVENUE_EST",$B$7, $L$2, "CON", $L$3, $L$5, $L$6))</f>
        <v>#NAME?</v>
      </c>
      <c r="X40" s="84" t="e">
        <f ca="1">_xll.ciqfunctions.udf.CIQ($A40, "IQ_EBITDA", IQ_LTM-8, $L$2, $L$4, $L$3, $L$5, $L$6)</f>
        <v>#NAME?</v>
      </c>
      <c r="Y40" s="84" t="e">
        <f ca="1">_xll.ciqfunctions.udf.CIQ($A40, "IQ_EBITDA", IQ_LTM-4, $L$2,$L$4, $L$3, $L$5, $L$6)</f>
        <v>#NAME?</v>
      </c>
      <c r="Z40" s="84" t="e">
        <f ca="1">_xll.ciqfunctions.udf.CIQ($A40, "IQ_EBITDA", IQ_LTM, $L$2, $L$4, $L$3, $L$5, $L$6)</f>
        <v>#NAME?</v>
      </c>
      <c r="AA40" s="84" t="e">
        <f ca="1">_xll.ciqfunctions.udf.CIQ($A40, "IQ_EBITDA", $B$2, $L$2, $L$4, $L$3, $L$5, $L$6)</f>
        <v>#NAME?</v>
      </c>
      <c r="AB40" s="84" t="e">
        <f ca="1">IF(_xll.ciqfunctions.udf.CIQ($A40, "IQ_EBITDA", $B$3, $L$2,$L$4, $L$3, $L$5, $L$6)=0,Z40,_xll.ciqfunctions.udf.CIQ($A40, "IQ_EBITDA", $B$3, $L$2,$L$4, $L$3, $L$5, $L$6))</f>
        <v>#NAME?</v>
      </c>
      <c r="AC40" s="84" t="e">
        <f ca="1">IF(_xll.ciqfunctions.udf.CIQ($A40, "IQ_EBITDA_EST",$B$4, $L$2, "CON", $L$3, $L$5, $L$6)=0,"n/a",_xll.ciqfunctions.udf.CIQ($A40, "IQ_EBITDA_EST",$B$4, $L$2, "CON", $L$3, $L$5, $L$6))</f>
        <v>#NAME?</v>
      </c>
      <c r="AD40" s="84" t="e">
        <f ca="1">IF(_xll.ciqfunctions.udf.CIQ($A40, "IQ_EBITDA_EST",$B$5, $L$2, "CON", $L$3, $L$5, $L$6)=0,"n/a",_xll.ciqfunctions.udf.CIQ($A40, "IQ_EBITDA_EST",$B$5, $L$2, "CON", $L$3, $L$5, $L$6))</f>
        <v>#NAME?</v>
      </c>
      <c r="AE40" s="84" t="e">
        <f ca="1">IF(_xll.ciqfunctions.udf.CIQ($A40, "IQ_EBITDA_EST",$B$6, $L$2, "CON", $L$3, $L$5, $L$6)=0,"n/a",_xll.ciqfunctions.udf.CIQ($A40, "IQ_EBITDA_EST",$B$6, $L$2, "CON", $L$3, $L$5, $L$6))</f>
        <v>#NAME?</v>
      </c>
      <c r="AF40" s="69" t="str">
        <f ca="1">IF(ISERROR(_xll.ciqfunctions.udf.CIQ($A40, "IQ_GROSS_MARGIN", IQ_LTM, $L$2,$L$4, $L$3, $L$5, $L$6)/100), "n/a", _xll.ciqfunctions.udf.CIQ($A40,  "IQ_GROSS_MARGIN", IQ_LTM, $L$2, $L$4, $L$3, $L$5, $L$6)/100)</f>
        <v>n/a</v>
      </c>
      <c r="AG40" s="69" t="str">
        <f ca="1">IF(ISERROR(_xll.ciqfunctions.udf.CIQ($A40,"IQ_EBITDA_MARGIN", IQ_LTM, $L$2, $L$4, $L$3, $L$5, $L$6)/100), "n/a", _xll.ciqfunctions.udf.CIQ($A40, "IQ_EBITDA_MARGIN", IQ_LTM, $L$2, $L$4, $L$3, $L$5, $L$6)/100)</f>
        <v>n/a</v>
      </c>
      <c r="AH40" s="69" t="str">
        <f ca="1">IF(ISERROR(_xll.ciqfunctions.udf.CIQ($A40,"IQ_EBIT_MARGIN", IQ_LTM, $L$2, $L$4, $L$3, $L$5, $L$6)/100), "n/a", _xll.ciqfunctions.udf.CIQ($A40, "IQ_EBIT_MARGIN", IQ_LTM, $L$2, $L$4, $L$3, $L$5, $L$6)/100)</f>
        <v>n/a</v>
      </c>
      <c r="AI40" s="69" t="str">
        <f ca="1">IF(ISERROR(_xll.ciqfunctions.udf.CIQ($A40,"IQ_NI_MARGIN", IQ_LTM, $L$2, $L$4, $L$3, $L$5, $L$6)/100), "n/a", _xll.ciqfunctions.udf.CIQ($A40, "IQ_NI_MARGIN", IQ_LTM, $L$2, $L$4, $L$3, $L$5, $L$6)/100)</f>
        <v>n/a</v>
      </c>
      <c r="AJ40" s="84" t="str">
        <f ca="1">IF(ISERROR(_xll.ciqfunctions.udf.CIQ($A40, "IQ_NET_WORKING_CAP", IQ_LTM-8, $L$2, $L$4, $L$3, $L$5, $L$6)), "n/a", _xll.ciqfunctions.udf.CIQ($A40, "IQ_NET_WORKING_CAP", IQ_LTM-8, $L$2, $L$4, $L$3, $L$5, $L$6))</f>
        <v>n/a</v>
      </c>
      <c r="AK40" s="84" t="str">
        <f ca="1">IF(ISERROR(_xll.ciqfunctions.udf.CIQ($A40, "IQ_NET_WORKING_CAP", IQ_LTM-4, $L$2, $L$4, $L$3, $L$5, $L$6)), "n/a", _xll.ciqfunctions.udf.CIQ($A40, "IQ_NET_WORKING_CAP", IQ_LTM-4, $L$2, $L$4, $L$3, $L$5, $L$6))</f>
        <v>n/a</v>
      </c>
      <c r="AL40" s="84" t="str">
        <f ca="1">IF(ISERROR(_xll.ciqfunctions.udf.CIQ($A40, "IQ_NET_WORKING_CAP", IQ_LTM, $L$2,$L$4, $L$3, $L$5, $L$6)), "n/a", _xll.ciqfunctions.udf.CIQ($A40, "IQ_NET_WORKING_CAP", IQ_LTM, $L$2, $L$4, $L$3, $L$5, $L$6))</f>
        <v>n/a</v>
      </c>
      <c r="AM40" s="84" t="str">
        <f ca="1">IF(ISERROR(_xll.ciqfunctions.udf.CIQ($A40, "IQ_Capex", IQ_LTM-8, $L$2,$L$4, $L$3, $L$5, $L$6)), "n/a", _xll.ciqfunctions.udf.CIQ($A40, "IQ_Capex", IQ_LTM-8, $L$2, $L$4, $L$3, $L$5, $L$6))</f>
        <v>n/a</v>
      </c>
      <c r="AN40" s="84" t="str">
        <f ca="1">IF(ISERROR(_xll.ciqfunctions.udf.CIQ($A40, "IQ_Capex", IQ_LTM-4, $L$2,$L$4, $L$3, $L$5, $L$6)), "n/a", _xll.ciqfunctions.udf.CIQ($A40, "IQ_Capex", IQ_LTM-4, $L$2,$L$4, $L$3, $L$5, $L$6))</f>
        <v>n/a</v>
      </c>
      <c r="AO40" s="84" t="str">
        <f ca="1">IF(ISERROR(_xll.ciqfunctions.udf.CIQ($A40, "IQ_Capex", IQ_LTM, $L$2, $L$4, $L$3, $L$5, $L$6)), "n/a", _xll.ciqfunctions.udf.CIQ($A40, "IQ_Capex", IQ_LTM, $L$2, $L$4, $L$3, $L$5, $L$6))</f>
        <v>n/a</v>
      </c>
      <c r="AP40" s="66" t="e">
        <f ca="1">_xll.ciqfunctions.udf.CIQ(A40, "IQ_BUSINESS_DESCRIPTION")</f>
        <v>#NAME?</v>
      </c>
      <c r="AQ40" s="85" t="e">
        <f ca="1">_xll.ciqfunctions.udf.CIQ($A40, "IQ_BETA_1YR", $B$1)</f>
        <v>#NAME?</v>
      </c>
      <c r="AR40" s="85" t="e">
        <f ca="1">_xll.ciqfunctions.udf.CIQ($A40, "IQ_BETA_2YR", $B$1)</f>
        <v>#NAME?</v>
      </c>
      <c r="AS40" s="85" t="e">
        <f ca="1">_xll.ciqfunctions.udf.CIQ($A40, "IQ_BETA_5YR", $B$1)</f>
        <v>#NAME?</v>
      </c>
      <c r="AT40" s="69" t="e">
        <f ca="1">_xll.ciqfunctions.udf.CIQ($A40, "IQ_DIVIDEND_YIELD", $B$1)/100</f>
        <v>#NAME?</v>
      </c>
      <c r="AU40" s="84" t="e">
        <f ca="1">_xll.ciqfunctions.udf.CIQ($A40, "IQ_EARNING_CO", IQ_LTM-8, $L$2, $L$4, $L$3, $L$5, $L$6)</f>
        <v>#NAME?</v>
      </c>
      <c r="AV40" s="84" t="e">
        <f ca="1">_xll.ciqfunctions.udf.CIQ($A40, "IQ_EARNING_CO", IQ_LTM-4, $L$2, $L$4, $L$3, $L$5, $L$6)</f>
        <v>#NAME?</v>
      </c>
      <c r="AW40" s="84" t="e">
        <f ca="1">_xll.ciqfunctions.udf.CIQ($A40, "IQ_EARNING_CO", IQ_LTM, $L$2, $L$4, $L$3, $L$5, $L$6)</f>
        <v>#NAME?</v>
      </c>
      <c r="AX40" s="84" t="e">
        <f ca="1">_xll.ciqfunctions.udf.CIQ($A40, "IQ_EARNING_CO", $B$2, $L$2, $L$4, $L$3, $L$5, $L$6)</f>
        <v>#NAME?</v>
      </c>
      <c r="AY40" s="84" t="e">
        <f ca="1">IF(_xll.ciqfunctions.udf.CIQ($A40, "IQ_EARNING_CO", $B$3, $L$2,$L$4, $L$3, $L$5, $L$6)=0,AW40,_xll.ciqfunctions.udf.CIQ($A40, "IQ_EARNING_CO", $B$3, $L$2,$L$4, $L$3, $L$5, $L$6))</f>
        <v>#NAME?</v>
      </c>
      <c r="AZ40" s="84" t="e">
        <f ca="1">_xll.ciqfunctions.udf.CIQ($A40, "IQ_TOTAL_EQUITY", IQ_LTM-8, $L$2, $L$4, $L$3, $L$5, $L$6)</f>
        <v>#NAME?</v>
      </c>
      <c r="BA40" s="84" t="e">
        <f ca="1">_xll.ciqfunctions.udf.CIQ($A40, "IQ_TOTAL_EQUITY", IQ_LTM-4, $L$2, $L$4, $L$3, $L$5, $L$6)</f>
        <v>#NAME?</v>
      </c>
      <c r="BB40" s="84" t="e">
        <f ca="1">_xll.ciqfunctions.udf.CIQ($A40, "IQ_TOTAL_EQUITY", IQ_LTM, $L$2, $L$4, $L$3, $L$5, $L$6)</f>
        <v>#NAME?</v>
      </c>
      <c r="BC40" s="84" t="e">
        <f ca="1">_xll.ciqfunctions.udf.CIQ($A40, "IQ_TOTAL_EQUITY", $B$2, $L$2, $L$4, $L$3, $L$5, $L$6)</f>
        <v>#NAME?</v>
      </c>
      <c r="BD40" s="84" t="e">
        <f ca="1">IF(_xll.ciqfunctions.udf.CIQ($A40, "IQ_TOTAL_EQUITY", $B$3, $L$2,$L$4, $L$3, $L$5, $L$6)=0,BB40,_xll.ciqfunctions.udf.CIQ($A40, "IQ_TOTAL_EQUITY", $B$3, $L$2,$L$4, $L$3, $L$5, $L$6))</f>
        <v>#NAME?</v>
      </c>
      <c r="BE40" s="84" t="e">
        <f ca="1">_xll.ciqfunctions.udf.CIQ(A40, "IQ_LASTSALEPRICE", $B$8)</f>
        <v>#NAME?</v>
      </c>
      <c r="BF40" s="84" t="e">
        <f ca="1">_xll.ciqfunctions.udf.CIQ($A40, "IQ_MARKETCAP", $B$8, $L$5, $L$6)</f>
        <v>#NAME?</v>
      </c>
      <c r="BG40" s="84" t="e">
        <f ca="1">_xll.ciqfunctions.udf.CIQ($A40, "IQ_TOTAL_DEBT", IQ_LTM, $B$8,$L$4, $L$3, $L$5, $L$6)</f>
        <v>#NAME?</v>
      </c>
      <c r="BH40" s="67" t="e">
        <f ca="1">_xll.ciqfunctions.udf.CIQ($A40,"IQ_PREF_EQUITY",IQ_LTM,$B$8,$L$4,$L$3,$L$5,$L$6)</f>
        <v>#NAME?</v>
      </c>
      <c r="BI40" s="67" t="e">
        <f ca="1">_xll.ciqfunctions.udf.CIQ($A40, "IQ_MINORITY_INTEREST_TOTAL", IQ_LTM,$B$8,$L$4,$L$3,$L$5,$L$6)</f>
        <v>#NAME?</v>
      </c>
      <c r="BJ40" s="84" t="e">
        <f ca="1">_xll.ciqfunctions.udf.CIQ($A40, "IQ_CASH_ST_INVEST", IQ_LTM, $B$8, $L$4, $L$3, $L$5, $L$6)</f>
        <v>#NAME?</v>
      </c>
      <c r="BK40" s="67" t="e">
        <f ca="1">_xll.ciqfunctions.udf.CIQ($A40, "IQ_EFFECT_TAX_RATE")</f>
        <v>#NAME?</v>
      </c>
      <c r="BL40" s="67" t="e">
        <f ca="1">IF(_xll.ciqfunctions.udf.CIQ($A40, "IQ_TOTAL_REV_2YR_ANN_CAGR", IQ_LTM, $B$1,$L$4, $L$3, $L$5, $L$6)="NM","n/a",(_xll.ciqfunctions.udf.CIQ($A40, "IQ_TOTAL_REV_2YR_ANN_CAGR", IQ_LTM, $B$1,$L$4, $L$3, $L$5, $L$6)/100))</f>
        <v>#NAME?</v>
      </c>
      <c r="BM40" s="67" t="e">
        <f ca="1">IF(_xll.ciqfunctions.udf.CIQ($A40, "IQ_TOTAL_REV_3YR_ANN_CAGR", IQ_LTM, $B$1,$L$4, $L$3, $L$5, $L$6)="NM","n/a",(_xll.ciqfunctions.udf.CIQ($A40, "IQ_TOTAL_REV_3YR_ANN_CAGR", IQ_LTM, $B$1,$L$4, $L$3, $L$5, $L$6)/100))</f>
        <v>#NAME?</v>
      </c>
      <c r="BN40" s="67" t="e">
        <f ca="1">IF(_xll.ciqfunctions.udf.CIQ($A40, "IQ_TOTAL_REV_5YR_ANN_CAGR", IQ_LTM, $B$1,$L$4, $L$3, $L$5, $L$6)="NM","n/a",(_xll.ciqfunctions.udf.CIQ($A40, "IQ_TOTAL_REV_5YR_ANN_CAGR", IQ_LTM, $B$1,$L$4, $L$3, $L$5, $L$6)/100))</f>
        <v>#NAME?</v>
      </c>
      <c r="BO40" s="67" t="e">
        <f ca="1">IF(_xll.ciqfunctions.udf.CIQ($A40,"IQ_EBITDA_2YR_ANN_CAGR", IQ_LTM,$B$1,$L$4, $L$3, $L$5, $L$6)="NM","n/a",(_xll.ciqfunctions.udf.CIQ($A40,"IQ_EBITDA_2YR_ANN_CAGR", IQ_LTM,$B$1,$L$4, $L$3, $L$5, $L$6)/100))</f>
        <v>#NAME?</v>
      </c>
      <c r="BP40" s="67" t="e">
        <f ca="1">IF(_xll.ciqfunctions.udf.CIQ($A40,"IQ_EBITDA_3YR_ANN_CAGR", IQ_LTM,$B$1,$L$4, $L$3, $L$5, $L$6)="NM","n/a",(_xll.ciqfunctions.udf.CIQ($A40,"IQ_EBITDA_3YR_ANN_CAGR", IQ_LTM,$B$1,$L$4, $L$3, $L$5, $L$6)/100))</f>
        <v>#NAME?</v>
      </c>
      <c r="BQ40" s="67" t="e">
        <f ca="1">IF(_xll.ciqfunctions.udf.CIQ($A40,"IQ_EBITDA_5YR_ANN_CAGR", IQ_LTM,$B$1,$L$4, $L$3, $L$5, $L$6)="NM","n/a",(_xll.ciqfunctions.udf.CIQ($A40,"IQ_EBITDA_5YR_ANN_CAGR", IQ_LTM,$B$1,$L$4, $L$3, $L$5, $L$6)/100))</f>
        <v>#NAME?</v>
      </c>
      <c r="BR40" s="69" t="str">
        <f ca="1">IFERROR((_xll.ciqfunctions.udf.CIQ($A40, "IQ_DA_CF", IQ_LTM, $B$1, $L$4, $L$3, $L$5, $L$6)/Q40),"NM")</f>
        <v>NM</v>
      </c>
      <c r="BS40" s="86" t="e">
        <f>'Capital IQ Sheet-GPC'!BS39</f>
        <v>#VALUE!</v>
      </c>
      <c r="BT40" s="86" t="e">
        <f>'Capital IQ Sheet-GPC'!BT39</f>
        <v>#VALUE!</v>
      </c>
      <c r="BU40" s="86" t="e">
        <f>'Capital IQ Sheet-GPC'!BU39</f>
        <v>#VALUE!</v>
      </c>
      <c r="BV40" s="86" t="e">
        <f>'Capital IQ Sheet-GPC'!BV39</f>
        <v>#VALUE!</v>
      </c>
      <c r="BW40" s="86" t="e">
        <f>'Capital IQ Sheet-GPC'!BW39</f>
        <v>#VALUE!</v>
      </c>
      <c r="BX40" s="86" t="e">
        <f>'Capital IQ Sheet-GPC'!BX39</f>
        <v>#VALUE!</v>
      </c>
      <c r="BY40" s="86" t="e">
        <f>'Capital IQ Sheet-GPC'!BY39</f>
        <v>#VALUE!</v>
      </c>
      <c r="BZ40" s="86" t="e">
        <f>'Capital IQ Sheet-GPC'!BZ39</f>
        <v>#VALUE!</v>
      </c>
      <c r="CB40" s="67">
        <v>2</v>
      </c>
      <c r="CC40" s="123" t="s">
        <v>295</v>
      </c>
      <c r="CD40" s="123" t="s">
        <v>294</v>
      </c>
      <c r="CE40" s="68">
        <f t="shared" si="0"/>
        <v>42766</v>
      </c>
    </row>
    <row r="41" spans="1:83" s="67" customFormat="1" ht="12.75">
      <c r="A41" s="67" t="e">
        <f ca="1">_xll.ciqfunctions.udf.CIQ($B41,"IQ_COMPANY_TICKER")</f>
        <v>#NAME?</v>
      </c>
      <c r="B41" s="67" t="str">
        <f>'Capital IQ Sheet-GPC'!B40</f>
        <v>(Invalid Identifier)</v>
      </c>
      <c r="C41" s="67" t="e">
        <f ca="1">_xll.ciqfunctions.udf.CIQ($A41,"IQ_COMPANY_NAME")</f>
        <v>#NAME?</v>
      </c>
      <c r="D41" s="67" t="e">
        <f ca="1">_xll.ciqfunctions.udf.CIQ($A41, "IQ_EXCHANGE")</f>
        <v>#NAME?</v>
      </c>
      <c r="E41" s="68" t="e">
        <f ca="1">_xll.ciqfunctions.udf.CIQ($A41, "IQ_PERIODDATE_IS", IQ_FY)</f>
        <v>#NAME?</v>
      </c>
      <c r="F41" s="68" t="e">
        <f ca="1">_xll.ciqfunctions.udf.CIQ(A41, "IQ_PERIODDATE_IS", IQ_LTM, $B$1,$L$4,$L$3)</f>
        <v>#NAME?</v>
      </c>
      <c r="G41" s="68" t="e">
        <f ca="1">_xll.ciqfunctions.udf.CIQ($A41, "IQ_FIRSTPRICINGDATE")</f>
        <v>#NAME?</v>
      </c>
      <c r="H41" s="84" t="e">
        <f ca="1">_xll.ciqfunctions.udf.CIQ($A41, "IQ_TEV", $L$2, $L$5, $L$6)</f>
        <v>#NAME?</v>
      </c>
      <c r="I41" s="84" t="e">
        <f ca="1">_xll.ciqfunctions.udf.CIQ(A41, "IQ_LASTSALEPRICE", $B$1,$L$5)</f>
        <v>#NAME?</v>
      </c>
      <c r="J41" s="84" t="e">
        <f ca="1">_xll.ciqfunctions.udf.CIQ($A41, "IQ_MARKETCAP", $L$2, $L$5, $L$6)</f>
        <v>#NAME?</v>
      </c>
      <c r="K41" s="84" t="e">
        <f ca="1">_xll.ciqfunctions.udf.CIQ($A41, "IQ_TOTAL_DEBT", IQ_LTM, $L$2,$L$4, $L$3, $L$5, $L$6)</f>
        <v>#NAME?</v>
      </c>
      <c r="L41" s="84" t="e">
        <f ca="1">_xll.ciqfunctions.udf.CIQ($A41, "IQ_PREF_EQUITY", IQ_LTM, $L$2, $L$4, $L$3, $L$5, $L$6)</f>
        <v>#NAME?</v>
      </c>
      <c r="M41" s="84" t="e">
        <f ca="1">_xll.ciqfunctions.udf.CIQ($A41, "IQ_MINORITY_INTEREST_TOTAL", IQ_LTM, $L$2, $L$4, $L$3, $L$5, $L$6)</f>
        <v>#NAME?</v>
      </c>
      <c r="N41" s="84" t="e">
        <f ca="1">_xll.ciqfunctions.udf.CIQ($A41, "IQ_CASH_ST_INVEST", IQ_LTM, $L$2, $L$4, $L$3, $L$5, $L$6)</f>
        <v>#NAME?</v>
      </c>
      <c r="O41" s="84" t="e">
        <f ca="1">_xll.ciqfunctions.udf.CIQ($A41, "IQ_TOTAL_REV", IQ_LTM-8, $L$2, $L$4, $L$3, $L$5, $L$6)</f>
        <v>#NAME?</v>
      </c>
      <c r="P41" s="84" t="e">
        <f ca="1">_xll.ciqfunctions.udf.CIQ($A41, "IQ_TOTAL_REV", IQ_LTM - 4, $L$2, $L$4, $L$3, $L$5,$L$6)</f>
        <v>#NAME?</v>
      </c>
      <c r="Q41" s="84" t="e">
        <f ca="1">_xll.ciqfunctions.udf.CIQ($A41, "IQ_TOTAL_REV", IQ_LTM, $L$2, $L$4, $L$3, $L$5, $L$6)</f>
        <v>#NAME?</v>
      </c>
      <c r="R41" s="84" t="e">
        <f ca="1">_xll.ciqfunctions.udf.CIQ($A41, "IQ_TOTAL_REV", $B$2, $L$2, $L$4, $L$3, $L$5, $L$6)</f>
        <v>#NAME?</v>
      </c>
      <c r="S41" s="84" t="e">
        <f ca="1">IF(_xll.ciqfunctions.udf.CIQ($A41, "IQ_TOTAL_REV", $B$3, $L$2,$L$4, $L$3, $L$5, $L$6)=0,Q41,_xll.ciqfunctions.udf.CIQ($A41, "IQ_TOTAL_REV", $B$3, $L$2,$L$4, $L$3, $L$5, $L$6))</f>
        <v>#NAME?</v>
      </c>
      <c r="T41" s="84" t="e">
        <f ca="1">IF(_xll.ciqfunctions.udf.CIQ($A41, "IQ_REVENUE_EST",$B$4, $L$2, "CON", $L$3, $L$5, $L$6)=0,"n/a",_xll.ciqfunctions.udf.CIQ($A41, "IQ_REVENUE_EST",$B$4, $L$2, "CON", $L$3, $L$5, $L$6))</f>
        <v>#NAME?</v>
      </c>
      <c r="U41" s="84" t="e">
        <f ca="1">IF(_xll.ciqfunctions.udf.CIQ($A41, "IQ_REVENUE_EST",$B$5, $L$2, "CON", $L$3, $L$5, $L$6)=0,"n/a",_xll.ciqfunctions.udf.CIQ($A41, "IQ_REVENUE_EST",$B$5, $L$2, "CON", $L$3, $L$5, $L$6))</f>
        <v>#NAME?</v>
      </c>
      <c r="V41" s="84" t="e">
        <f ca="1">IF(_xll.ciqfunctions.udf.CIQ($A41, "IQ_REVENUE_EST",$B$6, $L$2, "CON", $L$3, $L$5, $L$6)=0,"n/a",_xll.ciqfunctions.udf.CIQ($A41, "IQ_REVENUE_EST",$B$6, $L$2, "CON", $L$3, $L$5, $L$6))</f>
        <v>#NAME?</v>
      </c>
      <c r="W41" s="84" t="e">
        <f ca="1">IF(_xll.ciqfunctions.udf.CIQ($A41, "IQ_REVENUE_EST", $B$7, $L$2, "CON", $L$3, $L$5, $L$6)=0,"n/a",_xll.ciqfunctions.udf.CIQ($A41, "IQ_REVENUE_EST",$B$7, $L$2, "CON", $L$3, $L$5, $L$6))</f>
        <v>#NAME?</v>
      </c>
      <c r="X41" s="84" t="e">
        <f ca="1">_xll.ciqfunctions.udf.CIQ($A41, "IQ_EBITDA", IQ_LTM-8, $L$2, $L$4, $L$3, $L$5, $L$6)</f>
        <v>#NAME?</v>
      </c>
      <c r="Y41" s="84" t="e">
        <f ca="1">_xll.ciqfunctions.udf.CIQ($A41, "IQ_EBITDA", IQ_LTM-4, $L$2,$L$4, $L$3, $L$5, $L$6)</f>
        <v>#NAME?</v>
      </c>
      <c r="Z41" s="84" t="e">
        <f ca="1">_xll.ciqfunctions.udf.CIQ($A41, "IQ_EBITDA", IQ_LTM, $L$2, $L$4, $L$3, $L$5, $L$6)</f>
        <v>#NAME?</v>
      </c>
      <c r="AA41" s="84" t="e">
        <f ca="1">_xll.ciqfunctions.udf.CIQ($A41, "IQ_EBITDA", $B$2, $L$2, $L$4, $L$3, $L$5, $L$6)</f>
        <v>#NAME?</v>
      </c>
      <c r="AB41" s="84" t="e">
        <f ca="1">IF(_xll.ciqfunctions.udf.CIQ($A41, "IQ_EBITDA", $B$3, $L$2,$L$4, $L$3, $L$5, $L$6)=0,Z41,_xll.ciqfunctions.udf.CIQ($A41, "IQ_EBITDA", $B$3, $L$2,$L$4, $L$3, $L$5, $L$6))</f>
        <v>#NAME?</v>
      </c>
      <c r="AC41" s="84" t="e">
        <f ca="1">IF(_xll.ciqfunctions.udf.CIQ($A41, "IQ_EBITDA_EST",$B$4, $L$2, "CON", $L$3, $L$5, $L$6)=0,"n/a",_xll.ciqfunctions.udf.CIQ($A41, "IQ_EBITDA_EST",$B$4, $L$2, "CON", $L$3, $L$5, $L$6))</f>
        <v>#NAME?</v>
      </c>
      <c r="AD41" s="84" t="e">
        <f ca="1">IF(_xll.ciqfunctions.udf.CIQ($A41, "IQ_EBITDA_EST",$B$5, $L$2, "CON", $L$3, $L$5, $L$6)=0,"n/a",_xll.ciqfunctions.udf.CIQ($A41, "IQ_EBITDA_EST",$B$5, $L$2, "CON", $L$3, $L$5, $L$6))</f>
        <v>#NAME?</v>
      </c>
      <c r="AE41" s="84" t="e">
        <f ca="1">IF(_xll.ciqfunctions.udf.CIQ($A41, "IQ_EBITDA_EST",$B$6, $L$2, "CON", $L$3, $L$5, $L$6)=0,"n/a",_xll.ciqfunctions.udf.CIQ($A41, "IQ_EBITDA_EST",$B$6, $L$2, "CON", $L$3, $L$5, $L$6))</f>
        <v>#NAME?</v>
      </c>
      <c r="AF41" s="69" t="str">
        <f ca="1">IF(ISERROR(_xll.ciqfunctions.udf.CIQ($A41, "IQ_GROSS_MARGIN", IQ_LTM, $L$2,$L$4, $L$3, $L$5, $L$6)/100), "n/a", _xll.ciqfunctions.udf.CIQ($A41,  "IQ_GROSS_MARGIN", IQ_LTM, $L$2, $L$4, $L$3, $L$5, $L$6)/100)</f>
        <v>n/a</v>
      </c>
      <c r="AG41" s="69" t="str">
        <f ca="1">IF(ISERROR(_xll.ciqfunctions.udf.CIQ($A41,"IQ_EBITDA_MARGIN", IQ_LTM, $L$2, $L$4, $L$3, $L$5, $L$6)/100), "n/a", _xll.ciqfunctions.udf.CIQ($A41, "IQ_EBITDA_MARGIN", IQ_LTM, $L$2, $L$4, $L$3, $L$5, $L$6)/100)</f>
        <v>n/a</v>
      </c>
      <c r="AH41" s="69" t="str">
        <f ca="1">IF(ISERROR(_xll.ciqfunctions.udf.CIQ($A41,"IQ_EBIT_MARGIN", IQ_LTM, $L$2, $L$4, $L$3, $L$5, $L$6)/100), "n/a", _xll.ciqfunctions.udf.CIQ($A41, "IQ_EBIT_MARGIN", IQ_LTM, $L$2, $L$4, $L$3, $L$5, $L$6)/100)</f>
        <v>n/a</v>
      </c>
      <c r="AI41" s="69" t="str">
        <f ca="1">IF(ISERROR(_xll.ciqfunctions.udf.CIQ($A41,"IQ_NI_MARGIN", IQ_LTM, $L$2, $L$4, $L$3, $L$5, $L$6)/100), "n/a", _xll.ciqfunctions.udf.CIQ($A41, "IQ_NI_MARGIN", IQ_LTM, $L$2, $L$4, $L$3, $L$5, $L$6)/100)</f>
        <v>n/a</v>
      </c>
      <c r="AJ41" s="84" t="str">
        <f ca="1">IF(ISERROR(_xll.ciqfunctions.udf.CIQ($A41, "IQ_NET_WORKING_CAP", IQ_LTM-8, $L$2, $L$4, $L$3, $L$5, $L$6)), "n/a", _xll.ciqfunctions.udf.CIQ($A41, "IQ_NET_WORKING_CAP", IQ_LTM-8, $L$2, $L$4, $L$3, $L$5, $L$6))</f>
        <v>n/a</v>
      </c>
      <c r="AK41" s="84" t="str">
        <f ca="1">IF(ISERROR(_xll.ciqfunctions.udf.CIQ($A41, "IQ_NET_WORKING_CAP", IQ_LTM-4, $L$2, $L$4, $L$3, $L$5, $L$6)), "n/a", _xll.ciqfunctions.udf.CIQ($A41, "IQ_NET_WORKING_CAP", IQ_LTM-4, $L$2, $L$4, $L$3, $L$5, $L$6))</f>
        <v>n/a</v>
      </c>
      <c r="AL41" s="84" t="str">
        <f ca="1">IF(ISERROR(_xll.ciqfunctions.udf.CIQ($A41, "IQ_NET_WORKING_CAP", IQ_LTM, $L$2,$L$4, $L$3, $L$5, $L$6)), "n/a", _xll.ciqfunctions.udf.CIQ($A41, "IQ_NET_WORKING_CAP", IQ_LTM, $L$2, $L$4, $L$3, $L$5, $L$6))</f>
        <v>n/a</v>
      </c>
      <c r="AM41" s="84" t="str">
        <f ca="1">IF(ISERROR(_xll.ciqfunctions.udf.CIQ($A41, "IQ_Capex", IQ_LTM-8, $L$2,$L$4, $L$3, $L$5, $L$6)), "n/a", _xll.ciqfunctions.udf.CIQ($A41, "IQ_Capex", IQ_LTM-8, $L$2, $L$4, $L$3, $L$5, $L$6))</f>
        <v>n/a</v>
      </c>
      <c r="AN41" s="84" t="str">
        <f ca="1">IF(ISERROR(_xll.ciqfunctions.udf.CIQ($A41, "IQ_Capex", IQ_LTM-4, $L$2,$L$4, $L$3, $L$5, $L$6)), "n/a", _xll.ciqfunctions.udf.CIQ($A41, "IQ_Capex", IQ_LTM-4, $L$2,$L$4, $L$3, $L$5, $L$6))</f>
        <v>n/a</v>
      </c>
      <c r="AO41" s="84" t="str">
        <f ca="1">IF(ISERROR(_xll.ciqfunctions.udf.CIQ($A41, "IQ_Capex", IQ_LTM, $L$2, $L$4, $L$3, $L$5, $L$6)), "n/a", _xll.ciqfunctions.udf.CIQ($A41, "IQ_Capex", IQ_LTM, $L$2, $L$4, $L$3, $L$5, $L$6))</f>
        <v>n/a</v>
      </c>
      <c r="AP41" s="66" t="e">
        <f ca="1">_xll.ciqfunctions.udf.CIQ(A41, "IQ_BUSINESS_DESCRIPTION")</f>
        <v>#NAME?</v>
      </c>
      <c r="AQ41" s="85" t="e">
        <f ca="1">_xll.ciqfunctions.udf.CIQ($A41, "IQ_BETA_1YR", $B$1)</f>
        <v>#NAME?</v>
      </c>
      <c r="AR41" s="85" t="e">
        <f ca="1">_xll.ciqfunctions.udf.CIQ($A41, "IQ_BETA_2YR", $B$1)</f>
        <v>#NAME?</v>
      </c>
      <c r="AS41" s="85" t="e">
        <f ca="1">_xll.ciqfunctions.udf.CIQ($A41, "IQ_BETA_5YR", $B$1)</f>
        <v>#NAME?</v>
      </c>
      <c r="AT41" s="69" t="e">
        <f ca="1">_xll.ciqfunctions.udf.CIQ($A41, "IQ_DIVIDEND_YIELD", $B$1)/100</f>
        <v>#NAME?</v>
      </c>
      <c r="AU41" s="84" t="e">
        <f ca="1">_xll.ciqfunctions.udf.CIQ($A41, "IQ_EARNING_CO", IQ_LTM-8, $L$2, $L$4, $L$3, $L$5, $L$6)</f>
        <v>#NAME?</v>
      </c>
      <c r="AV41" s="84" t="e">
        <f ca="1">_xll.ciqfunctions.udf.CIQ($A41, "IQ_EARNING_CO", IQ_LTM-4, $L$2, $L$4, $L$3, $L$5, $L$6)</f>
        <v>#NAME?</v>
      </c>
      <c r="AW41" s="84" t="e">
        <f ca="1">_xll.ciqfunctions.udf.CIQ($A41, "IQ_EARNING_CO", IQ_LTM, $L$2, $L$4, $L$3, $L$5, $L$6)</f>
        <v>#NAME?</v>
      </c>
      <c r="AX41" s="84" t="e">
        <f ca="1">_xll.ciqfunctions.udf.CIQ($A41, "IQ_EARNING_CO", $B$2, $L$2, $L$4, $L$3, $L$5, $L$6)</f>
        <v>#NAME?</v>
      </c>
      <c r="AY41" s="84" t="e">
        <f ca="1">IF(_xll.ciqfunctions.udf.CIQ($A41, "IQ_EARNING_CO", $B$3, $L$2,$L$4, $L$3, $L$5, $L$6)=0,AW41,_xll.ciqfunctions.udf.CIQ($A41, "IQ_EARNING_CO", $B$3, $L$2,$L$4, $L$3, $L$5, $L$6))</f>
        <v>#NAME?</v>
      </c>
      <c r="AZ41" s="84" t="e">
        <f ca="1">_xll.ciqfunctions.udf.CIQ($A41, "IQ_TOTAL_EQUITY", IQ_LTM-8, $L$2, $L$4, $L$3, $L$5, $L$6)</f>
        <v>#NAME?</v>
      </c>
      <c r="BA41" s="84" t="e">
        <f ca="1">_xll.ciqfunctions.udf.CIQ($A41, "IQ_TOTAL_EQUITY", IQ_LTM-4, $L$2, $L$4, $L$3, $L$5, $L$6)</f>
        <v>#NAME?</v>
      </c>
      <c r="BB41" s="84" t="e">
        <f ca="1">_xll.ciqfunctions.udf.CIQ($A41, "IQ_TOTAL_EQUITY", IQ_LTM, $L$2, $L$4, $L$3, $L$5, $L$6)</f>
        <v>#NAME?</v>
      </c>
      <c r="BC41" s="84" t="e">
        <f ca="1">_xll.ciqfunctions.udf.CIQ($A41, "IQ_TOTAL_EQUITY", $B$2, $L$2, $L$4, $L$3, $L$5, $L$6)</f>
        <v>#NAME?</v>
      </c>
      <c r="BD41" s="84" t="e">
        <f ca="1">IF(_xll.ciqfunctions.udf.CIQ($A41, "IQ_TOTAL_EQUITY", $B$3, $L$2,$L$4, $L$3, $L$5, $L$6)=0,BB41,_xll.ciqfunctions.udf.CIQ($A41, "IQ_TOTAL_EQUITY", $B$3, $L$2,$L$4, $L$3, $L$5, $L$6))</f>
        <v>#NAME?</v>
      </c>
      <c r="BE41" s="84" t="e">
        <f ca="1">_xll.ciqfunctions.udf.CIQ(A41, "IQ_LASTSALEPRICE", $B$8)</f>
        <v>#NAME?</v>
      </c>
      <c r="BF41" s="84" t="e">
        <f ca="1">_xll.ciqfunctions.udf.CIQ($A41, "IQ_MARKETCAP", $B$8, $L$5, $L$6)</f>
        <v>#NAME?</v>
      </c>
      <c r="BG41" s="84" t="e">
        <f ca="1">_xll.ciqfunctions.udf.CIQ($A41, "IQ_TOTAL_DEBT", IQ_LTM, $B$8,$L$4, $L$3, $L$5, $L$6)</f>
        <v>#NAME?</v>
      </c>
      <c r="BH41" s="67" t="e">
        <f ca="1">_xll.ciqfunctions.udf.CIQ($A41,"IQ_PREF_EQUITY",IQ_LTM,$B$8,$L$4,$L$3,$L$5,$L$6)</f>
        <v>#NAME?</v>
      </c>
      <c r="BI41" s="67" t="e">
        <f ca="1">_xll.ciqfunctions.udf.CIQ($A41, "IQ_MINORITY_INTEREST_TOTAL", IQ_LTM,$B$8,$L$4,$L$3,$L$5,$L$6)</f>
        <v>#NAME?</v>
      </c>
      <c r="BJ41" s="84" t="e">
        <f ca="1">_xll.ciqfunctions.udf.CIQ($A41, "IQ_CASH_ST_INVEST", IQ_LTM, $B$8, $L$4, $L$3, $L$5, $L$6)</f>
        <v>#NAME?</v>
      </c>
      <c r="BK41" s="67" t="e">
        <f ca="1">_xll.ciqfunctions.udf.CIQ($A41, "IQ_EFFECT_TAX_RATE")</f>
        <v>#NAME?</v>
      </c>
      <c r="BL41" s="67" t="e">
        <f ca="1">IF(_xll.ciqfunctions.udf.CIQ($A41, "IQ_TOTAL_REV_2YR_ANN_CAGR", IQ_LTM, $B$1,$L$4, $L$3, $L$5, $L$6)="NM","n/a",(_xll.ciqfunctions.udf.CIQ($A41, "IQ_TOTAL_REV_2YR_ANN_CAGR", IQ_LTM, $B$1,$L$4, $L$3, $L$5, $L$6)/100))</f>
        <v>#NAME?</v>
      </c>
      <c r="BM41" s="67" t="e">
        <f ca="1">IF(_xll.ciqfunctions.udf.CIQ($A41, "IQ_TOTAL_REV_3YR_ANN_CAGR", IQ_LTM, $B$1,$L$4, $L$3, $L$5, $L$6)="NM","n/a",(_xll.ciqfunctions.udf.CIQ($A41, "IQ_TOTAL_REV_3YR_ANN_CAGR", IQ_LTM, $B$1,$L$4, $L$3, $L$5, $L$6)/100))</f>
        <v>#NAME?</v>
      </c>
      <c r="BN41" s="67" t="e">
        <f ca="1">IF(_xll.ciqfunctions.udf.CIQ($A41, "IQ_TOTAL_REV_5YR_ANN_CAGR", IQ_LTM, $B$1,$L$4, $L$3, $L$5, $L$6)="NM","n/a",(_xll.ciqfunctions.udf.CIQ($A41, "IQ_TOTAL_REV_5YR_ANN_CAGR", IQ_LTM, $B$1,$L$4, $L$3, $L$5, $L$6)/100))</f>
        <v>#NAME?</v>
      </c>
      <c r="BO41" s="67" t="e">
        <f ca="1">IF(_xll.ciqfunctions.udf.CIQ($A41,"IQ_EBITDA_2YR_ANN_CAGR", IQ_LTM,$B$1,$L$4, $L$3, $L$5, $L$6)="NM","n/a",(_xll.ciqfunctions.udf.CIQ($A41,"IQ_EBITDA_2YR_ANN_CAGR", IQ_LTM,$B$1,$L$4, $L$3, $L$5, $L$6)/100))</f>
        <v>#NAME?</v>
      </c>
      <c r="BP41" s="67" t="e">
        <f ca="1">IF(_xll.ciqfunctions.udf.CIQ($A41,"IQ_EBITDA_3YR_ANN_CAGR", IQ_LTM,$B$1,$L$4, $L$3, $L$5, $L$6)="NM","n/a",(_xll.ciqfunctions.udf.CIQ($A41,"IQ_EBITDA_3YR_ANN_CAGR", IQ_LTM,$B$1,$L$4, $L$3, $L$5, $L$6)/100))</f>
        <v>#NAME?</v>
      </c>
      <c r="BQ41" s="67" t="e">
        <f ca="1">IF(_xll.ciqfunctions.udf.CIQ($A41,"IQ_EBITDA_5YR_ANN_CAGR", IQ_LTM,$B$1,$L$4, $L$3, $L$5, $L$6)="NM","n/a",(_xll.ciqfunctions.udf.CIQ($A41,"IQ_EBITDA_5YR_ANN_CAGR", IQ_LTM,$B$1,$L$4, $L$3, $L$5, $L$6)/100))</f>
        <v>#NAME?</v>
      </c>
      <c r="BR41" s="69" t="str">
        <f ca="1">IFERROR((_xll.ciqfunctions.udf.CIQ($A41, "IQ_DA_CF", IQ_LTM, $B$1, $L$4, $L$3, $L$5, $L$6)/Q41),"NM")</f>
        <v>NM</v>
      </c>
      <c r="BS41" s="86" t="e">
        <f>'Capital IQ Sheet-GPC'!BS40</f>
        <v>#VALUE!</v>
      </c>
      <c r="BT41" s="86" t="e">
        <f>'Capital IQ Sheet-GPC'!BT40</f>
        <v>#VALUE!</v>
      </c>
      <c r="BU41" s="86" t="e">
        <f>'Capital IQ Sheet-GPC'!BU40</f>
        <v>#VALUE!</v>
      </c>
      <c r="BV41" s="86" t="e">
        <f>'Capital IQ Sheet-GPC'!BV40</f>
        <v>#VALUE!</v>
      </c>
      <c r="BW41" s="86" t="e">
        <f>'Capital IQ Sheet-GPC'!BW40</f>
        <v>#VALUE!</v>
      </c>
      <c r="BX41" s="86" t="e">
        <f>'Capital IQ Sheet-GPC'!BX40</f>
        <v>#VALUE!</v>
      </c>
      <c r="BY41" s="86" t="e">
        <f>'Capital IQ Sheet-GPC'!BY40</f>
        <v>#VALUE!</v>
      </c>
      <c r="BZ41" s="86" t="e">
        <f>'Capital IQ Sheet-GPC'!BZ40</f>
        <v>#VALUE!</v>
      </c>
      <c r="CB41" s="67">
        <v>2</v>
      </c>
      <c r="CC41" s="123" t="s">
        <v>295</v>
      </c>
      <c r="CD41" s="123" t="s">
        <v>294</v>
      </c>
      <c r="CE41" s="68">
        <f t="shared" si="0"/>
        <v>42766</v>
      </c>
    </row>
    <row r="42" spans="1:83" s="67" customFormat="1" ht="12.75">
      <c r="A42" s="67" t="e">
        <f ca="1">_xll.ciqfunctions.udf.CIQ($B42,"IQ_COMPANY_TICKER")</f>
        <v>#NAME?</v>
      </c>
      <c r="B42" s="67" t="str">
        <f>'Capital IQ Sheet-GPC'!B42</f>
        <v>(Invalid Identifier)</v>
      </c>
      <c r="C42" s="67" t="e">
        <f ca="1">_xll.ciqfunctions.udf.CIQ($A42,"IQ_COMPANY_NAME")</f>
        <v>#NAME?</v>
      </c>
      <c r="D42" s="67" t="e">
        <f ca="1">_xll.ciqfunctions.udf.CIQ($A42, "IQ_EXCHANGE")</f>
        <v>#NAME?</v>
      </c>
      <c r="E42" s="68" t="e">
        <f ca="1">_xll.ciqfunctions.udf.CIQ($A42, "IQ_PERIODDATE_IS", IQ_FY)</f>
        <v>#NAME?</v>
      </c>
      <c r="F42" s="68" t="e">
        <f ca="1">_xll.ciqfunctions.udf.CIQ(A42, "IQ_PERIODDATE_IS", IQ_LTM, $B$1,$L$4,$L$3)</f>
        <v>#NAME?</v>
      </c>
      <c r="G42" s="68" t="e">
        <f ca="1">_xll.ciqfunctions.udf.CIQ($A42, "IQ_FIRSTPRICINGDATE")</f>
        <v>#NAME?</v>
      </c>
      <c r="H42" s="84" t="e">
        <f ca="1">_xll.ciqfunctions.udf.CIQ($A42, "IQ_TEV", $L$2, $L$5, $L$6)</f>
        <v>#NAME?</v>
      </c>
      <c r="I42" s="84" t="e">
        <f ca="1">_xll.ciqfunctions.udf.CIQ(A42, "IQ_LASTSALEPRICE", $B$1,$L$5)</f>
        <v>#NAME?</v>
      </c>
      <c r="J42" s="84" t="e">
        <f ca="1">_xll.ciqfunctions.udf.CIQ($A42, "IQ_MARKETCAP", $L$2, $L$5, $L$6)</f>
        <v>#NAME?</v>
      </c>
      <c r="K42" s="84" t="e">
        <f ca="1">_xll.ciqfunctions.udf.CIQ($A42, "IQ_TOTAL_DEBT", IQ_LTM, $L$2,$L$4, $L$3, $L$5, $L$6)</f>
        <v>#NAME?</v>
      </c>
      <c r="L42" s="84" t="e">
        <f ca="1">_xll.ciqfunctions.udf.CIQ($A42, "IQ_PREF_EQUITY", IQ_LTM, $L$2, $L$4, $L$3, $L$5, $L$6)</f>
        <v>#NAME?</v>
      </c>
      <c r="M42" s="84" t="e">
        <f ca="1">_xll.ciqfunctions.udf.CIQ($A42, "IQ_MINORITY_INTEREST_TOTAL", IQ_LTM, $L$2, $L$4, $L$3, $L$5, $L$6)</f>
        <v>#NAME?</v>
      </c>
      <c r="N42" s="84" t="e">
        <f ca="1">_xll.ciqfunctions.udf.CIQ($A42, "IQ_CASH_ST_INVEST", IQ_LTM, $L$2, $L$4, $L$3, $L$5, $L$6)</f>
        <v>#NAME?</v>
      </c>
      <c r="O42" s="84" t="e">
        <f ca="1">_xll.ciqfunctions.udf.CIQ($A42, "IQ_TOTAL_REV", IQ_LTM-8, $L$2, $L$4, $L$3, $L$5, $L$6)</f>
        <v>#NAME?</v>
      </c>
      <c r="P42" s="84" t="e">
        <f ca="1">_xll.ciqfunctions.udf.CIQ($A42, "IQ_TOTAL_REV", IQ_LTM - 4, $L$2, $L$4, $L$3, $L$5,$L$6)</f>
        <v>#NAME?</v>
      </c>
      <c r="Q42" s="84" t="e">
        <f ca="1">_xll.ciqfunctions.udf.CIQ($A42, "IQ_TOTAL_REV", IQ_LTM, $L$2, $L$4, $L$3, $L$5, $L$6)</f>
        <v>#NAME?</v>
      </c>
      <c r="R42" s="84" t="e">
        <f ca="1">_xll.ciqfunctions.udf.CIQ($A42, "IQ_TOTAL_REV", $B$2, $L$2, $L$4, $L$3, $L$5, $L$6)</f>
        <v>#NAME?</v>
      </c>
      <c r="S42" s="84" t="e">
        <f ca="1">IF(_xll.ciqfunctions.udf.CIQ($A42, "IQ_TOTAL_REV", $B$3, $L$2,$L$4, $L$3, $L$5, $L$6)=0,Q42,_xll.ciqfunctions.udf.CIQ($A42, "IQ_TOTAL_REV", $B$3, $L$2,$L$4, $L$3, $L$5, $L$6))</f>
        <v>#NAME?</v>
      </c>
      <c r="T42" s="84" t="e">
        <f ca="1">IF(_xll.ciqfunctions.udf.CIQ($A42, "IQ_REVENUE_EST",$B$4, $L$2, "CON", $L$3, $L$5, $L$6)=0,"n/a",_xll.ciqfunctions.udf.CIQ($A42, "IQ_REVENUE_EST",$B$4, $L$2, "CON", $L$3, $L$5, $L$6))</f>
        <v>#NAME?</v>
      </c>
      <c r="U42" s="84" t="e">
        <f ca="1">IF(_xll.ciqfunctions.udf.CIQ($A42, "IQ_REVENUE_EST",$B$5, $L$2, "CON", $L$3, $L$5, $L$6)=0,"n/a",_xll.ciqfunctions.udf.CIQ($A42, "IQ_REVENUE_EST",$B$5, $L$2, "CON", $L$3, $L$5, $L$6))</f>
        <v>#NAME?</v>
      </c>
      <c r="V42" s="84" t="e">
        <f ca="1">IF(_xll.ciqfunctions.udf.CIQ($A42, "IQ_REVENUE_EST",$B$6, $L$2, "CON", $L$3, $L$5, $L$6)=0,"n/a",_xll.ciqfunctions.udf.CIQ($A42, "IQ_REVENUE_EST",$B$6, $L$2, "CON", $L$3, $L$5, $L$6))</f>
        <v>#NAME?</v>
      </c>
      <c r="W42" s="84" t="e">
        <f ca="1">IF(_xll.ciqfunctions.udf.CIQ($A42, "IQ_REVENUE_EST", $B$7, $L$2, "CON", $L$3, $L$5, $L$6)=0,"n/a",_xll.ciqfunctions.udf.CIQ($A42, "IQ_REVENUE_EST",$B$7, $L$2, "CON", $L$3, $L$5, $L$6))</f>
        <v>#NAME?</v>
      </c>
      <c r="X42" s="84" t="e">
        <f ca="1">_xll.ciqfunctions.udf.CIQ($A42, "IQ_EBITDA", IQ_LTM-8, $L$2, $L$4, $L$3, $L$5, $L$6)</f>
        <v>#NAME?</v>
      </c>
      <c r="Y42" s="84" t="e">
        <f ca="1">_xll.ciqfunctions.udf.CIQ($A42, "IQ_EBITDA", IQ_LTM-4, $L$2,$L$4, $L$3, $L$5, $L$6)</f>
        <v>#NAME?</v>
      </c>
      <c r="Z42" s="84" t="e">
        <f ca="1">_xll.ciqfunctions.udf.CIQ($A42, "IQ_EBITDA", IQ_LTM, $L$2, $L$4, $L$3, $L$5, $L$6)</f>
        <v>#NAME?</v>
      </c>
      <c r="AA42" s="84" t="e">
        <f ca="1">_xll.ciqfunctions.udf.CIQ($A42, "IQ_EBITDA", $B$2, $L$2, $L$4, $L$3, $L$5, $L$6)</f>
        <v>#NAME?</v>
      </c>
      <c r="AB42" s="84" t="e">
        <f ca="1">IF(_xll.ciqfunctions.udf.CIQ($A42, "IQ_EBITDA", $B$3, $L$2,$L$4, $L$3, $L$5, $L$6)=0,Z42,_xll.ciqfunctions.udf.CIQ($A42, "IQ_EBITDA", $B$3, $L$2,$L$4, $L$3, $L$5, $L$6))</f>
        <v>#NAME?</v>
      </c>
      <c r="AC42" s="84" t="e">
        <f ca="1">IF(_xll.ciqfunctions.udf.CIQ($A42, "IQ_EBITDA_EST",$B$4, $L$2, "CON", $L$3, $L$5, $L$6)=0,"n/a",_xll.ciqfunctions.udf.CIQ($A42, "IQ_EBITDA_EST",$B$4, $L$2, "CON", $L$3, $L$5, $L$6))</f>
        <v>#NAME?</v>
      </c>
      <c r="AD42" s="84" t="e">
        <f ca="1">IF(_xll.ciqfunctions.udf.CIQ($A42, "IQ_EBITDA_EST",$B$5, $L$2, "CON", $L$3, $L$5, $L$6)=0,"n/a",_xll.ciqfunctions.udf.CIQ($A42, "IQ_EBITDA_EST",$B$5, $L$2, "CON", $L$3, $L$5, $L$6))</f>
        <v>#NAME?</v>
      </c>
      <c r="AE42" s="84" t="e">
        <f ca="1">IF(_xll.ciqfunctions.udf.CIQ($A42, "IQ_EBITDA_EST",$B$6, $L$2, "CON", $L$3, $L$5, $L$6)=0,"n/a",_xll.ciqfunctions.udf.CIQ($A42, "IQ_EBITDA_EST",$B$6, $L$2, "CON", $L$3, $L$5, $L$6))</f>
        <v>#NAME?</v>
      </c>
      <c r="AF42" s="69" t="str">
        <f ca="1">IF(ISERROR(_xll.ciqfunctions.udf.CIQ($A42, "IQ_GROSS_MARGIN", IQ_LTM, $L$2,$L$4, $L$3, $L$5, $L$6)/100), "n/a", _xll.ciqfunctions.udf.CIQ($A42,  "IQ_GROSS_MARGIN", IQ_LTM, $L$2, $L$4, $L$3, $L$5, $L$6)/100)</f>
        <v>n/a</v>
      </c>
      <c r="AG42" s="69" t="str">
        <f ca="1">IF(ISERROR(_xll.ciqfunctions.udf.CIQ($A42,"IQ_EBITDA_MARGIN", IQ_LTM, $L$2, $L$4, $L$3, $L$5, $L$6)/100), "n/a", _xll.ciqfunctions.udf.CIQ($A42, "IQ_EBITDA_MARGIN", IQ_LTM, $L$2, $L$4, $L$3, $L$5, $L$6)/100)</f>
        <v>n/a</v>
      </c>
      <c r="AH42" s="69" t="str">
        <f ca="1">IF(ISERROR(_xll.ciqfunctions.udf.CIQ($A42,"IQ_EBIT_MARGIN", IQ_LTM, $L$2, $L$4, $L$3, $L$5, $L$6)/100), "n/a", _xll.ciqfunctions.udf.CIQ($A42, "IQ_EBIT_MARGIN", IQ_LTM, $L$2, $L$4, $L$3, $L$5, $L$6)/100)</f>
        <v>n/a</v>
      </c>
      <c r="AI42" s="69" t="str">
        <f ca="1">IF(ISERROR(_xll.ciqfunctions.udf.CIQ($A42,"IQ_NI_MARGIN", IQ_LTM, $L$2, $L$4, $L$3, $L$5, $L$6)/100), "n/a", _xll.ciqfunctions.udf.CIQ($A42, "IQ_NI_MARGIN", IQ_LTM, $L$2, $L$4, $L$3, $L$5, $L$6)/100)</f>
        <v>n/a</v>
      </c>
      <c r="AJ42" s="84" t="str">
        <f ca="1">IF(ISERROR(_xll.ciqfunctions.udf.CIQ($A42, "IQ_NET_WORKING_CAP", IQ_LTM-8, $L$2, $L$4, $L$3, $L$5, $L$6)), "n/a", _xll.ciqfunctions.udf.CIQ($A42, "IQ_NET_WORKING_CAP", IQ_LTM-8, $L$2, $L$4, $L$3, $L$5, $L$6))</f>
        <v>n/a</v>
      </c>
      <c r="AK42" s="84" t="str">
        <f ca="1">IF(ISERROR(_xll.ciqfunctions.udf.CIQ($A42, "IQ_NET_WORKING_CAP", IQ_LTM-4, $L$2, $L$4, $L$3, $L$5, $L$6)), "n/a", _xll.ciqfunctions.udf.CIQ($A42, "IQ_NET_WORKING_CAP", IQ_LTM-4, $L$2, $L$4, $L$3, $L$5, $L$6))</f>
        <v>n/a</v>
      </c>
      <c r="AL42" s="84" t="str">
        <f ca="1">IF(ISERROR(_xll.ciqfunctions.udf.CIQ($A42, "IQ_NET_WORKING_CAP", IQ_LTM, $L$2,$L$4, $L$3, $L$5, $L$6)), "n/a", _xll.ciqfunctions.udf.CIQ($A42, "IQ_NET_WORKING_CAP", IQ_LTM, $L$2, $L$4, $L$3, $L$5, $L$6))</f>
        <v>n/a</v>
      </c>
      <c r="AM42" s="84" t="str">
        <f ca="1">IF(ISERROR(_xll.ciqfunctions.udf.CIQ($A42, "IQ_Capex", IQ_LTM-8, $L$2,$L$4, $L$3, $L$5, $L$6)), "n/a", _xll.ciqfunctions.udf.CIQ($A42, "IQ_Capex", IQ_LTM-8, $L$2, $L$4, $L$3, $L$5, $L$6))</f>
        <v>n/a</v>
      </c>
      <c r="AN42" s="84" t="str">
        <f ca="1">IF(ISERROR(_xll.ciqfunctions.udf.CIQ($A42, "IQ_Capex", IQ_LTM-4, $L$2,$L$4, $L$3, $L$5, $L$6)), "n/a", _xll.ciqfunctions.udf.CIQ($A42, "IQ_Capex", IQ_LTM-4, $L$2,$L$4, $L$3, $L$5, $L$6))</f>
        <v>n/a</v>
      </c>
      <c r="AO42" s="84" t="str">
        <f ca="1">IF(ISERROR(_xll.ciqfunctions.udf.CIQ($A42, "IQ_Capex", IQ_LTM, $L$2, $L$4, $L$3, $L$5, $L$6)), "n/a", _xll.ciqfunctions.udf.CIQ($A42, "IQ_Capex", IQ_LTM, $L$2, $L$4, $L$3, $L$5, $L$6))</f>
        <v>n/a</v>
      </c>
      <c r="AP42" s="66" t="e">
        <f ca="1">_xll.ciqfunctions.udf.CIQ(A42, "IQ_BUSINESS_DESCRIPTION")</f>
        <v>#NAME?</v>
      </c>
      <c r="AQ42" s="85" t="e">
        <f ca="1">_xll.ciqfunctions.udf.CIQ($A42, "IQ_BETA_1YR", $B$1)</f>
        <v>#NAME?</v>
      </c>
      <c r="AR42" s="85" t="e">
        <f ca="1">_xll.ciqfunctions.udf.CIQ($A42, "IQ_BETA_2YR", $B$1)</f>
        <v>#NAME?</v>
      </c>
      <c r="AS42" s="85" t="e">
        <f ca="1">_xll.ciqfunctions.udf.CIQ($A42, "IQ_BETA_5YR", $B$1)</f>
        <v>#NAME?</v>
      </c>
      <c r="AT42" s="69" t="e">
        <f ca="1">_xll.ciqfunctions.udf.CIQ($A42, "IQ_DIVIDEND_YIELD", $B$1)/100</f>
        <v>#NAME?</v>
      </c>
      <c r="AU42" s="84" t="e">
        <f ca="1">_xll.ciqfunctions.udf.CIQ($A42, "IQ_EARNING_CO", IQ_LTM-8, $L$2, $L$4, $L$3, $L$5, $L$6)</f>
        <v>#NAME?</v>
      </c>
      <c r="AV42" s="84" t="e">
        <f ca="1">_xll.ciqfunctions.udf.CIQ($A42, "IQ_EARNING_CO", IQ_LTM-4, $L$2, $L$4, $L$3, $L$5, $L$6)</f>
        <v>#NAME?</v>
      </c>
      <c r="AW42" s="84" t="e">
        <f ca="1">_xll.ciqfunctions.udf.CIQ($A42, "IQ_EARNING_CO", IQ_LTM, $L$2, $L$4, $L$3, $L$5, $L$6)</f>
        <v>#NAME?</v>
      </c>
      <c r="AX42" s="84" t="e">
        <f ca="1">_xll.ciqfunctions.udf.CIQ($A42, "IQ_EARNING_CO", $B$2, $L$2, $L$4, $L$3, $L$5, $L$6)</f>
        <v>#NAME?</v>
      </c>
      <c r="AY42" s="84" t="e">
        <f ca="1">IF(_xll.ciqfunctions.udf.CIQ($A42, "IQ_EARNING_CO", $B$3, $L$2,$L$4, $L$3, $L$5, $L$6)=0,AW42,_xll.ciqfunctions.udf.CIQ($A42, "IQ_EARNING_CO", $B$3, $L$2,$L$4, $L$3, $L$5, $L$6))</f>
        <v>#NAME?</v>
      </c>
      <c r="AZ42" s="84" t="e">
        <f ca="1">_xll.ciqfunctions.udf.CIQ($A42, "IQ_TOTAL_EQUITY", IQ_LTM-8, $L$2, $L$4, $L$3, $L$5, $L$6)</f>
        <v>#NAME?</v>
      </c>
      <c r="BA42" s="84" t="e">
        <f ca="1">_xll.ciqfunctions.udf.CIQ($A42, "IQ_TOTAL_EQUITY", IQ_LTM-4, $L$2, $L$4, $L$3, $L$5, $L$6)</f>
        <v>#NAME?</v>
      </c>
      <c r="BB42" s="84" t="e">
        <f ca="1">_xll.ciqfunctions.udf.CIQ($A42, "IQ_TOTAL_EQUITY", IQ_LTM, $L$2, $L$4, $L$3, $L$5, $L$6)</f>
        <v>#NAME?</v>
      </c>
      <c r="BC42" s="84" t="e">
        <f ca="1">_xll.ciqfunctions.udf.CIQ($A42, "IQ_TOTAL_EQUITY", $B$2, $L$2, $L$4, $L$3, $L$5, $L$6)</f>
        <v>#NAME?</v>
      </c>
      <c r="BD42" s="84" t="e">
        <f ca="1">IF(_xll.ciqfunctions.udf.CIQ($A42, "IQ_TOTAL_EQUITY", $B$3, $L$2,$L$4, $L$3, $L$5, $L$6)=0,BB42,_xll.ciqfunctions.udf.CIQ($A42, "IQ_TOTAL_EQUITY", $B$3, $L$2,$L$4, $L$3, $L$5, $L$6))</f>
        <v>#NAME?</v>
      </c>
      <c r="BE42" s="84" t="e">
        <f ca="1">_xll.ciqfunctions.udf.CIQ(A42, "IQ_LASTSALEPRICE", $B$8)</f>
        <v>#NAME?</v>
      </c>
      <c r="BF42" s="84" t="e">
        <f ca="1">_xll.ciqfunctions.udf.CIQ($A42, "IQ_MARKETCAP", $B$8, $L$5, $L$6)</f>
        <v>#NAME?</v>
      </c>
      <c r="BG42" s="84" t="e">
        <f ca="1">_xll.ciqfunctions.udf.CIQ($A42, "IQ_TOTAL_DEBT", IQ_LTM, $B$8,$L$4, $L$3, $L$5, $L$6)</f>
        <v>#NAME?</v>
      </c>
      <c r="BH42" s="67" t="e">
        <f ca="1">_xll.ciqfunctions.udf.CIQ($A42,"IQ_PREF_EQUITY",IQ_LTM,$B$8,$L$4,$L$3,$L$5,$L$6)</f>
        <v>#NAME?</v>
      </c>
      <c r="BI42" s="67" t="e">
        <f ca="1">_xll.ciqfunctions.udf.CIQ($A42, "IQ_MINORITY_INTEREST_TOTAL", IQ_LTM,$B$8,$L$4,$L$3,$L$5,$L$6)</f>
        <v>#NAME?</v>
      </c>
      <c r="BJ42" s="84" t="e">
        <f ca="1">_xll.ciqfunctions.udf.CIQ($A42, "IQ_CASH_ST_INVEST", IQ_LTM, $B$8, $L$4, $L$3, $L$5, $L$6)</f>
        <v>#NAME?</v>
      </c>
      <c r="BK42" s="67" t="e">
        <f ca="1">_xll.ciqfunctions.udf.CIQ($A42, "IQ_EFFECT_TAX_RATE")</f>
        <v>#NAME?</v>
      </c>
      <c r="BL42" s="67" t="e">
        <f ca="1">IF(_xll.ciqfunctions.udf.CIQ($A42, "IQ_TOTAL_REV_2YR_ANN_CAGR", IQ_LTM, $B$1,$L$4, $L$3, $L$5, $L$6)="NM","n/a",(_xll.ciqfunctions.udf.CIQ($A42, "IQ_TOTAL_REV_2YR_ANN_CAGR", IQ_LTM, $B$1,$L$4, $L$3, $L$5, $L$6)/100))</f>
        <v>#NAME?</v>
      </c>
      <c r="BM42" s="67" t="e">
        <f ca="1">IF(_xll.ciqfunctions.udf.CIQ($A42, "IQ_TOTAL_REV_3YR_ANN_CAGR", IQ_LTM, $B$1,$L$4, $L$3, $L$5, $L$6)="NM","n/a",(_xll.ciqfunctions.udf.CIQ($A42, "IQ_TOTAL_REV_3YR_ANN_CAGR", IQ_LTM, $B$1,$L$4, $L$3, $L$5, $L$6)/100))</f>
        <v>#NAME?</v>
      </c>
      <c r="BN42" s="67" t="e">
        <f ca="1">IF(_xll.ciqfunctions.udf.CIQ($A42, "IQ_TOTAL_REV_5YR_ANN_CAGR", IQ_LTM, $B$1,$L$4, $L$3, $L$5, $L$6)="NM","n/a",(_xll.ciqfunctions.udf.CIQ($A42, "IQ_TOTAL_REV_5YR_ANN_CAGR", IQ_LTM, $B$1,$L$4, $L$3, $L$5, $L$6)/100))</f>
        <v>#NAME?</v>
      </c>
      <c r="BO42" s="67" t="e">
        <f ca="1">IF(_xll.ciqfunctions.udf.CIQ($A42,"IQ_EBITDA_2YR_ANN_CAGR", IQ_LTM,$B$1,$L$4, $L$3, $L$5, $L$6)="NM","n/a",(_xll.ciqfunctions.udf.CIQ($A42,"IQ_EBITDA_2YR_ANN_CAGR", IQ_LTM,$B$1,$L$4, $L$3, $L$5, $L$6)/100))</f>
        <v>#NAME?</v>
      </c>
      <c r="BP42" s="67" t="e">
        <f ca="1">IF(_xll.ciqfunctions.udf.CIQ($A42,"IQ_EBITDA_3YR_ANN_CAGR", IQ_LTM,$B$1,$L$4, $L$3, $L$5, $L$6)="NM","n/a",(_xll.ciqfunctions.udf.CIQ($A42,"IQ_EBITDA_3YR_ANN_CAGR", IQ_LTM,$B$1,$L$4, $L$3, $L$5, $L$6)/100))</f>
        <v>#NAME?</v>
      </c>
      <c r="BQ42" s="67" t="e">
        <f ca="1">IF(_xll.ciqfunctions.udf.CIQ($A42,"IQ_EBITDA_5YR_ANN_CAGR", IQ_LTM,$B$1,$L$4, $L$3, $L$5, $L$6)="NM","n/a",(_xll.ciqfunctions.udf.CIQ($A42,"IQ_EBITDA_5YR_ANN_CAGR", IQ_LTM,$B$1,$L$4, $L$3, $L$5, $L$6)/100))</f>
        <v>#NAME?</v>
      </c>
      <c r="BR42" s="69" t="str">
        <f ca="1">IFERROR((_xll.ciqfunctions.udf.CIQ($A42, "IQ_DA_CF", IQ_LTM, $B$1, $L$4, $L$3, $L$5, $L$6)/Q42),"NM")</f>
        <v>NM</v>
      </c>
      <c r="BS42" s="86" t="e">
        <f>'Capital IQ Sheet-GPC'!BS42</f>
        <v>#VALUE!</v>
      </c>
      <c r="BT42" s="86" t="e">
        <f>'Capital IQ Sheet-GPC'!BT42</f>
        <v>#VALUE!</v>
      </c>
      <c r="BU42" s="86" t="e">
        <f>'Capital IQ Sheet-GPC'!BU42</f>
        <v>#VALUE!</v>
      </c>
      <c r="BV42" s="86" t="e">
        <f>'Capital IQ Sheet-GPC'!BV42</f>
        <v>#VALUE!</v>
      </c>
      <c r="BW42" s="86" t="e">
        <f>'Capital IQ Sheet-GPC'!BW42</f>
        <v>#VALUE!</v>
      </c>
      <c r="BX42" s="86" t="e">
        <f>'Capital IQ Sheet-GPC'!BX42</f>
        <v>#VALUE!</v>
      </c>
      <c r="BY42" s="86" t="e">
        <f>'Capital IQ Sheet-GPC'!BY42</f>
        <v>#VALUE!</v>
      </c>
      <c r="BZ42" s="86" t="e">
        <f>'Capital IQ Sheet-GPC'!BZ42</f>
        <v>#VALUE!</v>
      </c>
      <c r="CB42" s="67">
        <v>2</v>
      </c>
      <c r="CC42" s="123" t="s">
        <v>295</v>
      </c>
      <c r="CD42" s="123" t="s">
        <v>294</v>
      </c>
      <c r="CE42" s="68">
        <f t="shared" si="0"/>
        <v>42766</v>
      </c>
    </row>
    <row r="43" spans="1:83">
      <c r="A43" s="83" t="str">
        <f>'Capital IQ Sheet-GPC'!A43</f>
        <v>Comparable Public Companies (Secondary)</v>
      </c>
      <c r="B43" s="67"/>
      <c r="E43" s="68"/>
      <c r="F43" s="68"/>
      <c r="G43" s="68"/>
      <c r="H43" s="84"/>
      <c r="I43" s="84"/>
      <c r="K43" s="84"/>
      <c r="M43" s="84"/>
      <c r="N43" s="84"/>
      <c r="O43" s="84"/>
      <c r="P43" s="84"/>
      <c r="Q43" s="84"/>
      <c r="R43" s="84"/>
      <c r="S43" s="84"/>
      <c r="U43" s="84"/>
      <c r="V43" s="84"/>
      <c r="W43" s="84"/>
      <c r="X43" s="84"/>
      <c r="Y43" s="84"/>
      <c r="Z43" s="84"/>
      <c r="AA43" s="84"/>
      <c r="AB43" s="84"/>
      <c r="AC43" s="84"/>
      <c r="AE43" s="84"/>
      <c r="AF43" s="69"/>
      <c r="AG43" s="69"/>
      <c r="AH43" s="69"/>
      <c r="AI43" s="69"/>
      <c r="AJ43" s="84"/>
      <c r="AK43" s="84"/>
      <c r="AL43" s="84"/>
      <c r="AM43" s="84"/>
      <c r="AN43" s="84"/>
      <c r="AO43" s="84"/>
      <c r="AP43" s="66"/>
      <c r="AQ43" s="85"/>
      <c r="AR43" s="85"/>
      <c r="AS43" s="85"/>
      <c r="AU43" s="84"/>
      <c r="AV43" s="84"/>
      <c r="AW43" s="84"/>
      <c r="AX43" s="84"/>
      <c r="AY43" s="84"/>
      <c r="AZ43" s="84"/>
      <c r="BA43" s="84"/>
      <c r="BB43" s="84"/>
      <c r="BC43" s="84"/>
      <c r="BD43" s="84"/>
      <c r="BE43" s="84"/>
      <c r="BF43" s="84"/>
      <c r="BG43" s="84"/>
      <c r="BH43" s="64"/>
      <c r="BI43" s="64"/>
      <c r="BJ43" s="84"/>
      <c r="BK43" s="64"/>
      <c r="BL43" s="64"/>
      <c r="BM43" s="64"/>
      <c r="BN43" s="64"/>
      <c r="BO43" s="64"/>
      <c r="BP43" s="64"/>
      <c r="BQ43" s="64"/>
      <c r="BR43" s="64"/>
      <c r="BS43" s="64"/>
      <c r="BT43" s="64"/>
      <c r="BU43" s="64"/>
      <c r="BV43" s="64"/>
      <c r="BW43" s="64"/>
      <c r="BX43" s="64"/>
      <c r="BY43" s="64"/>
      <c r="BZ43" s="64"/>
    </row>
    <row r="44" spans="1:83">
      <c r="A44" s="67" t="e">
        <f ca="1">_xll.ciqfunctions.udf.CIQ($B44,"IQ_COMPANY_TICKER")</f>
        <v>#NAME?</v>
      </c>
      <c r="B44" s="67" t="str">
        <f>'Capital IQ Sheet-GPC'!B44</f>
        <v>(Invalid Identifier)</v>
      </c>
      <c r="C44" s="67" t="e">
        <f ca="1">_xll.ciqfunctions.udf.CIQ($A44,"IQ_COMPANY_NAME")</f>
        <v>#NAME?</v>
      </c>
      <c r="D44" s="67" t="e">
        <f ca="1">_xll.ciqfunctions.udf.CIQ($A44, "IQ_EXCHANGE")</f>
        <v>#NAME?</v>
      </c>
      <c r="E44" s="68" t="e">
        <f ca="1">_xll.ciqfunctions.udf.CIQ($A44, "IQ_PERIODDATE_IS", IQ_FY)</f>
        <v>#NAME?</v>
      </c>
      <c r="F44" s="68" t="e">
        <f ca="1">_xll.ciqfunctions.udf.CIQ(A44, "IQ_PERIODDATE_IS", IQ_LTM, $B$1,$L$4,$L$3)</f>
        <v>#NAME?</v>
      </c>
      <c r="G44" s="68" t="e">
        <f ca="1">_xll.ciqfunctions.udf.CIQ($A44, "IQ_FIRSTPRICINGDATE")</f>
        <v>#NAME?</v>
      </c>
      <c r="H44" s="84" t="e">
        <f ca="1">_xll.ciqfunctions.udf.CIQ($A44, "IQ_TEV", $L$2, $L$5, $L$6)</f>
        <v>#NAME?</v>
      </c>
      <c r="I44" s="84" t="e">
        <f ca="1">_xll.ciqfunctions.udf.CIQ(A44, "IQ_LASTSALEPRICE", $B$1,$L$5)</f>
        <v>#NAME?</v>
      </c>
      <c r="J44" s="68" t="e">
        <f ca="1">_xll.ciqfunctions.udf.CIQ($B44, "IQ_FIRSTPRICINGDATE")</f>
        <v>#NAME?</v>
      </c>
      <c r="K44" s="84" t="e">
        <f ca="1">_xll.ciqfunctions.udf.CIQ($A44, "IQ_TOTAL_DEBT", IQ_LTM, $L$2,$L$4, $L$3, $L$5, $L$6)</f>
        <v>#NAME?</v>
      </c>
      <c r="L44" s="84" t="e">
        <f ca="1">_xll.ciqfunctions.udf.CIQ($A44, "IQ_PREF_EQUITY", IQ_LTM, $L$2, $L$4, $L$3, $L$5, $L$6)</f>
        <v>#NAME?</v>
      </c>
      <c r="M44" s="84" t="e">
        <f ca="1">_xll.ciqfunctions.udf.CIQ($A44, "IQ_MINORITY_INTEREST_TOTAL", IQ_LTM, $L$2, $L$4, $L$3, $L$5, $L$6)</f>
        <v>#NAME?</v>
      </c>
      <c r="N44" s="84" t="e">
        <f ca="1">_xll.ciqfunctions.udf.CIQ($A44, "IQ_CASH_ST_INVEST", IQ_LTM, $L$2, $L$4, $L$3, $L$5, $L$6)</f>
        <v>#NAME?</v>
      </c>
      <c r="O44" s="84" t="e">
        <f ca="1">_xll.ciqfunctions.udf.CIQ($A44, "IQ_TOTAL_REV", IQ_LTM-8, $L$2, $L$4, $L$3, $L$5, $L$6)</f>
        <v>#NAME?</v>
      </c>
      <c r="P44" s="84" t="e">
        <f ca="1">_xll.ciqfunctions.udf.CIQ($A44, "IQ_TOTAL_REV", IQ_LTM - 4, $L$2, $L$4, $L$3, $L$5,$L$6)</f>
        <v>#NAME?</v>
      </c>
      <c r="Q44" s="84" t="e">
        <f ca="1">_xll.ciqfunctions.udf.CIQ($A44, "IQ_TOTAL_REV", IQ_LTM, $L$2, $L$4, $L$3, $L$5, $L$6)</f>
        <v>#NAME?</v>
      </c>
      <c r="R44" s="84" t="e">
        <f ca="1">_xll.ciqfunctions.udf.CIQ($A44, "IQ_TOTAL_REV", $B$2, $L$2, $L$4, $L$3, $L$5, $L$6)</f>
        <v>#NAME?</v>
      </c>
      <c r="S44" s="84" t="e">
        <f ca="1">IF(_xll.ciqfunctions.udf.CIQ($A44, "IQ_TOTAL_REV", $B$3, $L$2,$L$4, $L$3, $L$5, $L$6)=0,Q44,_xll.ciqfunctions.udf.CIQ($A44, "IQ_TOTAL_REV", $B$3, $L$2,$L$4, $L$3, $L$5, $L$6))</f>
        <v>#NAME?</v>
      </c>
      <c r="T44" s="84" t="e">
        <f ca="1">IF(_xll.ciqfunctions.udf.CIQ($A44, "IQ_REVENUE_EST",$B$4, $L$2, "CON", $L$3, $L$5, $L$6)=0,"n/a",_xll.ciqfunctions.udf.CIQ($A44, "IQ_REVENUE_EST",$B$4, $L$2, "CON", $L$3, $L$5, $L$6))</f>
        <v>#NAME?</v>
      </c>
      <c r="U44" s="84" t="e">
        <f ca="1">IF(_xll.ciqfunctions.udf.CIQ($A44, "IQ_REVENUE_EST",$B$5, $L$2, "CON", $L$3, $L$5, $L$6)=0,"n/a",_xll.ciqfunctions.udf.CIQ($A44, "IQ_REVENUE_EST",$B$5, $L$2, "CON", $L$3, $L$5, $L$6))</f>
        <v>#NAME?</v>
      </c>
      <c r="V44" s="84" t="e">
        <f ca="1">IF(_xll.ciqfunctions.udf.CIQ($A44, "IQ_REVENUE_EST",$B$6, $L$2, "CON", $L$3, $L$5, $L$6)=0,"n/a",_xll.ciqfunctions.udf.CIQ($A44, "IQ_REVENUE_EST",$B$6, $L$2, "CON", $L$3, $L$5, $L$6))</f>
        <v>#NAME?</v>
      </c>
      <c r="W44" s="84" t="e">
        <f ca="1">IF(_xll.ciqfunctions.udf.CIQ($A44, "IQ_REVENUE_EST", $B$7, $L$2, "CON", $L$3, $L$5, $L$6)=0,"n/a",_xll.ciqfunctions.udf.CIQ($A44, "IQ_REVENUE_EST",$B$7, $L$2, "CON", $L$3, $L$5, $L$6))</f>
        <v>#NAME?</v>
      </c>
      <c r="X44" s="84" t="e">
        <f ca="1">_xll.ciqfunctions.udf.CIQ($A44, "IQ_EBITDA", IQ_LTM-8, $L$2, $L$4, $L$3, $L$5, $L$6)</f>
        <v>#NAME?</v>
      </c>
      <c r="Y44" s="84" t="e">
        <f ca="1">_xll.ciqfunctions.udf.CIQ($A44, "IQ_EBITDA", IQ_LTM-4, $L$2,$L$4, $L$3, $L$5, $L$6)</f>
        <v>#NAME?</v>
      </c>
      <c r="Z44" s="84" t="e">
        <f ca="1">_xll.ciqfunctions.udf.CIQ($A44, "IQ_EBITDA", IQ_LTM, $L$2, $L$4, $L$3, $L$5, $L$6)</f>
        <v>#NAME?</v>
      </c>
      <c r="AA44" s="84" t="e">
        <f ca="1">_xll.ciqfunctions.udf.CIQ($A44, "IQ_EBITDA", $B$2, $L$2, $L$4, $L$3, $L$5, $L$6)</f>
        <v>#NAME?</v>
      </c>
      <c r="AB44" s="84" t="e">
        <f ca="1">IF(_xll.ciqfunctions.udf.CIQ($A44, "IQ_EBITDA", $B$3, $L$2,$L$4, $L$3, $L$5, $L$6)=0,Z44,_xll.ciqfunctions.udf.CIQ($A44, "IQ_EBITDA", $B$3, $L$2,$L$4, $L$3, $L$5, $L$6))</f>
        <v>#NAME?</v>
      </c>
      <c r="AC44" s="84" t="e">
        <f ca="1">IF(_xll.ciqfunctions.udf.CIQ($A44, "IQ_EBITDA_EST",$B$4, $L$2, "CON", $L$3, $L$5, $L$6)=0,"n/a",_xll.ciqfunctions.udf.CIQ($A44, "IQ_EBITDA_EST",$B$4, $L$2, "CON", $L$3, $L$5, $L$6))</f>
        <v>#NAME?</v>
      </c>
      <c r="AD44" s="67" t="e">
        <f ca="1">IF(_xll.ciqfunctions.udf.CIQ($A44, "IQ_EBITDA_EST",$B$5, $L$2, "CON", $L$3, $L$5, $L$6)=0,"n/a",_xll.ciqfunctions.udf.CIQ($A44, "IQ_EBITDA_EST",$B$5, $L$2, "CON", $L$3, $L$5, $L$6))</f>
        <v>#NAME?</v>
      </c>
      <c r="AE44" s="84" t="e">
        <f ca="1">IF(_xll.ciqfunctions.udf.CIQ($A44, "IQ_EBITDA_EST",$B$6, $L$2, "CON", $L$3, $L$5, $L$6)=0,"n/a",_xll.ciqfunctions.udf.CIQ($A44, "IQ_EBITDA_EST",$B$6, $L$2, "CON", $L$3, $L$5, $L$6))</f>
        <v>#NAME?</v>
      </c>
      <c r="AF44" s="69" t="str">
        <f ca="1">IF(ISERROR(_xll.ciqfunctions.udf.CIQ($A44, "IQ_GROSS_MARGIN", IQ_LTM, $L$2,$L$4, $L$3, $L$5, $L$6)/100), "n/a", _xll.ciqfunctions.udf.CIQ($A44,  "IQ_GROSS_MARGIN", IQ_LTM, $L$2, $L$4, $L$3, $L$5, $L$6)/100)</f>
        <v>n/a</v>
      </c>
      <c r="AG44" s="69" t="str">
        <f ca="1">IF(ISERROR(_xll.ciqfunctions.udf.CIQ($A44,"IQ_EBITDA_MARGIN", IQ_LTM, $L$2, $L$4, $L$3, $L$5, $L$6)/100), "n/a", _xll.ciqfunctions.udf.CIQ($A44, "IQ_EBITDA_MARGIN", IQ_LTM, $L$2, $L$4, $L$3, $L$5, $L$6)/100)</f>
        <v>n/a</v>
      </c>
      <c r="AH44" s="69" t="str">
        <f ca="1">IF(ISERROR(_xll.ciqfunctions.udf.CIQ($A44,"IQ_EBIT_MARGIN", IQ_LTM, $L$2, $L$4, $L$3, $L$5, $L$6)/100), "n/a", _xll.ciqfunctions.udf.CIQ($A44, "IQ_EBIT_MARGIN", IQ_LTM, $L$2, $L$4, $L$3, $L$5, $L$6)/100)</f>
        <v>n/a</v>
      </c>
      <c r="AI44" s="69" t="str">
        <f ca="1">IF(ISERROR(_xll.ciqfunctions.udf.CIQ($A44,"IQ_NI_MARGIN", IQ_LTM, $L$2, $L$4, $L$3, $L$5, $L$6)/100), "n/a", _xll.ciqfunctions.udf.CIQ($A44, "IQ_NI_MARGIN", IQ_LTM, $L$2, $L$4, $L$3, $L$5, $L$6)/100)</f>
        <v>n/a</v>
      </c>
      <c r="AJ44" s="84" t="str">
        <f ca="1">IF(ISERROR(_xll.ciqfunctions.udf.CIQ($A44, "IQ_NET_WORKING_CAP", IQ_LTM-8, $L$2, $L$4, $L$3, $L$5, $L$6)), "n/a", _xll.ciqfunctions.udf.CIQ($A44, "IQ_NET_WORKING_CAP", IQ_LTM-8, $L$2, $L$4, $L$3, $L$5, $L$6))</f>
        <v>n/a</v>
      </c>
      <c r="AK44" s="84" t="str">
        <f ca="1">IF(ISERROR(_xll.ciqfunctions.udf.CIQ($A44, "IQ_NET_WORKING_CAP", IQ_LTM-4, $L$2, $L$4, $L$3, $L$5, $L$6)), "n/a", _xll.ciqfunctions.udf.CIQ($A44, "IQ_NET_WORKING_CAP", IQ_LTM-4, $L$2, $L$4, $L$3, $L$5, $L$6))</f>
        <v>n/a</v>
      </c>
      <c r="AL44" s="84" t="str">
        <f ca="1">IF(ISERROR(_xll.ciqfunctions.udf.CIQ($A44, "IQ_NET_WORKING_CAP", IQ_LTM, $L$2,$L$4, $L$3, $L$5, $L$6)), "n/a", _xll.ciqfunctions.udf.CIQ($A44, "IQ_NET_WORKING_CAP", IQ_LTM, $L$2, $L$4, $L$3, $L$5, $L$6))</f>
        <v>n/a</v>
      </c>
      <c r="AM44" s="84" t="str">
        <f ca="1">IF(ISERROR(_xll.ciqfunctions.udf.CIQ($A44, "IQ_Capex", IQ_LTM-8, $L$2,$L$4, $L$3, $L$5, $L$6)), "n/a", _xll.ciqfunctions.udf.CIQ($A44, "IQ_Capex", IQ_LTM-8, $L$2, $L$4, $L$3, $L$5, $L$6))</f>
        <v>n/a</v>
      </c>
      <c r="AN44" s="84" t="str">
        <f ca="1">IF(ISERROR(_xll.ciqfunctions.udf.CIQ($A44, "IQ_Capex", IQ_LTM-4, $L$2,$L$4, $L$3, $L$5, $L$6)), "n/a", _xll.ciqfunctions.udf.CIQ($A44, "IQ_Capex", IQ_LTM-4, $L$2,$L$4, $L$3, $L$5, $L$6))</f>
        <v>n/a</v>
      </c>
      <c r="AO44" s="84" t="str">
        <f ca="1">IF(ISERROR(_xll.ciqfunctions.udf.CIQ($A44, "IQ_Capex", IQ_LTM, $L$2, $L$4, $L$3, $L$5, $L$6)), "n/a", _xll.ciqfunctions.udf.CIQ($A44, "IQ_Capex", IQ_LTM, $L$2, $L$4, $L$3, $L$5, $L$6))</f>
        <v>n/a</v>
      </c>
      <c r="AP44" s="66" t="e">
        <f ca="1">_xll.ciqfunctions.udf.CIQ(A44, "IQ_BUSINESS_DESCRIPTION")</f>
        <v>#NAME?</v>
      </c>
      <c r="AQ44" s="85" t="e">
        <f ca="1">_xll.ciqfunctions.udf.CIQ($A44, "IQ_BETA_1YR", $B$1)</f>
        <v>#NAME?</v>
      </c>
      <c r="AR44" s="85" t="e">
        <f ca="1">_xll.ciqfunctions.udf.CIQ($A44, "IQ_BETA_2YR", $B$1)</f>
        <v>#NAME?</v>
      </c>
      <c r="AS44" s="85" t="e">
        <f ca="1">_xll.ciqfunctions.udf.CIQ($A44, "IQ_BETA_5YR", $B$1)</f>
        <v>#NAME?</v>
      </c>
      <c r="AT44" s="67" t="e">
        <f ca="1">_xll.ciqfunctions.udf.CIQ($B44, "IQ_GP", IQ_LTM,$B$1, ,,"USD")</f>
        <v>#NAME?</v>
      </c>
      <c r="AU44" s="84" t="e">
        <f ca="1">_xll.ciqfunctions.udf.CIQ($A44, "IQ_EARNING_CO", IQ_LTM-8, $L$2, $L$4, $L$3, $L$5, $L$6)</f>
        <v>#NAME?</v>
      </c>
      <c r="AV44" s="84" t="e">
        <f ca="1">_xll.ciqfunctions.udf.CIQ($A44, "IQ_EARNING_CO", IQ_LTM-4, $L$2, $L$4, $L$3, $L$5, $L$6)</f>
        <v>#NAME?</v>
      </c>
      <c r="AW44" s="84" t="e">
        <f ca="1">_xll.ciqfunctions.udf.CIQ($A44, "IQ_EARNING_CO", IQ_LTM, $L$2, $L$4, $L$3, $L$5, $L$6)</f>
        <v>#NAME?</v>
      </c>
      <c r="AX44" s="84" t="e">
        <f ca="1">_xll.ciqfunctions.udf.CIQ($A44, "IQ_EARNING_CO", $B$2, $L$2, $L$4, $L$3, $L$5, $L$6)</f>
        <v>#NAME?</v>
      </c>
      <c r="AY44" s="84" t="e">
        <f ca="1">IF(_xll.ciqfunctions.udf.CIQ($A44, "IQ_EARNING_CO", $B$3, $L$2,$L$4, $L$3, $L$5, $L$6)=0,AW44,_xll.ciqfunctions.udf.CIQ($A44, "IQ_EARNING_CO", $B$3, $L$2,$L$4, $L$3, $L$5, $L$6))</f>
        <v>#NAME?</v>
      </c>
      <c r="AZ44" s="84" t="e">
        <f ca="1">_xll.ciqfunctions.udf.CIQ($A44, "IQ_TOTAL_EQUITY", IQ_LTM-8, $L$2, $L$4, $L$3, $L$5, $L$6)</f>
        <v>#NAME?</v>
      </c>
      <c r="BA44" s="84" t="e">
        <f ca="1">_xll.ciqfunctions.udf.CIQ($A44, "IQ_TOTAL_EQUITY", IQ_LTM-4, $L$2, $L$4, $L$3, $L$5, $L$6)</f>
        <v>#NAME?</v>
      </c>
      <c r="BB44" s="84" t="e">
        <f ca="1">_xll.ciqfunctions.udf.CIQ($A44, "IQ_TOTAL_EQUITY", IQ_LTM, $L$2, $L$4, $L$3, $L$5, $L$6)</f>
        <v>#NAME?</v>
      </c>
      <c r="BC44" s="84" t="e">
        <f ca="1">_xll.ciqfunctions.udf.CIQ($A44, "IQ_TOTAL_EQUITY", $B$2, $L$2, $L$4, $L$3, $L$5, $L$6)</f>
        <v>#NAME?</v>
      </c>
      <c r="BD44" s="84" t="e">
        <f ca="1">IF(_xll.ciqfunctions.udf.CIQ($A44, "IQ_TOTAL_EQUITY", $B$3, $L$2,$L$4, $L$3, $L$5, $L$6)=0,BB44,_xll.ciqfunctions.udf.CIQ($A44, "IQ_TOTAL_EQUITY", $B$3, $L$2,$L$4, $L$3, $L$5, $L$6))</f>
        <v>#NAME?</v>
      </c>
      <c r="BE44" s="84" t="e">
        <f ca="1">_xll.ciqfunctions.udf.CIQ(A44, "IQ_LASTSALEPRICE", $B$8)</f>
        <v>#NAME?</v>
      </c>
      <c r="BF44" s="84" t="e">
        <f ca="1">_xll.ciqfunctions.udf.CIQ($A44, "IQ_MARKETCAP", $B$8, $L$5, $L$6)</f>
        <v>#NAME?</v>
      </c>
      <c r="BG44" s="84" t="e">
        <f ca="1">_xll.ciqfunctions.udf.CIQ($A44, "IQ_TOTAL_DEBT", IQ_LTM, $B$8,$L$4, $L$3, $L$5, $L$6)</f>
        <v>#NAME?</v>
      </c>
      <c r="BH44" s="67" t="e">
        <f ca="1">_xll.ciqfunctions.udf.CIQ($A44,"IQ_PREF_EQUITY",IQ_LTM,$B$8,$L$4,$L$3,$L$5,$L$6)</f>
        <v>#NAME?</v>
      </c>
      <c r="BI44" s="67" t="e">
        <f ca="1">_xll.ciqfunctions.udf.CIQ($A44, "IQ_MINORITY_INTEREST_TOTAL", IQ_LTM,$B$8,$L$4,$L$3,$L$5,$L$6)</f>
        <v>#NAME?</v>
      </c>
      <c r="BJ44" s="84" t="e">
        <f ca="1">_xll.ciqfunctions.udf.CIQ($A44, "IQ_CASH_ST_INVEST", IQ_LTM, $B$8, $L$4, $L$3, $L$5, $L$6)</f>
        <v>#NAME?</v>
      </c>
      <c r="BK44" s="67" t="e">
        <f ca="1">_xll.ciqfunctions.udf.CIQ($A44, "IQ_EFFECT_TAX_RATE")</f>
        <v>#NAME?</v>
      </c>
      <c r="BL44" s="67" t="e">
        <f ca="1">IF(_xll.ciqfunctions.udf.CIQ($A44, "IQ_TOTAL_REV_2YR_ANN_CAGR", IQ_LTM, $B$1,$L$4, $L$3, $L$5, $L$6)="NM","n/a",(_xll.ciqfunctions.udf.CIQ($A44, "IQ_TOTAL_REV_2YR_ANN_CAGR", IQ_LTM, $B$1,$L$4, $L$3, $L$5, $L$6)/100))</f>
        <v>#NAME?</v>
      </c>
      <c r="BM44" s="67" t="e">
        <f ca="1">IF(_xll.ciqfunctions.udf.CIQ($A44, "IQ_TOTAL_REV_3YR_ANN_CAGR", IQ_LTM, $B$1,$L$4, $L$3, $L$5, $L$6)="NM","n/a",(_xll.ciqfunctions.udf.CIQ($A44, "IQ_TOTAL_REV_3YR_ANN_CAGR", IQ_LTM, $B$1,$L$4, $L$3, $L$5, $L$6)/100))</f>
        <v>#NAME?</v>
      </c>
      <c r="BN44" s="67" t="e">
        <f ca="1">IF(_xll.ciqfunctions.udf.CIQ($A44, "IQ_TOTAL_REV_5YR_ANN_CAGR", IQ_LTM, $B$1,$L$4, $L$3, $L$5, $L$6)="NM","n/a",(_xll.ciqfunctions.udf.CIQ($A44, "IQ_TOTAL_REV_5YR_ANN_CAGR", IQ_LTM, $B$1,$L$4, $L$3, $L$5, $L$6)/100))</f>
        <v>#NAME?</v>
      </c>
      <c r="BO44" s="67" t="e">
        <f ca="1">IF(_xll.ciqfunctions.udf.CIQ($A44,"IQ_EBITDA_2YR_ANN_CAGR", IQ_LTM,$B$1,$L$4, $L$3, $L$5, $L$6)="NM","n/a",(_xll.ciqfunctions.udf.CIQ($A44,"IQ_EBITDA_2YR_ANN_CAGR", IQ_LTM,$B$1,$L$4, $L$3, $L$5, $L$6)/100))</f>
        <v>#NAME?</v>
      </c>
      <c r="BP44" s="67" t="e">
        <f ca="1">IF(_xll.ciqfunctions.udf.CIQ($A44,"IQ_EBITDA_3YR_ANN_CAGR", IQ_LTM,$B$1,$L$4, $L$3, $L$5, $L$6)="NM","n/a",(_xll.ciqfunctions.udf.CIQ($A44,"IQ_EBITDA_3YR_ANN_CAGR", IQ_LTM,$B$1,$L$4, $L$3, $L$5, $L$6)/100))</f>
        <v>#NAME?</v>
      </c>
      <c r="BQ44" s="67" t="e">
        <f ca="1">IF(_xll.ciqfunctions.udf.CIQ($A44,"IQ_EBITDA_5YR_ANN_CAGR", IQ_LTM,$B$1,$L$4, $L$3, $L$5, $L$6)="NM","n/a",(_xll.ciqfunctions.udf.CIQ($A44,"IQ_EBITDA_5YR_ANN_CAGR", IQ_LTM,$B$1,$L$4, $L$3, $L$5, $L$6)/100))</f>
        <v>#NAME?</v>
      </c>
      <c r="BR44" s="69" t="str">
        <f ca="1">IFERROR((_xll.ciqfunctions.udf.CIQ($A44, "IQ_DA_CF", IQ_LTM, $B$1, $L$4, $L$3, $L$5, $L$6)/Q44),"NM")</f>
        <v>NM</v>
      </c>
      <c r="BS44" s="69" t="e">
        <f>'Capital IQ Sheet-GPC'!BS44</f>
        <v>#VALUE!</v>
      </c>
      <c r="BT44" s="69" t="e">
        <f>'Capital IQ Sheet-GPC'!BT44</f>
        <v>#VALUE!</v>
      </c>
      <c r="BU44" s="69" t="e">
        <f>'Capital IQ Sheet-GPC'!BU44</f>
        <v>#VALUE!</v>
      </c>
      <c r="BV44" s="69" t="e">
        <f>'Capital IQ Sheet-GPC'!BV44</f>
        <v>#VALUE!</v>
      </c>
      <c r="BW44" s="69" t="e">
        <f>'Capital IQ Sheet-GPC'!BW44</f>
        <v>#VALUE!</v>
      </c>
      <c r="BX44" s="69" t="e">
        <f>'Capital IQ Sheet-GPC'!BX44</f>
        <v>#VALUE!</v>
      </c>
      <c r="BY44" s="69" t="e">
        <f>'Capital IQ Sheet-GPC'!BY44</f>
        <v>#VALUE!</v>
      </c>
      <c r="BZ44" s="69" t="e">
        <f>'Capital IQ Sheet-GPC'!BZ44</f>
        <v>#VALUE!</v>
      </c>
    </row>
    <row r="45" spans="1:83">
      <c r="A45" s="67" t="e">
        <f ca="1">_xll.ciqfunctions.udf.CIQ($B45,"IQ_COMPANY_TICKER")</f>
        <v>#NAME?</v>
      </c>
      <c r="B45" s="67" t="str">
        <f>'Capital IQ Sheet-GPC'!B45</f>
        <v>(Invalid Identifier)</v>
      </c>
      <c r="C45" s="67" t="e">
        <f ca="1">_xll.ciqfunctions.udf.CIQ($A45,"IQ_COMPANY_NAME")</f>
        <v>#NAME?</v>
      </c>
      <c r="D45" s="67" t="e">
        <f ca="1">_xll.ciqfunctions.udf.CIQ($A45, "IQ_EXCHANGE")</f>
        <v>#NAME?</v>
      </c>
      <c r="E45" s="68" t="e">
        <f ca="1">_xll.ciqfunctions.udf.CIQ($A45, "IQ_PERIODDATE_IS", IQ_FY)</f>
        <v>#NAME?</v>
      </c>
      <c r="F45" s="68" t="e">
        <f ca="1">_xll.ciqfunctions.udf.CIQ(A45, "IQ_PERIODDATE_IS", IQ_LTM, $B$1,$L$4,$L$3)</f>
        <v>#NAME?</v>
      </c>
      <c r="G45" s="68" t="e">
        <f ca="1">_xll.ciqfunctions.udf.CIQ($A45, "IQ_FIRSTPRICINGDATE")</f>
        <v>#NAME?</v>
      </c>
      <c r="H45" s="84" t="e">
        <f ca="1">_xll.ciqfunctions.udf.CIQ($A45, "IQ_TEV", $L$2, $L$5, $L$6)</f>
        <v>#NAME?</v>
      </c>
      <c r="I45" s="84" t="e">
        <f ca="1">_xll.ciqfunctions.udf.CIQ(A45, "IQ_LASTSALEPRICE", $B$1,$L$5)</f>
        <v>#NAME?</v>
      </c>
      <c r="J45" s="68" t="e">
        <f ca="1">_xll.ciqfunctions.udf.CIQ($B45, "IQ_FIRSTPRICINGDATE")</f>
        <v>#NAME?</v>
      </c>
      <c r="K45" s="84" t="e">
        <f ca="1">_xll.ciqfunctions.udf.CIQ($A45, "IQ_TOTAL_DEBT", IQ_LTM, $L$2,$L$4, $L$3, $L$5, $L$6)</f>
        <v>#NAME?</v>
      </c>
      <c r="L45" s="84" t="e">
        <f ca="1">_xll.ciqfunctions.udf.CIQ($A45, "IQ_PREF_EQUITY", IQ_LTM, $L$2, $L$4, $L$3, $L$5, $L$6)</f>
        <v>#NAME?</v>
      </c>
      <c r="M45" s="84" t="e">
        <f ca="1">_xll.ciqfunctions.udf.CIQ($A45, "IQ_MINORITY_INTEREST_TOTAL", IQ_LTM, $L$2, $L$4, $L$3, $L$5, $L$6)</f>
        <v>#NAME?</v>
      </c>
      <c r="N45" s="84" t="e">
        <f ca="1">_xll.ciqfunctions.udf.CIQ($A45, "IQ_CASH_ST_INVEST", IQ_LTM, $L$2, $L$4, $L$3, $L$5, $L$6)</f>
        <v>#NAME?</v>
      </c>
      <c r="O45" s="84" t="e">
        <f ca="1">_xll.ciqfunctions.udf.CIQ($A45, "IQ_TOTAL_REV", IQ_LTM-8, $L$2, $L$4, $L$3, $L$5, $L$6)</f>
        <v>#NAME?</v>
      </c>
      <c r="P45" s="84" t="e">
        <f ca="1">_xll.ciqfunctions.udf.CIQ($A45, "IQ_TOTAL_REV", IQ_LTM - 4, $L$2, $L$4, $L$3, $L$5,$L$6)</f>
        <v>#NAME?</v>
      </c>
      <c r="Q45" s="84" t="e">
        <f ca="1">_xll.ciqfunctions.udf.CIQ($A45, "IQ_TOTAL_REV", IQ_LTM, $L$2, $L$4, $L$3, $L$5, $L$6)</f>
        <v>#NAME?</v>
      </c>
      <c r="R45" s="84" t="e">
        <f ca="1">_xll.ciqfunctions.udf.CIQ($A45, "IQ_TOTAL_REV", $B$2, $L$2, $L$4, $L$3, $L$5, $L$6)</f>
        <v>#NAME?</v>
      </c>
      <c r="S45" s="84" t="e">
        <f ca="1">IF(_xll.ciqfunctions.udf.CIQ($A45, "IQ_TOTAL_REV", $B$3, $L$2,$L$4, $L$3, $L$5, $L$6)=0,Q45,_xll.ciqfunctions.udf.CIQ($A45, "IQ_TOTAL_REV", $B$3, $L$2,$L$4, $L$3, $L$5, $L$6))</f>
        <v>#NAME?</v>
      </c>
      <c r="T45" s="84" t="e">
        <f ca="1">IF(_xll.ciqfunctions.udf.CIQ($A45, "IQ_REVENUE_EST",$B$4, $L$2, "CON", $L$3, $L$5, $L$6)=0,"n/a",_xll.ciqfunctions.udf.CIQ($A45, "IQ_REVENUE_EST",$B$4, $L$2, "CON", $L$3, $L$5, $L$6))</f>
        <v>#NAME?</v>
      </c>
      <c r="U45" s="84" t="e">
        <f ca="1">IF(_xll.ciqfunctions.udf.CIQ($A45, "IQ_REVENUE_EST",$B$5, $L$2, "CON", $L$3, $L$5, $L$6)=0,"n/a",_xll.ciqfunctions.udf.CIQ($A45, "IQ_REVENUE_EST",$B$5, $L$2, "CON", $L$3, $L$5, $L$6))</f>
        <v>#NAME?</v>
      </c>
      <c r="V45" s="84" t="e">
        <f ca="1">IF(_xll.ciqfunctions.udf.CIQ($A45, "IQ_REVENUE_EST",$B$6, $L$2, "CON", $L$3, $L$5, $L$6)=0,"n/a",_xll.ciqfunctions.udf.CIQ($A45, "IQ_REVENUE_EST",$B$6, $L$2, "CON", $L$3, $L$5, $L$6))</f>
        <v>#NAME?</v>
      </c>
      <c r="W45" s="84" t="e">
        <f ca="1">IF(_xll.ciqfunctions.udf.CIQ($A45, "IQ_REVENUE_EST", $B$7, $L$2, "CON", $L$3, $L$5, $L$6)=0,"n/a",_xll.ciqfunctions.udf.CIQ($A45, "IQ_REVENUE_EST",$B$7, $L$2, "CON", $L$3, $L$5, $L$6))</f>
        <v>#NAME?</v>
      </c>
      <c r="X45" s="84" t="e">
        <f ca="1">_xll.ciqfunctions.udf.CIQ($A45, "IQ_EBITDA", IQ_LTM-8, $L$2, $L$4, $L$3, $L$5, $L$6)</f>
        <v>#NAME?</v>
      </c>
      <c r="Y45" s="84" t="e">
        <f ca="1">_xll.ciqfunctions.udf.CIQ($A45, "IQ_EBITDA", IQ_LTM-4, $L$2,$L$4, $L$3, $L$5, $L$6)</f>
        <v>#NAME?</v>
      </c>
      <c r="Z45" s="84" t="e">
        <f ca="1">_xll.ciqfunctions.udf.CIQ($A45, "IQ_EBITDA", IQ_LTM, $L$2, $L$4, $L$3, $L$5, $L$6)</f>
        <v>#NAME?</v>
      </c>
      <c r="AA45" s="84" t="e">
        <f ca="1">_xll.ciqfunctions.udf.CIQ($A45, "IQ_EBITDA", $B$2, $L$2, $L$4, $L$3, $L$5, $L$6)</f>
        <v>#NAME?</v>
      </c>
      <c r="AB45" s="84" t="e">
        <f ca="1">IF(_xll.ciqfunctions.udf.CIQ($A45, "IQ_EBITDA", $B$3, $L$2,$L$4, $L$3, $L$5, $L$6)=0,Z45,_xll.ciqfunctions.udf.CIQ($A45, "IQ_EBITDA", $B$3, $L$2,$L$4, $L$3, $L$5, $L$6))</f>
        <v>#NAME?</v>
      </c>
      <c r="AC45" s="84" t="e">
        <f ca="1">IF(_xll.ciqfunctions.udf.CIQ($A45, "IQ_EBITDA_EST",$B$4, $L$2, "CON", $L$3, $L$5, $L$6)=0,"n/a",_xll.ciqfunctions.udf.CIQ($A45, "IQ_EBITDA_EST",$B$4, $L$2, "CON", $L$3, $L$5, $L$6))</f>
        <v>#NAME?</v>
      </c>
      <c r="AD45" s="67" t="e">
        <f ca="1">IF(_xll.ciqfunctions.udf.CIQ($A45, "IQ_EBITDA_EST",$B$5, $L$2, "CON", $L$3, $L$5, $L$6)=0,"n/a",_xll.ciqfunctions.udf.CIQ($A45, "IQ_EBITDA_EST",$B$5, $L$2, "CON", $L$3, $L$5, $L$6))</f>
        <v>#NAME?</v>
      </c>
      <c r="AE45" s="84" t="e">
        <f ca="1">IF(_xll.ciqfunctions.udf.CIQ($A45, "IQ_EBITDA_EST",$B$6, $L$2, "CON", $L$3, $L$5, $L$6)=0,"n/a",_xll.ciqfunctions.udf.CIQ($A45, "IQ_EBITDA_EST",$B$6, $L$2, "CON", $L$3, $L$5, $L$6))</f>
        <v>#NAME?</v>
      </c>
      <c r="AF45" s="69" t="str">
        <f ca="1">IF(ISERROR(_xll.ciqfunctions.udf.CIQ($A45, "IQ_GROSS_MARGIN", IQ_LTM, $L$2,$L$4, $L$3, $L$5, $L$6)/100), "n/a", _xll.ciqfunctions.udf.CIQ($A45,  "IQ_GROSS_MARGIN", IQ_LTM, $L$2, $L$4, $L$3, $L$5, $L$6)/100)</f>
        <v>n/a</v>
      </c>
      <c r="AG45" s="69" t="str">
        <f ca="1">IF(ISERROR(_xll.ciqfunctions.udf.CIQ($A45,"IQ_EBITDA_MARGIN", IQ_LTM, $L$2, $L$4, $L$3, $L$5, $L$6)/100), "n/a", _xll.ciqfunctions.udf.CIQ($A45, "IQ_EBITDA_MARGIN", IQ_LTM, $L$2, $L$4, $L$3, $L$5, $L$6)/100)</f>
        <v>n/a</v>
      </c>
      <c r="AH45" s="69" t="str">
        <f ca="1">IF(ISERROR(_xll.ciqfunctions.udf.CIQ($A45,"IQ_EBIT_MARGIN", IQ_LTM, $L$2, $L$4, $L$3, $L$5, $L$6)/100), "n/a", _xll.ciqfunctions.udf.CIQ($A45, "IQ_EBIT_MARGIN", IQ_LTM, $L$2, $L$4, $L$3, $L$5, $L$6)/100)</f>
        <v>n/a</v>
      </c>
      <c r="AI45" s="69" t="str">
        <f ca="1">IF(ISERROR(_xll.ciqfunctions.udf.CIQ($A45,"IQ_NI_MARGIN", IQ_LTM, $L$2, $L$4, $L$3, $L$5, $L$6)/100), "n/a", _xll.ciqfunctions.udf.CIQ($A45, "IQ_NI_MARGIN", IQ_LTM, $L$2, $L$4, $L$3, $L$5, $L$6)/100)</f>
        <v>n/a</v>
      </c>
      <c r="AJ45" s="84" t="str">
        <f ca="1">IF(ISERROR(_xll.ciqfunctions.udf.CIQ($A45, "IQ_NET_WORKING_CAP", IQ_LTM-8, $L$2, $L$4, $L$3, $L$5, $L$6)), "n/a", _xll.ciqfunctions.udf.CIQ($A45, "IQ_NET_WORKING_CAP", IQ_LTM-8, $L$2, $L$4, $L$3, $L$5, $L$6))</f>
        <v>n/a</v>
      </c>
      <c r="AK45" s="84" t="str">
        <f ca="1">IF(ISERROR(_xll.ciqfunctions.udf.CIQ($A45, "IQ_NET_WORKING_CAP", IQ_LTM-4, $L$2, $L$4, $L$3, $L$5, $L$6)), "n/a", _xll.ciqfunctions.udf.CIQ($A45, "IQ_NET_WORKING_CAP", IQ_LTM-4, $L$2, $L$4, $L$3, $L$5, $L$6))</f>
        <v>n/a</v>
      </c>
      <c r="AL45" s="84" t="str">
        <f ca="1">IF(ISERROR(_xll.ciqfunctions.udf.CIQ($A45, "IQ_NET_WORKING_CAP", IQ_LTM, $L$2,$L$4, $L$3, $L$5, $L$6)), "n/a", _xll.ciqfunctions.udf.CIQ($A45, "IQ_NET_WORKING_CAP", IQ_LTM, $L$2, $L$4, $L$3, $L$5, $L$6))</f>
        <v>n/a</v>
      </c>
      <c r="AM45" s="84" t="str">
        <f ca="1">IF(ISERROR(_xll.ciqfunctions.udf.CIQ($A45, "IQ_Capex", IQ_LTM-8, $L$2,$L$4, $L$3, $L$5, $L$6)), "n/a", _xll.ciqfunctions.udf.CIQ($A45, "IQ_Capex", IQ_LTM-8, $L$2, $L$4, $L$3, $L$5, $L$6))</f>
        <v>n/a</v>
      </c>
      <c r="AN45" s="84" t="str">
        <f ca="1">IF(ISERROR(_xll.ciqfunctions.udf.CIQ($A45, "IQ_Capex", IQ_LTM-4, $L$2,$L$4, $L$3, $L$5, $L$6)), "n/a", _xll.ciqfunctions.udf.CIQ($A45, "IQ_Capex", IQ_LTM-4, $L$2,$L$4, $L$3, $L$5, $L$6))</f>
        <v>n/a</v>
      </c>
      <c r="AO45" s="84" t="str">
        <f ca="1">IF(ISERROR(_xll.ciqfunctions.udf.CIQ($A45, "IQ_Capex", IQ_LTM, $L$2, $L$4, $L$3, $L$5, $L$6)), "n/a", _xll.ciqfunctions.udf.CIQ($A45, "IQ_Capex", IQ_LTM, $L$2, $L$4, $L$3, $L$5, $L$6))</f>
        <v>n/a</v>
      </c>
      <c r="AP45" s="66" t="e">
        <f ca="1">_xll.ciqfunctions.udf.CIQ(A45, "IQ_BUSINESS_DESCRIPTION")</f>
        <v>#NAME?</v>
      </c>
      <c r="AQ45" s="85" t="e">
        <f ca="1">_xll.ciqfunctions.udf.CIQ($A45, "IQ_BETA_1YR", $B$1)</f>
        <v>#NAME?</v>
      </c>
      <c r="AR45" s="85" t="e">
        <f ca="1">_xll.ciqfunctions.udf.CIQ($A45, "IQ_BETA_2YR", $B$1)</f>
        <v>#NAME?</v>
      </c>
      <c r="AS45" s="85" t="e">
        <f ca="1">_xll.ciqfunctions.udf.CIQ($A45, "IQ_BETA_5YR", $B$1)</f>
        <v>#NAME?</v>
      </c>
      <c r="AT45" s="67" t="e">
        <f ca="1">_xll.ciqfunctions.udf.CIQ($B45, "IQ_GP", IQ_LTM,$B$1, ,,"USD")</f>
        <v>#NAME?</v>
      </c>
      <c r="AU45" s="84" t="e">
        <f ca="1">_xll.ciqfunctions.udf.CIQ($A45, "IQ_EARNING_CO", IQ_LTM-8, $L$2, $L$4, $L$3, $L$5, $L$6)</f>
        <v>#NAME?</v>
      </c>
      <c r="AV45" s="84" t="e">
        <f ca="1">_xll.ciqfunctions.udf.CIQ($A45, "IQ_EARNING_CO", IQ_LTM-4, $L$2, $L$4, $L$3, $L$5, $L$6)</f>
        <v>#NAME?</v>
      </c>
      <c r="AW45" s="84" t="e">
        <f ca="1">_xll.ciqfunctions.udf.CIQ($A45, "IQ_EARNING_CO", IQ_LTM, $L$2, $L$4, $L$3, $L$5, $L$6)</f>
        <v>#NAME?</v>
      </c>
      <c r="AX45" s="84" t="e">
        <f ca="1">_xll.ciqfunctions.udf.CIQ($A45, "IQ_EARNING_CO", $B$2, $L$2, $L$4, $L$3, $L$5, $L$6)</f>
        <v>#NAME?</v>
      </c>
      <c r="AY45" s="84" t="e">
        <f ca="1">IF(_xll.ciqfunctions.udf.CIQ($A45, "IQ_EARNING_CO", $B$3, $L$2,$L$4, $L$3, $L$5, $L$6)=0,AW45,_xll.ciqfunctions.udf.CIQ($A45, "IQ_EARNING_CO", $B$3, $L$2,$L$4, $L$3, $L$5, $L$6))</f>
        <v>#NAME?</v>
      </c>
      <c r="AZ45" s="84" t="e">
        <f ca="1">_xll.ciqfunctions.udf.CIQ($A45, "IQ_TOTAL_EQUITY", IQ_LTM-8, $L$2, $L$4, $L$3, $L$5, $L$6)</f>
        <v>#NAME?</v>
      </c>
      <c r="BA45" s="84" t="e">
        <f ca="1">_xll.ciqfunctions.udf.CIQ($A45, "IQ_TOTAL_EQUITY", IQ_LTM-4, $L$2, $L$4, $L$3, $L$5, $L$6)</f>
        <v>#NAME?</v>
      </c>
      <c r="BB45" s="84" t="e">
        <f ca="1">_xll.ciqfunctions.udf.CIQ($A45, "IQ_TOTAL_EQUITY", IQ_LTM, $L$2, $L$4, $L$3, $L$5, $L$6)</f>
        <v>#NAME?</v>
      </c>
      <c r="BC45" s="84" t="e">
        <f ca="1">_xll.ciqfunctions.udf.CIQ($A45, "IQ_TOTAL_EQUITY", $B$2, $L$2, $L$4, $L$3, $L$5, $L$6)</f>
        <v>#NAME?</v>
      </c>
      <c r="BD45" s="84" t="e">
        <f ca="1">IF(_xll.ciqfunctions.udf.CIQ($A45, "IQ_TOTAL_EQUITY", $B$3, $L$2,$L$4, $L$3, $L$5, $L$6)=0,BB45,_xll.ciqfunctions.udf.CIQ($A45, "IQ_TOTAL_EQUITY", $B$3, $L$2,$L$4, $L$3, $L$5, $L$6))</f>
        <v>#NAME?</v>
      </c>
      <c r="BE45" s="84" t="e">
        <f ca="1">_xll.ciqfunctions.udf.CIQ(A45, "IQ_LASTSALEPRICE", $B$8)</f>
        <v>#NAME?</v>
      </c>
      <c r="BF45" s="84" t="e">
        <f ca="1">_xll.ciqfunctions.udf.CIQ($A45, "IQ_MARKETCAP", $B$8, $L$5, $L$6)</f>
        <v>#NAME?</v>
      </c>
      <c r="BG45" s="84" t="e">
        <f ca="1">_xll.ciqfunctions.udf.CIQ($A45, "IQ_TOTAL_DEBT", IQ_LTM, $B$8,$L$4, $L$3, $L$5, $L$6)</f>
        <v>#NAME?</v>
      </c>
      <c r="BH45" s="67" t="e">
        <f ca="1">_xll.ciqfunctions.udf.CIQ($A45,"IQ_PREF_EQUITY",IQ_LTM,$B$8,$L$4,$L$3,$L$5,$L$6)</f>
        <v>#NAME?</v>
      </c>
      <c r="BI45" s="67" t="e">
        <f ca="1">_xll.ciqfunctions.udf.CIQ($A45, "IQ_MINORITY_INTEREST_TOTAL", IQ_LTM,$B$8,$L$4,$L$3,$L$5,$L$6)</f>
        <v>#NAME?</v>
      </c>
      <c r="BJ45" s="84" t="e">
        <f ca="1">_xll.ciqfunctions.udf.CIQ($A45, "IQ_CASH_ST_INVEST", IQ_LTM, $B$8, $L$4, $L$3, $L$5, $L$6)</f>
        <v>#NAME?</v>
      </c>
      <c r="BK45" s="67" t="e">
        <f ca="1">_xll.ciqfunctions.udf.CIQ($A45, "IQ_EFFECT_TAX_RATE")</f>
        <v>#NAME?</v>
      </c>
      <c r="BL45" s="67" t="e">
        <f ca="1">IF(_xll.ciqfunctions.udf.CIQ($A45, "IQ_TOTAL_REV_2YR_ANN_CAGR", IQ_LTM, $B$1,$L$4, $L$3, $L$5, $L$6)="NM","n/a",(_xll.ciqfunctions.udf.CIQ($A45, "IQ_TOTAL_REV_2YR_ANN_CAGR", IQ_LTM, $B$1,$L$4, $L$3, $L$5, $L$6)/100))</f>
        <v>#NAME?</v>
      </c>
      <c r="BM45" s="67" t="e">
        <f ca="1">IF(_xll.ciqfunctions.udf.CIQ($A45, "IQ_TOTAL_REV_3YR_ANN_CAGR", IQ_LTM, $B$1,$L$4, $L$3, $L$5, $L$6)="NM","n/a",(_xll.ciqfunctions.udf.CIQ($A45, "IQ_TOTAL_REV_3YR_ANN_CAGR", IQ_LTM, $B$1,$L$4, $L$3, $L$5, $L$6)/100))</f>
        <v>#NAME?</v>
      </c>
      <c r="BN45" s="67" t="e">
        <f ca="1">IF(_xll.ciqfunctions.udf.CIQ($A45, "IQ_TOTAL_REV_5YR_ANN_CAGR", IQ_LTM, $B$1,$L$4, $L$3, $L$5, $L$6)="NM","n/a",(_xll.ciqfunctions.udf.CIQ($A45, "IQ_TOTAL_REV_5YR_ANN_CAGR", IQ_LTM, $B$1,$L$4, $L$3, $L$5, $L$6)/100))</f>
        <v>#NAME?</v>
      </c>
      <c r="BO45" s="67" t="e">
        <f ca="1">IF(_xll.ciqfunctions.udf.CIQ($A45,"IQ_EBITDA_2YR_ANN_CAGR", IQ_LTM,$B$1,$L$4, $L$3, $L$5, $L$6)="NM","n/a",(_xll.ciqfunctions.udf.CIQ($A45,"IQ_EBITDA_2YR_ANN_CAGR", IQ_LTM,$B$1,$L$4, $L$3, $L$5, $L$6)/100))</f>
        <v>#NAME?</v>
      </c>
      <c r="BP45" s="67" t="e">
        <f ca="1">IF(_xll.ciqfunctions.udf.CIQ($A45,"IQ_EBITDA_3YR_ANN_CAGR", IQ_LTM,$B$1,$L$4, $L$3, $L$5, $L$6)="NM","n/a",(_xll.ciqfunctions.udf.CIQ($A45,"IQ_EBITDA_3YR_ANN_CAGR", IQ_LTM,$B$1,$L$4, $L$3, $L$5, $L$6)/100))</f>
        <v>#NAME?</v>
      </c>
      <c r="BQ45" s="67" t="e">
        <f ca="1">IF(_xll.ciqfunctions.udf.CIQ($A45,"IQ_EBITDA_5YR_ANN_CAGR", IQ_LTM,$B$1,$L$4, $L$3, $L$5, $L$6)="NM","n/a",(_xll.ciqfunctions.udf.CIQ($A45,"IQ_EBITDA_5YR_ANN_CAGR", IQ_LTM,$B$1,$L$4, $L$3, $L$5, $L$6)/100))</f>
        <v>#NAME?</v>
      </c>
      <c r="BR45" s="69" t="str">
        <f ca="1">IFERROR((_xll.ciqfunctions.udf.CIQ($A45, "IQ_DA_CF", IQ_LTM, $B$1, $L$4, $L$3, $L$5, $L$6)/Q45),"NM")</f>
        <v>NM</v>
      </c>
      <c r="BS45" s="69" t="e">
        <f>'Capital IQ Sheet-GPC'!BS45</f>
        <v>#VALUE!</v>
      </c>
      <c r="BT45" s="69" t="e">
        <f>'Capital IQ Sheet-GPC'!BT45</f>
        <v>#VALUE!</v>
      </c>
      <c r="BU45" s="69" t="e">
        <f>'Capital IQ Sheet-GPC'!BU45</f>
        <v>#VALUE!</v>
      </c>
      <c r="BV45" s="69" t="e">
        <f>'Capital IQ Sheet-GPC'!BV45</f>
        <v>#VALUE!</v>
      </c>
      <c r="BW45" s="69" t="e">
        <f>'Capital IQ Sheet-GPC'!BW45</f>
        <v>#VALUE!</v>
      </c>
      <c r="BX45" s="69" t="e">
        <f>'Capital IQ Sheet-GPC'!BX45</f>
        <v>#VALUE!</v>
      </c>
      <c r="BY45" s="69" t="e">
        <f>'Capital IQ Sheet-GPC'!BY45</f>
        <v>#VALUE!</v>
      </c>
      <c r="BZ45" s="69" t="e">
        <f>'Capital IQ Sheet-GPC'!BZ45</f>
        <v>#VALUE!</v>
      </c>
    </row>
    <row r="46" spans="1:83">
      <c r="A46" s="67" t="e">
        <f ca="1">_xll.ciqfunctions.udf.CIQ($B46,"IQ_COMPANY_TICKER")</f>
        <v>#NAME?</v>
      </c>
      <c r="B46" s="67" t="str">
        <f>'Capital IQ Sheet-GPC'!B46</f>
        <v>(Invalid Identifier)</v>
      </c>
      <c r="C46" s="67" t="e">
        <f ca="1">_xll.ciqfunctions.udf.CIQ($A46,"IQ_COMPANY_NAME")</f>
        <v>#NAME?</v>
      </c>
      <c r="D46" s="67" t="e">
        <f ca="1">_xll.ciqfunctions.udf.CIQ($A46, "IQ_EXCHANGE")</f>
        <v>#NAME?</v>
      </c>
      <c r="E46" s="68" t="e">
        <f ca="1">_xll.ciqfunctions.udf.CIQ($A46, "IQ_PERIODDATE_IS", IQ_FY)</f>
        <v>#NAME?</v>
      </c>
      <c r="F46" s="68" t="e">
        <f ca="1">_xll.ciqfunctions.udf.CIQ(A46, "IQ_PERIODDATE_IS", IQ_LTM, $B$1,$L$4,$L$3)</f>
        <v>#NAME?</v>
      </c>
      <c r="G46" s="68" t="e">
        <f ca="1">_xll.ciqfunctions.udf.CIQ($A46, "IQ_FIRSTPRICINGDATE")</f>
        <v>#NAME?</v>
      </c>
      <c r="H46" s="84" t="e">
        <f ca="1">_xll.ciqfunctions.udf.CIQ($A46, "IQ_TEV", $L$2, $L$5, $L$6)</f>
        <v>#NAME?</v>
      </c>
      <c r="I46" s="84" t="e">
        <f ca="1">_xll.ciqfunctions.udf.CIQ(A46, "IQ_LASTSALEPRICE", $B$1,$L$5)</f>
        <v>#NAME?</v>
      </c>
      <c r="J46" s="68" t="e">
        <f ca="1">_xll.ciqfunctions.udf.CIQ($B46, "IQ_FIRSTPRICINGDATE")</f>
        <v>#NAME?</v>
      </c>
      <c r="K46" s="84" t="e">
        <f ca="1">_xll.ciqfunctions.udf.CIQ($A46, "IQ_TOTAL_DEBT", IQ_LTM, $L$2,$L$4, $L$3, $L$5, $L$6)</f>
        <v>#NAME?</v>
      </c>
      <c r="L46" s="84" t="e">
        <f ca="1">_xll.ciqfunctions.udf.CIQ($A46, "IQ_PREF_EQUITY", IQ_LTM, $L$2, $L$4, $L$3, $L$5, $L$6)</f>
        <v>#NAME?</v>
      </c>
      <c r="M46" s="84" t="e">
        <f ca="1">_xll.ciqfunctions.udf.CIQ($A46, "IQ_MINORITY_INTEREST_TOTAL", IQ_LTM, $L$2, $L$4, $L$3, $L$5, $L$6)</f>
        <v>#NAME?</v>
      </c>
      <c r="N46" s="84" t="e">
        <f ca="1">_xll.ciqfunctions.udf.CIQ($A46, "IQ_CASH_ST_INVEST", IQ_LTM, $L$2, $L$4, $L$3, $L$5, $L$6)</f>
        <v>#NAME?</v>
      </c>
      <c r="O46" s="84" t="e">
        <f ca="1">_xll.ciqfunctions.udf.CIQ($A46, "IQ_TOTAL_REV", IQ_LTM-8, $L$2, $L$4, $L$3, $L$5, $L$6)</f>
        <v>#NAME?</v>
      </c>
      <c r="P46" s="84" t="e">
        <f ca="1">_xll.ciqfunctions.udf.CIQ($A46, "IQ_TOTAL_REV", IQ_LTM - 4, $L$2, $L$4, $L$3, $L$5,$L$6)</f>
        <v>#NAME?</v>
      </c>
      <c r="Q46" s="84" t="e">
        <f ca="1">_xll.ciqfunctions.udf.CIQ($A46, "IQ_TOTAL_REV", IQ_LTM, $L$2, $L$4, $L$3, $L$5, $L$6)</f>
        <v>#NAME?</v>
      </c>
      <c r="R46" s="84" t="e">
        <f ca="1">_xll.ciqfunctions.udf.CIQ($A46, "IQ_TOTAL_REV", $B$2, $L$2, $L$4, $L$3, $L$5, $L$6)</f>
        <v>#NAME?</v>
      </c>
      <c r="S46" s="84" t="e">
        <f ca="1">IF(_xll.ciqfunctions.udf.CIQ($A46, "IQ_TOTAL_REV", $B$3, $L$2,$L$4, $L$3, $L$5, $L$6)=0,Q46,_xll.ciqfunctions.udf.CIQ($A46, "IQ_TOTAL_REV", $B$3, $L$2,$L$4, $L$3, $L$5, $L$6))</f>
        <v>#NAME?</v>
      </c>
      <c r="T46" s="84" t="e">
        <f ca="1">IF(_xll.ciqfunctions.udf.CIQ($A46, "IQ_REVENUE_EST",$B$4, $L$2, "CON", $L$3, $L$5, $L$6)=0,"n/a",_xll.ciqfunctions.udf.CIQ($A46, "IQ_REVENUE_EST",$B$4, $L$2, "CON", $L$3, $L$5, $L$6))</f>
        <v>#NAME?</v>
      </c>
      <c r="U46" s="84" t="e">
        <f ca="1">IF(_xll.ciqfunctions.udf.CIQ($A46, "IQ_REVENUE_EST",$B$5, $L$2, "CON", $L$3, $L$5, $L$6)=0,"n/a",_xll.ciqfunctions.udf.CIQ($A46, "IQ_REVENUE_EST",$B$5, $L$2, "CON", $L$3, $L$5, $L$6))</f>
        <v>#NAME?</v>
      </c>
      <c r="V46" s="84" t="e">
        <f ca="1">IF(_xll.ciqfunctions.udf.CIQ($A46, "IQ_REVENUE_EST",$B$6, $L$2, "CON", $L$3, $L$5, $L$6)=0,"n/a",_xll.ciqfunctions.udf.CIQ($A46, "IQ_REVENUE_EST",$B$6, $L$2, "CON", $L$3, $L$5, $L$6))</f>
        <v>#NAME?</v>
      </c>
      <c r="W46" s="84" t="e">
        <f ca="1">IF(_xll.ciqfunctions.udf.CIQ($A46, "IQ_REVENUE_EST", $B$7, $L$2, "CON", $L$3, $L$5, $L$6)=0,"n/a",_xll.ciqfunctions.udf.CIQ($A46, "IQ_REVENUE_EST",$B$7, $L$2, "CON", $L$3, $L$5, $L$6))</f>
        <v>#NAME?</v>
      </c>
      <c r="X46" s="84" t="e">
        <f ca="1">_xll.ciqfunctions.udf.CIQ($A46, "IQ_EBITDA", IQ_LTM-8, $L$2, $L$4, $L$3, $L$5, $L$6)</f>
        <v>#NAME?</v>
      </c>
      <c r="Y46" s="84" t="e">
        <f ca="1">_xll.ciqfunctions.udf.CIQ($A46, "IQ_EBITDA", IQ_LTM-4, $L$2,$L$4, $L$3, $L$5, $L$6)</f>
        <v>#NAME?</v>
      </c>
      <c r="Z46" s="84" t="e">
        <f ca="1">_xll.ciqfunctions.udf.CIQ($A46, "IQ_EBITDA", IQ_LTM, $L$2, $L$4, $L$3, $L$5, $L$6)</f>
        <v>#NAME?</v>
      </c>
      <c r="AA46" s="84" t="e">
        <f ca="1">_xll.ciqfunctions.udf.CIQ($A46, "IQ_EBITDA", $B$2, $L$2, $L$4, $L$3, $L$5, $L$6)</f>
        <v>#NAME?</v>
      </c>
      <c r="AB46" s="84" t="e">
        <f ca="1">IF(_xll.ciqfunctions.udf.CIQ($A46, "IQ_EBITDA", $B$3, $L$2,$L$4, $L$3, $L$5, $L$6)=0,Z46,_xll.ciqfunctions.udf.CIQ($A46, "IQ_EBITDA", $B$3, $L$2,$L$4, $L$3, $L$5, $L$6))</f>
        <v>#NAME?</v>
      </c>
      <c r="AC46" s="84" t="e">
        <f ca="1">IF(_xll.ciqfunctions.udf.CIQ($A46, "IQ_EBITDA_EST",$B$4, $L$2, "CON", $L$3, $L$5, $L$6)=0,"n/a",_xll.ciqfunctions.udf.CIQ($A46, "IQ_EBITDA_EST",$B$4, $L$2, "CON", $L$3, $L$5, $L$6))</f>
        <v>#NAME?</v>
      </c>
      <c r="AD46" s="67" t="e">
        <f ca="1">IF(_xll.ciqfunctions.udf.CIQ($A46, "IQ_EBITDA_EST",$B$5, $L$2, "CON", $L$3, $L$5, $L$6)=0,"n/a",_xll.ciqfunctions.udf.CIQ($A46, "IQ_EBITDA_EST",$B$5, $L$2, "CON", $L$3, $L$5, $L$6))</f>
        <v>#NAME?</v>
      </c>
      <c r="AE46" s="84" t="e">
        <f ca="1">IF(_xll.ciqfunctions.udf.CIQ($A46, "IQ_EBITDA_EST",$B$6, $L$2, "CON", $L$3, $L$5, $L$6)=0,"n/a",_xll.ciqfunctions.udf.CIQ($A46, "IQ_EBITDA_EST",$B$6, $L$2, "CON", $L$3, $L$5, $L$6))</f>
        <v>#NAME?</v>
      </c>
      <c r="AF46" s="69" t="str">
        <f ca="1">IF(ISERROR(_xll.ciqfunctions.udf.CIQ($A46, "IQ_GROSS_MARGIN", IQ_LTM, $L$2,$L$4, $L$3, $L$5, $L$6)/100), "n/a", _xll.ciqfunctions.udf.CIQ($A46,  "IQ_GROSS_MARGIN", IQ_LTM, $L$2, $L$4, $L$3, $L$5, $L$6)/100)</f>
        <v>n/a</v>
      </c>
      <c r="AG46" s="69" t="str">
        <f ca="1">IF(ISERROR(_xll.ciqfunctions.udf.CIQ($A46,"IQ_EBITDA_MARGIN", IQ_LTM, $L$2, $L$4, $L$3, $L$5, $L$6)/100), "n/a", _xll.ciqfunctions.udf.CIQ($A46, "IQ_EBITDA_MARGIN", IQ_LTM, $L$2, $L$4, $L$3, $L$5, $L$6)/100)</f>
        <v>n/a</v>
      </c>
      <c r="AH46" s="69" t="str">
        <f ca="1">IF(ISERROR(_xll.ciqfunctions.udf.CIQ($A46,"IQ_EBIT_MARGIN", IQ_LTM, $L$2, $L$4, $L$3, $L$5, $L$6)/100), "n/a", _xll.ciqfunctions.udf.CIQ($A46, "IQ_EBIT_MARGIN", IQ_LTM, $L$2, $L$4, $L$3, $L$5, $L$6)/100)</f>
        <v>n/a</v>
      </c>
      <c r="AI46" s="69" t="str">
        <f ca="1">IF(ISERROR(_xll.ciqfunctions.udf.CIQ($A46,"IQ_NI_MARGIN", IQ_LTM, $L$2, $L$4, $L$3, $L$5, $L$6)/100), "n/a", _xll.ciqfunctions.udf.CIQ($A46, "IQ_NI_MARGIN", IQ_LTM, $L$2, $L$4, $L$3, $L$5, $L$6)/100)</f>
        <v>n/a</v>
      </c>
      <c r="AJ46" s="84" t="str">
        <f ca="1">IF(ISERROR(_xll.ciqfunctions.udf.CIQ($A46, "IQ_NET_WORKING_CAP", IQ_LTM-8, $L$2, $L$4, $L$3, $L$5, $L$6)), "n/a", _xll.ciqfunctions.udf.CIQ($A46, "IQ_NET_WORKING_CAP", IQ_LTM-8, $L$2, $L$4, $L$3, $L$5, $L$6))</f>
        <v>n/a</v>
      </c>
      <c r="AK46" s="84" t="str">
        <f ca="1">IF(ISERROR(_xll.ciqfunctions.udf.CIQ($A46, "IQ_NET_WORKING_CAP", IQ_LTM-4, $L$2, $L$4, $L$3, $L$5, $L$6)), "n/a", _xll.ciqfunctions.udf.CIQ($A46, "IQ_NET_WORKING_CAP", IQ_LTM-4, $L$2, $L$4, $L$3, $L$5, $L$6))</f>
        <v>n/a</v>
      </c>
      <c r="AL46" s="84" t="str">
        <f ca="1">IF(ISERROR(_xll.ciqfunctions.udf.CIQ($A46, "IQ_NET_WORKING_CAP", IQ_LTM, $L$2,$L$4, $L$3, $L$5, $L$6)), "n/a", _xll.ciqfunctions.udf.CIQ($A46, "IQ_NET_WORKING_CAP", IQ_LTM, $L$2, $L$4, $L$3, $L$5, $L$6))</f>
        <v>n/a</v>
      </c>
      <c r="AM46" s="84" t="str">
        <f ca="1">IF(ISERROR(_xll.ciqfunctions.udf.CIQ($A46, "IQ_Capex", IQ_LTM-8, $L$2,$L$4, $L$3, $L$5, $L$6)), "n/a", _xll.ciqfunctions.udf.CIQ($A46, "IQ_Capex", IQ_LTM-8, $L$2, $L$4, $L$3, $L$5, $L$6))</f>
        <v>n/a</v>
      </c>
      <c r="AN46" s="84" t="str">
        <f ca="1">IF(ISERROR(_xll.ciqfunctions.udf.CIQ($A46, "IQ_Capex", IQ_LTM-4, $L$2,$L$4, $L$3, $L$5, $L$6)), "n/a", _xll.ciqfunctions.udf.CIQ($A46, "IQ_Capex", IQ_LTM-4, $L$2,$L$4, $L$3, $L$5, $L$6))</f>
        <v>n/a</v>
      </c>
      <c r="AO46" s="84" t="str">
        <f ca="1">IF(ISERROR(_xll.ciqfunctions.udf.CIQ($A46, "IQ_Capex", IQ_LTM, $L$2, $L$4, $L$3, $L$5, $L$6)), "n/a", _xll.ciqfunctions.udf.CIQ($A46, "IQ_Capex", IQ_LTM, $L$2, $L$4, $L$3, $L$5, $L$6))</f>
        <v>n/a</v>
      </c>
      <c r="AP46" s="66" t="e">
        <f ca="1">_xll.ciqfunctions.udf.CIQ(A46, "IQ_BUSINESS_DESCRIPTION")</f>
        <v>#NAME?</v>
      </c>
      <c r="AQ46" s="85" t="e">
        <f ca="1">_xll.ciqfunctions.udf.CIQ($A46, "IQ_BETA_1YR", $B$1)</f>
        <v>#NAME?</v>
      </c>
      <c r="AR46" s="85" t="e">
        <f ca="1">_xll.ciqfunctions.udf.CIQ($A46, "IQ_BETA_2YR", $B$1)</f>
        <v>#NAME?</v>
      </c>
      <c r="AS46" s="85" t="e">
        <f ca="1">_xll.ciqfunctions.udf.CIQ($A46, "IQ_BETA_5YR", $B$1)</f>
        <v>#NAME?</v>
      </c>
      <c r="AT46" s="67" t="e">
        <f ca="1">_xll.ciqfunctions.udf.CIQ($B46, "IQ_GP", IQ_LTM,$B$1, ,,"USD")</f>
        <v>#NAME?</v>
      </c>
      <c r="AU46" s="84" t="e">
        <f ca="1">_xll.ciqfunctions.udf.CIQ($A46, "IQ_EARNING_CO", IQ_LTM-8, $L$2, $L$4, $L$3, $L$5, $L$6)</f>
        <v>#NAME?</v>
      </c>
      <c r="AV46" s="84" t="e">
        <f ca="1">_xll.ciqfunctions.udf.CIQ($A46, "IQ_EARNING_CO", IQ_LTM-4, $L$2, $L$4, $L$3, $L$5, $L$6)</f>
        <v>#NAME?</v>
      </c>
      <c r="AW46" s="84" t="e">
        <f ca="1">_xll.ciqfunctions.udf.CIQ($A46, "IQ_EARNING_CO", IQ_LTM, $L$2, $L$4, $L$3, $L$5, $L$6)</f>
        <v>#NAME?</v>
      </c>
      <c r="AX46" s="84" t="e">
        <f ca="1">_xll.ciqfunctions.udf.CIQ($A46, "IQ_EARNING_CO", $B$2, $L$2, $L$4, $L$3, $L$5, $L$6)</f>
        <v>#NAME?</v>
      </c>
      <c r="AY46" s="84" t="e">
        <f ca="1">IF(_xll.ciqfunctions.udf.CIQ($A46, "IQ_EARNING_CO", $B$3, $L$2,$L$4, $L$3, $L$5, $L$6)=0,AW46,_xll.ciqfunctions.udf.CIQ($A46, "IQ_EARNING_CO", $B$3, $L$2,$L$4, $L$3, $L$5, $L$6))</f>
        <v>#NAME?</v>
      </c>
      <c r="AZ46" s="84" t="e">
        <f ca="1">_xll.ciqfunctions.udf.CIQ($A46, "IQ_TOTAL_EQUITY", IQ_LTM-8, $L$2, $L$4, $L$3, $L$5, $L$6)</f>
        <v>#NAME?</v>
      </c>
      <c r="BA46" s="84" t="e">
        <f ca="1">_xll.ciqfunctions.udf.CIQ($A46, "IQ_TOTAL_EQUITY", IQ_LTM-4, $L$2, $L$4, $L$3, $L$5, $L$6)</f>
        <v>#NAME?</v>
      </c>
      <c r="BB46" s="84" t="e">
        <f ca="1">_xll.ciqfunctions.udf.CIQ($A46, "IQ_TOTAL_EQUITY", IQ_LTM, $L$2, $L$4, $L$3, $L$5, $L$6)</f>
        <v>#NAME?</v>
      </c>
      <c r="BC46" s="84" t="e">
        <f ca="1">_xll.ciqfunctions.udf.CIQ($A46, "IQ_TOTAL_EQUITY", $B$2, $L$2, $L$4, $L$3, $L$5, $L$6)</f>
        <v>#NAME?</v>
      </c>
      <c r="BD46" s="84" t="e">
        <f ca="1">IF(_xll.ciqfunctions.udf.CIQ($A46, "IQ_TOTAL_EQUITY", $B$3, $L$2,$L$4, $L$3, $L$5, $L$6)=0,BB46,_xll.ciqfunctions.udf.CIQ($A46, "IQ_TOTAL_EQUITY", $B$3, $L$2,$L$4, $L$3, $L$5, $L$6))</f>
        <v>#NAME?</v>
      </c>
      <c r="BE46" s="84" t="e">
        <f ca="1">_xll.ciqfunctions.udf.CIQ(A46, "IQ_LASTSALEPRICE", $B$8)</f>
        <v>#NAME?</v>
      </c>
      <c r="BF46" s="84" t="e">
        <f ca="1">_xll.ciqfunctions.udf.CIQ($A46, "IQ_MARKETCAP", $B$8, $L$5, $L$6)</f>
        <v>#NAME?</v>
      </c>
      <c r="BG46" s="84" t="e">
        <f ca="1">_xll.ciqfunctions.udf.CIQ($A46, "IQ_TOTAL_DEBT", IQ_LTM, $B$8,$L$4, $L$3, $L$5, $L$6)</f>
        <v>#NAME?</v>
      </c>
      <c r="BH46" s="67" t="e">
        <f ca="1">_xll.ciqfunctions.udf.CIQ($A46,"IQ_PREF_EQUITY",IQ_LTM,$B$8,$L$4,$L$3,$L$5,$L$6)</f>
        <v>#NAME?</v>
      </c>
      <c r="BI46" s="67" t="e">
        <f ca="1">_xll.ciqfunctions.udf.CIQ($A46, "IQ_MINORITY_INTEREST_TOTAL", IQ_LTM,$B$8,$L$4,$L$3,$L$5,$L$6)</f>
        <v>#NAME?</v>
      </c>
      <c r="BJ46" s="84" t="e">
        <f ca="1">_xll.ciqfunctions.udf.CIQ($A46, "IQ_CASH_ST_INVEST", IQ_LTM, $B$8, $L$4, $L$3, $L$5, $L$6)</f>
        <v>#NAME?</v>
      </c>
      <c r="BK46" s="67" t="e">
        <f ca="1">_xll.ciqfunctions.udf.CIQ($A46, "IQ_EFFECT_TAX_RATE")</f>
        <v>#NAME?</v>
      </c>
      <c r="BL46" s="67" t="e">
        <f ca="1">IF(_xll.ciqfunctions.udf.CIQ($A46, "IQ_TOTAL_REV_2YR_ANN_CAGR", IQ_LTM, $B$1,$L$4, $L$3, $L$5, $L$6)="NM","n/a",(_xll.ciqfunctions.udf.CIQ($A46, "IQ_TOTAL_REV_2YR_ANN_CAGR", IQ_LTM, $B$1,$L$4, $L$3, $L$5, $L$6)/100))</f>
        <v>#NAME?</v>
      </c>
      <c r="BM46" s="67" t="e">
        <f ca="1">IF(_xll.ciqfunctions.udf.CIQ($A46, "IQ_TOTAL_REV_3YR_ANN_CAGR", IQ_LTM, $B$1,$L$4, $L$3, $L$5, $L$6)="NM","n/a",(_xll.ciqfunctions.udf.CIQ($A46, "IQ_TOTAL_REV_3YR_ANN_CAGR", IQ_LTM, $B$1,$L$4, $L$3, $L$5, $L$6)/100))</f>
        <v>#NAME?</v>
      </c>
      <c r="BN46" s="67" t="e">
        <f ca="1">IF(_xll.ciqfunctions.udf.CIQ($A46, "IQ_TOTAL_REV_5YR_ANN_CAGR", IQ_LTM, $B$1,$L$4, $L$3, $L$5, $L$6)="NM","n/a",(_xll.ciqfunctions.udf.CIQ($A46, "IQ_TOTAL_REV_5YR_ANN_CAGR", IQ_LTM, $B$1,$L$4, $L$3, $L$5, $L$6)/100))</f>
        <v>#NAME?</v>
      </c>
      <c r="BO46" s="67" t="e">
        <f ca="1">IF(_xll.ciqfunctions.udf.CIQ($A46,"IQ_EBITDA_2YR_ANN_CAGR", IQ_LTM,$B$1,$L$4, $L$3, $L$5, $L$6)="NM","n/a",(_xll.ciqfunctions.udf.CIQ($A46,"IQ_EBITDA_2YR_ANN_CAGR", IQ_LTM,$B$1,$L$4, $L$3, $L$5, $L$6)/100))</f>
        <v>#NAME?</v>
      </c>
      <c r="BP46" s="67" t="e">
        <f ca="1">IF(_xll.ciqfunctions.udf.CIQ($A46,"IQ_EBITDA_3YR_ANN_CAGR", IQ_LTM,$B$1,$L$4, $L$3, $L$5, $L$6)="NM","n/a",(_xll.ciqfunctions.udf.CIQ($A46,"IQ_EBITDA_3YR_ANN_CAGR", IQ_LTM,$B$1,$L$4, $L$3, $L$5, $L$6)/100))</f>
        <v>#NAME?</v>
      </c>
      <c r="BQ46" s="67" t="e">
        <f ca="1">IF(_xll.ciqfunctions.udf.CIQ($A46,"IQ_EBITDA_5YR_ANN_CAGR", IQ_LTM,$B$1,$L$4, $L$3, $L$5, $L$6)="NM","n/a",(_xll.ciqfunctions.udf.CIQ($A46,"IQ_EBITDA_5YR_ANN_CAGR", IQ_LTM,$B$1,$L$4, $L$3, $L$5, $L$6)/100))</f>
        <v>#NAME?</v>
      </c>
      <c r="BR46" s="69" t="str">
        <f ca="1">IFERROR((_xll.ciqfunctions.udf.CIQ($A46, "IQ_DA_CF", IQ_LTM, $B$1, $L$4, $L$3, $L$5, $L$6)/Q46),"NM")</f>
        <v>NM</v>
      </c>
      <c r="BS46" s="69" t="e">
        <f>'Capital IQ Sheet-GPC'!BS46</f>
        <v>#VALUE!</v>
      </c>
      <c r="BT46" s="69" t="e">
        <f>'Capital IQ Sheet-GPC'!BT46</f>
        <v>#VALUE!</v>
      </c>
      <c r="BU46" s="69" t="e">
        <f>'Capital IQ Sheet-GPC'!BU46</f>
        <v>#VALUE!</v>
      </c>
      <c r="BV46" s="69" t="e">
        <f>'Capital IQ Sheet-GPC'!BV46</f>
        <v>#VALUE!</v>
      </c>
      <c r="BW46" s="69" t="e">
        <f>'Capital IQ Sheet-GPC'!BW46</f>
        <v>#VALUE!</v>
      </c>
      <c r="BX46" s="69" t="e">
        <f>'Capital IQ Sheet-GPC'!BX46</f>
        <v>#VALUE!</v>
      </c>
      <c r="BY46" s="69" t="e">
        <f>'Capital IQ Sheet-GPC'!BY46</f>
        <v>#VALUE!</v>
      </c>
      <c r="BZ46" s="69" t="e">
        <f>'Capital IQ Sheet-GPC'!BZ46</f>
        <v>#VALUE!</v>
      </c>
    </row>
    <row r="47" spans="1:83">
      <c r="A47" s="67" t="e">
        <f ca="1">_xll.ciqfunctions.udf.CIQ($B47,"IQ_COMPANY_TICKER")</f>
        <v>#NAME?</v>
      </c>
      <c r="B47" s="67" t="str">
        <f>'Capital IQ Sheet-GPC'!B47</f>
        <v>(Invalid Identifier)</v>
      </c>
      <c r="C47" s="67" t="e">
        <f ca="1">_xll.ciqfunctions.udf.CIQ($A47,"IQ_COMPANY_NAME")</f>
        <v>#NAME?</v>
      </c>
      <c r="D47" s="67" t="e">
        <f ca="1">_xll.ciqfunctions.udf.CIQ($A47, "IQ_EXCHANGE")</f>
        <v>#NAME?</v>
      </c>
      <c r="E47" s="68" t="e">
        <f ca="1">_xll.ciqfunctions.udf.CIQ($A47, "IQ_PERIODDATE_IS", IQ_FY)</f>
        <v>#NAME?</v>
      </c>
      <c r="F47" s="68" t="e">
        <f ca="1">_xll.ciqfunctions.udf.CIQ(A47, "IQ_PERIODDATE_IS", IQ_LTM, $B$1,$L$4,$L$3)</f>
        <v>#NAME?</v>
      </c>
      <c r="G47" s="68" t="e">
        <f ca="1">_xll.ciqfunctions.udf.CIQ($A47, "IQ_FIRSTPRICINGDATE")</f>
        <v>#NAME?</v>
      </c>
      <c r="H47" s="84" t="e">
        <f ca="1">_xll.ciqfunctions.udf.CIQ($A47, "IQ_TEV", $L$2, $L$5, $L$6)</f>
        <v>#NAME?</v>
      </c>
      <c r="I47" s="84" t="e">
        <f ca="1">_xll.ciqfunctions.udf.CIQ(A47, "IQ_LASTSALEPRICE", $B$1,$L$5)</f>
        <v>#NAME?</v>
      </c>
      <c r="J47" s="68" t="e">
        <f ca="1">_xll.ciqfunctions.udf.CIQ($B47, "IQ_FIRSTPRICINGDATE")</f>
        <v>#NAME?</v>
      </c>
      <c r="K47" s="84" t="e">
        <f ca="1">_xll.ciqfunctions.udf.CIQ($A47, "IQ_TOTAL_DEBT", IQ_LTM, $L$2,$L$4, $L$3, $L$5, $L$6)</f>
        <v>#NAME?</v>
      </c>
      <c r="L47" s="84" t="e">
        <f ca="1">_xll.ciqfunctions.udf.CIQ($A47, "IQ_PREF_EQUITY", IQ_LTM, $L$2, $L$4, $L$3, $L$5, $L$6)</f>
        <v>#NAME?</v>
      </c>
      <c r="M47" s="84" t="e">
        <f ca="1">_xll.ciqfunctions.udf.CIQ($A47, "IQ_MINORITY_INTEREST_TOTAL", IQ_LTM, $L$2, $L$4, $L$3, $L$5, $L$6)</f>
        <v>#NAME?</v>
      </c>
      <c r="N47" s="84" t="e">
        <f ca="1">_xll.ciqfunctions.udf.CIQ($A47, "IQ_CASH_ST_INVEST", IQ_LTM, $L$2, $L$4, $L$3, $L$5, $L$6)</f>
        <v>#NAME?</v>
      </c>
      <c r="O47" s="84" t="e">
        <f ca="1">_xll.ciqfunctions.udf.CIQ($A47, "IQ_TOTAL_REV", IQ_LTM-8, $L$2, $L$4, $L$3, $L$5, $L$6)</f>
        <v>#NAME?</v>
      </c>
      <c r="P47" s="84" t="e">
        <f ca="1">_xll.ciqfunctions.udf.CIQ($A47, "IQ_TOTAL_REV", IQ_LTM - 4, $L$2, $L$4, $L$3, $L$5,$L$6)</f>
        <v>#NAME?</v>
      </c>
      <c r="Q47" s="84" t="e">
        <f ca="1">_xll.ciqfunctions.udf.CIQ($A47, "IQ_TOTAL_REV", IQ_LTM, $L$2, $L$4, $L$3, $L$5, $L$6)</f>
        <v>#NAME?</v>
      </c>
      <c r="R47" s="84" t="e">
        <f ca="1">_xll.ciqfunctions.udf.CIQ($A47, "IQ_TOTAL_REV", $B$2, $L$2, $L$4, $L$3, $L$5, $L$6)</f>
        <v>#NAME?</v>
      </c>
      <c r="S47" s="84" t="e">
        <f ca="1">IF(_xll.ciqfunctions.udf.CIQ($A47, "IQ_TOTAL_REV", $B$3, $L$2,$L$4, $L$3, $L$5, $L$6)=0,Q47,_xll.ciqfunctions.udf.CIQ($A47, "IQ_TOTAL_REV", $B$3, $L$2,$L$4, $L$3, $L$5, $L$6))</f>
        <v>#NAME?</v>
      </c>
      <c r="T47" s="84" t="e">
        <f ca="1">IF(_xll.ciqfunctions.udf.CIQ($A47, "IQ_REVENUE_EST",$B$4, $L$2, "CON", $L$3, $L$5, $L$6)=0,"n/a",_xll.ciqfunctions.udf.CIQ($A47, "IQ_REVENUE_EST",$B$4, $L$2, "CON", $L$3, $L$5, $L$6))</f>
        <v>#NAME?</v>
      </c>
      <c r="U47" s="84" t="e">
        <f ca="1">IF(_xll.ciqfunctions.udf.CIQ($A47, "IQ_REVENUE_EST",$B$5, $L$2, "CON", $L$3, $L$5, $L$6)=0,"n/a",_xll.ciqfunctions.udf.CIQ($A47, "IQ_REVENUE_EST",$B$5, $L$2, "CON", $L$3, $L$5, $L$6))</f>
        <v>#NAME?</v>
      </c>
      <c r="V47" s="84" t="e">
        <f ca="1">IF(_xll.ciqfunctions.udf.CIQ($A47, "IQ_REVENUE_EST",$B$6, $L$2, "CON", $L$3, $L$5, $L$6)=0,"n/a",_xll.ciqfunctions.udf.CIQ($A47, "IQ_REVENUE_EST",$B$6, $L$2, "CON", $L$3, $L$5, $L$6))</f>
        <v>#NAME?</v>
      </c>
      <c r="W47" s="84" t="e">
        <f ca="1">IF(_xll.ciqfunctions.udf.CIQ($A47, "IQ_REVENUE_EST", $B$7, $L$2, "CON", $L$3, $L$5, $L$6)=0,"n/a",_xll.ciqfunctions.udf.CIQ($A47, "IQ_REVENUE_EST",$B$7, $L$2, "CON", $L$3, $L$5, $L$6))</f>
        <v>#NAME?</v>
      </c>
      <c r="X47" s="84" t="e">
        <f ca="1">_xll.ciqfunctions.udf.CIQ($A47, "IQ_EBITDA", IQ_LTM-8, $L$2, $L$4, $L$3, $L$5, $L$6)</f>
        <v>#NAME?</v>
      </c>
      <c r="Y47" s="84" t="e">
        <f ca="1">_xll.ciqfunctions.udf.CIQ($A47, "IQ_EBITDA", IQ_LTM-4, $L$2,$L$4, $L$3, $L$5, $L$6)</f>
        <v>#NAME?</v>
      </c>
      <c r="Z47" s="84" t="e">
        <f ca="1">_xll.ciqfunctions.udf.CIQ($A47, "IQ_EBITDA", IQ_LTM, $L$2, $L$4, $L$3, $L$5, $L$6)</f>
        <v>#NAME?</v>
      </c>
      <c r="AA47" s="84" t="e">
        <f ca="1">_xll.ciqfunctions.udf.CIQ($A47, "IQ_EBITDA", $B$2, $L$2, $L$4, $L$3, $L$5, $L$6)</f>
        <v>#NAME?</v>
      </c>
      <c r="AB47" s="84" t="e">
        <f ca="1">IF(_xll.ciqfunctions.udf.CIQ($A47, "IQ_EBITDA", $B$3, $L$2,$L$4, $L$3, $L$5, $L$6)=0,Z47,_xll.ciqfunctions.udf.CIQ($A47, "IQ_EBITDA", $B$3, $L$2,$L$4, $L$3, $L$5, $L$6))</f>
        <v>#NAME?</v>
      </c>
      <c r="AC47" s="84" t="e">
        <f ca="1">IF(_xll.ciqfunctions.udf.CIQ($A47, "IQ_EBITDA_EST",$B$4, $L$2, "CON", $L$3, $L$5, $L$6)=0,"n/a",_xll.ciqfunctions.udf.CIQ($A47, "IQ_EBITDA_EST",$B$4, $L$2, "CON", $L$3, $L$5, $L$6))</f>
        <v>#NAME?</v>
      </c>
      <c r="AD47" s="67" t="e">
        <f ca="1">IF(_xll.ciqfunctions.udf.CIQ($A47, "IQ_EBITDA_EST",$B$5, $L$2, "CON", $L$3, $L$5, $L$6)=0,"n/a",_xll.ciqfunctions.udf.CIQ($A47, "IQ_EBITDA_EST",$B$5, $L$2, "CON", $L$3, $L$5, $L$6))</f>
        <v>#NAME?</v>
      </c>
      <c r="AE47" s="84" t="e">
        <f ca="1">IF(_xll.ciqfunctions.udf.CIQ($A47, "IQ_EBITDA_EST",$B$6, $L$2, "CON", $L$3, $L$5, $L$6)=0,"n/a",_xll.ciqfunctions.udf.CIQ($A47, "IQ_EBITDA_EST",$B$6, $L$2, "CON", $L$3, $L$5, $L$6))</f>
        <v>#NAME?</v>
      </c>
      <c r="AF47" s="69" t="str">
        <f ca="1">IF(ISERROR(_xll.ciqfunctions.udf.CIQ($A47, "IQ_GROSS_MARGIN", IQ_LTM, $L$2,$L$4, $L$3, $L$5, $L$6)/100), "n/a", _xll.ciqfunctions.udf.CIQ($A47,  "IQ_GROSS_MARGIN", IQ_LTM, $L$2, $L$4, $L$3, $L$5, $L$6)/100)</f>
        <v>n/a</v>
      </c>
      <c r="AG47" s="69" t="str">
        <f ca="1">IF(ISERROR(_xll.ciqfunctions.udf.CIQ($A47,"IQ_EBITDA_MARGIN", IQ_LTM, $L$2, $L$4, $L$3, $L$5, $L$6)/100), "n/a", _xll.ciqfunctions.udf.CIQ($A47, "IQ_EBITDA_MARGIN", IQ_LTM, $L$2, $L$4, $L$3, $L$5, $L$6)/100)</f>
        <v>n/a</v>
      </c>
      <c r="AH47" s="69" t="str">
        <f ca="1">IF(ISERROR(_xll.ciqfunctions.udf.CIQ($A47,"IQ_EBIT_MARGIN", IQ_LTM, $L$2, $L$4, $L$3, $L$5, $L$6)/100), "n/a", _xll.ciqfunctions.udf.CIQ($A47, "IQ_EBIT_MARGIN", IQ_LTM, $L$2, $L$4, $L$3, $L$5, $L$6)/100)</f>
        <v>n/a</v>
      </c>
      <c r="AI47" s="69" t="str">
        <f ca="1">IF(ISERROR(_xll.ciqfunctions.udf.CIQ($A47,"IQ_NI_MARGIN", IQ_LTM, $L$2, $L$4, $L$3, $L$5, $L$6)/100), "n/a", _xll.ciqfunctions.udf.CIQ($A47, "IQ_NI_MARGIN", IQ_LTM, $L$2, $L$4, $L$3, $L$5, $L$6)/100)</f>
        <v>n/a</v>
      </c>
      <c r="AJ47" s="84" t="str">
        <f ca="1">IF(ISERROR(_xll.ciqfunctions.udf.CIQ($A47, "IQ_NET_WORKING_CAP", IQ_LTM-8, $L$2, $L$4, $L$3, $L$5, $L$6)), "n/a", _xll.ciqfunctions.udf.CIQ($A47, "IQ_NET_WORKING_CAP", IQ_LTM-8, $L$2, $L$4, $L$3, $L$5, $L$6))</f>
        <v>n/a</v>
      </c>
      <c r="AK47" s="84" t="str">
        <f ca="1">IF(ISERROR(_xll.ciqfunctions.udf.CIQ($A47, "IQ_NET_WORKING_CAP", IQ_LTM-4, $L$2, $L$4, $L$3, $L$5, $L$6)), "n/a", _xll.ciqfunctions.udf.CIQ($A47, "IQ_NET_WORKING_CAP", IQ_LTM-4, $L$2, $L$4, $L$3, $L$5, $L$6))</f>
        <v>n/a</v>
      </c>
      <c r="AL47" s="84" t="str">
        <f ca="1">IF(ISERROR(_xll.ciqfunctions.udf.CIQ($A47, "IQ_NET_WORKING_CAP", IQ_LTM, $L$2,$L$4, $L$3, $L$5, $L$6)), "n/a", _xll.ciqfunctions.udf.CIQ($A47, "IQ_NET_WORKING_CAP", IQ_LTM, $L$2, $L$4, $L$3, $L$5, $L$6))</f>
        <v>n/a</v>
      </c>
      <c r="AM47" s="84" t="str">
        <f ca="1">IF(ISERROR(_xll.ciqfunctions.udf.CIQ($A47, "IQ_Capex", IQ_LTM-8, $L$2,$L$4, $L$3, $L$5, $L$6)), "n/a", _xll.ciqfunctions.udf.CIQ($A47, "IQ_Capex", IQ_LTM-8, $L$2, $L$4, $L$3, $L$5, $L$6))</f>
        <v>n/a</v>
      </c>
      <c r="AN47" s="84" t="str">
        <f ca="1">IF(ISERROR(_xll.ciqfunctions.udf.CIQ($A47, "IQ_Capex", IQ_LTM-4, $L$2,$L$4, $L$3, $L$5, $L$6)), "n/a", _xll.ciqfunctions.udf.CIQ($A47, "IQ_Capex", IQ_LTM-4, $L$2,$L$4, $L$3, $L$5, $L$6))</f>
        <v>n/a</v>
      </c>
      <c r="AO47" s="84" t="str">
        <f ca="1">IF(ISERROR(_xll.ciqfunctions.udf.CIQ($A47, "IQ_Capex", IQ_LTM, $L$2, $L$4, $L$3, $L$5, $L$6)), "n/a", _xll.ciqfunctions.udf.CIQ($A47, "IQ_Capex", IQ_LTM, $L$2, $L$4, $L$3, $L$5, $L$6))</f>
        <v>n/a</v>
      </c>
      <c r="AP47" s="66" t="e">
        <f ca="1">_xll.ciqfunctions.udf.CIQ(A47, "IQ_BUSINESS_DESCRIPTION")</f>
        <v>#NAME?</v>
      </c>
      <c r="AQ47" s="85" t="e">
        <f ca="1">_xll.ciqfunctions.udf.CIQ($A47, "IQ_BETA_1YR", $B$1)</f>
        <v>#NAME?</v>
      </c>
      <c r="AR47" s="85" t="e">
        <f ca="1">_xll.ciqfunctions.udf.CIQ($A47, "IQ_BETA_2YR", $B$1)</f>
        <v>#NAME?</v>
      </c>
      <c r="AS47" s="85" t="e">
        <f ca="1">_xll.ciqfunctions.udf.CIQ($A47, "IQ_BETA_5YR", $B$1)</f>
        <v>#NAME?</v>
      </c>
      <c r="AT47" s="67" t="e">
        <f ca="1">_xll.ciqfunctions.udf.CIQ($B47, "IQ_GP", IQ_LTM,$B$1, ,,"USD")</f>
        <v>#NAME?</v>
      </c>
      <c r="AU47" s="84" t="e">
        <f ca="1">_xll.ciqfunctions.udf.CIQ($A47, "IQ_EARNING_CO", IQ_LTM-8, $L$2, $L$4, $L$3, $L$5, $L$6)</f>
        <v>#NAME?</v>
      </c>
      <c r="AV47" s="84" t="e">
        <f ca="1">_xll.ciqfunctions.udf.CIQ($A47, "IQ_EARNING_CO", IQ_LTM-4, $L$2, $L$4, $L$3, $L$5, $L$6)</f>
        <v>#NAME?</v>
      </c>
      <c r="AW47" s="84" t="e">
        <f ca="1">_xll.ciqfunctions.udf.CIQ($A47, "IQ_EARNING_CO", IQ_LTM, $L$2, $L$4, $L$3, $L$5, $L$6)</f>
        <v>#NAME?</v>
      </c>
      <c r="AX47" s="84" t="e">
        <f ca="1">_xll.ciqfunctions.udf.CIQ($A47, "IQ_EARNING_CO", $B$2, $L$2, $L$4, $L$3, $L$5, $L$6)</f>
        <v>#NAME?</v>
      </c>
      <c r="AY47" s="84" t="e">
        <f ca="1">IF(_xll.ciqfunctions.udf.CIQ($A47, "IQ_EARNING_CO", $B$3, $L$2,$L$4, $L$3, $L$5, $L$6)=0,AW47,_xll.ciqfunctions.udf.CIQ($A47, "IQ_EARNING_CO", $B$3, $L$2,$L$4, $L$3, $L$5, $L$6))</f>
        <v>#NAME?</v>
      </c>
      <c r="AZ47" s="84" t="e">
        <f ca="1">_xll.ciqfunctions.udf.CIQ($A47, "IQ_TOTAL_EQUITY", IQ_LTM-8, $L$2, $L$4, $L$3, $L$5, $L$6)</f>
        <v>#NAME?</v>
      </c>
      <c r="BA47" s="84" t="e">
        <f ca="1">_xll.ciqfunctions.udf.CIQ($A47, "IQ_TOTAL_EQUITY", IQ_LTM-4, $L$2, $L$4, $L$3, $L$5, $L$6)</f>
        <v>#NAME?</v>
      </c>
      <c r="BB47" s="84" t="e">
        <f ca="1">_xll.ciqfunctions.udf.CIQ($A47, "IQ_TOTAL_EQUITY", IQ_LTM, $L$2, $L$4, $L$3, $L$5, $L$6)</f>
        <v>#NAME?</v>
      </c>
      <c r="BC47" s="84" t="e">
        <f ca="1">_xll.ciqfunctions.udf.CIQ($A47, "IQ_TOTAL_EQUITY", $B$2, $L$2, $L$4, $L$3, $L$5, $L$6)</f>
        <v>#NAME?</v>
      </c>
      <c r="BD47" s="84" t="e">
        <f ca="1">IF(_xll.ciqfunctions.udf.CIQ($A47, "IQ_TOTAL_EQUITY", $B$3, $L$2,$L$4, $L$3, $L$5, $L$6)=0,BB47,_xll.ciqfunctions.udf.CIQ($A47, "IQ_TOTAL_EQUITY", $B$3, $L$2,$L$4, $L$3, $L$5, $L$6))</f>
        <v>#NAME?</v>
      </c>
      <c r="BE47" s="84" t="e">
        <f ca="1">_xll.ciqfunctions.udf.CIQ(A47, "IQ_LASTSALEPRICE", $B$8)</f>
        <v>#NAME?</v>
      </c>
      <c r="BF47" s="84" t="e">
        <f ca="1">_xll.ciqfunctions.udf.CIQ($A47, "IQ_MARKETCAP", $B$8, $L$5, $L$6)</f>
        <v>#NAME?</v>
      </c>
      <c r="BG47" s="84" t="e">
        <f ca="1">_xll.ciqfunctions.udf.CIQ($A47, "IQ_TOTAL_DEBT", IQ_LTM, $B$8,$L$4, $L$3, $L$5, $L$6)</f>
        <v>#NAME?</v>
      </c>
      <c r="BH47" s="67" t="e">
        <f ca="1">_xll.ciqfunctions.udf.CIQ($A47,"IQ_PREF_EQUITY",IQ_LTM,$B$8,$L$4,$L$3,$L$5,$L$6)</f>
        <v>#NAME?</v>
      </c>
      <c r="BI47" s="67" t="e">
        <f ca="1">_xll.ciqfunctions.udf.CIQ($A47, "IQ_MINORITY_INTEREST_TOTAL", IQ_LTM,$B$8,$L$4,$L$3,$L$5,$L$6)</f>
        <v>#NAME?</v>
      </c>
      <c r="BJ47" s="84" t="e">
        <f ca="1">_xll.ciqfunctions.udf.CIQ($A47, "IQ_CASH_ST_INVEST", IQ_LTM, $B$8, $L$4, $L$3, $L$5, $L$6)</f>
        <v>#NAME?</v>
      </c>
      <c r="BK47" s="67" t="e">
        <f ca="1">_xll.ciqfunctions.udf.CIQ($A47, "IQ_EFFECT_TAX_RATE")</f>
        <v>#NAME?</v>
      </c>
      <c r="BL47" s="67" t="e">
        <f ca="1">IF(_xll.ciqfunctions.udf.CIQ($A47, "IQ_TOTAL_REV_2YR_ANN_CAGR", IQ_LTM, $B$1,$L$4, $L$3, $L$5, $L$6)="NM","n/a",(_xll.ciqfunctions.udf.CIQ($A47, "IQ_TOTAL_REV_2YR_ANN_CAGR", IQ_LTM, $B$1,$L$4, $L$3, $L$5, $L$6)/100))</f>
        <v>#NAME?</v>
      </c>
      <c r="BM47" s="67" t="e">
        <f ca="1">IF(_xll.ciqfunctions.udf.CIQ($A47, "IQ_TOTAL_REV_3YR_ANN_CAGR", IQ_LTM, $B$1,$L$4, $L$3, $L$5, $L$6)="NM","n/a",(_xll.ciqfunctions.udf.CIQ($A47, "IQ_TOTAL_REV_3YR_ANN_CAGR", IQ_LTM, $B$1,$L$4, $L$3, $L$5, $L$6)/100))</f>
        <v>#NAME?</v>
      </c>
      <c r="BN47" s="67" t="e">
        <f ca="1">IF(_xll.ciqfunctions.udf.CIQ($A47, "IQ_TOTAL_REV_5YR_ANN_CAGR", IQ_LTM, $B$1,$L$4, $L$3, $L$5, $L$6)="NM","n/a",(_xll.ciqfunctions.udf.CIQ($A47, "IQ_TOTAL_REV_5YR_ANN_CAGR", IQ_LTM, $B$1,$L$4, $L$3, $L$5, $L$6)/100))</f>
        <v>#NAME?</v>
      </c>
      <c r="BO47" s="67" t="e">
        <f ca="1">IF(_xll.ciqfunctions.udf.CIQ($A47,"IQ_EBITDA_2YR_ANN_CAGR", IQ_LTM,$B$1,$L$4, $L$3, $L$5, $L$6)="NM","n/a",(_xll.ciqfunctions.udf.CIQ($A47,"IQ_EBITDA_2YR_ANN_CAGR", IQ_LTM,$B$1,$L$4, $L$3, $L$5, $L$6)/100))</f>
        <v>#NAME?</v>
      </c>
      <c r="BP47" s="67" t="e">
        <f ca="1">IF(_xll.ciqfunctions.udf.CIQ($A47,"IQ_EBITDA_3YR_ANN_CAGR", IQ_LTM,$B$1,$L$4, $L$3, $L$5, $L$6)="NM","n/a",(_xll.ciqfunctions.udf.CIQ($A47,"IQ_EBITDA_3YR_ANN_CAGR", IQ_LTM,$B$1,$L$4, $L$3, $L$5, $L$6)/100))</f>
        <v>#NAME?</v>
      </c>
      <c r="BQ47" s="67" t="e">
        <f ca="1">IF(_xll.ciqfunctions.udf.CIQ($A47,"IQ_EBITDA_5YR_ANN_CAGR", IQ_LTM,$B$1,$L$4, $L$3, $L$5, $L$6)="NM","n/a",(_xll.ciqfunctions.udf.CIQ($A47,"IQ_EBITDA_5YR_ANN_CAGR", IQ_LTM,$B$1,$L$4, $L$3, $L$5, $L$6)/100))</f>
        <v>#NAME?</v>
      </c>
      <c r="BR47" s="69" t="str">
        <f ca="1">IFERROR((_xll.ciqfunctions.udf.CIQ($A47, "IQ_DA_CF", IQ_LTM, $B$1, $L$4, $L$3, $L$5, $L$6)/Q47),"NM")</f>
        <v>NM</v>
      </c>
      <c r="BS47" s="69" t="e">
        <f>'Capital IQ Sheet-GPC'!BS47</f>
        <v>#VALUE!</v>
      </c>
      <c r="BT47" s="69" t="e">
        <f>'Capital IQ Sheet-GPC'!BT47</f>
        <v>#VALUE!</v>
      </c>
      <c r="BU47" s="69" t="e">
        <f>'Capital IQ Sheet-GPC'!BU47</f>
        <v>#VALUE!</v>
      </c>
      <c r="BV47" s="69" t="e">
        <f>'Capital IQ Sheet-GPC'!BV47</f>
        <v>#VALUE!</v>
      </c>
      <c r="BW47" s="69" t="e">
        <f>'Capital IQ Sheet-GPC'!BW47</f>
        <v>#VALUE!</v>
      </c>
      <c r="BX47" s="69" t="e">
        <f>'Capital IQ Sheet-GPC'!BX47</f>
        <v>#VALUE!</v>
      </c>
      <c r="BY47" s="69" t="e">
        <f>'Capital IQ Sheet-GPC'!BY47</f>
        <v>#VALUE!</v>
      </c>
      <c r="BZ47" s="69" t="e">
        <f>'Capital IQ Sheet-GPC'!BZ47</f>
        <v>#VALUE!</v>
      </c>
    </row>
    <row r="48" spans="1:83">
      <c r="A48" s="67" t="e">
        <f ca="1">_xll.ciqfunctions.udf.CIQ($B48,"IQ_COMPANY_TICKER")</f>
        <v>#NAME?</v>
      </c>
      <c r="B48" s="67" t="str">
        <f>'Capital IQ Sheet-GPC'!B48</f>
        <v>(Invalid Identifier)</v>
      </c>
      <c r="C48" s="67" t="e">
        <f ca="1">_xll.ciqfunctions.udf.CIQ($A48,"IQ_COMPANY_NAME")</f>
        <v>#NAME?</v>
      </c>
      <c r="D48" s="67" t="e">
        <f ca="1">_xll.ciqfunctions.udf.CIQ($A48, "IQ_EXCHANGE")</f>
        <v>#NAME?</v>
      </c>
      <c r="E48" s="68" t="e">
        <f ca="1">_xll.ciqfunctions.udf.CIQ($A48, "IQ_PERIODDATE_IS", IQ_FY)</f>
        <v>#NAME?</v>
      </c>
      <c r="F48" s="68" t="e">
        <f ca="1">_xll.ciqfunctions.udf.CIQ(A48, "IQ_PERIODDATE_IS", IQ_LTM, $B$1,$L$4,$L$3)</f>
        <v>#NAME?</v>
      </c>
      <c r="G48" s="68" t="e">
        <f ca="1">_xll.ciqfunctions.udf.CIQ($A48, "IQ_FIRSTPRICINGDATE")</f>
        <v>#NAME?</v>
      </c>
      <c r="H48" s="84" t="e">
        <f ca="1">_xll.ciqfunctions.udf.CIQ($A48, "IQ_TEV", $L$2, $L$5, $L$6)</f>
        <v>#NAME?</v>
      </c>
      <c r="I48" s="84" t="e">
        <f ca="1">_xll.ciqfunctions.udf.CIQ(A48, "IQ_LASTSALEPRICE", $B$1,$L$5)</f>
        <v>#NAME?</v>
      </c>
      <c r="J48" s="68" t="e">
        <f ca="1">_xll.ciqfunctions.udf.CIQ($B48, "IQ_FIRSTPRICINGDATE")</f>
        <v>#NAME?</v>
      </c>
      <c r="K48" s="84" t="e">
        <f ca="1">_xll.ciqfunctions.udf.CIQ($A48, "IQ_TOTAL_DEBT", IQ_LTM, $L$2,$L$4, $L$3, $L$5, $L$6)</f>
        <v>#NAME?</v>
      </c>
      <c r="L48" s="84" t="e">
        <f ca="1">_xll.ciqfunctions.udf.CIQ($A48, "IQ_PREF_EQUITY", IQ_LTM, $L$2, $L$4, $L$3, $L$5, $L$6)</f>
        <v>#NAME?</v>
      </c>
      <c r="M48" s="84" t="e">
        <f ca="1">_xll.ciqfunctions.udf.CIQ($A48, "IQ_MINORITY_INTEREST_TOTAL", IQ_LTM, $L$2, $L$4, $L$3, $L$5, $L$6)</f>
        <v>#NAME?</v>
      </c>
      <c r="N48" s="84" t="e">
        <f ca="1">_xll.ciqfunctions.udf.CIQ($A48, "IQ_CASH_ST_INVEST", IQ_LTM, $L$2, $L$4, $L$3, $L$5, $L$6)</f>
        <v>#NAME?</v>
      </c>
      <c r="O48" s="84" t="e">
        <f ca="1">_xll.ciqfunctions.udf.CIQ($A48, "IQ_TOTAL_REV", IQ_LTM-8, $L$2, $L$4, $L$3, $L$5, $L$6)</f>
        <v>#NAME?</v>
      </c>
      <c r="P48" s="84" t="e">
        <f ca="1">_xll.ciqfunctions.udf.CIQ($A48, "IQ_TOTAL_REV", IQ_LTM - 4, $L$2, $L$4, $L$3, $L$5,$L$6)</f>
        <v>#NAME?</v>
      </c>
      <c r="Q48" s="84" t="e">
        <f ca="1">_xll.ciqfunctions.udf.CIQ($A48, "IQ_TOTAL_REV", IQ_LTM, $L$2, $L$4, $L$3, $L$5, $L$6)</f>
        <v>#NAME?</v>
      </c>
      <c r="R48" s="84" t="e">
        <f ca="1">_xll.ciqfunctions.udf.CIQ($A48, "IQ_TOTAL_REV", $B$2, $L$2, $L$4, $L$3, $L$5, $L$6)</f>
        <v>#NAME?</v>
      </c>
      <c r="S48" s="84" t="e">
        <f ca="1">IF(_xll.ciqfunctions.udf.CIQ($A48, "IQ_TOTAL_REV", $B$3, $L$2,$L$4, $L$3, $L$5, $L$6)=0,Q48,_xll.ciqfunctions.udf.CIQ($A48, "IQ_TOTAL_REV", $B$3, $L$2,$L$4, $L$3, $L$5, $L$6))</f>
        <v>#NAME?</v>
      </c>
      <c r="T48" s="84" t="e">
        <f ca="1">IF(_xll.ciqfunctions.udf.CIQ($A48, "IQ_REVENUE_EST",$B$4, $L$2, "CON", $L$3, $L$5, $L$6)=0,"n/a",_xll.ciqfunctions.udf.CIQ($A48, "IQ_REVENUE_EST",$B$4, $L$2, "CON", $L$3, $L$5, $L$6))</f>
        <v>#NAME?</v>
      </c>
      <c r="U48" s="84" t="e">
        <f ca="1">IF(_xll.ciqfunctions.udf.CIQ($A48, "IQ_REVENUE_EST",$B$5, $L$2, "CON", $L$3, $L$5, $L$6)=0,"n/a",_xll.ciqfunctions.udf.CIQ($A48, "IQ_REVENUE_EST",$B$5, $L$2, "CON", $L$3, $L$5, $L$6))</f>
        <v>#NAME?</v>
      </c>
      <c r="V48" s="84" t="e">
        <f ca="1">IF(_xll.ciqfunctions.udf.CIQ($A48, "IQ_REVENUE_EST",$B$6, $L$2, "CON", $L$3, $L$5, $L$6)=0,"n/a",_xll.ciqfunctions.udf.CIQ($A48, "IQ_REVENUE_EST",$B$6, $L$2, "CON", $L$3, $L$5, $L$6))</f>
        <v>#NAME?</v>
      </c>
      <c r="W48" s="84" t="e">
        <f ca="1">IF(_xll.ciqfunctions.udf.CIQ($A48, "IQ_REVENUE_EST", $B$7, $L$2, "CON", $L$3, $L$5, $L$6)=0,"n/a",_xll.ciqfunctions.udf.CIQ($A48, "IQ_REVENUE_EST",$B$7, $L$2, "CON", $L$3, $L$5, $L$6))</f>
        <v>#NAME?</v>
      </c>
      <c r="X48" s="84" t="e">
        <f ca="1">_xll.ciqfunctions.udf.CIQ($A48, "IQ_EBITDA", IQ_LTM-8, $L$2, $L$4, $L$3, $L$5, $L$6)</f>
        <v>#NAME?</v>
      </c>
      <c r="Y48" s="84" t="e">
        <f ca="1">_xll.ciqfunctions.udf.CIQ($A48, "IQ_EBITDA", IQ_LTM-4, $L$2,$L$4, $L$3, $L$5, $L$6)</f>
        <v>#NAME?</v>
      </c>
      <c r="Z48" s="84" t="e">
        <f ca="1">_xll.ciqfunctions.udf.CIQ($A48, "IQ_EBITDA", IQ_LTM, $L$2, $L$4, $L$3, $L$5, $L$6)</f>
        <v>#NAME?</v>
      </c>
      <c r="AA48" s="84" t="e">
        <f ca="1">_xll.ciqfunctions.udf.CIQ($A48, "IQ_EBITDA", $B$2, $L$2, $L$4, $L$3, $L$5, $L$6)</f>
        <v>#NAME?</v>
      </c>
      <c r="AB48" s="84" t="e">
        <f ca="1">IF(_xll.ciqfunctions.udf.CIQ($A48, "IQ_EBITDA", $B$3, $L$2,$L$4, $L$3, $L$5, $L$6)=0,Z48,_xll.ciqfunctions.udf.CIQ($A48, "IQ_EBITDA", $B$3, $L$2,$L$4, $L$3, $L$5, $L$6))</f>
        <v>#NAME?</v>
      </c>
      <c r="AC48" s="84" t="e">
        <f ca="1">IF(_xll.ciqfunctions.udf.CIQ($A48, "IQ_EBITDA_EST",$B$4, $L$2, "CON", $L$3, $L$5, $L$6)=0,"n/a",_xll.ciqfunctions.udf.CIQ($A48, "IQ_EBITDA_EST",$B$4, $L$2, "CON", $L$3, $L$5, $L$6))</f>
        <v>#NAME?</v>
      </c>
      <c r="AD48" s="67" t="e">
        <f ca="1">IF(_xll.ciqfunctions.udf.CIQ($A48, "IQ_EBITDA_EST",$B$5, $L$2, "CON", $L$3, $L$5, $L$6)=0,"n/a",_xll.ciqfunctions.udf.CIQ($A48, "IQ_EBITDA_EST",$B$5, $L$2, "CON", $L$3, $L$5, $L$6))</f>
        <v>#NAME?</v>
      </c>
      <c r="AE48" s="84" t="e">
        <f ca="1">IF(_xll.ciqfunctions.udf.CIQ($A48, "IQ_EBITDA_EST",$B$6, $L$2, "CON", $L$3, $L$5, $L$6)=0,"n/a",_xll.ciqfunctions.udf.CIQ($A48, "IQ_EBITDA_EST",$B$6, $L$2, "CON", $L$3, $L$5, $L$6))</f>
        <v>#NAME?</v>
      </c>
      <c r="AF48" s="69" t="str">
        <f ca="1">IF(ISERROR(_xll.ciqfunctions.udf.CIQ($A48, "IQ_GROSS_MARGIN", IQ_LTM, $L$2,$L$4, $L$3, $L$5, $L$6)/100), "n/a", _xll.ciqfunctions.udf.CIQ($A48,  "IQ_GROSS_MARGIN", IQ_LTM, $L$2, $L$4, $L$3, $L$5, $L$6)/100)</f>
        <v>n/a</v>
      </c>
      <c r="AG48" s="69" t="str">
        <f ca="1">IF(ISERROR(_xll.ciqfunctions.udf.CIQ($A48,"IQ_EBITDA_MARGIN", IQ_LTM, $L$2, $L$4, $L$3, $L$5, $L$6)/100), "n/a", _xll.ciqfunctions.udf.CIQ($A48, "IQ_EBITDA_MARGIN", IQ_LTM, $L$2, $L$4, $L$3, $L$5, $L$6)/100)</f>
        <v>n/a</v>
      </c>
      <c r="AH48" s="69" t="str">
        <f ca="1">IF(ISERROR(_xll.ciqfunctions.udf.CIQ($A48,"IQ_EBIT_MARGIN", IQ_LTM, $L$2, $L$4, $L$3, $L$5, $L$6)/100), "n/a", _xll.ciqfunctions.udf.CIQ($A48, "IQ_EBIT_MARGIN", IQ_LTM, $L$2, $L$4, $L$3, $L$5, $L$6)/100)</f>
        <v>n/a</v>
      </c>
      <c r="AI48" s="69" t="str">
        <f ca="1">IF(ISERROR(_xll.ciqfunctions.udf.CIQ($A48,"IQ_NI_MARGIN", IQ_LTM, $L$2, $L$4, $L$3, $L$5, $L$6)/100), "n/a", _xll.ciqfunctions.udf.CIQ($A48, "IQ_NI_MARGIN", IQ_LTM, $L$2, $L$4, $L$3, $L$5, $L$6)/100)</f>
        <v>n/a</v>
      </c>
      <c r="AJ48" s="84" t="str">
        <f ca="1">IF(ISERROR(_xll.ciqfunctions.udf.CIQ($A48, "IQ_NET_WORKING_CAP", IQ_LTM-8, $L$2, $L$4, $L$3, $L$5, $L$6)), "n/a", _xll.ciqfunctions.udf.CIQ($A48, "IQ_NET_WORKING_CAP", IQ_LTM-8, $L$2, $L$4, $L$3, $L$5, $L$6))</f>
        <v>n/a</v>
      </c>
      <c r="AK48" s="84" t="str">
        <f ca="1">IF(ISERROR(_xll.ciqfunctions.udf.CIQ($A48, "IQ_NET_WORKING_CAP", IQ_LTM-4, $L$2, $L$4, $L$3, $L$5, $L$6)), "n/a", _xll.ciqfunctions.udf.CIQ($A48, "IQ_NET_WORKING_CAP", IQ_LTM-4, $L$2, $L$4, $L$3, $L$5, $L$6))</f>
        <v>n/a</v>
      </c>
      <c r="AL48" s="84" t="str">
        <f ca="1">IF(ISERROR(_xll.ciqfunctions.udf.CIQ($A48, "IQ_NET_WORKING_CAP", IQ_LTM, $L$2,$L$4, $L$3, $L$5, $L$6)), "n/a", _xll.ciqfunctions.udf.CIQ($A48, "IQ_NET_WORKING_CAP", IQ_LTM, $L$2, $L$4, $L$3, $L$5, $L$6))</f>
        <v>n/a</v>
      </c>
      <c r="AM48" s="84" t="str">
        <f ca="1">IF(ISERROR(_xll.ciqfunctions.udf.CIQ($A48, "IQ_Capex", IQ_LTM-8, $L$2,$L$4, $L$3, $L$5, $L$6)), "n/a", _xll.ciqfunctions.udf.CIQ($A48, "IQ_Capex", IQ_LTM-8, $L$2, $L$4, $L$3, $L$5, $L$6))</f>
        <v>n/a</v>
      </c>
      <c r="AN48" s="84" t="str">
        <f ca="1">IF(ISERROR(_xll.ciqfunctions.udf.CIQ($A48, "IQ_Capex", IQ_LTM-4, $L$2,$L$4, $L$3, $L$5, $L$6)), "n/a", _xll.ciqfunctions.udf.CIQ($A48, "IQ_Capex", IQ_LTM-4, $L$2,$L$4, $L$3, $L$5, $L$6))</f>
        <v>n/a</v>
      </c>
      <c r="AO48" s="84" t="str">
        <f ca="1">IF(ISERROR(_xll.ciqfunctions.udf.CIQ($A48, "IQ_Capex", IQ_LTM, $L$2, $L$4, $L$3, $L$5, $L$6)), "n/a", _xll.ciqfunctions.udf.CIQ($A48, "IQ_Capex", IQ_LTM, $L$2, $L$4, $L$3, $L$5, $L$6))</f>
        <v>n/a</v>
      </c>
      <c r="AP48" s="66" t="e">
        <f ca="1">_xll.ciqfunctions.udf.CIQ(A48, "IQ_BUSINESS_DESCRIPTION")</f>
        <v>#NAME?</v>
      </c>
      <c r="AQ48" s="85" t="e">
        <f ca="1">_xll.ciqfunctions.udf.CIQ($A48, "IQ_BETA_1YR", $B$1)</f>
        <v>#NAME?</v>
      </c>
      <c r="AR48" s="85" t="e">
        <f ca="1">_xll.ciqfunctions.udf.CIQ($A48, "IQ_BETA_2YR", $B$1)</f>
        <v>#NAME?</v>
      </c>
      <c r="AS48" s="85" t="e">
        <f ca="1">_xll.ciqfunctions.udf.CIQ($A48, "IQ_BETA_5YR", $B$1)</f>
        <v>#NAME?</v>
      </c>
      <c r="AT48" s="67" t="e">
        <f ca="1">_xll.ciqfunctions.udf.CIQ($B48, "IQ_GP", IQ_LTM,$B$1, ,,"USD")</f>
        <v>#NAME?</v>
      </c>
      <c r="AU48" s="84" t="e">
        <f ca="1">_xll.ciqfunctions.udf.CIQ($A48, "IQ_EARNING_CO", IQ_LTM-8, $L$2, $L$4, $L$3, $L$5, $L$6)</f>
        <v>#NAME?</v>
      </c>
      <c r="AV48" s="84" t="e">
        <f ca="1">_xll.ciqfunctions.udf.CIQ($A48, "IQ_EARNING_CO", IQ_LTM-4, $L$2, $L$4, $L$3, $L$5, $L$6)</f>
        <v>#NAME?</v>
      </c>
      <c r="AW48" s="84" t="e">
        <f ca="1">_xll.ciqfunctions.udf.CIQ($A48, "IQ_EARNING_CO", IQ_LTM, $L$2, $L$4, $L$3, $L$5, $L$6)</f>
        <v>#NAME?</v>
      </c>
      <c r="AX48" s="84" t="e">
        <f ca="1">_xll.ciqfunctions.udf.CIQ($A48, "IQ_EARNING_CO", $B$2, $L$2, $L$4, $L$3, $L$5, $L$6)</f>
        <v>#NAME?</v>
      </c>
      <c r="AY48" s="84" t="e">
        <f ca="1">IF(_xll.ciqfunctions.udf.CIQ($A48, "IQ_EARNING_CO", $B$3, $L$2,$L$4, $L$3, $L$5, $L$6)=0,AW48,_xll.ciqfunctions.udf.CIQ($A48, "IQ_EARNING_CO", $B$3, $L$2,$L$4, $L$3, $L$5, $L$6))</f>
        <v>#NAME?</v>
      </c>
      <c r="AZ48" s="84" t="e">
        <f ca="1">_xll.ciqfunctions.udf.CIQ($A48, "IQ_TOTAL_EQUITY", IQ_LTM-8, $L$2, $L$4, $L$3, $L$5, $L$6)</f>
        <v>#NAME?</v>
      </c>
      <c r="BA48" s="84" t="e">
        <f ca="1">_xll.ciqfunctions.udf.CIQ($A48, "IQ_TOTAL_EQUITY", IQ_LTM-4, $L$2, $L$4, $L$3, $L$5, $L$6)</f>
        <v>#NAME?</v>
      </c>
      <c r="BB48" s="84" t="e">
        <f ca="1">_xll.ciqfunctions.udf.CIQ($A48, "IQ_TOTAL_EQUITY", IQ_LTM, $L$2, $L$4, $L$3, $L$5, $L$6)</f>
        <v>#NAME?</v>
      </c>
      <c r="BC48" s="84" t="e">
        <f ca="1">_xll.ciqfunctions.udf.CIQ($A48, "IQ_TOTAL_EQUITY", $B$2, $L$2, $L$4, $L$3, $L$5, $L$6)</f>
        <v>#NAME?</v>
      </c>
      <c r="BD48" s="84" t="e">
        <f ca="1">IF(_xll.ciqfunctions.udf.CIQ($A48, "IQ_TOTAL_EQUITY", $B$3, $L$2,$L$4, $L$3, $L$5, $L$6)=0,BB48,_xll.ciqfunctions.udf.CIQ($A48, "IQ_TOTAL_EQUITY", $B$3, $L$2,$L$4, $L$3, $L$5, $L$6))</f>
        <v>#NAME?</v>
      </c>
      <c r="BE48" s="84" t="e">
        <f ca="1">_xll.ciqfunctions.udf.CIQ(A48, "IQ_LASTSALEPRICE", $B$8)</f>
        <v>#NAME?</v>
      </c>
      <c r="BF48" s="84" t="e">
        <f ca="1">_xll.ciqfunctions.udf.CIQ($A48, "IQ_MARKETCAP", $B$8, $L$5, $L$6)</f>
        <v>#NAME?</v>
      </c>
      <c r="BG48" s="84" t="e">
        <f ca="1">_xll.ciqfunctions.udf.CIQ($A48, "IQ_TOTAL_DEBT", IQ_LTM, $B$8,$L$4, $L$3, $L$5, $L$6)</f>
        <v>#NAME?</v>
      </c>
      <c r="BH48" s="67" t="e">
        <f ca="1">_xll.ciqfunctions.udf.CIQ($A48,"IQ_PREF_EQUITY",IQ_LTM,$B$8,$L$4,$L$3,$L$5,$L$6)</f>
        <v>#NAME?</v>
      </c>
      <c r="BI48" s="67" t="e">
        <f ca="1">_xll.ciqfunctions.udf.CIQ($A48, "IQ_MINORITY_INTEREST_TOTAL", IQ_LTM,$B$8,$L$4,$L$3,$L$5,$L$6)</f>
        <v>#NAME?</v>
      </c>
      <c r="BJ48" s="84" t="e">
        <f ca="1">_xll.ciqfunctions.udf.CIQ($A48, "IQ_CASH_ST_INVEST", IQ_LTM, $B$8, $L$4, $L$3, $L$5, $L$6)</f>
        <v>#NAME?</v>
      </c>
      <c r="BK48" s="67" t="e">
        <f ca="1">_xll.ciqfunctions.udf.CIQ($A48, "IQ_EFFECT_TAX_RATE")</f>
        <v>#NAME?</v>
      </c>
      <c r="BL48" s="67" t="e">
        <f ca="1">IF(_xll.ciqfunctions.udf.CIQ($A48, "IQ_TOTAL_REV_2YR_ANN_CAGR", IQ_LTM, $B$1,$L$4, $L$3, $L$5, $L$6)="NM","n/a",(_xll.ciqfunctions.udf.CIQ($A48, "IQ_TOTAL_REV_2YR_ANN_CAGR", IQ_LTM, $B$1,$L$4, $L$3, $L$5, $L$6)/100))</f>
        <v>#NAME?</v>
      </c>
      <c r="BM48" s="67" t="e">
        <f ca="1">IF(_xll.ciqfunctions.udf.CIQ($A48, "IQ_TOTAL_REV_3YR_ANN_CAGR", IQ_LTM, $B$1,$L$4, $L$3, $L$5, $L$6)="NM","n/a",(_xll.ciqfunctions.udf.CIQ($A48, "IQ_TOTAL_REV_3YR_ANN_CAGR", IQ_LTM, $B$1,$L$4, $L$3, $L$5, $L$6)/100))</f>
        <v>#NAME?</v>
      </c>
      <c r="BN48" s="67" t="e">
        <f ca="1">IF(_xll.ciqfunctions.udf.CIQ($A48, "IQ_TOTAL_REV_5YR_ANN_CAGR", IQ_LTM, $B$1,$L$4, $L$3, $L$5, $L$6)="NM","n/a",(_xll.ciqfunctions.udf.CIQ($A48, "IQ_TOTAL_REV_5YR_ANN_CAGR", IQ_LTM, $B$1,$L$4, $L$3, $L$5, $L$6)/100))</f>
        <v>#NAME?</v>
      </c>
      <c r="BO48" s="67" t="e">
        <f ca="1">IF(_xll.ciqfunctions.udf.CIQ($A48,"IQ_EBITDA_2YR_ANN_CAGR", IQ_LTM,$B$1,$L$4, $L$3, $L$5, $L$6)="NM","n/a",(_xll.ciqfunctions.udf.CIQ($A48,"IQ_EBITDA_2YR_ANN_CAGR", IQ_LTM,$B$1,$L$4, $L$3, $L$5, $L$6)/100))</f>
        <v>#NAME?</v>
      </c>
      <c r="BP48" s="67" t="e">
        <f ca="1">IF(_xll.ciqfunctions.udf.CIQ($A48,"IQ_EBITDA_3YR_ANN_CAGR", IQ_LTM,$B$1,$L$4, $L$3, $L$5, $L$6)="NM","n/a",(_xll.ciqfunctions.udf.CIQ($A48,"IQ_EBITDA_3YR_ANN_CAGR", IQ_LTM,$B$1,$L$4, $L$3, $L$5, $L$6)/100))</f>
        <v>#NAME?</v>
      </c>
      <c r="BQ48" s="67" t="e">
        <f ca="1">IF(_xll.ciqfunctions.udf.CIQ($A48,"IQ_EBITDA_5YR_ANN_CAGR", IQ_LTM,$B$1,$L$4, $L$3, $L$5, $L$6)="NM","n/a",(_xll.ciqfunctions.udf.CIQ($A48,"IQ_EBITDA_5YR_ANN_CAGR", IQ_LTM,$B$1,$L$4, $L$3, $L$5, $L$6)/100))</f>
        <v>#NAME?</v>
      </c>
      <c r="BR48" s="69" t="str">
        <f ca="1">IFERROR((_xll.ciqfunctions.udf.CIQ($A48, "IQ_DA_CF", IQ_LTM, $B$1, $L$4, $L$3, $L$5, $L$6)/Q48),"NM")</f>
        <v>NM</v>
      </c>
      <c r="BS48" s="69" t="e">
        <f>'Capital IQ Sheet-GPC'!BS48</f>
        <v>#VALUE!</v>
      </c>
      <c r="BT48" s="69" t="e">
        <f>'Capital IQ Sheet-GPC'!BT48</f>
        <v>#VALUE!</v>
      </c>
      <c r="BU48" s="69" t="e">
        <f>'Capital IQ Sheet-GPC'!BU48</f>
        <v>#VALUE!</v>
      </c>
      <c r="BV48" s="69" t="e">
        <f>'Capital IQ Sheet-GPC'!BV48</f>
        <v>#VALUE!</v>
      </c>
      <c r="BW48" s="69" t="e">
        <f>'Capital IQ Sheet-GPC'!BW48</f>
        <v>#VALUE!</v>
      </c>
      <c r="BX48" s="69" t="e">
        <f>'Capital IQ Sheet-GPC'!BX48</f>
        <v>#VALUE!</v>
      </c>
      <c r="BY48" s="69" t="e">
        <f>'Capital IQ Sheet-GPC'!BY48</f>
        <v>#VALUE!</v>
      </c>
      <c r="BZ48" s="69" t="e">
        <f>'Capital IQ Sheet-GPC'!BZ48</f>
        <v>#VALUE!</v>
      </c>
    </row>
    <row r="49" spans="1:83">
      <c r="A49" s="67" t="e">
        <f ca="1">_xll.ciqfunctions.udf.CIQ($B49,"IQ_COMPANY_TICKER")</f>
        <v>#NAME?</v>
      </c>
      <c r="B49" s="67" t="str">
        <f>'Capital IQ Sheet-GPC'!B49</f>
        <v>(Invalid Identifier)</v>
      </c>
      <c r="C49" s="67" t="e">
        <f ca="1">_xll.ciqfunctions.udf.CIQ($A49,"IQ_COMPANY_NAME")</f>
        <v>#NAME?</v>
      </c>
      <c r="D49" s="67" t="e">
        <f ca="1">_xll.ciqfunctions.udf.CIQ($A49, "IQ_EXCHANGE")</f>
        <v>#NAME?</v>
      </c>
      <c r="E49" s="68" t="e">
        <f ca="1">_xll.ciqfunctions.udf.CIQ($A49, "IQ_PERIODDATE_IS", IQ_FY)</f>
        <v>#NAME?</v>
      </c>
      <c r="F49" s="68" t="e">
        <f ca="1">_xll.ciqfunctions.udf.CIQ(A49, "IQ_PERIODDATE_IS", IQ_LTM, $B$1,$L$4,$L$3)</f>
        <v>#NAME?</v>
      </c>
      <c r="G49" s="68" t="e">
        <f ca="1">_xll.ciqfunctions.udf.CIQ($A49, "IQ_FIRSTPRICINGDATE")</f>
        <v>#NAME?</v>
      </c>
      <c r="H49" s="84" t="e">
        <f ca="1">_xll.ciqfunctions.udf.CIQ($A49, "IQ_TEV", $L$2, $L$5, $L$6)</f>
        <v>#NAME?</v>
      </c>
      <c r="I49" s="84" t="e">
        <f ca="1">_xll.ciqfunctions.udf.CIQ(A49, "IQ_LASTSALEPRICE", $B$1,$L$5)</f>
        <v>#NAME?</v>
      </c>
      <c r="J49" s="68" t="e">
        <f ca="1">_xll.ciqfunctions.udf.CIQ($B49, "IQ_FIRSTPRICINGDATE")</f>
        <v>#NAME?</v>
      </c>
      <c r="K49" s="84" t="e">
        <f ca="1">_xll.ciqfunctions.udf.CIQ($A49, "IQ_TOTAL_DEBT", IQ_LTM, $L$2,$L$4, $L$3, $L$5, $L$6)</f>
        <v>#NAME?</v>
      </c>
      <c r="L49" s="84" t="e">
        <f ca="1">_xll.ciqfunctions.udf.CIQ($A49, "IQ_PREF_EQUITY", IQ_LTM, $L$2, $L$4, $L$3, $L$5, $L$6)</f>
        <v>#NAME?</v>
      </c>
      <c r="M49" s="84" t="e">
        <f ca="1">_xll.ciqfunctions.udf.CIQ($A49, "IQ_MINORITY_INTEREST_TOTAL", IQ_LTM, $L$2, $L$4, $L$3, $L$5, $L$6)</f>
        <v>#NAME?</v>
      </c>
      <c r="N49" s="84" t="e">
        <f ca="1">_xll.ciqfunctions.udf.CIQ($A49, "IQ_CASH_ST_INVEST", IQ_LTM, $L$2, $L$4, $L$3, $L$5, $L$6)</f>
        <v>#NAME?</v>
      </c>
      <c r="O49" s="84" t="e">
        <f ca="1">_xll.ciqfunctions.udf.CIQ($A49, "IQ_TOTAL_REV", IQ_LTM-8, $L$2, $L$4, $L$3, $L$5, $L$6)</f>
        <v>#NAME?</v>
      </c>
      <c r="P49" s="84" t="e">
        <f ca="1">_xll.ciqfunctions.udf.CIQ($A49, "IQ_TOTAL_REV", IQ_LTM - 4, $L$2, $L$4, $L$3, $L$5,$L$6)</f>
        <v>#NAME?</v>
      </c>
      <c r="Q49" s="84" t="e">
        <f ca="1">_xll.ciqfunctions.udf.CIQ($A49, "IQ_TOTAL_REV", IQ_LTM, $L$2, $L$4, $L$3, $L$5, $L$6)</f>
        <v>#NAME?</v>
      </c>
      <c r="R49" s="84" t="e">
        <f ca="1">_xll.ciqfunctions.udf.CIQ($A49, "IQ_TOTAL_REV", $B$2, $L$2, $L$4, $L$3, $L$5, $L$6)</f>
        <v>#NAME?</v>
      </c>
      <c r="S49" s="84" t="e">
        <f ca="1">IF(_xll.ciqfunctions.udf.CIQ($A49, "IQ_TOTAL_REV", $B$3, $L$2,$L$4, $L$3, $L$5, $L$6)=0,Q49,_xll.ciqfunctions.udf.CIQ($A49, "IQ_TOTAL_REV", $B$3, $L$2,$L$4, $L$3, $L$5, $L$6))</f>
        <v>#NAME?</v>
      </c>
      <c r="T49" s="84" t="e">
        <f ca="1">IF(_xll.ciqfunctions.udf.CIQ($A49, "IQ_REVENUE_EST",$B$4, $L$2, "CON", $L$3, $L$5, $L$6)=0,"n/a",_xll.ciqfunctions.udf.CIQ($A49, "IQ_REVENUE_EST",$B$4, $L$2, "CON", $L$3, $L$5, $L$6))</f>
        <v>#NAME?</v>
      </c>
      <c r="U49" s="84" t="e">
        <f ca="1">IF(_xll.ciqfunctions.udf.CIQ($A49, "IQ_REVENUE_EST",$B$5, $L$2, "CON", $L$3, $L$5, $L$6)=0,"n/a",_xll.ciqfunctions.udf.CIQ($A49, "IQ_REVENUE_EST",$B$5, $L$2, "CON", $L$3, $L$5, $L$6))</f>
        <v>#NAME?</v>
      </c>
      <c r="V49" s="84" t="e">
        <f ca="1">IF(_xll.ciqfunctions.udf.CIQ($A49, "IQ_REVENUE_EST",$B$6, $L$2, "CON", $L$3, $L$5, $L$6)=0,"n/a",_xll.ciqfunctions.udf.CIQ($A49, "IQ_REVENUE_EST",$B$6, $L$2, "CON", $L$3, $L$5, $L$6))</f>
        <v>#NAME?</v>
      </c>
      <c r="W49" s="84" t="e">
        <f ca="1">IF(_xll.ciqfunctions.udf.CIQ($A49, "IQ_REVENUE_EST", $B$7, $L$2, "CON", $L$3, $L$5, $L$6)=0,"n/a",_xll.ciqfunctions.udf.CIQ($A49, "IQ_REVENUE_EST",$B$7, $L$2, "CON", $L$3, $L$5, $L$6))</f>
        <v>#NAME?</v>
      </c>
      <c r="X49" s="84" t="e">
        <f ca="1">_xll.ciqfunctions.udf.CIQ($A49, "IQ_EBITDA", IQ_LTM-8, $L$2, $L$4, $L$3, $L$5, $L$6)</f>
        <v>#NAME?</v>
      </c>
      <c r="Y49" s="84" t="e">
        <f ca="1">_xll.ciqfunctions.udf.CIQ($A49, "IQ_EBITDA", IQ_LTM-4, $L$2,$L$4, $L$3, $L$5, $L$6)</f>
        <v>#NAME?</v>
      </c>
      <c r="Z49" s="84" t="e">
        <f ca="1">_xll.ciqfunctions.udf.CIQ($A49, "IQ_EBITDA", IQ_LTM, $L$2, $L$4, $L$3, $L$5, $L$6)</f>
        <v>#NAME?</v>
      </c>
      <c r="AA49" s="84" t="e">
        <f ca="1">_xll.ciqfunctions.udf.CIQ($A49, "IQ_EBITDA", $B$2, $L$2, $L$4, $L$3, $L$5, $L$6)</f>
        <v>#NAME?</v>
      </c>
      <c r="AB49" s="84" t="e">
        <f ca="1">IF(_xll.ciqfunctions.udf.CIQ($A49, "IQ_EBITDA", $B$3, $L$2,$L$4, $L$3, $L$5, $L$6)=0,Z49,_xll.ciqfunctions.udf.CIQ($A49, "IQ_EBITDA", $B$3, $L$2,$L$4, $L$3, $L$5, $L$6))</f>
        <v>#NAME?</v>
      </c>
      <c r="AC49" s="84" t="e">
        <f ca="1">IF(_xll.ciqfunctions.udf.CIQ($A49, "IQ_EBITDA_EST",$B$4, $L$2, "CON", $L$3, $L$5, $L$6)=0,"n/a",_xll.ciqfunctions.udf.CIQ($A49, "IQ_EBITDA_EST",$B$4, $L$2, "CON", $L$3, $L$5, $L$6))</f>
        <v>#NAME?</v>
      </c>
      <c r="AD49" s="67" t="e">
        <f ca="1">IF(_xll.ciqfunctions.udf.CIQ($A49, "IQ_EBITDA_EST",$B$5, $L$2, "CON", $L$3, $L$5, $L$6)=0,"n/a",_xll.ciqfunctions.udf.CIQ($A49, "IQ_EBITDA_EST",$B$5, $L$2, "CON", $L$3, $L$5, $L$6))</f>
        <v>#NAME?</v>
      </c>
      <c r="AE49" s="84" t="e">
        <f ca="1">IF(_xll.ciqfunctions.udf.CIQ($A49, "IQ_EBITDA_EST",$B$6, $L$2, "CON", $L$3, $L$5, $L$6)=0,"n/a",_xll.ciqfunctions.udf.CIQ($A49, "IQ_EBITDA_EST",$B$6, $L$2, "CON", $L$3, $L$5, $L$6))</f>
        <v>#NAME?</v>
      </c>
      <c r="AF49" s="69" t="str">
        <f ca="1">IF(ISERROR(_xll.ciqfunctions.udf.CIQ($A49, "IQ_GROSS_MARGIN", IQ_LTM, $L$2,$L$4, $L$3, $L$5, $L$6)/100), "n/a", _xll.ciqfunctions.udf.CIQ($A49,  "IQ_GROSS_MARGIN", IQ_LTM, $L$2, $L$4, $L$3, $L$5, $L$6)/100)</f>
        <v>n/a</v>
      </c>
      <c r="AG49" s="69" t="str">
        <f ca="1">IF(ISERROR(_xll.ciqfunctions.udf.CIQ($A49,"IQ_EBITDA_MARGIN", IQ_LTM, $L$2, $L$4, $L$3, $L$5, $L$6)/100), "n/a", _xll.ciqfunctions.udf.CIQ($A49, "IQ_EBITDA_MARGIN", IQ_LTM, $L$2, $L$4, $L$3, $L$5, $L$6)/100)</f>
        <v>n/a</v>
      </c>
      <c r="AH49" s="69" t="str">
        <f ca="1">IF(ISERROR(_xll.ciqfunctions.udf.CIQ($A49,"IQ_EBIT_MARGIN", IQ_LTM, $L$2, $L$4, $L$3, $L$5, $L$6)/100), "n/a", _xll.ciqfunctions.udf.CIQ($A49, "IQ_EBIT_MARGIN", IQ_LTM, $L$2, $L$4, $L$3, $L$5, $L$6)/100)</f>
        <v>n/a</v>
      </c>
      <c r="AI49" s="69" t="str">
        <f ca="1">IF(ISERROR(_xll.ciqfunctions.udf.CIQ($A49,"IQ_NI_MARGIN", IQ_LTM, $L$2, $L$4, $L$3, $L$5, $L$6)/100), "n/a", _xll.ciqfunctions.udf.CIQ($A49, "IQ_NI_MARGIN", IQ_LTM, $L$2, $L$4, $L$3, $L$5, $L$6)/100)</f>
        <v>n/a</v>
      </c>
      <c r="AJ49" s="84" t="str">
        <f ca="1">IF(ISERROR(_xll.ciqfunctions.udf.CIQ($A49, "IQ_NET_WORKING_CAP", IQ_LTM-8, $L$2, $L$4, $L$3, $L$5, $L$6)), "n/a", _xll.ciqfunctions.udf.CIQ($A49, "IQ_NET_WORKING_CAP", IQ_LTM-8, $L$2, $L$4, $L$3, $L$5, $L$6))</f>
        <v>n/a</v>
      </c>
      <c r="AK49" s="84" t="str">
        <f ca="1">IF(ISERROR(_xll.ciqfunctions.udf.CIQ($A49, "IQ_NET_WORKING_CAP", IQ_LTM-4, $L$2, $L$4, $L$3, $L$5, $L$6)), "n/a", _xll.ciqfunctions.udf.CIQ($A49, "IQ_NET_WORKING_CAP", IQ_LTM-4, $L$2, $L$4, $L$3, $L$5, $L$6))</f>
        <v>n/a</v>
      </c>
      <c r="AL49" s="84" t="str">
        <f ca="1">IF(ISERROR(_xll.ciqfunctions.udf.CIQ($A49, "IQ_NET_WORKING_CAP", IQ_LTM, $L$2,$L$4, $L$3, $L$5, $L$6)), "n/a", _xll.ciqfunctions.udf.CIQ($A49, "IQ_NET_WORKING_CAP", IQ_LTM, $L$2, $L$4, $L$3, $L$5, $L$6))</f>
        <v>n/a</v>
      </c>
      <c r="AM49" s="84" t="str">
        <f ca="1">IF(ISERROR(_xll.ciqfunctions.udf.CIQ($A49, "IQ_Capex", IQ_LTM-8, $L$2,$L$4, $L$3, $L$5, $L$6)), "n/a", _xll.ciqfunctions.udf.CIQ($A49, "IQ_Capex", IQ_LTM-8, $L$2, $L$4, $L$3, $L$5, $L$6))</f>
        <v>n/a</v>
      </c>
      <c r="AN49" s="84" t="str">
        <f ca="1">IF(ISERROR(_xll.ciqfunctions.udf.CIQ($A49, "IQ_Capex", IQ_LTM-4, $L$2,$L$4, $L$3, $L$5, $L$6)), "n/a", _xll.ciqfunctions.udf.CIQ($A49, "IQ_Capex", IQ_LTM-4, $L$2,$L$4, $L$3, $L$5, $L$6))</f>
        <v>n/a</v>
      </c>
      <c r="AO49" s="84" t="str">
        <f ca="1">IF(ISERROR(_xll.ciqfunctions.udf.CIQ($A49, "IQ_Capex", IQ_LTM, $L$2, $L$4, $L$3, $L$5, $L$6)), "n/a", _xll.ciqfunctions.udf.CIQ($A49, "IQ_Capex", IQ_LTM, $L$2, $L$4, $L$3, $L$5, $L$6))</f>
        <v>n/a</v>
      </c>
      <c r="AP49" s="66" t="e">
        <f ca="1">_xll.ciqfunctions.udf.CIQ(A49, "IQ_BUSINESS_DESCRIPTION")</f>
        <v>#NAME?</v>
      </c>
      <c r="AQ49" s="85" t="e">
        <f ca="1">_xll.ciqfunctions.udf.CIQ($A49, "IQ_BETA_1YR", $B$1)</f>
        <v>#NAME?</v>
      </c>
      <c r="AR49" s="85" t="e">
        <f ca="1">_xll.ciqfunctions.udf.CIQ($A49, "IQ_BETA_2YR", $B$1)</f>
        <v>#NAME?</v>
      </c>
      <c r="AS49" s="85" t="e">
        <f ca="1">_xll.ciqfunctions.udf.CIQ($A49, "IQ_BETA_5YR", $B$1)</f>
        <v>#NAME?</v>
      </c>
      <c r="AT49" s="67" t="e">
        <f ca="1">_xll.ciqfunctions.udf.CIQ($B49, "IQ_GP", IQ_LTM,$B$1, ,,"USD")</f>
        <v>#NAME?</v>
      </c>
      <c r="AU49" s="84" t="e">
        <f ca="1">_xll.ciqfunctions.udf.CIQ($A49, "IQ_EARNING_CO", IQ_LTM-8, $L$2, $L$4, $L$3, $L$5, $L$6)</f>
        <v>#NAME?</v>
      </c>
      <c r="AV49" s="84" t="e">
        <f ca="1">_xll.ciqfunctions.udf.CIQ($A49, "IQ_EARNING_CO", IQ_LTM-4, $L$2, $L$4, $L$3, $L$5, $L$6)</f>
        <v>#NAME?</v>
      </c>
      <c r="AW49" s="84" t="e">
        <f ca="1">_xll.ciqfunctions.udf.CIQ($A49, "IQ_EARNING_CO", IQ_LTM, $L$2, $L$4, $L$3, $L$5, $L$6)</f>
        <v>#NAME?</v>
      </c>
      <c r="AX49" s="84" t="e">
        <f ca="1">_xll.ciqfunctions.udf.CIQ($A49, "IQ_EARNING_CO", $B$2, $L$2, $L$4, $L$3, $L$5, $L$6)</f>
        <v>#NAME?</v>
      </c>
      <c r="AY49" s="84" t="e">
        <f ca="1">IF(_xll.ciqfunctions.udf.CIQ($A49, "IQ_EARNING_CO", $B$3, $L$2,$L$4, $L$3, $L$5, $L$6)=0,AW49,_xll.ciqfunctions.udf.CIQ($A49, "IQ_EARNING_CO", $B$3, $L$2,$L$4, $L$3, $L$5, $L$6))</f>
        <v>#NAME?</v>
      </c>
      <c r="AZ49" s="84" t="e">
        <f ca="1">_xll.ciqfunctions.udf.CIQ($A49, "IQ_TOTAL_EQUITY", IQ_LTM-8, $L$2, $L$4, $L$3, $L$5, $L$6)</f>
        <v>#NAME?</v>
      </c>
      <c r="BA49" s="84" t="e">
        <f ca="1">_xll.ciqfunctions.udf.CIQ($A49, "IQ_TOTAL_EQUITY", IQ_LTM-4, $L$2, $L$4, $L$3, $L$5, $L$6)</f>
        <v>#NAME?</v>
      </c>
      <c r="BB49" s="84" t="e">
        <f ca="1">_xll.ciqfunctions.udf.CIQ($A49, "IQ_TOTAL_EQUITY", IQ_LTM, $L$2, $L$4, $L$3, $L$5, $L$6)</f>
        <v>#NAME?</v>
      </c>
      <c r="BC49" s="84" t="e">
        <f ca="1">_xll.ciqfunctions.udf.CIQ($A49, "IQ_TOTAL_EQUITY", $B$2, $L$2, $L$4, $L$3, $L$5, $L$6)</f>
        <v>#NAME?</v>
      </c>
      <c r="BD49" s="84" t="e">
        <f ca="1">IF(_xll.ciqfunctions.udf.CIQ($A49, "IQ_TOTAL_EQUITY", $B$3, $L$2,$L$4, $L$3, $L$5, $L$6)=0,BB49,_xll.ciqfunctions.udf.CIQ($A49, "IQ_TOTAL_EQUITY", $B$3, $L$2,$L$4, $L$3, $L$5, $L$6))</f>
        <v>#NAME?</v>
      </c>
      <c r="BE49" s="84" t="e">
        <f ca="1">_xll.ciqfunctions.udf.CIQ(A49, "IQ_LASTSALEPRICE", $B$8)</f>
        <v>#NAME?</v>
      </c>
      <c r="BF49" s="84" t="e">
        <f ca="1">_xll.ciqfunctions.udf.CIQ($A49, "IQ_MARKETCAP", $B$8, $L$5, $L$6)</f>
        <v>#NAME?</v>
      </c>
      <c r="BG49" s="84" t="e">
        <f ca="1">_xll.ciqfunctions.udf.CIQ($A49, "IQ_TOTAL_DEBT", IQ_LTM, $B$8,$L$4, $L$3, $L$5, $L$6)</f>
        <v>#NAME?</v>
      </c>
      <c r="BH49" s="67" t="e">
        <f ca="1">_xll.ciqfunctions.udf.CIQ($A49,"IQ_PREF_EQUITY",IQ_LTM,$B$8,$L$4,$L$3,$L$5,$L$6)</f>
        <v>#NAME?</v>
      </c>
      <c r="BI49" s="67" t="e">
        <f ca="1">_xll.ciqfunctions.udf.CIQ($A49, "IQ_MINORITY_INTEREST_TOTAL", IQ_LTM,$B$8,$L$4,$L$3,$L$5,$L$6)</f>
        <v>#NAME?</v>
      </c>
      <c r="BJ49" s="84" t="e">
        <f ca="1">_xll.ciqfunctions.udf.CIQ($A49, "IQ_CASH_ST_INVEST", IQ_LTM, $B$8, $L$4, $L$3, $L$5, $L$6)</f>
        <v>#NAME?</v>
      </c>
      <c r="BK49" s="67" t="e">
        <f ca="1">_xll.ciqfunctions.udf.CIQ($A49, "IQ_EFFECT_TAX_RATE")</f>
        <v>#NAME?</v>
      </c>
      <c r="BL49" s="67" t="e">
        <f ca="1">IF(_xll.ciqfunctions.udf.CIQ($A49, "IQ_TOTAL_REV_2YR_ANN_CAGR", IQ_LTM, $B$1,$L$4, $L$3, $L$5, $L$6)="NM","n/a",(_xll.ciqfunctions.udf.CIQ($A49, "IQ_TOTAL_REV_2YR_ANN_CAGR", IQ_LTM, $B$1,$L$4, $L$3, $L$5, $L$6)/100))</f>
        <v>#NAME?</v>
      </c>
      <c r="BM49" s="67" t="e">
        <f ca="1">IF(_xll.ciqfunctions.udf.CIQ($A49, "IQ_TOTAL_REV_3YR_ANN_CAGR", IQ_LTM, $B$1,$L$4, $L$3, $L$5, $L$6)="NM","n/a",(_xll.ciqfunctions.udf.CIQ($A49, "IQ_TOTAL_REV_3YR_ANN_CAGR", IQ_LTM, $B$1,$L$4, $L$3, $L$5, $L$6)/100))</f>
        <v>#NAME?</v>
      </c>
      <c r="BN49" s="67" t="e">
        <f ca="1">IF(_xll.ciqfunctions.udf.CIQ($A49, "IQ_TOTAL_REV_5YR_ANN_CAGR", IQ_LTM, $B$1,$L$4, $L$3, $L$5, $L$6)="NM","n/a",(_xll.ciqfunctions.udf.CIQ($A49, "IQ_TOTAL_REV_5YR_ANN_CAGR", IQ_LTM, $B$1,$L$4, $L$3, $L$5, $L$6)/100))</f>
        <v>#NAME?</v>
      </c>
      <c r="BO49" s="67" t="e">
        <f ca="1">IF(_xll.ciqfunctions.udf.CIQ($A49,"IQ_EBITDA_2YR_ANN_CAGR", IQ_LTM,$B$1,$L$4, $L$3, $L$5, $L$6)="NM","n/a",(_xll.ciqfunctions.udf.CIQ($A49,"IQ_EBITDA_2YR_ANN_CAGR", IQ_LTM,$B$1,$L$4, $L$3, $L$5, $L$6)/100))</f>
        <v>#NAME?</v>
      </c>
      <c r="BP49" s="67" t="e">
        <f ca="1">IF(_xll.ciqfunctions.udf.CIQ($A49,"IQ_EBITDA_3YR_ANN_CAGR", IQ_LTM,$B$1,$L$4, $L$3, $L$5, $L$6)="NM","n/a",(_xll.ciqfunctions.udf.CIQ($A49,"IQ_EBITDA_3YR_ANN_CAGR", IQ_LTM,$B$1,$L$4, $L$3, $L$5, $L$6)/100))</f>
        <v>#NAME?</v>
      </c>
      <c r="BQ49" s="67" t="e">
        <f ca="1">IF(_xll.ciqfunctions.udf.CIQ($A49,"IQ_EBITDA_5YR_ANN_CAGR", IQ_LTM,$B$1,$L$4, $L$3, $L$5, $L$6)="NM","n/a",(_xll.ciqfunctions.udf.CIQ($A49,"IQ_EBITDA_5YR_ANN_CAGR", IQ_LTM,$B$1,$L$4, $L$3, $L$5, $L$6)/100))</f>
        <v>#NAME?</v>
      </c>
      <c r="BR49" s="69" t="str">
        <f ca="1">IFERROR((_xll.ciqfunctions.udf.CIQ($A49, "IQ_DA_CF", IQ_LTM, $B$1, $L$4, $L$3, $L$5, $L$6)/Q49),"NM")</f>
        <v>NM</v>
      </c>
      <c r="BS49" s="69" t="e">
        <f>'Capital IQ Sheet-GPC'!BS49</f>
        <v>#VALUE!</v>
      </c>
      <c r="BT49" s="69" t="e">
        <f>'Capital IQ Sheet-GPC'!BT49</f>
        <v>#VALUE!</v>
      </c>
      <c r="BU49" s="69" t="e">
        <f>'Capital IQ Sheet-GPC'!BU49</f>
        <v>#VALUE!</v>
      </c>
      <c r="BV49" s="69" t="e">
        <f>'Capital IQ Sheet-GPC'!BV49</f>
        <v>#VALUE!</v>
      </c>
      <c r="BW49" s="69" t="e">
        <f>'Capital IQ Sheet-GPC'!BW49</f>
        <v>#VALUE!</v>
      </c>
      <c r="BX49" s="69" t="e">
        <f>'Capital IQ Sheet-GPC'!BX49</f>
        <v>#VALUE!</v>
      </c>
      <c r="BY49" s="69" t="e">
        <f>'Capital IQ Sheet-GPC'!BY49</f>
        <v>#VALUE!</v>
      </c>
      <c r="BZ49" s="69" t="e">
        <f>'Capital IQ Sheet-GPC'!BZ49</f>
        <v>#VALUE!</v>
      </c>
    </row>
    <row r="50" spans="1:83">
      <c r="A50" s="67" t="e">
        <f ca="1">_xll.ciqfunctions.udf.CIQ($B50,"IQ_COMPANY_TICKER")</f>
        <v>#NAME?</v>
      </c>
      <c r="B50" s="67" t="str">
        <f>'Capital IQ Sheet-GPC'!B50</f>
        <v>(Invalid Identifier)</v>
      </c>
      <c r="C50" s="67" t="e">
        <f ca="1">_xll.ciqfunctions.udf.CIQ($A50,"IQ_COMPANY_NAME")</f>
        <v>#NAME?</v>
      </c>
      <c r="D50" s="67" t="e">
        <f ca="1">_xll.ciqfunctions.udf.CIQ($A50, "IQ_EXCHANGE")</f>
        <v>#NAME?</v>
      </c>
      <c r="E50" s="68" t="e">
        <f ca="1">_xll.ciqfunctions.udf.CIQ($A50, "IQ_PERIODDATE_IS", IQ_FY)</f>
        <v>#NAME?</v>
      </c>
      <c r="F50" s="68" t="e">
        <f ca="1">_xll.ciqfunctions.udf.CIQ(A50, "IQ_PERIODDATE_IS", IQ_LTM, $B$1,$L$4,$L$3)</f>
        <v>#NAME?</v>
      </c>
      <c r="G50" s="68" t="e">
        <f ca="1">_xll.ciqfunctions.udf.CIQ($A50, "IQ_FIRSTPRICINGDATE")</f>
        <v>#NAME?</v>
      </c>
      <c r="H50" s="84" t="e">
        <f ca="1">_xll.ciqfunctions.udf.CIQ($A50, "IQ_TEV", $L$2, $L$5, $L$6)</f>
        <v>#NAME?</v>
      </c>
      <c r="I50" s="84" t="e">
        <f ca="1">_xll.ciqfunctions.udf.CIQ(A50, "IQ_LASTSALEPRICE", $B$1,$L$5)</f>
        <v>#NAME?</v>
      </c>
      <c r="J50" s="68" t="e">
        <f ca="1">_xll.ciqfunctions.udf.CIQ($B50, "IQ_FIRSTPRICINGDATE")</f>
        <v>#NAME?</v>
      </c>
      <c r="K50" s="84" t="e">
        <f ca="1">_xll.ciqfunctions.udf.CIQ($A50, "IQ_TOTAL_DEBT", IQ_LTM, $L$2,$L$4, $L$3, $L$5, $L$6)</f>
        <v>#NAME?</v>
      </c>
      <c r="L50" s="84" t="e">
        <f ca="1">_xll.ciqfunctions.udf.CIQ($A50, "IQ_PREF_EQUITY", IQ_LTM, $L$2, $L$4, $L$3, $L$5, $L$6)</f>
        <v>#NAME?</v>
      </c>
      <c r="M50" s="84" t="e">
        <f ca="1">_xll.ciqfunctions.udf.CIQ($A50, "IQ_MINORITY_INTEREST_TOTAL", IQ_LTM, $L$2, $L$4, $L$3, $L$5, $L$6)</f>
        <v>#NAME?</v>
      </c>
      <c r="N50" s="84" t="e">
        <f ca="1">_xll.ciqfunctions.udf.CIQ($A50, "IQ_CASH_ST_INVEST", IQ_LTM, $L$2, $L$4, $L$3, $L$5, $L$6)</f>
        <v>#NAME?</v>
      </c>
      <c r="O50" s="84" t="e">
        <f ca="1">_xll.ciqfunctions.udf.CIQ($A50, "IQ_TOTAL_REV", IQ_LTM-8, $L$2, $L$4, $L$3, $L$5, $L$6)</f>
        <v>#NAME?</v>
      </c>
      <c r="P50" s="84" t="e">
        <f ca="1">_xll.ciqfunctions.udf.CIQ($A50, "IQ_TOTAL_REV", IQ_LTM - 4, $L$2, $L$4, $L$3, $L$5,$L$6)</f>
        <v>#NAME?</v>
      </c>
      <c r="Q50" s="84" t="e">
        <f ca="1">_xll.ciqfunctions.udf.CIQ($A50, "IQ_TOTAL_REV", IQ_LTM, $L$2, $L$4, $L$3, $L$5, $L$6)</f>
        <v>#NAME?</v>
      </c>
      <c r="R50" s="84" t="e">
        <f ca="1">_xll.ciqfunctions.udf.CIQ($A50, "IQ_TOTAL_REV", $B$2, $L$2, $L$4, $L$3, $L$5, $L$6)</f>
        <v>#NAME?</v>
      </c>
      <c r="S50" s="84" t="e">
        <f ca="1">IF(_xll.ciqfunctions.udf.CIQ($A50, "IQ_TOTAL_REV", $B$3, $L$2,$L$4, $L$3, $L$5, $L$6)=0,Q50,_xll.ciqfunctions.udf.CIQ($A50, "IQ_TOTAL_REV", $B$3, $L$2,$L$4, $L$3, $L$5, $L$6))</f>
        <v>#NAME?</v>
      </c>
      <c r="T50" s="84" t="e">
        <f ca="1">IF(_xll.ciqfunctions.udf.CIQ($A50, "IQ_REVENUE_EST",$B$4, $L$2, "CON", $L$3, $L$5, $L$6)=0,"n/a",_xll.ciqfunctions.udf.CIQ($A50, "IQ_REVENUE_EST",$B$4, $L$2, "CON", $L$3, $L$5, $L$6))</f>
        <v>#NAME?</v>
      </c>
      <c r="U50" s="84" t="e">
        <f ca="1">IF(_xll.ciqfunctions.udf.CIQ($A50, "IQ_REVENUE_EST",$B$5, $L$2, "CON", $L$3, $L$5, $L$6)=0,"n/a",_xll.ciqfunctions.udf.CIQ($A50, "IQ_REVENUE_EST",$B$5, $L$2, "CON", $L$3, $L$5, $L$6))</f>
        <v>#NAME?</v>
      </c>
      <c r="V50" s="84" t="e">
        <f ca="1">IF(_xll.ciqfunctions.udf.CIQ($A50, "IQ_REVENUE_EST",$B$6, $L$2, "CON", $L$3, $L$5, $L$6)=0,"n/a",_xll.ciqfunctions.udf.CIQ($A50, "IQ_REVENUE_EST",$B$6, $L$2, "CON", $L$3, $L$5, $L$6))</f>
        <v>#NAME?</v>
      </c>
      <c r="W50" s="84" t="e">
        <f ca="1">IF(_xll.ciqfunctions.udf.CIQ($A50, "IQ_REVENUE_EST", $B$7, $L$2, "CON", $L$3, $L$5, $L$6)=0,"n/a",_xll.ciqfunctions.udf.CIQ($A50, "IQ_REVENUE_EST",$B$7, $L$2, "CON", $L$3, $L$5, $L$6))</f>
        <v>#NAME?</v>
      </c>
      <c r="X50" s="84" t="e">
        <f ca="1">_xll.ciqfunctions.udf.CIQ($A50, "IQ_EBITDA", IQ_LTM-8, $L$2, $L$4, $L$3, $L$5, $L$6)</f>
        <v>#NAME?</v>
      </c>
      <c r="Y50" s="84" t="e">
        <f ca="1">_xll.ciqfunctions.udf.CIQ($A50, "IQ_EBITDA", IQ_LTM-4, $L$2,$L$4, $L$3, $L$5, $L$6)</f>
        <v>#NAME?</v>
      </c>
      <c r="Z50" s="84" t="e">
        <f ca="1">_xll.ciqfunctions.udf.CIQ($A50, "IQ_EBITDA", IQ_LTM, $L$2, $L$4, $L$3, $L$5, $L$6)</f>
        <v>#NAME?</v>
      </c>
      <c r="AA50" s="84" t="e">
        <f ca="1">_xll.ciqfunctions.udf.CIQ($A50, "IQ_EBITDA", $B$2, $L$2, $L$4, $L$3, $L$5, $L$6)</f>
        <v>#NAME?</v>
      </c>
      <c r="AB50" s="84" t="e">
        <f ca="1">IF(_xll.ciqfunctions.udf.CIQ($A50, "IQ_EBITDA", $B$3, $L$2,$L$4, $L$3, $L$5, $L$6)=0,Z50,_xll.ciqfunctions.udf.CIQ($A50, "IQ_EBITDA", $B$3, $L$2,$L$4, $L$3, $L$5, $L$6))</f>
        <v>#NAME?</v>
      </c>
      <c r="AC50" s="84" t="e">
        <f ca="1">IF(_xll.ciqfunctions.udf.CIQ($A50, "IQ_EBITDA_EST",$B$4, $L$2, "CON", $L$3, $L$5, $L$6)=0,"n/a",_xll.ciqfunctions.udf.CIQ($A50, "IQ_EBITDA_EST",$B$4, $L$2, "CON", $L$3, $L$5, $L$6))</f>
        <v>#NAME?</v>
      </c>
      <c r="AD50" s="67" t="e">
        <f ca="1">IF(_xll.ciqfunctions.udf.CIQ($A50, "IQ_EBITDA_EST",$B$5, $L$2, "CON", $L$3, $L$5, $L$6)=0,"n/a",_xll.ciqfunctions.udf.CIQ($A50, "IQ_EBITDA_EST",$B$5, $L$2, "CON", $L$3, $L$5, $L$6))</f>
        <v>#NAME?</v>
      </c>
      <c r="AE50" s="84" t="e">
        <f ca="1">IF(_xll.ciqfunctions.udf.CIQ($A50, "IQ_EBITDA_EST",$B$6, $L$2, "CON", $L$3, $L$5, $L$6)=0,"n/a",_xll.ciqfunctions.udf.CIQ($A50, "IQ_EBITDA_EST",$B$6, $L$2, "CON", $L$3, $L$5, $L$6))</f>
        <v>#NAME?</v>
      </c>
      <c r="AF50" s="69" t="str">
        <f ca="1">IF(ISERROR(_xll.ciqfunctions.udf.CIQ($A50, "IQ_GROSS_MARGIN", IQ_LTM, $L$2,$L$4, $L$3, $L$5, $L$6)/100), "n/a", _xll.ciqfunctions.udf.CIQ($A50,  "IQ_GROSS_MARGIN", IQ_LTM, $L$2, $L$4, $L$3, $L$5, $L$6)/100)</f>
        <v>n/a</v>
      </c>
      <c r="AG50" s="69" t="str">
        <f ca="1">IF(ISERROR(_xll.ciqfunctions.udf.CIQ($A50,"IQ_EBITDA_MARGIN", IQ_LTM, $L$2, $L$4, $L$3, $L$5, $L$6)/100), "n/a", _xll.ciqfunctions.udf.CIQ($A50, "IQ_EBITDA_MARGIN", IQ_LTM, $L$2, $L$4, $L$3, $L$5, $L$6)/100)</f>
        <v>n/a</v>
      </c>
      <c r="AH50" s="69" t="str">
        <f ca="1">IF(ISERROR(_xll.ciqfunctions.udf.CIQ($A50,"IQ_EBIT_MARGIN", IQ_LTM, $L$2, $L$4, $L$3, $L$5, $L$6)/100), "n/a", _xll.ciqfunctions.udf.CIQ($A50, "IQ_EBIT_MARGIN", IQ_LTM, $L$2, $L$4, $L$3, $L$5, $L$6)/100)</f>
        <v>n/a</v>
      </c>
      <c r="AI50" s="69" t="str">
        <f ca="1">IF(ISERROR(_xll.ciqfunctions.udf.CIQ($A50,"IQ_NI_MARGIN", IQ_LTM, $L$2, $L$4, $L$3, $L$5, $L$6)/100), "n/a", _xll.ciqfunctions.udf.CIQ($A50, "IQ_NI_MARGIN", IQ_LTM, $L$2, $L$4, $L$3, $L$5, $L$6)/100)</f>
        <v>n/a</v>
      </c>
      <c r="AJ50" s="84" t="str">
        <f ca="1">IF(ISERROR(_xll.ciqfunctions.udf.CIQ($A50, "IQ_NET_WORKING_CAP", IQ_LTM-8, $L$2, $L$4, $L$3, $L$5, $L$6)), "n/a", _xll.ciqfunctions.udf.CIQ($A50, "IQ_NET_WORKING_CAP", IQ_LTM-8, $L$2, $L$4, $L$3, $L$5, $L$6))</f>
        <v>n/a</v>
      </c>
      <c r="AK50" s="84" t="str">
        <f ca="1">IF(ISERROR(_xll.ciqfunctions.udf.CIQ($A50, "IQ_NET_WORKING_CAP", IQ_LTM-4, $L$2, $L$4, $L$3, $L$5, $L$6)), "n/a", _xll.ciqfunctions.udf.CIQ($A50, "IQ_NET_WORKING_CAP", IQ_LTM-4, $L$2, $L$4, $L$3, $L$5, $L$6))</f>
        <v>n/a</v>
      </c>
      <c r="AL50" s="84" t="str">
        <f ca="1">IF(ISERROR(_xll.ciqfunctions.udf.CIQ($A50, "IQ_NET_WORKING_CAP", IQ_LTM, $L$2,$L$4, $L$3, $L$5, $L$6)), "n/a", _xll.ciqfunctions.udf.CIQ($A50, "IQ_NET_WORKING_CAP", IQ_LTM, $L$2, $L$4, $L$3, $L$5, $L$6))</f>
        <v>n/a</v>
      </c>
      <c r="AM50" s="84" t="str">
        <f ca="1">IF(ISERROR(_xll.ciqfunctions.udf.CIQ($A50, "IQ_Capex", IQ_LTM-8, $L$2,$L$4, $L$3, $L$5, $L$6)), "n/a", _xll.ciqfunctions.udf.CIQ($A50, "IQ_Capex", IQ_LTM-8, $L$2, $L$4, $L$3, $L$5, $L$6))</f>
        <v>n/a</v>
      </c>
      <c r="AN50" s="84" t="str">
        <f ca="1">IF(ISERROR(_xll.ciqfunctions.udf.CIQ($A50, "IQ_Capex", IQ_LTM-4, $L$2,$L$4, $L$3, $L$5, $L$6)), "n/a", _xll.ciqfunctions.udf.CIQ($A50, "IQ_Capex", IQ_LTM-4, $L$2,$L$4, $L$3, $L$5, $L$6))</f>
        <v>n/a</v>
      </c>
      <c r="AO50" s="84" t="str">
        <f ca="1">IF(ISERROR(_xll.ciqfunctions.udf.CIQ($A50, "IQ_Capex", IQ_LTM, $L$2, $L$4, $L$3, $L$5, $L$6)), "n/a", _xll.ciqfunctions.udf.CIQ($A50, "IQ_Capex", IQ_LTM, $L$2, $L$4, $L$3, $L$5, $L$6))</f>
        <v>n/a</v>
      </c>
      <c r="AP50" s="66" t="e">
        <f ca="1">_xll.ciqfunctions.udf.CIQ(A50, "IQ_BUSINESS_DESCRIPTION")</f>
        <v>#NAME?</v>
      </c>
      <c r="AQ50" s="85" t="e">
        <f ca="1">_xll.ciqfunctions.udf.CIQ($A50, "IQ_BETA_1YR", $B$1)</f>
        <v>#NAME?</v>
      </c>
      <c r="AR50" s="85" t="e">
        <f ca="1">_xll.ciqfunctions.udf.CIQ($A50, "IQ_BETA_2YR", $B$1)</f>
        <v>#NAME?</v>
      </c>
      <c r="AS50" s="85" t="e">
        <f ca="1">_xll.ciqfunctions.udf.CIQ($A50, "IQ_BETA_5YR", $B$1)</f>
        <v>#NAME?</v>
      </c>
      <c r="AT50" s="67" t="e">
        <f ca="1">_xll.ciqfunctions.udf.CIQ($B50, "IQ_GP", IQ_LTM,$B$1, ,,"USD")</f>
        <v>#NAME?</v>
      </c>
      <c r="AU50" s="84" t="e">
        <f ca="1">_xll.ciqfunctions.udf.CIQ($A50, "IQ_EARNING_CO", IQ_LTM-8, $L$2, $L$4, $L$3, $L$5, $L$6)</f>
        <v>#NAME?</v>
      </c>
      <c r="AV50" s="84" t="e">
        <f ca="1">_xll.ciqfunctions.udf.CIQ($A50, "IQ_EARNING_CO", IQ_LTM-4, $L$2, $L$4, $L$3, $L$5, $L$6)</f>
        <v>#NAME?</v>
      </c>
      <c r="AW50" s="84" t="e">
        <f ca="1">_xll.ciqfunctions.udf.CIQ($A50, "IQ_EARNING_CO", IQ_LTM, $L$2, $L$4, $L$3, $L$5, $L$6)</f>
        <v>#NAME?</v>
      </c>
      <c r="AX50" s="84" t="e">
        <f ca="1">_xll.ciqfunctions.udf.CIQ($A50, "IQ_EARNING_CO", $B$2, $L$2, $L$4, $L$3, $L$5, $L$6)</f>
        <v>#NAME?</v>
      </c>
      <c r="AY50" s="84" t="e">
        <f ca="1">IF(_xll.ciqfunctions.udf.CIQ($A50, "IQ_EARNING_CO", $B$3, $L$2,$L$4, $L$3, $L$5, $L$6)=0,AW50,_xll.ciqfunctions.udf.CIQ($A50, "IQ_EARNING_CO", $B$3, $L$2,$L$4, $L$3, $L$5, $L$6))</f>
        <v>#NAME?</v>
      </c>
      <c r="AZ50" s="84" t="e">
        <f ca="1">_xll.ciqfunctions.udf.CIQ($A50, "IQ_TOTAL_EQUITY", IQ_LTM-8, $L$2, $L$4, $L$3, $L$5, $L$6)</f>
        <v>#NAME?</v>
      </c>
      <c r="BA50" s="84" t="e">
        <f ca="1">_xll.ciqfunctions.udf.CIQ($A50, "IQ_TOTAL_EQUITY", IQ_LTM-4, $L$2, $L$4, $L$3, $L$5, $L$6)</f>
        <v>#NAME?</v>
      </c>
      <c r="BB50" s="84" t="e">
        <f ca="1">_xll.ciqfunctions.udf.CIQ($A50, "IQ_TOTAL_EQUITY", IQ_LTM, $L$2, $L$4, $L$3, $L$5, $L$6)</f>
        <v>#NAME?</v>
      </c>
      <c r="BC50" s="84" t="e">
        <f ca="1">_xll.ciqfunctions.udf.CIQ($A50, "IQ_TOTAL_EQUITY", $B$2, $L$2, $L$4, $L$3, $L$5, $L$6)</f>
        <v>#NAME?</v>
      </c>
      <c r="BD50" s="84" t="e">
        <f ca="1">IF(_xll.ciqfunctions.udf.CIQ($A50, "IQ_TOTAL_EQUITY", $B$3, $L$2,$L$4, $L$3, $L$5, $L$6)=0,BB50,_xll.ciqfunctions.udf.CIQ($A50, "IQ_TOTAL_EQUITY", $B$3, $L$2,$L$4, $L$3, $L$5, $L$6))</f>
        <v>#NAME?</v>
      </c>
      <c r="BE50" s="84" t="e">
        <f ca="1">_xll.ciqfunctions.udf.CIQ(A50, "IQ_LASTSALEPRICE", $B$8)</f>
        <v>#NAME?</v>
      </c>
      <c r="BF50" s="84" t="e">
        <f ca="1">_xll.ciqfunctions.udf.CIQ($A50, "IQ_MARKETCAP", $B$8, $L$5, $L$6)</f>
        <v>#NAME?</v>
      </c>
      <c r="BG50" s="84" t="e">
        <f ca="1">_xll.ciqfunctions.udf.CIQ($A50, "IQ_TOTAL_DEBT", IQ_LTM, $B$8,$L$4, $L$3, $L$5, $L$6)</f>
        <v>#NAME?</v>
      </c>
      <c r="BH50" s="67" t="e">
        <f ca="1">_xll.ciqfunctions.udf.CIQ($A50,"IQ_PREF_EQUITY",IQ_LTM,$B$8,$L$4,$L$3,$L$5,$L$6)</f>
        <v>#NAME?</v>
      </c>
      <c r="BI50" s="67" t="e">
        <f ca="1">_xll.ciqfunctions.udf.CIQ($A50, "IQ_MINORITY_INTEREST_TOTAL", IQ_LTM,$B$8,$L$4,$L$3,$L$5,$L$6)</f>
        <v>#NAME?</v>
      </c>
      <c r="BJ50" s="84" t="e">
        <f ca="1">_xll.ciqfunctions.udf.CIQ($A50, "IQ_CASH_ST_INVEST", IQ_LTM, $B$8, $L$4, $L$3, $L$5, $L$6)</f>
        <v>#NAME?</v>
      </c>
      <c r="BK50" s="67" t="e">
        <f ca="1">_xll.ciqfunctions.udf.CIQ($A50, "IQ_EFFECT_TAX_RATE")</f>
        <v>#NAME?</v>
      </c>
      <c r="BL50" s="67" t="e">
        <f ca="1">IF(_xll.ciqfunctions.udf.CIQ($A50, "IQ_TOTAL_REV_2YR_ANN_CAGR", IQ_LTM, $B$1,$L$4, $L$3, $L$5, $L$6)="NM","n/a",(_xll.ciqfunctions.udf.CIQ($A50, "IQ_TOTAL_REV_2YR_ANN_CAGR", IQ_LTM, $B$1,$L$4, $L$3, $L$5, $L$6)/100))</f>
        <v>#NAME?</v>
      </c>
      <c r="BM50" s="67" t="e">
        <f ca="1">IF(_xll.ciqfunctions.udf.CIQ($A50, "IQ_TOTAL_REV_3YR_ANN_CAGR", IQ_LTM, $B$1,$L$4, $L$3, $L$5, $L$6)="NM","n/a",(_xll.ciqfunctions.udf.CIQ($A50, "IQ_TOTAL_REV_3YR_ANN_CAGR", IQ_LTM, $B$1,$L$4, $L$3, $L$5, $L$6)/100))</f>
        <v>#NAME?</v>
      </c>
      <c r="BN50" s="67" t="e">
        <f ca="1">IF(_xll.ciqfunctions.udf.CIQ($A50, "IQ_TOTAL_REV_5YR_ANN_CAGR", IQ_LTM, $B$1,$L$4, $L$3, $L$5, $L$6)="NM","n/a",(_xll.ciqfunctions.udf.CIQ($A50, "IQ_TOTAL_REV_5YR_ANN_CAGR", IQ_LTM, $B$1,$L$4, $L$3, $L$5, $L$6)/100))</f>
        <v>#NAME?</v>
      </c>
      <c r="BO50" s="67" t="e">
        <f ca="1">IF(_xll.ciqfunctions.udf.CIQ($A50,"IQ_EBITDA_2YR_ANN_CAGR", IQ_LTM,$B$1,$L$4, $L$3, $L$5, $L$6)="NM","n/a",(_xll.ciqfunctions.udf.CIQ($A50,"IQ_EBITDA_2YR_ANN_CAGR", IQ_LTM,$B$1,$L$4, $L$3, $L$5, $L$6)/100))</f>
        <v>#NAME?</v>
      </c>
      <c r="BP50" s="67" t="e">
        <f ca="1">IF(_xll.ciqfunctions.udf.CIQ($A50,"IQ_EBITDA_3YR_ANN_CAGR", IQ_LTM,$B$1,$L$4, $L$3, $L$5, $L$6)="NM","n/a",(_xll.ciqfunctions.udf.CIQ($A50,"IQ_EBITDA_3YR_ANN_CAGR", IQ_LTM,$B$1,$L$4, $L$3, $L$5, $L$6)/100))</f>
        <v>#NAME?</v>
      </c>
      <c r="BQ50" s="67" t="e">
        <f ca="1">IF(_xll.ciqfunctions.udf.CIQ($A50,"IQ_EBITDA_5YR_ANN_CAGR", IQ_LTM,$B$1,$L$4, $L$3, $L$5, $L$6)="NM","n/a",(_xll.ciqfunctions.udf.CIQ($A50,"IQ_EBITDA_5YR_ANN_CAGR", IQ_LTM,$B$1,$L$4, $L$3, $L$5, $L$6)/100))</f>
        <v>#NAME?</v>
      </c>
      <c r="BR50" s="69" t="str">
        <f ca="1">IFERROR((_xll.ciqfunctions.udf.CIQ($A50, "IQ_DA_CF", IQ_LTM, $B$1, $L$4, $L$3, $L$5, $L$6)/Q50),"NM")</f>
        <v>NM</v>
      </c>
      <c r="BS50" s="69" t="e">
        <f>'Capital IQ Sheet-GPC'!BS50</f>
        <v>#VALUE!</v>
      </c>
      <c r="BT50" s="69" t="e">
        <f>'Capital IQ Sheet-GPC'!BT50</f>
        <v>#VALUE!</v>
      </c>
      <c r="BU50" s="69" t="e">
        <f>'Capital IQ Sheet-GPC'!BU50</f>
        <v>#VALUE!</v>
      </c>
      <c r="BV50" s="69" t="e">
        <f>'Capital IQ Sheet-GPC'!BV50</f>
        <v>#VALUE!</v>
      </c>
      <c r="BW50" s="69" t="e">
        <f>'Capital IQ Sheet-GPC'!BW50</f>
        <v>#VALUE!</v>
      </c>
      <c r="BX50" s="69" t="e">
        <f>'Capital IQ Sheet-GPC'!BX50</f>
        <v>#VALUE!</v>
      </c>
      <c r="BY50" s="69" t="e">
        <f>'Capital IQ Sheet-GPC'!BY50</f>
        <v>#VALUE!</v>
      </c>
      <c r="BZ50" s="69" t="e">
        <f>'Capital IQ Sheet-GPC'!BZ50</f>
        <v>#VALUE!</v>
      </c>
    </row>
    <row r="51" spans="1:83">
      <c r="A51" s="67" t="e">
        <f ca="1">_xll.ciqfunctions.udf.CIQ($B51,"IQ_COMPANY_TICKER")</f>
        <v>#NAME?</v>
      </c>
      <c r="B51" s="67" t="str">
        <f>'Capital IQ Sheet-GPC'!B51</f>
        <v>(Invalid Identifier)</v>
      </c>
      <c r="C51" s="67" t="e">
        <f ca="1">_xll.ciqfunctions.udf.CIQ($A51,"IQ_COMPANY_NAME")</f>
        <v>#NAME?</v>
      </c>
      <c r="D51" s="67" t="e">
        <f ca="1">_xll.ciqfunctions.udf.CIQ($A51, "IQ_EXCHANGE")</f>
        <v>#NAME?</v>
      </c>
      <c r="E51" s="68" t="e">
        <f ca="1">_xll.ciqfunctions.udf.CIQ($A51, "IQ_PERIODDATE_IS", IQ_FY)</f>
        <v>#NAME?</v>
      </c>
      <c r="F51" s="68" t="e">
        <f ca="1">_xll.ciqfunctions.udf.CIQ(A51, "IQ_PERIODDATE_IS", IQ_LTM, $B$1,$L$4,$L$3)</f>
        <v>#NAME?</v>
      </c>
      <c r="G51" s="68" t="e">
        <f ca="1">_xll.ciqfunctions.udf.CIQ($A51, "IQ_FIRSTPRICINGDATE")</f>
        <v>#NAME?</v>
      </c>
      <c r="H51" s="84" t="e">
        <f ca="1">_xll.ciqfunctions.udf.CIQ($A51, "IQ_TEV", $L$2, $L$5, $L$6)</f>
        <v>#NAME?</v>
      </c>
      <c r="I51" s="84" t="e">
        <f ca="1">_xll.ciqfunctions.udf.CIQ(A51, "IQ_LASTSALEPRICE", $B$1,$L$5)</f>
        <v>#NAME?</v>
      </c>
      <c r="J51" s="68" t="e">
        <f ca="1">_xll.ciqfunctions.udf.CIQ($B51, "IQ_FIRSTPRICINGDATE")</f>
        <v>#NAME?</v>
      </c>
      <c r="K51" s="84" t="e">
        <f ca="1">_xll.ciqfunctions.udf.CIQ($A51, "IQ_TOTAL_DEBT", IQ_LTM, $L$2,$L$4, $L$3, $L$5, $L$6)</f>
        <v>#NAME?</v>
      </c>
      <c r="L51" s="84" t="e">
        <f ca="1">_xll.ciqfunctions.udf.CIQ($A51, "IQ_PREF_EQUITY", IQ_LTM, $L$2, $L$4, $L$3, $L$5, $L$6)</f>
        <v>#NAME?</v>
      </c>
      <c r="M51" s="84" t="e">
        <f ca="1">_xll.ciqfunctions.udf.CIQ($A51, "IQ_MINORITY_INTEREST_TOTAL", IQ_LTM, $L$2, $L$4, $L$3, $L$5, $L$6)</f>
        <v>#NAME?</v>
      </c>
      <c r="N51" s="84" t="e">
        <f ca="1">_xll.ciqfunctions.udf.CIQ($A51, "IQ_CASH_ST_INVEST", IQ_LTM, $L$2, $L$4, $L$3, $L$5, $L$6)</f>
        <v>#NAME?</v>
      </c>
      <c r="O51" s="84" t="e">
        <f ca="1">_xll.ciqfunctions.udf.CIQ($A51, "IQ_TOTAL_REV", IQ_LTM-8, $L$2, $L$4, $L$3, $L$5, $L$6)</f>
        <v>#NAME?</v>
      </c>
      <c r="P51" s="84" t="e">
        <f ca="1">_xll.ciqfunctions.udf.CIQ($A51, "IQ_TOTAL_REV", IQ_LTM - 4, $L$2, $L$4, $L$3, $L$5,$L$6)</f>
        <v>#NAME?</v>
      </c>
      <c r="Q51" s="84" t="e">
        <f ca="1">_xll.ciqfunctions.udf.CIQ($A51, "IQ_TOTAL_REV", IQ_LTM, $L$2, $L$4, $L$3, $L$5, $L$6)</f>
        <v>#NAME?</v>
      </c>
      <c r="R51" s="84" t="e">
        <f ca="1">_xll.ciqfunctions.udf.CIQ($A51, "IQ_TOTAL_REV", $B$2, $L$2, $L$4, $L$3, $L$5, $L$6)</f>
        <v>#NAME?</v>
      </c>
      <c r="S51" s="84" t="e">
        <f ca="1">IF(_xll.ciqfunctions.udf.CIQ($A51, "IQ_TOTAL_REV", $B$3, $L$2,$L$4, $L$3, $L$5, $L$6)=0,Q51,_xll.ciqfunctions.udf.CIQ($A51, "IQ_TOTAL_REV", $B$3, $L$2,$L$4, $L$3, $L$5, $L$6))</f>
        <v>#NAME?</v>
      </c>
      <c r="T51" s="84" t="e">
        <f ca="1">IF(_xll.ciqfunctions.udf.CIQ($A51, "IQ_REVENUE_EST",$B$4, $L$2, "CON", $L$3, $L$5, $L$6)=0,"n/a",_xll.ciqfunctions.udf.CIQ($A51, "IQ_REVENUE_EST",$B$4, $L$2, "CON", $L$3, $L$5, $L$6))</f>
        <v>#NAME?</v>
      </c>
      <c r="U51" s="84" t="e">
        <f ca="1">IF(_xll.ciqfunctions.udf.CIQ($A51, "IQ_REVENUE_EST",$B$5, $L$2, "CON", $L$3, $L$5, $L$6)=0,"n/a",_xll.ciqfunctions.udf.CIQ($A51, "IQ_REVENUE_EST",$B$5, $L$2, "CON", $L$3, $L$5, $L$6))</f>
        <v>#NAME?</v>
      </c>
      <c r="V51" s="84" t="e">
        <f ca="1">IF(_xll.ciqfunctions.udf.CIQ($A51, "IQ_REVENUE_EST",$B$6, $L$2, "CON", $L$3, $L$5, $L$6)=0,"n/a",_xll.ciqfunctions.udf.CIQ($A51, "IQ_REVENUE_EST",$B$6, $L$2, "CON", $L$3, $L$5, $L$6))</f>
        <v>#NAME?</v>
      </c>
      <c r="W51" s="84" t="e">
        <f ca="1">IF(_xll.ciqfunctions.udf.CIQ($A51, "IQ_REVENUE_EST", $B$7, $L$2, "CON", $L$3, $L$5, $L$6)=0,"n/a",_xll.ciqfunctions.udf.CIQ($A51, "IQ_REVENUE_EST",$B$7, $L$2, "CON", $L$3, $L$5, $L$6))</f>
        <v>#NAME?</v>
      </c>
      <c r="X51" s="84" t="e">
        <f ca="1">_xll.ciqfunctions.udf.CIQ($A51, "IQ_EBITDA", IQ_LTM-8, $L$2, $L$4, $L$3, $L$5, $L$6)</f>
        <v>#NAME?</v>
      </c>
      <c r="Y51" s="84" t="e">
        <f ca="1">_xll.ciqfunctions.udf.CIQ($A51, "IQ_EBITDA", IQ_LTM-4, $L$2,$L$4, $L$3, $L$5, $L$6)</f>
        <v>#NAME?</v>
      </c>
      <c r="Z51" s="84" t="e">
        <f ca="1">_xll.ciqfunctions.udf.CIQ($A51, "IQ_EBITDA", IQ_LTM, $L$2, $L$4, $L$3, $L$5, $L$6)</f>
        <v>#NAME?</v>
      </c>
      <c r="AA51" s="84" t="e">
        <f ca="1">_xll.ciqfunctions.udf.CIQ($A51, "IQ_EBITDA", $B$2, $L$2, $L$4, $L$3, $L$5, $L$6)</f>
        <v>#NAME?</v>
      </c>
      <c r="AB51" s="84" t="e">
        <f ca="1">IF(_xll.ciqfunctions.udf.CIQ($A51, "IQ_EBITDA", $B$3, $L$2,$L$4, $L$3, $L$5, $L$6)=0,Z51,_xll.ciqfunctions.udf.CIQ($A51, "IQ_EBITDA", $B$3, $L$2,$L$4, $L$3, $L$5, $L$6))</f>
        <v>#NAME?</v>
      </c>
      <c r="AC51" s="84" t="e">
        <f ca="1">IF(_xll.ciqfunctions.udf.CIQ($A51, "IQ_EBITDA_EST",$B$4, $L$2, "CON", $L$3, $L$5, $L$6)=0,"n/a",_xll.ciqfunctions.udf.CIQ($A51, "IQ_EBITDA_EST",$B$4, $L$2, "CON", $L$3, $L$5, $L$6))</f>
        <v>#NAME?</v>
      </c>
      <c r="AD51" s="67" t="e">
        <f ca="1">IF(_xll.ciqfunctions.udf.CIQ($A51, "IQ_EBITDA_EST",$B$5, $L$2, "CON", $L$3, $L$5, $L$6)=0,"n/a",_xll.ciqfunctions.udf.CIQ($A51, "IQ_EBITDA_EST",$B$5, $L$2, "CON", $L$3, $L$5, $L$6))</f>
        <v>#NAME?</v>
      </c>
      <c r="AE51" s="84" t="e">
        <f ca="1">IF(_xll.ciqfunctions.udf.CIQ($A51, "IQ_EBITDA_EST",$B$6, $L$2, "CON", $L$3, $L$5, $L$6)=0,"n/a",_xll.ciqfunctions.udf.CIQ($A51, "IQ_EBITDA_EST",$B$6, $L$2, "CON", $L$3, $L$5, $L$6))</f>
        <v>#NAME?</v>
      </c>
      <c r="AF51" s="69" t="str">
        <f ca="1">IF(ISERROR(_xll.ciqfunctions.udf.CIQ($A51, "IQ_GROSS_MARGIN", IQ_LTM, $L$2,$L$4, $L$3, $L$5, $L$6)/100), "n/a", _xll.ciqfunctions.udf.CIQ($A51,  "IQ_GROSS_MARGIN", IQ_LTM, $L$2, $L$4, $L$3, $L$5, $L$6)/100)</f>
        <v>n/a</v>
      </c>
      <c r="AG51" s="69" t="str">
        <f ca="1">IF(ISERROR(_xll.ciqfunctions.udf.CIQ($A51,"IQ_EBITDA_MARGIN", IQ_LTM, $L$2, $L$4, $L$3, $L$5, $L$6)/100), "n/a", _xll.ciqfunctions.udf.CIQ($A51, "IQ_EBITDA_MARGIN", IQ_LTM, $L$2, $L$4, $L$3, $L$5, $L$6)/100)</f>
        <v>n/a</v>
      </c>
      <c r="AH51" s="69" t="str">
        <f ca="1">IF(ISERROR(_xll.ciqfunctions.udf.CIQ($A51,"IQ_EBIT_MARGIN", IQ_LTM, $L$2, $L$4, $L$3, $L$5, $L$6)/100), "n/a", _xll.ciqfunctions.udf.CIQ($A51, "IQ_EBIT_MARGIN", IQ_LTM, $L$2, $L$4, $L$3, $L$5, $L$6)/100)</f>
        <v>n/a</v>
      </c>
      <c r="AI51" s="69" t="str">
        <f ca="1">IF(ISERROR(_xll.ciqfunctions.udf.CIQ($A51,"IQ_NI_MARGIN", IQ_LTM, $L$2, $L$4, $L$3, $L$5, $L$6)/100), "n/a", _xll.ciqfunctions.udf.CIQ($A51, "IQ_NI_MARGIN", IQ_LTM, $L$2, $L$4, $L$3, $L$5, $L$6)/100)</f>
        <v>n/a</v>
      </c>
      <c r="AJ51" s="84" t="str">
        <f ca="1">IF(ISERROR(_xll.ciqfunctions.udf.CIQ($A51, "IQ_NET_WORKING_CAP", IQ_LTM-8, $L$2, $L$4, $L$3, $L$5, $L$6)), "n/a", _xll.ciqfunctions.udf.CIQ($A51, "IQ_NET_WORKING_CAP", IQ_LTM-8, $L$2, $L$4, $L$3, $L$5, $L$6))</f>
        <v>n/a</v>
      </c>
      <c r="AK51" s="84" t="str">
        <f ca="1">IF(ISERROR(_xll.ciqfunctions.udf.CIQ($A51, "IQ_NET_WORKING_CAP", IQ_LTM-4, $L$2, $L$4, $L$3, $L$5, $L$6)), "n/a", _xll.ciqfunctions.udf.CIQ($A51, "IQ_NET_WORKING_CAP", IQ_LTM-4, $L$2, $L$4, $L$3, $L$5, $L$6))</f>
        <v>n/a</v>
      </c>
      <c r="AL51" s="84" t="str">
        <f ca="1">IF(ISERROR(_xll.ciqfunctions.udf.CIQ($A51, "IQ_NET_WORKING_CAP", IQ_LTM, $L$2,$L$4, $L$3, $L$5, $L$6)), "n/a", _xll.ciqfunctions.udf.CIQ($A51, "IQ_NET_WORKING_CAP", IQ_LTM, $L$2, $L$4, $L$3, $L$5, $L$6))</f>
        <v>n/a</v>
      </c>
      <c r="AM51" s="84" t="str">
        <f ca="1">IF(ISERROR(_xll.ciqfunctions.udf.CIQ($A51, "IQ_Capex", IQ_LTM-8, $L$2,$L$4, $L$3, $L$5, $L$6)), "n/a", _xll.ciqfunctions.udf.CIQ($A51, "IQ_Capex", IQ_LTM-8, $L$2, $L$4, $L$3, $L$5, $L$6))</f>
        <v>n/a</v>
      </c>
      <c r="AN51" s="84" t="str">
        <f ca="1">IF(ISERROR(_xll.ciqfunctions.udf.CIQ($A51, "IQ_Capex", IQ_LTM-4, $L$2,$L$4, $L$3, $L$5, $L$6)), "n/a", _xll.ciqfunctions.udf.CIQ($A51, "IQ_Capex", IQ_LTM-4, $L$2,$L$4, $L$3, $L$5, $L$6))</f>
        <v>n/a</v>
      </c>
      <c r="AO51" s="84" t="str">
        <f ca="1">IF(ISERROR(_xll.ciqfunctions.udf.CIQ($A51, "IQ_Capex", IQ_LTM, $L$2, $L$4, $L$3, $L$5, $L$6)), "n/a", _xll.ciqfunctions.udf.CIQ($A51, "IQ_Capex", IQ_LTM, $L$2, $L$4, $L$3, $L$5, $L$6))</f>
        <v>n/a</v>
      </c>
      <c r="AP51" s="66" t="e">
        <f ca="1">_xll.ciqfunctions.udf.CIQ(A51, "IQ_BUSINESS_DESCRIPTION")</f>
        <v>#NAME?</v>
      </c>
      <c r="AQ51" s="85" t="e">
        <f ca="1">_xll.ciqfunctions.udf.CIQ($A51, "IQ_BETA_1YR", $B$1)</f>
        <v>#NAME?</v>
      </c>
      <c r="AR51" s="85" t="e">
        <f ca="1">_xll.ciqfunctions.udf.CIQ($A51, "IQ_BETA_2YR", $B$1)</f>
        <v>#NAME?</v>
      </c>
      <c r="AS51" s="85" t="e">
        <f ca="1">_xll.ciqfunctions.udf.CIQ($A51, "IQ_BETA_5YR", $B$1)</f>
        <v>#NAME?</v>
      </c>
      <c r="AT51" s="67" t="e">
        <f ca="1">_xll.ciqfunctions.udf.CIQ($B51, "IQ_GP", IQ_LTM,$B$1, ,,"USD")</f>
        <v>#NAME?</v>
      </c>
      <c r="AU51" s="84" t="e">
        <f ca="1">_xll.ciqfunctions.udf.CIQ($A51, "IQ_EARNING_CO", IQ_LTM-8, $L$2, $L$4, $L$3, $L$5, $L$6)</f>
        <v>#NAME?</v>
      </c>
      <c r="AV51" s="84" t="e">
        <f ca="1">_xll.ciqfunctions.udf.CIQ($A51, "IQ_EARNING_CO", IQ_LTM-4, $L$2, $L$4, $L$3, $L$5, $L$6)</f>
        <v>#NAME?</v>
      </c>
      <c r="AW51" s="84" t="e">
        <f ca="1">_xll.ciqfunctions.udf.CIQ($A51, "IQ_EARNING_CO", IQ_LTM, $L$2, $L$4, $L$3, $L$5, $L$6)</f>
        <v>#NAME?</v>
      </c>
      <c r="AX51" s="84" t="e">
        <f ca="1">_xll.ciqfunctions.udf.CIQ($A51, "IQ_EARNING_CO", $B$2, $L$2, $L$4, $L$3, $L$5, $L$6)</f>
        <v>#NAME?</v>
      </c>
      <c r="AY51" s="84" t="e">
        <f ca="1">IF(_xll.ciqfunctions.udf.CIQ($A51, "IQ_EARNING_CO", $B$3, $L$2,$L$4, $L$3, $L$5, $L$6)=0,AW51,_xll.ciqfunctions.udf.CIQ($A51, "IQ_EARNING_CO", $B$3, $L$2,$L$4, $L$3, $L$5, $L$6))</f>
        <v>#NAME?</v>
      </c>
      <c r="AZ51" s="84" t="e">
        <f ca="1">_xll.ciqfunctions.udf.CIQ($A51, "IQ_TOTAL_EQUITY", IQ_LTM-8, $L$2, $L$4, $L$3, $L$5, $L$6)</f>
        <v>#NAME?</v>
      </c>
      <c r="BA51" s="84" t="e">
        <f ca="1">_xll.ciqfunctions.udf.CIQ($A51, "IQ_TOTAL_EQUITY", IQ_LTM-4, $L$2, $L$4, $L$3, $L$5, $L$6)</f>
        <v>#NAME?</v>
      </c>
      <c r="BB51" s="84" t="e">
        <f ca="1">_xll.ciqfunctions.udf.CIQ($A51, "IQ_TOTAL_EQUITY", IQ_LTM, $L$2, $L$4, $L$3, $L$5, $L$6)</f>
        <v>#NAME?</v>
      </c>
      <c r="BC51" s="84" t="e">
        <f ca="1">_xll.ciqfunctions.udf.CIQ($A51, "IQ_TOTAL_EQUITY", $B$2, $L$2, $L$4, $L$3, $L$5, $L$6)</f>
        <v>#NAME?</v>
      </c>
      <c r="BD51" s="84" t="e">
        <f ca="1">IF(_xll.ciqfunctions.udf.CIQ($A51, "IQ_TOTAL_EQUITY", $B$3, $L$2,$L$4, $L$3, $L$5, $L$6)=0,BB51,_xll.ciqfunctions.udf.CIQ($A51, "IQ_TOTAL_EQUITY", $B$3, $L$2,$L$4, $L$3, $L$5, $L$6))</f>
        <v>#NAME?</v>
      </c>
      <c r="BE51" s="84" t="e">
        <f ca="1">_xll.ciqfunctions.udf.CIQ(A51, "IQ_LASTSALEPRICE", $B$8)</f>
        <v>#NAME?</v>
      </c>
      <c r="BF51" s="84" t="e">
        <f ca="1">_xll.ciqfunctions.udf.CIQ($A51, "IQ_MARKETCAP", $B$8, $L$5, $L$6)</f>
        <v>#NAME?</v>
      </c>
      <c r="BG51" s="84" t="e">
        <f ca="1">_xll.ciqfunctions.udf.CIQ($A51, "IQ_TOTAL_DEBT", IQ_LTM, $B$8,$L$4, $L$3, $L$5, $L$6)</f>
        <v>#NAME?</v>
      </c>
      <c r="BH51" s="67" t="e">
        <f ca="1">_xll.ciqfunctions.udf.CIQ($A51,"IQ_PREF_EQUITY",IQ_LTM,$B$8,$L$4,$L$3,$L$5,$L$6)</f>
        <v>#NAME?</v>
      </c>
      <c r="BI51" s="67" t="e">
        <f ca="1">_xll.ciqfunctions.udf.CIQ($A51, "IQ_MINORITY_INTEREST_TOTAL", IQ_LTM,$B$8,$L$4,$L$3,$L$5,$L$6)</f>
        <v>#NAME?</v>
      </c>
      <c r="BJ51" s="84" t="e">
        <f ca="1">_xll.ciqfunctions.udf.CIQ($A51, "IQ_CASH_ST_INVEST", IQ_LTM, $B$8, $L$4, $L$3, $L$5, $L$6)</f>
        <v>#NAME?</v>
      </c>
      <c r="BK51" s="67" t="e">
        <f ca="1">_xll.ciqfunctions.udf.CIQ($A51, "IQ_EFFECT_TAX_RATE")</f>
        <v>#NAME?</v>
      </c>
      <c r="BL51" s="67" t="e">
        <f ca="1">IF(_xll.ciqfunctions.udf.CIQ($A51, "IQ_TOTAL_REV_2YR_ANN_CAGR", IQ_LTM, $B$1,$L$4, $L$3, $L$5, $L$6)="NM","n/a",(_xll.ciqfunctions.udf.CIQ($A51, "IQ_TOTAL_REV_2YR_ANN_CAGR", IQ_LTM, $B$1,$L$4, $L$3, $L$5, $L$6)/100))</f>
        <v>#NAME?</v>
      </c>
      <c r="BM51" s="67" t="e">
        <f ca="1">IF(_xll.ciqfunctions.udf.CIQ($A51, "IQ_TOTAL_REV_3YR_ANN_CAGR", IQ_LTM, $B$1,$L$4, $L$3, $L$5, $L$6)="NM","n/a",(_xll.ciqfunctions.udf.CIQ($A51, "IQ_TOTAL_REV_3YR_ANN_CAGR", IQ_LTM, $B$1,$L$4, $L$3, $L$5, $L$6)/100))</f>
        <v>#NAME?</v>
      </c>
      <c r="BN51" s="67" t="e">
        <f ca="1">IF(_xll.ciqfunctions.udf.CIQ($A51, "IQ_TOTAL_REV_5YR_ANN_CAGR", IQ_LTM, $B$1,$L$4, $L$3, $L$5, $L$6)="NM","n/a",(_xll.ciqfunctions.udf.CIQ($A51, "IQ_TOTAL_REV_5YR_ANN_CAGR", IQ_LTM, $B$1,$L$4, $L$3, $L$5, $L$6)/100))</f>
        <v>#NAME?</v>
      </c>
      <c r="BO51" s="67" t="e">
        <f ca="1">IF(_xll.ciqfunctions.udf.CIQ($A51,"IQ_EBITDA_2YR_ANN_CAGR", IQ_LTM,$B$1,$L$4, $L$3, $L$5, $L$6)="NM","n/a",(_xll.ciqfunctions.udf.CIQ($A51,"IQ_EBITDA_2YR_ANN_CAGR", IQ_LTM,$B$1,$L$4, $L$3, $L$5, $L$6)/100))</f>
        <v>#NAME?</v>
      </c>
      <c r="BP51" s="67" t="e">
        <f ca="1">IF(_xll.ciqfunctions.udf.CIQ($A51,"IQ_EBITDA_3YR_ANN_CAGR", IQ_LTM,$B$1,$L$4, $L$3, $L$5, $L$6)="NM","n/a",(_xll.ciqfunctions.udf.CIQ($A51,"IQ_EBITDA_3YR_ANN_CAGR", IQ_LTM,$B$1,$L$4, $L$3, $L$5, $L$6)/100))</f>
        <v>#NAME?</v>
      </c>
      <c r="BQ51" s="67" t="e">
        <f ca="1">IF(_xll.ciqfunctions.udf.CIQ($A51,"IQ_EBITDA_5YR_ANN_CAGR", IQ_LTM,$B$1,$L$4, $L$3, $L$5, $L$6)="NM","n/a",(_xll.ciqfunctions.udf.CIQ($A51,"IQ_EBITDA_5YR_ANN_CAGR", IQ_LTM,$B$1,$L$4, $L$3, $L$5, $L$6)/100))</f>
        <v>#NAME?</v>
      </c>
      <c r="BR51" s="69" t="str">
        <f ca="1">IFERROR((_xll.ciqfunctions.udf.CIQ($A51, "IQ_DA_CF", IQ_LTM, $B$1, $L$4, $L$3, $L$5, $L$6)/Q51),"NM")</f>
        <v>NM</v>
      </c>
      <c r="BS51" s="69" t="e">
        <f>'Capital IQ Sheet-GPC'!BS51</f>
        <v>#VALUE!</v>
      </c>
      <c r="BT51" s="69" t="e">
        <f>'Capital IQ Sheet-GPC'!BT51</f>
        <v>#VALUE!</v>
      </c>
      <c r="BU51" s="69" t="e">
        <f>'Capital IQ Sheet-GPC'!BU51</f>
        <v>#VALUE!</v>
      </c>
      <c r="BV51" s="69" t="e">
        <f>'Capital IQ Sheet-GPC'!BV51</f>
        <v>#VALUE!</v>
      </c>
      <c r="BW51" s="69" t="e">
        <f>'Capital IQ Sheet-GPC'!BW51</f>
        <v>#VALUE!</v>
      </c>
      <c r="BX51" s="69" t="e">
        <f>'Capital IQ Sheet-GPC'!BX51</f>
        <v>#VALUE!</v>
      </c>
      <c r="BY51" s="69" t="e">
        <f>'Capital IQ Sheet-GPC'!BY51</f>
        <v>#VALUE!</v>
      </c>
      <c r="BZ51" s="69" t="e">
        <f>'Capital IQ Sheet-GPC'!BZ51</f>
        <v>#VALUE!</v>
      </c>
    </row>
    <row r="52" spans="1:83">
      <c r="A52" s="67" t="e">
        <f ca="1">_xll.ciqfunctions.udf.CIQ($B52,"IQ_COMPANY_TICKER")</f>
        <v>#NAME?</v>
      </c>
      <c r="B52" s="67" t="str">
        <f>'Capital IQ Sheet-GPC'!B52</f>
        <v>(Invalid Identifier)</v>
      </c>
      <c r="C52" s="67" t="e">
        <f ca="1">_xll.ciqfunctions.udf.CIQ($A52,"IQ_COMPANY_NAME")</f>
        <v>#NAME?</v>
      </c>
      <c r="D52" s="67" t="e">
        <f ca="1">_xll.ciqfunctions.udf.CIQ($A52, "IQ_EXCHANGE")</f>
        <v>#NAME?</v>
      </c>
      <c r="E52" s="68" t="e">
        <f ca="1">_xll.ciqfunctions.udf.CIQ($A52, "IQ_PERIODDATE_IS", IQ_FY)</f>
        <v>#NAME?</v>
      </c>
      <c r="F52" s="68" t="e">
        <f ca="1">_xll.ciqfunctions.udf.CIQ(A52, "IQ_PERIODDATE_IS", IQ_LTM, $B$1,$L$4,$L$3)</f>
        <v>#NAME?</v>
      </c>
      <c r="G52" s="68" t="e">
        <f ca="1">_xll.ciqfunctions.udf.CIQ($A52, "IQ_FIRSTPRICINGDATE")</f>
        <v>#NAME?</v>
      </c>
      <c r="H52" s="84" t="e">
        <f ca="1">_xll.ciqfunctions.udf.CIQ($A52, "IQ_TEV", $L$2, $L$5, $L$6)</f>
        <v>#NAME?</v>
      </c>
      <c r="I52" s="84" t="e">
        <f ca="1">_xll.ciqfunctions.udf.CIQ(A52, "IQ_LASTSALEPRICE", $B$1,$L$5)</f>
        <v>#NAME?</v>
      </c>
      <c r="J52" s="68" t="e">
        <f ca="1">_xll.ciqfunctions.udf.CIQ($B52, "IQ_FIRSTPRICINGDATE")</f>
        <v>#NAME?</v>
      </c>
      <c r="K52" s="84" t="e">
        <f ca="1">_xll.ciqfunctions.udf.CIQ($A52, "IQ_TOTAL_DEBT", IQ_LTM, $L$2,$L$4, $L$3, $L$5, $L$6)</f>
        <v>#NAME?</v>
      </c>
      <c r="L52" s="84" t="e">
        <f ca="1">_xll.ciqfunctions.udf.CIQ($A52, "IQ_PREF_EQUITY", IQ_LTM, $L$2, $L$4, $L$3, $L$5, $L$6)</f>
        <v>#NAME?</v>
      </c>
      <c r="M52" s="84" t="e">
        <f ca="1">_xll.ciqfunctions.udf.CIQ($A52, "IQ_MINORITY_INTEREST_TOTAL", IQ_LTM, $L$2, $L$4, $L$3, $L$5, $L$6)</f>
        <v>#NAME?</v>
      </c>
      <c r="N52" s="84" t="e">
        <f ca="1">_xll.ciqfunctions.udf.CIQ($A52, "IQ_CASH_ST_INVEST", IQ_LTM, $L$2, $L$4, $L$3, $L$5, $L$6)</f>
        <v>#NAME?</v>
      </c>
      <c r="O52" s="84" t="e">
        <f ca="1">_xll.ciqfunctions.udf.CIQ($A52, "IQ_TOTAL_REV", IQ_LTM-8, $L$2, $L$4, $L$3, $L$5, $L$6)</f>
        <v>#NAME?</v>
      </c>
      <c r="P52" s="84" t="e">
        <f ca="1">_xll.ciqfunctions.udf.CIQ($A52, "IQ_TOTAL_REV", IQ_LTM - 4, $L$2, $L$4, $L$3, $L$5,$L$6)</f>
        <v>#NAME?</v>
      </c>
      <c r="Q52" s="84" t="e">
        <f ca="1">_xll.ciqfunctions.udf.CIQ($A52, "IQ_TOTAL_REV", IQ_LTM, $L$2, $L$4, $L$3, $L$5, $L$6)</f>
        <v>#NAME?</v>
      </c>
      <c r="R52" s="84" t="e">
        <f ca="1">_xll.ciqfunctions.udf.CIQ($A52, "IQ_TOTAL_REV", $B$2, $L$2, $L$4, $L$3, $L$5, $L$6)</f>
        <v>#NAME?</v>
      </c>
      <c r="S52" s="84" t="e">
        <f ca="1">IF(_xll.ciqfunctions.udf.CIQ($A52, "IQ_TOTAL_REV", $B$3, $L$2,$L$4, $L$3, $L$5, $L$6)=0,Q52,_xll.ciqfunctions.udf.CIQ($A52, "IQ_TOTAL_REV", $B$3, $L$2,$L$4, $L$3, $L$5, $L$6))</f>
        <v>#NAME?</v>
      </c>
      <c r="T52" s="84" t="e">
        <f ca="1">IF(_xll.ciqfunctions.udf.CIQ($A52, "IQ_REVENUE_EST",$B$4, $L$2, "CON", $L$3, $L$5, $L$6)=0,"n/a",_xll.ciqfunctions.udf.CIQ($A52, "IQ_REVENUE_EST",$B$4, $L$2, "CON", $L$3, $L$5, $L$6))</f>
        <v>#NAME?</v>
      </c>
      <c r="U52" s="84" t="e">
        <f ca="1">IF(_xll.ciqfunctions.udf.CIQ($A52, "IQ_REVENUE_EST",$B$5, $L$2, "CON", $L$3, $L$5, $L$6)=0,"n/a",_xll.ciqfunctions.udf.CIQ($A52, "IQ_REVENUE_EST",$B$5, $L$2, "CON", $L$3, $L$5, $L$6))</f>
        <v>#NAME?</v>
      </c>
      <c r="V52" s="84" t="e">
        <f ca="1">IF(_xll.ciqfunctions.udf.CIQ($A52, "IQ_REVENUE_EST",$B$6, $L$2, "CON", $L$3, $L$5, $L$6)=0,"n/a",_xll.ciqfunctions.udf.CIQ($A52, "IQ_REVENUE_EST",$B$6, $L$2, "CON", $L$3, $L$5, $L$6))</f>
        <v>#NAME?</v>
      </c>
      <c r="W52" s="84" t="e">
        <f ca="1">IF(_xll.ciqfunctions.udf.CIQ($A52, "IQ_REVENUE_EST", $B$7, $L$2, "CON", $L$3, $L$5, $L$6)=0,"n/a",_xll.ciqfunctions.udf.CIQ($A52, "IQ_REVENUE_EST",$B$7, $L$2, "CON", $L$3, $L$5, $L$6))</f>
        <v>#NAME?</v>
      </c>
      <c r="X52" s="84" t="e">
        <f ca="1">_xll.ciqfunctions.udf.CIQ($A52, "IQ_EBITDA", IQ_LTM-8, $L$2, $L$4, $L$3, $L$5, $L$6)</f>
        <v>#NAME?</v>
      </c>
      <c r="Y52" s="84" t="e">
        <f ca="1">_xll.ciqfunctions.udf.CIQ($A52, "IQ_EBITDA", IQ_LTM-4, $L$2,$L$4, $L$3, $L$5, $L$6)</f>
        <v>#NAME?</v>
      </c>
      <c r="Z52" s="84" t="e">
        <f ca="1">_xll.ciqfunctions.udf.CIQ($A52, "IQ_EBITDA", IQ_LTM, $L$2, $L$4, $L$3, $L$5, $L$6)</f>
        <v>#NAME?</v>
      </c>
      <c r="AA52" s="84" t="e">
        <f ca="1">_xll.ciqfunctions.udf.CIQ($A52, "IQ_EBITDA", $B$2, $L$2, $L$4, $L$3, $L$5, $L$6)</f>
        <v>#NAME?</v>
      </c>
      <c r="AB52" s="84" t="e">
        <f ca="1">IF(_xll.ciqfunctions.udf.CIQ($A52, "IQ_EBITDA", $B$3, $L$2,$L$4, $L$3, $L$5, $L$6)=0,Z52,_xll.ciqfunctions.udf.CIQ($A52, "IQ_EBITDA", $B$3, $L$2,$L$4, $L$3, $L$5, $L$6))</f>
        <v>#NAME?</v>
      </c>
      <c r="AC52" s="84" t="e">
        <f ca="1">IF(_xll.ciqfunctions.udf.CIQ($A52, "IQ_EBITDA_EST",$B$4, $L$2, "CON", $L$3, $L$5, $L$6)=0,"n/a",_xll.ciqfunctions.udf.CIQ($A52, "IQ_EBITDA_EST",$B$4, $L$2, "CON", $L$3, $L$5, $L$6))</f>
        <v>#NAME?</v>
      </c>
      <c r="AD52" s="67" t="e">
        <f ca="1">IF(_xll.ciqfunctions.udf.CIQ($A52, "IQ_EBITDA_EST",$B$5, $L$2, "CON", $L$3, $L$5, $L$6)=0,"n/a",_xll.ciqfunctions.udf.CIQ($A52, "IQ_EBITDA_EST",$B$5, $L$2, "CON", $L$3, $L$5, $L$6))</f>
        <v>#NAME?</v>
      </c>
      <c r="AE52" s="84" t="e">
        <f ca="1">IF(_xll.ciqfunctions.udf.CIQ($A52, "IQ_EBITDA_EST",$B$6, $L$2, "CON", $L$3, $L$5, $L$6)=0,"n/a",_xll.ciqfunctions.udf.CIQ($A52, "IQ_EBITDA_EST",$B$6, $L$2, "CON", $L$3, $L$5, $L$6))</f>
        <v>#NAME?</v>
      </c>
      <c r="AF52" s="69" t="str">
        <f ca="1">IF(ISERROR(_xll.ciqfunctions.udf.CIQ($A52, "IQ_GROSS_MARGIN", IQ_LTM, $L$2,$L$4, $L$3, $L$5, $L$6)/100), "n/a", _xll.ciqfunctions.udf.CIQ($A52,  "IQ_GROSS_MARGIN", IQ_LTM, $L$2, $L$4, $L$3, $L$5, $L$6)/100)</f>
        <v>n/a</v>
      </c>
      <c r="AG52" s="69" t="str">
        <f ca="1">IF(ISERROR(_xll.ciqfunctions.udf.CIQ($A52,"IQ_EBITDA_MARGIN", IQ_LTM, $L$2, $L$4, $L$3, $L$5, $L$6)/100), "n/a", _xll.ciqfunctions.udf.CIQ($A52, "IQ_EBITDA_MARGIN", IQ_LTM, $L$2, $L$4, $L$3, $L$5, $L$6)/100)</f>
        <v>n/a</v>
      </c>
      <c r="AH52" s="69" t="str">
        <f ca="1">IF(ISERROR(_xll.ciqfunctions.udf.CIQ($A52,"IQ_EBIT_MARGIN", IQ_LTM, $L$2, $L$4, $L$3, $L$5, $L$6)/100), "n/a", _xll.ciqfunctions.udf.CIQ($A52, "IQ_EBIT_MARGIN", IQ_LTM, $L$2, $L$4, $L$3, $L$5, $L$6)/100)</f>
        <v>n/a</v>
      </c>
      <c r="AI52" s="69" t="str">
        <f ca="1">IF(ISERROR(_xll.ciqfunctions.udf.CIQ($A52,"IQ_NI_MARGIN", IQ_LTM, $L$2, $L$4, $L$3, $L$5, $L$6)/100), "n/a", _xll.ciqfunctions.udf.CIQ($A52, "IQ_NI_MARGIN", IQ_LTM, $L$2, $L$4, $L$3, $L$5, $L$6)/100)</f>
        <v>n/a</v>
      </c>
      <c r="AJ52" s="84" t="str">
        <f ca="1">IF(ISERROR(_xll.ciqfunctions.udf.CIQ($A52, "IQ_NET_WORKING_CAP", IQ_LTM-8, $L$2, $L$4, $L$3, $L$5, $L$6)), "n/a", _xll.ciqfunctions.udf.CIQ($A52, "IQ_NET_WORKING_CAP", IQ_LTM-8, $L$2, $L$4, $L$3, $L$5, $L$6))</f>
        <v>n/a</v>
      </c>
      <c r="AK52" s="84" t="str">
        <f ca="1">IF(ISERROR(_xll.ciqfunctions.udf.CIQ($A52, "IQ_NET_WORKING_CAP", IQ_LTM-4, $L$2, $L$4, $L$3, $L$5, $L$6)), "n/a", _xll.ciqfunctions.udf.CIQ($A52, "IQ_NET_WORKING_CAP", IQ_LTM-4, $L$2, $L$4, $L$3, $L$5, $L$6))</f>
        <v>n/a</v>
      </c>
      <c r="AL52" s="84" t="str">
        <f ca="1">IF(ISERROR(_xll.ciqfunctions.udf.CIQ($A52, "IQ_NET_WORKING_CAP", IQ_LTM, $L$2,$L$4, $L$3, $L$5, $L$6)), "n/a", _xll.ciqfunctions.udf.CIQ($A52, "IQ_NET_WORKING_CAP", IQ_LTM, $L$2, $L$4, $L$3, $L$5, $L$6))</f>
        <v>n/a</v>
      </c>
      <c r="AM52" s="84" t="str">
        <f ca="1">IF(ISERROR(_xll.ciqfunctions.udf.CIQ($A52, "IQ_Capex", IQ_LTM-8, $L$2,$L$4, $L$3, $L$5, $L$6)), "n/a", _xll.ciqfunctions.udf.CIQ($A52, "IQ_Capex", IQ_LTM-8, $L$2, $L$4, $L$3, $L$5, $L$6))</f>
        <v>n/a</v>
      </c>
      <c r="AN52" s="84" t="str">
        <f ca="1">IF(ISERROR(_xll.ciqfunctions.udf.CIQ($A52, "IQ_Capex", IQ_LTM-4, $L$2,$L$4, $L$3, $L$5, $L$6)), "n/a", _xll.ciqfunctions.udf.CIQ($A52, "IQ_Capex", IQ_LTM-4, $L$2,$L$4, $L$3, $L$5, $L$6))</f>
        <v>n/a</v>
      </c>
      <c r="AO52" s="84" t="str">
        <f ca="1">IF(ISERROR(_xll.ciqfunctions.udf.CIQ($A52, "IQ_Capex", IQ_LTM, $L$2, $L$4, $L$3, $L$5, $L$6)), "n/a", _xll.ciqfunctions.udf.CIQ($A52, "IQ_Capex", IQ_LTM, $L$2, $L$4, $L$3, $L$5, $L$6))</f>
        <v>n/a</v>
      </c>
      <c r="AP52" s="66" t="e">
        <f ca="1">_xll.ciqfunctions.udf.CIQ(A52, "IQ_BUSINESS_DESCRIPTION")</f>
        <v>#NAME?</v>
      </c>
      <c r="AQ52" s="85" t="e">
        <f ca="1">_xll.ciqfunctions.udf.CIQ($A52, "IQ_BETA_1YR", $B$1)</f>
        <v>#NAME?</v>
      </c>
      <c r="AR52" s="85" t="e">
        <f ca="1">_xll.ciqfunctions.udf.CIQ($A52, "IQ_BETA_2YR", $B$1)</f>
        <v>#NAME?</v>
      </c>
      <c r="AS52" s="85" t="e">
        <f ca="1">_xll.ciqfunctions.udf.CIQ($A52, "IQ_BETA_5YR", $B$1)</f>
        <v>#NAME?</v>
      </c>
      <c r="AT52" s="67" t="e">
        <f ca="1">_xll.ciqfunctions.udf.CIQ($B52, "IQ_GP", IQ_LTM,$B$1, ,,"USD")</f>
        <v>#NAME?</v>
      </c>
      <c r="AU52" s="84" t="e">
        <f ca="1">_xll.ciqfunctions.udf.CIQ($A52, "IQ_EARNING_CO", IQ_LTM-8, $L$2, $L$4, $L$3, $L$5, $L$6)</f>
        <v>#NAME?</v>
      </c>
      <c r="AV52" s="84" t="e">
        <f ca="1">_xll.ciqfunctions.udf.CIQ($A52, "IQ_EARNING_CO", IQ_LTM-4, $L$2, $L$4, $L$3, $L$5, $L$6)</f>
        <v>#NAME?</v>
      </c>
      <c r="AW52" s="84" t="e">
        <f ca="1">_xll.ciqfunctions.udf.CIQ($A52, "IQ_EARNING_CO", IQ_LTM, $L$2, $L$4, $L$3, $L$5, $L$6)</f>
        <v>#NAME?</v>
      </c>
      <c r="AX52" s="84" t="e">
        <f ca="1">_xll.ciqfunctions.udf.CIQ($A52, "IQ_EARNING_CO", $B$2, $L$2, $L$4, $L$3, $L$5, $L$6)</f>
        <v>#NAME?</v>
      </c>
      <c r="AY52" s="84" t="e">
        <f ca="1">IF(_xll.ciqfunctions.udf.CIQ($A52, "IQ_EARNING_CO", $B$3, $L$2,$L$4, $L$3, $L$5, $L$6)=0,AW52,_xll.ciqfunctions.udf.CIQ($A52, "IQ_EARNING_CO", $B$3, $L$2,$L$4, $L$3, $L$5, $L$6))</f>
        <v>#NAME?</v>
      </c>
      <c r="AZ52" s="84" t="e">
        <f ca="1">_xll.ciqfunctions.udf.CIQ($A52, "IQ_TOTAL_EQUITY", IQ_LTM-8, $L$2, $L$4, $L$3, $L$5, $L$6)</f>
        <v>#NAME?</v>
      </c>
      <c r="BA52" s="84" t="e">
        <f ca="1">_xll.ciqfunctions.udf.CIQ($A52, "IQ_TOTAL_EQUITY", IQ_LTM-4, $L$2, $L$4, $L$3, $L$5, $L$6)</f>
        <v>#NAME?</v>
      </c>
      <c r="BB52" s="84" t="e">
        <f ca="1">_xll.ciqfunctions.udf.CIQ($A52, "IQ_TOTAL_EQUITY", IQ_LTM, $L$2, $L$4, $L$3, $L$5, $L$6)</f>
        <v>#NAME?</v>
      </c>
      <c r="BC52" s="84" t="e">
        <f ca="1">_xll.ciqfunctions.udf.CIQ($A52, "IQ_TOTAL_EQUITY", $B$2, $L$2, $L$4, $L$3, $L$5, $L$6)</f>
        <v>#NAME?</v>
      </c>
      <c r="BD52" s="84" t="e">
        <f ca="1">IF(_xll.ciqfunctions.udf.CIQ($A52, "IQ_TOTAL_EQUITY", $B$3, $L$2,$L$4, $L$3, $L$5, $L$6)=0,BB52,_xll.ciqfunctions.udf.CIQ($A52, "IQ_TOTAL_EQUITY", $B$3, $L$2,$L$4, $L$3, $L$5, $L$6))</f>
        <v>#NAME?</v>
      </c>
      <c r="BE52" s="84" t="e">
        <f ca="1">_xll.ciqfunctions.udf.CIQ(A52, "IQ_LASTSALEPRICE", $B$8)</f>
        <v>#NAME?</v>
      </c>
      <c r="BF52" s="84" t="e">
        <f ca="1">_xll.ciqfunctions.udf.CIQ($A52, "IQ_MARKETCAP", $B$8, $L$5, $L$6)</f>
        <v>#NAME?</v>
      </c>
      <c r="BG52" s="84" t="e">
        <f ca="1">_xll.ciqfunctions.udf.CIQ($A52, "IQ_TOTAL_DEBT", IQ_LTM, $B$8,$L$4, $L$3, $L$5, $L$6)</f>
        <v>#NAME?</v>
      </c>
      <c r="BH52" s="67" t="e">
        <f ca="1">_xll.ciqfunctions.udf.CIQ($A52,"IQ_PREF_EQUITY",IQ_LTM,$B$8,$L$4,$L$3,$L$5,$L$6)</f>
        <v>#NAME?</v>
      </c>
      <c r="BI52" s="67" t="e">
        <f ca="1">_xll.ciqfunctions.udf.CIQ($A52, "IQ_MINORITY_INTEREST_TOTAL", IQ_LTM,$B$8,$L$4,$L$3,$L$5,$L$6)</f>
        <v>#NAME?</v>
      </c>
      <c r="BJ52" s="84" t="e">
        <f ca="1">_xll.ciqfunctions.udf.CIQ($A52, "IQ_CASH_ST_INVEST", IQ_LTM, $B$8, $L$4, $L$3, $L$5, $L$6)</f>
        <v>#NAME?</v>
      </c>
      <c r="BK52" s="67" t="e">
        <f ca="1">_xll.ciqfunctions.udf.CIQ($A52, "IQ_EFFECT_TAX_RATE")</f>
        <v>#NAME?</v>
      </c>
      <c r="BL52" s="67" t="e">
        <f ca="1">IF(_xll.ciqfunctions.udf.CIQ($A52, "IQ_TOTAL_REV_2YR_ANN_CAGR", IQ_LTM, $B$1,$L$4, $L$3, $L$5, $L$6)="NM","n/a",(_xll.ciqfunctions.udf.CIQ($A52, "IQ_TOTAL_REV_2YR_ANN_CAGR", IQ_LTM, $B$1,$L$4, $L$3, $L$5, $L$6)/100))</f>
        <v>#NAME?</v>
      </c>
      <c r="BM52" s="67" t="e">
        <f ca="1">IF(_xll.ciqfunctions.udf.CIQ($A52, "IQ_TOTAL_REV_3YR_ANN_CAGR", IQ_LTM, $B$1,$L$4, $L$3, $L$5, $L$6)="NM","n/a",(_xll.ciqfunctions.udf.CIQ($A52, "IQ_TOTAL_REV_3YR_ANN_CAGR", IQ_LTM, $B$1,$L$4, $L$3, $L$5, $L$6)/100))</f>
        <v>#NAME?</v>
      </c>
      <c r="BN52" s="67" t="e">
        <f ca="1">IF(_xll.ciqfunctions.udf.CIQ($A52, "IQ_TOTAL_REV_5YR_ANN_CAGR", IQ_LTM, $B$1,$L$4, $L$3, $L$5, $L$6)="NM","n/a",(_xll.ciqfunctions.udf.CIQ($A52, "IQ_TOTAL_REV_5YR_ANN_CAGR", IQ_LTM, $B$1,$L$4, $L$3, $L$5, $L$6)/100))</f>
        <v>#NAME?</v>
      </c>
      <c r="BO52" s="67" t="e">
        <f ca="1">IF(_xll.ciqfunctions.udf.CIQ($A52,"IQ_EBITDA_2YR_ANN_CAGR", IQ_LTM,$B$1,$L$4, $L$3, $L$5, $L$6)="NM","n/a",(_xll.ciqfunctions.udf.CIQ($A52,"IQ_EBITDA_2YR_ANN_CAGR", IQ_LTM,$B$1,$L$4, $L$3, $L$5, $L$6)/100))</f>
        <v>#NAME?</v>
      </c>
      <c r="BP52" s="67" t="e">
        <f ca="1">IF(_xll.ciqfunctions.udf.CIQ($A52,"IQ_EBITDA_3YR_ANN_CAGR", IQ_LTM,$B$1,$L$4, $L$3, $L$5, $L$6)="NM","n/a",(_xll.ciqfunctions.udf.CIQ($A52,"IQ_EBITDA_3YR_ANN_CAGR", IQ_LTM,$B$1,$L$4, $L$3, $L$5, $L$6)/100))</f>
        <v>#NAME?</v>
      </c>
      <c r="BQ52" s="67" t="e">
        <f ca="1">IF(_xll.ciqfunctions.udf.CIQ($A52,"IQ_EBITDA_5YR_ANN_CAGR", IQ_LTM,$B$1,$L$4, $L$3, $L$5, $L$6)="NM","n/a",(_xll.ciqfunctions.udf.CIQ($A52,"IQ_EBITDA_5YR_ANN_CAGR", IQ_LTM,$B$1,$L$4, $L$3, $L$5, $L$6)/100))</f>
        <v>#NAME?</v>
      </c>
      <c r="BR52" s="69" t="str">
        <f ca="1">IFERROR((_xll.ciqfunctions.udf.CIQ($A52, "IQ_DA_CF", IQ_LTM, $B$1, $L$4, $L$3, $L$5, $L$6)/Q52),"NM")</f>
        <v>NM</v>
      </c>
      <c r="BS52" s="69" t="e">
        <f>'Capital IQ Sheet-GPC'!BS52</f>
        <v>#VALUE!</v>
      </c>
      <c r="BT52" s="69" t="e">
        <f>'Capital IQ Sheet-GPC'!BT52</f>
        <v>#VALUE!</v>
      </c>
      <c r="BU52" s="69" t="e">
        <f>'Capital IQ Sheet-GPC'!BU52</f>
        <v>#VALUE!</v>
      </c>
      <c r="BV52" s="69" t="e">
        <f>'Capital IQ Sheet-GPC'!BV52</f>
        <v>#VALUE!</v>
      </c>
      <c r="BW52" s="69" t="e">
        <f>'Capital IQ Sheet-GPC'!BW52</f>
        <v>#VALUE!</v>
      </c>
      <c r="BX52" s="69" t="e">
        <f>'Capital IQ Sheet-GPC'!BX52</f>
        <v>#VALUE!</v>
      </c>
      <c r="BY52" s="69" t="e">
        <f>'Capital IQ Sheet-GPC'!BY52</f>
        <v>#VALUE!</v>
      </c>
      <c r="BZ52" s="69" t="e">
        <f>'Capital IQ Sheet-GPC'!BZ52</f>
        <v>#VALUE!</v>
      </c>
    </row>
    <row r="53" spans="1:83">
      <c r="A53" s="67" t="e">
        <f ca="1">_xll.ciqfunctions.udf.CIQ($B53,"IQ_COMPANY_TICKER")</f>
        <v>#NAME?</v>
      </c>
      <c r="B53" s="67" t="str">
        <f>'Capital IQ Sheet-GPC'!B53</f>
        <v>(Invalid Identifier)</v>
      </c>
      <c r="C53" s="67" t="e">
        <f ca="1">_xll.ciqfunctions.udf.CIQ($A53,"IQ_COMPANY_NAME")</f>
        <v>#NAME?</v>
      </c>
      <c r="D53" s="67" t="e">
        <f ca="1">_xll.ciqfunctions.udf.CIQ($A53, "IQ_EXCHANGE")</f>
        <v>#NAME?</v>
      </c>
      <c r="E53" s="68" t="e">
        <f ca="1">_xll.ciqfunctions.udf.CIQ($A53, "IQ_PERIODDATE_IS", IQ_FY)</f>
        <v>#NAME?</v>
      </c>
      <c r="F53" s="68" t="e">
        <f ca="1">_xll.ciqfunctions.udf.CIQ(A53, "IQ_PERIODDATE_IS", IQ_LTM, $B$1,$L$4,$L$3)</f>
        <v>#NAME?</v>
      </c>
      <c r="G53" s="68" t="e">
        <f ca="1">_xll.ciqfunctions.udf.CIQ($A53, "IQ_FIRSTPRICINGDATE")</f>
        <v>#NAME?</v>
      </c>
      <c r="H53" s="84" t="e">
        <f ca="1">_xll.ciqfunctions.udf.CIQ($A53, "IQ_TEV", $L$2, $L$5, $L$6)</f>
        <v>#NAME?</v>
      </c>
      <c r="I53" s="84" t="e">
        <f ca="1">_xll.ciqfunctions.udf.CIQ(A53, "IQ_LASTSALEPRICE", $B$1,$L$5)</f>
        <v>#NAME?</v>
      </c>
      <c r="J53" s="68" t="e">
        <f ca="1">_xll.ciqfunctions.udf.CIQ($B53, "IQ_FIRSTPRICINGDATE")</f>
        <v>#NAME?</v>
      </c>
      <c r="K53" s="84" t="e">
        <f ca="1">_xll.ciqfunctions.udf.CIQ($A53, "IQ_TOTAL_DEBT", IQ_LTM, $L$2,$L$4, $L$3, $L$5, $L$6)</f>
        <v>#NAME?</v>
      </c>
      <c r="L53" s="84" t="e">
        <f ca="1">_xll.ciqfunctions.udf.CIQ($A53, "IQ_PREF_EQUITY", IQ_LTM, $L$2, $L$4, $L$3, $L$5, $L$6)</f>
        <v>#NAME?</v>
      </c>
      <c r="M53" s="84" t="e">
        <f ca="1">_xll.ciqfunctions.udf.CIQ($A53, "IQ_MINORITY_INTEREST_TOTAL", IQ_LTM, $L$2, $L$4, $L$3, $L$5, $L$6)</f>
        <v>#NAME?</v>
      </c>
      <c r="N53" s="84" t="e">
        <f ca="1">_xll.ciqfunctions.udf.CIQ($A53, "IQ_CASH_ST_INVEST", IQ_LTM, $L$2, $L$4, $L$3, $L$5, $L$6)</f>
        <v>#NAME?</v>
      </c>
      <c r="O53" s="84" t="e">
        <f ca="1">_xll.ciqfunctions.udf.CIQ($A53, "IQ_TOTAL_REV", IQ_LTM-8, $L$2, $L$4, $L$3, $L$5, $L$6)</f>
        <v>#NAME?</v>
      </c>
      <c r="P53" s="84" t="e">
        <f ca="1">_xll.ciqfunctions.udf.CIQ($A53, "IQ_TOTAL_REV", IQ_LTM - 4, $L$2, $L$4, $L$3, $L$5,$L$6)</f>
        <v>#NAME?</v>
      </c>
      <c r="Q53" s="84" t="e">
        <f ca="1">_xll.ciqfunctions.udf.CIQ($A53, "IQ_TOTAL_REV", IQ_LTM, $L$2, $L$4, $L$3, $L$5, $L$6)</f>
        <v>#NAME?</v>
      </c>
      <c r="R53" s="84" t="e">
        <f ca="1">_xll.ciqfunctions.udf.CIQ($A53, "IQ_TOTAL_REV", $B$2, $L$2, $L$4, $L$3, $L$5, $L$6)</f>
        <v>#NAME?</v>
      </c>
      <c r="S53" s="84" t="e">
        <f ca="1">IF(_xll.ciqfunctions.udf.CIQ($A53, "IQ_TOTAL_REV", $B$3, $L$2,$L$4, $L$3, $L$5, $L$6)=0,Q53,_xll.ciqfunctions.udf.CIQ($A53, "IQ_TOTAL_REV", $B$3, $L$2,$L$4, $L$3, $L$5, $L$6))</f>
        <v>#NAME?</v>
      </c>
      <c r="T53" s="84" t="e">
        <f ca="1">IF(_xll.ciqfunctions.udf.CIQ($A53, "IQ_REVENUE_EST",$B$4, $L$2, "CON", $L$3, $L$5, $L$6)=0,"n/a",_xll.ciqfunctions.udf.CIQ($A53, "IQ_REVENUE_EST",$B$4, $L$2, "CON", $L$3, $L$5, $L$6))</f>
        <v>#NAME?</v>
      </c>
      <c r="U53" s="84" t="e">
        <f ca="1">IF(_xll.ciqfunctions.udf.CIQ($A53, "IQ_REVENUE_EST",$B$5, $L$2, "CON", $L$3, $L$5, $L$6)=0,"n/a",_xll.ciqfunctions.udf.CIQ($A53, "IQ_REVENUE_EST",$B$5, $L$2, "CON", $L$3, $L$5, $L$6))</f>
        <v>#NAME?</v>
      </c>
      <c r="V53" s="84" t="e">
        <f ca="1">IF(_xll.ciqfunctions.udf.CIQ($A53, "IQ_REVENUE_EST",$B$6, $L$2, "CON", $L$3, $L$5, $L$6)=0,"n/a",_xll.ciqfunctions.udf.CIQ($A53, "IQ_REVENUE_EST",$B$6, $L$2, "CON", $L$3, $L$5, $L$6))</f>
        <v>#NAME?</v>
      </c>
      <c r="W53" s="84" t="e">
        <f ca="1">IF(_xll.ciqfunctions.udf.CIQ($A53, "IQ_REVENUE_EST", $B$7, $L$2, "CON", $L$3, $L$5, $L$6)=0,"n/a",_xll.ciqfunctions.udf.CIQ($A53, "IQ_REVENUE_EST",$B$7, $L$2, "CON", $L$3, $L$5, $L$6))</f>
        <v>#NAME?</v>
      </c>
      <c r="X53" s="84" t="e">
        <f ca="1">_xll.ciqfunctions.udf.CIQ($A53, "IQ_EBITDA", IQ_LTM-8, $L$2, $L$4, $L$3, $L$5, $L$6)</f>
        <v>#NAME?</v>
      </c>
      <c r="Y53" s="84" t="e">
        <f ca="1">_xll.ciqfunctions.udf.CIQ($A53, "IQ_EBITDA", IQ_LTM-4, $L$2,$L$4, $L$3, $L$5, $L$6)</f>
        <v>#NAME?</v>
      </c>
      <c r="Z53" s="84" t="e">
        <f ca="1">_xll.ciqfunctions.udf.CIQ($A53, "IQ_EBITDA", IQ_LTM, $L$2, $L$4, $L$3, $L$5, $L$6)</f>
        <v>#NAME?</v>
      </c>
      <c r="AA53" s="84" t="e">
        <f ca="1">_xll.ciqfunctions.udf.CIQ($A53, "IQ_EBITDA", $B$2, $L$2, $L$4, $L$3, $L$5, $L$6)</f>
        <v>#NAME?</v>
      </c>
      <c r="AB53" s="84" t="e">
        <f ca="1">IF(_xll.ciqfunctions.udf.CIQ($A53, "IQ_EBITDA", $B$3, $L$2,$L$4, $L$3, $L$5, $L$6)=0,Z53,_xll.ciqfunctions.udf.CIQ($A53, "IQ_EBITDA", $B$3, $L$2,$L$4, $L$3, $L$5, $L$6))</f>
        <v>#NAME?</v>
      </c>
      <c r="AC53" s="84" t="e">
        <f ca="1">IF(_xll.ciqfunctions.udf.CIQ($A53, "IQ_EBITDA_EST",$B$4, $L$2, "CON", $L$3, $L$5, $L$6)=0,"n/a",_xll.ciqfunctions.udf.CIQ($A53, "IQ_EBITDA_EST",$B$4, $L$2, "CON", $L$3, $L$5, $L$6))</f>
        <v>#NAME?</v>
      </c>
      <c r="AD53" s="67" t="e">
        <f ca="1">IF(_xll.ciqfunctions.udf.CIQ($A53, "IQ_EBITDA_EST",$B$5, $L$2, "CON", $L$3, $L$5, $L$6)=0,"n/a",_xll.ciqfunctions.udf.CIQ($A53, "IQ_EBITDA_EST",$B$5, $L$2, "CON", $L$3, $L$5, $L$6))</f>
        <v>#NAME?</v>
      </c>
      <c r="AE53" s="84" t="e">
        <f ca="1">IF(_xll.ciqfunctions.udf.CIQ($A53, "IQ_EBITDA_EST",$B$6, $L$2, "CON", $L$3, $L$5, $L$6)=0,"n/a",_xll.ciqfunctions.udf.CIQ($A53, "IQ_EBITDA_EST",$B$6, $L$2, "CON", $L$3, $L$5, $L$6))</f>
        <v>#NAME?</v>
      </c>
      <c r="AF53" s="69" t="str">
        <f ca="1">IF(ISERROR(_xll.ciqfunctions.udf.CIQ($A53, "IQ_GROSS_MARGIN", IQ_LTM, $L$2,$L$4, $L$3, $L$5, $L$6)/100), "n/a", _xll.ciqfunctions.udf.CIQ($A53,  "IQ_GROSS_MARGIN", IQ_LTM, $L$2, $L$4, $L$3, $L$5, $L$6)/100)</f>
        <v>n/a</v>
      </c>
      <c r="AG53" s="69" t="str">
        <f ca="1">IF(ISERROR(_xll.ciqfunctions.udf.CIQ($A53,"IQ_EBITDA_MARGIN", IQ_LTM, $L$2, $L$4, $L$3, $L$5, $L$6)/100), "n/a", _xll.ciqfunctions.udf.CIQ($A53, "IQ_EBITDA_MARGIN", IQ_LTM, $L$2, $L$4, $L$3, $L$5, $L$6)/100)</f>
        <v>n/a</v>
      </c>
      <c r="AH53" s="69" t="str">
        <f ca="1">IF(ISERROR(_xll.ciqfunctions.udf.CIQ($A53,"IQ_EBIT_MARGIN", IQ_LTM, $L$2, $L$4, $L$3, $L$5, $L$6)/100), "n/a", _xll.ciqfunctions.udf.CIQ($A53, "IQ_EBIT_MARGIN", IQ_LTM, $L$2, $L$4, $L$3, $L$5, $L$6)/100)</f>
        <v>n/a</v>
      </c>
      <c r="AI53" s="69" t="str">
        <f ca="1">IF(ISERROR(_xll.ciqfunctions.udf.CIQ($A53,"IQ_NI_MARGIN", IQ_LTM, $L$2, $L$4, $L$3, $L$5, $L$6)/100), "n/a", _xll.ciqfunctions.udf.CIQ($A53, "IQ_NI_MARGIN", IQ_LTM, $L$2, $L$4, $L$3, $L$5, $L$6)/100)</f>
        <v>n/a</v>
      </c>
      <c r="AJ53" s="84" t="str">
        <f ca="1">IF(ISERROR(_xll.ciqfunctions.udf.CIQ($A53, "IQ_NET_WORKING_CAP", IQ_LTM-8, $L$2, $L$4, $L$3, $L$5, $L$6)), "n/a", _xll.ciqfunctions.udf.CIQ($A53, "IQ_NET_WORKING_CAP", IQ_LTM-8, $L$2, $L$4, $L$3, $L$5, $L$6))</f>
        <v>n/a</v>
      </c>
      <c r="AK53" s="84" t="str">
        <f ca="1">IF(ISERROR(_xll.ciqfunctions.udf.CIQ($A53, "IQ_NET_WORKING_CAP", IQ_LTM-4, $L$2, $L$4, $L$3, $L$5, $L$6)), "n/a", _xll.ciqfunctions.udf.CIQ($A53, "IQ_NET_WORKING_CAP", IQ_LTM-4, $L$2, $L$4, $L$3, $L$5, $L$6))</f>
        <v>n/a</v>
      </c>
      <c r="AL53" s="84" t="str">
        <f ca="1">IF(ISERROR(_xll.ciqfunctions.udf.CIQ($A53, "IQ_NET_WORKING_CAP", IQ_LTM, $L$2,$L$4, $L$3, $L$5, $L$6)), "n/a", _xll.ciqfunctions.udf.CIQ($A53, "IQ_NET_WORKING_CAP", IQ_LTM, $L$2, $L$4, $L$3, $L$5, $L$6))</f>
        <v>n/a</v>
      </c>
      <c r="AM53" s="84" t="str">
        <f ca="1">IF(ISERROR(_xll.ciqfunctions.udf.CIQ($A53, "IQ_Capex", IQ_LTM-8, $L$2,$L$4, $L$3, $L$5, $L$6)), "n/a", _xll.ciqfunctions.udf.CIQ($A53, "IQ_Capex", IQ_LTM-8, $L$2, $L$4, $L$3, $L$5, $L$6))</f>
        <v>n/a</v>
      </c>
      <c r="AN53" s="84" t="str">
        <f ca="1">IF(ISERROR(_xll.ciqfunctions.udf.CIQ($A53, "IQ_Capex", IQ_LTM-4, $L$2,$L$4, $L$3, $L$5, $L$6)), "n/a", _xll.ciqfunctions.udf.CIQ($A53, "IQ_Capex", IQ_LTM-4, $L$2,$L$4, $L$3, $L$5, $L$6))</f>
        <v>n/a</v>
      </c>
      <c r="AO53" s="84" t="str">
        <f ca="1">IF(ISERROR(_xll.ciqfunctions.udf.CIQ($A53, "IQ_Capex", IQ_LTM, $L$2, $L$4, $L$3, $L$5, $L$6)), "n/a", _xll.ciqfunctions.udf.CIQ($A53, "IQ_Capex", IQ_LTM, $L$2, $L$4, $L$3, $L$5, $L$6))</f>
        <v>n/a</v>
      </c>
      <c r="AP53" s="66" t="e">
        <f ca="1">_xll.ciqfunctions.udf.CIQ(A53, "IQ_BUSINESS_DESCRIPTION")</f>
        <v>#NAME?</v>
      </c>
      <c r="AQ53" s="85" t="e">
        <f ca="1">_xll.ciqfunctions.udf.CIQ($A53, "IQ_BETA_1YR", $B$1)</f>
        <v>#NAME?</v>
      </c>
      <c r="AR53" s="85" t="e">
        <f ca="1">_xll.ciqfunctions.udf.CIQ($A53, "IQ_BETA_2YR", $B$1)</f>
        <v>#NAME?</v>
      </c>
      <c r="AS53" s="85" t="e">
        <f ca="1">_xll.ciqfunctions.udf.CIQ($A53, "IQ_BETA_5YR", $B$1)</f>
        <v>#NAME?</v>
      </c>
      <c r="AT53" s="67" t="e">
        <f ca="1">_xll.ciqfunctions.udf.CIQ($B53, "IQ_GP", IQ_LTM,$B$1, ,,"USD")</f>
        <v>#NAME?</v>
      </c>
      <c r="AU53" s="84" t="e">
        <f ca="1">_xll.ciqfunctions.udf.CIQ($A53, "IQ_EARNING_CO", IQ_LTM-8, $L$2, $L$4, $L$3, $L$5, $L$6)</f>
        <v>#NAME?</v>
      </c>
      <c r="AV53" s="84" t="e">
        <f ca="1">_xll.ciqfunctions.udf.CIQ($A53, "IQ_EARNING_CO", IQ_LTM-4, $L$2, $L$4, $L$3, $L$5, $L$6)</f>
        <v>#NAME?</v>
      </c>
      <c r="AW53" s="84" t="e">
        <f ca="1">_xll.ciqfunctions.udf.CIQ($A53, "IQ_EARNING_CO", IQ_LTM, $L$2, $L$4, $L$3, $L$5, $L$6)</f>
        <v>#NAME?</v>
      </c>
      <c r="AX53" s="84" t="e">
        <f ca="1">_xll.ciqfunctions.udf.CIQ($A53, "IQ_EARNING_CO", $B$2, $L$2, $L$4, $L$3, $L$5, $L$6)</f>
        <v>#NAME?</v>
      </c>
      <c r="AY53" s="84" t="e">
        <f ca="1">IF(_xll.ciqfunctions.udf.CIQ($A53, "IQ_EARNING_CO", $B$3, $L$2,$L$4, $L$3, $L$5, $L$6)=0,AW53,_xll.ciqfunctions.udf.CIQ($A53, "IQ_EARNING_CO", $B$3, $L$2,$L$4, $L$3, $L$5, $L$6))</f>
        <v>#NAME?</v>
      </c>
      <c r="AZ53" s="84" t="e">
        <f ca="1">_xll.ciqfunctions.udf.CIQ($A53, "IQ_TOTAL_EQUITY", IQ_LTM-8, $L$2, $L$4, $L$3, $L$5, $L$6)</f>
        <v>#NAME?</v>
      </c>
      <c r="BA53" s="84" t="e">
        <f ca="1">_xll.ciqfunctions.udf.CIQ($A53, "IQ_TOTAL_EQUITY", IQ_LTM-4, $L$2, $L$4, $L$3, $L$5, $L$6)</f>
        <v>#NAME?</v>
      </c>
      <c r="BB53" s="84" t="e">
        <f ca="1">_xll.ciqfunctions.udf.CIQ($A53, "IQ_TOTAL_EQUITY", IQ_LTM, $L$2, $L$4, $L$3, $L$5, $L$6)</f>
        <v>#NAME?</v>
      </c>
      <c r="BC53" s="84" t="e">
        <f ca="1">_xll.ciqfunctions.udf.CIQ($A53, "IQ_TOTAL_EQUITY", $B$2, $L$2, $L$4, $L$3, $L$5, $L$6)</f>
        <v>#NAME?</v>
      </c>
      <c r="BD53" s="84" t="e">
        <f ca="1">IF(_xll.ciqfunctions.udf.CIQ($A53, "IQ_TOTAL_EQUITY", $B$3, $L$2,$L$4, $L$3, $L$5, $L$6)=0,BB53,_xll.ciqfunctions.udf.CIQ($A53, "IQ_TOTAL_EQUITY", $B$3, $L$2,$L$4, $L$3, $L$5, $L$6))</f>
        <v>#NAME?</v>
      </c>
      <c r="BE53" s="84" t="e">
        <f ca="1">_xll.ciqfunctions.udf.CIQ(A53, "IQ_LASTSALEPRICE", $B$8)</f>
        <v>#NAME?</v>
      </c>
      <c r="BF53" s="84" t="e">
        <f ca="1">_xll.ciqfunctions.udf.CIQ($A53, "IQ_MARKETCAP", $B$8, $L$5, $L$6)</f>
        <v>#NAME?</v>
      </c>
      <c r="BG53" s="84" t="e">
        <f ca="1">_xll.ciqfunctions.udf.CIQ($A53, "IQ_TOTAL_DEBT", IQ_LTM, $B$8,$L$4, $L$3, $L$5, $L$6)</f>
        <v>#NAME?</v>
      </c>
      <c r="BH53" s="67" t="e">
        <f ca="1">_xll.ciqfunctions.udf.CIQ($A53,"IQ_PREF_EQUITY",IQ_LTM,$B$8,$L$4,$L$3,$L$5,$L$6)</f>
        <v>#NAME?</v>
      </c>
      <c r="BI53" s="67" t="e">
        <f ca="1">_xll.ciqfunctions.udf.CIQ($A53, "IQ_MINORITY_INTEREST_TOTAL", IQ_LTM,$B$8,$L$4,$L$3,$L$5,$L$6)</f>
        <v>#NAME?</v>
      </c>
      <c r="BJ53" s="84" t="e">
        <f ca="1">_xll.ciqfunctions.udf.CIQ($A53, "IQ_CASH_ST_INVEST", IQ_LTM, $B$8, $L$4, $L$3, $L$5, $L$6)</f>
        <v>#NAME?</v>
      </c>
      <c r="BK53" s="67" t="e">
        <f ca="1">_xll.ciqfunctions.udf.CIQ($A53, "IQ_EFFECT_TAX_RATE")</f>
        <v>#NAME?</v>
      </c>
      <c r="BL53" s="67" t="e">
        <f ca="1">IF(_xll.ciqfunctions.udf.CIQ($A53, "IQ_TOTAL_REV_2YR_ANN_CAGR", IQ_LTM, $B$1,$L$4, $L$3, $L$5, $L$6)="NM","n/a",(_xll.ciqfunctions.udf.CIQ($A53, "IQ_TOTAL_REV_2YR_ANN_CAGR", IQ_LTM, $B$1,$L$4, $L$3, $L$5, $L$6)/100))</f>
        <v>#NAME?</v>
      </c>
      <c r="BM53" s="67" t="e">
        <f ca="1">IF(_xll.ciqfunctions.udf.CIQ($A53, "IQ_TOTAL_REV_3YR_ANN_CAGR", IQ_LTM, $B$1,$L$4, $L$3, $L$5, $L$6)="NM","n/a",(_xll.ciqfunctions.udf.CIQ($A53, "IQ_TOTAL_REV_3YR_ANN_CAGR", IQ_LTM, $B$1,$L$4, $L$3, $L$5, $L$6)/100))</f>
        <v>#NAME?</v>
      </c>
      <c r="BN53" s="67" t="e">
        <f ca="1">IF(_xll.ciqfunctions.udf.CIQ($A53, "IQ_TOTAL_REV_5YR_ANN_CAGR", IQ_LTM, $B$1,$L$4, $L$3, $L$5, $L$6)="NM","n/a",(_xll.ciqfunctions.udf.CIQ($A53, "IQ_TOTAL_REV_5YR_ANN_CAGR", IQ_LTM, $B$1,$L$4, $L$3, $L$5, $L$6)/100))</f>
        <v>#NAME?</v>
      </c>
      <c r="BO53" s="67" t="e">
        <f ca="1">IF(_xll.ciqfunctions.udf.CIQ($A53,"IQ_EBITDA_2YR_ANN_CAGR", IQ_LTM,$B$1,$L$4, $L$3, $L$5, $L$6)="NM","n/a",(_xll.ciqfunctions.udf.CIQ($A53,"IQ_EBITDA_2YR_ANN_CAGR", IQ_LTM,$B$1,$L$4, $L$3, $L$5, $L$6)/100))</f>
        <v>#NAME?</v>
      </c>
      <c r="BP53" s="67" t="e">
        <f ca="1">IF(_xll.ciqfunctions.udf.CIQ($A53,"IQ_EBITDA_3YR_ANN_CAGR", IQ_LTM,$B$1,$L$4, $L$3, $L$5, $L$6)="NM","n/a",(_xll.ciqfunctions.udf.CIQ($A53,"IQ_EBITDA_3YR_ANN_CAGR", IQ_LTM,$B$1,$L$4, $L$3, $L$5, $L$6)/100))</f>
        <v>#NAME?</v>
      </c>
      <c r="BQ53" s="67" t="e">
        <f ca="1">IF(_xll.ciqfunctions.udf.CIQ($A53,"IQ_EBITDA_5YR_ANN_CAGR", IQ_LTM,$B$1,$L$4, $L$3, $L$5, $L$6)="NM","n/a",(_xll.ciqfunctions.udf.CIQ($A53,"IQ_EBITDA_5YR_ANN_CAGR", IQ_LTM,$B$1,$L$4, $L$3, $L$5, $L$6)/100))</f>
        <v>#NAME?</v>
      </c>
      <c r="BR53" s="69" t="str">
        <f ca="1">IFERROR((_xll.ciqfunctions.udf.CIQ($A53, "IQ_DA_CF", IQ_LTM, $B$1, $L$4, $L$3, $L$5, $L$6)/Q53),"NM")</f>
        <v>NM</v>
      </c>
      <c r="BS53" s="69" t="e">
        <f>'Capital IQ Sheet-GPC'!BS53</f>
        <v>#VALUE!</v>
      </c>
      <c r="BT53" s="69" t="e">
        <f>'Capital IQ Sheet-GPC'!BT53</f>
        <v>#VALUE!</v>
      </c>
      <c r="BU53" s="69" t="e">
        <f>'Capital IQ Sheet-GPC'!BU53</f>
        <v>#VALUE!</v>
      </c>
      <c r="BV53" s="69" t="e">
        <f>'Capital IQ Sheet-GPC'!BV53</f>
        <v>#VALUE!</v>
      </c>
      <c r="BW53" s="69" t="e">
        <f>'Capital IQ Sheet-GPC'!BW53</f>
        <v>#VALUE!</v>
      </c>
      <c r="BX53" s="69" t="e">
        <f>'Capital IQ Sheet-GPC'!BX53</f>
        <v>#VALUE!</v>
      </c>
      <c r="BY53" s="69" t="e">
        <f>'Capital IQ Sheet-GPC'!BY53</f>
        <v>#VALUE!</v>
      </c>
      <c r="BZ53" s="69" t="e">
        <f>'Capital IQ Sheet-GPC'!BZ53</f>
        <v>#VALUE!</v>
      </c>
    </row>
    <row r="54" spans="1:83">
      <c r="J54" s="68"/>
      <c r="M54" s="66"/>
      <c r="N54" s="66"/>
      <c r="O54" s="66"/>
      <c r="P54" s="66"/>
      <c r="Q54" s="66"/>
      <c r="R54" s="66"/>
      <c r="S54" s="66"/>
      <c r="T54" s="66"/>
      <c r="U54" s="66"/>
      <c r="V54" s="66"/>
      <c r="W54" s="66"/>
      <c r="X54" s="66"/>
      <c r="Y54" s="66"/>
      <c r="Z54" s="66"/>
      <c r="AA54" s="66"/>
      <c r="AB54" s="66"/>
      <c r="AC54" s="66"/>
      <c r="AD54" s="66"/>
      <c r="AE54" s="66"/>
      <c r="AF54" s="66"/>
      <c r="AG54" s="66"/>
      <c r="AH54" s="66"/>
      <c r="AI54" s="66"/>
      <c r="AJ54" s="66"/>
      <c r="AK54" s="66"/>
      <c r="AL54" s="66"/>
      <c r="AM54" s="66"/>
      <c r="AN54" s="66"/>
      <c r="AO54" s="66"/>
      <c r="AP54" s="66"/>
      <c r="AQ54" s="66"/>
      <c r="AR54" s="66"/>
      <c r="AS54" s="66"/>
      <c r="AT54" s="66"/>
      <c r="AU54" s="66"/>
      <c r="AV54" s="66"/>
      <c r="AW54" s="66"/>
      <c r="AX54" s="66"/>
      <c r="AY54" s="66"/>
      <c r="AZ54" s="66"/>
      <c r="BA54" s="66"/>
      <c r="BB54" s="66"/>
      <c r="BC54" s="66"/>
      <c r="BD54" s="66"/>
      <c r="BE54" s="66"/>
      <c r="BF54" s="66"/>
      <c r="BG54" s="66"/>
      <c r="BH54" s="66"/>
      <c r="BI54" s="66"/>
      <c r="BJ54" s="66"/>
      <c r="BK54" s="66"/>
      <c r="BL54" s="66"/>
      <c r="BM54" s="66"/>
      <c r="BN54" s="66"/>
      <c r="BO54" s="66"/>
      <c r="BP54" s="66"/>
      <c r="BQ54" s="66"/>
      <c r="BR54" s="66"/>
      <c r="BS54" s="66"/>
      <c r="BT54" s="66"/>
      <c r="BU54" s="66"/>
      <c r="BV54" s="66"/>
      <c r="BW54" s="66"/>
      <c r="BX54" s="66"/>
      <c r="BY54" s="66"/>
      <c r="BZ54" s="66"/>
      <c r="CE54" s="66"/>
    </row>
    <row r="55" spans="1:83">
      <c r="J55" s="68"/>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E55" s="66"/>
    </row>
    <row r="56" spans="1:83" ht="12.75">
      <c r="B56" s="124" t="s">
        <v>127</v>
      </c>
      <c r="C56" s="125" t="s">
        <v>750</v>
      </c>
      <c r="D56" s="126" t="s">
        <v>751</v>
      </c>
      <c r="E56" s="127" t="s">
        <v>126</v>
      </c>
      <c r="F56" s="128"/>
      <c r="G56" s="128"/>
      <c r="H56" s="128"/>
      <c r="I56" s="128"/>
      <c r="J56" s="121"/>
      <c r="K56" s="122"/>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E56" s="66"/>
    </row>
    <row r="57" spans="1:83" ht="12.75">
      <c r="B57" s="94" t="s">
        <v>130</v>
      </c>
      <c r="C57" s="129">
        <f>1/12</f>
        <v>8.3333333333333329E-2</v>
      </c>
      <c r="D57" s="130" t="e">
        <f ca="1">_xll.ciqfunctions.udf.CIQSP(B57, "IQ_LASTSALEPRICE",$B$1)/100</f>
        <v>#NAME?</v>
      </c>
      <c r="E57" s="131" t="e">
        <f ca="1">IF((_xll.ciqfunctions.udf.CIQ(B57, "IQ_COMPANY_NAME"))="(Invalid Identifier)","",(_xll.ciqfunctions.udf.CIQ(B57, "IQ_COMPANY_NAME")))</f>
        <v>#NAME?</v>
      </c>
      <c r="F57" s="132"/>
      <c r="G57" s="132"/>
      <c r="H57" s="132"/>
      <c r="I57" s="132"/>
      <c r="J57" s="99"/>
      <c r="K57" s="100"/>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E57" s="66"/>
    </row>
    <row r="58" spans="1:83" ht="12.75">
      <c r="B58" s="133" t="s">
        <v>131</v>
      </c>
      <c r="C58" s="134">
        <f>3/12</f>
        <v>0.25</v>
      </c>
      <c r="D58" s="72" t="e">
        <f ca="1">_xll.ciqfunctions.udf.CIQSP(B58, "IQ_LASTSALEPRICE",$B$1)/100</f>
        <v>#NAME?</v>
      </c>
      <c r="E58" s="131" t="e">
        <f ca="1">IF((_xll.ciqfunctions.udf.CIQ(B58, "IQ_COMPANY_NAME"))="(Invalid Identifier)","",(_xll.ciqfunctions.udf.CIQ(B58, "IQ_COMPANY_NAME")))</f>
        <v>#NAME?</v>
      </c>
      <c r="F58" s="132"/>
      <c r="G58" s="132"/>
      <c r="H58" s="132"/>
      <c r="I58" s="132"/>
      <c r="J58" s="99"/>
      <c r="K58" s="100"/>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E58" s="66"/>
    </row>
    <row r="59" spans="1:83" ht="12.75">
      <c r="B59" s="133" t="s">
        <v>132</v>
      </c>
      <c r="C59" s="134">
        <f>6/12</f>
        <v>0.5</v>
      </c>
      <c r="D59" s="72" t="e">
        <f ca="1">_xll.ciqfunctions.udf.CIQSP(B59, "IQ_LASTSALEPRICE",$B$1)/100</f>
        <v>#NAME?</v>
      </c>
      <c r="E59" s="131" t="e">
        <f ca="1">IF((_xll.ciqfunctions.udf.CIQ(B59, "IQ_COMPANY_NAME"))="(Invalid Identifier)","",(_xll.ciqfunctions.udf.CIQ(B59, "IQ_COMPANY_NAME")))</f>
        <v>#NAME?</v>
      </c>
      <c r="F59" s="132"/>
      <c r="G59" s="132"/>
      <c r="H59" s="132"/>
      <c r="I59" s="132"/>
      <c r="J59" s="99"/>
      <c r="K59" s="100"/>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E59" s="66"/>
    </row>
    <row r="60" spans="1:83" ht="12.75">
      <c r="B60" s="133" t="s">
        <v>133</v>
      </c>
      <c r="C60" s="134">
        <v>1</v>
      </c>
      <c r="D60" s="72" t="e">
        <f ca="1">_xll.ciqfunctions.udf.CIQSP(B60, "IQ_LASTSALEPRICE",$B$1)/100</f>
        <v>#NAME?</v>
      </c>
      <c r="E60" s="131" t="e">
        <f ca="1">IF((_xll.ciqfunctions.udf.CIQ(B60, "IQ_COMPANY_NAME"))="(Invalid Identifier)","",(_xll.ciqfunctions.udf.CIQ(B60, "IQ_COMPANY_NAME")))</f>
        <v>#NAME?</v>
      </c>
      <c r="F60" s="132"/>
      <c r="G60" s="132"/>
      <c r="H60" s="132"/>
      <c r="I60" s="132"/>
      <c r="J60" s="99"/>
      <c r="K60" s="100"/>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E60" s="66"/>
    </row>
    <row r="61" spans="1:83" ht="12.75">
      <c r="B61" s="133" t="s">
        <v>134</v>
      </c>
      <c r="C61" s="134">
        <v>2</v>
      </c>
      <c r="D61" s="72" t="e">
        <f ca="1">_xll.ciqfunctions.udf.CIQSP(B61, "IQ_LASTSALEPRICE",$B$1)/100</f>
        <v>#NAME?</v>
      </c>
      <c r="E61" s="131" t="e">
        <f ca="1">IF((_xll.ciqfunctions.udf.CIQ(B61, "IQ_COMPANY_NAME"))="(Invalid Identifier)","",(_xll.ciqfunctions.udf.CIQ(B61, "IQ_COMPANY_NAME")))</f>
        <v>#NAME?</v>
      </c>
      <c r="F61" s="132"/>
      <c r="G61" s="132"/>
      <c r="H61" s="132"/>
      <c r="I61" s="132"/>
      <c r="J61" s="99"/>
      <c r="K61" s="100"/>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E61" s="66"/>
    </row>
    <row r="62" spans="1:83" ht="12.75">
      <c r="B62" s="133" t="s">
        <v>135</v>
      </c>
      <c r="C62" s="134">
        <v>3</v>
      </c>
      <c r="D62" s="72" t="e">
        <f ca="1">_xll.ciqfunctions.udf.CIQSP(B62, "IQ_LASTSALEPRICE",$B$1)/100</f>
        <v>#NAME?</v>
      </c>
      <c r="E62" s="131" t="e">
        <f ca="1">IF((_xll.ciqfunctions.udf.CIQ(B62, "IQ_COMPANY_NAME"))="(Invalid Identifier)","",(_xll.ciqfunctions.udf.CIQ(B62, "IQ_COMPANY_NAME")))</f>
        <v>#NAME?</v>
      </c>
      <c r="F62" s="132"/>
      <c r="G62" s="132"/>
      <c r="H62" s="132"/>
      <c r="I62" s="132"/>
      <c r="J62" s="99"/>
      <c r="K62" s="100"/>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E62" s="66"/>
    </row>
    <row r="63" spans="1:83" ht="12.75">
      <c r="B63" s="133" t="s">
        <v>136</v>
      </c>
      <c r="C63" s="134">
        <v>5</v>
      </c>
      <c r="D63" s="72" t="e">
        <f ca="1">_xll.ciqfunctions.udf.CIQSP(B63, "IQ_LASTSALEPRICE",$B$1)/100</f>
        <v>#NAME?</v>
      </c>
      <c r="E63" s="131" t="e">
        <f ca="1">IF((_xll.ciqfunctions.udf.CIQ(B63, "IQ_COMPANY_NAME"))="(Invalid Identifier)","",(_xll.ciqfunctions.udf.CIQ(B63, "IQ_COMPANY_NAME")))</f>
        <v>#NAME?</v>
      </c>
      <c r="F63" s="132"/>
      <c r="G63" s="132"/>
      <c r="H63" s="132"/>
      <c r="I63" s="132"/>
      <c r="J63" s="99"/>
      <c r="K63" s="100"/>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E63" s="66"/>
    </row>
    <row r="64" spans="1:83" ht="12.75">
      <c r="B64" s="133" t="s">
        <v>137</v>
      </c>
      <c r="C64" s="134">
        <v>7</v>
      </c>
      <c r="D64" s="72" t="e">
        <f ca="1">_xll.ciqfunctions.udf.CIQSP(B64, "IQ_LASTSALEPRICE",$B$1)/100</f>
        <v>#NAME?</v>
      </c>
      <c r="E64" s="131" t="e">
        <f ca="1">IF((_xll.ciqfunctions.udf.CIQ(B64, "IQ_COMPANY_NAME"))="(Invalid Identifier)","",(_xll.ciqfunctions.udf.CIQ(B64, "IQ_COMPANY_NAME")))</f>
        <v>#NAME?</v>
      </c>
      <c r="F64" s="132"/>
      <c r="G64" s="132"/>
      <c r="H64" s="132"/>
      <c r="I64" s="132"/>
      <c r="J64" s="99"/>
      <c r="K64" s="100"/>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E64" s="66"/>
    </row>
    <row r="65" spans="2:83" ht="12.75">
      <c r="B65" s="133" t="s">
        <v>138</v>
      </c>
      <c r="C65" s="134">
        <v>10</v>
      </c>
      <c r="D65" s="72" t="e">
        <f ca="1">_xll.ciqfunctions.udf.CIQSP(B65, "IQ_LASTSALEPRICE",$B$1)/100</f>
        <v>#NAME?</v>
      </c>
      <c r="E65" s="131" t="e">
        <f ca="1">IF((_xll.ciqfunctions.udf.CIQ(B65, "IQ_COMPANY_NAME"))="(Invalid Identifier)","",(_xll.ciqfunctions.udf.CIQ(B65, "IQ_COMPANY_NAME")))</f>
        <v>#NAME?</v>
      </c>
      <c r="F65" s="132"/>
      <c r="G65" s="132"/>
      <c r="H65" s="132"/>
      <c r="I65" s="132"/>
      <c r="J65" s="99"/>
      <c r="K65" s="100"/>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E65" s="66"/>
    </row>
    <row r="66" spans="2:83" ht="12.75">
      <c r="B66" s="133" t="s">
        <v>139</v>
      </c>
      <c r="C66" s="134">
        <v>20</v>
      </c>
      <c r="D66" s="72" t="e">
        <f ca="1">_xll.ciqfunctions.udf.CIQSP(B66, "IQ_LASTSALEPRICE",$B$1)/100</f>
        <v>#NAME?</v>
      </c>
      <c r="E66" s="131" t="e">
        <f ca="1">IF((_xll.ciqfunctions.udf.CIQ(B66, "IQ_COMPANY_NAME"))="(Invalid Identifier)","",(_xll.ciqfunctions.udf.CIQ(B66, "IQ_COMPANY_NAME")))</f>
        <v>#NAME?</v>
      </c>
      <c r="F66" s="132"/>
      <c r="G66" s="132"/>
      <c r="H66" s="132"/>
      <c r="I66" s="132"/>
      <c r="J66" s="99"/>
      <c r="K66" s="100"/>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E66" s="66"/>
    </row>
    <row r="67" spans="2:83" ht="12.75">
      <c r="B67" s="135" t="s">
        <v>140</v>
      </c>
      <c r="C67" s="136">
        <v>30</v>
      </c>
      <c r="D67" s="71" t="e">
        <f ca="1">_xll.ciqfunctions.udf.CIQSP(B67, "IQ_LASTSALEPRICE",$B$1)/100</f>
        <v>#NAME?</v>
      </c>
      <c r="E67" s="137" t="e">
        <f ca="1">IF((_xll.ciqfunctions.udf.CIQ(B67, "IQ_COMPANY_NAME"))="(Invalid Identifier)","",(_xll.ciqfunctions.udf.CIQ(B67, "IQ_COMPANY_NAME")))</f>
        <v>#NAME?</v>
      </c>
      <c r="F67" s="138"/>
      <c r="G67" s="138"/>
      <c r="H67" s="138"/>
      <c r="I67" s="138"/>
      <c r="J67" s="107"/>
      <c r="K67" s="108"/>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E67" s="66"/>
    </row>
    <row r="70" spans="2:83">
      <c r="B70" s="109" t="s">
        <v>752</v>
      </c>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E70" s="66"/>
    </row>
    <row r="71" spans="2:83" ht="12.75">
      <c r="B71" s="139" t="s">
        <v>753</v>
      </c>
      <c r="C71" s="111" t="e">
        <f ca="1">_xll.ciqfunctions.udf.CIQSP(B71, "IQ_LASTSALEPRICE",$B$1)/100</f>
        <v>#NAME?</v>
      </c>
      <c r="D71" s="140" t="s">
        <v>853</v>
      </c>
      <c r="E71" s="141"/>
      <c r="F71" s="141"/>
      <c r="G71" s="141"/>
      <c r="H71" s="141"/>
      <c r="I71" s="141"/>
      <c r="J71" s="142"/>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E71" s="66"/>
    </row>
    <row r="73" spans="2:83">
      <c r="B73" s="109" t="s">
        <v>754</v>
      </c>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E73" s="66"/>
    </row>
    <row r="74" spans="2:83" ht="12.75">
      <c r="B74" s="139" t="s">
        <v>755</v>
      </c>
      <c r="C74" s="111" t="str">
        <f ca="1">IF(ISERROR(_xll.ciqfunctions.udf.CIQ("%USPMRT","IQ_LASTSALEPRICE",B1)/100),"NM",_xll.ciqfunctions.udf.CIQ("%USPMRT","IQ_LASTSALEPRICE",B1)/100)</f>
        <v>NM</v>
      </c>
      <c r="D74" s="140"/>
      <c r="E74" s="141"/>
      <c r="F74" s="141"/>
      <c r="G74" s="141"/>
      <c r="H74" s="141"/>
      <c r="I74" s="141"/>
      <c r="J74" s="142"/>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E74" s="66"/>
    </row>
  </sheetData>
  <dataValidations count="1">
    <dataValidation type="list" allowBlank="1" showInputMessage="1" showErrorMessage="1" sqref="CC13:CD42" xr:uid="{00000000-0002-0000-4400-000000000000}">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55"/>
  <dimension ref="B1:AJ57"/>
  <sheetViews>
    <sheetView showGridLines="0" view="pageBreakPreview" zoomScale="90" zoomScaleNormal="100" zoomScaleSheetLayoutView="90" workbookViewId="0"/>
  </sheetViews>
  <sheetFormatPr defaultRowHeight="12.75" outlineLevelCol="1"/>
  <cols>
    <col min="1" max="1" width="2.83203125" style="118" customWidth="1"/>
    <col min="2" max="2" width="11.83203125" style="118" customWidth="1"/>
    <col min="3" max="3" width="28.83203125" style="118" customWidth="1"/>
    <col min="4" max="4" width="26.33203125" style="118" customWidth="1"/>
    <col min="5" max="5" width="26.33203125" style="118" hidden="1" customWidth="1" outlineLevel="1"/>
    <col min="6" max="6" width="10.1640625" style="118" bestFit="1" customWidth="1" collapsed="1"/>
    <col min="7" max="7" width="10" style="118" hidden="1" customWidth="1" outlineLevel="1"/>
    <col min="8" max="8" width="2.83203125" style="118" customWidth="1" collapsed="1"/>
    <col min="9" max="11" width="16.33203125" style="118" customWidth="1"/>
    <col min="12" max="12" width="15.6640625" style="118" customWidth="1"/>
    <col min="13" max="13" width="2.83203125" style="118" customWidth="1"/>
    <col min="14" max="16" width="19.1640625" style="118" customWidth="1"/>
    <col min="17" max="17" width="2.83203125" style="118" customWidth="1"/>
    <col min="18" max="20" width="11.33203125" style="118" customWidth="1"/>
    <col min="21" max="22" width="11.33203125" style="118" hidden="1" customWidth="1" outlineLevel="1"/>
    <col min="23" max="23" width="2.83203125" style="118" customWidth="1" collapsed="1"/>
    <col min="24" max="26" width="11.33203125" style="118" hidden="1" customWidth="1" outlineLevel="1"/>
    <col min="27" max="27" width="2.83203125" style="118" hidden="1" customWidth="1" outlineLevel="1"/>
    <col min="28" max="30" width="11.33203125" style="118" hidden="1" customWidth="1" outlineLevel="1"/>
    <col min="31" max="31" width="2.83203125" style="118" hidden="1" customWidth="1" outlineLevel="1"/>
    <col min="32" max="32" width="12.1640625" style="118" customWidth="1" collapsed="1"/>
    <col min="33" max="33" width="11.6640625" style="118" customWidth="1"/>
    <col min="34" max="34" width="2.83203125" style="118" customWidth="1"/>
    <col min="35" max="35" width="24.6640625" style="118" customWidth="1"/>
    <col min="36" max="36" width="51.1640625" style="118" customWidth="1"/>
    <col min="37" max="16384" width="9.33203125" style="118"/>
  </cols>
  <sheetData>
    <row r="1" spans="2:36" s="8" customFormat="1" ht="10.7" customHeight="1" thickBot="1"/>
    <row r="2" spans="2:36" s="8" customFormat="1" ht="16.5" customHeight="1" thickTop="1">
      <c r="B2" s="4" t="s">
        <v>645</v>
      </c>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I2" s="115" t="s">
        <v>87</v>
      </c>
      <c r="AJ2" s="143">
        <f>+'Capital IQ Sheet-STM'!AL2</f>
        <v>42704</v>
      </c>
    </row>
    <row r="3" spans="2:36" s="8" customFormat="1" ht="15.75" customHeight="1">
      <c r="B3" s="5" t="s">
        <v>790</v>
      </c>
      <c r="C3" s="5"/>
      <c r="D3" s="5"/>
      <c r="E3" s="5"/>
      <c r="F3" s="5"/>
      <c r="G3" s="5"/>
      <c r="H3" s="5"/>
      <c r="I3" s="5"/>
      <c r="J3" s="5"/>
      <c r="K3" s="5"/>
      <c r="L3" s="5"/>
      <c r="M3" s="5"/>
      <c r="N3" s="5"/>
      <c r="O3" s="5"/>
      <c r="P3" s="5"/>
      <c r="Q3" s="5"/>
      <c r="R3" s="5"/>
      <c r="S3" s="5"/>
      <c r="T3" s="5"/>
      <c r="U3" s="5"/>
      <c r="V3" s="5"/>
      <c r="W3" s="5"/>
      <c r="X3" s="5"/>
      <c r="Y3" s="5"/>
      <c r="Z3" s="5"/>
      <c r="AA3" s="5"/>
      <c r="AB3" s="5"/>
      <c r="AC3" s="5"/>
      <c r="AD3" s="5"/>
      <c r="AE3" s="5"/>
      <c r="AF3" s="5"/>
      <c r="AG3" s="5"/>
      <c r="AI3" s="49" t="s">
        <v>455</v>
      </c>
      <c r="AJ3" s="45" t="s">
        <v>457</v>
      </c>
    </row>
    <row r="4" spans="2:36" s="8" customFormat="1" ht="16.5" customHeight="1" thickBot="1">
      <c r="B4" s="6" t="s">
        <v>721</v>
      </c>
      <c r="C4" s="6"/>
      <c r="D4" s="6"/>
      <c r="E4" s="6"/>
      <c r="F4" s="6"/>
      <c r="G4" s="6"/>
      <c r="H4" s="6"/>
      <c r="I4" s="6"/>
      <c r="J4" s="6"/>
      <c r="K4" s="6"/>
      <c r="L4" s="6"/>
      <c r="M4" s="6"/>
      <c r="N4" s="7"/>
      <c r="O4" s="7"/>
      <c r="P4" s="7"/>
      <c r="Q4" s="7" t="s">
        <v>88</v>
      </c>
      <c r="R4" s="7"/>
      <c r="S4" s="7"/>
      <c r="T4" s="7"/>
      <c r="U4" s="7"/>
      <c r="V4" s="7"/>
      <c r="W4" s="7"/>
      <c r="X4" s="7"/>
      <c r="Y4" s="7"/>
      <c r="Z4" s="7"/>
      <c r="AA4" s="7"/>
      <c r="AB4" s="7"/>
      <c r="AC4" s="7"/>
      <c r="AD4" s="7"/>
      <c r="AE4" s="7"/>
      <c r="AF4" s="7"/>
      <c r="AG4" s="7"/>
      <c r="AI4" s="49" t="s">
        <v>456</v>
      </c>
      <c r="AJ4" s="45" t="s">
        <v>458</v>
      </c>
    </row>
    <row r="5" spans="2:36" s="8" customFormat="1" ht="12.75" customHeight="1" thickTop="1">
      <c r="AI5" s="17" t="s">
        <v>89</v>
      </c>
      <c r="AJ5" s="144" t="s">
        <v>90</v>
      </c>
    </row>
    <row r="6" spans="2:36" s="145" customFormat="1" ht="12.75" customHeight="1">
      <c r="C6" s="118"/>
      <c r="D6" s="146"/>
    </row>
    <row r="7" spans="2:36" s="145" customFormat="1" ht="12.75" customHeight="1">
      <c r="I7" s="147" t="s">
        <v>469</v>
      </c>
      <c r="J7" s="192"/>
      <c r="K7" s="192"/>
      <c r="L7" s="148"/>
      <c r="N7" s="147" t="s">
        <v>353</v>
      </c>
      <c r="O7" s="149"/>
      <c r="P7" s="148"/>
      <c r="R7" s="147" t="s">
        <v>352</v>
      </c>
      <c r="S7" s="149"/>
      <c r="T7" s="148"/>
      <c r="U7" s="149"/>
      <c r="V7" s="148"/>
      <c r="X7" s="147" t="s">
        <v>354</v>
      </c>
      <c r="Y7" s="149"/>
      <c r="Z7" s="148"/>
      <c r="AB7" s="147" t="s">
        <v>355</v>
      </c>
      <c r="AC7" s="149"/>
      <c r="AD7" s="148"/>
      <c r="AF7" s="147" t="s">
        <v>358</v>
      </c>
      <c r="AG7" s="150"/>
    </row>
    <row r="8" spans="2:36" s="154" customFormat="1" ht="30.75" customHeight="1">
      <c r="B8" s="151" t="s">
        <v>347</v>
      </c>
      <c r="C8" s="152" t="s">
        <v>846</v>
      </c>
      <c r="D8" s="152" t="s">
        <v>348</v>
      </c>
      <c r="E8" s="152" t="s">
        <v>473</v>
      </c>
      <c r="F8" s="153" t="s">
        <v>349</v>
      </c>
      <c r="G8" s="153" t="s">
        <v>351</v>
      </c>
      <c r="I8" s="151" t="s">
        <v>146</v>
      </c>
      <c r="J8" s="193" t="s">
        <v>1826</v>
      </c>
      <c r="K8" s="193" t="s">
        <v>1827</v>
      </c>
      <c r="L8" s="153" t="s">
        <v>470</v>
      </c>
      <c r="M8" s="155"/>
      <c r="N8" s="151" t="s">
        <v>160</v>
      </c>
      <c r="O8" s="152" t="s">
        <v>173</v>
      </c>
      <c r="P8" s="153" t="s">
        <v>174</v>
      </c>
      <c r="R8" s="151" t="s">
        <v>160</v>
      </c>
      <c r="S8" s="152" t="s">
        <v>173</v>
      </c>
      <c r="T8" s="153" t="s">
        <v>174</v>
      </c>
      <c r="U8" s="152" t="s">
        <v>471</v>
      </c>
      <c r="V8" s="153" t="s">
        <v>472</v>
      </c>
      <c r="X8" s="151" t="s">
        <v>160</v>
      </c>
      <c r="Y8" s="152" t="s">
        <v>173</v>
      </c>
      <c r="Z8" s="153" t="s">
        <v>174</v>
      </c>
      <c r="AB8" s="151" t="s">
        <v>160</v>
      </c>
      <c r="AC8" s="152" t="s">
        <v>173</v>
      </c>
      <c r="AD8" s="153" t="s">
        <v>174</v>
      </c>
      <c r="AF8" s="156" t="s">
        <v>356</v>
      </c>
      <c r="AG8" s="157" t="s">
        <v>357</v>
      </c>
      <c r="AI8" s="158" t="s">
        <v>350</v>
      </c>
    </row>
    <row r="9" spans="2:36" s="145" customFormat="1" ht="12.75" customHeight="1"/>
    <row r="10" spans="2:36" s="160" customFormat="1" ht="12.75" customHeight="1">
      <c r="B10" s="159" t="e">
        <f ca="1">_xll.ciqfunctions.udf.CIQ($AI10,"IQ_TR_CLOSED_DATE")</f>
        <v>#NAME?</v>
      </c>
      <c r="C10" s="160" t="e">
        <f ca="1">_xll.ciqfunctions.udf.CIQ($AI10,"IQ_TR_BUYERNAME")</f>
        <v>#NAME?</v>
      </c>
      <c r="D10" s="160" t="e">
        <f ca="1">_xll.ciqfunctions.udf.CIQ($AI10,"IQ_TR_TARGETNAME")</f>
        <v>#NAME?</v>
      </c>
      <c r="E10" s="160" t="e">
        <f ca="1">_xll.ciqfunctions.udf.CIQ($AI10, "IQ_PRIMARY_INDUSTRY")</f>
        <v>#NAME?</v>
      </c>
      <c r="F10" s="161" t="e">
        <f ca="1">_xll.ciqfunctions.udf.CIQ($AI10, "IQ_TR_PCT_SOUGHT")/100</f>
        <v>#NAME?</v>
      </c>
      <c r="G10" s="162" t="e">
        <f ca="1">_xll.ciqfunctions.udf.CIQ(AI10, "IQ_TR_MAJ_MIN_STAKE")</f>
        <v>#NAME?</v>
      </c>
      <c r="I10" s="163" t="e">
        <f ca="1">_xll.ciqfunctions.udf.CIQ($AI10, "IQ_TR_IMPLIED_EV_FINAL", , $AJ$4,$AJ$5)</f>
        <v>#NAME?</v>
      </c>
      <c r="J10" s="163" t="e">
        <f ca="1">IF(_xll.ciqfunctions.udf.CIQ(AI10, "IQ_TR_TOTAL_CASH")="n/a",0,_xll.ciqfunctions.udf.CIQ(AI10, "IQ_TR_TOTAL_CASH"))+IF(_xll.ciqfunctions.udf.CIQ(AI10, "IQ_TR_TOTAL_STOCK")="n/a",0,_xll.ciqfunctions.udf.CIQ(AI10, "IQ_TR_TOTAL_STOCK"))</f>
        <v>#NAME?</v>
      </c>
      <c r="K10" s="34" t="e">
        <f ca="1">_xll.ciqfunctions.udf.CIQ(AI10, "IQ_TR_EARNOUTS")</f>
        <v>#NAME?</v>
      </c>
      <c r="L10" s="163" t="e">
        <f ca="1">IF(_xll.ciqfunctions.udf.CIQ($AI10, "IQ_TR_TOTAL_GROSS_TV",$AJ$4,$AJ$5)=0,"NA",_xll.ciqfunctions.udf.CIQ($AI10, "IQ_TR_TOTAL_GROSS_TV",,"USD"))</f>
        <v>#NAME?</v>
      </c>
      <c r="M10" s="164"/>
      <c r="N10" s="163" t="e">
        <f ca="1">_xll.ciqfunctions.udf.CIQ($AI10, "IQ_TR_TARGET_TOTAL_REV",,$AJ$4,$AJ$5)</f>
        <v>#NAME?</v>
      </c>
      <c r="O10" s="163" t="e">
        <f ca="1">_xll.ciqfunctions.udf.CIQ($AI10, "IQ_TR_TARGET_EBITDA", , $AJ$4,$AJ$5)</f>
        <v>#NAME?</v>
      </c>
      <c r="P10" s="163" t="e">
        <f ca="1">_xll.ciqfunctions.udf.CIQ($AI10, "IQ_TR_TARGET_EBIT", , $AJ$4,$AJ$5)</f>
        <v>#NAME?</v>
      </c>
      <c r="Q10" s="164"/>
      <c r="R10" s="165" t="str">
        <f ca="1">IF(ISERROR($I10/N10), "n/a", $I10/N10)</f>
        <v>n/a</v>
      </c>
      <c r="S10" s="165" t="str">
        <f ca="1">IF(ISERROR($I10/O10), "n/a", $I10/O10)</f>
        <v>n/a</v>
      </c>
      <c r="T10" s="165" t="str">
        <f ca="1">IF(ISERROR($I10/P10), "n/a", $I10/P10)</f>
        <v>n/a</v>
      </c>
      <c r="U10" s="165" t="e">
        <f ca="1">IF(_xll.ciqfunctions.udf.CIQ($AI10, "IQ_TR_IMPLIED_EQ_BV")=0,"NA",_xll.ciqfunctions.udf.CIQ($AI10, "IQ_TR_IMPLIED_EQ_BV"))</f>
        <v>#NAME?</v>
      </c>
      <c r="V10" s="165" t="e">
        <f ca="1">IF(_xll.ciqfunctions.udf.CIQ($AI10, "IQ_TR_IMPLIED_EQ_NI_LTM")=0,"NA",_xll.ciqfunctions.udf.CIQ($AI10, "IQ_TR_IMPLIED_EQ_NI_LTM"))</f>
        <v>#NAME?</v>
      </c>
      <c r="W10" s="164"/>
      <c r="X10" s="163" t="e">
        <f ca="1">_xll.ciqfunctions.udf.CIQ($AI10, "IQ_TR_TARGET_REVENUE_EST",, $AJ$4,$AJ$5)</f>
        <v>#NAME?</v>
      </c>
      <c r="Y10" s="163" t="e">
        <f ca="1">_xll.ciqfunctions.udf.CIQ($AI10, "IQ_TR_TARGET_EBITDA_EST",, $AJ$4,$AJ$5)</f>
        <v>#NAME?</v>
      </c>
      <c r="Z10" s="163" t="e">
        <f ca="1">_xll.ciqfunctions.udf.CIQ(AI10, "IQ_TR_IMPLIED_EV_EBIT_FWD")</f>
        <v>#NAME?</v>
      </c>
      <c r="AA10" s="164"/>
      <c r="AB10" s="165" t="str">
        <f ca="1">IF(ISERROR($I10/X10), "n/a", $I10/X10)</f>
        <v>n/a</v>
      </c>
      <c r="AC10" s="165" t="str">
        <f ca="1">IF(ISERROR($I10/Y10), "n/a", $I10/Y10)</f>
        <v>n/a</v>
      </c>
      <c r="AD10" s="165" t="str">
        <f ca="1">IF(ISERROR($I10/Z10), "n/a", $I10/Z10)</f>
        <v>n/a</v>
      </c>
      <c r="AF10" s="166" t="e">
        <f ca="1">IF((_xll.ciqfunctions.udf.CIQ($AI10, "IQ_TR_TARGET_STOCKPREMIUM_1W")/100)&lt;=0,"NM",_xll.ciqfunctions.udf.CIQ($AI10, "IQ_TR_TARGET_STOCKPREMIUM_1W")/100)</f>
        <v>#NAME?</v>
      </c>
      <c r="AG10" s="166" t="e">
        <f ca="1">IF((_xll.ciqfunctions.udf.CIQ($AI10, "IQ_TR_TARGET_STOCKPREMIUM_1M")/100)&lt;=0,"NM",_xll.ciqfunctions.udf.CIQ($AI10, "IQ_TR_TARGET_STOCKPREMIUM_1M")/100)</f>
        <v>#NAME?</v>
      </c>
      <c r="AI10" s="167" t="str">
        <f>+'Capital IQ Sheet-STM'!AK10</f>
        <v>IQTR558560216</v>
      </c>
      <c r="AJ10" s="160" t="e">
        <f ca="1">_xll.ciqfunctions.udf.CIQ(AI10, "IQ_BUSINESS_DESCRIPTION")</f>
        <v>#NAME?</v>
      </c>
    </row>
    <row r="11" spans="2:36" s="160" customFormat="1" ht="12.75" customHeight="1">
      <c r="B11" s="159" t="e">
        <f ca="1">_xll.ciqfunctions.udf.CIQ($AI11,"IQ_TR_CLOSED_DATE")</f>
        <v>#NAME?</v>
      </c>
      <c r="C11" s="160" t="e">
        <f ca="1">_xll.ciqfunctions.udf.CIQ($AI11,"IQ_TR_BUYERNAME")</f>
        <v>#NAME?</v>
      </c>
      <c r="D11" s="160" t="e">
        <f ca="1">_xll.ciqfunctions.udf.CIQ($AI11,"IQ_TR_TARGETNAME")</f>
        <v>#NAME?</v>
      </c>
      <c r="E11" s="160" t="e">
        <f ca="1">_xll.ciqfunctions.udf.CIQ($AI11, "IQ_PRIMARY_INDUSTRY")</f>
        <v>#NAME?</v>
      </c>
      <c r="F11" s="161" t="e">
        <f ca="1">_xll.ciqfunctions.udf.CIQ($AI11, "IQ_TR_PCT_SOUGHT")/100</f>
        <v>#NAME?</v>
      </c>
      <c r="G11" s="162" t="e">
        <f ca="1">_xll.ciqfunctions.udf.CIQ(AI11, "IQ_TR_MAJ_MIN_STAKE")</f>
        <v>#NAME?</v>
      </c>
      <c r="I11" s="163" t="e">
        <f ca="1">_xll.ciqfunctions.udf.CIQ($AI11, "IQ_TR_IMPLIED_EV_FINAL", , $AJ$4,$AJ$5)</f>
        <v>#NAME?</v>
      </c>
      <c r="J11" s="163" t="e">
        <f ca="1">IF(_xll.ciqfunctions.udf.CIQ(AI11, "IQ_TR_TOTAL_CASH")="n/a",0,_xll.ciqfunctions.udf.CIQ(AI11, "IQ_TR_TOTAL_CASH"))+IF(_xll.ciqfunctions.udf.CIQ(AI11, "IQ_TR_TOTAL_STOCK")="n/a",0,_xll.ciqfunctions.udf.CIQ(AI11, "IQ_TR_TOTAL_STOCK"))</f>
        <v>#NAME?</v>
      </c>
      <c r="K11" s="34" t="e">
        <f ca="1">_xll.ciqfunctions.udf.CIQ(AI11, "IQ_TR_EARNOUTS")</f>
        <v>#NAME?</v>
      </c>
      <c r="L11" s="163" t="e">
        <f ca="1">IF(_xll.ciqfunctions.udf.CIQ($AI11, "IQ_TR_TOTAL_GROSS_TV",$AJ$4,$AJ$5)=0,"NA",_xll.ciqfunctions.udf.CIQ($AI11, "IQ_TR_TOTAL_GROSS_TV",,"USD"))</f>
        <v>#NAME?</v>
      </c>
      <c r="M11" s="164"/>
      <c r="N11" s="163" t="e">
        <f ca="1">_xll.ciqfunctions.udf.CIQ($AI11, "IQ_TR_TARGET_TOTAL_REV",,$AJ$4,$AJ$5)</f>
        <v>#NAME?</v>
      </c>
      <c r="O11" s="163" t="e">
        <f ca="1">_xll.ciqfunctions.udf.CIQ($AI11, "IQ_TR_TARGET_EBITDA", , $AJ$4,$AJ$5)</f>
        <v>#NAME?</v>
      </c>
      <c r="P11" s="163" t="e">
        <f ca="1">_xll.ciqfunctions.udf.CIQ($AI11, "IQ_TR_TARGET_EBIT", , $AJ$4,$AJ$5)</f>
        <v>#NAME?</v>
      </c>
      <c r="Q11" s="164"/>
      <c r="R11" s="165" t="str">
        <f t="shared" ref="R11:T29" ca="1" si="0">IF(ISERROR($I11/N11), "n/a", $I11/N11)</f>
        <v>n/a</v>
      </c>
      <c r="S11" s="165" t="str">
        <f t="shared" ca="1" si="0"/>
        <v>n/a</v>
      </c>
      <c r="T11" s="165" t="str">
        <f t="shared" ca="1" si="0"/>
        <v>n/a</v>
      </c>
      <c r="U11" s="165" t="e">
        <f ca="1">IF(_xll.ciqfunctions.udf.CIQ($AI11, "IQ_TR_IMPLIED_EQ_BV")=0,"NA",_xll.ciqfunctions.udf.CIQ($AI11, "IQ_TR_IMPLIED_EQ_BV"))</f>
        <v>#NAME?</v>
      </c>
      <c r="V11" s="165" t="e">
        <f ca="1">IF(_xll.ciqfunctions.udf.CIQ($AI11, "IQ_TR_IMPLIED_EQ_NI_LTM")=0,"NA",_xll.ciqfunctions.udf.CIQ($AI11, "IQ_TR_IMPLIED_EQ_NI_LTM"))</f>
        <v>#NAME?</v>
      </c>
      <c r="W11" s="164"/>
      <c r="X11" s="163" t="e">
        <f ca="1">_xll.ciqfunctions.udf.CIQ($AI11, "IQ_TR_TARGET_REVENUE_EST",, $AJ$4,$AJ$5)</f>
        <v>#NAME?</v>
      </c>
      <c r="Y11" s="163" t="e">
        <f ca="1">_xll.ciqfunctions.udf.CIQ($AI11, "IQ_TR_TARGET_EBITDA_EST",, $AJ$4,$AJ$5)</f>
        <v>#NAME?</v>
      </c>
      <c r="Z11" s="163" t="e">
        <f ca="1">_xll.ciqfunctions.udf.CIQ(AI11, "IQ_TR_IMPLIED_EV_EBIT_FWD")</f>
        <v>#NAME?</v>
      </c>
      <c r="AA11" s="164"/>
      <c r="AB11" s="165" t="str">
        <f t="shared" ref="AB11:AD29" ca="1" si="1">IF(ISERROR($I11/X11), "n/a", $I11/X11)</f>
        <v>n/a</v>
      </c>
      <c r="AC11" s="165" t="str">
        <f t="shared" ca="1" si="1"/>
        <v>n/a</v>
      </c>
      <c r="AD11" s="165" t="str">
        <f t="shared" ca="1" si="1"/>
        <v>n/a</v>
      </c>
      <c r="AF11" s="166" t="e">
        <f ca="1">IF((_xll.ciqfunctions.udf.CIQ($AI11, "IQ_TR_TARGET_STOCKPREMIUM_1W")/100)&lt;=0,"NM",_xll.ciqfunctions.udf.CIQ($AI11, "IQ_TR_TARGET_STOCKPREMIUM_1W")/100)</f>
        <v>#NAME?</v>
      </c>
      <c r="AG11" s="166" t="e">
        <f ca="1">IF((_xll.ciqfunctions.udf.CIQ($AI11, "IQ_TR_TARGET_STOCKPREMIUM_1M")/100)&lt;=0,"NM",_xll.ciqfunctions.udf.CIQ($AI11, "IQ_TR_TARGET_STOCKPREMIUM_1M")/100)</f>
        <v>#NAME?</v>
      </c>
      <c r="AI11" s="167" t="str">
        <f>+'Capital IQ Sheet-STM'!AK11</f>
        <v>IQTR537854831</v>
      </c>
      <c r="AJ11" s="160" t="e">
        <f ca="1">_xll.ciqfunctions.udf.CIQ(AI11, "IQ_BUSINESS_DESCRIPTION")</f>
        <v>#NAME?</v>
      </c>
    </row>
    <row r="12" spans="2:36" s="160" customFormat="1" ht="12.75" customHeight="1">
      <c r="B12" s="159" t="e">
        <f ca="1">_xll.ciqfunctions.udf.CIQ($AI12,"IQ_TR_CLOSED_DATE")</f>
        <v>#NAME?</v>
      </c>
      <c r="C12" s="160" t="e">
        <f ca="1">_xll.ciqfunctions.udf.CIQ($AI12,"IQ_TR_BUYERNAME")</f>
        <v>#NAME?</v>
      </c>
      <c r="D12" s="160" t="e">
        <f ca="1">_xll.ciqfunctions.udf.CIQ($AI12,"IQ_TR_TARGETNAME")</f>
        <v>#NAME?</v>
      </c>
      <c r="E12" s="160" t="e">
        <f ca="1">_xll.ciqfunctions.udf.CIQ($AI12, "IQ_PRIMARY_INDUSTRY")</f>
        <v>#NAME?</v>
      </c>
      <c r="F12" s="161" t="e">
        <f ca="1">_xll.ciqfunctions.udf.CIQ($AI12, "IQ_TR_PCT_SOUGHT")/100</f>
        <v>#NAME?</v>
      </c>
      <c r="G12" s="162" t="e">
        <f ca="1">_xll.ciqfunctions.udf.CIQ(AI12, "IQ_TR_MAJ_MIN_STAKE")</f>
        <v>#NAME?</v>
      </c>
      <c r="I12" s="163" t="e">
        <f ca="1">_xll.ciqfunctions.udf.CIQ($AI12, "IQ_TR_IMPLIED_EV_FINAL", , $AJ$4,$AJ$5)</f>
        <v>#NAME?</v>
      </c>
      <c r="J12" s="163" t="e">
        <f ca="1">IF(_xll.ciqfunctions.udf.CIQ(AI12, "IQ_TR_TOTAL_CASH")="n/a",0,_xll.ciqfunctions.udf.CIQ(AI12, "IQ_TR_TOTAL_CASH"))+IF(_xll.ciqfunctions.udf.CIQ(AI12, "IQ_TR_TOTAL_STOCK")="n/a",0,_xll.ciqfunctions.udf.CIQ(AI12, "IQ_TR_TOTAL_STOCK"))</f>
        <v>#NAME?</v>
      </c>
      <c r="K12" s="34" t="e">
        <f ca="1">_xll.ciqfunctions.udf.CIQ(AI12, "IQ_TR_EARNOUTS")</f>
        <v>#NAME?</v>
      </c>
      <c r="L12" s="163" t="e">
        <f ca="1">IF(_xll.ciqfunctions.udf.CIQ($AI12, "IQ_TR_TOTAL_GROSS_TV",$AJ$4,$AJ$5)=0,"NA",_xll.ciqfunctions.udf.CIQ($AI12, "IQ_TR_TOTAL_GROSS_TV",,"USD"))</f>
        <v>#NAME?</v>
      </c>
      <c r="M12" s="164"/>
      <c r="N12" s="163" t="e">
        <f ca="1">_xll.ciqfunctions.udf.CIQ($AI12, "IQ_TR_TARGET_TOTAL_REV",,$AJ$4,$AJ$5)</f>
        <v>#NAME?</v>
      </c>
      <c r="O12" s="163" t="e">
        <f ca="1">_xll.ciqfunctions.udf.CIQ($AI12, "IQ_TR_TARGET_EBITDA", , $AJ$4,$AJ$5)</f>
        <v>#NAME?</v>
      </c>
      <c r="P12" s="163" t="e">
        <f ca="1">_xll.ciqfunctions.udf.CIQ($AI12, "IQ_TR_TARGET_EBIT", , $AJ$4,$AJ$5)</f>
        <v>#NAME?</v>
      </c>
      <c r="Q12" s="164"/>
      <c r="R12" s="165" t="str">
        <f t="shared" ca="1" si="0"/>
        <v>n/a</v>
      </c>
      <c r="S12" s="165" t="str">
        <f t="shared" ca="1" si="0"/>
        <v>n/a</v>
      </c>
      <c r="T12" s="165" t="str">
        <f t="shared" ca="1" si="0"/>
        <v>n/a</v>
      </c>
      <c r="U12" s="165" t="e">
        <f ca="1">IF(_xll.ciqfunctions.udf.CIQ($AI12, "IQ_TR_IMPLIED_EQ_BV")=0,"NA",_xll.ciqfunctions.udf.CIQ($AI12, "IQ_TR_IMPLIED_EQ_BV"))</f>
        <v>#NAME?</v>
      </c>
      <c r="V12" s="165" t="e">
        <f ca="1">IF(_xll.ciqfunctions.udf.CIQ($AI12, "IQ_TR_IMPLIED_EQ_NI_LTM")=0,"NA",_xll.ciqfunctions.udf.CIQ($AI12, "IQ_TR_IMPLIED_EQ_NI_LTM"))</f>
        <v>#NAME?</v>
      </c>
      <c r="W12" s="164"/>
      <c r="X12" s="163" t="e">
        <f ca="1">_xll.ciqfunctions.udf.CIQ($AI12, "IQ_TR_TARGET_REVENUE_EST",, $AJ$4,$AJ$5)</f>
        <v>#NAME?</v>
      </c>
      <c r="Y12" s="163" t="e">
        <f ca="1">_xll.ciqfunctions.udf.CIQ($AI12, "IQ_TR_TARGET_EBITDA_EST",, $AJ$4,$AJ$5)</f>
        <v>#NAME?</v>
      </c>
      <c r="Z12" s="163" t="e">
        <f ca="1">_xll.ciqfunctions.udf.CIQ(AI12, "IQ_TR_IMPLIED_EV_EBIT_FWD")</f>
        <v>#NAME?</v>
      </c>
      <c r="AA12" s="164"/>
      <c r="AB12" s="165" t="str">
        <f t="shared" ca="1" si="1"/>
        <v>n/a</v>
      </c>
      <c r="AC12" s="165" t="str">
        <f t="shared" ca="1" si="1"/>
        <v>n/a</v>
      </c>
      <c r="AD12" s="165" t="str">
        <f t="shared" ca="1" si="1"/>
        <v>n/a</v>
      </c>
      <c r="AF12" s="166" t="e">
        <f ca="1">IF((_xll.ciqfunctions.udf.CIQ($AI12, "IQ_TR_TARGET_STOCKPREMIUM_1W")/100)&lt;=0,"NM",_xll.ciqfunctions.udf.CIQ($AI12, "IQ_TR_TARGET_STOCKPREMIUM_1W")/100)</f>
        <v>#NAME?</v>
      </c>
      <c r="AG12" s="166" t="e">
        <f ca="1">IF((_xll.ciqfunctions.udf.CIQ($AI12, "IQ_TR_TARGET_STOCKPREMIUM_1M")/100)&lt;=0,"NM",_xll.ciqfunctions.udf.CIQ($AI12, "IQ_TR_TARGET_STOCKPREMIUM_1M")/100)</f>
        <v>#NAME?</v>
      </c>
      <c r="AI12" s="167" t="str">
        <f>+'Capital IQ Sheet-STM'!AK12</f>
        <v>IQTR410389922</v>
      </c>
      <c r="AJ12" s="160" t="e">
        <f ca="1">_xll.ciqfunctions.udf.CIQ(AI12, "IQ_BUSINESS_DESCRIPTION")</f>
        <v>#NAME?</v>
      </c>
    </row>
    <row r="13" spans="2:36" s="160" customFormat="1" ht="12.75" customHeight="1">
      <c r="B13" s="159" t="e">
        <f ca="1">_xll.ciqfunctions.udf.CIQ($AI13,"IQ_TR_CLOSED_DATE")</f>
        <v>#NAME?</v>
      </c>
      <c r="C13" s="160" t="e">
        <f ca="1">_xll.ciqfunctions.udf.CIQ($AI13,"IQ_TR_BUYERNAME")</f>
        <v>#NAME?</v>
      </c>
      <c r="D13" s="160" t="e">
        <f ca="1">_xll.ciqfunctions.udf.CIQ($AI13,"IQ_TR_TARGETNAME")</f>
        <v>#NAME?</v>
      </c>
      <c r="E13" s="160" t="e">
        <f ca="1">_xll.ciqfunctions.udf.CIQ($AI13, "IQ_PRIMARY_INDUSTRY")</f>
        <v>#NAME?</v>
      </c>
      <c r="F13" s="161" t="e">
        <f ca="1">_xll.ciqfunctions.udf.CIQ($AI13, "IQ_TR_PCT_SOUGHT")/100</f>
        <v>#NAME?</v>
      </c>
      <c r="G13" s="162" t="e">
        <f ca="1">_xll.ciqfunctions.udf.CIQ(AI13, "IQ_TR_MAJ_MIN_STAKE")</f>
        <v>#NAME?</v>
      </c>
      <c r="I13" s="163" t="e">
        <f ca="1">_xll.ciqfunctions.udf.CIQ($AI13, "IQ_TR_IMPLIED_EV_FINAL", , $AJ$4,$AJ$5)</f>
        <v>#NAME?</v>
      </c>
      <c r="J13" s="163" t="e">
        <f ca="1">IF(_xll.ciqfunctions.udf.CIQ(AI13, "IQ_TR_TOTAL_CASH")="n/a",0,_xll.ciqfunctions.udf.CIQ(AI13, "IQ_TR_TOTAL_CASH"))+IF(_xll.ciqfunctions.udf.CIQ(AI13, "IQ_TR_TOTAL_STOCK")="n/a",0,_xll.ciqfunctions.udf.CIQ(AI13, "IQ_TR_TOTAL_STOCK"))</f>
        <v>#NAME?</v>
      </c>
      <c r="K13" s="34" t="e">
        <f ca="1">_xll.ciqfunctions.udf.CIQ(AI13, "IQ_TR_EARNOUTS")</f>
        <v>#NAME?</v>
      </c>
      <c r="L13" s="163" t="e">
        <f ca="1">IF(_xll.ciqfunctions.udf.CIQ($AI13, "IQ_TR_TOTAL_GROSS_TV",$AJ$4,$AJ$5)=0,"NA",_xll.ciqfunctions.udf.CIQ($AI13, "IQ_TR_TOTAL_GROSS_TV",,"USD"))</f>
        <v>#NAME?</v>
      </c>
      <c r="M13" s="164"/>
      <c r="N13" s="163" t="e">
        <f ca="1">_xll.ciqfunctions.udf.CIQ($AI13, "IQ_TR_TARGET_TOTAL_REV",,$AJ$4,$AJ$5)</f>
        <v>#NAME?</v>
      </c>
      <c r="O13" s="163" t="e">
        <f ca="1">_xll.ciqfunctions.udf.CIQ($AI13, "IQ_TR_TARGET_EBITDA", , $AJ$4,$AJ$5)</f>
        <v>#NAME?</v>
      </c>
      <c r="P13" s="163" t="e">
        <f ca="1">_xll.ciqfunctions.udf.CIQ($AI13, "IQ_TR_TARGET_EBIT", , $AJ$4,$AJ$5)</f>
        <v>#NAME?</v>
      </c>
      <c r="Q13" s="164"/>
      <c r="R13" s="165" t="str">
        <f t="shared" ca="1" si="0"/>
        <v>n/a</v>
      </c>
      <c r="S13" s="165" t="str">
        <f t="shared" ca="1" si="0"/>
        <v>n/a</v>
      </c>
      <c r="T13" s="165" t="str">
        <f t="shared" ca="1" si="0"/>
        <v>n/a</v>
      </c>
      <c r="U13" s="165" t="e">
        <f ca="1">IF(_xll.ciqfunctions.udf.CIQ($AI13, "IQ_TR_IMPLIED_EQ_BV")=0,"NA",_xll.ciqfunctions.udf.CIQ($AI13, "IQ_TR_IMPLIED_EQ_BV"))</f>
        <v>#NAME?</v>
      </c>
      <c r="V13" s="165" t="e">
        <f ca="1">IF(_xll.ciqfunctions.udf.CIQ($AI13, "IQ_TR_IMPLIED_EQ_NI_LTM")=0,"NA",_xll.ciqfunctions.udf.CIQ($AI13, "IQ_TR_IMPLIED_EQ_NI_LTM"))</f>
        <v>#NAME?</v>
      </c>
      <c r="W13" s="164"/>
      <c r="X13" s="163" t="e">
        <f ca="1">_xll.ciqfunctions.udf.CIQ($AI13, "IQ_TR_TARGET_REVENUE_EST",, $AJ$4,$AJ$5)</f>
        <v>#NAME?</v>
      </c>
      <c r="Y13" s="163" t="e">
        <f ca="1">_xll.ciqfunctions.udf.CIQ($AI13, "IQ_TR_TARGET_EBITDA_EST",, $AJ$4,$AJ$5)</f>
        <v>#NAME?</v>
      </c>
      <c r="Z13" s="163" t="e">
        <f ca="1">_xll.ciqfunctions.udf.CIQ(AI13, "IQ_TR_IMPLIED_EV_EBIT_FWD")</f>
        <v>#NAME?</v>
      </c>
      <c r="AA13" s="164"/>
      <c r="AB13" s="165" t="str">
        <f t="shared" ca="1" si="1"/>
        <v>n/a</v>
      </c>
      <c r="AC13" s="165" t="str">
        <f t="shared" ca="1" si="1"/>
        <v>n/a</v>
      </c>
      <c r="AD13" s="165" t="str">
        <f t="shared" ca="1" si="1"/>
        <v>n/a</v>
      </c>
      <c r="AF13" s="166" t="e">
        <f ca="1">IF((_xll.ciqfunctions.udf.CIQ($AI13, "IQ_TR_TARGET_STOCKPREMIUM_1W")/100)&lt;=0,"NM",_xll.ciqfunctions.udf.CIQ($AI13, "IQ_TR_TARGET_STOCKPREMIUM_1W")/100)</f>
        <v>#NAME?</v>
      </c>
      <c r="AG13" s="166" t="e">
        <f ca="1">IF((_xll.ciqfunctions.udf.CIQ($AI13, "IQ_TR_TARGET_STOCKPREMIUM_1M")/100)&lt;=0,"NM",_xll.ciqfunctions.udf.CIQ($AI13, "IQ_TR_TARGET_STOCKPREMIUM_1M")/100)</f>
        <v>#NAME?</v>
      </c>
      <c r="AI13" s="167" t="str">
        <f>+'Capital IQ Sheet-STM'!AK13</f>
        <v>IQTR410083422</v>
      </c>
      <c r="AJ13" s="160" t="e">
        <f ca="1">_xll.ciqfunctions.udf.CIQ(AI13, "IQ_BUSINESS_DESCRIPTION")</f>
        <v>#NAME?</v>
      </c>
    </row>
    <row r="14" spans="2:36" s="160" customFormat="1" ht="12.75" customHeight="1">
      <c r="B14" s="159" t="e">
        <f ca="1">_xll.ciqfunctions.udf.CIQ($AI14,"IQ_TR_CLOSED_DATE")</f>
        <v>#NAME?</v>
      </c>
      <c r="C14" s="160" t="e">
        <f ca="1">_xll.ciqfunctions.udf.CIQ($AI14,"IQ_TR_BUYERNAME")</f>
        <v>#NAME?</v>
      </c>
      <c r="D14" s="160" t="e">
        <f ca="1">_xll.ciqfunctions.udf.CIQ($AI14,"IQ_TR_TARGETNAME")</f>
        <v>#NAME?</v>
      </c>
      <c r="E14" s="160" t="e">
        <f ca="1">_xll.ciqfunctions.udf.CIQ($AI14, "IQ_PRIMARY_INDUSTRY")</f>
        <v>#NAME?</v>
      </c>
      <c r="F14" s="161" t="e">
        <f ca="1">_xll.ciqfunctions.udf.CIQ($AI14, "IQ_TR_PCT_SOUGHT")/100</f>
        <v>#NAME?</v>
      </c>
      <c r="G14" s="162" t="e">
        <f ca="1">_xll.ciqfunctions.udf.CIQ(AI14, "IQ_TR_MAJ_MIN_STAKE")</f>
        <v>#NAME?</v>
      </c>
      <c r="I14" s="163" t="e">
        <f ca="1">_xll.ciqfunctions.udf.CIQ($AI14, "IQ_TR_IMPLIED_EV_FINAL", , $AJ$4,$AJ$5)</f>
        <v>#NAME?</v>
      </c>
      <c r="J14" s="163" t="e">
        <f ca="1">IF(_xll.ciqfunctions.udf.CIQ(AI14, "IQ_TR_TOTAL_CASH")="n/a",0,_xll.ciqfunctions.udf.CIQ(AI14, "IQ_TR_TOTAL_CASH"))+IF(_xll.ciqfunctions.udf.CIQ(AI14, "IQ_TR_TOTAL_STOCK")="n/a",0,_xll.ciqfunctions.udf.CIQ(AI14, "IQ_TR_TOTAL_STOCK"))</f>
        <v>#NAME?</v>
      </c>
      <c r="K14" s="34" t="e">
        <f ca="1">_xll.ciqfunctions.udf.CIQ(AI14, "IQ_TR_EARNOUTS")</f>
        <v>#NAME?</v>
      </c>
      <c r="L14" s="163" t="e">
        <f ca="1">IF(_xll.ciqfunctions.udf.CIQ($AI14, "IQ_TR_TOTAL_GROSS_TV",$AJ$4,$AJ$5)=0,"NA",_xll.ciqfunctions.udf.CIQ($AI14, "IQ_TR_TOTAL_GROSS_TV",,"USD"))</f>
        <v>#NAME?</v>
      </c>
      <c r="M14" s="164"/>
      <c r="N14" s="163" t="e">
        <f ca="1">_xll.ciqfunctions.udf.CIQ($AI14, "IQ_TR_TARGET_TOTAL_REV",,$AJ$4,$AJ$5)</f>
        <v>#NAME?</v>
      </c>
      <c r="O14" s="163" t="e">
        <f ca="1">_xll.ciqfunctions.udf.CIQ($AI14, "IQ_TR_TARGET_EBITDA", , $AJ$4,$AJ$5)</f>
        <v>#NAME?</v>
      </c>
      <c r="P14" s="163" t="e">
        <f ca="1">_xll.ciqfunctions.udf.CIQ($AI14, "IQ_TR_TARGET_EBIT", , $AJ$4,$AJ$5)</f>
        <v>#NAME?</v>
      </c>
      <c r="Q14" s="164"/>
      <c r="R14" s="165" t="str">
        <f t="shared" ca="1" si="0"/>
        <v>n/a</v>
      </c>
      <c r="S14" s="165" t="str">
        <f t="shared" ca="1" si="0"/>
        <v>n/a</v>
      </c>
      <c r="T14" s="165" t="str">
        <f t="shared" ca="1" si="0"/>
        <v>n/a</v>
      </c>
      <c r="U14" s="165" t="e">
        <f ca="1">IF(_xll.ciqfunctions.udf.CIQ($AI14, "IQ_TR_IMPLIED_EQ_BV")=0,"NA",_xll.ciqfunctions.udf.CIQ($AI14, "IQ_TR_IMPLIED_EQ_BV"))</f>
        <v>#NAME?</v>
      </c>
      <c r="V14" s="165" t="e">
        <f ca="1">IF(_xll.ciqfunctions.udf.CIQ($AI14, "IQ_TR_IMPLIED_EQ_NI_LTM")=0,"NA",_xll.ciqfunctions.udf.CIQ($AI14, "IQ_TR_IMPLIED_EQ_NI_LTM"))</f>
        <v>#NAME?</v>
      </c>
      <c r="W14" s="164"/>
      <c r="X14" s="163" t="e">
        <f ca="1">_xll.ciqfunctions.udf.CIQ($AI14, "IQ_TR_TARGET_REVENUE_EST",, $AJ$4,$AJ$5)</f>
        <v>#NAME?</v>
      </c>
      <c r="Y14" s="163" t="e">
        <f ca="1">_xll.ciqfunctions.udf.CIQ($AI14, "IQ_TR_TARGET_EBITDA_EST",, $AJ$4,$AJ$5)</f>
        <v>#NAME?</v>
      </c>
      <c r="Z14" s="163" t="e">
        <f ca="1">_xll.ciqfunctions.udf.CIQ(AI14, "IQ_TR_IMPLIED_EV_EBIT_FWD")</f>
        <v>#NAME?</v>
      </c>
      <c r="AA14" s="164"/>
      <c r="AB14" s="165" t="str">
        <f t="shared" ca="1" si="1"/>
        <v>n/a</v>
      </c>
      <c r="AC14" s="165" t="str">
        <f t="shared" ca="1" si="1"/>
        <v>n/a</v>
      </c>
      <c r="AD14" s="165" t="str">
        <f t="shared" ca="1" si="1"/>
        <v>n/a</v>
      </c>
      <c r="AF14" s="166" t="e">
        <f ca="1">IF((_xll.ciqfunctions.udf.CIQ($AI14, "IQ_TR_TARGET_STOCKPREMIUM_1W")/100)&lt;=0,"NM",_xll.ciqfunctions.udf.CIQ($AI14, "IQ_TR_TARGET_STOCKPREMIUM_1W")/100)</f>
        <v>#NAME?</v>
      </c>
      <c r="AG14" s="166" t="e">
        <f ca="1">IF((_xll.ciqfunctions.udf.CIQ($AI14, "IQ_TR_TARGET_STOCKPREMIUM_1M")/100)&lt;=0,"NM",_xll.ciqfunctions.udf.CIQ($AI14, "IQ_TR_TARGET_STOCKPREMIUM_1M")/100)</f>
        <v>#NAME?</v>
      </c>
      <c r="AI14" s="167" t="str">
        <f>+'Capital IQ Sheet-STM'!AK14</f>
        <v>IQTR401979689</v>
      </c>
      <c r="AJ14" s="160" t="e">
        <f ca="1">_xll.ciqfunctions.udf.CIQ(AI14, "IQ_BUSINESS_DESCRIPTION")</f>
        <v>#NAME?</v>
      </c>
    </row>
    <row r="15" spans="2:36" s="160" customFormat="1" ht="12.75" customHeight="1">
      <c r="B15" s="159" t="e">
        <f ca="1">_xll.ciqfunctions.udf.CIQ($AI15,"IQ_TR_CLOSED_DATE")</f>
        <v>#NAME?</v>
      </c>
      <c r="C15" s="160" t="e">
        <f ca="1">_xll.ciqfunctions.udf.CIQ($AI15,"IQ_TR_BUYERNAME")</f>
        <v>#NAME?</v>
      </c>
      <c r="D15" s="160" t="e">
        <f ca="1">_xll.ciqfunctions.udf.CIQ($AI15,"IQ_TR_TARGETNAME")</f>
        <v>#NAME?</v>
      </c>
      <c r="E15" s="160" t="e">
        <f ca="1">_xll.ciqfunctions.udf.CIQ($AI15, "IQ_PRIMARY_INDUSTRY")</f>
        <v>#NAME?</v>
      </c>
      <c r="F15" s="161" t="e">
        <f ca="1">_xll.ciqfunctions.udf.CIQ($AI15, "IQ_TR_PCT_SOUGHT")/100</f>
        <v>#NAME?</v>
      </c>
      <c r="G15" s="162" t="e">
        <f ca="1">_xll.ciqfunctions.udf.CIQ(AI15, "IQ_TR_MAJ_MIN_STAKE")</f>
        <v>#NAME?</v>
      </c>
      <c r="I15" s="163" t="e">
        <f ca="1">_xll.ciqfunctions.udf.CIQ($AI15, "IQ_TR_IMPLIED_EV_FINAL", , $AJ$4,$AJ$5)</f>
        <v>#NAME?</v>
      </c>
      <c r="J15" s="163" t="e">
        <f ca="1">IF(_xll.ciqfunctions.udf.CIQ(AI15, "IQ_TR_TOTAL_CASH")="n/a",0,_xll.ciqfunctions.udf.CIQ(AI15, "IQ_TR_TOTAL_CASH"))+IF(_xll.ciqfunctions.udf.CIQ(AI15, "IQ_TR_TOTAL_STOCK")="n/a",0,_xll.ciqfunctions.udf.CIQ(AI15, "IQ_TR_TOTAL_STOCK"))</f>
        <v>#NAME?</v>
      </c>
      <c r="K15" s="34" t="e">
        <f ca="1">_xll.ciqfunctions.udf.CIQ(AI15, "IQ_TR_EARNOUTS")</f>
        <v>#NAME?</v>
      </c>
      <c r="L15" s="163" t="e">
        <f ca="1">IF(_xll.ciqfunctions.udf.CIQ($AI15, "IQ_TR_TOTAL_GROSS_TV",$AJ$4,$AJ$5)=0,"NA",_xll.ciqfunctions.udf.CIQ($AI15, "IQ_TR_TOTAL_GROSS_TV",,"USD"))</f>
        <v>#NAME?</v>
      </c>
      <c r="M15" s="164"/>
      <c r="N15" s="163" t="e">
        <f ca="1">_xll.ciqfunctions.udf.CIQ($AI15, "IQ_TR_TARGET_TOTAL_REV",,$AJ$4,$AJ$5)</f>
        <v>#NAME?</v>
      </c>
      <c r="O15" s="163" t="e">
        <f ca="1">_xll.ciqfunctions.udf.CIQ($AI15, "IQ_TR_TARGET_EBITDA", , $AJ$4,$AJ$5)</f>
        <v>#NAME?</v>
      </c>
      <c r="P15" s="163" t="e">
        <f ca="1">_xll.ciqfunctions.udf.CIQ($AI15, "IQ_TR_TARGET_EBIT", , $AJ$4,$AJ$5)</f>
        <v>#NAME?</v>
      </c>
      <c r="Q15" s="164"/>
      <c r="R15" s="165" t="str">
        <f t="shared" ca="1" si="0"/>
        <v>n/a</v>
      </c>
      <c r="S15" s="165" t="str">
        <f t="shared" ca="1" si="0"/>
        <v>n/a</v>
      </c>
      <c r="T15" s="165" t="str">
        <f t="shared" ca="1" si="0"/>
        <v>n/a</v>
      </c>
      <c r="U15" s="165" t="e">
        <f ca="1">IF(_xll.ciqfunctions.udf.CIQ($AI15, "IQ_TR_IMPLIED_EQ_BV")=0,"NA",_xll.ciqfunctions.udf.CIQ($AI15, "IQ_TR_IMPLIED_EQ_BV"))</f>
        <v>#NAME?</v>
      </c>
      <c r="V15" s="165" t="e">
        <f ca="1">IF(_xll.ciqfunctions.udf.CIQ($AI15, "IQ_TR_IMPLIED_EQ_NI_LTM")=0,"NA",_xll.ciqfunctions.udf.CIQ($AI15, "IQ_TR_IMPLIED_EQ_NI_LTM"))</f>
        <v>#NAME?</v>
      </c>
      <c r="W15" s="164"/>
      <c r="X15" s="163" t="e">
        <f ca="1">_xll.ciqfunctions.udf.CIQ($AI15, "IQ_TR_TARGET_REVENUE_EST",, $AJ$4,$AJ$5)</f>
        <v>#NAME?</v>
      </c>
      <c r="Y15" s="163" t="e">
        <f ca="1">_xll.ciqfunctions.udf.CIQ($AI15, "IQ_TR_TARGET_EBITDA_EST",, $AJ$4,$AJ$5)</f>
        <v>#NAME?</v>
      </c>
      <c r="Z15" s="163" t="e">
        <f ca="1">_xll.ciqfunctions.udf.CIQ(AI15, "IQ_TR_IMPLIED_EV_EBIT_FWD")</f>
        <v>#NAME?</v>
      </c>
      <c r="AA15" s="164"/>
      <c r="AB15" s="165" t="str">
        <f t="shared" ca="1" si="1"/>
        <v>n/a</v>
      </c>
      <c r="AC15" s="165" t="str">
        <f t="shared" ca="1" si="1"/>
        <v>n/a</v>
      </c>
      <c r="AD15" s="165" t="str">
        <f t="shared" ca="1" si="1"/>
        <v>n/a</v>
      </c>
      <c r="AF15" s="166" t="e">
        <f ca="1">IF((_xll.ciqfunctions.udf.CIQ($AI15, "IQ_TR_TARGET_STOCKPREMIUM_1W")/100)&lt;=0,"NM",_xll.ciqfunctions.udf.CIQ($AI15, "IQ_TR_TARGET_STOCKPREMIUM_1W")/100)</f>
        <v>#NAME?</v>
      </c>
      <c r="AG15" s="166" t="e">
        <f ca="1">IF((_xll.ciqfunctions.udf.CIQ($AI15, "IQ_TR_TARGET_STOCKPREMIUM_1M")/100)&lt;=0,"NM",_xll.ciqfunctions.udf.CIQ($AI15, "IQ_TR_TARGET_STOCKPREMIUM_1M")/100)</f>
        <v>#NAME?</v>
      </c>
      <c r="AI15" s="167" t="str">
        <f>+'Capital IQ Sheet-STM'!AK15</f>
        <v>IQTR382898165</v>
      </c>
      <c r="AJ15" s="160" t="e">
        <f ca="1">_xll.ciqfunctions.udf.CIQ(AI15, "IQ_BUSINESS_DESCRIPTION")</f>
        <v>#NAME?</v>
      </c>
    </row>
    <row r="16" spans="2:36" s="160" customFormat="1" ht="12.75" customHeight="1">
      <c r="B16" s="159" t="e">
        <f ca="1">_xll.ciqfunctions.udf.CIQ($AI16,"IQ_TR_CLOSED_DATE")</f>
        <v>#NAME?</v>
      </c>
      <c r="C16" s="160" t="e">
        <f ca="1">_xll.ciqfunctions.udf.CIQ($AI16,"IQ_TR_BUYERNAME")</f>
        <v>#NAME?</v>
      </c>
      <c r="D16" s="160" t="e">
        <f ca="1">_xll.ciqfunctions.udf.CIQ($AI16,"IQ_TR_TARGETNAME")</f>
        <v>#NAME?</v>
      </c>
      <c r="E16" s="160" t="e">
        <f ca="1">_xll.ciqfunctions.udf.CIQ($AI16, "IQ_PRIMARY_INDUSTRY")</f>
        <v>#NAME?</v>
      </c>
      <c r="F16" s="161" t="e">
        <f ca="1">_xll.ciqfunctions.udf.CIQ($AI16, "IQ_TR_PCT_SOUGHT")/100</f>
        <v>#NAME?</v>
      </c>
      <c r="G16" s="162" t="e">
        <f ca="1">_xll.ciqfunctions.udf.CIQ(AI16, "IQ_TR_MAJ_MIN_STAKE")</f>
        <v>#NAME?</v>
      </c>
      <c r="I16" s="163" t="e">
        <f ca="1">_xll.ciqfunctions.udf.CIQ($AI16, "IQ_TR_IMPLIED_EV_FINAL", , $AJ$4,$AJ$5)</f>
        <v>#NAME?</v>
      </c>
      <c r="J16" s="163" t="e">
        <f ca="1">IF(_xll.ciqfunctions.udf.CIQ(AI16, "IQ_TR_TOTAL_CASH")="n/a",0,_xll.ciqfunctions.udf.CIQ(AI16, "IQ_TR_TOTAL_CASH"))+IF(_xll.ciqfunctions.udf.CIQ(AI16, "IQ_TR_TOTAL_STOCK")="n/a",0,_xll.ciqfunctions.udf.CIQ(AI16, "IQ_TR_TOTAL_STOCK"))</f>
        <v>#NAME?</v>
      </c>
      <c r="K16" s="34" t="e">
        <f ca="1">_xll.ciqfunctions.udf.CIQ(AI16, "IQ_TR_EARNOUTS")</f>
        <v>#NAME?</v>
      </c>
      <c r="L16" s="163" t="e">
        <f ca="1">IF(_xll.ciqfunctions.udf.CIQ($AI16, "IQ_TR_TOTAL_GROSS_TV",$AJ$4,$AJ$5)=0,"NA",_xll.ciqfunctions.udf.CIQ($AI16, "IQ_TR_TOTAL_GROSS_TV",,"USD"))</f>
        <v>#NAME?</v>
      </c>
      <c r="M16" s="164"/>
      <c r="N16" s="163" t="e">
        <f ca="1">_xll.ciqfunctions.udf.CIQ($AI16, "IQ_TR_TARGET_TOTAL_REV",,$AJ$4,$AJ$5)</f>
        <v>#NAME?</v>
      </c>
      <c r="O16" s="163" t="e">
        <f ca="1">_xll.ciqfunctions.udf.CIQ($AI16, "IQ_TR_TARGET_EBITDA", , $AJ$4,$AJ$5)</f>
        <v>#NAME?</v>
      </c>
      <c r="P16" s="163" t="e">
        <f ca="1">_xll.ciqfunctions.udf.CIQ($AI16, "IQ_TR_TARGET_EBIT", , $AJ$4,$AJ$5)</f>
        <v>#NAME?</v>
      </c>
      <c r="Q16" s="164"/>
      <c r="R16" s="165" t="str">
        <f t="shared" ca="1" si="0"/>
        <v>n/a</v>
      </c>
      <c r="S16" s="165" t="str">
        <f t="shared" ca="1" si="0"/>
        <v>n/a</v>
      </c>
      <c r="T16" s="165" t="str">
        <f t="shared" ca="1" si="0"/>
        <v>n/a</v>
      </c>
      <c r="U16" s="165" t="e">
        <f ca="1">IF(_xll.ciqfunctions.udf.CIQ($AI16, "IQ_TR_IMPLIED_EQ_BV")=0,"NA",_xll.ciqfunctions.udf.CIQ($AI16, "IQ_TR_IMPLIED_EQ_BV"))</f>
        <v>#NAME?</v>
      </c>
      <c r="V16" s="165" t="e">
        <f ca="1">IF(_xll.ciqfunctions.udf.CIQ($AI16, "IQ_TR_IMPLIED_EQ_NI_LTM")=0,"NA",_xll.ciqfunctions.udf.CIQ($AI16, "IQ_TR_IMPLIED_EQ_NI_LTM"))</f>
        <v>#NAME?</v>
      </c>
      <c r="W16" s="164"/>
      <c r="X16" s="163" t="e">
        <f ca="1">_xll.ciqfunctions.udf.CIQ($AI16, "IQ_TR_TARGET_REVENUE_EST",, $AJ$4,$AJ$5)</f>
        <v>#NAME?</v>
      </c>
      <c r="Y16" s="163" t="e">
        <f ca="1">_xll.ciqfunctions.udf.CIQ($AI16, "IQ_TR_TARGET_EBITDA_EST",, $AJ$4,$AJ$5)</f>
        <v>#NAME?</v>
      </c>
      <c r="Z16" s="163" t="e">
        <f ca="1">_xll.ciqfunctions.udf.CIQ(AI16, "IQ_TR_IMPLIED_EV_EBIT_FWD")</f>
        <v>#NAME?</v>
      </c>
      <c r="AA16" s="164"/>
      <c r="AB16" s="165" t="str">
        <f t="shared" ca="1" si="1"/>
        <v>n/a</v>
      </c>
      <c r="AC16" s="165" t="str">
        <f t="shared" ca="1" si="1"/>
        <v>n/a</v>
      </c>
      <c r="AD16" s="165" t="str">
        <f t="shared" ca="1" si="1"/>
        <v>n/a</v>
      </c>
      <c r="AF16" s="166" t="e">
        <f ca="1">IF((_xll.ciqfunctions.udf.CIQ($AI16, "IQ_TR_TARGET_STOCKPREMIUM_1W")/100)&lt;=0,"NM",_xll.ciqfunctions.udf.CIQ($AI16, "IQ_TR_TARGET_STOCKPREMIUM_1W")/100)</f>
        <v>#NAME?</v>
      </c>
      <c r="AG16" s="166" t="e">
        <f ca="1">IF((_xll.ciqfunctions.udf.CIQ($AI16, "IQ_TR_TARGET_STOCKPREMIUM_1M")/100)&lt;=0,"NM",_xll.ciqfunctions.udf.CIQ($AI16, "IQ_TR_TARGET_STOCKPREMIUM_1M")/100)</f>
        <v>#NAME?</v>
      </c>
      <c r="AI16" s="167" t="str">
        <f>+'Capital IQ Sheet-STM'!AK16</f>
        <v>IQTR324288605</v>
      </c>
      <c r="AJ16" s="160" t="e">
        <f ca="1">_xll.ciqfunctions.udf.CIQ(AI16, "IQ_BUSINESS_DESCRIPTION")</f>
        <v>#NAME?</v>
      </c>
    </row>
    <row r="17" spans="2:36" s="160" customFormat="1" ht="12.75" customHeight="1">
      <c r="B17" s="159" t="e">
        <f ca="1">_xll.ciqfunctions.udf.CIQ($AI17,"IQ_TR_CLOSED_DATE")</f>
        <v>#NAME?</v>
      </c>
      <c r="C17" s="160" t="e">
        <f ca="1">_xll.ciqfunctions.udf.CIQ($AI17,"IQ_TR_BUYERNAME")</f>
        <v>#NAME?</v>
      </c>
      <c r="D17" s="160" t="e">
        <f ca="1">_xll.ciqfunctions.udf.CIQ($AI17,"IQ_TR_TARGETNAME")</f>
        <v>#NAME?</v>
      </c>
      <c r="E17" s="160" t="e">
        <f ca="1">_xll.ciqfunctions.udf.CIQ($AI17, "IQ_PRIMARY_INDUSTRY")</f>
        <v>#NAME?</v>
      </c>
      <c r="F17" s="161" t="e">
        <f ca="1">_xll.ciqfunctions.udf.CIQ($AI17, "IQ_TR_PCT_SOUGHT")/100</f>
        <v>#NAME?</v>
      </c>
      <c r="G17" s="162" t="e">
        <f ca="1">_xll.ciqfunctions.udf.CIQ(AI17, "IQ_TR_MAJ_MIN_STAKE")</f>
        <v>#NAME?</v>
      </c>
      <c r="I17" s="163" t="e">
        <f ca="1">_xll.ciqfunctions.udf.CIQ($AI17, "IQ_TR_IMPLIED_EV_FINAL", , $AJ$4,$AJ$5)</f>
        <v>#NAME?</v>
      </c>
      <c r="J17" s="163" t="e">
        <f ca="1">IF(_xll.ciqfunctions.udf.CIQ(AI17, "IQ_TR_TOTAL_CASH")="n/a",0,_xll.ciqfunctions.udf.CIQ(AI17, "IQ_TR_TOTAL_CASH"))+IF(_xll.ciqfunctions.udf.CIQ(AI17, "IQ_TR_TOTAL_STOCK")="n/a",0,_xll.ciqfunctions.udf.CIQ(AI17, "IQ_TR_TOTAL_STOCK"))</f>
        <v>#NAME?</v>
      </c>
      <c r="K17" s="34" t="e">
        <f ca="1">_xll.ciqfunctions.udf.CIQ(AI17, "IQ_TR_EARNOUTS")</f>
        <v>#NAME?</v>
      </c>
      <c r="L17" s="163" t="e">
        <f ca="1">IF(_xll.ciqfunctions.udf.CIQ($AI17, "IQ_TR_TOTAL_GROSS_TV",$AJ$4,$AJ$5)=0,"NA",_xll.ciqfunctions.udf.CIQ($AI17, "IQ_TR_TOTAL_GROSS_TV",,"USD"))</f>
        <v>#NAME?</v>
      </c>
      <c r="M17" s="164"/>
      <c r="N17" s="163" t="e">
        <f ca="1">_xll.ciqfunctions.udf.CIQ($AI17, "IQ_TR_TARGET_TOTAL_REV",,$AJ$4,$AJ$5)</f>
        <v>#NAME?</v>
      </c>
      <c r="O17" s="163" t="e">
        <f ca="1">_xll.ciqfunctions.udf.CIQ($AI17, "IQ_TR_TARGET_EBITDA", , $AJ$4,$AJ$5)</f>
        <v>#NAME?</v>
      </c>
      <c r="P17" s="163" t="e">
        <f ca="1">_xll.ciqfunctions.udf.CIQ($AI17, "IQ_TR_TARGET_EBIT", , $AJ$4,$AJ$5)</f>
        <v>#NAME?</v>
      </c>
      <c r="Q17" s="164"/>
      <c r="R17" s="165" t="str">
        <f t="shared" ca="1" si="0"/>
        <v>n/a</v>
      </c>
      <c r="S17" s="165" t="str">
        <f t="shared" ca="1" si="0"/>
        <v>n/a</v>
      </c>
      <c r="T17" s="165" t="str">
        <f t="shared" ca="1" si="0"/>
        <v>n/a</v>
      </c>
      <c r="U17" s="165" t="e">
        <f ca="1">IF(_xll.ciqfunctions.udf.CIQ($AI17, "IQ_TR_IMPLIED_EQ_BV")=0,"NA",_xll.ciqfunctions.udf.CIQ($AI17, "IQ_TR_IMPLIED_EQ_BV"))</f>
        <v>#NAME?</v>
      </c>
      <c r="V17" s="165" t="e">
        <f ca="1">IF(_xll.ciqfunctions.udf.CIQ($AI17, "IQ_TR_IMPLIED_EQ_NI_LTM")=0,"NA",_xll.ciqfunctions.udf.CIQ($AI17, "IQ_TR_IMPLIED_EQ_NI_LTM"))</f>
        <v>#NAME?</v>
      </c>
      <c r="W17" s="164"/>
      <c r="X17" s="163" t="e">
        <f ca="1">_xll.ciqfunctions.udf.CIQ($AI17, "IQ_TR_TARGET_REVENUE_EST",, $AJ$4,$AJ$5)</f>
        <v>#NAME?</v>
      </c>
      <c r="Y17" s="163" t="e">
        <f ca="1">_xll.ciqfunctions.udf.CIQ($AI17, "IQ_TR_TARGET_EBITDA_EST",, $AJ$4,$AJ$5)</f>
        <v>#NAME?</v>
      </c>
      <c r="Z17" s="163" t="e">
        <f ca="1">_xll.ciqfunctions.udf.CIQ(AI17, "IQ_TR_IMPLIED_EV_EBIT_FWD")</f>
        <v>#NAME?</v>
      </c>
      <c r="AA17" s="164"/>
      <c r="AB17" s="165" t="str">
        <f t="shared" ca="1" si="1"/>
        <v>n/a</v>
      </c>
      <c r="AC17" s="165" t="str">
        <f t="shared" ca="1" si="1"/>
        <v>n/a</v>
      </c>
      <c r="AD17" s="165" t="str">
        <f t="shared" ca="1" si="1"/>
        <v>n/a</v>
      </c>
      <c r="AF17" s="166" t="e">
        <f ca="1">IF((_xll.ciqfunctions.udf.CIQ($AI17, "IQ_TR_TARGET_STOCKPREMIUM_1W")/100)&lt;=0,"NM",_xll.ciqfunctions.udf.CIQ($AI17, "IQ_TR_TARGET_STOCKPREMIUM_1W")/100)</f>
        <v>#NAME?</v>
      </c>
      <c r="AG17" s="166" t="e">
        <f ca="1">IF((_xll.ciqfunctions.udf.CIQ($AI17, "IQ_TR_TARGET_STOCKPREMIUM_1M")/100)&lt;=0,"NM",_xll.ciqfunctions.udf.CIQ($AI17, "IQ_TR_TARGET_STOCKPREMIUM_1M")/100)</f>
        <v>#NAME?</v>
      </c>
      <c r="AI17" s="167" t="str">
        <f>+'Capital IQ Sheet-STM'!AK17</f>
        <v>IQTR327555148</v>
      </c>
      <c r="AJ17" s="160" t="e">
        <f ca="1">_xll.ciqfunctions.udf.CIQ(AI17, "IQ_BUSINESS_DESCRIPTION")</f>
        <v>#NAME?</v>
      </c>
    </row>
    <row r="18" spans="2:36" s="160" customFormat="1" ht="12.75" customHeight="1">
      <c r="B18" s="159" t="e">
        <f ca="1">_xll.ciqfunctions.udf.CIQ($AI18,"IQ_TR_CLOSED_DATE")</f>
        <v>#NAME?</v>
      </c>
      <c r="C18" s="160" t="e">
        <f ca="1">_xll.ciqfunctions.udf.CIQ($AI18,"IQ_TR_BUYERNAME")</f>
        <v>#NAME?</v>
      </c>
      <c r="D18" s="160" t="e">
        <f ca="1">_xll.ciqfunctions.udf.CIQ($AI18,"IQ_TR_TARGETNAME")</f>
        <v>#NAME?</v>
      </c>
      <c r="E18" s="160" t="e">
        <f ca="1">_xll.ciqfunctions.udf.CIQ($AI18, "IQ_PRIMARY_INDUSTRY")</f>
        <v>#NAME?</v>
      </c>
      <c r="F18" s="161" t="e">
        <f ca="1">_xll.ciqfunctions.udf.CIQ($AI18, "IQ_TR_PCT_SOUGHT")/100</f>
        <v>#NAME?</v>
      </c>
      <c r="G18" s="162" t="e">
        <f ca="1">_xll.ciqfunctions.udf.CIQ(AI18, "IQ_TR_MAJ_MIN_STAKE")</f>
        <v>#NAME?</v>
      </c>
      <c r="I18" s="163" t="e">
        <f ca="1">_xll.ciqfunctions.udf.CIQ($AI18, "IQ_TR_IMPLIED_EV_FINAL", , $AJ$4,$AJ$5)</f>
        <v>#NAME?</v>
      </c>
      <c r="J18" s="163" t="e">
        <f ca="1">IF(_xll.ciqfunctions.udf.CIQ(AI18, "IQ_TR_TOTAL_CASH")="n/a",0,_xll.ciqfunctions.udf.CIQ(AI18, "IQ_TR_TOTAL_CASH"))+IF(_xll.ciqfunctions.udf.CIQ(AI18, "IQ_TR_TOTAL_STOCK")="n/a",0,_xll.ciqfunctions.udf.CIQ(AI18, "IQ_TR_TOTAL_STOCK"))</f>
        <v>#NAME?</v>
      </c>
      <c r="K18" s="34" t="e">
        <f ca="1">_xll.ciqfunctions.udf.CIQ(AI18, "IQ_TR_EARNOUTS")</f>
        <v>#NAME?</v>
      </c>
      <c r="L18" s="163" t="e">
        <f ca="1">IF(_xll.ciqfunctions.udf.CIQ($AI18, "IQ_TR_TOTAL_GROSS_TV",$AJ$4,$AJ$5)=0,"NA",_xll.ciqfunctions.udf.CIQ($AI18, "IQ_TR_TOTAL_GROSS_TV",,"USD"))</f>
        <v>#NAME?</v>
      </c>
      <c r="M18" s="164"/>
      <c r="N18" s="163" t="e">
        <f ca="1">_xll.ciqfunctions.udf.CIQ($AI18, "IQ_TR_TARGET_TOTAL_REV",,$AJ$4,$AJ$5)</f>
        <v>#NAME?</v>
      </c>
      <c r="O18" s="163" t="e">
        <f ca="1">_xll.ciqfunctions.udf.CIQ($AI18, "IQ_TR_TARGET_EBITDA", , $AJ$4,$AJ$5)</f>
        <v>#NAME?</v>
      </c>
      <c r="P18" s="163" t="e">
        <f ca="1">_xll.ciqfunctions.udf.CIQ($AI18, "IQ_TR_TARGET_EBIT", , $AJ$4,$AJ$5)</f>
        <v>#NAME?</v>
      </c>
      <c r="Q18" s="164"/>
      <c r="R18" s="165" t="str">
        <f t="shared" ca="1" si="0"/>
        <v>n/a</v>
      </c>
      <c r="S18" s="165" t="str">
        <f t="shared" ca="1" si="0"/>
        <v>n/a</v>
      </c>
      <c r="T18" s="165" t="str">
        <f t="shared" ca="1" si="0"/>
        <v>n/a</v>
      </c>
      <c r="U18" s="165" t="e">
        <f ca="1">IF(_xll.ciqfunctions.udf.CIQ($AI18, "IQ_TR_IMPLIED_EQ_BV")=0,"NA",_xll.ciqfunctions.udf.CIQ($AI18, "IQ_TR_IMPLIED_EQ_BV"))</f>
        <v>#NAME?</v>
      </c>
      <c r="V18" s="165" t="e">
        <f ca="1">IF(_xll.ciqfunctions.udf.CIQ($AI18, "IQ_TR_IMPLIED_EQ_NI_LTM")=0,"NA",_xll.ciqfunctions.udf.CIQ($AI18, "IQ_TR_IMPLIED_EQ_NI_LTM"))</f>
        <v>#NAME?</v>
      </c>
      <c r="W18" s="164"/>
      <c r="X18" s="163" t="e">
        <f ca="1">_xll.ciqfunctions.udf.CIQ($AI18, "IQ_TR_TARGET_REVENUE_EST",, $AJ$4,$AJ$5)</f>
        <v>#NAME?</v>
      </c>
      <c r="Y18" s="163" t="e">
        <f ca="1">_xll.ciqfunctions.udf.CIQ($AI18, "IQ_TR_TARGET_EBITDA_EST",, $AJ$4,$AJ$5)</f>
        <v>#NAME?</v>
      </c>
      <c r="Z18" s="163" t="e">
        <f ca="1">_xll.ciqfunctions.udf.CIQ(AI18, "IQ_TR_IMPLIED_EV_EBIT_FWD")</f>
        <v>#NAME?</v>
      </c>
      <c r="AA18" s="164"/>
      <c r="AB18" s="165" t="str">
        <f t="shared" ca="1" si="1"/>
        <v>n/a</v>
      </c>
      <c r="AC18" s="165" t="str">
        <f t="shared" ca="1" si="1"/>
        <v>n/a</v>
      </c>
      <c r="AD18" s="165" t="str">
        <f t="shared" ca="1" si="1"/>
        <v>n/a</v>
      </c>
      <c r="AF18" s="166" t="e">
        <f ca="1">IF((_xll.ciqfunctions.udf.CIQ($AI18, "IQ_TR_TARGET_STOCKPREMIUM_1W")/100)&lt;=0,"NM",_xll.ciqfunctions.udf.CIQ($AI18, "IQ_TR_TARGET_STOCKPREMIUM_1W")/100)</f>
        <v>#NAME?</v>
      </c>
      <c r="AG18" s="166" t="e">
        <f ca="1">IF((_xll.ciqfunctions.udf.CIQ($AI18, "IQ_TR_TARGET_STOCKPREMIUM_1M")/100)&lt;=0,"NM",_xll.ciqfunctions.udf.CIQ($AI18, "IQ_TR_TARGET_STOCKPREMIUM_1M")/100)</f>
        <v>#NAME?</v>
      </c>
      <c r="AI18" s="167" t="str">
        <f>+'Capital IQ Sheet-STM'!AK18</f>
        <v>IQTR310480269</v>
      </c>
      <c r="AJ18" s="160" t="e">
        <f ca="1">_xll.ciqfunctions.udf.CIQ(AI18, "IQ_BUSINESS_DESCRIPTION")</f>
        <v>#NAME?</v>
      </c>
    </row>
    <row r="19" spans="2:36" s="160" customFormat="1" ht="12.75" customHeight="1">
      <c r="B19" s="159" t="e">
        <f ca="1">_xll.ciqfunctions.udf.CIQ($AI19,"IQ_TR_CLOSED_DATE")</f>
        <v>#NAME?</v>
      </c>
      <c r="C19" s="160" t="e">
        <f ca="1">_xll.ciqfunctions.udf.CIQ($AI19,"IQ_TR_BUYERNAME")</f>
        <v>#NAME?</v>
      </c>
      <c r="D19" s="160" t="e">
        <f ca="1">_xll.ciqfunctions.udf.CIQ($AI19,"IQ_TR_TARGETNAME")</f>
        <v>#NAME?</v>
      </c>
      <c r="E19" s="160" t="e">
        <f ca="1">_xll.ciqfunctions.udf.CIQ($AI19, "IQ_PRIMARY_INDUSTRY")</f>
        <v>#NAME?</v>
      </c>
      <c r="F19" s="161" t="e">
        <f ca="1">_xll.ciqfunctions.udf.CIQ($AI19, "IQ_TR_PCT_SOUGHT")/100</f>
        <v>#NAME?</v>
      </c>
      <c r="G19" s="162" t="e">
        <f ca="1">_xll.ciqfunctions.udf.CIQ(AI19, "IQ_TR_MAJ_MIN_STAKE")</f>
        <v>#NAME?</v>
      </c>
      <c r="I19" s="163" t="e">
        <f ca="1">_xll.ciqfunctions.udf.CIQ($AI19, "IQ_TR_IMPLIED_EV_FINAL", , $AJ$4,$AJ$5)</f>
        <v>#NAME?</v>
      </c>
      <c r="J19" s="163" t="e">
        <f ca="1">IF(_xll.ciqfunctions.udf.CIQ(AI19, "IQ_TR_TOTAL_CASH")="n/a",0,_xll.ciqfunctions.udf.CIQ(AI19, "IQ_TR_TOTAL_CASH"))+IF(_xll.ciqfunctions.udf.CIQ(AI19, "IQ_TR_TOTAL_STOCK")="n/a",0,_xll.ciqfunctions.udf.CIQ(AI19, "IQ_TR_TOTAL_STOCK"))</f>
        <v>#NAME?</v>
      </c>
      <c r="K19" s="34" t="e">
        <f ca="1">_xll.ciqfunctions.udf.CIQ(AI19, "IQ_TR_EARNOUTS")</f>
        <v>#NAME?</v>
      </c>
      <c r="L19" s="163" t="e">
        <f ca="1">IF(_xll.ciqfunctions.udf.CIQ($AI19, "IQ_TR_TOTAL_GROSS_TV",$AJ$4,$AJ$5)=0,"NA",_xll.ciqfunctions.udf.CIQ($AI19, "IQ_TR_TOTAL_GROSS_TV",,"USD"))</f>
        <v>#NAME?</v>
      </c>
      <c r="M19" s="164"/>
      <c r="N19" s="163" t="e">
        <f ca="1">_xll.ciqfunctions.udf.CIQ($AI19, "IQ_TR_TARGET_TOTAL_REV",,$AJ$4,$AJ$5)</f>
        <v>#NAME?</v>
      </c>
      <c r="O19" s="163" t="e">
        <f ca="1">_xll.ciqfunctions.udf.CIQ($AI19, "IQ_TR_TARGET_EBITDA", , $AJ$4,$AJ$5)</f>
        <v>#NAME?</v>
      </c>
      <c r="P19" s="163" t="e">
        <f ca="1">_xll.ciqfunctions.udf.CIQ($AI19, "IQ_TR_TARGET_EBIT", , $AJ$4,$AJ$5)</f>
        <v>#NAME?</v>
      </c>
      <c r="Q19" s="164"/>
      <c r="R19" s="165" t="str">
        <f t="shared" ca="1" si="0"/>
        <v>n/a</v>
      </c>
      <c r="S19" s="165" t="str">
        <f t="shared" ca="1" si="0"/>
        <v>n/a</v>
      </c>
      <c r="T19" s="165" t="str">
        <f t="shared" ca="1" si="0"/>
        <v>n/a</v>
      </c>
      <c r="U19" s="165" t="e">
        <f ca="1">IF(_xll.ciqfunctions.udf.CIQ($AI19, "IQ_TR_IMPLIED_EQ_BV")=0,"NA",_xll.ciqfunctions.udf.CIQ($AI19, "IQ_TR_IMPLIED_EQ_BV"))</f>
        <v>#NAME?</v>
      </c>
      <c r="V19" s="165" t="e">
        <f ca="1">IF(_xll.ciqfunctions.udf.CIQ($AI19, "IQ_TR_IMPLIED_EQ_NI_LTM")=0,"NA",_xll.ciqfunctions.udf.CIQ($AI19, "IQ_TR_IMPLIED_EQ_NI_LTM"))</f>
        <v>#NAME?</v>
      </c>
      <c r="W19" s="164"/>
      <c r="X19" s="163" t="e">
        <f ca="1">_xll.ciqfunctions.udf.CIQ($AI19, "IQ_TR_TARGET_REVENUE_EST",, $AJ$4,$AJ$5)</f>
        <v>#NAME?</v>
      </c>
      <c r="Y19" s="163" t="e">
        <f ca="1">_xll.ciqfunctions.udf.CIQ($AI19, "IQ_TR_TARGET_EBITDA_EST",, $AJ$4,$AJ$5)</f>
        <v>#NAME?</v>
      </c>
      <c r="Z19" s="163" t="e">
        <f ca="1">_xll.ciqfunctions.udf.CIQ(AI19, "IQ_TR_IMPLIED_EV_EBIT_FWD")</f>
        <v>#NAME?</v>
      </c>
      <c r="AA19" s="164"/>
      <c r="AB19" s="165" t="str">
        <f t="shared" ca="1" si="1"/>
        <v>n/a</v>
      </c>
      <c r="AC19" s="165" t="str">
        <f t="shared" ca="1" si="1"/>
        <v>n/a</v>
      </c>
      <c r="AD19" s="165" t="str">
        <f t="shared" ca="1" si="1"/>
        <v>n/a</v>
      </c>
      <c r="AF19" s="166" t="e">
        <f ca="1">IF((_xll.ciqfunctions.udf.CIQ($AI19, "IQ_TR_TARGET_STOCKPREMIUM_1W")/100)&lt;=0,"NM",_xll.ciqfunctions.udf.CIQ($AI19, "IQ_TR_TARGET_STOCKPREMIUM_1W")/100)</f>
        <v>#NAME?</v>
      </c>
      <c r="AG19" s="166" t="e">
        <f ca="1">IF((_xll.ciqfunctions.udf.CIQ($AI19, "IQ_TR_TARGET_STOCKPREMIUM_1M")/100)&lt;=0,"NM",_xll.ciqfunctions.udf.CIQ($AI19, "IQ_TR_TARGET_STOCKPREMIUM_1M")/100)</f>
        <v>#NAME?</v>
      </c>
      <c r="AI19" s="167" t="str">
        <f>+'Capital IQ Sheet-STM'!AK19</f>
        <v>IQTR296628817</v>
      </c>
      <c r="AJ19" s="160" t="e">
        <f ca="1">_xll.ciqfunctions.udf.CIQ(AI19, "IQ_BUSINESS_DESCRIPTION")</f>
        <v>#NAME?</v>
      </c>
    </row>
    <row r="20" spans="2:36" s="160" customFormat="1" ht="12.75" customHeight="1">
      <c r="B20" s="159" t="e">
        <f ca="1">_xll.ciqfunctions.udf.CIQ($AI20,"IQ_TR_CLOSED_DATE")</f>
        <v>#NAME?</v>
      </c>
      <c r="C20" s="160" t="e">
        <f ca="1">_xll.ciqfunctions.udf.CIQ($AI20,"IQ_TR_BUYERNAME")</f>
        <v>#NAME?</v>
      </c>
      <c r="D20" s="160" t="e">
        <f ca="1">_xll.ciqfunctions.udf.CIQ($AI20,"IQ_TR_TARGETNAME")</f>
        <v>#NAME?</v>
      </c>
      <c r="E20" s="160" t="e">
        <f ca="1">_xll.ciqfunctions.udf.CIQ($AI20, "IQ_PRIMARY_INDUSTRY")</f>
        <v>#NAME?</v>
      </c>
      <c r="F20" s="161" t="e">
        <f ca="1">_xll.ciqfunctions.udf.CIQ($AI20, "IQ_TR_PCT_SOUGHT")/100</f>
        <v>#NAME?</v>
      </c>
      <c r="G20" s="162" t="e">
        <f ca="1">_xll.ciqfunctions.udf.CIQ(AI20, "IQ_TR_MAJ_MIN_STAKE")</f>
        <v>#NAME?</v>
      </c>
      <c r="I20" s="163" t="e">
        <f ca="1">_xll.ciqfunctions.udf.CIQ($AI20, "IQ_TR_IMPLIED_EV_FINAL", , $AJ$4,$AJ$5)</f>
        <v>#NAME?</v>
      </c>
      <c r="J20" s="163" t="e">
        <f ca="1">IF(_xll.ciqfunctions.udf.CIQ(AI20, "IQ_TR_TOTAL_CASH")="n/a",0,_xll.ciqfunctions.udf.CIQ(AI20, "IQ_TR_TOTAL_CASH"))+IF(_xll.ciqfunctions.udf.CIQ(AI20, "IQ_TR_TOTAL_STOCK")="n/a",0,_xll.ciqfunctions.udf.CIQ(AI20, "IQ_TR_TOTAL_STOCK"))</f>
        <v>#NAME?</v>
      </c>
      <c r="K20" s="34" t="e">
        <f ca="1">_xll.ciqfunctions.udf.CIQ(AI20, "IQ_TR_EARNOUTS")</f>
        <v>#NAME?</v>
      </c>
      <c r="L20" s="163" t="e">
        <f ca="1">IF(_xll.ciqfunctions.udf.CIQ($AI20, "IQ_TR_TOTAL_GROSS_TV",$AJ$4,$AJ$5)=0,"NA",_xll.ciqfunctions.udf.CIQ($AI20, "IQ_TR_TOTAL_GROSS_TV",,"USD"))</f>
        <v>#NAME?</v>
      </c>
      <c r="M20" s="164"/>
      <c r="N20" s="163" t="e">
        <f ca="1">_xll.ciqfunctions.udf.CIQ($AI20, "IQ_TR_TARGET_TOTAL_REV",,$AJ$4,$AJ$5)</f>
        <v>#NAME?</v>
      </c>
      <c r="O20" s="163" t="e">
        <f ca="1">_xll.ciqfunctions.udf.CIQ($AI20, "IQ_TR_TARGET_EBITDA", , $AJ$4,$AJ$5)</f>
        <v>#NAME?</v>
      </c>
      <c r="P20" s="163" t="e">
        <f ca="1">_xll.ciqfunctions.udf.CIQ($AI20, "IQ_TR_TARGET_EBIT", , $AJ$4,$AJ$5)</f>
        <v>#NAME?</v>
      </c>
      <c r="Q20" s="164"/>
      <c r="R20" s="165" t="str">
        <f t="shared" ca="1" si="0"/>
        <v>n/a</v>
      </c>
      <c r="S20" s="165" t="str">
        <f t="shared" ca="1" si="0"/>
        <v>n/a</v>
      </c>
      <c r="T20" s="165" t="str">
        <f t="shared" ca="1" si="0"/>
        <v>n/a</v>
      </c>
      <c r="U20" s="165" t="e">
        <f ca="1">IF(_xll.ciqfunctions.udf.CIQ($AI20, "IQ_TR_IMPLIED_EQ_BV")=0,"NA",_xll.ciqfunctions.udf.CIQ($AI20, "IQ_TR_IMPLIED_EQ_BV"))</f>
        <v>#NAME?</v>
      </c>
      <c r="V20" s="165" t="e">
        <f ca="1">IF(_xll.ciqfunctions.udf.CIQ($AI20, "IQ_TR_IMPLIED_EQ_NI_LTM")=0,"NA",_xll.ciqfunctions.udf.CIQ($AI20, "IQ_TR_IMPLIED_EQ_NI_LTM"))</f>
        <v>#NAME?</v>
      </c>
      <c r="W20" s="164"/>
      <c r="X20" s="163" t="e">
        <f ca="1">_xll.ciqfunctions.udf.CIQ($AI20, "IQ_TR_TARGET_REVENUE_EST",, $AJ$4,$AJ$5)</f>
        <v>#NAME?</v>
      </c>
      <c r="Y20" s="163" t="e">
        <f ca="1">_xll.ciqfunctions.udf.CIQ($AI20, "IQ_TR_TARGET_EBITDA_EST",, $AJ$4,$AJ$5)</f>
        <v>#NAME?</v>
      </c>
      <c r="Z20" s="163" t="e">
        <f ca="1">_xll.ciqfunctions.udf.CIQ(AI20, "IQ_TR_IMPLIED_EV_EBIT_FWD")</f>
        <v>#NAME?</v>
      </c>
      <c r="AA20" s="164"/>
      <c r="AB20" s="165" t="str">
        <f t="shared" ca="1" si="1"/>
        <v>n/a</v>
      </c>
      <c r="AC20" s="165" t="str">
        <f t="shared" ca="1" si="1"/>
        <v>n/a</v>
      </c>
      <c r="AD20" s="165" t="str">
        <f t="shared" ca="1" si="1"/>
        <v>n/a</v>
      </c>
      <c r="AF20" s="166" t="e">
        <f ca="1">IF((_xll.ciqfunctions.udf.CIQ($AI20, "IQ_TR_TARGET_STOCKPREMIUM_1W")/100)&lt;=0,"NM",_xll.ciqfunctions.udf.CIQ($AI20, "IQ_TR_TARGET_STOCKPREMIUM_1W")/100)</f>
        <v>#NAME?</v>
      </c>
      <c r="AG20" s="166" t="e">
        <f ca="1">IF((_xll.ciqfunctions.udf.CIQ($AI20, "IQ_TR_TARGET_STOCKPREMIUM_1M")/100)&lt;=0,"NM",_xll.ciqfunctions.udf.CIQ($AI20, "IQ_TR_TARGET_STOCKPREMIUM_1M")/100)</f>
        <v>#NAME?</v>
      </c>
      <c r="AI20" s="167" t="str">
        <f>+'Capital IQ Sheet-STM'!AK20</f>
        <v>IQTR287251428</v>
      </c>
      <c r="AJ20" s="160" t="e">
        <f ca="1">_xll.ciqfunctions.udf.CIQ(AI20, "IQ_BUSINESS_DESCRIPTION")</f>
        <v>#NAME?</v>
      </c>
    </row>
    <row r="21" spans="2:36" s="160" customFormat="1" ht="12.75" customHeight="1">
      <c r="B21" s="159" t="e">
        <f ca="1">_xll.ciqfunctions.udf.CIQ($AI21,"IQ_TR_CLOSED_DATE")</f>
        <v>#NAME?</v>
      </c>
      <c r="C21" s="160" t="e">
        <f ca="1">_xll.ciqfunctions.udf.CIQ($AI21,"IQ_TR_BUYERNAME")</f>
        <v>#NAME?</v>
      </c>
      <c r="D21" s="160" t="e">
        <f ca="1">_xll.ciqfunctions.udf.CIQ($AI21,"IQ_TR_TARGETNAME")</f>
        <v>#NAME?</v>
      </c>
      <c r="E21" s="160" t="e">
        <f ca="1">_xll.ciqfunctions.udf.CIQ($AI21, "IQ_PRIMARY_INDUSTRY")</f>
        <v>#NAME?</v>
      </c>
      <c r="F21" s="161" t="e">
        <f ca="1">_xll.ciqfunctions.udf.CIQ($AI21, "IQ_TR_PCT_SOUGHT")/100</f>
        <v>#NAME?</v>
      </c>
      <c r="G21" s="162" t="e">
        <f ca="1">_xll.ciqfunctions.udf.CIQ(AI21, "IQ_TR_MAJ_MIN_STAKE")</f>
        <v>#NAME?</v>
      </c>
      <c r="I21" s="163" t="e">
        <f ca="1">_xll.ciqfunctions.udf.CIQ($AI21, "IQ_TR_IMPLIED_EV_FINAL", , $AJ$4,$AJ$5)</f>
        <v>#NAME?</v>
      </c>
      <c r="J21" s="163" t="e">
        <f ca="1">IF(_xll.ciqfunctions.udf.CIQ(AI21, "IQ_TR_TOTAL_CASH")="n/a",0,_xll.ciqfunctions.udf.CIQ(AI21, "IQ_TR_TOTAL_CASH"))+IF(_xll.ciqfunctions.udf.CIQ(AI21, "IQ_TR_TOTAL_STOCK")="n/a",0,_xll.ciqfunctions.udf.CIQ(AI21, "IQ_TR_TOTAL_STOCK"))</f>
        <v>#NAME?</v>
      </c>
      <c r="K21" s="34" t="e">
        <f ca="1">_xll.ciqfunctions.udf.CIQ(AI21, "IQ_TR_EARNOUTS")</f>
        <v>#NAME?</v>
      </c>
      <c r="L21" s="163" t="e">
        <f ca="1">IF(_xll.ciqfunctions.udf.CIQ($AI21, "IQ_TR_TOTAL_GROSS_TV",$AJ$4,$AJ$5)=0,"NA",_xll.ciqfunctions.udf.CIQ($AI21, "IQ_TR_TOTAL_GROSS_TV",,"USD"))</f>
        <v>#NAME?</v>
      </c>
      <c r="M21" s="164"/>
      <c r="N21" s="163" t="e">
        <f ca="1">_xll.ciqfunctions.udf.CIQ($AI21, "IQ_TR_TARGET_TOTAL_REV",,$AJ$4,$AJ$5)</f>
        <v>#NAME?</v>
      </c>
      <c r="O21" s="163" t="e">
        <f ca="1">_xll.ciqfunctions.udf.CIQ($AI21, "IQ_TR_TARGET_EBITDA", , $AJ$4,$AJ$5)</f>
        <v>#NAME?</v>
      </c>
      <c r="P21" s="163" t="e">
        <f ca="1">_xll.ciqfunctions.udf.CIQ($AI21, "IQ_TR_TARGET_EBIT", , $AJ$4,$AJ$5)</f>
        <v>#NAME?</v>
      </c>
      <c r="Q21" s="164"/>
      <c r="R21" s="165" t="str">
        <f t="shared" ca="1" si="0"/>
        <v>n/a</v>
      </c>
      <c r="S21" s="165" t="str">
        <f t="shared" ca="1" si="0"/>
        <v>n/a</v>
      </c>
      <c r="T21" s="165" t="str">
        <f t="shared" ca="1" si="0"/>
        <v>n/a</v>
      </c>
      <c r="U21" s="165" t="e">
        <f ca="1">IF(_xll.ciqfunctions.udf.CIQ($AI21, "IQ_TR_IMPLIED_EQ_BV")=0,"NA",_xll.ciqfunctions.udf.CIQ($AI21, "IQ_TR_IMPLIED_EQ_BV"))</f>
        <v>#NAME?</v>
      </c>
      <c r="V21" s="165" t="e">
        <f ca="1">IF(_xll.ciqfunctions.udf.CIQ($AI21, "IQ_TR_IMPLIED_EQ_NI_LTM")=0,"NA",_xll.ciqfunctions.udf.CIQ($AI21, "IQ_TR_IMPLIED_EQ_NI_LTM"))</f>
        <v>#NAME?</v>
      </c>
      <c r="W21" s="164"/>
      <c r="X21" s="163" t="e">
        <f ca="1">_xll.ciqfunctions.udf.CIQ($AI21, "IQ_TR_TARGET_REVENUE_EST",, $AJ$4,$AJ$5)</f>
        <v>#NAME?</v>
      </c>
      <c r="Y21" s="163" t="e">
        <f ca="1">_xll.ciqfunctions.udf.CIQ($AI21, "IQ_TR_TARGET_EBITDA_EST",, $AJ$4,$AJ$5)</f>
        <v>#NAME?</v>
      </c>
      <c r="Z21" s="163" t="e">
        <f ca="1">_xll.ciqfunctions.udf.CIQ(AI21, "IQ_TR_IMPLIED_EV_EBIT_FWD")</f>
        <v>#NAME?</v>
      </c>
      <c r="AA21" s="164"/>
      <c r="AB21" s="165" t="str">
        <f t="shared" ca="1" si="1"/>
        <v>n/a</v>
      </c>
      <c r="AC21" s="165" t="str">
        <f t="shared" ca="1" si="1"/>
        <v>n/a</v>
      </c>
      <c r="AD21" s="165" t="str">
        <f t="shared" ca="1" si="1"/>
        <v>n/a</v>
      </c>
      <c r="AF21" s="166" t="e">
        <f ca="1">IF((_xll.ciqfunctions.udf.CIQ($AI21, "IQ_TR_TARGET_STOCKPREMIUM_1W")/100)&lt;=0,"NM",_xll.ciqfunctions.udf.CIQ($AI21, "IQ_TR_TARGET_STOCKPREMIUM_1W")/100)</f>
        <v>#NAME?</v>
      </c>
      <c r="AG21" s="166" t="e">
        <f ca="1">IF((_xll.ciqfunctions.udf.CIQ($AI21, "IQ_TR_TARGET_STOCKPREMIUM_1M")/100)&lt;=0,"NM",_xll.ciqfunctions.udf.CIQ($AI21, "IQ_TR_TARGET_STOCKPREMIUM_1M")/100)</f>
        <v>#NAME?</v>
      </c>
      <c r="AI21" s="167" t="str">
        <f>+'Capital IQ Sheet-STM'!AK21</f>
        <v>IQTR244235673</v>
      </c>
      <c r="AJ21" s="160" t="e">
        <f ca="1">_xll.ciqfunctions.udf.CIQ(AI21, "IQ_BUSINESS_DESCRIPTION")</f>
        <v>#NAME?</v>
      </c>
    </row>
    <row r="22" spans="2:36" s="160" customFormat="1" ht="12.75" customHeight="1">
      <c r="B22" s="159" t="e">
        <f ca="1">_xll.ciqfunctions.udf.CIQ($AI22,"IQ_TR_CLOSED_DATE")</f>
        <v>#NAME?</v>
      </c>
      <c r="C22" s="160" t="e">
        <f ca="1">_xll.ciqfunctions.udf.CIQ($AI22,"IQ_TR_BUYERNAME")</f>
        <v>#NAME?</v>
      </c>
      <c r="D22" s="160" t="e">
        <f ca="1">_xll.ciqfunctions.udf.CIQ($AI22,"IQ_TR_TARGETNAME")</f>
        <v>#NAME?</v>
      </c>
      <c r="E22" s="160" t="e">
        <f ca="1">_xll.ciqfunctions.udf.CIQ($AI22, "IQ_PRIMARY_INDUSTRY")</f>
        <v>#NAME?</v>
      </c>
      <c r="F22" s="161" t="e">
        <f ca="1">_xll.ciqfunctions.udf.CIQ($AI22, "IQ_TR_PCT_SOUGHT")/100</f>
        <v>#NAME?</v>
      </c>
      <c r="G22" s="162" t="e">
        <f ca="1">_xll.ciqfunctions.udf.CIQ(AI22, "IQ_TR_MAJ_MIN_STAKE")</f>
        <v>#NAME?</v>
      </c>
      <c r="I22" s="163" t="e">
        <f ca="1">_xll.ciqfunctions.udf.CIQ($AI22, "IQ_TR_IMPLIED_EV_FINAL", , $AJ$4,$AJ$5)</f>
        <v>#NAME?</v>
      </c>
      <c r="J22" s="163" t="e">
        <f ca="1">IF(_xll.ciqfunctions.udf.CIQ(AI22, "IQ_TR_TOTAL_CASH")="n/a",0,_xll.ciqfunctions.udf.CIQ(AI22, "IQ_TR_TOTAL_CASH"))+IF(_xll.ciqfunctions.udf.CIQ(AI22, "IQ_TR_TOTAL_STOCK")="n/a",0,_xll.ciqfunctions.udf.CIQ(AI22, "IQ_TR_TOTAL_STOCK"))</f>
        <v>#NAME?</v>
      </c>
      <c r="K22" s="34" t="e">
        <f ca="1">_xll.ciqfunctions.udf.CIQ(AI22, "IQ_TR_EARNOUTS")</f>
        <v>#NAME?</v>
      </c>
      <c r="L22" s="163" t="e">
        <f ca="1">IF(_xll.ciqfunctions.udf.CIQ($AI22, "IQ_TR_TOTAL_GROSS_TV",$AJ$4,$AJ$5)=0,"NA",_xll.ciqfunctions.udf.CIQ($AI22, "IQ_TR_TOTAL_GROSS_TV",,"USD"))</f>
        <v>#NAME?</v>
      </c>
      <c r="M22" s="164"/>
      <c r="N22" s="163" t="e">
        <f ca="1">_xll.ciqfunctions.udf.CIQ($AI22, "IQ_TR_TARGET_TOTAL_REV",,$AJ$4,$AJ$5)</f>
        <v>#NAME?</v>
      </c>
      <c r="O22" s="163" t="e">
        <f ca="1">_xll.ciqfunctions.udf.CIQ($AI22, "IQ_TR_TARGET_EBITDA", , $AJ$4,$AJ$5)</f>
        <v>#NAME?</v>
      </c>
      <c r="P22" s="163" t="e">
        <f ca="1">_xll.ciqfunctions.udf.CIQ($AI22, "IQ_TR_TARGET_EBIT", , $AJ$4,$AJ$5)</f>
        <v>#NAME?</v>
      </c>
      <c r="Q22" s="164"/>
      <c r="R22" s="165" t="str">
        <f t="shared" ca="1" si="0"/>
        <v>n/a</v>
      </c>
      <c r="S22" s="165" t="str">
        <f t="shared" ca="1" si="0"/>
        <v>n/a</v>
      </c>
      <c r="T22" s="165" t="str">
        <f t="shared" ca="1" si="0"/>
        <v>n/a</v>
      </c>
      <c r="U22" s="165" t="e">
        <f ca="1">IF(_xll.ciqfunctions.udf.CIQ($AI22, "IQ_TR_IMPLIED_EQ_BV")=0,"NA",_xll.ciqfunctions.udf.CIQ($AI22, "IQ_TR_IMPLIED_EQ_BV"))</f>
        <v>#NAME?</v>
      </c>
      <c r="V22" s="165" t="e">
        <f ca="1">IF(_xll.ciqfunctions.udf.CIQ($AI22, "IQ_TR_IMPLIED_EQ_NI_LTM")=0,"NA",_xll.ciqfunctions.udf.CIQ($AI22, "IQ_TR_IMPLIED_EQ_NI_LTM"))</f>
        <v>#NAME?</v>
      </c>
      <c r="W22" s="164"/>
      <c r="X22" s="163" t="e">
        <f ca="1">_xll.ciqfunctions.udf.CIQ($AI22, "IQ_TR_TARGET_REVENUE_EST",, $AJ$4,$AJ$5)</f>
        <v>#NAME?</v>
      </c>
      <c r="Y22" s="163" t="e">
        <f ca="1">_xll.ciqfunctions.udf.CIQ($AI22, "IQ_TR_TARGET_EBITDA_EST",, $AJ$4,$AJ$5)</f>
        <v>#NAME?</v>
      </c>
      <c r="Z22" s="163" t="e">
        <f ca="1">_xll.ciqfunctions.udf.CIQ(AI22, "IQ_TR_IMPLIED_EV_EBIT_FWD")</f>
        <v>#NAME?</v>
      </c>
      <c r="AA22" s="164"/>
      <c r="AB22" s="165" t="str">
        <f t="shared" ca="1" si="1"/>
        <v>n/a</v>
      </c>
      <c r="AC22" s="165" t="str">
        <f t="shared" ca="1" si="1"/>
        <v>n/a</v>
      </c>
      <c r="AD22" s="165" t="str">
        <f t="shared" ca="1" si="1"/>
        <v>n/a</v>
      </c>
      <c r="AF22" s="166" t="e">
        <f ca="1">IF((_xll.ciqfunctions.udf.CIQ($AI22, "IQ_TR_TARGET_STOCKPREMIUM_1W")/100)&lt;=0,"NM",_xll.ciqfunctions.udf.CIQ($AI22, "IQ_TR_TARGET_STOCKPREMIUM_1W")/100)</f>
        <v>#NAME?</v>
      </c>
      <c r="AG22" s="166" t="e">
        <f ca="1">IF((_xll.ciqfunctions.udf.CIQ($AI22, "IQ_TR_TARGET_STOCKPREMIUM_1M")/100)&lt;=0,"NM",_xll.ciqfunctions.udf.CIQ($AI22, "IQ_TR_TARGET_STOCKPREMIUM_1M")/100)</f>
        <v>#NAME?</v>
      </c>
      <c r="AI22" s="167" t="str">
        <f>+'Capital IQ Sheet-STM'!AK22</f>
        <v>IQTR270100771</v>
      </c>
      <c r="AJ22" s="160" t="e">
        <f ca="1">_xll.ciqfunctions.udf.CIQ(AI22, "IQ_BUSINESS_DESCRIPTION")</f>
        <v>#NAME?</v>
      </c>
    </row>
    <row r="23" spans="2:36" s="160" customFormat="1" ht="12.75" customHeight="1">
      <c r="B23" s="159" t="e">
        <f ca="1">_xll.ciqfunctions.udf.CIQ($AI23,"IQ_TR_CLOSED_DATE")</f>
        <v>#NAME?</v>
      </c>
      <c r="C23" s="160" t="e">
        <f ca="1">_xll.ciqfunctions.udf.CIQ($AI23,"IQ_TR_BUYERNAME")</f>
        <v>#NAME?</v>
      </c>
      <c r="D23" s="160" t="e">
        <f ca="1">_xll.ciqfunctions.udf.CIQ($AI23,"IQ_TR_TARGETNAME")</f>
        <v>#NAME?</v>
      </c>
      <c r="E23" s="160" t="e">
        <f ca="1">_xll.ciqfunctions.udf.CIQ($AI23, "IQ_PRIMARY_INDUSTRY")</f>
        <v>#NAME?</v>
      </c>
      <c r="F23" s="161" t="e">
        <f ca="1">_xll.ciqfunctions.udf.CIQ($AI23, "IQ_TR_PCT_SOUGHT")/100</f>
        <v>#NAME?</v>
      </c>
      <c r="G23" s="162" t="e">
        <f ca="1">_xll.ciqfunctions.udf.CIQ(AI23, "IQ_TR_MAJ_MIN_STAKE")</f>
        <v>#NAME?</v>
      </c>
      <c r="I23" s="163" t="e">
        <f ca="1">_xll.ciqfunctions.udf.CIQ($AI23, "IQ_TR_IMPLIED_EV_FINAL", , $AJ$4,$AJ$5)</f>
        <v>#NAME?</v>
      </c>
      <c r="J23" s="163" t="e">
        <f ca="1">IF(_xll.ciqfunctions.udf.CIQ(AI23, "IQ_TR_TOTAL_CASH")="n/a",0,_xll.ciqfunctions.udf.CIQ(AI23, "IQ_TR_TOTAL_CASH"))+IF(_xll.ciqfunctions.udf.CIQ(AI23, "IQ_TR_TOTAL_STOCK")="n/a",0,_xll.ciqfunctions.udf.CIQ(AI23, "IQ_TR_TOTAL_STOCK"))</f>
        <v>#NAME?</v>
      </c>
      <c r="K23" s="34" t="e">
        <f ca="1">_xll.ciqfunctions.udf.CIQ(AI23, "IQ_TR_EARNOUTS")</f>
        <v>#NAME?</v>
      </c>
      <c r="L23" s="163" t="e">
        <f ca="1">IF(_xll.ciqfunctions.udf.CIQ($AI23, "IQ_TR_TOTAL_GROSS_TV",$AJ$4,$AJ$5)=0,"NA",_xll.ciqfunctions.udf.CIQ($AI23, "IQ_TR_TOTAL_GROSS_TV",,"USD"))</f>
        <v>#NAME?</v>
      </c>
      <c r="M23" s="164"/>
      <c r="N23" s="163" t="e">
        <f ca="1">_xll.ciqfunctions.udf.CIQ($AI23, "IQ_TR_TARGET_TOTAL_REV",,$AJ$4,$AJ$5)</f>
        <v>#NAME?</v>
      </c>
      <c r="O23" s="163" t="e">
        <f ca="1">_xll.ciqfunctions.udf.CIQ($AI23, "IQ_TR_TARGET_EBITDA", , $AJ$4,$AJ$5)</f>
        <v>#NAME?</v>
      </c>
      <c r="P23" s="163" t="e">
        <f ca="1">_xll.ciqfunctions.udf.CIQ($AI23, "IQ_TR_TARGET_EBIT", , $AJ$4,$AJ$5)</f>
        <v>#NAME?</v>
      </c>
      <c r="Q23" s="164"/>
      <c r="R23" s="165" t="str">
        <f t="shared" ca="1" si="0"/>
        <v>n/a</v>
      </c>
      <c r="S23" s="165" t="str">
        <f t="shared" ca="1" si="0"/>
        <v>n/a</v>
      </c>
      <c r="T23" s="165" t="str">
        <f t="shared" ca="1" si="0"/>
        <v>n/a</v>
      </c>
      <c r="U23" s="165" t="e">
        <f ca="1">IF(_xll.ciqfunctions.udf.CIQ($AI23, "IQ_TR_IMPLIED_EQ_BV")=0,"NA",_xll.ciqfunctions.udf.CIQ($AI23, "IQ_TR_IMPLIED_EQ_BV"))</f>
        <v>#NAME?</v>
      </c>
      <c r="V23" s="165" t="e">
        <f ca="1">IF(_xll.ciqfunctions.udf.CIQ($AI23, "IQ_TR_IMPLIED_EQ_NI_LTM")=0,"NA",_xll.ciqfunctions.udf.CIQ($AI23, "IQ_TR_IMPLIED_EQ_NI_LTM"))</f>
        <v>#NAME?</v>
      </c>
      <c r="W23" s="164"/>
      <c r="X23" s="163" t="e">
        <f ca="1">_xll.ciqfunctions.udf.CIQ($AI23, "IQ_TR_TARGET_REVENUE_EST",, $AJ$4,$AJ$5)</f>
        <v>#NAME?</v>
      </c>
      <c r="Y23" s="163" t="e">
        <f ca="1">_xll.ciqfunctions.udf.CIQ($AI23, "IQ_TR_TARGET_EBITDA_EST",, $AJ$4,$AJ$5)</f>
        <v>#NAME?</v>
      </c>
      <c r="Z23" s="163" t="e">
        <f ca="1">_xll.ciqfunctions.udf.CIQ(AI23, "IQ_TR_IMPLIED_EV_EBIT_FWD")</f>
        <v>#NAME?</v>
      </c>
      <c r="AA23" s="164"/>
      <c r="AB23" s="165" t="str">
        <f t="shared" ca="1" si="1"/>
        <v>n/a</v>
      </c>
      <c r="AC23" s="165" t="str">
        <f t="shared" ca="1" si="1"/>
        <v>n/a</v>
      </c>
      <c r="AD23" s="165" t="str">
        <f t="shared" ca="1" si="1"/>
        <v>n/a</v>
      </c>
      <c r="AF23" s="166" t="e">
        <f ca="1">IF((_xll.ciqfunctions.udf.CIQ($AI23, "IQ_TR_TARGET_STOCKPREMIUM_1W")/100)&lt;=0,"NM",_xll.ciqfunctions.udf.CIQ($AI23, "IQ_TR_TARGET_STOCKPREMIUM_1W")/100)</f>
        <v>#NAME?</v>
      </c>
      <c r="AG23" s="166" t="e">
        <f ca="1">IF((_xll.ciqfunctions.udf.CIQ($AI23, "IQ_TR_TARGET_STOCKPREMIUM_1M")/100)&lt;=0,"NM",_xll.ciqfunctions.udf.CIQ($AI23, "IQ_TR_TARGET_STOCKPREMIUM_1M")/100)</f>
        <v>#NAME?</v>
      </c>
      <c r="AI23" s="167" t="str">
        <f>+'Capital IQ Sheet-STM'!AK23</f>
        <v>IQTR267969671</v>
      </c>
      <c r="AJ23" s="160" t="e">
        <f ca="1">_xll.ciqfunctions.udf.CIQ(AI23, "IQ_BUSINESS_DESCRIPTION")</f>
        <v>#NAME?</v>
      </c>
    </row>
    <row r="24" spans="2:36" s="160" customFormat="1" ht="12.75" customHeight="1">
      <c r="B24" s="159" t="e">
        <f ca="1">_xll.ciqfunctions.udf.CIQ($AI24,"IQ_TR_CLOSED_DATE")</f>
        <v>#NAME?</v>
      </c>
      <c r="C24" s="160" t="e">
        <f ca="1">_xll.ciqfunctions.udf.CIQ($AI24,"IQ_TR_BUYERNAME")</f>
        <v>#NAME?</v>
      </c>
      <c r="D24" s="160" t="e">
        <f ca="1">_xll.ciqfunctions.udf.CIQ($AI24,"IQ_TR_TARGETNAME")</f>
        <v>#NAME?</v>
      </c>
      <c r="E24" s="160" t="e">
        <f ca="1">_xll.ciqfunctions.udf.CIQ($AI24, "IQ_PRIMARY_INDUSTRY")</f>
        <v>#NAME?</v>
      </c>
      <c r="F24" s="161" t="e">
        <f ca="1">_xll.ciqfunctions.udf.CIQ($AI24, "IQ_TR_PCT_SOUGHT")/100</f>
        <v>#NAME?</v>
      </c>
      <c r="G24" s="162" t="e">
        <f ca="1">_xll.ciqfunctions.udf.CIQ(AI24, "IQ_TR_MAJ_MIN_STAKE")</f>
        <v>#NAME?</v>
      </c>
      <c r="I24" s="163" t="e">
        <f ca="1">_xll.ciqfunctions.udf.CIQ($AI24, "IQ_TR_IMPLIED_EV_FINAL", , $AJ$4,$AJ$5)</f>
        <v>#NAME?</v>
      </c>
      <c r="J24" s="163" t="e">
        <f ca="1">IF(_xll.ciqfunctions.udf.CIQ(AI24, "IQ_TR_TOTAL_CASH")="n/a",0,_xll.ciqfunctions.udf.CIQ(AI24, "IQ_TR_TOTAL_CASH"))+IF(_xll.ciqfunctions.udf.CIQ(AI24, "IQ_TR_TOTAL_STOCK")="n/a",0,_xll.ciqfunctions.udf.CIQ(AI24, "IQ_TR_TOTAL_STOCK"))</f>
        <v>#NAME?</v>
      </c>
      <c r="K24" s="34" t="e">
        <f ca="1">_xll.ciqfunctions.udf.CIQ(AI24, "IQ_TR_EARNOUTS")</f>
        <v>#NAME?</v>
      </c>
      <c r="L24" s="163" t="e">
        <f ca="1">IF(_xll.ciqfunctions.udf.CIQ($AI24, "IQ_TR_TOTAL_GROSS_TV",$AJ$4,$AJ$5)=0,"NA",_xll.ciqfunctions.udf.CIQ($AI24, "IQ_TR_TOTAL_GROSS_TV",,"USD"))</f>
        <v>#NAME?</v>
      </c>
      <c r="M24" s="164"/>
      <c r="N24" s="163" t="e">
        <f ca="1">_xll.ciqfunctions.udf.CIQ($AI24, "IQ_TR_TARGET_TOTAL_REV",,$AJ$4,$AJ$5)</f>
        <v>#NAME?</v>
      </c>
      <c r="O24" s="163" t="e">
        <f ca="1">_xll.ciqfunctions.udf.CIQ($AI24, "IQ_TR_TARGET_EBITDA", , $AJ$4,$AJ$5)</f>
        <v>#NAME?</v>
      </c>
      <c r="P24" s="163" t="e">
        <f ca="1">_xll.ciqfunctions.udf.CIQ($AI24, "IQ_TR_TARGET_EBIT", , $AJ$4,$AJ$5)</f>
        <v>#NAME?</v>
      </c>
      <c r="Q24" s="164"/>
      <c r="R24" s="165" t="str">
        <f t="shared" ca="1" si="0"/>
        <v>n/a</v>
      </c>
      <c r="S24" s="165" t="str">
        <f t="shared" ca="1" si="0"/>
        <v>n/a</v>
      </c>
      <c r="T24" s="165" t="str">
        <f t="shared" ca="1" si="0"/>
        <v>n/a</v>
      </c>
      <c r="U24" s="165" t="e">
        <f ca="1">IF(_xll.ciqfunctions.udf.CIQ($AI24, "IQ_TR_IMPLIED_EQ_BV")=0,"NA",_xll.ciqfunctions.udf.CIQ($AI24, "IQ_TR_IMPLIED_EQ_BV"))</f>
        <v>#NAME?</v>
      </c>
      <c r="V24" s="165" t="e">
        <f ca="1">IF(_xll.ciqfunctions.udf.CIQ($AI24, "IQ_TR_IMPLIED_EQ_NI_LTM")=0,"NA",_xll.ciqfunctions.udf.CIQ($AI24, "IQ_TR_IMPLIED_EQ_NI_LTM"))</f>
        <v>#NAME?</v>
      </c>
      <c r="W24" s="164"/>
      <c r="X24" s="163" t="e">
        <f ca="1">_xll.ciqfunctions.udf.CIQ($AI24, "IQ_TR_TARGET_REVENUE_EST",, $AJ$4,$AJ$5)</f>
        <v>#NAME?</v>
      </c>
      <c r="Y24" s="163" t="e">
        <f ca="1">_xll.ciqfunctions.udf.CIQ($AI24, "IQ_TR_TARGET_EBITDA_EST",, $AJ$4,$AJ$5)</f>
        <v>#NAME?</v>
      </c>
      <c r="Z24" s="163" t="e">
        <f ca="1">_xll.ciqfunctions.udf.CIQ(AI24, "IQ_TR_IMPLIED_EV_EBIT_FWD")</f>
        <v>#NAME?</v>
      </c>
      <c r="AA24" s="164"/>
      <c r="AB24" s="165" t="str">
        <f t="shared" ca="1" si="1"/>
        <v>n/a</v>
      </c>
      <c r="AC24" s="165" t="str">
        <f t="shared" ca="1" si="1"/>
        <v>n/a</v>
      </c>
      <c r="AD24" s="165" t="str">
        <f t="shared" ca="1" si="1"/>
        <v>n/a</v>
      </c>
      <c r="AF24" s="166" t="e">
        <f ca="1">IF((_xll.ciqfunctions.udf.CIQ($AI24, "IQ_TR_TARGET_STOCKPREMIUM_1W")/100)&lt;=0,"NM",_xll.ciqfunctions.udf.CIQ($AI24, "IQ_TR_TARGET_STOCKPREMIUM_1W")/100)</f>
        <v>#NAME?</v>
      </c>
      <c r="AG24" s="166" t="e">
        <f ca="1">IF((_xll.ciqfunctions.udf.CIQ($AI24, "IQ_TR_TARGET_STOCKPREMIUM_1M")/100)&lt;=0,"NM",_xll.ciqfunctions.udf.CIQ($AI24, "IQ_TR_TARGET_STOCKPREMIUM_1M")/100)</f>
        <v>#NAME?</v>
      </c>
      <c r="AI24" s="167" t="str">
        <f>+'Capital IQ Sheet-STM'!AK24</f>
        <v>IQTR267072117</v>
      </c>
      <c r="AJ24" s="160" t="e">
        <f ca="1">_xll.ciqfunctions.udf.CIQ(AI24, "IQ_BUSINESS_DESCRIPTION")</f>
        <v>#NAME?</v>
      </c>
    </row>
    <row r="25" spans="2:36" s="160" customFormat="1" ht="12.75" customHeight="1">
      <c r="B25" s="159" t="e">
        <f ca="1">_xll.ciqfunctions.udf.CIQ($AI25,"IQ_TR_CLOSED_DATE")</f>
        <v>#NAME?</v>
      </c>
      <c r="C25" s="160" t="e">
        <f ca="1">_xll.ciqfunctions.udf.CIQ($AI25,"IQ_TR_BUYERNAME")</f>
        <v>#NAME?</v>
      </c>
      <c r="D25" s="160" t="e">
        <f ca="1">_xll.ciqfunctions.udf.CIQ($AI25,"IQ_TR_TARGETNAME")</f>
        <v>#NAME?</v>
      </c>
      <c r="E25" s="160" t="e">
        <f ca="1">_xll.ciqfunctions.udf.CIQ($AI25, "IQ_PRIMARY_INDUSTRY")</f>
        <v>#NAME?</v>
      </c>
      <c r="F25" s="161" t="e">
        <f ca="1">_xll.ciqfunctions.udf.CIQ($AI25, "IQ_TR_PCT_SOUGHT")/100</f>
        <v>#NAME?</v>
      </c>
      <c r="G25" s="162" t="e">
        <f ca="1">_xll.ciqfunctions.udf.CIQ(AI25, "IQ_TR_MAJ_MIN_STAKE")</f>
        <v>#NAME?</v>
      </c>
      <c r="I25" s="163" t="e">
        <f ca="1">_xll.ciqfunctions.udf.CIQ($AI25, "IQ_TR_IMPLIED_EV_FINAL", , $AJ$4,$AJ$5)</f>
        <v>#NAME?</v>
      </c>
      <c r="J25" s="163" t="e">
        <f ca="1">IF(_xll.ciqfunctions.udf.CIQ(AI25, "IQ_TR_TOTAL_CASH")="n/a",0,_xll.ciqfunctions.udf.CIQ(AI25, "IQ_TR_TOTAL_CASH"))+IF(_xll.ciqfunctions.udf.CIQ(AI25, "IQ_TR_TOTAL_STOCK")="n/a",0,_xll.ciqfunctions.udf.CIQ(AI25, "IQ_TR_TOTAL_STOCK"))</f>
        <v>#NAME?</v>
      </c>
      <c r="K25" s="34" t="e">
        <f ca="1">_xll.ciqfunctions.udf.CIQ(AI25, "IQ_TR_EARNOUTS")</f>
        <v>#NAME?</v>
      </c>
      <c r="L25" s="163" t="e">
        <f ca="1">IF(_xll.ciqfunctions.udf.CIQ($AI25, "IQ_TR_TOTAL_GROSS_TV",$AJ$4,$AJ$5)=0,"NA",_xll.ciqfunctions.udf.CIQ($AI25, "IQ_TR_TOTAL_GROSS_TV",,"USD"))</f>
        <v>#NAME?</v>
      </c>
      <c r="M25" s="164"/>
      <c r="N25" s="163" t="e">
        <f ca="1">_xll.ciqfunctions.udf.CIQ($AI25, "IQ_TR_TARGET_TOTAL_REV",,$AJ$4,$AJ$5)</f>
        <v>#NAME?</v>
      </c>
      <c r="O25" s="163" t="e">
        <f ca="1">_xll.ciqfunctions.udf.CIQ($AI25, "IQ_TR_TARGET_EBITDA", , $AJ$4,$AJ$5)</f>
        <v>#NAME?</v>
      </c>
      <c r="P25" s="163" t="e">
        <f ca="1">_xll.ciqfunctions.udf.CIQ($AI25, "IQ_TR_TARGET_EBIT", , $AJ$4,$AJ$5)</f>
        <v>#NAME?</v>
      </c>
      <c r="Q25" s="164"/>
      <c r="R25" s="165" t="str">
        <f t="shared" ca="1" si="0"/>
        <v>n/a</v>
      </c>
      <c r="S25" s="165" t="str">
        <f t="shared" ca="1" si="0"/>
        <v>n/a</v>
      </c>
      <c r="T25" s="165" t="str">
        <f t="shared" ca="1" si="0"/>
        <v>n/a</v>
      </c>
      <c r="U25" s="165" t="e">
        <f ca="1">IF(_xll.ciqfunctions.udf.CIQ($AI25, "IQ_TR_IMPLIED_EQ_BV")=0,"NA",_xll.ciqfunctions.udf.CIQ($AI25, "IQ_TR_IMPLIED_EQ_BV"))</f>
        <v>#NAME?</v>
      </c>
      <c r="V25" s="165" t="e">
        <f ca="1">IF(_xll.ciqfunctions.udf.CIQ($AI25, "IQ_TR_IMPLIED_EQ_NI_LTM")=0,"NA",_xll.ciqfunctions.udf.CIQ($AI25, "IQ_TR_IMPLIED_EQ_NI_LTM"))</f>
        <v>#NAME?</v>
      </c>
      <c r="W25" s="164"/>
      <c r="X25" s="163" t="e">
        <f ca="1">_xll.ciqfunctions.udf.CIQ($AI25, "IQ_TR_TARGET_REVENUE_EST",, $AJ$4,$AJ$5)</f>
        <v>#NAME?</v>
      </c>
      <c r="Y25" s="163" t="e">
        <f ca="1">_xll.ciqfunctions.udf.CIQ($AI25, "IQ_TR_TARGET_EBITDA_EST",, $AJ$4,$AJ$5)</f>
        <v>#NAME?</v>
      </c>
      <c r="Z25" s="163" t="e">
        <f ca="1">_xll.ciqfunctions.udf.CIQ(AI25, "IQ_TR_IMPLIED_EV_EBIT_FWD")</f>
        <v>#NAME?</v>
      </c>
      <c r="AA25" s="164"/>
      <c r="AB25" s="165" t="str">
        <f t="shared" ca="1" si="1"/>
        <v>n/a</v>
      </c>
      <c r="AC25" s="165" t="str">
        <f t="shared" ca="1" si="1"/>
        <v>n/a</v>
      </c>
      <c r="AD25" s="165" t="str">
        <f t="shared" ca="1" si="1"/>
        <v>n/a</v>
      </c>
      <c r="AF25" s="166" t="e">
        <f ca="1">IF((_xll.ciqfunctions.udf.CIQ($AI25, "IQ_TR_TARGET_STOCKPREMIUM_1W")/100)&lt;=0,"NM",_xll.ciqfunctions.udf.CIQ($AI25, "IQ_TR_TARGET_STOCKPREMIUM_1W")/100)</f>
        <v>#NAME?</v>
      </c>
      <c r="AG25" s="166" t="e">
        <f ca="1">IF((_xll.ciqfunctions.udf.CIQ($AI25, "IQ_TR_TARGET_STOCKPREMIUM_1M")/100)&lt;=0,"NM",_xll.ciqfunctions.udf.CIQ($AI25, "IQ_TR_TARGET_STOCKPREMIUM_1M")/100)</f>
        <v>#NAME?</v>
      </c>
      <c r="AI25" s="167" t="str">
        <f>+'Capital IQ Sheet-STM'!AK25</f>
        <v>IQTR265866120</v>
      </c>
      <c r="AJ25" s="160" t="e">
        <f ca="1">_xll.ciqfunctions.udf.CIQ(AI25, "IQ_BUSINESS_DESCRIPTION")</f>
        <v>#NAME?</v>
      </c>
    </row>
    <row r="26" spans="2:36" s="160" customFormat="1" ht="12.75" customHeight="1">
      <c r="B26" s="159" t="e">
        <f ca="1">_xll.ciqfunctions.udf.CIQ($AI26,"IQ_TR_CLOSED_DATE")</f>
        <v>#NAME?</v>
      </c>
      <c r="C26" s="160" t="e">
        <f ca="1">_xll.ciqfunctions.udf.CIQ($AI26,"IQ_TR_BUYERNAME")</f>
        <v>#NAME?</v>
      </c>
      <c r="D26" s="160" t="e">
        <f ca="1">_xll.ciqfunctions.udf.CIQ($AI26,"IQ_TR_TARGETNAME")</f>
        <v>#NAME?</v>
      </c>
      <c r="E26" s="160" t="e">
        <f ca="1">_xll.ciqfunctions.udf.CIQ($AI26, "IQ_PRIMARY_INDUSTRY")</f>
        <v>#NAME?</v>
      </c>
      <c r="F26" s="161" t="e">
        <f ca="1">_xll.ciqfunctions.udf.CIQ($AI26, "IQ_TR_PCT_SOUGHT")/100</f>
        <v>#NAME?</v>
      </c>
      <c r="G26" s="162" t="e">
        <f ca="1">_xll.ciqfunctions.udf.CIQ(AI26, "IQ_TR_MAJ_MIN_STAKE")</f>
        <v>#NAME?</v>
      </c>
      <c r="I26" s="163" t="e">
        <f ca="1">_xll.ciqfunctions.udf.CIQ($AI26, "IQ_TR_IMPLIED_EV_FINAL", , $AJ$4,$AJ$5)</f>
        <v>#NAME?</v>
      </c>
      <c r="J26" s="163" t="e">
        <f ca="1">IF(_xll.ciqfunctions.udf.CIQ(AI26, "IQ_TR_TOTAL_CASH")="n/a",0,_xll.ciqfunctions.udf.CIQ(AI26, "IQ_TR_TOTAL_CASH"))+IF(_xll.ciqfunctions.udf.CIQ(AI26, "IQ_TR_TOTAL_STOCK")="n/a",0,_xll.ciqfunctions.udf.CIQ(AI26, "IQ_TR_TOTAL_STOCK"))</f>
        <v>#NAME?</v>
      </c>
      <c r="K26" s="34" t="e">
        <f ca="1">_xll.ciqfunctions.udf.CIQ(AI26, "IQ_TR_EARNOUTS")</f>
        <v>#NAME?</v>
      </c>
      <c r="L26" s="163" t="e">
        <f ca="1">IF(_xll.ciqfunctions.udf.CIQ($AI26, "IQ_TR_TOTAL_GROSS_TV",$AJ$4,$AJ$5)=0,"NA",_xll.ciqfunctions.udf.CIQ($AI26, "IQ_TR_TOTAL_GROSS_TV",,"USD"))</f>
        <v>#NAME?</v>
      </c>
      <c r="M26" s="164"/>
      <c r="N26" s="163" t="e">
        <f ca="1">_xll.ciqfunctions.udf.CIQ($AI26, "IQ_TR_TARGET_TOTAL_REV",,$AJ$4,$AJ$5)</f>
        <v>#NAME?</v>
      </c>
      <c r="O26" s="163" t="e">
        <f ca="1">_xll.ciqfunctions.udf.CIQ($AI26, "IQ_TR_TARGET_EBITDA", , $AJ$4,$AJ$5)</f>
        <v>#NAME?</v>
      </c>
      <c r="P26" s="163" t="e">
        <f ca="1">_xll.ciqfunctions.udf.CIQ($AI26, "IQ_TR_TARGET_EBIT", , $AJ$4,$AJ$5)</f>
        <v>#NAME?</v>
      </c>
      <c r="Q26" s="164"/>
      <c r="R26" s="165" t="str">
        <f t="shared" ca="1" si="0"/>
        <v>n/a</v>
      </c>
      <c r="S26" s="165" t="str">
        <f t="shared" ca="1" si="0"/>
        <v>n/a</v>
      </c>
      <c r="T26" s="165" t="str">
        <f t="shared" ca="1" si="0"/>
        <v>n/a</v>
      </c>
      <c r="U26" s="165" t="e">
        <f ca="1">IF(_xll.ciqfunctions.udf.CIQ($AI26, "IQ_TR_IMPLIED_EQ_BV")=0,"NA",_xll.ciqfunctions.udf.CIQ($AI26, "IQ_TR_IMPLIED_EQ_BV"))</f>
        <v>#NAME?</v>
      </c>
      <c r="V26" s="165" t="e">
        <f ca="1">IF(_xll.ciqfunctions.udf.CIQ($AI26, "IQ_TR_IMPLIED_EQ_NI_LTM")=0,"NA",_xll.ciqfunctions.udf.CIQ($AI26, "IQ_TR_IMPLIED_EQ_NI_LTM"))</f>
        <v>#NAME?</v>
      </c>
      <c r="W26" s="164"/>
      <c r="X26" s="163" t="e">
        <f ca="1">_xll.ciqfunctions.udf.CIQ($AI26, "IQ_TR_TARGET_REVENUE_EST",, $AJ$4,$AJ$5)</f>
        <v>#NAME?</v>
      </c>
      <c r="Y26" s="163" t="e">
        <f ca="1">_xll.ciqfunctions.udf.CIQ($AI26, "IQ_TR_TARGET_EBITDA_EST",, $AJ$4,$AJ$5)</f>
        <v>#NAME?</v>
      </c>
      <c r="Z26" s="163" t="e">
        <f ca="1">_xll.ciqfunctions.udf.CIQ(AI26, "IQ_TR_IMPLIED_EV_EBIT_FWD")</f>
        <v>#NAME?</v>
      </c>
      <c r="AA26" s="164"/>
      <c r="AB26" s="165" t="str">
        <f t="shared" ca="1" si="1"/>
        <v>n/a</v>
      </c>
      <c r="AC26" s="165" t="str">
        <f t="shared" ca="1" si="1"/>
        <v>n/a</v>
      </c>
      <c r="AD26" s="165" t="str">
        <f t="shared" ca="1" si="1"/>
        <v>n/a</v>
      </c>
      <c r="AF26" s="166" t="e">
        <f ca="1">IF((_xll.ciqfunctions.udf.CIQ($AI26, "IQ_TR_TARGET_STOCKPREMIUM_1W")/100)&lt;=0,"NM",_xll.ciqfunctions.udf.CIQ($AI26, "IQ_TR_TARGET_STOCKPREMIUM_1W")/100)</f>
        <v>#NAME?</v>
      </c>
      <c r="AG26" s="166" t="e">
        <f ca="1">IF((_xll.ciqfunctions.udf.CIQ($AI26, "IQ_TR_TARGET_STOCKPREMIUM_1M")/100)&lt;=0,"NM",_xll.ciqfunctions.udf.CIQ($AI26, "IQ_TR_TARGET_STOCKPREMIUM_1M")/100)</f>
        <v>#NAME?</v>
      </c>
      <c r="AI26" s="167" t="str">
        <f>+'Capital IQ Sheet-STM'!AK26</f>
        <v>IQTR254033302</v>
      </c>
      <c r="AJ26" s="160" t="e">
        <f ca="1">_xll.ciqfunctions.udf.CIQ(AI26, "IQ_BUSINESS_DESCRIPTION")</f>
        <v>#NAME?</v>
      </c>
    </row>
    <row r="27" spans="2:36" s="160" customFormat="1" ht="12.75" customHeight="1">
      <c r="B27" s="159" t="e">
        <f ca="1">_xll.ciqfunctions.udf.CIQ($AI27,"IQ_TR_CLOSED_DATE")</f>
        <v>#NAME?</v>
      </c>
      <c r="C27" s="160" t="e">
        <f ca="1">_xll.ciqfunctions.udf.CIQ($AI27,"IQ_TR_BUYERNAME")</f>
        <v>#NAME?</v>
      </c>
      <c r="D27" s="160" t="e">
        <f ca="1">_xll.ciqfunctions.udf.CIQ($AI27,"IQ_TR_TARGETNAME")</f>
        <v>#NAME?</v>
      </c>
      <c r="E27" s="160" t="e">
        <f ca="1">_xll.ciqfunctions.udf.CIQ($AI27, "IQ_PRIMARY_INDUSTRY")</f>
        <v>#NAME?</v>
      </c>
      <c r="F27" s="161" t="e">
        <f ca="1">_xll.ciqfunctions.udf.CIQ($AI27, "IQ_TR_PCT_SOUGHT")/100</f>
        <v>#NAME?</v>
      </c>
      <c r="G27" s="162" t="e">
        <f ca="1">_xll.ciqfunctions.udf.CIQ(AI27, "IQ_TR_MAJ_MIN_STAKE")</f>
        <v>#NAME?</v>
      </c>
      <c r="I27" s="163" t="e">
        <f ca="1">_xll.ciqfunctions.udf.CIQ($AI27, "IQ_TR_IMPLIED_EV_FINAL", , $AJ$4,$AJ$5)</f>
        <v>#NAME?</v>
      </c>
      <c r="J27" s="163" t="e">
        <f ca="1">IF(_xll.ciqfunctions.udf.CIQ(AI27, "IQ_TR_TOTAL_CASH")="n/a",0,_xll.ciqfunctions.udf.CIQ(AI27, "IQ_TR_TOTAL_CASH"))+IF(_xll.ciqfunctions.udf.CIQ(AI27, "IQ_TR_TOTAL_STOCK")="n/a",0,_xll.ciqfunctions.udf.CIQ(AI27, "IQ_TR_TOTAL_STOCK"))</f>
        <v>#NAME?</v>
      </c>
      <c r="K27" s="34" t="e">
        <f ca="1">_xll.ciqfunctions.udf.CIQ(AI27, "IQ_TR_EARNOUTS")</f>
        <v>#NAME?</v>
      </c>
      <c r="L27" s="163" t="e">
        <f ca="1">IF(_xll.ciqfunctions.udf.CIQ($AI27, "IQ_TR_TOTAL_GROSS_TV",$AJ$4,$AJ$5)=0,"NA",_xll.ciqfunctions.udf.CIQ($AI27, "IQ_TR_TOTAL_GROSS_TV",,"USD"))</f>
        <v>#NAME?</v>
      </c>
      <c r="M27" s="164"/>
      <c r="N27" s="163" t="e">
        <f ca="1">_xll.ciqfunctions.udf.CIQ($AI27, "IQ_TR_TARGET_TOTAL_REV",,$AJ$4,$AJ$5)</f>
        <v>#NAME?</v>
      </c>
      <c r="O27" s="163" t="e">
        <f ca="1">_xll.ciqfunctions.udf.CIQ($AI27, "IQ_TR_TARGET_EBITDA", , $AJ$4,$AJ$5)</f>
        <v>#NAME?</v>
      </c>
      <c r="P27" s="163" t="e">
        <f ca="1">_xll.ciqfunctions.udf.CIQ($AI27, "IQ_TR_TARGET_EBIT", , $AJ$4,$AJ$5)</f>
        <v>#NAME?</v>
      </c>
      <c r="Q27" s="164"/>
      <c r="R27" s="165" t="str">
        <f t="shared" ca="1" si="0"/>
        <v>n/a</v>
      </c>
      <c r="S27" s="165" t="str">
        <f t="shared" ca="1" si="0"/>
        <v>n/a</v>
      </c>
      <c r="T27" s="165" t="str">
        <f t="shared" ca="1" si="0"/>
        <v>n/a</v>
      </c>
      <c r="U27" s="165" t="e">
        <f ca="1">IF(_xll.ciqfunctions.udf.CIQ($AI27, "IQ_TR_IMPLIED_EQ_BV")=0,"NA",_xll.ciqfunctions.udf.CIQ($AI27, "IQ_TR_IMPLIED_EQ_BV"))</f>
        <v>#NAME?</v>
      </c>
      <c r="V27" s="165" t="e">
        <f ca="1">IF(_xll.ciqfunctions.udf.CIQ($AI27, "IQ_TR_IMPLIED_EQ_NI_LTM")=0,"NA",_xll.ciqfunctions.udf.CIQ($AI27, "IQ_TR_IMPLIED_EQ_NI_LTM"))</f>
        <v>#NAME?</v>
      </c>
      <c r="W27" s="164"/>
      <c r="X27" s="163" t="e">
        <f ca="1">_xll.ciqfunctions.udf.CIQ($AI27, "IQ_TR_TARGET_REVENUE_EST",, $AJ$4,$AJ$5)</f>
        <v>#NAME?</v>
      </c>
      <c r="Y27" s="163" t="e">
        <f ca="1">_xll.ciqfunctions.udf.CIQ($AI27, "IQ_TR_TARGET_EBITDA_EST",, $AJ$4,$AJ$5)</f>
        <v>#NAME?</v>
      </c>
      <c r="Z27" s="163" t="e">
        <f ca="1">_xll.ciqfunctions.udf.CIQ(AI27, "IQ_TR_IMPLIED_EV_EBIT_FWD")</f>
        <v>#NAME?</v>
      </c>
      <c r="AA27" s="164"/>
      <c r="AB27" s="165" t="str">
        <f t="shared" ca="1" si="1"/>
        <v>n/a</v>
      </c>
      <c r="AC27" s="165" t="str">
        <f t="shared" ca="1" si="1"/>
        <v>n/a</v>
      </c>
      <c r="AD27" s="165" t="str">
        <f t="shared" ca="1" si="1"/>
        <v>n/a</v>
      </c>
      <c r="AF27" s="166" t="e">
        <f ca="1">IF((_xll.ciqfunctions.udf.CIQ($AI27, "IQ_TR_TARGET_STOCKPREMIUM_1W")/100)&lt;=0,"NM",_xll.ciqfunctions.udf.CIQ($AI27, "IQ_TR_TARGET_STOCKPREMIUM_1W")/100)</f>
        <v>#NAME?</v>
      </c>
      <c r="AG27" s="166" t="e">
        <f ca="1">IF((_xll.ciqfunctions.udf.CIQ($AI27, "IQ_TR_TARGET_STOCKPREMIUM_1M")/100)&lt;=0,"NM",_xll.ciqfunctions.udf.CIQ($AI27, "IQ_TR_TARGET_STOCKPREMIUM_1M")/100)</f>
        <v>#NAME?</v>
      </c>
      <c r="AI27" s="167" t="str">
        <f>+'Capital IQ Sheet-STM'!AK27</f>
        <v>IQTR245160973</v>
      </c>
      <c r="AJ27" s="160" t="e">
        <f ca="1">_xll.ciqfunctions.udf.CIQ(AI27, "IQ_BUSINESS_DESCRIPTION")</f>
        <v>#NAME?</v>
      </c>
    </row>
    <row r="28" spans="2:36" s="160" customFormat="1" ht="12.75" customHeight="1">
      <c r="B28" s="159" t="e">
        <f ca="1">_xll.ciqfunctions.udf.CIQ($AI28,"IQ_TR_CLOSED_DATE")</f>
        <v>#NAME?</v>
      </c>
      <c r="C28" s="160" t="e">
        <f ca="1">_xll.ciqfunctions.udf.CIQ($AI28,"IQ_TR_BUYERNAME")</f>
        <v>#NAME?</v>
      </c>
      <c r="D28" s="160" t="e">
        <f ca="1">_xll.ciqfunctions.udf.CIQ($AI28,"IQ_TR_TARGETNAME")</f>
        <v>#NAME?</v>
      </c>
      <c r="E28" s="160" t="e">
        <f ca="1">_xll.ciqfunctions.udf.CIQ($AI28, "IQ_PRIMARY_INDUSTRY")</f>
        <v>#NAME?</v>
      </c>
      <c r="F28" s="161" t="e">
        <f ca="1">_xll.ciqfunctions.udf.CIQ($AI28, "IQ_TR_PCT_SOUGHT")/100</f>
        <v>#NAME?</v>
      </c>
      <c r="G28" s="162" t="e">
        <f ca="1">_xll.ciqfunctions.udf.CIQ(AI28, "IQ_TR_MAJ_MIN_STAKE")</f>
        <v>#NAME?</v>
      </c>
      <c r="I28" s="163" t="e">
        <f ca="1">_xll.ciqfunctions.udf.CIQ($AI28, "IQ_TR_IMPLIED_EV_FINAL", , $AJ$4,$AJ$5)</f>
        <v>#NAME?</v>
      </c>
      <c r="J28" s="163" t="e">
        <f ca="1">IF(_xll.ciqfunctions.udf.CIQ(AI28, "IQ_TR_TOTAL_CASH")="n/a",0,_xll.ciqfunctions.udf.CIQ(AI28, "IQ_TR_TOTAL_CASH"))+IF(_xll.ciqfunctions.udf.CIQ(AI28, "IQ_TR_TOTAL_STOCK")="n/a",0,_xll.ciqfunctions.udf.CIQ(AI28, "IQ_TR_TOTAL_STOCK"))</f>
        <v>#NAME?</v>
      </c>
      <c r="K28" s="34" t="e">
        <f ca="1">_xll.ciqfunctions.udf.CIQ(AI28, "IQ_TR_EARNOUTS")</f>
        <v>#NAME?</v>
      </c>
      <c r="L28" s="163" t="e">
        <f ca="1">IF(_xll.ciqfunctions.udf.CIQ($AI28, "IQ_TR_TOTAL_GROSS_TV",$AJ$4,$AJ$5)=0,"NA",_xll.ciqfunctions.udf.CIQ($AI28, "IQ_TR_TOTAL_GROSS_TV",,"USD"))</f>
        <v>#NAME?</v>
      </c>
      <c r="M28" s="164"/>
      <c r="N28" s="163" t="e">
        <f ca="1">_xll.ciqfunctions.udf.CIQ($AI28, "IQ_TR_TARGET_TOTAL_REV",,$AJ$4,$AJ$5)</f>
        <v>#NAME?</v>
      </c>
      <c r="O28" s="163" t="e">
        <f ca="1">_xll.ciqfunctions.udf.CIQ($AI28, "IQ_TR_TARGET_EBITDA", , $AJ$4,$AJ$5)</f>
        <v>#NAME?</v>
      </c>
      <c r="P28" s="163" t="e">
        <f ca="1">_xll.ciqfunctions.udf.CIQ($AI28, "IQ_TR_TARGET_EBIT", , $AJ$4,$AJ$5)</f>
        <v>#NAME?</v>
      </c>
      <c r="Q28" s="164"/>
      <c r="R28" s="165" t="str">
        <f t="shared" ca="1" si="0"/>
        <v>n/a</v>
      </c>
      <c r="S28" s="165" t="str">
        <f t="shared" ca="1" si="0"/>
        <v>n/a</v>
      </c>
      <c r="T28" s="165" t="str">
        <f t="shared" ca="1" si="0"/>
        <v>n/a</v>
      </c>
      <c r="U28" s="165" t="e">
        <f ca="1">IF(_xll.ciqfunctions.udf.CIQ($AI28, "IQ_TR_IMPLIED_EQ_BV")=0,"NA",_xll.ciqfunctions.udf.CIQ($AI28, "IQ_TR_IMPLIED_EQ_BV"))</f>
        <v>#NAME?</v>
      </c>
      <c r="V28" s="165" t="e">
        <f ca="1">IF(_xll.ciqfunctions.udf.CIQ($AI28, "IQ_TR_IMPLIED_EQ_NI_LTM")=0,"NA",_xll.ciqfunctions.udf.CIQ($AI28, "IQ_TR_IMPLIED_EQ_NI_LTM"))</f>
        <v>#NAME?</v>
      </c>
      <c r="W28" s="164"/>
      <c r="X28" s="163" t="e">
        <f ca="1">_xll.ciqfunctions.udf.CIQ($AI28, "IQ_TR_TARGET_REVENUE_EST",, $AJ$4,$AJ$5)</f>
        <v>#NAME?</v>
      </c>
      <c r="Y28" s="163" t="e">
        <f ca="1">_xll.ciqfunctions.udf.CIQ($AI28, "IQ_TR_TARGET_EBITDA_EST",, $AJ$4,$AJ$5)</f>
        <v>#NAME?</v>
      </c>
      <c r="Z28" s="163" t="e">
        <f ca="1">_xll.ciqfunctions.udf.CIQ(AI28, "IQ_TR_IMPLIED_EV_EBIT_FWD")</f>
        <v>#NAME?</v>
      </c>
      <c r="AA28" s="164"/>
      <c r="AB28" s="165" t="str">
        <f t="shared" ca="1" si="1"/>
        <v>n/a</v>
      </c>
      <c r="AC28" s="165" t="str">
        <f t="shared" ca="1" si="1"/>
        <v>n/a</v>
      </c>
      <c r="AD28" s="165" t="str">
        <f t="shared" ca="1" si="1"/>
        <v>n/a</v>
      </c>
      <c r="AF28" s="166" t="e">
        <f ca="1">IF((_xll.ciqfunctions.udf.CIQ($AI28, "IQ_TR_TARGET_STOCKPREMIUM_1W")/100)&lt;=0,"NM",_xll.ciqfunctions.udf.CIQ($AI28, "IQ_TR_TARGET_STOCKPREMIUM_1W")/100)</f>
        <v>#NAME?</v>
      </c>
      <c r="AG28" s="166" t="e">
        <f ca="1">IF((_xll.ciqfunctions.udf.CIQ($AI28, "IQ_TR_TARGET_STOCKPREMIUM_1M")/100)&lt;=0,"NM",_xll.ciqfunctions.udf.CIQ($AI28, "IQ_TR_TARGET_STOCKPREMIUM_1M")/100)</f>
        <v>#NAME?</v>
      </c>
      <c r="AI28" s="167">
        <f>+'Capital IQ Sheet-STM'!AK28</f>
        <v>0</v>
      </c>
      <c r="AJ28" s="160" t="e">
        <f ca="1">_xll.ciqfunctions.udf.CIQ(AI28, "IQ_BUSINESS_DESCRIPTION")</f>
        <v>#NAME?</v>
      </c>
    </row>
    <row r="29" spans="2:36" s="160" customFormat="1" ht="12.75" customHeight="1">
      <c r="B29" s="159" t="e">
        <f ca="1">_xll.ciqfunctions.udf.CIQ($AI29,"IQ_TR_CLOSED_DATE")</f>
        <v>#NAME?</v>
      </c>
      <c r="C29" s="160" t="e">
        <f ca="1">_xll.ciqfunctions.udf.CIQ($AI29,"IQ_TR_BUYERNAME")</f>
        <v>#NAME?</v>
      </c>
      <c r="D29" s="160" t="e">
        <f ca="1">_xll.ciqfunctions.udf.CIQ($AI29,"IQ_TR_TARGETNAME")</f>
        <v>#NAME?</v>
      </c>
      <c r="E29" s="160" t="e">
        <f ca="1">_xll.ciqfunctions.udf.CIQ($AI29, "IQ_PRIMARY_INDUSTRY")</f>
        <v>#NAME?</v>
      </c>
      <c r="F29" s="161" t="e">
        <f ca="1">_xll.ciqfunctions.udf.CIQ($AI29, "IQ_TR_PCT_SOUGHT")/100</f>
        <v>#NAME?</v>
      </c>
      <c r="G29" s="162" t="e">
        <f ca="1">_xll.ciqfunctions.udf.CIQ(AI29, "IQ_TR_MAJ_MIN_STAKE")</f>
        <v>#NAME?</v>
      </c>
      <c r="I29" s="163" t="e">
        <f ca="1">_xll.ciqfunctions.udf.CIQ($AI29, "IQ_TR_IMPLIED_EV_FINAL", , $AJ$4,$AJ$5)</f>
        <v>#NAME?</v>
      </c>
      <c r="J29" s="163" t="e">
        <f ca="1">IF(_xll.ciqfunctions.udf.CIQ(AI29, "IQ_TR_TOTAL_CASH")="n/a",0,_xll.ciqfunctions.udf.CIQ(AI29, "IQ_TR_TOTAL_CASH"))+IF(_xll.ciqfunctions.udf.CIQ(AI29, "IQ_TR_TOTAL_STOCK")="n/a",0,_xll.ciqfunctions.udf.CIQ(AI29, "IQ_TR_TOTAL_STOCK"))</f>
        <v>#NAME?</v>
      </c>
      <c r="K29" s="34" t="e">
        <f ca="1">_xll.ciqfunctions.udf.CIQ(AI29, "IQ_TR_EARNOUTS")</f>
        <v>#NAME?</v>
      </c>
      <c r="L29" s="163" t="e">
        <f ca="1">IF(_xll.ciqfunctions.udf.CIQ($AI29, "IQ_TR_TOTAL_GROSS_TV",$AJ$4,$AJ$5)=0,"NA",_xll.ciqfunctions.udf.CIQ($AI29, "IQ_TR_TOTAL_GROSS_TV",,"USD"))</f>
        <v>#NAME?</v>
      </c>
      <c r="M29" s="164"/>
      <c r="N29" s="163" t="e">
        <f ca="1">_xll.ciqfunctions.udf.CIQ($AI29, "IQ_TR_TARGET_TOTAL_REV",,$AJ$4,$AJ$5)</f>
        <v>#NAME?</v>
      </c>
      <c r="O29" s="163" t="e">
        <f ca="1">_xll.ciqfunctions.udf.CIQ($AI29, "IQ_TR_TARGET_EBITDA", , $AJ$4,$AJ$5)</f>
        <v>#NAME?</v>
      </c>
      <c r="P29" s="163" t="e">
        <f ca="1">_xll.ciqfunctions.udf.CIQ($AI29, "IQ_TR_TARGET_EBIT", , $AJ$4,$AJ$5)</f>
        <v>#NAME?</v>
      </c>
      <c r="Q29" s="164"/>
      <c r="R29" s="165" t="str">
        <f t="shared" ca="1" si="0"/>
        <v>n/a</v>
      </c>
      <c r="S29" s="165" t="str">
        <f t="shared" ca="1" si="0"/>
        <v>n/a</v>
      </c>
      <c r="T29" s="165" t="str">
        <f t="shared" ca="1" si="0"/>
        <v>n/a</v>
      </c>
      <c r="U29" s="165" t="e">
        <f ca="1">IF(_xll.ciqfunctions.udf.CIQ($AI29, "IQ_TR_IMPLIED_EQ_BV")=0,"NA",_xll.ciqfunctions.udf.CIQ($AI29, "IQ_TR_IMPLIED_EQ_BV"))</f>
        <v>#NAME?</v>
      </c>
      <c r="V29" s="165" t="e">
        <f ca="1">IF(_xll.ciqfunctions.udf.CIQ($AI29, "IQ_TR_IMPLIED_EQ_NI_LTM")=0,"NA",_xll.ciqfunctions.udf.CIQ($AI29, "IQ_TR_IMPLIED_EQ_NI_LTM"))</f>
        <v>#NAME?</v>
      </c>
      <c r="W29" s="164"/>
      <c r="X29" s="163" t="e">
        <f ca="1">_xll.ciqfunctions.udf.CIQ($AI29, "IQ_TR_TARGET_REVENUE_EST",, $AJ$4,$AJ$5)</f>
        <v>#NAME?</v>
      </c>
      <c r="Y29" s="163" t="e">
        <f ca="1">_xll.ciqfunctions.udf.CIQ($AI29, "IQ_TR_TARGET_EBITDA_EST",, $AJ$4,$AJ$5)</f>
        <v>#NAME?</v>
      </c>
      <c r="Z29" s="163" t="e">
        <f ca="1">_xll.ciqfunctions.udf.CIQ(AI29, "IQ_TR_IMPLIED_EV_EBIT_FWD")</f>
        <v>#NAME?</v>
      </c>
      <c r="AA29" s="164"/>
      <c r="AB29" s="165" t="str">
        <f t="shared" ca="1" si="1"/>
        <v>n/a</v>
      </c>
      <c r="AC29" s="165" t="str">
        <f t="shared" ca="1" si="1"/>
        <v>n/a</v>
      </c>
      <c r="AD29" s="165" t="str">
        <f t="shared" ca="1" si="1"/>
        <v>n/a</v>
      </c>
      <c r="AF29" s="166" t="e">
        <f ca="1">IF((_xll.ciqfunctions.udf.CIQ($AI29, "IQ_TR_TARGET_STOCKPREMIUM_1W")/100)&lt;=0,"NM",_xll.ciqfunctions.udf.CIQ($AI29, "IQ_TR_TARGET_STOCKPREMIUM_1W")/100)</f>
        <v>#NAME?</v>
      </c>
      <c r="AG29" s="166" t="e">
        <f ca="1">IF((_xll.ciqfunctions.udf.CIQ($AI29, "IQ_TR_TARGET_STOCKPREMIUM_1M")/100)&lt;=0,"NM",_xll.ciqfunctions.udf.CIQ($AI29, "IQ_TR_TARGET_STOCKPREMIUM_1M")/100)</f>
        <v>#NAME?</v>
      </c>
      <c r="AI29" s="167">
        <f>+'Capital IQ Sheet-STM'!AK29</f>
        <v>0</v>
      </c>
      <c r="AJ29" s="160" t="e">
        <f ca="1">_xll.ciqfunctions.udf.CIQ(AI29, "IQ_BUSINESS_DESCRIPTION")</f>
        <v>#NAME?</v>
      </c>
    </row>
    <row r="30" spans="2:36" s="160" customFormat="1" ht="12.75" customHeight="1">
      <c r="B30" s="159"/>
      <c r="F30" s="161"/>
      <c r="G30" s="162"/>
      <c r="I30" s="163"/>
      <c r="J30" s="163"/>
      <c r="K30" s="163"/>
      <c r="L30" s="163"/>
      <c r="M30" s="164"/>
      <c r="N30" s="163"/>
      <c r="O30" s="163"/>
      <c r="P30" s="163"/>
      <c r="Q30" s="164"/>
      <c r="R30" s="165"/>
      <c r="S30" s="165"/>
      <c r="T30" s="165"/>
      <c r="U30" s="165"/>
      <c r="V30" s="165"/>
      <c r="W30" s="164"/>
      <c r="X30" s="163"/>
      <c r="Y30" s="163"/>
      <c r="Z30" s="163"/>
      <c r="AA30" s="164"/>
      <c r="AB30" s="165"/>
      <c r="AC30" s="165"/>
      <c r="AD30" s="165"/>
      <c r="AF30" s="166"/>
      <c r="AG30" s="166"/>
      <c r="AI30" s="167">
        <f>+'Capital IQ Sheet-STM'!AK30</f>
        <v>0</v>
      </c>
    </row>
    <row r="31" spans="2:36" s="160" customFormat="1" ht="12.75" customHeight="1">
      <c r="B31" s="159"/>
      <c r="F31" s="161"/>
      <c r="G31" s="162"/>
      <c r="I31" s="163"/>
      <c r="J31" s="163"/>
      <c r="K31" s="163"/>
      <c r="L31" s="163"/>
      <c r="M31" s="164"/>
      <c r="N31" s="163"/>
      <c r="O31" s="163"/>
      <c r="P31" s="163"/>
      <c r="Q31" s="164"/>
      <c r="R31" s="165"/>
      <c r="S31" s="165"/>
      <c r="T31" s="165"/>
      <c r="U31" s="165"/>
      <c r="V31" s="165"/>
      <c r="W31" s="164"/>
      <c r="X31" s="163"/>
      <c r="Y31" s="163"/>
      <c r="Z31" s="163"/>
      <c r="AA31" s="164"/>
      <c r="AB31" s="165"/>
      <c r="AC31" s="165"/>
      <c r="AD31" s="165"/>
      <c r="AF31" s="166"/>
      <c r="AG31" s="166"/>
      <c r="AI31" s="167">
        <f>+'Capital IQ Sheet-STM'!AK31</f>
        <v>0</v>
      </c>
    </row>
    <row r="32" spans="2:36" s="160" customFormat="1" ht="12.75" customHeight="1">
      <c r="B32" s="159"/>
      <c r="F32" s="161"/>
      <c r="G32" s="162"/>
      <c r="I32" s="163"/>
      <c r="J32" s="163"/>
      <c r="K32" s="163"/>
      <c r="L32" s="163"/>
      <c r="M32" s="164"/>
      <c r="N32" s="163"/>
      <c r="O32" s="163"/>
      <c r="P32" s="163"/>
      <c r="Q32" s="164"/>
      <c r="R32" s="165"/>
      <c r="S32" s="165"/>
      <c r="T32" s="165"/>
      <c r="U32" s="165"/>
      <c r="V32" s="165"/>
      <c r="W32" s="164"/>
      <c r="X32" s="163"/>
      <c r="Y32" s="163"/>
      <c r="Z32" s="163"/>
      <c r="AA32" s="164"/>
      <c r="AB32" s="165"/>
      <c r="AC32" s="165"/>
      <c r="AD32" s="165"/>
      <c r="AF32" s="166"/>
      <c r="AG32" s="166"/>
      <c r="AI32" s="167">
        <f>+'Capital IQ Sheet-STM'!AK32</f>
        <v>0</v>
      </c>
    </row>
    <row r="33" spans="2:35" s="160" customFormat="1" ht="12.75" customHeight="1">
      <c r="B33" s="159"/>
      <c r="F33" s="161"/>
      <c r="G33" s="162"/>
      <c r="I33" s="163"/>
      <c r="J33" s="163"/>
      <c r="K33" s="163"/>
      <c r="L33" s="163"/>
      <c r="M33" s="164"/>
      <c r="N33" s="163"/>
      <c r="O33" s="163"/>
      <c r="P33" s="163"/>
      <c r="Q33" s="164"/>
      <c r="R33" s="165"/>
      <c r="S33" s="165"/>
      <c r="T33" s="165"/>
      <c r="U33" s="165"/>
      <c r="V33" s="165"/>
      <c r="W33" s="164"/>
      <c r="X33" s="163"/>
      <c r="Y33" s="163"/>
      <c r="Z33" s="163"/>
      <c r="AA33" s="164"/>
      <c r="AB33" s="165"/>
      <c r="AC33" s="165"/>
      <c r="AD33" s="165"/>
      <c r="AF33" s="166"/>
      <c r="AG33" s="166"/>
      <c r="AI33" s="167">
        <f>+'Capital IQ Sheet-STM'!AK33</f>
        <v>0</v>
      </c>
    </row>
    <row r="34" spans="2:35" s="160" customFormat="1" ht="12.75" customHeight="1">
      <c r="B34" s="159"/>
      <c r="F34" s="161"/>
      <c r="G34" s="162"/>
      <c r="I34" s="163"/>
      <c r="J34" s="163"/>
      <c r="K34" s="163"/>
      <c r="L34" s="163"/>
      <c r="M34" s="164"/>
      <c r="N34" s="163"/>
      <c r="O34" s="163"/>
      <c r="P34" s="163"/>
      <c r="Q34" s="164"/>
      <c r="R34" s="165"/>
      <c r="S34" s="165"/>
      <c r="T34" s="165"/>
      <c r="U34" s="165"/>
      <c r="V34" s="165"/>
      <c r="W34" s="164"/>
      <c r="X34" s="163"/>
      <c r="Y34" s="163"/>
      <c r="Z34" s="163"/>
      <c r="AA34" s="164"/>
      <c r="AB34" s="165"/>
      <c r="AC34" s="165"/>
      <c r="AD34" s="165"/>
      <c r="AF34" s="166"/>
      <c r="AG34" s="166"/>
      <c r="AI34" s="167">
        <f>+'Capital IQ Sheet-STM'!AK34</f>
        <v>0</v>
      </c>
    </row>
    <row r="35" spans="2:35" s="160" customFormat="1" ht="12.75" customHeight="1">
      <c r="B35" s="159"/>
      <c r="F35" s="161"/>
      <c r="G35" s="162"/>
      <c r="I35" s="163"/>
      <c r="J35" s="163"/>
      <c r="K35" s="163"/>
      <c r="L35" s="163"/>
      <c r="M35" s="164"/>
      <c r="N35" s="163"/>
      <c r="O35" s="163"/>
      <c r="P35" s="163"/>
      <c r="Q35" s="164"/>
      <c r="R35" s="165"/>
      <c r="S35" s="165"/>
      <c r="T35" s="165"/>
      <c r="U35" s="165"/>
      <c r="V35" s="165"/>
      <c r="W35" s="164"/>
      <c r="X35" s="163"/>
      <c r="Y35" s="163"/>
      <c r="Z35" s="163"/>
      <c r="AA35" s="164"/>
      <c r="AB35" s="165"/>
      <c r="AC35" s="165"/>
      <c r="AD35" s="165"/>
      <c r="AF35" s="166"/>
      <c r="AG35" s="166"/>
      <c r="AI35" s="167">
        <f>+'Capital IQ Sheet-STM'!AK35</f>
        <v>0</v>
      </c>
    </row>
    <row r="36" spans="2:35" s="160" customFormat="1" ht="12.75" customHeight="1">
      <c r="B36" s="159"/>
      <c r="F36" s="161"/>
      <c r="G36" s="162"/>
      <c r="I36" s="163"/>
      <c r="J36" s="163"/>
      <c r="K36" s="163"/>
      <c r="L36" s="163"/>
      <c r="M36" s="164"/>
      <c r="N36" s="163"/>
      <c r="O36" s="163"/>
      <c r="P36" s="163"/>
      <c r="Q36" s="164"/>
      <c r="R36" s="165"/>
      <c r="S36" s="165"/>
      <c r="T36" s="165"/>
      <c r="U36" s="165"/>
      <c r="V36" s="165"/>
      <c r="W36" s="164"/>
      <c r="X36" s="163"/>
      <c r="Y36" s="163"/>
      <c r="Z36" s="163"/>
      <c r="AA36" s="164"/>
      <c r="AB36" s="165"/>
      <c r="AC36" s="165"/>
      <c r="AD36" s="165"/>
      <c r="AF36" s="166"/>
      <c r="AG36" s="166"/>
      <c r="AI36" s="167">
        <f>+'Capital IQ Sheet-STM'!AK36</f>
        <v>0</v>
      </c>
    </row>
    <row r="37" spans="2:35" s="160" customFormat="1" ht="12.75" customHeight="1">
      <c r="B37" s="159"/>
      <c r="F37" s="161"/>
      <c r="G37" s="162"/>
      <c r="I37" s="163"/>
      <c r="J37" s="163"/>
      <c r="K37" s="163"/>
      <c r="L37" s="163"/>
      <c r="M37" s="164"/>
      <c r="N37" s="163"/>
      <c r="O37" s="163"/>
      <c r="P37" s="163"/>
      <c r="Q37" s="164"/>
      <c r="R37" s="165"/>
      <c r="S37" s="165"/>
      <c r="T37" s="165"/>
      <c r="U37" s="165"/>
      <c r="V37" s="165"/>
      <c r="W37" s="164"/>
      <c r="X37" s="163"/>
      <c r="Y37" s="163"/>
      <c r="Z37" s="163"/>
      <c r="AA37" s="164"/>
      <c r="AB37" s="165"/>
      <c r="AC37" s="165"/>
      <c r="AD37" s="165"/>
      <c r="AF37" s="166"/>
      <c r="AG37" s="166"/>
      <c r="AI37" s="167">
        <f>+'Capital IQ Sheet-STM'!AK37</f>
        <v>0</v>
      </c>
    </row>
    <row r="38" spans="2:35" s="160" customFormat="1" ht="12.75" customHeight="1">
      <c r="B38" s="159"/>
      <c r="F38" s="161"/>
      <c r="G38" s="162"/>
      <c r="I38" s="163"/>
      <c r="J38" s="163"/>
      <c r="K38" s="163"/>
      <c r="L38" s="163"/>
      <c r="M38" s="164"/>
      <c r="N38" s="163"/>
      <c r="O38" s="163"/>
      <c r="P38" s="163"/>
      <c r="Q38" s="164"/>
      <c r="R38" s="165"/>
      <c r="S38" s="165"/>
      <c r="T38" s="165"/>
      <c r="U38" s="165"/>
      <c r="V38" s="165"/>
      <c r="W38" s="164"/>
      <c r="X38" s="163"/>
      <c r="Y38" s="163"/>
      <c r="Z38" s="163"/>
      <c r="AA38" s="164"/>
      <c r="AB38" s="165"/>
      <c r="AC38" s="165"/>
      <c r="AD38" s="165"/>
      <c r="AF38" s="166"/>
      <c r="AG38" s="166"/>
      <c r="AI38" s="167">
        <f>+'Capital IQ Sheet-STM'!AK38</f>
        <v>0</v>
      </c>
    </row>
    <row r="39" spans="2:35" s="160" customFormat="1" ht="12.75" customHeight="1">
      <c r="B39" s="159"/>
      <c r="F39" s="161"/>
      <c r="G39" s="162"/>
      <c r="I39" s="163"/>
      <c r="J39" s="163"/>
      <c r="K39" s="163"/>
      <c r="L39" s="163"/>
      <c r="M39" s="164"/>
      <c r="N39" s="163"/>
      <c r="O39" s="163"/>
      <c r="P39" s="163"/>
      <c r="Q39" s="164"/>
      <c r="R39" s="165"/>
      <c r="S39" s="165"/>
      <c r="T39" s="165"/>
      <c r="U39" s="165"/>
      <c r="V39" s="165"/>
      <c r="W39" s="164"/>
      <c r="X39" s="163"/>
      <c r="Y39" s="163"/>
      <c r="Z39" s="163"/>
      <c r="AA39" s="164"/>
      <c r="AB39" s="165"/>
      <c r="AC39" s="165"/>
      <c r="AD39" s="165"/>
      <c r="AF39" s="166"/>
      <c r="AG39" s="166"/>
      <c r="AI39" s="167">
        <f>+'Capital IQ Sheet-STM'!AK39</f>
        <v>0</v>
      </c>
    </row>
    <row r="40" spans="2:35" s="160" customFormat="1" ht="12.75" customHeight="1">
      <c r="B40" s="159"/>
      <c r="F40" s="161"/>
      <c r="G40" s="162"/>
      <c r="I40" s="163"/>
      <c r="J40" s="163"/>
      <c r="K40" s="163"/>
      <c r="L40" s="163"/>
      <c r="M40" s="164"/>
      <c r="N40" s="163"/>
      <c r="O40" s="163"/>
      <c r="P40" s="163"/>
      <c r="Q40" s="164"/>
      <c r="R40" s="165"/>
      <c r="S40" s="165"/>
      <c r="T40" s="165"/>
      <c r="U40" s="165"/>
      <c r="V40" s="165"/>
      <c r="W40" s="164"/>
      <c r="X40" s="163"/>
      <c r="Y40" s="163"/>
      <c r="Z40" s="163"/>
      <c r="AA40" s="164"/>
      <c r="AB40" s="165"/>
      <c r="AC40" s="165"/>
      <c r="AD40" s="165"/>
      <c r="AF40" s="166"/>
      <c r="AG40" s="166"/>
      <c r="AI40" s="167">
        <f>+'Capital IQ Sheet-STM'!AK40</f>
        <v>0</v>
      </c>
    </row>
    <row r="41" spans="2:35" s="160" customFormat="1" ht="12.75" customHeight="1">
      <c r="B41" s="159"/>
      <c r="F41" s="161"/>
      <c r="G41" s="162"/>
      <c r="I41" s="163"/>
      <c r="J41" s="163"/>
      <c r="K41" s="163"/>
      <c r="L41" s="163"/>
      <c r="M41" s="164"/>
      <c r="N41" s="163"/>
      <c r="O41" s="163"/>
      <c r="P41" s="163"/>
      <c r="Q41" s="164"/>
      <c r="R41" s="165"/>
      <c r="S41" s="165"/>
      <c r="T41" s="165"/>
      <c r="U41" s="165"/>
      <c r="V41" s="165"/>
      <c r="W41" s="164"/>
      <c r="X41" s="163"/>
      <c r="Y41" s="163"/>
      <c r="Z41" s="163"/>
      <c r="AA41" s="164"/>
      <c r="AB41" s="165"/>
      <c r="AC41" s="165"/>
      <c r="AD41" s="165"/>
      <c r="AF41" s="166"/>
      <c r="AG41" s="166"/>
      <c r="AI41" s="167"/>
    </row>
    <row r="42" spans="2:35" s="160" customFormat="1" ht="12.75" customHeight="1">
      <c r="B42" s="159"/>
      <c r="F42" s="161"/>
      <c r="G42" s="162"/>
      <c r="I42" s="163"/>
      <c r="J42" s="163"/>
      <c r="K42" s="163"/>
      <c r="L42" s="163"/>
      <c r="M42" s="164"/>
      <c r="N42" s="163"/>
      <c r="O42" s="163"/>
      <c r="P42" s="163"/>
      <c r="Q42" s="164"/>
      <c r="R42" s="165"/>
      <c r="S42" s="165"/>
      <c r="T42" s="165"/>
      <c r="U42" s="165"/>
      <c r="V42" s="165"/>
      <c r="W42" s="164"/>
      <c r="X42" s="163"/>
      <c r="Y42" s="163"/>
      <c r="Z42" s="163"/>
      <c r="AA42" s="164"/>
      <c r="AB42" s="165"/>
      <c r="AC42" s="165"/>
      <c r="AD42" s="165"/>
      <c r="AF42" s="166"/>
      <c r="AG42" s="166"/>
      <c r="AI42" s="167"/>
    </row>
    <row r="43" spans="2:35" s="160" customFormat="1" ht="12.75" customHeight="1">
      <c r="B43" s="159"/>
      <c r="F43" s="161"/>
      <c r="G43" s="162"/>
      <c r="I43" s="163"/>
      <c r="J43" s="163"/>
      <c r="K43" s="163"/>
      <c r="L43" s="163"/>
      <c r="M43" s="164"/>
      <c r="N43" s="163"/>
      <c r="O43" s="163"/>
      <c r="P43" s="163"/>
      <c r="Q43" s="164"/>
      <c r="R43" s="165"/>
      <c r="S43" s="165"/>
      <c r="T43" s="165"/>
      <c r="U43" s="165"/>
      <c r="V43" s="165"/>
      <c r="W43" s="164"/>
      <c r="X43" s="163"/>
      <c r="Y43" s="163"/>
      <c r="Z43" s="163"/>
      <c r="AA43" s="164"/>
      <c r="AB43" s="165"/>
      <c r="AC43" s="165"/>
      <c r="AD43" s="165"/>
      <c r="AF43" s="166"/>
      <c r="AG43" s="166"/>
      <c r="AI43" s="167"/>
    </row>
    <row r="44" spans="2:35" s="160" customFormat="1" ht="12.75" customHeight="1">
      <c r="B44" s="159"/>
      <c r="F44" s="161"/>
      <c r="G44" s="162"/>
      <c r="I44" s="163"/>
      <c r="J44" s="163"/>
      <c r="K44" s="163"/>
      <c r="L44" s="163"/>
      <c r="M44" s="164"/>
      <c r="N44" s="163"/>
      <c r="O44" s="163"/>
      <c r="P44" s="163"/>
      <c r="Q44" s="164"/>
      <c r="R44" s="165"/>
      <c r="S44" s="165"/>
      <c r="T44" s="165"/>
      <c r="U44" s="165"/>
      <c r="V44" s="165"/>
      <c r="W44" s="164"/>
      <c r="X44" s="163"/>
      <c r="Y44" s="163"/>
      <c r="Z44" s="163"/>
      <c r="AA44" s="164"/>
      <c r="AB44" s="165"/>
      <c r="AC44" s="165"/>
      <c r="AD44" s="165"/>
      <c r="AF44" s="166"/>
      <c r="AG44" s="166"/>
      <c r="AI44" s="167"/>
    </row>
    <row r="45" spans="2:35" s="145" customFormat="1" ht="12.75" customHeight="1"/>
    <row r="46" spans="2:35" s="145" customFormat="1" ht="12.75" customHeight="1"/>
    <row r="47" spans="2:35" s="145" customFormat="1" ht="12.75" customHeight="1">
      <c r="B47" s="168" t="s">
        <v>111</v>
      </c>
      <c r="C47" s="169"/>
      <c r="D47" s="169"/>
      <c r="E47" s="169"/>
      <c r="F47" s="169"/>
      <c r="G47" s="169"/>
      <c r="H47" s="169"/>
      <c r="I47" s="170" t="e">
        <f ca="1">MAX(I10:I45)</f>
        <v>#NAME?</v>
      </c>
      <c r="J47" s="194"/>
      <c r="K47" s="194"/>
      <c r="L47" s="170"/>
      <c r="M47" s="169"/>
      <c r="N47" s="170" t="e">
        <f ca="1">MAX(N10:N45)</f>
        <v>#NAME?</v>
      </c>
      <c r="O47" s="170" t="e">
        <f ca="1">MAX(O10:O45)</f>
        <v>#NAME?</v>
      </c>
      <c r="P47" s="170" t="e">
        <f ca="1">MAX(P10:P45)</f>
        <v>#NAME?</v>
      </c>
      <c r="Q47" s="171"/>
      <c r="R47" s="172">
        <f ca="1">MAX(R10:R45)</f>
        <v>0</v>
      </c>
      <c r="S47" s="172">
        <f ca="1">MAX(S10:S45)</f>
        <v>0</v>
      </c>
      <c r="T47" s="172">
        <f ca="1">MAX(T10:T45)</f>
        <v>0</v>
      </c>
      <c r="U47" s="172" t="e">
        <f ca="1">MAX(U10:U45)</f>
        <v>#NAME?</v>
      </c>
      <c r="V47" s="172" t="e">
        <f ca="1">MAX(V10:V45)</f>
        <v>#NAME?</v>
      </c>
      <c r="W47" s="169"/>
      <c r="X47" s="170" t="e">
        <f ca="1">MAX(X10:X45)</f>
        <v>#NAME?</v>
      </c>
      <c r="Y47" s="170" t="e">
        <f ca="1">MAX(Y10:Y45)</f>
        <v>#NAME?</v>
      </c>
      <c r="Z47" s="170" t="e">
        <f ca="1">MAX(Z10:Z45)</f>
        <v>#NAME?</v>
      </c>
      <c r="AA47" s="169"/>
      <c r="AB47" s="172">
        <f ca="1">MAX(AB10:AB45)</f>
        <v>0</v>
      </c>
      <c r="AC47" s="172">
        <f ca="1">MAX(AC10:AC45)</f>
        <v>0</v>
      </c>
      <c r="AD47" s="172">
        <f ca="1">MAX(AD10:AD45)</f>
        <v>0</v>
      </c>
      <c r="AE47" s="169"/>
      <c r="AF47" s="173" t="e">
        <f ca="1">MAX(AF10:AF45)</f>
        <v>#NAME?</v>
      </c>
      <c r="AG47" s="174" t="e">
        <f ca="1">MAX(AG10:AG45)</f>
        <v>#NAME?</v>
      </c>
    </row>
    <row r="48" spans="2:35" s="145" customFormat="1" ht="12.75" customHeight="1">
      <c r="B48" s="175" t="s">
        <v>115</v>
      </c>
      <c r="C48" s="176"/>
      <c r="D48" s="176"/>
      <c r="E48" s="176"/>
      <c r="F48" s="176"/>
      <c r="G48" s="176"/>
      <c r="H48" s="176"/>
      <c r="I48" s="177" t="e">
        <f ca="1">QUARTILE(I10:I45,3)</f>
        <v>#NAME?</v>
      </c>
      <c r="J48" s="177"/>
      <c r="K48" s="177"/>
      <c r="L48" s="177"/>
      <c r="M48" s="176"/>
      <c r="N48" s="177" t="e">
        <f ca="1">QUARTILE(N10:N45,3)</f>
        <v>#NAME?</v>
      </c>
      <c r="O48" s="177" t="e">
        <f ca="1">QUARTILE(O10:O45,3)</f>
        <v>#NAME?</v>
      </c>
      <c r="P48" s="177" t="e">
        <f ca="1">QUARTILE(P10:P45,3)</f>
        <v>#NAME?</v>
      </c>
      <c r="Q48" s="178"/>
      <c r="R48" s="179" t="e">
        <f ca="1">QUARTILE(R10:R45,3)</f>
        <v>#NUM!</v>
      </c>
      <c r="S48" s="179" t="e">
        <f ca="1">QUARTILE(S10:S45,3)</f>
        <v>#NUM!</v>
      </c>
      <c r="T48" s="179" t="e">
        <f ca="1">QUARTILE(T10:T45,3)</f>
        <v>#NUM!</v>
      </c>
      <c r="U48" s="179" t="e">
        <f ca="1">QUARTILE(U10:U45,3)</f>
        <v>#NAME?</v>
      </c>
      <c r="V48" s="179" t="e">
        <f ca="1">QUARTILE(V10:V45,3)</f>
        <v>#NAME?</v>
      </c>
      <c r="W48" s="176"/>
      <c r="X48" s="177" t="e">
        <f ca="1">QUARTILE(X10:X45,3)</f>
        <v>#NAME?</v>
      </c>
      <c r="Y48" s="177" t="e">
        <f ca="1">QUARTILE(Y10:Y45,3)</f>
        <v>#NAME?</v>
      </c>
      <c r="Z48" s="177" t="e">
        <f ca="1">QUARTILE(Z10:Z45,3)</f>
        <v>#NAME?</v>
      </c>
      <c r="AA48" s="176"/>
      <c r="AB48" s="179" t="e">
        <f ca="1">QUARTILE(AB10:AB45,3)</f>
        <v>#NUM!</v>
      </c>
      <c r="AC48" s="179" t="e">
        <f ca="1">QUARTILE(AC10:AC45,3)</f>
        <v>#NUM!</v>
      </c>
      <c r="AD48" s="179" t="e">
        <f ca="1">QUARTILE(AD10:AD45,3)</f>
        <v>#NUM!</v>
      </c>
      <c r="AE48" s="176"/>
      <c r="AF48" s="180" t="e">
        <f ca="1">QUARTILE(AF10:AF45,3)</f>
        <v>#NAME?</v>
      </c>
      <c r="AG48" s="181" t="e">
        <f ca="1">QUARTILE(AG10:AG45,3)</f>
        <v>#NAME?</v>
      </c>
    </row>
    <row r="49" spans="2:33" s="145" customFormat="1" ht="12.75" customHeight="1">
      <c r="B49" s="175" t="s">
        <v>113</v>
      </c>
      <c r="C49" s="176"/>
      <c r="D49" s="176"/>
      <c r="E49" s="176"/>
      <c r="F49" s="176"/>
      <c r="G49" s="176"/>
      <c r="H49" s="176"/>
      <c r="I49" s="177" t="e">
        <f ca="1">AVERAGE(I10:I45)</f>
        <v>#NAME?</v>
      </c>
      <c r="J49" s="177"/>
      <c r="K49" s="177"/>
      <c r="L49" s="177"/>
      <c r="M49" s="176"/>
      <c r="N49" s="177" t="e">
        <f ca="1">AVERAGE(N10:N45)</f>
        <v>#NAME?</v>
      </c>
      <c r="O49" s="177" t="e">
        <f ca="1">AVERAGE(O10:O45)</f>
        <v>#NAME?</v>
      </c>
      <c r="P49" s="177" t="e">
        <f ca="1">AVERAGE(P10:P45)</f>
        <v>#NAME?</v>
      </c>
      <c r="Q49" s="178"/>
      <c r="R49" s="179" t="e">
        <f ca="1">AVERAGE(R10:R45)</f>
        <v>#DIV/0!</v>
      </c>
      <c r="S49" s="179" t="e">
        <f ca="1">AVERAGE(S10:S45)</f>
        <v>#DIV/0!</v>
      </c>
      <c r="T49" s="179" t="e">
        <f ca="1">AVERAGE(T10:T45)</f>
        <v>#DIV/0!</v>
      </c>
      <c r="U49" s="179" t="e">
        <f ca="1">AVERAGE(U10:U45)</f>
        <v>#NAME?</v>
      </c>
      <c r="V49" s="179" t="e">
        <f ca="1">AVERAGE(V10:V45)</f>
        <v>#NAME?</v>
      </c>
      <c r="W49" s="176"/>
      <c r="X49" s="177" t="e">
        <f ca="1">AVERAGE(X10:X45)</f>
        <v>#NAME?</v>
      </c>
      <c r="Y49" s="177" t="e">
        <f ca="1">AVERAGE(Y10:Y45)</f>
        <v>#NAME?</v>
      </c>
      <c r="Z49" s="177" t="e">
        <f ca="1">AVERAGE(Z10:Z45)</f>
        <v>#NAME?</v>
      </c>
      <c r="AA49" s="176"/>
      <c r="AB49" s="179" t="e">
        <f ca="1">AVERAGE(AB10:AB45)</f>
        <v>#DIV/0!</v>
      </c>
      <c r="AC49" s="179" t="e">
        <f ca="1">AVERAGE(AC10:AC45)</f>
        <v>#DIV/0!</v>
      </c>
      <c r="AD49" s="179" t="e">
        <f ca="1">AVERAGE(AD10:AD45)</f>
        <v>#DIV/0!</v>
      </c>
      <c r="AE49" s="176"/>
      <c r="AF49" s="180" t="e">
        <f ca="1">AVERAGE(AF10:AF45)</f>
        <v>#NAME?</v>
      </c>
      <c r="AG49" s="181" t="e">
        <f ca="1">AVERAGE(AG10:AG45)</f>
        <v>#NAME?</v>
      </c>
    </row>
    <row r="50" spans="2:33" s="145" customFormat="1" ht="12.75" customHeight="1">
      <c r="B50" s="175" t="s">
        <v>44</v>
      </c>
      <c r="C50" s="176"/>
      <c r="D50" s="176"/>
      <c r="E50" s="176"/>
      <c r="F50" s="176"/>
      <c r="G50" s="176"/>
      <c r="H50" s="176"/>
      <c r="I50" s="177" t="e">
        <f ca="1">MEDIAN(I10:I45)</f>
        <v>#NAME?</v>
      </c>
      <c r="J50" s="177"/>
      <c r="K50" s="177"/>
      <c r="L50" s="177"/>
      <c r="M50" s="176"/>
      <c r="N50" s="177" t="e">
        <f ca="1">MEDIAN(N10:N45)</f>
        <v>#NAME?</v>
      </c>
      <c r="O50" s="177" t="e">
        <f ca="1">MEDIAN(O10:O45)</f>
        <v>#NAME?</v>
      </c>
      <c r="P50" s="177" t="e">
        <f ca="1">MEDIAN(P10:P45)</f>
        <v>#NAME?</v>
      </c>
      <c r="Q50" s="178"/>
      <c r="R50" s="179" t="e">
        <f ca="1">MEDIAN(R10:R45)</f>
        <v>#NUM!</v>
      </c>
      <c r="S50" s="179" t="e">
        <f ca="1">MEDIAN(S10:S45)</f>
        <v>#NUM!</v>
      </c>
      <c r="T50" s="179" t="e">
        <f ca="1">MEDIAN(T10:T45)</f>
        <v>#NUM!</v>
      </c>
      <c r="U50" s="179" t="e">
        <f ca="1">MEDIAN(U10:U45)</f>
        <v>#NAME?</v>
      </c>
      <c r="V50" s="179" t="e">
        <f ca="1">MEDIAN(V10:V45)</f>
        <v>#NAME?</v>
      </c>
      <c r="W50" s="176"/>
      <c r="X50" s="177" t="e">
        <f ca="1">MEDIAN(X10:X45)</f>
        <v>#NAME?</v>
      </c>
      <c r="Y50" s="177" t="e">
        <f ca="1">MEDIAN(Y10:Y45)</f>
        <v>#NAME?</v>
      </c>
      <c r="Z50" s="177" t="e">
        <f ca="1">MEDIAN(Z10:Z45)</f>
        <v>#NAME?</v>
      </c>
      <c r="AA50" s="176"/>
      <c r="AB50" s="179" t="e">
        <f ca="1">MEDIAN(AB10:AB45)</f>
        <v>#NUM!</v>
      </c>
      <c r="AC50" s="179" t="e">
        <f ca="1">MEDIAN(AC10:AC45)</f>
        <v>#NUM!</v>
      </c>
      <c r="AD50" s="179" t="e">
        <f ca="1">MEDIAN(AD10:AD45)</f>
        <v>#NUM!</v>
      </c>
      <c r="AE50" s="176"/>
      <c r="AF50" s="180" t="e">
        <f ca="1">MEDIAN(AF10:AF45)</f>
        <v>#NAME?</v>
      </c>
      <c r="AG50" s="181" t="e">
        <f ca="1">MEDIAN(AG10:AG45)</f>
        <v>#NAME?</v>
      </c>
    </row>
    <row r="51" spans="2:33" s="145" customFormat="1" ht="12.75" customHeight="1">
      <c r="B51" s="175" t="s">
        <v>114</v>
      </c>
      <c r="C51" s="176"/>
      <c r="D51" s="176"/>
      <c r="E51" s="176"/>
      <c r="F51" s="176"/>
      <c r="G51" s="176"/>
      <c r="H51" s="176"/>
      <c r="I51" s="177" t="e">
        <f ca="1">QUARTILE(I10:I45,1)</f>
        <v>#NAME?</v>
      </c>
      <c r="J51" s="177"/>
      <c r="K51" s="177"/>
      <c r="L51" s="177"/>
      <c r="M51" s="176"/>
      <c r="N51" s="177" t="e">
        <f ca="1">QUARTILE(N10:N45,1)</f>
        <v>#NAME?</v>
      </c>
      <c r="O51" s="177" t="e">
        <f ca="1">QUARTILE(O10:O45,1)</f>
        <v>#NAME?</v>
      </c>
      <c r="P51" s="177" t="e">
        <f ca="1">QUARTILE(P10:P45,1)</f>
        <v>#NAME?</v>
      </c>
      <c r="Q51" s="178"/>
      <c r="R51" s="179" t="e">
        <f ca="1">QUARTILE(R10:R45,1)</f>
        <v>#NUM!</v>
      </c>
      <c r="S51" s="179" t="e">
        <f ca="1">QUARTILE(S10:S45,1)</f>
        <v>#NUM!</v>
      </c>
      <c r="T51" s="179" t="e">
        <f ca="1">QUARTILE(T10:T45,1)</f>
        <v>#NUM!</v>
      </c>
      <c r="U51" s="179" t="e">
        <f ca="1">QUARTILE(U10:U45,1)</f>
        <v>#NAME?</v>
      </c>
      <c r="V51" s="179" t="e">
        <f ca="1">QUARTILE(V10:V45,1)</f>
        <v>#NAME?</v>
      </c>
      <c r="W51" s="176"/>
      <c r="X51" s="177" t="e">
        <f ca="1">QUARTILE(X10:X45,1)</f>
        <v>#NAME?</v>
      </c>
      <c r="Y51" s="177" t="e">
        <f ca="1">QUARTILE(Y10:Y45,1)</f>
        <v>#NAME?</v>
      </c>
      <c r="Z51" s="177" t="e">
        <f ca="1">QUARTILE(Z10:Z45,1)</f>
        <v>#NAME?</v>
      </c>
      <c r="AA51" s="176"/>
      <c r="AB51" s="179" t="e">
        <f ca="1">QUARTILE(AB10:AB45,1)</f>
        <v>#NUM!</v>
      </c>
      <c r="AC51" s="179" t="e">
        <f ca="1">QUARTILE(AC10:AC45,1)</f>
        <v>#NUM!</v>
      </c>
      <c r="AD51" s="179" t="e">
        <f ca="1">QUARTILE(AD10:AD45,1)</f>
        <v>#NUM!</v>
      </c>
      <c r="AE51" s="176"/>
      <c r="AF51" s="180" t="e">
        <f ca="1">QUARTILE(AF10:AF45,1)</f>
        <v>#NAME?</v>
      </c>
      <c r="AG51" s="181" t="e">
        <f ca="1">QUARTILE(AG10:AG45,1)</f>
        <v>#NAME?</v>
      </c>
    </row>
    <row r="52" spans="2:33" s="145" customFormat="1" ht="12.75" customHeight="1">
      <c r="B52" s="182" t="s">
        <v>112</v>
      </c>
      <c r="C52" s="183"/>
      <c r="D52" s="183"/>
      <c r="E52" s="183"/>
      <c r="F52" s="183"/>
      <c r="G52" s="183"/>
      <c r="H52" s="183"/>
      <c r="I52" s="184" t="e">
        <f ca="1">MIN(I10:I45)</f>
        <v>#NAME?</v>
      </c>
      <c r="J52" s="184"/>
      <c r="K52" s="184"/>
      <c r="L52" s="184"/>
      <c r="M52" s="183"/>
      <c r="N52" s="184" t="e">
        <f ca="1">MIN(N10:N45)</f>
        <v>#NAME?</v>
      </c>
      <c r="O52" s="184" t="e">
        <f ca="1">MIN(O10:O45)</f>
        <v>#NAME?</v>
      </c>
      <c r="P52" s="184" t="e">
        <f ca="1">MIN(P10:P45)</f>
        <v>#NAME?</v>
      </c>
      <c r="Q52" s="185"/>
      <c r="R52" s="186">
        <f ca="1">MIN(R10:R45)</f>
        <v>0</v>
      </c>
      <c r="S52" s="186">
        <f ca="1">MIN(S10:S45)</f>
        <v>0</v>
      </c>
      <c r="T52" s="186">
        <f ca="1">MIN(T10:T45)</f>
        <v>0</v>
      </c>
      <c r="U52" s="186" t="e">
        <f ca="1">MIN(U10:U45)</f>
        <v>#NAME?</v>
      </c>
      <c r="V52" s="186" t="e">
        <f ca="1">MIN(V10:V45)</f>
        <v>#NAME?</v>
      </c>
      <c r="W52" s="183"/>
      <c r="X52" s="184" t="e">
        <f ca="1">MIN(X10:X45)</f>
        <v>#NAME?</v>
      </c>
      <c r="Y52" s="184" t="e">
        <f ca="1">MIN(Y10:Y45)</f>
        <v>#NAME?</v>
      </c>
      <c r="Z52" s="184" t="e">
        <f ca="1">MIN(Z10:Z45)</f>
        <v>#NAME?</v>
      </c>
      <c r="AA52" s="183"/>
      <c r="AB52" s="186">
        <f ca="1">MIN(AB10:AB45)</f>
        <v>0</v>
      </c>
      <c r="AC52" s="186">
        <f ca="1">MIN(AC10:AC45)</f>
        <v>0</v>
      </c>
      <c r="AD52" s="186">
        <f ca="1">MIN(AD10:AD45)</f>
        <v>0</v>
      </c>
      <c r="AE52" s="183"/>
      <c r="AF52" s="187" t="e">
        <f ca="1">MIN(AF10:AF45)</f>
        <v>#NAME?</v>
      </c>
      <c r="AG52" s="188" t="e">
        <f ca="1">MIN(AG10:AG45)</f>
        <v>#NAME?</v>
      </c>
    </row>
    <row r="53" spans="2:33" s="145" customFormat="1" ht="12.75" customHeight="1"/>
    <row r="54" spans="2:33" s="145" customFormat="1" ht="12.75" customHeight="1"/>
    <row r="55" spans="2:33" s="145" customFormat="1" ht="12.75" customHeight="1">
      <c r="B55" s="189" t="s">
        <v>116</v>
      </c>
    </row>
    <row r="56" spans="2:33" s="145" customFormat="1" ht="12.75" customHeight="1"/>
    <row r="57" spans="2:33" s="145" customFormat="1" ht="12.75" customHeight="1"/>
  </sheetData>
  <conditionalFormatting sqref="AG4">
    <cfRule type="cellIs" dxfId="153" priority="1" stopIfTrue="1" operator="equal">
      <formula>"input"</formula>
    </cfRule>
  </conditionalFormatting>
  <conditionalFormatting sqref="R4">
    <cfRule type="cellIs" dxfId="152" priority="5" stopIfTrue="1" operator="equal">
      <formula>"input"</formula>
    </cfRule>
  </conditionalFormatting>
  <conditionalFormatting sqref="B4:M4">
    <cfRule type="cellIs" dxfId="151" priority="11" stopIfTrue="1" operator="equal">
      <formula>"input"</formula>
    </cfRule>
  </conditionalFormatting>
  <conditionalFormatting sqref="N4">
    <cfRule type="cellIs" dxfId="150" priority="9" stopIfTrue="1" operator="equal">
      <formula>"input"</formula>
    </cfRule>
  </conditionalFormatting>
  <conditionalFormatting sqref="N4">
    <cfRule type="cellIs" dxfId="149" priority="10" stopIfTrue="1" operator="equal">
      <formula>"input"</formula>
    </cfRule>
  </conditionalFormatting>
  <conditionalFormatting sqref="O4:Q4">
    <cfRule type="cellIs" dxfId="148" priority="7" stopIfTrue="1" operator="equal">
      <formula>"input"</formula>
    </cfRule>
  </conditionalFormatting>
  <conditionalFormatting sqref="O4:Q4">
    <cfRule type="cellIs" dxfId="147" priority="8" stopIfTrue="1" operator="equal">
      <formula>"input"</formula>
    </cfRule>
  </conditionalFormatting>
  <conditionalFormatting sqref="R4">
    <cfRule type="cellIs" dxfId="146" priority="6" stopIfTrue="1" operator="equal">
      <formula>"input"</formula>
    </cfRule>
  </conditionalFormatting>
  <conditionalFormatting sqref="S4:AF4">
    <cfRule type="cellIs" dxfId="145" priority="3" stopIfTrue="1" operator="equal">
      <formula>"input"</formula>
    </cfRule>
  </conditionalFormatting>
  <conditionalFormatting sqref="S4:AF4">
    <cfRule type="cellIs" dxfId="144" priority="4" stopIfTrue="1" operator="equal">
      <formula>"input"</formula>
    </cfRule>
  </conditionalFormatting>
  <conditionalFormatting sqref="AG4">
    <cfRule type="cellIs" dxfId="143"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46">
    <tabColor theme="1"/>
  </sheetPr>
  <dimension ref="A1"/>
  <sheetViews>
    <sheetView showGridLines="0" workbookViewId="0"/>
  </sheetViews>
  <sheetFormatPr defaultRowHeight="12.75"/>
  <cols>
    <col min="1" max="16384" width="9.33203125" style="8"/>
  </cols>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4"/>
  <dimension ref="A1:AA660"/>
  <sheetViews>
    <sheetView showGridLines="0" view="pageBreakPreview" topLeftCell="C84" zoomScale="55" zoomScaleNormal="85" zoomScaleSheetLayoutView="55" workbookViewId="0">
      <selection activeCell="S47" sqref="S47"/>
    </sheetView>
  </sheetViews>
  <sheetFormatPr defaultRowHeight="14.25" outlineLevelRow="1"/>
  <cols>
    <col min="1" max="1" width="4.5" style="234" customWidth="1"/>
    <col min="2" max="2" width="52.5" style="234" customWidth="1"/>
    <col min="3" max="3" width="2.83203125" style="234" customWidth="1"/>
    <col min="4" max="15" width="18.1640625" style="234" customWidth="1"/>
    <col min="16" max="16" width="4.5" style="234" customWidth="1"/>
    <col min="17" max="17" width="16.83203125" style="234" bestFit="1" customWidth="1"/>
    <col min="18" max="18" width="1.83203125" style="234" customWidth="1"/>
    <col min="19" max="19" width="21.6640625" style="252" bestFit="1" customWidth="1"/>
    <col min="20" max="24" width="12.83203125" style="234" customWidth="1"/>
    <col min="25" max="16384" width="9.33203125" style="234"/>
  </cols>
  <sheetData>
    <row r="1" spans="2:27" ht="10.7" customHeight="1" thickBot="1"/>
    <row r="2" spans="2:27" ht="16.5" customHeight="1" thickTop="1">
      <c r="B2" s="223" t="str">
        <f>'MASTER PubCo Inputs'!$C$5</f>
        <v>Trucode Gene Repair, Inc.</v>
      </c>
      <c r="C2" s="223"/>
      <c r="D2" s="223"/>
      <c r="E2" s="223"/>
      <c r="F2" s="223"/>
      <c r="G2" s="223"/>
      <c r="H2" s="223"/>
      <c r="I2" s="223"/>
      <c r="J2" s="223"/>
      <c r="K2" s="223"/>
      <c r="L2" s="223"/>
      <c r="M2" s="223"/>
      <c r="N2" s="223"/>
      <c r="O2" s="223"/>
    </row>
    <row r="3" spans="2:27" ht="15.75" customHeight="1">
      <c r="B3" s="232" t="e">
        <f>VLOOKUP(B4,Outline!$E$8:$G$65,COLUMNS(Outline!$E$8:$G$8),FALSE)</f>
        <v>#N/A</v>
      </c>
      <c r="C3" s="232"/>
      <c r="D3" s="232"/>
      <c r="E3" s="232"/>
      <c r="F3" s="232"/>
      <c r="G3" s="232"/>
      <c r="H3" s="232"/>
      <c r="I3" s="232"/>
      <c r="J3" s="232"/>
      <c r="K3" s="232"/>
      <c r="L3" s="232"/>
      <c r="M3" s="232"/>
      <c r="N3" s="232"/>
      <c r="O3" s="232"/>
    </row>
    <row r="4" spans="2:27" ht="16.5" customHeight="1" thickBot="1">
      <c r="B4" s="225" t="s">
        <v>4171</v>
      </c>
      <c r="C4" s="225"/>
      <c r="D4" s="225"/>
      <c r="E4" s="225"/>
      <c r="F4" s="225"/>
      <c r="G4" s="225"/>
      <c r="H4" s="225"/>
      <c r="I4" s="225"/>
      <c r="J4" s="233"/>
      <c r="K4" s="233"/>
      <c r="L4" s="233"/>
      <c r="M4" s="233"/>
      <c r="N4" s="233"/>
      <c r="O4" s="233" t="str">
        <f>+'MASTER PubCo Inputs'!$C$20</f>
        <v>(in thousands of USD and shares, except price per share)</v>
      </c>
    </row>
    <row r="5" spans="2:27" ht="14.85" customHeight="1" thickTop="1"/>
    <row r="6" spans="2:27" ht="14.85" customHeight="1"/>
    <row r="7" spans="2:27" ht="14.85" customHeight="1">
      <c r="B7" s="430" t="s">
        <v>377</v>
      </c>
      <c r="C7" s="431"/>
      <c r="D7" s="431"/>
      <c r="E7" s="432" t="s">
        <v>70</v>
      </c>
      <c r="F7" s="431"/>
      <c r="G7" s="431"/>
      <c r="H7" s="431"/>
      <c r="I7" s="431"/>
      <c r="J7" s="431"/>
      <c r="K7" s="431"/>
      <c r="L7" s="431"/>
      <c r="M7" s="431"/>
      <c r="N7" s="431"/>
      <c r="O7" s="433"/>
    </row>
    <row r="8" spans="2:27" s="435" customFormat="1" ht="14.85" customHeight="1">
      <c r="B8" s="434"/>
      <c r="C8" s="434"/>
      <c r="D8" s="434"/>
      <c r="E8" s="434"/>
      <c r="F8" s="434"/>
      <c r="G8" s="434"/>
      <c r="H8" s="434"/>
      <c r="I8" s="434"/>
      <c r="J8" s="434"/>
      <c r="K8" s="434"/>
      <c r="L8" s="434"/>
      <c r="M8" s="434"/>
      <c r="N8" s="434"/>
      <c r="O8" s="434"/>
      <c r="S8" s="436"/>
    </row>
    <row r="9" spans="2:27" ht="14.85" customHeight="1">
      <c r="B9" s="234" t="s">
        <v>375</v>
      </c>
      <c r="C9" s="437"/>
      <c r="D9" s="438">
        <f>'Val Summ'!D9</f>
        <v>42640</v>
      </c>
      <c r="E9" s="283" t="s">
        <v>2021</v>
      </c>
    </row>
    <row r="10" spans="2:27" ht="14.85" customHeight="1">
      <c r="B10" s="234" t="s">
        <v>376</v>
      </c>
      <c r="D10" s="490">
        <f>T14</f>
        <v>1.7035945205479452</v>
      </c>
      <c r="E10" s="283" t="s">
        <v>2020</v>
      </c>
    </row>
    <row r="11" spans="2:27" ht="14.85" customHeight="1">
      <c r="B11" s="435" t="s">
        <v>74</v>
      </c>
      <c r="C11" s="440"/>
      <c r="D11" s="441">
        <f>'Asset Vol_PWERM'!$Q$43</f>
        <v>0.67900000000000005</v>
      </c>
      <c r="E11" s="283" t="e">
        <f>'Asset Vol_PWERM'!$B$3</f>
        <v>#N/A</v>
      </c>
      <c r="G11" s="338"/>
      <c r="T11" s="1754" t="str">
        <f>PWERM!D7</f>
        <v>IPO - Phase I</v>
      </c>
      <c r="U11" s="1754" t="str">
        <f>PWERM!E7</f>
        <v>IPO - Phase II</v>
      </c>
      <c r="V11" s="1754" t="str">
        <f>PWERM!F7</f>
        <v>M&amp;A - Phase I</v>
      </c>
      <c r="W11" s="1754" t="str">
        <f>PWERM!G7</f>
        <v>M&amp;A - Phase II</v>
      </c>
      <c r="X11" s="1754"/>
      <c r="Y11" s="1754"/>
      <c r="Z11" s="1754" t="str">
        <f>PWERM!H7</f>
        <v xml:space="preserve">Low Sale - Wtd. Avg. </v>
      </c>
    </row>
    <row r="12" spans="2:27" ht="14.85" customHeight="1">
      <c r="B12" s="234" t="s">
        <v>72</v>
      </c>
      <c r="C12" s="440"/>
      <c r="D12" s="442">
        <f>'Risk-Free Rates Hybrid'!E27</f>
        <v>2.4500000000000001E-2</v>
      </c>
      <c r="E12" s="283" t="str">
        <f>'Risk-Free Rates Hybrid'!B3</f>
        <v>Workpaper #7</v>
      </c>
      <c r="G12" s="338"/>
      <c r="Q12" s="252" t="s">
        <v>3570</v>
      </c>
      <c r="T12" s="1755">
        <f>PWERM!D13</f>
        <v>1.9178082191780821</v>
      </c>
      <c r="U12" s="1755">
        <f>PWERM!E13</f>
        <v>3.6657534246575341</v>
      </c>
      <c r="V12" s="1755">
        <f>PWERM!F13</f>
        <v>1.9178082191780821</v>
      </c>
      <c r="W12" s="1755">
        <f>PWERM!G13</f>
        <v>3.6657534246575341</v>
      </c>
      <c r="X12" s="1755"/>
      <c r="Y12" s="1755"/>
      <c r="Z12" s="1755">
        <f>PWERM!H13</f>
        <v>1.4657534246575343</v>
      </c>
      <c r="AA12" s="1755"/>
    </row>
    <row r="13" spans="2:27" ht="14.85" customHeight="1">
      <c r="B13" s="234" t="s">
        <v>73</v>
      </c>
      <c r="D13" s="443">
        <v>0</v>
      </c>
      <c r="E13" s="283" t="s">
        <v>2020</v>
      </c>
      <c r="G13" s="338"/>
      <c r="Q13" s="252" t="s">
        <v>3571</v>
      </c>
      <c r="T13" s="1756">
        <f>PWERM!D114</f>
        <v>1.7000000000000001E-2</v>
      </c>
      <c r="U13" s="1756">
        <f>PWERM!E114</f>
        <v>1.4999999999999999E-2</v>
      </c>
      <c r="V13" s="1756">
        <f>PWERM!F114</f>
        <v>0.14899999999999999</v>
      </c>
      <c r="W13" s="1756">
        <f>PWERM!G114</f>
        <v>5.8999999999999997E-2</v>
      </c>
      <c r="X13" s="1756"/>
      <c r="Y13" s="1756"/>
      <c r="Z13" s="1756">
        <f>PWERM!H114</f>
        <v>0.76</v>
      </c>
      <c r="AA13" s="1756"/>
    </row>
    <row r="14" spans="2:27" ht="14.85" customHeight="1">
      <c r="D14" s="323"/>
      <c r="G14" s="338"/>
      <c r="Q14" s="252" t="s">
        <v>3569</v>
      </c>
      <c r="T14" s="1757">
        <f>SUMPRODUCT(T12:AA12,T13:AA13)</f>
        <v>1.7035945205479452</v>
      </c>
    </row>
    <row r="15" spans="2:27" ht="14.85" customHeight="1">
      <c r="D15" s="444">
        <v>1</v>
      </c>
      <c r="E15" s="445">
        <f>D15+1</f>
        <v>2</v>
      </c>
      <c r="F15" s="445">
        <f t="shared" ref="F15:O15" si="0">E15+1</f>
        <v>3</v>
      </c>
      <c r="G15" s="445">
        <f t="shared" si="0"/>
        <v>4</v>
      </c>
      <c r="H15" s="445">
        <f t="shared" si="0"/>
        <v>5</v>
      </c>
      <c r="I15" s="445">
        <f t="shared" si="0"/>
        <v>6</v>
      </c>
      <c r="J15" s="445">
        <f t="shared" si="0"/>
        <v>7</v>
      </c>
      <c r="K15" s="445">
        <f t="shared" si="0"/>
        <v>8</v>
      </c>
      <c r="L15" s="445">
        <f t="shared" si="0"/>
        <v>9</v>
      </c>
      <c r="M15" s="445">
        <f t="shared" si="0"/>
        <v>10</v>
      </c>
      <c r="N15" s="445">
        <f t="shared" si="0"/>
        <v>11</v>
      </c>
      <c r="O15" s="446">
        <f t="shared" si="0"/>
        <v>12</v>
      </c>
    </row>
    <row r="16" spans="2:27" s="270" customFormat="1" ht="69.95" customHeight="1">
      <c r="B16" s="447" t="s">
        <v>378</v>
      </c>
      <c r="D16" s="448" t="str">
        <f t="array" ref="D16:O16">TRANSPOSE('Econ Rights'!K9:K20)</f>
        <v>Preferred Stock Receive Liquidation Preference</v>
      </c>
      <c r="E16" s="373" t="str">
        <v>Common Starts Receiving Value</v>
      </c>
      <c r="F16" s="373" t="str">
        <v>Options at $0.0059 Strike Price Exercise</v>
      </c>
      <c r="G16" s="373" t="str">
        <v>Options at $0.3500 Strike Price Exercise</v>
      </c>
      <c r="H16" s="373" t="str">
        <v>Options at $0.3800 Strike Price Exercise</v>
      </c>
      <c r="I16" s="373" t="str">
        <v>Expected Options at $0.6000 Strike Price Exercise</v>
      </c>
      <c r="J16" s="373" t="str">
        <v>Options at $0.8100 Strike Price Exercise</v>
      </c>
      <c r="K16" s="373" t="str">
        <v>Options at $0.9100 Strike Price Exercise</v>
      </c>
      <c r="L16" s="373" t="str">
        <v>Series Seed Converts</v>
      </c>
      <c r="M16" s="373" t="str">
        <v>Series Seed-1 Converts</v>
      </c>
      <c r="N16" s="373" t="str">
        <v>Series A Converts</v>
      </c>
      <c r="O16" s="449" t="str">
        <v>Series B Converts</v>
      </c>
      <c r="Q16" s="450"/>
      <c r="S16" s="271"/>
    </row>
    <row r="17" spans="2:19" ht="14.85" customHeight="1"/>
    <row r="18" spans="2:19" ht="14.85" customHeight="1">
      <c r="B18" s="255" t="s">
        <v>381</v>
      </c>
      <c r="S18" s="298" t="str">
        <f>B18</f>
        <v>Liquidation Preference</v>
      </c>
    </row>
    <row r="19" spans="2:19" ht="14.85" customHeight="1">
      <c r="B19" s="256" t="str">
        <f>'Cap Table'!$D$7</f>
        <v>Series Seed</v>
      </c>
      <c r="D19" s="297">
        <f>S19</f>
        <v>1020.0174399</v>
      </c>
      <c r="E19" s="297">
        <f>D19</f>
        <v>1020.0174399</v>
      </c>
      <c r="F19" s="297">
        <f t="shared" ref="F19:K19" si="1">E19</f>
        <v>1020.0174399</v>
      </c>
      <c r="G19" s="297">
        <f t="shared" si="1"/>
        <v>1020.0174399</v>
      </c>
      <c r="H19" s="297">
        <f t="shared" si="1"/>
        <v>1020.0174399</v>
      </c>
      <c r="I19" s="297">
        <f t="shared" si="1"/>
        <v>1020.0174399</v>
      </c>
      <c r="J19" s="297">
        <f t="shared" si="1"/>
        <v>1020.0174399</v>
      </c>
      <c r="K19" s="297">
        <f t="shared" si="1"/>
        <v>1020.0174399</v>
      </c>
      <c r="L19" s="297">
        <v>0</v>
      </c>
      <c r="M19" s="297">
        <f t="shared" ref="M19:O19" si="2">L19</f>
        <v>0</v>
      </c>
      <c r="N19" s="297">
        <f t="shared" si="2"/>
        <v>0</v>
      </c>
      <c r="O19" s="297">
        <f t="shared" si="2"/>
        <v>0</v>
      </c>
      <c r="Q19" s="259"/>
      <c r="S19" s="451">
        <f>'Econ Rights'!$D$16</f>
        <v>1020.0174399</v>
      </c>
    </row>
    <row r="20" spans="2:19" ht="14.85" customHeight="1">
      <c r="B20" s="256" t="str">
        <f>'Cap Table'!$E$7</f>
        <v>Series Seed-1</v>
      </c>
      <c r="D20" s="297">
        <f t="shared" ref="D20:D22" si="3">S20</f>
        <v>3430.0119045000001</v>
      </c>
      <c r="E20" s="297">
        <f t="shared" ref="E20:K22" si="4">D20</f>
        <v>3430.0119045000001</v>
      </c>
      <c r="F20" s="297">
        <f t="shared" si="4"/>
        <v>3430.0119045000001</v>
      </c>
      <c r="G20" s="297">
        <f t="shared" si="4"/>
        <v>3430.0119045000001</v>
      </c>
      <c r="H20" s="297">
        <f t="shared" si="4"/>
        <v>3430.0119045000001</v>
      </c>
      <c r="I20" s="297">
        <f t="shared" si="4"/>
        <v>3430.0119045000001</v>
      </c>
      <c r="J20" s="297">
        <f t="shared" si="4"/>
        <v>3430.0119045000001</v>
      </c>
      <c r="K20" s="297">
        <f t="shared" si="4"/>
        <v>3430.0119045000001</v>
      </c>
      <c r="L20" s="297">
        <f t="shared" ref="L20:O20" si="5">K20</f>
        <v>3430.0119045000001</v>
      </c>
      <c r="M20" s="297">
        <v>0</v>
      </c>
      <c r="N20" s="297">
        <f t="shared" si="5"/>
        <v>0</v>
      </c>
      <c r="O20" s="297">
        <f t="shared" si="5"/>
        <v>0</v>
      </c>
      <c r="S20" s="451">
        <f>'Econ Rights'!$E$16</f>
        <v>3430.0119045000001</v>
      </c>
    </row>
    <row r="21" spans="2:19" ht="14.85" customHeight="1">
      <c r="B21" s="256" t="str">
        <f>'Cap Table'!$F$7</f>
        <v>Series A</v>
      </c>
      <c r="D21" s="297">
        <f t="shared" si="3"/>
        <v>13135.5942393</v>
      </c>
      <c r="E21" s="297">
        <f t="shared" si="4"/>
        <v>13135.5942393</v>
      </c>
      <c r="F21" s="297">
        <f t="shared" si="4"/>
        <v>13135.5942393</v>
      </c>
      <c r="G21" s="297">
        <f t="shared" si="4"/>
        <v>13135.5942393</v>
      </c>
      <c r="H21" s="297">
        <f t="shared" si="4"/>
        <v>13135.5942393</v>
      </c>
      <c r="I21" s="297">
        <f t="shared" si="4"/>
        <v>13135.5942393</v>
      </c>
      <c r="J21" s="297">
        <f t="shared" si="4"/>
        <v>13135.5942393</v>
      </c>
      <c r="K21" s="297">
        <f t="shared" si="4"/>
        <v>13135.5942393</v>
      </c>
      <c r="L21" s="297">
        <f t="shared" ref="L21:O21" si="6">K21</f>
        <v>13135.5942393</v>
      </c>
      <c r="M21" s="297">
        <f t="shared" si="6"/>
        <v>13135.5942393</v>
      </c>
      <c r="N21" s="297">
        <v>0</v>
      </c>
      <c r="O21" s="297">
        <f t="shared" si="6"/>
        <v>0</v>
      </c>
      <c r="S21" s="451">
        <f>'Econ Rights'!$F$16</f>
        <v>13135.5942393</v>
      </c>
    </row>
    <row r="22" spans="2:19" ht="14.85" customHeight="1">
      <c r="B22" s="256" t="str">
        <f>'Cap Table'!$G$7</f>
        <v>Series B</v>
      </c>
      <c r="D22" s="297">
        <f t="shared" si="3"/>
        <v>21881.811811600001</v>
      </c>
      <c r="E22" s="297">
        <f t="shared" si="4"/>
        <v>21881.811811600001</v>
      </c>
      <c r="F22" s="297">
        <f t="shared" si="4"/>
        <v>21881.811811600001</v>
      </c>
      <c r="G22" s="297">
        <f t="shared" si="4"/>
        <v>21881.811811600001</v>
      </c>
      <c r="H22" s="297">
        <f t="shared" si="4"/>
        <v>21881.811811600001</v>
      </c>
      <c r="I22" s="297">
        <f t="shared" si="4"/>
        <v>21881.811811600001</v>
      </c>
      <c r="J22" s="297">
        <f t="shared" si="4"/>
        <v>21881.811811600001</v>
      </c>
      <c r="K22" s="297">
        <f t="shared" si="4"/>
        <v>21881.811811600001</v>
      </c>
      <c r="L22" s="297">
        <f t="shared" ref="L22:N22" si="7">K22</f>
        <v>21881.811811600001</v>
      </c>
      <c r="M22" s="297">
        <f t="shared" si="7"/>
        <v>21881.811811600001</v>
      </c>
      <c r="N22" s="297">
        <f t="shared" si="7"/>
        <v>21881.811811600001</v>
      </c>
      <c r="O22" s="297">
        <v>0</v>
      </c>
      <c r="S22" s="451">
        <f>'Econ Rights'!$G$16</f>
        <v>21881.811811600001</v>
      </c>
    </row>
    <row r="23" spans="2:19" ht="14.85" customHeight="1">
      <c r="B23" s="269"/>
      <c r="C23" s="269"/>
      <c r="D23" s="269"/>
      <c r="E23" s="269"/>
      <c r="F23" s="269"/>
      <c r="G23" s="269"/>
      <c r="H23" s="269"/>
      <c r="I23" s="269"/>
      <c r="J23" s="269"/>
      <c r="K23" s="269"/>
      <c r="L23" s="269"/>
      <c r="M23" s="269"/>
      <c r="N23" s="269"/>
      <c r="O23" s="269"/>
      <c r="S23" s="455"/>
    </row>
    <row r="24" spans="2:19" ht="14.85" customHeight="1">
      <c r="B24" s="298" t="s">
        <v>530</v>
      </c>
      <c r="D24" s="309">
        <f t="shared" ref="D24:O24" si="8">SUM(D19:D22)</f>
        <v>39467.435395299995</v>
      </c>
      <c r="E24" s="309">
        <f t="shared" si="8"/>
        <v>39467.435395299995</v>
      </c>
      <c r="F24" s="309">
        <f t="shared" si="8"/>
        <v>39467.435395299995</v>
      </c>
      <c r="G24" s="309">
        <f t="shared" si="8"/>
        <v>39467.435395299995</v>
      </c>
      <c r="H24" s="309">
        <f t="shared" si="8"/>
        <v>39467.435395299995</v>
      </c>
      <c r="I24" s="309">
        <f t="shared" si="8"/>
        <v>39467.435395299995</v>
      </c>
      <c r="J24" s="309">
        <f t="shared" si="8"/>
        <v>39467.435395299995</v>
      </c>
      <c r="K24" s="309">
        <f t="shared" si="8"/>
        <v>39467.435395299995</v>
      </c>
      <c r="L24" s="309">
        <f t="shared" si="8"/>
        <v>38447.4179554</v>
      </c>
      <c r="M24" s="309">
        <f t="shared" si="8"/>
        <v>35017.406050899997</v>
      </c>
      <c r="N24" s="309">
        <f t="shared" si="8"/>
        <v>21881.811811600001</v>
      </c>
      <c r="O24" s="309">
        <f t="shared" si="8"/>
        <v>0</v>
      </c>
    </row>
    <row r="25" spans="2:19" ht="14.85" hidden="1" customHeight="1" outlineLevel="1"/>
    <row r="26" spans="2:19" ht="14.85" hidden="1" customHeight="1" outlineLevel="1">
      <c r="B26" s="255" t="s">
        <v>592</v>
      </c>
      <c r="S26" s="298" t="str">
        <f>B26</f>
        <v>Capped Value</v>
      </c>
    </row>
    <row r="27" spans="2:19" ht="14.85" hidden="1" customHeight="1" outlineLevel="1">
      <c r="B27" s="256" t="str">
        <f>'Cap Table'!$D$7</f>
        <v>Series Seed</v>
      </c>
      <c r="D27" s="268">
        <f>S27</f>
        <v>1020.0174399</v>
      </c>
      <c r="E27" s="297">
        <f>D27</f>
        <v>1020.0174399</v>
      </c>
      <c r="F27" s="297">
        <f t="shared" ref="F27:O27" si="9">E27</f>
        <v>1020.0174399</v>
      </c>
      <c r="G27" s="297">
        <f t="shared" si="9"/>
        <v>1020.0174399</v>
      </c>
      <c r="H27" s="297">
        <f t="shared" si="9"/>
        <v>1020.0174399</v>
      </c>
      <c r="I27" s="297">
        <f t="shared" si="9"/>
        <v>1020.0174399</v>
      </c>
      <c r="J27" s="297">
        <f t="shared" si="9"/>
        <v>1020.0174399</v>
      </c>
      <c r="K27" s="297">
        <f t="shared" si="9"/>
        <v>1020.0174399</v>
      </c>
      <c r="L27" s="297">
        <v>0</v>
      </c>
      <c r="M27" s="297">
        <f t="shared" si="9"/>
        <v>0</v>
      </c>
      <c r="N27" s="297">
        <f t="shared" si="9"/>
        <v>0</v>
      </c>
      <c r="O27" s="297">
        <f t="shared" si="9"/>
        <v>0</v>
      </c>
      <c r="Q27" s="452" t="s">
        <v>593</v>
      </c>
      <c r="S27" s="453">
        <f>S19</f>
        <v>1020.0174399</v>
      </c>
    </row>
    <row r="28" spans="2:19" ht="14.85" hidden="1" customHeight="1" outlineLevel="1">
      <c r="B28" s="256" t="str">
        <f>'Cap Table'!$E$7</f>
        <v>Series Seed-1</v>
      </c>
      <c r="D28" s="268">
        <f t="shared" ref="D28:D30" si="10">S28</f>
        <v>3430.0119045000001</v>
      </c>
      <c r="E28" s="297">
        <f t="shared" ref="E28:E30" si="11">D28</f>
        <v>3430.0119045000001</v>
      </c>
      <c r="F28" s="297">
        <f t="shared" ref="F28:O28" si="12">E28</f>
        <v>3430.0119045000001</v>
      </c>
      <c r="G28" s="297">
        <f t="shared" si="12"/>
        <v>3430.0119045000001</v>
      </c>
      <c r="H28" s="297">
        <f t="shared" si="12"/>
        <v>3430.0119045000001</v>
      </c>
      <c r="I28" s="297">
        <f t="shared" si="12"/>
        <v>3430.0119045000001</v>
      </c>
      <c r="J28" s="297">
        <f t="shared" si="12"/>
        <v>3430.0119045000001</v>
      </c>
      <c r="K28" s="297">
        <f t="shared" si="12"/>
        <v>3430.0119045000001</v>
      </c>
      <c r="L28" s="297">
        <f t="shared" si="12"/>
        <v>3430.0119045000001</v>
      </c>
      <c r="M28" s="297">
        <v>0</v>
      </c>
      <c r="N28" s="297">
        <f t="shared" si="12"/>
        <v>0</v>
      </c>
      <c r="O28" s="297">
        <f t="shared" si="12"/>
        <v>0</v>
      </c>
      <c r="Q28" s="452" t="s">
        <v>593</v>
      </c>
      <c r="S28" s="454">
        <f t="shared" ref="S28:S30" si="13">S20</f>
        <v>3430.0119045000001</v>
      </c>
    </row>
    <row r="29" spans="2:19" ht="14.85" hidden="1" customHeight="1" outlineLevel="1">
      <c r="B29" s="256" t="str">
        <f>'Cap Table'!$F$7</f>
        <v>Series A</v>
      </c>
      <c r="D29" s="268">
        <f t="shared" si="10"/>
        <v>13135.5942393</v>
      </c>
      <c r="E29" s="297">
        <f t="shared" si="11"/>
        <v>13135.5942393</v>
      </c>
      <c r="F29" s="297">
        <f t="shared" ref="F29:O29" si="14">E29</f>
        <v>13135.5942393</v>
      </c>
      <c r="G29" s="297">
        <f t="shared" si="14"/>
        <v>13135.5942393</v>
      </c>
      <c r="H29" s="297">
        <f t="shared" si="14"/>
        <v>13135.5942393</v>
      </c>
      <c r="I29" s="297">
        <f t="shared" si="14"/>
        <v>13135.5942393</v>
      </c>
      <c r="J29" s="297">
        <f t="shared" si="14"/>
        <v>13135.5942393</v>
      </c>
      <c r="K29" s="297">
        <f t="shared" si="14"/>
        <v>13135.5942393</v>
      </c>
      <c r="L29" s="297">
        <f t="shared" si="14"/>
        <v>13135.5942393</v>
      </c>
      <c r="M29" s="297">
        <f t="shared" si="14"/>
        <v>13135.5942393</v>
      </c>
      <c r="N29" s="297">
        <v>0</v>
      </c>
      <c r="O29" s="297">
        <f t="shared" si="14"/>
        <v>0</v>
      </c>
      <c r="Q29" s="452" t="s">
        <v>593</v>
      </c>
      <c r="S29" s="454">
        <f t="shared" si="13"/>
        <v>13135.5942393</v>
      </c>
    </row>
    <row r="30" spans="2:19" ht="14.85" hidden="1" customHeight="1" outlineLevel="1">
      <c r="B30" s="256" t="str">
        <f>'Cap Table'!$G$7</f>
        <v>Series B</v>
      </c>
      <c r="D30" s="268">
        <f t="shared" si="10"/>
        <v>21881.811811600001</v>
      </c>
      <c r="E30" s="297">
        <f t="shared" si="11"/>
        <v>21881.811811600001</v>
      </c>
      <c r="F30" s="297">
        <f t="shared" ref="F30:N30" si="15">E30</f>
        <v>21881.811811600001</v>
      </c>
      <c r="G30" s="297">
        <f t="shared" si="15"/>
        <v>21881.811811600001</v>
      </c>
      <c r="H30" s="297">
        <f t="shared" si="15"/>
        <v>21881.811811600001</v>
      </c>
      <c r="I30" s="297">
        <f t="shared" si="15"/>
        <v>21881.811811600001</v>
      </c>
      <c r="J30" s="297">
        <f t="shared" si="15"/>
        <v>21881.811811600001</v>
      </c>
      <c r="K30" s="297">
        <f t="shared" si="15"/>
        <v>21881.811811600001</v>
      </c>
      <c r="L30" s="297">
        <f t="shared" si="15"/>
        <v>21881.811811600001</v>
      </c>
      <c r="M30" s="297">
        <f t="shared" si="15"/>
        <v>21881.811811600001</v>
      </c>
      <c r="N30" s="297">
        <f t="shared" si="15"/>
        <v>21881.811811600001</v>
      </c>
      <c r="O30" s="297">
        <v>0</v>
      </c>
      <c r="Q30" s="452" t="s">
        <v>593</v>
      </c>
      <c r="S30" s="454">
        <f t="shared" si="13"/>
        <v>21881.811811600001</v>
      </c>
    </row>
    <row r="31" spans="2:19" ht="14.85" hidden="1" customHeight="1" outlineLevel="1">
      <c r="B31" s="269"/>
      <c r="C31" s="269"/>
      <c r="D31" s="269"/>
      <c r="E31" s="269"/>
      <c r="F31" s="269"/>
      <c r="G31" s="269"/>
      <c r="H31" s="269"/>
      <c r="I31" s="269"/>
      <c r="J31" s="269"/>
      <c r="K31" s="269"/>
      <c r="L31" s="269"/>
      <c r="M31" s="269"/>
      <c r="N31" s="269"/>
      <c r="O31" s="269"/>
      <c r="S31" s="455"/>
    </row>
    <row r="32" spans="2:19" ht="14.85" hidden="1" customHeight="1" outlineLevel="1">
      <c r="B32" s="298" t="s">
        <v>161</v>
      </c>
      <c r="D32" s="309">
        <f t="shared" ref="D32:O32" si="16">SUM(D27:D30)</f>
        <v>39467.435395299995</v>
      </c>
      <c r="E32" s="309">
        <f t="shared" si="16"/>
        <v>39467.435395299995</v>
      </c>
      <c r="F32" s="309">
        <f t="shared" si="16"/>
        <v>39467.435395299995</v>
      </c>
      <c r="G32" s="309">
        <f t="shared" si="16"/>
        <v>39467.435395299995</v>
      </c>
      <c r="H32" s="309">
        <f t="shared" si="16"/>
        <v>39467.435395299995</v>
      </c>
      <c r="I32" s="309">
        <f t="shared" si="16"/>
        <v>39467.435395299995</v>
      </c>
      <c r="J32" s="309">
        <f t="shared" si="16"/>
        <v>39467.435395299995</v>
      </c>
      <c r="K32" s="309">
        <f t="shared" si="16"/>
        <v>39467.435395299995</v>
      </c>
      <c r="L32" s="309">
        <f t="shared" si="16"/>
        <v>38447.4179554</v>
      </c>
      <c r="M32" s="309">
        <f t="shared" si="16"/>
        <v>35017.406050899997</v>
      </c>
      <c r="N32" s="309">
        <f t="shared" si="16"/>
        <v>21881.811811600001</v>
      </c>
      <c r="O32" s="309">
        <f t="shared" si="16"/>
        <v>0</v>
      </c>
    </row>
    <row r="33" spans="2:21" ht="14.85" customHeight="1" collapsed="1"/>
    <row r="34" spans="2:21" ht="14.85" customHeight="1">
      <c r="B34" s="255" t="s">
        <v>533</v>
      </c>
      <c r="S34" s="298" t="str">
        <f>+B34</f>
        <v>Shares Outstanding / Converted to Common Stock</v>
      </c>
    </row>
    <row r="35" spans="2:21" ht="14.85" customHeight="1">
      <c r="B35" s="256" t="str">
        <f>+$B19</f>
        <v>Series Seed</v>
      </c>
      <c r="D35" s="297">
        <f>IF(D19&gt;0,0,$S35)</f>
        <v>0</v>
      </c>
      <c r="E35" s="297">
        <f t="shared" ref="E35:O35" si="17">IF(E19&gt;0,0,$S35)</f>
        <v>0</v>
      </c>
      <c r="F35" s="297">
        <f t="shared" si="17"/>
        <v>0</v>
      </c>
      <c r="G35" s="297">
        <f t="shared" si="17"/>
        <v>0</v>
      </c>
      <c r="H35" s="297">
        <f t="shared" si="17"/>
        <v>0</v>
      </c>
      <c r="I35" s="297">
        <f t="shared" si="17"/>
        <v>0</v>
      </c>
      <c r="J35" s="297">
        <f t="shared" si="17"/>
        <v>0</v>
      </c>
      <c r="K35" s="297">
        <f t="shared" si="17"/>
        <v>0</v>
      </c>
      <c r="L35" s="297">
        <f t="shared" si="17"/>
        <v>1010.456</v>
      </c>
      <c r="M35" s="297">
        <f t="shared" si="17"/>
        <v>1010.456</v>
      </c>
      <c r="N35" s="297">
        <f t="shared" si="17"/>
        <v>1010.456</v>
      </c>
      <c r="O35" s="297">
        <f t="shared" si="17"/>
        <v>1010.456</v>
      </c>
      <c r="S35" s="451">
        <f>+'Cap Table'!$D$11*'Cap Table'!$D$18</f>
        <v>1010.456</v>
      </c>
    </row>
    <row r="36" spans="2:21" ht="14.85" customHeight="1">
      <c r="B36" s="256" t="str">
        <f>+$B20</f>
        <v>Series Seed-1</v>
      </c>
      <c r="D36" s="297">
        <f t="shared" ref="D36:O36" si="18">IF(D20&gt;0,0,$S36)</f>
        <v>0</v>
      </c>
      <c r="E36" s="297">
        <f t="shared" si="18"/>
        <v>0</v>
      </c>
      <c r="F36" s="297">
        <f t="shared" si="18"/>
        <v>0</v>
      </c>
      <c r="G36" s="297">
        <f t="shared" si="18"/>
        <v>0</v>
      </c>
      <c r="H36" s="297">
        <f t="shared" si="18"/>
        <v>0</v>
      </c>
      <c r="I36" s="297">
        <f t="shared" si="18"/>
        <v>0</v>
      </c>
      <c r="J36" s="297">
        <f t="shared" si="18"/>
        <v>0</v>
      </c>
      <c r="K36" s="297">
        <f t="shared" si="18"/>
        <v>0</v>
      </c>
      <c r="L36" s="297">
        <f t="shared" si="18"/>
        <v>0</v>
      </c>
      <c r="M36" s="297">
        <f t="shared" si="18"/>
        <v>1787.64</v>
      </c>
      <c r="N36" s="297">
        <f t="shared" si="18"/>
        <v>1787.64</v>
      </c>
      <c r="O36" s="297">
        <f t="shared" si="18"/>
        <v>1787.64</v>
      </c>
      <c r="S36" s="451">
        <f>+'Cap Table'!$E$11*'Cap Table'!$E$18</f>
        <v>1787.64</v>
      </c>
    </row>
    <row r="37" spans="2:21" ht="14.85" customHeight="1">
      <c r="B37" s="256" t="str">
        <f>+$B21</f>
        <v>Series A</v>
      </c>
      <c r="D37" s="297">
        <f t="shared" ref="D37:O37" si="19">IF(D21&gt;0,0,$S37)</f>
        <v>0</v>
      </c>
      <c r="E37" s="297">
        <f t="shared" si="19"/>
        <v>0</v>
      </c>
      <c r="F37" s="297">
        <f t="shared" si="19"/>
        <v>0</v>
      </c>
      <c r="G37" s="297">
        <f t="shared" si="19"/>
        <v>0</v>
      </c>
      <c r="H37" s="297">
        <f t="shared" si="19"/>
        <v>0</v>
      </c>
      <c r="I37" s="297">
        <f t="shared" si="19"/>
        <v>0</v>
      </c>
      <c r="J37" s="297">
        <f t="shared" si="19"/>
        <v>0</v>
      </c>
      <c r="K37" s="297">
        <f t="shared" si="19"/>
        <v>0</v>
      </c>
      <c r="L37" s="297">
        <f t="shared" si="19"/>
        <v>0</v>
      </c>
      <c r="M37" s="297">
        <f t="shared" si="19"/>
        <v>0</v>
      </c>
      <c r="N37" s="297">
        <f t="shared" si="19"/>
        <v>6120.1109999999999</v>
      </c>
      <c r="O37" s="297">
        <f t="shared" si="19"/>
        <v>6120.1109999999999</v>
      </c>
      <c r="S37" s="451">
        <f>+'Cap Table'!$F$11*'Cap Table'!$F$18</f>
        <v>6120.1109999999999</v>
      </c>
    </row>
    <row r="38" spans="2:21" ht="14.85" customHeight="1">
      <c r="B38" s="256" t="str">
        <f>+$B22</f>
        <v>Series B</v>
      </c>
      <c r="D38" s="297">
        <f t="shared" ref="D38:O38" si="20">IF(D22&gt;0,0,$S38)</f>
        <v>0</v>
      </c>
      <c r="E38" s="297">
        <f t="shared" si="20"/>
        <v>0</v>
      </c>
      <c r="F38" s="297">
        <f t="shared" si="20"/>
        <v>0</v>
      </c>
      <c r="G38" s="297">
        <f t="shared" si="20"/>
        <v>0</v>
      </c>
      <c r="H38" s="297">
        <f t="shared" si="20"/>
        <v>0</v>
      </c>
      <c r="I38" s="297">
        <f t="shared" si="20"/>
        <v>0</v>
      </c>
      <c r="J38" s="297">
        <f t="shared" si="20"/>
        <v>0</v>
      </c>
      <c r="K38" s="297">
        <f t="shared" si="20"/>
        <v>0</v>
      </c>
      <c r="L38" s="297">
        <f t="shared" si="20"/>
        <v>0</v>
      </c>
      <c r="M38" s="297">
        <f t="shared" si="20"/>
        <v>0</v>
      </c>
      <c r="N38" s="297">
        <f t="shared" si="20"/>
        <v>0</v>
      </c>
      <c r="O38" s="297">
        <f t="shared" si="20"/>
        <v>5097.5659999999998</v>
      </c>
      <c r="S38" s="451">
        <f>+'Cap Table'!$G$11*'Cap Table'!$G$18</f>
        <v>5097.5659999999998</v>
      </c>
    </row>
    <row r="39" spans="2:21" ht="14.85" customHeight="1">
      <c r="B39" s="313" t="str">
        <f>'Cap Table'!$B24</f>
        <v>Options at $0.0059 Strike Price</v>
      </c>
      <c r="D39" s="297">
        <f>IF(D$49&gt;=$U39,$S39,0)</f>
        <v>0</v>
      </c>
      <c r="E39" s="297">
        <f t="shared" ref="E39:O44" si="21">IF(E$49&gt;=$U39,$S39,0)</f>
        <v>0</v>
      </c>
      <c r="F39" s="297">
        <f t="shared" si="21"/>
        <v>79.688000000000002</v>
      </c>
      <c r="G39" s="297">
        <f t="shared" si="21"/>
        <v>79.688000000000002</v>
      </c>
      <c r="H39" s="297">
        <f t="shared" si="21"/>
        <v>79.688000000000002</v>
      </c>
      <c r="I39" s="297">
        <f t="shared" si="21"/>
        <v>79.688000000000002</v>
      </c>
      <c r="J39" s="297">
        <f t="shared" si="21"/>
        <v>79.688000000000002</v>
      </c>
      <c r="K39" s="297">
        <f t="shared" si="21"/>
        <v>79.688000000000002</v>
      </c>
      <c r="L39" s="297">
        <f t="shared" si="21"/>
        <v>79.688000000000002</v>
      </c>
      <c r="M39" s="297">
        <f t="shared" si="21"/>
        <v>79.688000000000002</v>
      </c>
      <c r="N39" s="297">
        <f t="shared" si="21"/>
        <v>79.688000000000002</v>
      </c>
      <c r="O39" s="297">
        <f t="shared" si="21"/>
        <v>79.688000000000002</v>
      </c>
      <c r="S39" s="451">
        <f>+'Cap Table'!$D24</f>
        <v>79.688000000000002</v>
      </c>
      <c r="U39" s="456">
        <f>'Cap Table'!E24</f>
        <v>5.875E-3</v>
      </c>
    </row>
    <row r="40" spans="2:21" ht="14.85" customHeight="1">
      <c r="B40" s="313" t="str">
        <f>'Cap Table'!$B25</f>
        <v>Options at $0.350 Strike Price</v>
      </c>
      <c r="D40" s="297">
        <f t="shared" ref="D40:D44" si="22">IF(D$49&gt;=$U40,$S40,0)</f>
        <v>0</v>
      </c>
      <c r="E40" s="297">
        <f t="shared" si="21"/>
        <v>0</v>
      </c>
      <c r="F40" s="297">
        <f t="shared" si="21"/>
        <v>0</v>
      </c>
      <c r="G40" s="297">
        <f t="shared" si="21"/>
        <v>10</v>
      </c>
      <c r="H40" s="297">
        <f t="shared" si="21"/>
        <v>10</v>
      </c>
      <c r="I40" s="297">
        <f t="shared" si="21"/>
        <v>10</v>
      </c>
      <c r="J40" s="297">
        <f t="shared" si="21"/>
        <v>10</v>
      </c>
      <c r="K40" s="297">
        <f t="shared" si="21"/>
        <v>10</v>
      </c>
      <c r="L40" s="297">
        <f t="shared" si="21"/>
        <v>10</v>
      </c>
      <c r="M40" s="297">
        <f t="shared" si="21"/>
        <v>10</v>
      </c>
      <c r="N40" s="297">
        <f t="shared" si="21"/>
        <v>10</v>
      </c>
      <c r="O40" s="297">
        <f t="shared" si="21"/>
        <v>10</v>
      </c>
      <c r="S40" s="451">
        <f>+'Cap Table'!$D25</f>
        <v>10</v>
      </c>
      <c r="U40" s="456">
        <f>'Cap Table'!E25</f>
        <v>0.35</v>
      </c>
    </row>
    <row r="41" spans="2:21" ht="14.85" customHeight="1">
      <c r="B41" s="313" t="str">
        <f>'Cap Table'!$B26</f>
        <v>Options at $0.38 Strike Price</v>
      </c>
      <c r="D41" s="297">
        <f t="shared" si="22"/>
        <v>0</v>
      </c>
      <c r="E41" s="297">
        <f t="shared" si="21"/>
        <v>0</v>
      </c>
      <c r="F41" s="297">
        <f t="shared" si="21"/>
        <v>0</v>
      </c>
      <c r="G41" s="297">
        <f t="shared" si="21"/>
        <v>0</v>
      </c>
      <c r="H41" s="297">
        <f t="shared" si="21"/>
        <v>328.69</v>
      </c>
      <c r="I41" s="297">
        <f t="shared" si="21"/>
        <v>328.69</v>
      </c>
      <c r="J41" s="297">
        <f t="shared" si="21"/>
        <v>328.69</v>
      </c>
      <c r="K41" s="297">
        <f t="shared" si="21"/>
        <v>328.69</v>
      </c>
      <c r="L41" s="297">
        <f t="shared" si="21"/>
        <v>328.69</v>
      </c>
      <c r="M41" s="297">
        <f t="shared" si="21"/>
        <v>328.69</v>
      </c>
      <c r="N41" s="297">
        <f t="shared" si="21"/>
        <v>328.69</v>
      </c>
      <c r="O41" s="297">
        <f t="shared" si="21"/>
        <v>328.69</v>
      </c>
      <c r="S41" s="451">
        <f>+'Cap Table'!$D26</f>
        <v>328.69</v>
      </c>
      <c r="U41" s="456">
        <f>'Cap Table'!E26</f>
        <v>0.38</v>
      </c>
    </row>
    <row r="42" spans="2:21" ht="14.85" customHeight="1">
      <c r="B42" s="313" t="str">
        <f>'Cap Table'!$B27</f>
        <v>Options at $0.81 Strike Price</v>
      </c>
      <c r="D42" s="297">
        <f t="shared" si="22"/>
        <v>0</v>
      </c>
      <c r="E42" s="297">
        <f t="shared" si="21"/>
        <v>0</v>
      </c>
      <c r="F42" s="297">
        <f t="shared" si="21"/>
        <v>0</v>
      </c>
      <c r="G42" s="297">
        <f t="shared" si="21"/>
        <v>0</v>
      </c>
      <c r="H42" s="297">
        <f t="shared" si="21"/>
        <v>0</v>
      </c>
      <c r="I42" s="297">
        <f t="shared" si="21"/>
        <v>0</v>
      </c>
      <c r="J42" s="297">
        <f t="shared" si="21"/>
        <v>1224.4010000000001</v>
      </c>
      <c r="K42" s="297">
        <f t="shared" si="21"/>
        <v>1224.4010000000001</v>
      </c>
      <c r="L42" s="297">
        <f t="shared" si="21"/>
        <v>1224.4010000000001</v>
      </c>
      <c r="M42" s="297">
        <f t="shared" si="21"/>
        <v>1224.4010000000001</v>
      </c>
      <c r="N42" s="297">
        <f t="shared" si="21"/>
        <v>1224.4010000000001</v>
      </c>
      <c r="O42" s="297">
        <f t="shared" si="21"/>
        <v>1224.4010000000001</v>
      </c>
      <c r="S42" s="451">
        <f>+'Cap Table'!$D27</f>
        <v>1224.4010000000001</v>
      </c>
      <c r="U42" s="456">
        <f>'Cap Table'!E27</f>
        <v>0.81</v>
      </c>
    </row>
    <row r="43" spans="2:21" ht="14.85" customHeight="1">
      <c r="B43" s="313" t="str">
        <f>'Cap Table'!$B28</f>
        <v>Options at $0.91 Strike Price</v>
      </c>
      <c r="D43" s="297">
        <f t="shared" si="22"/>
        <v>0</v>
      </c>
      <c r="E43" s="297">
        <f t="shared" si="21"/>
        <v>0</v>
      </c>
      <c r="F43" s="297">
        <f t="shared" si="21"/>
        <v>0</v>
      </c>
      <c r="G43" s="297">
        <f t="shared" si="21"/>
        <v>0</v>
      </c>
      <c r="H43" s="297">
        <f t="shared" si="21"/>
        <v>0</v>
      </c>
      <c r="I43" s="297">
        <f t="shared" si="21"/>
        <v>0</v>
      </c>
      <c r="J43" s="297">
        <f t="shared" si="21"/>
        <v>0</v>
      </c>
      <c r="K43" s="297">
        <f t="shared" si="21"/>
        <v>95.094999999999999</v>
      </c>
      <c r="L43" s="297">
        <f t="shared" si="21"/>
        <v>95.094999999999999</v>
      </c>
      <c r="M43" s="297">
        <f t="shared" si="21"/>
        <v>95.094999999999999</v>
      </c>
      <c r="N43" s="297">
        <f t="shared" si="21"/>
        <v>95.094999999999999</v>
      </c>
      <c r="O43" s="297">
        <f t="shared" si="21"/>
        <v>95.094999999999999</v>
      </c>
      <c r="S43" s="451">
        <f>+'Cap Table'!$D28</f>
        <v>95.094999999999999</v>
      </c>
      <c r="U43" s="456">
        <f>'Cap Table'!E28</f>
        <v>0.91</v>
      </c>
    </row>
    <row r="44" spans="2:21" ht="14.85" customHeight="1">
      <c r="B44" s="313" t="str">
        <f>'Cap Table'!$B29</f>
        <v>Expected Options Grant</v>
      </c>
      <c r="D44" s="297">
        <f t="shared" si="22"/>
        <v>0</v>
      </c>
      <c r="E44" s="297">
        <f t="shared" si="21"/>
        <v>0</v>
      </c>
      <c r="F44" s="297">
        <f t="shared" si="21"/>
        <v>0</v>
      </c>
      <c r="G44" s="297">
        <f t="shared" si="21"/>
        <v>0</v>
      </c>
      <c r="H44" s="297">
        <f t="shared" si="21"/>
        <v>0</v>
      </c>
      <c r="I44" s="297">
        <f t="shared" si="21"/>
        <v>1602.6010000000001</v>
      </c>
      <c r="J44" s="297">
        <f t="shared" si="21"/>
        <v>1602.6010000000001</v>
      </c>
      <c r="K44" s="297">
        <f t="shared" si="21"/>
        <v>1602.6010000000001</v>
      </c>
      <c r="L44" s="297">
        <f t="shared" si="21"/>
        <v>1602.6010000000001</v>
      </c>
      <c r="M44" s="297">
        <f t="shared" si="21"/>
        <v>1602.6010000000001</v>
      </c>
      <c r="N44" s="297">
        <f t="shared" si="21"/>
        <v>1602.6010000000001</v>
      </c>
      <c r="O44" s="297">
        <f t="shared" si="21"/>
        <v>1602.6010000000001</v>
      </c>
      <c r="S44" s="451">
        <f>+'Cap Table'!$D29</f>
        <v>1602.6010000000001</v>
      </c>
      <c r="U44" s="456">
        <f>'Cap Table'!E29</f>
        <v>0.6</v>
      </c>
    </row>
    <row r="45" spans="2:21" ht="14.85" customHeight="1">
      <c r="B45" s="314" t="str">
        <f>'Cap Table'!$H7 &amp;" Stock"</f>
        <v>Common Stock</v>
      </c>
      <c r="D45" s="297">
        <v>0</v>
      </c>
      <c r="E45" s="297">
        <f>$S$45</f>
        <v>3618.2730000000001</v>
      </c>
      <c r="F45" s="297">
        <f>E45</f>
        <v>3618.2730000000001</v>
      </c>
      <c r="G45" s="297">
        <f t="shared" ref="G45:O45" si="23">F45</f>
        <v>3618.2730000000001</v>
      </c>
      <c r="H45" s="297">
        <f t="shared" si="23"/>
        <v>3618.2730000000001</v>
      </c>
      <c r="I45" s="297">
        <f t="shared" si="23"/>
        <v>3618.2730000000001</v>
      </c>
      <c r="J45" s="297">
        <f t="shared" si="23"/>
        <v>3618.2730000000001</v>
      </c>
      <c r="K45" s="297">
        <f t="shared" si="23"/>
        <v>3618.2730000000001</v>
      </c>
      <c r="L45" s="297">
        <f t="shared" si="23"/>
        <v>3618.2730000000001</v>
      </c>
      <c r="M45" s="297">
        <f t="shared" si="23"/>
        <v>3618.2730000000001</v>
      </c>
      <c r="N45" s="297">
        <f t="shared" si="23"/>
        <v>3618.2730000000001</v>
      </c>
      <c r="O45" s="297">
        <f t="shared" si="23"/>
        <v>3618.2730000000001</v>
      </c>
      <c r="S45" s="451">
        <f>+'Cap Table'!H11</f>
        <v>3618.2730000000001</v>
      </c>
      <c r="U45" s="358"/>
    </row>
    <row r="46" spans="2:21" ht="14.85" customHeight="1" thickBot="1">
      <c r="B46" s="269"/>
      <c r="C46" s="269"/>
      <c r="D46" s="269"/>
      <c r="E46" s="269"/>
      <c r="F46" s="269"/>
      <c r="G46" s="269"/>
      <c r="H46" s="269"/>
      <c r="I46" s="269"/>
      <c r="J46" s="269"/>
      <c r="K46" s="269"/>
      <c r="L46" s="269"/>
      <c r="M46" s="269"/>
      <c r="N46" s="269"/>
      <c r="O46" s="269"/>
      <c r="S46" s="457"/>
    </row>
    <row r="47" spans="2:21" ht="14.85" customHeight="1" thickBot="1">
      <c r="B47" s="298" t="s">
        <v>1993</v>
      </c>
      <c r="D47" s="309">
        <f t="shared" ref="D47:O47" si="24">SUM(D35:D45)</f>
        <v>0</v>
      </c>
      <c r="E47" s="309">
        <f t="shared" si="24"/>
        <v>3618.2730000000001</v>
      </c>
      <c r="F47" s="309">
        <f t="shared" si="24"/>
        <v>3697.9610000000002</v>
      </c>
      <c r="G47" s="309">
        <f t="shared" si="24"/>
        <v>3707.9610000000002</v>
      </c>
      <c r="H47" s="309">
        <f t="shared" si="24"/>
        <v>4036.6510000000003</v>
      </c>
      <c r="I47" s="309">
        <f t="shared" si="24"/>
        <v>5639.2520000000004</v>
      </c>
      <c r="J47" s="309">
        <f t="shared" si="24"/>
        <v>6863.6530000000002</v>
      </c>
      <c r="K47" s="309">
        <f t="shared" si="24"/>
        <v>6958.7480000000005</v>
      </c>
      <c r="L47" s="309">
        <f t="shared" si="24"/>
        <v>7969.2040000000006</v>
      </c>
      <c r="M47" s="309">
        <f t="shared" si="24"/>
        <v>9756.844000000001</v>
      </c>
      <c r="N47" s="309">
        <f t="shared" si="24"/>
        <v>15876.955000000002</v>
      </c>
      <c r="O47" s="309">
        <f t="shared" si="24"/>
        <v>20974.521000000001</v>
      </c>
      <c r="Q47" s="458" t="str">
        <f>IF(S47&lt;&gt;('Cap Table'!J20-'Cap Table'!J14+S44),"ERROR","")</f>
        <v/>
      </c>
      <c r="S47" s="309">
        <f>SUM(S35:S45)</f>
        <v>20974.521000000001</v>
      </c>
    </row>
    <row r="48" spans="2:21" ht="14.85" customHeight="1"/>
    <row r="49" spans="1:19" ht="14.85" customHeight="1">
      <c r="B49" s="256" t="s">
        <v>383</v>
      </c>
      <c r="D49" s="1678">
        <f t="array" ref="D49:O49">TRANSPOSE('Econ Rights'!J9:J20)</f>
        <v>0</v>
      </c>
      <c r="E49" s="1678">
        <v>0</v>
      </c>
      <c r="F49" s="1678">
        <v>5.875E-3</v>
      </c>
      <c r="G49" s="1678">
        <v>0.35</v>
      </c>
      <c r="H49" s="1678">
        <v>0.38</v>
      </c>
      <c r="I49" s="1678">
        <v>0.6</v>
      </c>
      <c r="J49" s="1678">
        <v>0.81</v>
      </c>
      <c r="K49" s="1678">
        <v>0.91</v>
      </c>
      <c r="L49" s="1678">
        <v>1.0094624999999999</v>
      </c>
      <c r="M49" s="1678">
        <v>1.9187375</v>
      </c>
      <c r="N49" s="1678">
        <v>2.1463000000000001</v>
      </c>
      <c r="O49" s="1678">
        <v>4.2926000000000002</v>
      </c>
    </row>
    <row r="50" spans="1:19" ht="14.85" customHeight="1">
      <c r="B50" s="269"/>
      <c r="C50" s="269"/>
      <c r="D50" s="269"/>
      <c r="E50" s="269"/>
      <c r="F50" s="269"/>
      <c r="G50" s="269"/>
      <c r="H50" s="269"/>
      <c r="I50" s="269"/>
      <c r="J50" s="269"/>
      <c r="K50" s="269"/>
      <c r="L50" s="269"/>
      <c r="M50" s="269"/>
      <c r="N50" s="269"/>
      <c r="O50" s="269"/>
    </row>
    <row r="51" spans="1:19" ht="14.85" customHeight="1">
      <c r="B51" s="255" t="s">
        <v>1994</v>
      </c>
      <c r="D51" s="459">
        <f>D47*D49</f>
        <v>0</v>
      </c>
      <c r="E51" s="459">
        <f t="shared" ref="E51:O51" si="25">E47*E49</f>
        <v>0</v>
      </c>
      <c r="F51" s="459">
        <f t="shared" si="25"/>
        <v>21.725520875000001</v>
      </c>
      <c r="G51" s="459">
        <f t="shared" si="25"/>
        <v>1297.7863500000001</v>
      </c>
      <c r="H51" s="459">
        <f t="shared" si="25"/>
        <v>1533.9273800000001</v>
      </c>
      <c r="I51" s="459">
        <f t="shared" si="25"/>
        <v>3383.5512000000003</v>
      </c>
      <c r="J51" s="459">
        <f t="shared" si="25"/>
        <v>5559.5589300000001</v>
      </c>
      <c r="K51" s="459">
        <f t="shared" si="25"/>
        <v>6332.460680000001</v>
      </c>
      <c r="L51" s="459">
        <f t="shared" si="25"/>
        <v>8044.6125928500005</v>
      </c>
      <c r="M51" s="459">
        <f t="shared" si="25"/>
        <v>18720.822464450001</v>
      </c>
      <c r="N51" s="459">
        <f t="shared" si="25"/>
        <v>34076.708516500003</v>
      </c>
      <c r="O51" s="459">
        <f t="shared" si="25"/>
        <v>90035.228844600002</v>
      </c>
    </row>
    <row r="52" spans="1:19" ht="14.85" customHeight="1"/>
    <row r="53" spans="1:19" ht="14.85" customHeight="1">
      <c r="B53" s="256" t="s">
        <v>384</v>
      </c>
      <c r="D53" s="297">
        <f t="shared" ref="D53:O53" si="26">-SUMPRODUCT(D39:D44,$U$39:$U$44)</f>
        <v>0</v>
      </c>
      <c r="E53" s="297">
        <f t="shared" si="26"/>
        <v>0</v>
      </c>
      <c r="F53" s="297">
        <f t="shared" si="26"/>
        <v>-0.468167</v>
      </c>
      <c r="G53" s="297">
        <f t="shared" si="26"/>
        <v>-3.9681670000000002</v>
      </c>
      <c r="H53" s="297">
        <f t="shared" si="26"/>
        <v>-128.87036700000002</v>
      </c>
      <c r="I53" s="297">
        <f t="shared" si="26"/>
        <v>-1090.430967</v>
      </c>
      <c r="J53" s="297">
        <f t="shared" si="26"/>
        <v>-2082.1957769999999</v>
      </c>
      <c r="K53" s="297">
        <f t="shared" si="26"/>
        <v>-2168.7322270000004</v>
      </c>
      <c r="L53" s="297">
        <f t="shared" si="26"/>
        <v>-2168.7322270000004</v>
      </c>
      <c r="M53" s="297">
        <f t="shared" si="26"/>
        <v>-2168.7322270000004</v>
      </c>
      <c r="N53" s="297">
        <f t="shared" si="26"/>
        <v>-2168.7322270000004</v>
      </c>
      <c r="O53" s="297">
        <f t="shared" si="26"/>
        <v>-2168.7322270000004</v>
      </c>
    </row>
    <row r="54" spans="1:19" ht="14.85" customHeight="1">
      <c r="B54" s="269"/>
      <c r="C54" s="269"/>
      <c r="D54" s="269"/>
      <c r="E54" s="269"/>
      <c r="F54" s="269"/>
      <c r="G54" s="269"/>
      <c r="H54" s="269"/>
      <c r="I54" s="269"/>
      <c r="J54" s="269"/>
      <c r="K54" s="269"/>
      <c r="L54" s="269"/>
      <c r="M54" s="269"/>
      <c r="N54" s="269"/>
      <c r="O54" s="269"/>
    </row>
    <row r="55" spans="1:19" ht="14.85" customHeight="1">
      <c r="B55" s="298" t="s">
        <v>385</v>
      </c>
      <c r="D55" s="459">
        <f t="shared" ref="D55:O55" si="27">SUM(D51:D53)+D24</f>
        <v>39467.435395299995</v>
      </c>
      <c r="E55" s="459">
        <f t="shared" si="27"/>
        <v>39467.435395299995</v>
      </c>
      <c r="F55" s="459">
        <f t="shared" si="27"/>
        <v>39488.692749174996</v>
      </c>
      <c r="G55" s="459">
        <f t="shared" si="27"/>
        <v>40761.253578299998</v>
      </c>
      <c r="H55" s="459">
        <f t="shared" si="27"/>
        <v>40872.492408299993</v>
      </c>
      <c r="I55" s="459">
        <f t="shared" si="27"/>
        <v>41760.555628299997</v>
      </c>
      <c r="J55" s="459">
        <f t="shared" si="27"/>
        <v>42944.798548299994</v>
      </c>
      <c r="K55" s="459">
        <f t="shared" si="27"/>
        <v>43631.163848299999</v>
      </c>
      <c r="L55" s="459">
        <f t="shared" si="27"/>
        <v>44323.298321249997</v>
      </c>
      <c r="M55" s="459">
        <f t="shared" si="27"/>
        <v>51569.496288349997</v>
      </c>
      <c r="N55" s="459">
        <f t="shared" si="27"/>
        <v>53789.788101099999</v>
      </c>
      <c r="O55" s="459">
        <f t="shared" si="27"/>
        <v>87866.496617600002</v>
      </c>
    </row>
    <row r="56" spans="1:19" ht="14.85" customHeight="1">
      <c r="B56" s="298"/>
      <c r="D56" s="309"/>
      <c r="E56" s="309"/>
      <c r="F56" s="309"/>
      <c r="G56" s="309"/>
      <c r="H56" s="309"/>
      <c r="I56" s="309"/>
      <c r="J56" s="309"/>
      <c r="K56" s="309"/>
      <c r="L56" s="309"/>
      <c r="M56" s="309"/>
      <c r="N56" s="309"/>
      <c r="O56" s="309"/>
    </row>
    <row r="57" spans="1:19" ht="14.85" customHeight="1"/>
    <row r="58" spans="1:19" s="270" customFormat="1" ht="14.85" customHeight="1">
      <c r="A58" s="460"/>
      <c r="B58" s="461" t="s">
        <v>387</v>
      </c>
      <c r="D58" s="462">
        <f>D$15</f>
        <v>1</v>
      </c>
      <c r="E58" s="463">
        <f t="shared" ref="E58:O58" si="28">E$15</f>
        <v>2</v>
      </c>
      <c r="F58" s="463">
        <f t="shared" si="28"/>
        <v>3</v>
      </c>
      <c r="G58" s="463">
        <f t="shared" si="28"/>
        <v>4</v>
      </c>
      <c r="H58" s="463">
        <f t="shared" si="28"/>
        <v>5</v>
      </c>
      <c r="I58" s="463">
        <f t="shared" si="28"/>
        <v>6</v>
      </c>
      <c r="J58" s="463">
        <f t="shared" si="28"/>
        <v>7</v>
      </c>
      <c r="K58" s="463">
        <f t="shared" si="28"/>
        <v>8</v>
      </c>
      <c r="L58" s="463">
        <f t="shared" si="28"/>
        <v>9</v>
      </c>
      <c r="M58" s="463">
        <f t="shared" si="28"/>
        <v>10</v>
      </c>
      <c r="N58" s="463">
        <f t="shared" si="28"/>
        <v>11</v>
      </c>
      <c r="O58" s="464">
        <f t="shared" si="28"/>
        <v>12</v>
      </c>
      <c r="S58" s="271"/>
    </row>
    <row r="59" spans="1:19" ht="14.85" customHeight="1"/>
    <row r="60" spans="1:19" ht="14.85" customHeight="1">
      <c r="B60" s="234" t="s">
        <v>388</v>
      </c>
      <c r="D60" s="465">
        <v>1E-10</v>
      </c>
      <c r="E60" s="465">
        <f>D61</f>
        <v>39467.435395299995</v>
      </c>
      <c r="F60" s="465">
        <f t="shared" ref="F60:O60" si="29">E61</f>
        <v>39488.692749174996</v>
      </c>
      <c r="G60" s="465">
        <f t="shared" si="29"/>
        <v>40761.253578299998</v>
      </c>
      <c r="H60" s="465">
        <f t="shared" si="29"/>
        <v>40872.492408299993</v>
      </c>
      <c r="I60" s="465">
        <f t="shared" si="29"/>
        <v>41760.555628299997</v>
      </c>
      <c r="J60" s="465">
        <f t="shared" si="29"/>
        <v>42944.798548299994</v>
      </c>
      <c r="K60" s="465">
        <f t="shared" si="29"/>
        <v>43631.163848299999</v>
      </c>
      <c r="L60" s="465">
        <f t="shared" si="29"/>
        <v>44323.298321249997</v>
      </c>
      <c r="M60" s="465">
        <f t="shared" si="29"/>
        <v>51569.496288349997</v>
      </c>
      <c r="N60" s="465">
        <f t="shared" si="29"/>
        <v>53789.788101099999</v>
      </c>
      <c r="O60" s="465">
        <f t="shared" si="29"/>
        <v>87866.496617600002</v>
      </c>
    </row>
    <row r="61" spans="1:19" ht="14.85" customHeight="1">
      <c r="B61" s="234" t="s">
        <v>389</v>
      </c>
      <c r="D61" s="465">
        <f>D55</f>
        <v>39467.435395299995</v>
      </c>
      <c r="E61" s="465">
        <f>IF(F55=0,"n/a",IF(D61=E55,F55,E55))</f>
        <v>39488.692749174996</v>
      </c>
      <c r="F61" s="465">
        <f t="shared" ref="F61:O61" si="30">IF(G55=0,"n/a",IF(E61=F55,G55,F55))</f>
        <v>40761.253578299998</v>
      </c>
      <c r="G61" s="465">
        <f t="shared" si="30"/>
        <v>40872.492408299993</v>
      </c>
      <c r="H61" s="465">
        <f t="shared" si="30"/>
        <v>41760.555628299997</v>
      </c>
      <c r="I61" s="465">
        <f t="shared" si="30"/>
        <v>42944.798548299994</v>
      </c>
      <c r="J61" s="465">
        <f t="shared" si="30"/>
        <v>43631.163848299999</v>
      </c>
      <c r="K61" s="465">
        <f t="shared" si="30"/>
        <v>44323.298321249997</v>
      </c>
      <c r="L61" s="465">
        <f t="shared" si="30"/>
        <v>51569.496288349997</v>
      </c>
      <c r="M61" s="465">
        <f t="shared" si="30"/>
        <v>53789.788101099999</v>
      </c>
      <c r="N61" s="465">
        <f t="shared" si="30"/>
        <v>87866.496617600002</v>
      </c>
      <c r="O61" s="465" t="str">
        <f t="shared" si="30"/>
        <v>n/a</v>
      </c>
    </row>
    <row r="62" spans="1:19" ht="14.85" customHeight="1"/>
    <row r="63" spans="1:19" ht="14.85" customHeight="1" outlineLevel="1">
      <c r="B63" s="234" t="s">
        <v>393</v>
      </c>
      <c r="D63" s="259">
        <f>(LN($D$9/D60)+($D$12+$D$11^2/2)*$D$10)/($D$11*SQRT($D$10))</f>
        <v>38.500552027909997</v>
      </c>
      <c r="E63" s="259">
        <f>(LN($D$9/E60)+($D$12+$D$11^2/2)*$D$10)/($D$11*SQRT($D$10))</f>
        <v>0.57745822309897288</v>
      </c>
      <c r="F63" s="259">
        <f t="shared" ref="F63:O63" si="31">(LN($D$9/F60)+($D$12+$D$11^2/2)*$D$10)/($D$11*SQRT($D$10))</f>
        <v>0.57685064729007485</v>
      </c>
      <c r="G63" s="259">
        <f t="shared" si="31"/>
        <v>0.54106183293257915</v>
      </c>
      <c r="H63" s="259">
        <f t="shared" si="31"/>
        <v>0.53798669883010131</v>
      </c>
      <c r="I63" s="259">
        <f t="shared" si="31"/>
        <v>0.5137326673839534</v>
      </c>
      <c r="J63" s="259">
        <f t="shared" si="31"/>
        <v>0.48218005395605185</v>
      </c>
      <c r="K63" s="259">
        <f t="shared" si="31"/>
        <v>0.46428865935939956</v>
      </c>
      <c r="L63" s="259">
        <f t="shared" si="31"/>
        <v>0.44652965261495992</v>
      </c>
      <c r="M63" s="259">
        <f t="shared" si="31"/>
        <v>0.2756737422862367</v>
      </c>
      <c r="N63" s="259">
        <f t="shared" si="31"/>
        <v>0.22810971156872378</v>
      </c>
      <c r="O63" s="259">
        <f t="shared" si="31"/>
        <v>-0.32561523582673468</v>
      </c>
    </row>
    <row r="64" spans="1:19" ht="14.85" customHeight="1" outlineLevel="1">
      <c r="B64" s="234" t="s">
        <v>395</v>
      </c>
      <c r="D64" s="259">
        <f>D63-$D$11*SQRT($D$10)</f>
        <v>37.614308877669643</v>
      </c>
      <c r="E64" s="259">
        <f t="shared" ref="E64:O64" si="32">E63-$D$11*SQRT($D$10)</f>
        <v>-0.30878492714138039</v>
      </c>
      <c r="F64" s="259">
        <f t="shared" si="32"/>
        <v>-0.30939250295027843</v>
      </c>
      <c r="G64" s="259">
        <f t="shared" si="32"/>
        <v>-0.34518131730777413</v>
      </c>
      <c r="H64" s="259">
        <f t="shared" si="32"/>
        <v>-0.34825645141025197</v>
      </c>
      <c r="I64" s="259">
        <f t="shared" si="32"/>
        <v>-0.37251048285639987</v>
      </c>
      <c r="J64" s="259">
        <f t="shared" si="32"/>
        <v>-0.40406309628430143</v>
      </c>
      <c r="K64" s="259">
        <f t="shared" si="32"/>
        <v>-0.42195449088095371</v>
      </c>
      <c r="L64" s="259">
        <f t="shared" si="32"/>
        <v>-0.43971349762539336</v>
      </c>
      <c r="M64" s="259">
        <f t="shared" si="32"/>
        <v>-0.61056940795411663</v>
      </c>
      <c r="N64" s="259">
        <f t="shared" si="32"/>
        <v>-0.65813343867162954</v>
      </c>
      <c r="O64" s="259">
        <f t="shared" si="32"/>
        <v>-1.211858386067088</v>
      </c>
    </row>
    <row r="65" spans="2:19" ht="14.85" customHeight="1" outlineLevel="1">
      <c r="D65" s="259"/>
      <c r="E65" s="259"/>
      <c r="F65" s="259"/>
      <c r="G65" s="259"/>
      <c r="H65" s="259"/>
      <c r="I65" s="259"/>
      <c r="J65" s="259"/>
      <c r="K65" s="259"/>
      <c r="L65" s="259"/>
      <c r="M65" s="259"/>
      <c r="N65" s="259"/>
      <c r="O65" s="259"/>
    </row>
    <row r="66" spans="2:19" ht="14.85" customHeight="1" outlineLevel="1">
      <c r="B66" s="234" t="s">
        <v>394</v>
      </c>
      <c r="D66" s="259">
        <f>(LN($D$9/D61)+($D$12+$D$11^2/2)*$D$10)/($D$11*SQRT($D$10))</f>
        <v>0.57745822309897288</v>
      </c>
      <c r="E66" s="465">
        <f>IF(E61="n/a","n/a",(LN($D$9/E61)+($D$12+$D$11^2/2)*$D$10)/($D$11*SQRT($D$10)))</f>
        <v>0.57685064729007485</v>
      </c>
      <c r="F66" s="465">
        <f t="shared" ref="F66:O66" si="33">IF(F61="n/a","n/a",(LN($D$9/F61)+($D$12+$D$11^2/2)*$D$10)/($D$11*SQRT($D$10)))</f>
        <v>0.54106183293257915</v>
      </c>
      <c r="G66" s="465">
        <f t="shared" si="33"/>
        <v>0.53798669883010131</v>
      </c>
      <c r="H66" s="465">
        <f t="shared" si="33"/>
        <v>0.5137326673839534</v>
      </c>
      <c r="I66" s="465">
        <f t="shared" si="33"/>
        <v>0.48218005395605185</v>
      </c>
      <c r="J66" s="465">
        <f t="shared" si="33"/>
        <v>0.46428865935939956</v>
      </c>
      <c r="K66" s="465">
        <f t="shared" si="33"/>
        <v>0.44652965261495992</v>
      </c>
      <c r="L66" s="465">
        <f t="shared" si="33"/>
        <v>0.2756737422862367</v>
      </c>
      <c r="M66" s="465">
        <f t="shared" si="33"/>
        <v>0.22810971156872378</v>
      </c>
      <c r="N66" s="465">
        <f t="shared" si="33"/>
        <v>-0.32561523582673468</v>
      </c>
      <c r="O66" s="465" t="str">
        <f t="shared" si="33"/>
        <v>n/a</v>
      </c>
    </row>
    <row r="67" spans="2:19" ht="14.85" customHeight="1" outlineLevel="1">
      <c r="B67" s="234" t="s">
        <v>396</v>
      </c>
      <c r="D67" s="259">
        <f>D66-$D$11*SQRT($D$10)</f>
        <v>-0.30878492714138039</v>
      </c>
      <c r="E67" s="465">
        <f>IF(E61="n/a","n/a",E66-$D$11*SQRT($D$10))</f>
        <v>-0.30939250295027843</v>
      </c>
      <c r="F67" s="465">
        <f t="shared" ref="F67:O67" si="34">IF(F61="n/a","n/a",F66-$D$11*SQRT($D$10))</f>
        <v>-0.34518131730777413</v>
      </c>
      <c r="G67" s="465">
        <f t="shared" si="34"/>
        <v>-0.34825645141025197</v>
      </c>
      <c r="H67" s="465">
        <f t="shared" si="34"/>
        <v>-0.37251048285639987</v>
      </c>
      <c r="I67" s="465">
        <f t="shared" si="34"/>
        <v>-0.40406309628430143</v>
      </c>
      <c r="J67" s="465">
        <f t="shared" si="34"/>
        <v>-0.42195449088095371</v>
      </c>
      <c r="K67" s="465">
        <f t="shared" si="34"/>
        <v>-0.43971349762539336</v>
      </c>
      <c r="L67" s="465">
        <f t="shared" si="34"/>
        <v>-0.61056940795411663</v>
      </c>
      <c r="M67" s="465">
        <f t="shared" si="34"/>
        <v>-0.65813343867162954</v>
      </c>
      <c r="N67" s="465">
        <f t="shared" si="34"/>
        <v>-1.211858386067088</v>
      </c>
      <c r="O67" s="465" t="str">
        <f t="shared" si="34"/>
        <v>n/a</v>
      </c>
    </row>
    <row r="68" spans="2:19" ht="14.85" customHeight="1" outlineLevel="1">
      <c r="D68" s="259"/>
      <c r="E68" s="259"/>
      <c r="F68" s="259"/>
      <c r="G68" s="259"/>
      <c r="H68" s="259"/>
      <c r="I68" s="259"/>
      <c r="J68" s="259"/>
      <c r="K68" s="259"/>
      <c r="L68" s="259"/>
      <c r="M68" s="259"/>
      <c r="N68" s="259"/>
      <c r="O68" s="259"/>
    </row>
    <row r="69" spans="2:19" ht="14.85" customHeight="1">
      <c r="B69" s="234" t="s">
        <v>390</v>
      </c>
      <c r="D69" s="259">
        <f>$D$9*NORMSDIST(D63)-D60*EXP(-$D$12*$D$10)*NORMSDIST(D64)</f>
        <v>42639.999999999905</v>
      </c>
      <c r="E69" s="259">
        <f t="shared" ref="E69" si="35">$D$9*NORMSDIST(E63)-E60*EXP(-$D$12*$D$10)*NORMSDIST(E64)</f>
        <v>16286.471175049279</v>
      </c>
      <c r="F69" s="259">
        <f t="shared" ref="F69:O69" si="36">$D$9*NORMSDIST(F63)-F60*EXP(-$D$12*$D$10)*NORMSDIST(F64)</f>
        <v>16278.751585915528</v>
      </c>
      <c r="G69" s="259">
        <f t="shared" si="36"/>
        <v>15825.081486100633</v>
      </c>
      <c r="H69" s="259">
        <f t="shared" si="36"/>
        <v>15786.202993317989</v>
      </c>
      <c r="I69" s="259">
        <f t="shared" si="36"/>
        <v>15480.193494631105</v>
      </c>
      <c r="J69" s="259">
        <f t="shared" si="36"/>
        <v>15083.92359514829</v>
      </c>
      <c r="K69" s="259">
        <f t="shared" si="36"/>
        <v>14860.235072148385</v>
      </c>
      <c r="L69" s="259">
        <f t="shared" si="36"/>
        <v>14638.984850029883</v>
      </c>
      <c r="M69" s="259">
        <f t="shared" si="36"/>
        <v>12559.441191647058</v>
      </c>
      <c r="N69" s="259">
        <f t="shared" si="36"/>
        <v>11999.60785050047</v>
      </c>
      <c r="O69" s="259">
        <f t="shared" si="36"/>
        <v>6372.5668831911571</v>
      </c>
    </row>
    <row r="70" spans="2:19" ht="14.85" customHeight="1">
      <c r="B70" s="234" t="s">
        <v>391</v>
      </c>
      <c r="D70" s="259">
        <f>$D$9*NORMSDIST(D66)-D61*EXP(-$D$12*$D$10)*NORMSDIST(D67)</f>
        <v>16286.471175049279</v>
      </c>
      <c r="E70" s="465">
        <f>IF(E61="n/a","n/a",$D$9*NORMSDIST(E66)-E61*EXP(-$D$12*$D$10)*NORMSDIST(E67))</f>
        <v>16278.751585915528</v>
      </c>
      <c r="F70" s="465">
        <f t="shared" ref="F70:O70" si="37">IF(F61="n/a","n/a",$D$9*NORMSDIST(F66)-F61*EXP(-$D$12*$D$10)*NORMSDIST(F67))</f>
        <v>15825.081486100633</v>
      </c>
      <c r="G70" s="465">
        <f t="shared" si="37"/>
        <v>15786.202993317989</v>
      </c>
      <c r="H70" s="465">
        <f t="shared" si="37"/>
        <v>15480.193494631105</v>
      </c>
      <c r="I70" s="465">
        <f t="shared" si="37"/>
        <v>15083.92359514829</v>
      </c>
      <c r="J70" s="465">
        <f t="shared" si="37"/>
        <v>14860.235072148385</v>
      </c>
      <c r="K70" s="465">
        <f t="shared" si="37"/>
        <v>14638.984850029883</v>
      </c>
      <c r="L70" s="465">
        <f t="shared" si="37"/>
        <v>12559.441191647058</v>
      </c>
      <c r="M70" s="465">
        <f t="shared" si="37"/>
        <v>11999.60785050047</v>
      </c>
      <c r="N70" s="465">
        <f t="shared" si="37"/>
        <v>6372.5668831911571</v>
      </c>
      <c r="O70" s="465" t="str">
        <f t="shared" si="37"/>
        <v>n/a</v>
      </c>
    </row>
    <row r="71" spans="2:19" ht="14.85" customHeight="1"/>
    <row r="72" spans="2:19" ht="14.85" customHeight="1">
      <c r="B72" s="255" t="s">
        <v>392</v>
      </c>
      <c r="C72" s="255"/>
      <c r="D72" s="459">
        <f>D69-D70</f>
        <v>26353.528824950627</v>
      </c>
      <c r="E72" s="459">
        <f>IF(E61="n/a",E69,E69-E70)</f>
        <v>7.71958913375056</v>
      </c>
      <c r="F72" s="459">
        <f t="shared" ref="F72:O72" si="38">IF(F61="n/a",F69,F69-F70)</f>
        <v>453.67009981489537</v>
      </c>
      <c r="G72" s="459">
        <f t="shared" si="38"/>
        <v>38.878492782643661</v>
      </c>
      <c r="H72" s="459">
        <f t="shared" si="38"/>
        <v>306.0094986868844</v>
      </c>
      <c r="I72" s="459">
        <f t="shared" si="38"/>
        <v>396.26989948281516</v>
      </c>
      <c r="J72" s="459">
        <f t="shared" si="38"/>
        <v>223.68852299990431</v>
      </c>
      <c r="K72" s="459">
        <f t="shared" si="38"/>
        <v>221.25022211850228</v>
      </c>
      <c r="L72" s="459">
        <f t="shared" si="38"/>
        <v>2079.543658382825</v>
      </c>
      <c r="M72" s="459">
        <f t="shared" si="38"/>
        <v>559.83334114658828</v>
      </c>
      <c r="N72" s="459">
        <f t="shared" si="38"/>
        <v>5627.0409673093127</v>
      </c>
      <c r="O72" s="459">
        <f t="shared" si="38"/>
        <v>6372.5668831911571</v>
      </c>
    </row>
    <row r="73" spans="2:19" ht="14.85" customHeight="1"/>
    <row r="74" spans="2:19" s="270" customFormat="1" ht="14.85" customHeight="1">
      <c r="B74" s="461" t="s">
        <v>386</v>
      </c>
      <c r="D74" s="462">
        <f>D$15</f>
        <v>1</v>
      </c>
      <c r="E74" s="463">
        <f t="shared" ref="E74:O74" si="39">E$15</f>
        <v>2</v>
      </c>
      <c r="F74" s="463">
        <f t="shared" si="39"/>
        <v>3</v>
      </c>
      <c r="G74" s="463">
        <f t="shared" si="39"/>
        <v>4</v>
      </c>
      <c r="H74" s="463">
        <f t="shared" si="39"/>
        <v>5</v>
      </c>
      <c r="I74" s="463">
        <f t="shared" si="39"/>
        <v>6</v>
      </c>
      <c r="J74" s="463">
        <f t="shared" si="39"/>
        <v>7</v>
      </c>
      <c r="K74" s="463">
        <f t="shared" si="39"/>
        <v>8</v>
      </c>
      <c r="L74" s="463">
        <f t="shared" si="39"/>
        <v>9</v>
      </c>
      <c r="M74" s="463">
        <f t="shared" si="39"/>
        <v>10</v>
      </c>
      <c r="N74" s="463">
        <f t="shared" si="39"/>
        <v>11</v>
      </c>
      <c r="O74" s="464">
        <f t="shared" si="39"/>
        <v>12</v>
      </c>
      <c r="S74" s="271"/>
    </row>
    <row r="75" spans="2:19" ht="14.85" customHeight="1"/>
    <row r="76" spans="2:19" ht="14.85" customHeight="1">
      <c r="D76" s="466" t="s">
        <v>380</v>
      </c>
      <c r="E76" s="466" t="s">
        <v>304</v>
      </c>
      <c r="F76" s="466" t="s">
        <v>304</v>
      </c>
      <c r="G76" s="466" t="s">
        <v>304</v>
      </c>
      <c r="H76" s="466" t="s">
        <v>304</v>
      </c>
      <c r="I76" s="466" t="s">
        <v>304</v>
      </c>
      <c r="J76" s="466" t="s">
        <v>304</v>
      </c>
      <c r="K76" s="466" t="s">
        <v>304</v>
      </c>
      <c r="L76" s="466" t="s">
        <v>304</v>
      </c>
      <c r="M76" s="466" t="s">
        <v>304</v>
      </c>
      <c r="N76" s="466" t="s">
        <v>304</v>
      </c>
      <c r="O76" s="466" t="s">
        <v>304</v>
      </c>
    </row>
    <row r="77" spans="2:19" ht="14.85" customHeight="1"/>
    <row r="78" spans="2:19" ht="14.85" customHeight="1">
      <c r="B78" s="256" t="str">
        <f t="shared" ref="B78:B88" si="40">B35</f>
        <v>Series Seed</v>
      </c>
      <c r="D78" s="297">
        <f>IF(D$76="Liq. Pref",D19,D35)</f>
        <v>1020.0174399</v>
      </c>
      <c r="E78" s="297">
        <f t="shared" ref="E78:O78" si="41">IF(E$76="Liq. Pref",E19,E35)</f>
        <v>0</v>
      </c>
      <c r="F78" s="297">
        <f t="shared" si="41"/>
        <v>0</v>
      </c>
      <c r="G78" s="297">
        <f t="shared" si="41"/>
        <v>0</v>
      </c>
      <c r="H78" s="297">
        <f t="shared" si="41"/>
        <v>0</v>
      </c>
      <c r="I78" s="297">
        <f t="shared" si="41"/>
        <v>0</v>
      </c>
      <c r="J78" s="297">
        <f t="shared" si="41"/>
        <v>0</v>
      </c>
      <c r="K78" s="297">
        <f t="shared" si="41"/>
        <v>0</v>
      </c>
      <c r="L78" s="297">
        <f t="shared" si="41"/>
        <v>1010.456</v>
      </c>
      <c r="M78" s="297">
        <f t="shared" si="41"/>
        <v>1010.456</v>
      </c>
      <c r="N78" s="297">
        <f t="shared" si="41"/>
        <v>1010.456</v>
      </c>
      <c r="O78" s="297">
        <f t="shared" si="41"/>
        <v>1010.456</v>
      </c>
    </row>
    <row r="79" spans="2:19" ht="14.85" customHeight="1">
      <c r="B79" s="256" t="str">
        <f t="shared" si="40"/>
        <v>Series Seed-1</v>
      </c>
      <c r="D79" s="297">
        <f t="shared" ref="D79:O79" si="42">IF(D$76="Liq. Pref",D20,D36)</f>
        <v>3430.0119045000001</v>
      </c>
      <c r="E79" s="297">
        <f t="shared" si="42"/>
        <v>0</v>
      </c>
      <c r="F79" s="297">
        <f t="shared" si="42"/>
        <v>0</v>
      </c>
      <c r="G79" s="297">
        <f t="shared" si="42"/>
        <v>0</v>
      </c>
      <c r="H79" s="297">
        <f t="shared" si="42"/>
        <v>0</v>
      </c>
      <c r="I79" s="297">
        <f t="shared" si="42"/>
        <v>0</v>
      </c>
      <c r="J79" s="297">
        <f t="shared" si="42"/>
        <v>0</v>
      </c>
      <c r="K79" s="297">
        <f t="shared" si="42"/>
        <v>0</v>
      </c>
      <c r="L79" s="297">
        <f t="shared" si="42"/>
        <v>0</v>
      </c>
      <c r="M79" s="297">
        <f t="shared" si="42"/>
        <v>1787.64</v>
      </c>
      <c r="N79" s="297">
        <f t="shared" si="42"/>
        <v>1787.64</v>
      </c>
      <c r="O79" s="297">
        <f t="shared" si="42"/>
        <v>1787.64</v>
      </c>
    </row>
    <row r="80" spans="2:19" ht="14.85" customHeight="1">
      <c r="B80" s="256" t="str">
        <f t="shared" si="40"/>
        <v>Series A</v>
      </c>
      <c r="D80" s="297">
        <f t="shared" ref="D80:O80" si="43">IF(D$76="Liq. Pref",D21,D37)</f>
        <v>13135.5942393</v>
      </c>
      <c r="E80" s="297">
        <f t="shared" si="43"/>
        <v>0</v>
      </c>
      <c r="F80" s="297">
        <f t="shared" si="43"/>
        <v>0</v>
      </c>
      <c r="G80" s="297">
        <f t="shared" si="43"/>
        <v>0</v>
      </c>
      <c r="H80" s="297">
        <f t="shared" si="43"/>
        <v>0</v>
      </c>
      <c r="I80" s="297">
        <f t="shared" si="43"/>
        <v>0</v>
      </c>
      <c r="J80" s="297">
        <f t="shared" si="43"/>
        <v>0</v>
      </c>
      <c r="K80" s="297">
        <f t="shared" si="43"/>
        <v>0</v>
      </c>
      <c r="L80" s="297">
        <f t="shared" si="43"/>
        <v>0</v>
      </c>
      <c r="M80" s="297">
        <f t="shared" si="43"/>
        <v>0</v>
      </c>
      <c r="N80" s="297">
        <f t="shared" si="43"/>
        <v>6120.1109999999999</v>
      </c>
      <c r="O80" s="297">
        <f t="shared" si="43"/>
        <v>6120.1109999999999</v>
      </c>
    </row>
    <row r="81" spans="2:15" ht="14.85" customHeight="1">
      <c r="B81" s="256" t="str">
        <f t="shared" si="40"/>
        <v>Series B</v>
      </c>
      <c r="D81" s="297">
        <f t="shared" ref="D81:O81" si="44">IF(D$76="Liq. Pref",D22,D38)</f>
        <v>21881.811811600001</v>
      </c>
      <c r="E81" s="297">
        <f t="shared" si="44"/>
        <v>0</v>
      </c>
      <c r="F81" s="297">
        <f t="shared" si="44"/>
        <v>0</v>
      </c>
      <c r="G81" s="297">
        <f t="shared" si="44"/>
        <v>0</v>
      </c>
      <c r="H81" s="297">
        <f t="shared" si="44"/>
        <v>0</v>
      </c>
      <c r="I81" s="297">
        <f t="shared" si="44"/>
        <v>0</v>
      </c>
      <c r="J81" s="297">
        <f t="shared" si="44"/>
        <v>0</v>
      </c>
      <c r="K81" s="297">
        <f t="shared" si="44"/>
        <v>0</v>
      </c>
      <c r="L81" s="297">
        <f t="shared" si="44"/>
        <v>0</v>
      </c>
      <c r="M81" s="297">
        <f t="shared" si="44"/>
        <v>0</v>
      </c>
      <c r="N81" s="297">
        <f t="shared" si="44"/>
        <v>0</v>
      </c>
      <c r="O81" s="297">
        <f t="shared" si="44"/>
        <v>5097.5659999999998</v>
      </c>
    </row>
    <row r="82" spans="2:15" ht="14.85" customHeight="1">
      <c r="B82" s="256" t="str">
        <f t="shared" si="40"/>
        <v>Options at $0.0059 Strike Price</v>
      </c>
      <c r="D82" s="297">
        <f>D39</f>
        <v>0</v>
      </c>
      <c r="E82" s="297">
        <f t="shared" ref="E82:O82" si="45">E39</f>
        <v>0</v>
      </c>
      <c r="F82" s="297">
        <f t="shared" si="45"/>
        <v>79.688000000000002</v>
      </c>
      <c r="G82" s="297">
        <f t="shared" si="45"/>
        <v>79.688000000000002</v>
      </c>
      <c r="H82" s="297">
        <f t="shared" si="45"/>
        <v>79.688000000000002</v>
      </c>
      <c r="I82" s="297">
        <f t="shared" si="45"/>
        <v>79.688000000000002</v>
      </c>
      <c r="J82" s="297">
        <f t="shared" si="45"/>
        <v>79.688000000000002</v>
      </c>
      <c r="K82" s="297">
        <f t="shared" si="45"/>
        <v>79.688000000000002</v>
      </c>
      <c r="L82" s="297">
        <f t="shared" si="45"/>
        <v>79.688000000000002</v>
      </c>
      <c r="M82" s="297">
        <f t="shared" si="45"/>
        <v>79.688000000000002</v>
      </c>
      <c r="N82" s="297">
        <f t="shared" si="45"/>
        <v>79.688000000000002</v>
      </c>
      <c r="O82" s="297">
        <f t="shared" si="45"/>
        <v>79.688000000000002</v>
      </c>
    </row>
    <row r="83" spans="2:15" ht="14.85" customHeight="1">
      <c r="B83" s="256" t="str">
        <f t="shared" si="40"/>
        <v>Options at $0.350 Strike Price</v>
      </c>
      <c r="D83" s="297">
        <f t="shared" ref="D83:O83" si="46">D40</f>
        <v>0</v>
      </c>
      <c r="E83" s="297">
        <f t="shared" si="46"/>
        <v>0</v>
      </c>
      <c r="F83" s="297">
        <f t="shared" si="46"/>
        <v>0</v>
      </c>
      <c r="G83" s="297">
        <f t="shared" si="46"/>
        <v>10</v>
      </c>
      <c r="H83" s="297">
        <f t="shared" si="46"/>
        <v>10</v>
      </c>
      <c r="I83" s="297">
        <f t="shared" si="46"/>
        <v>10</v>
      </c>
      <c r="J83" s="297">
        <f t="shared" si="46"/>
        <v>10</v>
      </c>
      <c r="K83" s="297">
        <f t="shared" si="46"/>
        <v>10</v>
      </c>
      <c r="L83" s="297">
        <f t="shared" si="46"/>
        <v>10</v>
      </c>
      <c r="M83" s="297">
        <f t="shared" si="46"/>
        <v>10</v>
      </c>
      <c r="N83" s="297">
        <f t="shared" si="46"/>
        <v>10</v>
      </c>
      <c r="O83" s="297">
        <f t="shared" si="46"/>
        <v>10</v>
      </c>
    </row>
    <row r="84" spans="2:15" ht="14.85" customHeight="1">
      <c r="B84" s="256" t="str">
        <f t="shared" si="40"/>
        <v>Options at $0.38 Strike Price</v>
      </c>
      <c r="D84" s="297">
        <f t="shared" ref="D84:O84" si="47">D41</f>
        <v>0</v>
      </c>
      <c r="E84" s="297">
        <f t="shared" si="47"/>
        <v>0</v>
      </c>
      <c r="F84" s="297">
        <f t="shared" si="47"/>
        <v>0</v>
      </c>
      <c r="G84" s="297">
        <f t="shared" si="47"/>
        <v>0</v>
      </c>
      <c r="H84" s="297">
        <f t="shared" si="47"/>
        <v>328.69</v>
      </c>
      <c r="I84" s="297">
        <f t="shared" si="47"/>
        <v>328.69</v>
      </c>
      <c r="J84" s="297">
        <f t="shared" si="47"/>
        <v>328.69</v>
      </c>
      <c r="K84" s="297">
        <f t="shared" si="47"/>
        <v>328.69</v>
      </c>
      <c r="L84" s="297">
        <f t="shared" si="47"/>
        <v>328.69</v>
      </c>
      <c r="M84" s="297">
        <f t="shared" si="47"/>
        <v>328.69</v>
      </c>
      <c r="N84" s="297">
        <f t="shared" si="47"/>
        <v>328.69</v>
      </c>
      <c r="O84" s="297">
        <f t="shared" si="47"/>
        <v>328.69</v>
      </c>
    </row>
    <row r="85" spans="2:15" ht="14.85" customHeight="1">
      <c r="B85" s="256" t="str">
        <f t="shared" si="40"/>
        <v>Options at $0.81 Strike Price</v>
      </c>
      <c r="D85" s="297">
        <f t="shared" ref="D85:O85" si="48">D42</f>
        <v>0</v>
      </c>
      <c r="E85" s="297">
        <f t="shared" si="48"/>
        <v>0</v>
      </c>
      <c r="F85" s="297">
        <f t="shared" si="48"/>
        <v>0</v>
      </c>
      <c r="G85" s="297">
        <f t="shared" si="48"/>
        <v>0</v>
      </c>
      <c r="H85" s="297">
        <f t="shared" si="48"/>
        <v>0</v>
      </c>
      <c r="I85" s="297">
        <f t="shared" si="48"/>
        <v>0</v>
      </c>
      <c r="J85" s="297">
        <f t="shared" si="48"/>
        <v>1224.4010000000001</v>
      </c>
      <c r="K85" s="297">
        <f t="shared" si="48"/>
        <v>1224.4010000000001</v>
      </c>
      <c r="L85" s="297">
        <f t="shared" si="48"/>
        <v>1224.4010000000001</v>
      </c>
      <c r="M85" s="297">
        <f t="shared" si="48"/>
        <v>1224.4010000000001</v>
      </c>
      <c r="N85" s="297">
        <f t="shared" si="48"/>
        <v>1224.4010000000001</v>
      </c>
      <c r="O85" s="297">
        <f t="shared" si="48"/>
        <v>1224.4010000000001</v>
      </c>
    </row>
    <row r="86" spans="2:15" ht="14.85" customHeight="1">
      <c r="B86" s="256" t="str">
        <f t="shared" si="40"/>
        <v>Options at $0.91 Strike Price</v>
      </c>
      <c r="D86" s="297">
        <f t="shared" ref="D86:O86" si="49">D43</f>
        <v>0</v>
      </c>
      <c r="E86" s="297">
        <f t="shared" si="49"/>
        <v>0</v>
      </c>
      <c r="F86" s="297">
        <f t="shared" si="49"/>
        <v>0</v>
      </c>
      <c r="G86" s="297">
        <f t="shared" si="49"/>
        <v>0</v>
      </c>
      <c r="H86" s="297">
        <f t="shared" si="49"/>
        <v>0</v>
      </c>
      <c r="I86" s="297">
        <f t="shared" si="49"/>
        <v>0</v>
      </c>
      <c r="J86" s="297">
        <f t="shared" si="49"/>
        <v>0</v>
      </c>
      <c r="K86" s="297">
        <f t="shared" si="49"/>
        <v>95.094999999999999</v>
      </c>
      <c r="L86" s="297">
        <f t="shared" si="49"/>
        <v>95.094999999999999</v>
      </c>
      <c r="M86" s="297">
        <f t="shared" si="49"/>
        <v>95.094999999999999</v>
      </c>
      <c r="N86" s="297">
        <f t="shared" si="49"/>
        <v>95.094999999999999</v>
      </c>
      <c r="O86" s="297">
        <f t="shared" si="49"/>
        <v>95.094999999999999</v>
      </c>
    </row>
    <row r="87" spans="2:15" ht="14.85" customHeight="1">
      <c r="B87" s="313" t="str">
        <f t="shared" si="40"/>
        <v>Expected Options Grant</v>
      </c>
      <c r="D87" s="297">
        <f t="shared" ref="D87:O87" si="50">D44</f>
        <v>0</v>
      </c>
      <c r="E87" s="297">
        <f t="shared" si="50"/>
        <v>0</v>
      </c>
      <c r="F87" s="297">
        <f t="shared" si="50"/>
        <v>0</v>
      </c>
      <c r="G87" s="297">
        <f t="shared" si="50"/>
        <v>0</v>
      </c>
      <c r="H87" s="297">
        <f t="shared" si="50"/>
        <v>0</v>
      </c>
      <c r="I87" s="297">
        <f t="shared" si="50"/>
        <v>1602.6010000000001</v>
      </c>
      <c r="J87" s="297">
        <f t="shared" si="50"/>
        <v>1602.6010000000001</v>
      </c>
      <c r="K87" s="297">
        <f t="shared" si="50"/>
        <v>1602.6010000000001</v>
      </c>
      <c r="L87" s="297">
        <f t="shared" si="50"/>
        <v>1602.6010000000001</v>
      </c>
      <c r="M87" s="297">
        <f t="shared" si="50"/>
        <v>1602.6010000000001</v>
      </c>
      <c r="N87" s="297">
        <f t="shared" si="50"/>
        <v>1602.6010000000001</v>
      </c>
      <c r="O87" s="297">
        <f t="shared" si="50"/>
        <v>1602.6010000000001</v>
      </c>
    </row>
    <row r="88" spans="2:15" ht="14.85" customHeight="1">
      <c r="B88" s="256" t="str">
        <f t="shared" si="40"/>
        <v>Common Stock</v>
      </c>
      <c r="D88" s="297">
        <f t="shared" ref="D88:O88" si="51">D45</f>
        <v>0</v>
      </c>
      <c r="E88" s="297">
        <f t="shared" si="51"/>
        <v>3618.2730000000001</v>
      </c>
      <c r="F88" s="297">
        <f t="shared" si="51"/>
        <v>3618.2730000000001</v>
      </c>
      <c r="G88" s="297">
        <f t="shared" si="51"/>
        <v>3618.2730000000001</v>
      </c>
      <c r="H88" s="297">
        <f t="shared" si="51"/>
        <v>3618.2730000000001</v>
      </c>
      <c r="I88" s="297">
        <f t="shared" si="51"/>
        <v>3618.2730000000001</v>
      </c>
      <c r="J88" s="297">
        <f t="shared" si="51"/>
        <v>3618.2730000000001</v>
      </c>
      <c r="K88" s="297">
        <f t="shared" si="51"/>
        <v>3618.2730000000001</v>
      </c>
      <c r="L88" s="297">
        <f t="shared" si="51"/>
        <v>3618.2730000000001</v>
      </c>
      <c r="M88" s="297">
        <f t="shared" si="51"/>
        <v>3618.2730000000001</v>
      </c>
      <c r="N88" s="297">
        <f t="shared" si="51"/>
        <v>3618.2730000000001</v>
      </c>
      <c r="O88" s="297">
        <f t="shared" si="51"/>
        <v>3618.2730000000001</v>
      </c>
    </row>
    <row r="89" spans="2:15" ht="14.85" customHeight="1">
      <c r="B89" s="269"/>
      <c r="C89" s="269"/>
      <c r="D89" s="269"/>
      <c r="E89" s="269"/>
      <c r="F89" s="269"/>
      <c r="G89" s="269"/>
      <c r="H89" s="269"/>
      <c r="I89" s="269"/>
      <c r="J89" s="269"/>
      <c r="K89" s="269"/>
      <c r="L89" s="269"/>
      <c r="M89" s="269"/>
      <c r="N89" s="269"/>
      <c r="O89" s="269"/>
    </row>
    <row r="90" spans="2:15" ht="14.85" customHeight="1">
      <c r="B90" s="298" t="s">
        <v>1995</v>
      </c>
      <c r="D90" s="309">
        <f t="shared" ref="D90:O90" si="52">SUM(D78:D88)</f>
        <v>39467.435395299995</v>
      </c>
      <c r="E90" s="309">
        <f t="shared" si="52"/>
        <v>3618.2730000000001</v>
      </c>
      <c r="F90" s="309">
        <f t="shared" si="52"/>
        <v>3697.9610000000002</v>
      </c>
      <c r="G90" s="309">
        <f t="shared" si="52"/>
        <v>3707.9610000000002</v>
      </c>
      <c r="H90" s="309">
        <f t="shared" si="52"/>
        <v>4036.6510000000003</v>
      </c>
      <c r="I90" s="309">
        <f t="shared" si="52"/>
        <v>5639.2520000000004</v>
      </c>
      <c r="J90" s="309">
        <f t="shared" si="52"/>
        <v>6863.6530000000002</v>
      </c>
      <c r="K90" s="309">
        <f t="shared" si="52"/>
        <v>6958.7480000000005</v>
      </c>
      <c r="L90" s="309">
        <f t="shared" si="52"/>
        <v>7969.2040000000006</v>
      </c>
      <c r="M90" s="309">
        <f t="shared" si="52"/>
        <v>9756.844000000001</v>
      </c>
      <c r="N90" s="309">
        <f t="shared" si="52"/>
        <v>15876.955000000002</v>
      </c>
      <c r="O90" s="309">
        <f t="shared" si="52"/>
        <v>20974.521000000001</v>
      </c>
    </row>
    <row r="91" spans="2:15" ht="14.85" customHeight="1"/>
    <row r="92" spans="2:15" ht="14.85" customHeight="1">
      <c r="B92" s="461" t="s">
        <v>2024</v>
      </c>
      <c r="C92" s="270"/>
      <c r="D92" s="462">
        <f>D$15</f>
        <v>1</v>
      </c>
      <c r="E92" s="463">
        <f t="shared" ref="E92:O92" si="53">E$15</f>
        <v>2</v>
      </c>
      <c r="F92" s="463">
        <f t="shared" si="53"/>
        <v>3</v>
      </c>
      <c r="G92" s="463">
        <f t="shared" si="53"/>
        <v>4</v>
      </c>
      <c r="H92" s="463">
        <f t="shared" si="53"/>
        <v>5</v>
      </c>
      <c r="I92" s="463">
        <f t="shared" si="53"/>
        <v>6</v>
      </c>
      <c r="J92" s="463">
        <f t="shared" si="53"/>
        <v>7</v>
      </c>
      <c r="K92" s="463">
        <f t="shared" si="53"/>
        <v>8</v>
      </c>
      <c r="L92" s="463">
        <f t="shared" si="53"/>
        <v>9</v>
      </c>
      <c r="M92" s="463">
        <f t="shared" si="53"/>
        <v>10</v>
      </c>
      <c r="N92" s="463">
        <f t="shared" si="53"/>
        <v>11</v>
      </c>
      <c r="O92" s="464">
        <f t="shared" si="53"/>
        <v>12</v>
      </c>
    </row>
    <row r="93" spans="2:15" ht="14.85" customHeight="1"/>
    <row r="94" spans="2:15" ht="14.85" customHeight="1">
      <c r="B94" s="256" t="str">
        <f t="shared" ref="B94:B104" si="54">B78</f>
        <v>Series Seed</v>
      </c>
      <c r="D94" s="310">
        <f t="shared" ref="D94:O94" si="55">D78/D$90</f>
        <v>2.5844533086167271E-2</v>
      </c>
      <c r="E94" s="310">
        <f t="shared" si="55"/>
        <v>0</v>
      </c>
      <c r="F94" s="310">
        <f t="shared" si="55"/>
        <v>0</v>
      </c>
      <c r="G94" s="310">
        <f t="shared" si="55"/>
        <v>0</v>
      </c>
      <c r="H94" s="310">
        <f t="shared" si="55"/>
        <v>0</v>
      </c>
      <c r="I94" s="310">
        <f t="shared" si="55"/>
        <v>0</v>
      </c>
      <c r="J94" s="310">
        <f t="shared" si="55"/>
        <v>0</v>
      </c>
      <c r="K94" s="310">
        <f t="shared" si="55"/>
        <v>0</v>
      </c>
      <c r="L94" s="310">
        <f t="shared" si="55"/>
        <v>0.12679509772870665</v>
      </c>
      <c r="M94" s="310">
        <f t="shared" si="55"/>
        <v>0.10356381633241239</v>
      </c>
      <c r="N94" s="310">
        <f t="shared" si="55"/>
        <v>6.3642934051271166E-2</v>
      </c>
      <c r="O94" s="310">
        <f t="shared" si="55"/>
        <v>4.8175402909081927E-2</v>
      </c>
    </row>
    <row r="95" spans="2:15" ht="14.85" customHeight="1">
      <c r="B95" s="256" t="str">
        <f t="shared" si="54"/>
        <v>Series Seed-1</v>
      </c>
      <c r="D95" s="310">
        <f t="shared" ref="D95:O95" si="56">D79/D$90</f>
        <v>8.6907392642706791E-2</v>
      </c>
      <c r="E95" s="310">
        <f t="shared" si="56"/>
        <v>0</v>
      </c>
      <c r="F95" s="310">
        <f t="shared" si="56"/>
        <v>0</v>
      </c>
      <c r="G95" s="310">
        <f t="shared" si="56"/>
        <v>0</v>
      </c>
      <c r="H95" s="310">
        <f t="shared" si="56"/>
        <v>0</v>
      </c>
      <c r="I95" s="310">
        <f t="shared" si="56"/>
        <v>0</v>
      </c>
      <c r="J95" s="310">
        <f t="shared" si="56"/>
        <v>0</v>
      </c>
      <c r="K95" s="310">
        <f t="shared" si="56"/>
        <v>0</v>
      </c>
      <c r="L95" s="310">
        <f t="shared" si="56"/>
        <v>0</v>
      </c>
      <c r="M95" s="310">
        <f t="shared" si="56"/>
        <v>0.1832190819080432</v>
      </c>
      <c r="N95" s="310">
        <f t="shared" si="56"/>
        <v>0.11259337826428303</v>
      </c>
      <c r="O95" s="310">
        <f t="shared" si="56"/>
        <v>8.5229121561345794E-2</v>
      </c>
    </row>
    <row r="96" spans="2:15" ht="14.85" customHeight="1">
      <c r="B96" s="256" t="str">
        <f t="shared" si="54"/>
        <v>Series A</v>
      </c>
      <c r="D96" s="310">
        <f t="shared" ref="D96:O96" si="57">D80/D$90</f>
        <v>0.33282107407628164</v>
      </c>
      <c r="E96" s="310">
        <f t="shared" si="57"/>
        <v>0</v>
      </c>
      <c r="F96" s="310">
        <f t="shared" si="57"/>
        <v>0</v>
      </c>
      <c r="G96" s="310">
        <f t="shared" si="57"/>
        <v>0</v>
      </c>
      <c r="H96" s="310">
        <f t="shared" si="57"/>
        <v>0</v>
      </c>
      <c r="I96" s="310">
        <f t="shared" si="57"/>
        <v>0</v>
      </c>
      <c r="J96" s="310">
        <f t="shared" si="57"/>
        <v>0</v>
      </c>
      <c r="K96" s="310">
        <f t="shared" si="57"/>
        <v>0</v>
      </c>
      <c r="L96" s="310">
        <f t="shared" si="57"/>
        <v>0</v>
      </c>
      <c r="M96" s="310">
        <f t="shared" si="57"/>
        <v>0</v>
      </c>
      <c r="N96" s="310">
        <f t="shared" si="57"/>
        <v>0.3854713325067684</v>
      </c>
      <c r="O96" s="310">
        <f t="shared" si="57"/>
        <v>0.29178787920830229</v>
      </c>
    </row>
    <row r="97" spans="2:19" ht="14.85" customHeight="1">
      <c r="B97" s="256" t="str">
        <f t="shared" si="54"/>
        <v>Series B</v>
      </c>
      <c r="D97" s="310">
        <f t="shared" ref="D97:O97" si="58">D81/D$90</f>
        <v>0.55442700019484448</v>
      </c>
      <c r="E97" s="310">
        <f t="shared" si="58"/>
        <v>0</v>
      </c>
      <c r="F97" s="310">
        <f t="shared" si="58"/>
        <v>0</v>
      </c>
      <c r="G97" s="310">
        <f t="shared" si="58"/>
        <v>0</v>
      </c>
      <c r="H97" s="310">
        <f t="shared" si="58"/>
        <v>0</v>
      </c>
      <c r="I97" s="310">
        <f t="shared" si="58"/>
        <v>0</v>
      </c>
      <c r="J97" s="310">
        <f t="shared" si="58"/>
        <v>0</v>
      </c>
      <c r="K97" s="310">
        <f t="shared" si="58"/>
        <v>0</v>
      </c>
      <c r="L97" s="310">
        <f t="shared" si="58"/>
        <v>0</v>
      </c>
      <c r="M97" s="310">
        <f t="shared" si="58"/>
        <v>0</v>
      </c>
      <c r="N97" s="310">
        <f t="shared" si="58"/>
        <v>0</v>
      </c>
      <c r="O97" s="310">
        <f t="shared" si="58"/>
        <v>0.24303611033596428</v>
      </c>
    </row>
    <row r="98" spans="2:19" ht="14.85" customHeight="1">
      <c r="B98" s="256" t="str">
        <f t="shared" si="54"/>
        <v>Options at $0.0059 Strike Price</v>
      </c>
      <c r="D98" s="310">
        <f t="shared" ref="D98:O98" si="59">D82/D$90</f>
        <v>0</v>
      </c>
      <c r="E98" s="310">
        <f t="shared" si="59"/>
        <v>0</v>
      </c>
      <c r="F98" s="310">
        <f t="shared" si="59"/>
        <v>2.1549172638651408E-2</v>
      </c>
      <c r="G98" s="310">
        <f t="shared" si="59"/>
        <v>2.1491056675083692E-2</v>
      </c>
      <c r="H98" s="310">
        <f t="shared" si="59"/>
        <v>1.9741117079479995E-2</v>
      </c>
      <c r="I98" s="310">
        <f t="shared" si="59"/>
        <v>1.4130952119181764E-2</v>
      </c>
      <c r="J98" s="310">
        <f t="shared" si="59"/>
        <v>1.1610144044286621E-2</v>
      </c>
      <c r="K98" s="310">
        <f t="shared" si="59"/>
        <v>1.1451485238436568E-2</v>
      </c>
      <c r="L98" s="310">
        <f t="shared" si="59"/>
        <v>9.9994930484901632E-3</v>
      </c>
      <c r="M98" s="310">
        <f t="shared" si="59"/>
        <v>8.1673951125999338E-3</v>
      </c>
      <c r="N98" s="310">
        <f t="shared" si="59"/>
        <v>5.0190984354367696E-3</v>
      </c>
      <c r="O98" s="310">
        <f t="shared" si="59"/>
        <v>3.7992762742948935E-3</v>
      </c>
    </row>
    <row r="99" spans="2:19" ht="14.85" customHeight="1">
      <c r="B99" s="256" t="str">
        <f t="shared" si="54"/>
        <v>Options at $0.350 Strike Price</v>
      </c>
      <c r="D99" s="310">
        <f t="shared" ref="D99:O99" si="60">D83/D$90</f>
        <v>0</v>
      </c>
      <c r="E99" s="310">
        <f t="shared" si="60"/>
        <v>0</v>
      </c>
      <c r="F99" s="310">
        <f t="shared" si="60"/>
        <v>0</v>
      </c>
      <c r="G99" s="310">
        <f t="shared" si="60"/>
        <v>2.6968999943634787E-3</v>
      </c>
      <c r="H99" s="310">
        <f t="shared" si="60"/>
        <v>2.4773011092611174E-3</v>
      </c>
      <c r="I99" s="310">
        <f t="shared" si="60"/>
        <v>1.7732848257180206E-3</v>
      </c>
      <c r="J99" s="310">
        <f t="shared" si="60"/>
        <v>1.4569501109686052E-3</v>
      </c>
      <c r="K99" s="310">
        <f t="shared" si="60"/>
        <v>1.4370401112384008E-3</v>
      </c>
      <c r="L99" s="310">
        <f t="shared" si="60"/>
        <v>1.2548304698938562E-3</v>
      </c>
      <c r="M99" s="310">
        <f t="shared" si="60"/>
        <v>1.0249215832496654E-3</v>
      </c>
      <c r="N99" s="310">
        <f t="shared" si="60"/>
        <v>6.2984369483947008E-4</v>
      </c>
      <c r="O99" s="310">
        <f t="shared" si="60"/>
        <v>4.7676893312605323E-4</v>
      </c>
    </row>
    <row r="100" spans="2:19" ht="14.85" customHeight="1">
      <c r="B100" s="256" t="str">
        <f t="shared" si="54"/>
        <v>Options at $0.38 Strike Price</v>
      </c>
      <c r="D100" s="310">
        <f t="shared" ref="D100:O100" si="61">D84/D$90</f>
        <v>0</v>
      </c>
      <c r="E100" s="310">
        <f t="shared" si="61"/>
        <v>0</v>
      </c>
      <c r="F100" s="310">
        <f t="shared" si="61"/>
        <v>0</v>
      </c>
      <c r="G100" s="310">
        <f t="shared" si="61"/>
        <v>0</v>
      </c>
      <c r="H100" s="310">
        <f t="shared" si="61"/>
        <v>8.1426410160303678E-2</v>
      </c>
      <c r="I100" s="310">
        <f t="shared" si="61"/>
        <v>5.8286098936525622E-2</v>
      </c>
      <c r="J100" s="310">
        <f t="shared" si="61"/>
        <v>4.7888493197427079E-2</v>
      </c>
      <c r="K100" s="310">
        <f t="shared" si="61"/>
        <v>4.7234071416294994E-2</v>
      </c>
      <c r="L100" s="310">
        <f t="shared" si="61"/>
        <v>4.1245022714941161E-2</v>
      </c>
      <c r="M100" s="310">
        <f t="shared" si="61"/>
        <v>3.3688147519833254E-2</v>
      </c>
      <c r="N100" s="310">
        <f t="shared" si="61"/>
        <v>2.0702332405678543E-2</v>
      </c>
      <c r="O100" s="310">
        <f t="shared" si="61"/>
        <v>1.5670918062920244E-2</v>
      </c>
    </row>
    <row r="101" spans="2:19" ht="14.85" customHeight="1">
      <c r="B101" s="256" t="str">
        <f t="shared" si="54"/>
        <v>Options at $0.81 Strike Price</v>
      </c>
      <c r="D101" s="310">
        <f t="shared" ref="D101:O101" si="62">D85/D$90</f>
        <v>0</v>
      </c>
      <c r="E101" s="310">
        <f t="shared" si="62"/>
        <v>0</v>
      </c>
      <c r="F101" s="310">
        <f t="shared" si="62"/>
        <v>0</v>
      </c>
      <c r="G101" s="310">
        <f t="shared" si="62"/>
        <v>0</v>
      </c>
      <c r="H101" s="310">
        <f t="shared" si="62"/>
        <v>0</v>
      </c>
      <c r="I101" s="310">
        <f t="shared" si="62"/>
        <v>0</v>
      </c>
      <c r="J101" s="310">
        <f t="shared" si="62"/>
        <v>0.17838911728200713</v>
      </c>
      <c r="K101" s="310">
        <f t="shared" si="62"/>
        <v>0.17595133492404094</v>
      </c>
      <c r="L101" s="310">
        <f t="shared" si="62"/>
        <v>0.15364156821685077</v>
      </c>
      <c r="M101" s="310">
        <f t="shared" si="62"/>
        <v>0.12549150114524737</v>
      </c>
      <c r="N101" s="310">
        <f t="shared" si="62"/>
        <v>7.7118124980514208E-2</v>
      </c>
      <c r="O101" s="310">
        <f t="shared" si="62"/>
        <v>5.8375635848847279E-2</v>
      </c>
    </row>
    <row r="102" spans="2:19" ht="14.85" customHeight="1">
      <c r="B102" s="256" t="str">
        <f t="shared" si="54"/>
        <v>Options at $0.91 Strike Price</v>
      </c>
      <c r="D102" s="310">
        <f t="shared" ref="D102:O102" si="63">D86/D$90</f>
        <v>0</v>
      </c>
      <c r="E102" s="310">
        <f t="shared" si="63"/>
        <v>0</v>
      </c>
      <c r="F102" s="310">
        <f t="shared" si="63"/>
        <v>0</v>
      </c>
      <c r="G102" s="310">
        <f t="shared" si="63"/>
        <v>0</v>
      </c>
      <c r="H102" s="310">
        <f t="shared" si="63"/>
        <v>0</v>
      </c>
      <c r="I102" s="310">
        <f t="shared" si="63"/>
        <v>0</v>
      </c>
      <c r="J102" s="310">
        <f t="shared" si="63"/>
        <v>0</v>
      </c>
      <c r="K102" s="310">
        <f t="shared" si="63"/>
        <v>1.3665532937821573E-2</v>
      </c>
      <c r="L102" s="310">
        <f t="shared" si="63"/>
        <v>1.1932810353455626E-2</v>
      </c>
      <c r="M102" s="310">
        <f t="shared" si="63"/>
        <v>9.7464917959126929E-3</v>
      </c>
      <c r="N102" s="310">
        <f t="shared" si="63"/>
        <v>5.9894986160759405E-3</v>
      </c>
      <c r="O102" s="310">
        <f t="shared" si="63"/>
        <v>4.5338341695622033E-3</v>
      </c>
    </row>
    <row r="103" spans="2:19" ht="14.85" customHeight="1">
      <c r="B103" s="256" t="str">
        <f t="shared" si="54"/>
        <v>Expected Options Grant</v>
      </c>
      <c r="D103" s="310">
        <f t="shared" ref="D103:O103" si="64">D87/D$90</f>
        <v>0</v>
      </c>
      <c r="E103" s="310">
        <f t="shared" si="64"/>
        <v>0</v>
      </c>
      <c r="F103" s="310">
        <f t="shared" si="64"/>
        <v>0</v>
      </c>
      <c r="G103" s="310">
        <f t="shared" si="64"/>
        <v>0</v>
      </c>
      <c r="H103" s="310">
        <f t="shared" si="64"/>
        <v>0</v>
      </c>
      <c r="I103" s="310">
        <f t="shared" si="64"/>
        <v>0.28418680349805259</v>
      </c>
      <c r="J103" s="310">
        <f t="shared" si="64"/>
        <v>0.23349097047883977</v>
      </c>
      <c r="K103" s="310">
        <f t="shared" si="64"/>
        <v>0.23030019193107726</v>
      </c>
      <c r="L103" s="310">
        <f t="shared" si="64"/>
        <v>0.20109925658823641</v>
      </c>
      <c r="M103" s="310">
        <f t="shared" si="64"/>
        <v>0.16425403542374972</v>
      </c>
      <c r="N103" s="310">
        <f t="shared" si="64"/>
        <v>0.10093881351934297</v>
      </c>
      <c r="O103" s="310">
        <f t="shared" si="64"/>
        <v>7.640703689967461E-2</v>
      </c>
    </row>
    <row r="104" spans="2:19" ht="14.85" customHeight="1">
      <c r="B104" s="256" t="str">
        <f t="shared" si="54"/>
        <v>Common Stock</v>
      </c>
      <c r="D104" s="310">
        <f t="shared" ref="D104:O104" si="65">D88/D$90</f>
        <v>0</v>
      </c>
      <c r="E104" s="310">
        <f t="shared" si="65"/>
        <v>1</v>
      </c>
      <c r="F104" s="310">
        <f t="shared" si="65"/>
        <v>0.97845082736134859</v>
      </c>
      <c r="G104" s="310">
        <f t="shared" si="65"/>
        <v>0.97581204333055283</v>
      </c>
      <c r="H104" s="310">
        <f t="shared" si="65"/>
        <v>0.89635517165095513</v>
      </c>
      <c r="I104" s="310">
        <f t="shared" si="65"/>
        <v>0.64162286062052198</v>
      </c>
      <c r="J104" s="310">
        <f t="shared" si="65"/>
        <v>0.5271643248864708</v>
      </c>
      <c r="K104" s="310">
        <f t="shared" si="65"/>
        <v>0.51996034344109021</v>
      </c>
      <c r="L104" s="310">
        <f t="shared" si="65"/>
        <v>0.45403192087942534</v>
      </c>
      <c r="M104" s="310">
        <f t="shared" si="65"/>
        <v>0.37084460917895168</v>
      </c>
      <c r="N104" s="310">
        <f t="shared" si="65"/>
        <v>0.22789464352578942</v>
      </c>
      <c r="O104" s="310">
        <f t="shared" si="65"/>
        <v>0.17250801579688041</v>
      </c>
    </row>
    <row r="105" spans="2:19" ht="14.85" customHeight="1">
      <c r="B105" s="467"/>
      <c r="C105" s="467"/>
      <c r="D105" s="269"/>
      <c r="E105" s="269"/>
      <c r="F105" s="269"/>
      <c r="G105" s="269"/>
      <c r="H105" s="269"/>
      <c r="I105" s="269"/>
      <c r="J105" s="269"/>
      <c r="K105" s="269"/>
      <c r="L105" s="269"/>
      <c r="M105" s="269"/>
      <c r="N105" s="269"/>
      <c r="O105" s="269"/>
    </row>
    <row r="106" spans="2:19" ht="14.85" customHeight="1">
      <c r="B106" s="255" t="s">
        <v>2025</v>
      </c>
      <c r="D106" s="888">
        <f t="shared" ref="D106:O106" si="66">SUM(D94:D104)</f>
        <v>1.0000000000000002</v>
      </c>
      <c r="E106" s="888">
        <f t="shared" si="66"/>
        <v>1</v>
      </c>
      <c r="F106" s="888">
        <f t="shared" si="66"/>
        <v>1</v>
      </c>
      <c r="G106" s="888">
        <f t="shared" si="66"/>
        <v>1</v>
      </c>
      <c r="H106" s="888">
        <f t="shared" si="66"/>
        <v>0.99999999999999989</v>
      </c>
      <c r="I106" s="888">
        <f t="shared" si="66"/>
        <v>1</v>
      </c>
      <c r="J106" s="888">
        <f t="shared" si="66"/>
        <v>1</v>
      </c>
      <c r="K106" s="888">
        <f t="shared" si="66"/>
        <v>1</v>
      </c>
      <c r="L106" s="888">
        <f t="shared" si="66"/>
        <v>0.99999999999999989</v>
      </c>
      <c r="M106" s="888">
        <f t="shared" si="66"/>
        <v>1</v>
      </c>
      <c r="N106" s="888">
        <f t="shared" si="66"/>
        <v>0.99999999999999978</v>
      </c>
      <c r="O106" s="888">
        <f t="shared" si="66"/>
        <v>1</v>
      </c>
    </row>
    <row r="107" spans="2:19" ht="14.85" customHeight="1">
      <c r="B107" s="255"/>
      <c r="D107" s="309"/>
      <c r="E107" s="309"/>
      <c r="F107" s="309"/>
      <c r="G107" s="309"/>
      <c r="H107" s="309"/>
      <c r="I107" s="309"/>
      <c r="J107" s="309"/>
      <c r="K107" s="309"/>
      <c r="L107" s="309"/>
      <c r="M107" s="309"/>
      <c r="N107" s="309"/>
      <c r="O107" s="309"/>
    </row>
    <row r="108" spans="2:19" s="270" customFormat="1" ht="14.85" customHeight="1">
      <c r="B108" s="461" t="s">
        <v>397</v>
      </c>
      <c r="D108" s="462">
        <f>D$15</f>
        <v>1</v>
      </c>
      <c r="E108" s="463">
        <f t="shared" ref="E108:O108" si="67">E$15</f>
        <v>2</v>
      </c>
      <c r="F108" s="463">
        <f t="shared" si="67"/>
        <v>3</v>
      </c>
      <c r="G108" s="463">
        <f t="shared" si="67"/>
        <v>4</v>
      </c>
      <c r="H108" s="463">
        <f t="shared" si="67"/>
        <v>5</v>
      </c>
      <c r="I108" s="463">
        <f t="shared" si="67"/>
        <v>6</v>
      </c>
      <c r="J108" s="463">
        <f t="shared" si="67"/>
        <v>7</v>
      </c>
      <c r="K108" s="463">
        <f t="shared" si="67"/>
        <v>8</v>
      </c>
      <c r="L108" s="463">
        <f t="shared" si="67"/>
        <v>9</v>
      </c>
      <c r="M108" s="463">
        <f t="shared" si="67"/>
        <v>10</v>
      </c>
      <c r="N108" s="463">
        <f t="shared" si="67"/>
        <v>11</v>
      </c>
      <c r="O108" s="464">
        <f t="shared" si="67"/>
        <v>12</v>
      </c>
      <c r="Q108" s="468" t="s">
        <v>161</v>
      </c>
      <c r="S108" s="271"/>
    </row>
    <row r="109" spans="2:19" ht="14.85" customHeight="1"/>
    <row r="110" spans="2:19" ht="14.85" customHeight="1">
      <c r="B110" s="256" t="str">
        <f t="shared" ref="B110:B120" si="68">B78</f>
        <v>Series Seed</v>
      </c>
      <c r="D110" s="469">
        <f t="shared" ref="D110:O110" si="69">D$72*D78/D$90</f>
        <v>681.09464765369933</v>
      </c>
      <c r="E110" s="469">
        <f t="shared" si="69"/>
        <v>0</v>
      </c>
      <c r="F110" s="469">
        <f t="shared" si="69"/>
        <v>0</v>
      </c>
      <c r="G110" s="469">
        <f t="shared" si="69"/>
        <v>0</v>
      </c>
      <c r="H110" s="469">
        <f t="shared" si="69"/>
        <v>0</v>
      </c>
      <c r="I110" s="469">
        <f t="shared" si="69"/>
        <v>0</v>
      </c>
      <c r="J110" s="469">
        <f t="shared" si="69"/>
        <v>0</v>
      </c>
      <c r="K110" s="469">
        <f t="shared" si="69"/>
        <v>0</v>
      </c>
      <c r="L110" s="469">
        <f t="shared" si="69"/>
        <v>263.67594139576244</v>
      </c>
      <c r="M110" s="469">
        <f t="shared" si="69"/>
        <v>57.978477319266048</v>
      </c>
      <c r="N110" s="469">
        <f t="shared" si="69"/>
        <v>358.1213971862677</v>
      </c>
      <c r="O110" s="469">
        <f t="shared" si="69"/>
        <v>307.00097716280641</v>
      </c>
      <c r="Q110" s="259">
        <f t="shared" ref="Q110:Q120" si="70">SUM(D110:O110)</f>
        <v>1667.8714407178018</v>
      </c>
    </row>
    <row r="111" spans="2:19" ht="14.85" customHeight="1">
      <c r="B111" s="256" t="str">
        <f t="shared" si="68"/>
        <v>Series Seed-1</v>
      </c>
      <c r="D111" s="259">
        <f t="shared" ref="D111:O111" si="71">D$72*D79/D$90</f>
        <v>2290.3164771108754</v>
      </c>
      <c r="E111" s="259">
        <f t="shared" si="71"/>
        <v>0</v>
      </c>
      <c r="F111" s="259">
        <f t="shared" si="71"/>
        <v>0</v>
      </c>
      <c r="G111" s="259">
        <f t="shared" si="71"/>
        <v>0</v>
      </c>
      <c r="H111" s="259">
        <f t="shared" si="71"/>
        <v>0</v>
      </c>
      <c r="I111" s="259">
        <f t="shared" si="71"/>
        <v>0</v>
      </c>
      <c r="J111" s="259">
        <f t="shared" si="71"/>
        <v>0</v>
      </c>
      <c r="K111" s="259">
        <f t="shared" si="71"/>
        <v>0</v>
      </c>
      <c r="L111" s="259">
        <f t="shared" si="71"/>
        <v>0</v>
      </c>
      <c r="M111" s="259">
        <f t="shared" si="71"/>
        <v>102.57215078639025</v>
      </c>
      <c r="N111" s="259">
        <f t="shared" si="71"/>
        <v>633.56755214087457</v>
      </c>
      <c r="O111" s="259">
        <f t="shared" si="71"/>
        <v>543.12827754530554</v>
      </c>
      <c r="Q111" s="259">
        <f t="shared" si="70"/>
        <v>3569.5844575834462</v>
      </c>
    </row>
    <row r="112" spans="2:19" ht="14.85" customHeight="1">
      <c r="B112" s="256" t="str">
        <f t="shared" si="68"/>
        <v>Series A</v>
      </c>
      <c r="D112" s="259">
        <f t="shared" ref="D112:O112" si="72">D$72*D80/D$90</f>
        <v>8771.0097692203162</v>
      </c>
      <c r="E112" s="259">
        <f t="shared" si="72"/>
        <v>0</v>
      </c>
      <c r="F112" s="259">
        <f t="shared" si="72"/>
        <v>0</v>
      </c>
      <c r="G112" s="259">
        <f t="shared" si="72"/>
        <v>0</v>
      </c>
      <c r="H112" s="259">
        <f t="shared" si="72"/>
        <v>0</v>
      </c>
      <c r="I112" s="259">
        <f t="shared" si="72"/>
        <v>0</v>
      </c>
      <c r="J112" s="259">
        <f t="shared" si="72"/>
        <v>0</v>
      </c>
      <c r="K112" s="259">
        <f t="shared" si="72"/>
        <v>0</v>
      </c>
      <c r="L112" s="259">
        <f t="shared" si="72"/>
        <v>0</v>
      </c>
      <c r="M112" s="259">
        <f t="shared" si="72"/>
        <v>0</v>
      </c>
      <c r="N112" s="259">
        <f t="shared" si="72"/>
        <v>2169.0629797388956</v>
      </c>
      <c r="O112" s="259">
        <f t="shared" si="72"/>
        <v>1859.4377759594086</v>
      </c>
      <c r="Q112" s="259">
        <f t="shared" si="70"/>
        <v>12799.51052491862</v>
      </c>
    </row>
    <row r="113" spans="2:19" ht="14.85" customHeight="1">
      <c r="B113" s="256" t="str">
        <f t="shared" si="68"/>
        <v>Series B</v>
      </c>
      <c r="D113" s="259">
        <f t="shared" ref="D113:O113" si="73">D$72*D81/D$90</f>
        <v>14611.107930965738</v>
      </c>
      <c r="E113" s="259">
        <f t="shared" si="73"/>
        <v>0</v>
      </c>
      <c r="F113" s="259">
        <f t="shared" si="73"/>
        <v>0</v>
      </c>
      <c r="G113" s="259">
        <f t="shared" si="73"/>
        <v>0</v>
      </c>
      <c r="H113" s="259">
        <f t="shared" si="73"/>
        <v>0</v>
      </c>
      <c r="I113" s="259">
        <f t="shared" si="73"/>
        <v>0</v>
      </c>
      <c r="J113" s="259">
        <f t="shared" si="73"/>
        <v>0</v>
      </c>
      <c r="K113" s="259">
        <f t="shared" si="73"/>
        <v>0</v>
      </c>
      <c r="L113" s="259">
        <f t="shared" si="73"/>
        <v>0</v>
      </c>
      <c r="M113" s="259">
        <f t="shared" si="73"/>
        <v>0</v>
      </c>
      <c r="N113" s="259">
        <f t="shared" si="73"/>
        <v>0</v>
      </c>
      <c r="O113" s="259">
        <f t="shared" si="73"/>
        <v>1548.763868146558</v>
      </c>
      <c r="Q113" s="259">
        <f t="shared" si="70"/>
        <v>16159.871799112296</v>
      </c>
    </row>
    <row r="114" spans="2:19" ht="14.85" customHeight="1">
      <c r="B114" s="256" t="str">
        <f t="shared" si="68"/>
        <v>Options at $0.0059 Strike Price</v>
      </c>
      <c r="D114" s="259">
        <f t="shared" ref="D114:O114" si="74">D$72*D82/D$90</f>
        <v>0</v>
      </c>
      <c r="E114" s="259">
        <f t="shared" si="74"/>
        <v>0</v>
      </c>
      <c r="F114" s="259">
        <f t="shared" si="74"/>
        <v>9.7762153019053972</v>
      </c>
      <c r="G114" s="259">
        <f t="shared" si="74"/>
        <v>0.8355398918336272</v>
      </c>
      <c r="H114" s="259">
        <f t="shared" si="74"/>
        <v>6.040969341010765</v>
      </c>
      <c r="I114" s="259">
        <f t="shared" si="74"/>
        <v>5.5996709758646315</v>
      </c>
      <c r="J114" s="259">
        <f t="shared" si="74"/>
        <v>2.5970559730826097</v>
      </c>
      <c r="K114" s="259">
        <f t="shared" si="74"/>
        <v>2.5336436525908406</v>
      </c>
      <c r="L114" s="259">
        <f t="shared" si="74"/>
        <v>20.794382356030862</v>
      </c>
      <c r="M114" s="259">
        <f t="shared" si="74"/>
        <v>4.5723800943511366</v>
      </c>
      <c r="N114" s="259">
        <f t="shared" si="74"/>
        <v>28.242672515160777</v>
      </c>
      <c r="O114" s="259">
        <f t="shared" si="74"/>
        <v>24.211142165665521</v>
      </c>
      <c r="Q114" s="259">
        <f t="shared" si="70"/>
        <v>105.20367226749617</v>
      </c>
    </row>
    <row r="115" spans="2:19" ht="14.85" customHeight="1">
      <c r="B115" s="256" t="str">
        <f t="shared" si="68"/>
        <v>Options at $0.350 Strike Price</v>
      </c>
      <c r="D115" s="259">
        <f t="shared" ref="D115:O115" si="75">D$72*D83/D$90</f>
        <v>0</v>
      </c>
      <c r="E115" s="259">
        <f t="shared" si="75"/>
        <v>0</v>
      </c>
      <c r="F115" s="259">
        <f t="shared" si="75"/>
        <v>0</v>
      </c>
      <c r="G115" s="259">
        <f t="shared" si="75"/>
        <v>0.10485140696637224</v>
      </c>
      <c r="H115" s="259">
        <f t="shared" si="75"/>
        <v>0.75807767054145725</v>
      </c>
      <c r="I115" s="259">
        <f t="shared" si="75"/>
        <v>0.70269939964168149</v>
      </c>
      <c r="J115" s="259">
        <f t="shared" si="75"/>
        <v>0.32590301840711394</v>
      </c>
      <c r="K115" s="259">
        <f t="shared" si="75"/>
        <v>0.31794544380469342</v>
      </c>
      <c r="L115" s="259">
        <f t="shared" si="75"/>
        <v>2.6094747460133094</v>
      </c>
      <c r="M115" s="259">
        <f t="shared" si="75"/>
        <v>0.57378527436391136</v>
      </c>
      <c r="N115" s="259">
        <f t="shared" si="75"/>
        <v>3.5441562738631633</v>
      </c>
      <c r="O115" s="259">
        <f t="shared" si="75"/>
        <v>3.0382419141734665</v>
      </c>
      <c r="Q115" s="259">
        <f t="shared" si="70"/>
        <v>11.97513514777517</v>
      </c>
    </row>
    <row r="116" spans="2:19" ht="14.85" customHeight="1">
      <c r="B116" s="256" t="str">
        <f t="shared" si="68"/>
        <v>Options at $0.38 Strike Price</v>
      </c>
      <c r="D116" s="259">
        <f t="shared" ref="D116:O116" si="76">D$72*D84/D$90</f>
        <v>0</v>
      </c>
      <c r="E116" s="259">
        <f t="shared" si="76"/>
        <v>0</v>
      </c>
      <c r="F116" s="259">
        <f t="shared" si="76"/>
        <v>0</v>
      </c>
      <c r="G116" s="259">
        <f t="shared" si="76"/>
        <v>0</v>
      </c>
      <c r="H116" s="259">
        <f t="shared" si="76"/>
        <v>24.917254953027157</v>
      </c>
      <c r="I116" s="259">
        <f t="shared" si="76"/>
        <v>23.097026566822429</v>
      </c>
      <c r="J116" s="259">
        <f t="shared" si="76"/>
        <v>10.712106312023428</v>
      </c>
      <c r="K116" s="259">
        <f t="shared" si="76"/>
        <v>10.450548792416468</v>
      </c>
      <c r="L116" s="259">
        <f t="shared" si="76"/>
        <v>85.770825426711454</v>
      </c>
      <c r="M116" s="259">
        <f t="shared" si="76"/>
        <v>18.859748183067403</v>
      </c>
      <c r="N116" s="259">
        <f t="shared" si="76"/>
        <v>116.49287256560831</v>
      </c>
      <c r="O116" s="259">
        <f t="shared" si="76"/>
        <v>99.863973476967672</v>
      </c>
      <c r="Q116" s="259">
        <f t="shared" si="70"/>
        <v>390.1643562766443</v>
      </c>
    </row>
    <row r="117" spans="2:19" ht="14.85" customHeight="1">
      <c r="B117" s="256" t="str">
        <f t="shared" si="68"/>
        <v>Options at $0.81 Strike Price</v>
      </c>
      <c r="D117" s="259">
        <f t="shared" ref="D117:O117" si="77">D$72*D85/D$90</f>
        <v>0</v>
      </c>
      <c r="E117" s="259">
        <f t="shared" si="77"/>
        <v>0</v>
      </c>
      <c r="F117" s="259">
        <f t="shared" si="77"/>
        <v>0</v>
      </c>
      <c r="G117" s="259">
        <f t="shared" si="77"/>
        <v>0</v>
      </c>
      <c r="H117" s="259">
        <f t="shared" si="77"/>
        <v>0</v>
      </c>
      <c r="I117" s="259">
        <f t="shared" si="77"/>
        <v>0</v>
      </c>
      <c r="J117" s="259">
        <f t="shared" si="77"/>
        <v>39.903598164068882</v>
      </c>
      <c r="K117" s="259">
        <f t="shared" si="77"/>
        <v>38.929271933991039</v>
      </c>
      <c r="L117" s="259">
        <f t="shared" si="77"/>
        <v>319.50434884934424</v>
      </c>
      <c r="M117" s="259">
        <f t="shared" si="77"/>
        <v>70.254326371644737</v>
      </c>
      <c r="N117" s="259">
        <f t="shared" si="77"/>
        <v>433.94684858743312</v>
      </c>
      <c r="O117" s="259">
        <f t="shared" si="77"/>
        <v>372.0026437955907</v>
      </c>
      <c r="Q117" s="259">
        <f t="shared" si="70"/>
        <v>1274.5410377020728</v>
      </c>
    </row>
    <row r="118" spans="2:19" ht="14.85" customHeight="1">
      <c r="B118" s="256" t="str">
        <f t="shared" si="68"/>
        <v>Options at $0.91 Strike Price</v>
      </c>
      <c r="D118" s="259">
        <f t="shared" ref="D118:O118" si="78">D$72*D86/D$90</f>
        <v>0</v>
      </c>
      <c r="E118" s="259">
        <f t="shared" si="78"/>
        <v>0</v>
      </c>
      <c r="F118" s="259">
        <f t="shared" si="78"/>
        <v>0</v>
      </c>
      <c r="G118" s="259">
        <f t="shared" si="78"/>
        <v>0</v>
      </c>
      <c r="H118" s="259">
        <f t="shared" si="78"/>
        <v>0</v>
      </c>
      <c r="I118" s="259">
        <f t="shared" si="78"/>
        <v>0</v>
      </c>
      <c r="J118" s="259">
        <f t="shared" si="78"/>
        <v>0</v>
      </c>
      <c r="K118" s="259">
        <f t="shared" si="78"/>
        <v>3.0235021978607319</v>
      </c>
      <c r="L118" s="259">
        <f t="shared" si="78"/>
        <v>24.814800097213563</v>
      </c>
      <c r="M118" s="259">
        <f t="shared" si="78"/>
        <v>5.4564110665636152</v>
      </c>
      <c r="N118" s="259">
        <f t="shared" si="78"/>
        <v>33.703154086301751</v>
      </c>
      <c r="O118" s="259">
        <f t="shared" si="78"/>
        <v>28.892161482832581</v>
      </c>
      <c r="Q118" s="259">
        <f t="shared" si="70"/>
        <v>95.890028930772232</v>
      </c>
    </row>
    <row r="119" spans="2:19" ht="14.85" customHeight="1">
      <c r="B119" s="256" t="str">
        <f t="shared" si="68"/>
        <v>Expected Options Grant</v>
      </c>
      <c r="D119" s="259">
        <f t="shared" ref="D119:O119" si="79">D$72*D87/D$90</f>
        <v>0</v>
      </c>
      <c r="E119" s="259">
        <f t="shared" si="79"/>
        <v>0</v>
      </c>
      <c r="F119" s="259">
        <f t="shared" si="79"/>
        <v>0</v>
      </c>
      <c r="G119" s="259">
        <f t="shared" si="79"/>
        <v>0</v>
      </c>
      <c r="H119" s="259">
        <f t="shared" si="79"/>
        <v>0</v>
      </c>
      <c r="I119" s="259">
        <f t="shared" si="79"/>
        <v>112.61467605651585</v>
      </c>
      <c r="J119" s="259">
        <f t="shared" si="79"/>
        <v>52.22925032022593</v>
      </c>
      <c r="K119" s="259">
        <f t="shared" si="79"/>
        <v>50.953968618684549</v>
      </c>
      <c r="L119" s="259">
        <f t="shared" si="79"/>
        <v>418.19468374356757</v>
      </c>
      <c r="M119" s="259">
        <f t="shared" si="79"/>
        <v>91.954885448087865</v>
      </c>
      <c r="N119" s="259">
        <f t="shared" si="79"/>
        <v>567.98683886493802</v>
      </c>
      <c r="O119" s="259">
        <f t="shared" si="79"/>
        <v>486.90895298963119</v>
      </c>
      <c r="Q119" s="259">
        <f t="shared" si="70"/>
        <v>1780.8432560416511</v>
      </c>
    </row>
    <row r="120" spans="2:19" ht="14.85" customHeight="1">
      <c r="B120" s="256" t="str">
        <f t="shared" si="68"/>
        <v>Common Stock</v>
      </c>
      <c r="D120" s="259">
        <f t="shared" ref="D120:O120" si="80">D$72*D88/D$90</f>
        <v>0</v>
      </c>
      <c r="E120" s="259">
        <f t="shared" si="80"/>
        <v>7.71958913375056</v>
      </c>
      <c r="F120" s="259">
        <f t="shared" si="80"/>
        <v>443.89388451298993</v>
      </c>
      <c r="G120" s="259">
        <f t="shared" si="80"/>
        <v>37.93810148384366</v>
      </c>
      <c r="H120" s="259">
        <f t="shared" si="80"/>
        <v>274.29319672230497</v>
      </c>
      <c r="I120" s="259">
        <f t="shared" si="80"/>
        <v>254.25582648397057</v>
      </c>
      <c r="J120" s="259">
        <f t="shared" si="80"/>
        <v>117.92060921209637</v>
      </c>
      <c r="K120" s="259">
        <f t="shared" si="80"/>
        <v>115.04134147915396</v>
      </c>
      <c r="L120" s="259">
        <f t="shared" si="80"/>
        <v>944.17920176818143</v>
      </c>
      <c r="M120" s="259">
        <f t="shared" si="80"/>
        <v>207.61117660285325</v>
      </c>
      <c r="N120" s="259">
        <f t="shared" si="80"/>
        <v>1282.3724953499689</v>
      </c>
      <c r="O120" s="259">
        <f t="shared" si="80"/>
        <v>1099.3188685522171</v>
      </c>
      <c r="Q120" s="259">
        <f t="shared" si="70"/>
        <v>4784.5442913013312</v>
      </c>
    </row>
    <row r="121" spans="2:19" ht="14.85" customHeight="1">
      <c r="B121" s="467"/>
      <c r="C121" s="467"/>
      <c r="D121" s="269"/>
      <c r="E121" s="269"/>
      <c r="F121" s="269"/>
      <c r="G121" s="269"/>
      <c r="H121" s="269"/>
      <c r="I121" s="269"/>
      <c r="J121" s="269"/>
      <c r="K121" s="269"/>
      <c r="L121" s="269"/>
      <c r="M121" s="269"/>
      <c r="N121" s="269"/>
      <c r="O121" s="269"/>
      <c r="Q121" s="269"/>
    </row>
    <row r="122" spans="2:19" ht="14.85" customHeight="1">
      <c r="B122" s="255" t="s">
        <v>1996</v>
      </c>
      <c r="D122" s="470">
        <f t="shared" ref="D122:O122" si="81">SUM(D110:D120)</f>
        <v>26353.528824950627</v>
      </c>
      <c r="E122" s="470">
        <f t="shared" si="81"/>
        <v>7.71958913375056</v>
      </c>
      <c r="F122" s="470">
        <f t="shared" si="81"/>
        <v>453.67009981489531</v>
      </c>
      <c r="G122" s="470">
        <f t="shared" si="81"/>
        <v>38.878492782643661</v>
      </c>
      <c r="H122" s="470">
        <f t="shared" si="81"/>
        <v>306.00949868688434</v>
      </c>
      <c r="I122" s="470">
        <f t="shared" si="81"/>
        <v>396.26989948281516</v>
      </c>
      <c r="J122" s="470">
        <f t="shared" si="81"/>
        <v>223.68852299990434</v>
      </c>
      <c r="K122" s="470">
        <f t="shared" si="81"/>
        <v>221.25022211850228</v>
      </c>
      <c r="L122" s="470">
        <f t="shared" si="81"/>
        <v>2079.543658382825</v>
      </c>
      <c r="M122" s="470">
        <f t="shared" si="81"/>
        <v>559.83334114658817</v>
      </c>
      <c r="N122" s="470">
        <f t="shared" si="81"/>
        <v>5627.0409673093118</v>
      </c>
      <c r="O122" s="470">
        <f t="shared" si="81"/>
        <v>6372.5668831911562</v>
      </c>
      <c r="Q122" s="309">
        <f>SUM(Q110:Q120)</f>
        <v>42639.999999999913</v>
      </c>
      <c r="S122" s="471">
        <f>Q122-D9</f>
        <v>-8.7311491370201111E-11</v>
      </c>
    </row>
    <row r="123" spans="2:19" ht="14.85" customHeight="1"/>
    <row r="124" spans="2:19" ht="14.85" customHeight="1"/>
    <row r="125" spans="2:19" ht="14.85" customHeight="1"/>
    <row r="126" spans="2:19" ht="14.85" customHeight="1">
      <c r="B126" s="234" t="s">
        <v>2026</v>
      </c>
      <c r="D126" s="472">
        <f>D55</f>
        <v>39467.435395299995</v>
      </c>
      <c r="E126" s="472">
        <f t="shared" ref="E126:N126" si="82">F55-E55</f>
        <v>21.257353875000263</v>
      </c>
      <c r="F126" s="472">
        <f t="shared" si="82"/>
        <v>1272.5608291250028</v>
      </c>
      <c r="G126" s="472">
        <f t="shared" si="82"/>
        <v>111.23882999999478</v>
      </c>
      <c r="H126" s="472">
        <f t="shared" si="82"/>
        <v>888.06322000000364</v>
      </c>
      <c r="I126" s="472">
        <f t="shared" si="82"/>
        <v>1184.242919999997</v>
      </c>
      <c r="J126" s="472">
        <f t="shared" si="82"/>
        <v>686.36530000000494</v>
      </c>
      <c r="K126" s="472">
        <f t="shared" si="82"/>
        <v>692.13447294999787</v>
      </c>
      <c r="L126" s="472">
        <f t="shared" si="82"/>
        <v>7246.1979671000008</v>
      </c>
      <c r="M126" s="472">
        <f t="shared" si="82"/>
        <v>2220.2918127500016</v>
      </c>
      <c r="N126" s="472">
        <f t="shared" si="82"/>
        <v>34076.708516500003</v>
      </c>
      <c r="O126" s="472"/>
    </row>
    <row r="127" spans="2:19" ht="14.85" customHeight="1">
      <c r="D127" s="472"/>
      <c r="E127" s="472"/>
      <c r="F127" s="472"/>
      <c r="G127" s="472"/>
      <c r="H127" s="472"/>
      <c r="I127" s="472"/>
      <c r="J127" s="472"/>
      <c r="K127" s="472"/>
      <c r="L127" s="472"/>
      <c r="M127" s="472"/>
      <c r="N127" s="472"/>
      <c r="O127" s="472"/>
    </row>
    <row r="128" spans="2:19" ht="14.85" customHeight="1">
      <c r="B128" s="473" t="s">
        <v>2027</v>
      </c>
      <c r="C128" s="270"/>
      <c r="D128" s="474">
        <f t="shared" ref="D128:N128" si="83">D108</f>
        <v>1</v>
      </c>
      <c r="E128" s="475">
        <f t="shared" si="83"/>
        <v>2</v>
      </c>
      <c r="F128" s="475">
        <f t="shared" si="83"/>
        <v>3</v>
      </c>
      <c r="G128" s="475">
        <f t="shared" si="83"/>
        <v>4</v>
      </c>
      <c r="H128" s="475">
        <f t="shared" si="83"/>
        <v>5</v>
      </c>
      <c r="I128" s="475">
        <f t="shared" si="83"/>
        <v>6</v>
      </c>
      <c r="J128" s="475">
        <f t="shared" si="83"/>
        <v>7</v>
      </c>
      <c r="K128" s="475">
        <f t="shared" si="83"/>
        <v>8</v>
      </c>
      <c r="L128" s="475">
        <f t="shared" si="83"/>
        <v>9</v>
      </c>
      <c r="M128" s="475">
        <f t="shared" si="83"/>
        <v>10</v>
      </c>
      <c r="N128" s="1680">
        <f t="shared" si="83"/>
        <v>11</v>
      </c>
      <c r="O128" s="1679"/>
    </row>
    <row r="129" spans="2:15" ht="14.85" customHeight="1">
      <c r="D129" s="472"/>
      <c r="E129" s="472"/>
      <c r="F129" s="472"/>
      <c r="G129" s="472"/>
      <c r="H129" s="472"/>
      <c r="I129" s="472"/>
      <c r="J129" s="472"/>
      <c r="K129" s="472"/>
      <c r="L129" s="472"/>
      <c r="M129" s="472"/>
      <c r="N129" s="472"/>
      <c r="O129" s="472"/>
    </row>
    <row r="130" spans="2:15" ht="14.85" customHeight="1">
      <c r="B130" s="234" t="str">
        <f t="shared" ref="B130:B140" si="84">B110</f>
        <v>Series Seed</v>
      </c>
      <c r="D130" s="573">
        <f t="shared" ref="D130:N130" si="85">D78/D$90*D$126</f>
        <v>1020.0174399</v>
      </c>
      <c r="E130" s="573">
        <f t="shared" si="85"/>
        <v>0</v>
      </c>
      <c r="F130" s="573">
        <f t="shared" si="85"/>
        <v>0</v>
      </c>
      <c r="G130" s="573">
        <f t="shared" si="85"/>
        <v>0</v>
      </c>
      <c r="H130" s="573">
        <f t="shared" si="85"/>
        <v>0</v>
      </c>
      <c r="I130" s="573">
        <f t="shared" si="85"/>
        <v>0</v>
      </c>
      <c r="J130" s="573">
        <f t="shared" si="85"/>
        <v>0</v>
      </c>
      <c r="K130" s="573">
        <f t="shared" si="85"/>
        <v>0</v>
      </c>
      <c r="L130" s="573">
        <f t="shared" si="85"/>
        <v>918.78237940000008</v>
      </c>
      <c r="M130" s="573">
        <f t="shared" si="85"/>
        <v>229.94189350000013</v>
      </c>
      <c r="N130" s="573">
        <f t="shared" si="85"/>
        <v>2168.7417128000002</v>
      </c>
      <c r="O130" s="573"/>
    </row>
    <row r="131" spans="2:15" ht="14.85" customHeight="1">
      <c r="B131" s="234" t="str">
        <f t="shared" si="84"/>
        <v>Series Seed-1</v>
      </c>
      <c r="D131" s="573">
        <f t="shared" ref="D131:N131" si="86">D79/D$90*D$126</f>
        <v>3430.0119045000006</v>
      </c>
      <c r="E131" s="573">
        <f t="shared" si="86"/>
        <v>0</v>
      </c>
      <c r="F131" s="573">
        <f t="shared" si="86"/>
        <v>0</v>
      </c>
      <c r="G131" s="573">
        <f t="shared" si="86"/>
        <v>0</v>
      </c>
      <c r="H131" s="573">
        <f t="shared" si="86"/>
        <v>0</v>
      </c>
      <c r="I131" s="573">
        <f t="shared" si="86"/>
        <v>0</v>
      </c>
      <c r="J131" s="573">
        <f t="shared" si="86"/>
        <v>0</v>
      </c>
      <c r="K131" s="573">
        <f t="shared" si="86"/>
        <v>0</v>
      </c>
      <c r="L131" s="573">
        <f t="shared" si="86"/>
        <v>0</v>
      </c>
      <c r="M131" s="573">
        <f t="shared" si="86"/>
        <v>406.79982750000028</v>
      </c>
      <c r="N131" s="573">
        <f t="shared" si="86"/>
        <v>3836.8117320000001</v>
      </c>
      <c r="O131" s="573"/>
    </row>
    <row r="132" spans="2:15" ht="14.85" customHeight="1">
      <c r="B132" s="234" t="str">
        <f t="shared" si="84"/>
        <v>Series A</v>
      </c>
      <c r="D132" s="573">
        <f t="shared" ref="D132:N132" si="87">D80/D$90*D$126</f>
        <v>13135.5942393</v>
      </c>
      <c r="E132" s="573">
        <f t="shared" si="87"/>
        <v>0</v>
      </c>
      <c r="F132" s="573">
        <f t="shared" si="87"/>
        <v>0</v>
      </c>
      <c r="G132" s="573">
        <f t="shared" si="87"/>
        <v>0</v>
      </c>
      <c r="H132" s="573">
        <f t="shared" si="87"/>
        <v>0</v>
      </c>
      <c r="I132" s="573">
        <f t="shared" si="87"/>
        <v>0</v>
      </c>
      <c r="J132" s="573">
        <f t="shared" si="87"/>
        <v>0</v>
      </c>
      <c r="K132" s="573">
        <f t="shared" si="87"/>
        <v>0</v>
      </c>
      <c r="L132" s="573">
        <f t="shared" si="87"/>
        <v>0</v>
      </c>
      <c r="M132" s="573">
        <f t="shared" si="87"/>
        <v>0</v>
      </c>
      <c r="N132" s="573">
        <f t="shared" si="87"/>
        <v>13135.594239299999</v>
      </c>
      <c r="O132" s="573"/>
    </row>
    <row r="133" spans="2:15" ht="14.85" customHeight="1">
      <c r="B133" s="234" t="str">
        <f t="shared" si="84"/>
        <v>Series B</v>
      </c>
      <c r="D133" s="573">
        <f t="shared" ref="D133:N133" si="88">D81/D$90*D$126</f>
        <v>21881.811811600004</v>
      </c>
      <c r="E133" s="573">
        <f t="shared" si="88"/>
        <v>0</v>
      </c>
      <c r="F133" s="573">
        <f t="shared" si="88"/>
        <v>0</v>
      </c>
      <c r="G133" s="573">
        <f t="shared" si="88"/>
        <v>0</v>
      </c>
      <c r="H133" s="573">
        <f t="shared" si="88"/>
        <v>0</v>
      </c>
      <c r="I133" s="573">
        <f t="shared" si="88"/>
        <v>0</v>
      </c>
      <c r="J133" s="573">
        <f t="shared" si="88"/>
        <v>0</v>
      </c>
      <c r="K133" s="573">
        <f t="shared" si="88"/>
        <v>0</v>
      </c>
      <c r="L133" s="573">
        <f t="shared" si="88"/>
        <v>0</v>
      </c>
      <c r="M133" s="573">
        <f t="shared" si="88"/>
        <v>0</v>
      </c>
      <c r="N133" s="573">
        <f t="shared" si="88"/>
        <v>0</v>
      </c>
      <c r="O133" s="573"/>
    </row>
    <row r="134" spans="2:15" ht="14.85" customHeight="1">
      <c r="B134" s="234" t="str">
        <f t="shared" si="84"/>
        <v>Options at $0.0059 Strike Price</v>
      </c>
      <c r="D134" s="573">
        <f t="shared" ref="D134:N134" si="89">D82/D$90*D$126</f>
        <v>0</v>
      </c>
      <c r="E134" s="573">
        <f t="shared" si="89"/>
        <v>0</v>
      </c>
      <c r="F134" s="573">
        <f t="shared" si="89"/>
        <v>27.422633000000058</v>
      </c>
      <c r="G134" s="573">
        <f t="shared" si="89"/>
        <v>2.390639999999888</v>
      </c>
      <c r="H134" s="573">
        <f t="shared" si="89"/>
        <v>17.53136000000007</v>
      </c>
      <c r="I134" s="573">
        <f t="shared" si="89"/>
        <v>16.734479999999959</v>
      </c>
      <c r="J134" s="573">
        <f t="shared" si="89"/>
        <v>7.9688000000000567</v>
      </c>
      <c r="K134" s="573">
        <f t="shared" si="89"/>
        <v>7.9259676999999744</v>
      </c>
      <c r="L134" s="573">
        <f t="shared" si="89"/>
        <v>72.45830620000001</v>
      </c>
      <c r="M134" s="573">
        <f t="shared" si="89"/>
        <v>18.13400050000001</v>
      </c>
      <c r="N134" s="573">
        <f t="shared" si="89"/>
        <v>171.03435440000001</v>
      </c>
      <c r="O134" s="573"/>
    </row>
    <row r="135" spans="2:15" ht="14.85" customHeight="1">
      <c r="B135" s="234" t="str">
        <f t="shared" si="84"/>
        <v>Options at $0.350 Strike Price</v>
      </c>
      <c r="D135" s="573">
        <f t="shared" ref="D135:N135" si="90">D83/D$90*D$126</f>
        <v>0</v>
      </c>
      <c r="E135" s="573">
        <f t="shared" si="90"/>
        <v>0</v>
      </c>
      <c r="F135" s="573">
        <f t="shared" si="90"/>
        <v>0</v>
      </c>
      <c r="G135" s="573">
        <f t="shared" si="90"/>
        <v>0.29999999999998589</v>
      </c>
      <c r="H135" s="573">
        <f t="shared" si="90"/>
        <v>2.2000000000000086</v>
      </c>
      <c r="I135" s="573">
        <f t="shared" si="90"/>
        <v>2.0999999999999943</v>
      </c>
      <c r="J135" s="573">
        <f t="shared" si="90"/>
        <v>1.0000000000000071</v>
      </c>
      <c r="K135" s="573">
        <f t="shared" si="90"/>
        <v>0.99462499999999687</v>
      </c>
      <c r="L135" s="573">
        <f t="shared" si="90"/>
        <v>9.0927500000000006</v>
      </c>
      <c r="M135" s="573">
        <f t="shared" si="90"/>
        <v>2.2756250000000011</v>
      </c>
      <c r="N135" s="573">
        <f t="shared" si="90"/>
        <v>21.462999999999997</v>
      </c>
      <c r="O135" s="573"/>
    </row>
    <row r="136" spans="2:15" ht="14.85" customHeight="1">
      <c r="B136" s="234" t="str">
        <f t="shared" si="84"/>
        <v>Options at $0.38 Strike Price</v>
      </c>
      <c r="D136" s="573">
        <f t="shared" ref="D136:N136" si="91">D84/D$90*D$126</f>
        <v>0</v>
      </c>
      <c r="E136" s="573">
        <f t="shared" si="91"/>
        <v>0</v>
      </c>
      <c r="F136" s="573">
        <f t="shared" si="91"/>
        <v>0</v>
      </c>
      <c r="G136" s="573">
        <f t="shared" si="91"/>
        <v>0</v>
      </c>
      <c r="H136" s="573">
        <f t="shared" si="91"/>
        <v>72.311800000000304</v>
      </c>
      <c r="I136" s="573">
        <f t="shared" si="91"/>
        <v>69.024899999999818</v>
      </c>
      <c r="J136" s="573">
        <f t="shared" si="91"/>
        <v>32.869000000000234</v>
      </c>
      <c r="K136" s="573">
        <f t="shared" si="91"/>
        <v>32.692329124999894</v>
      </c>
      <c r="L136" s="573">
        <f t="shared" si="91"/>
        <v>298.86959975000002</v>
      </c>
      <c r="M136" s="573">
        <f t="shared" si="91"/>
        <v>74.797518125000039</v>
      </c>
      <c r="N136" s="573">
        <f t="shared" si="91"/>
        <v>705.46734700000002</v>
      </c>
      <c r="O136" s="573"/>
    </row>
    <row r="137" spans="2:15" ht="14.85" customHeight="1">
      <c r="B137" s="234" t="str">
        <f t="shared" si="84"/>
        <v>Options at $0.81 Strike Price</v>
      </c>
      <c r="D137" s="573">
        <f t="shared" ref="D137:N137" si="92">D85/D$90*D$126</f>
        <v>0</v>
      </c>
      <c r="E137" s="573">
        <f t="shared" si="92"/>
        <v>0</v>
      </c>
      <c r="F137" s="573">
        <f t="shared" si="92"/>
        <v>0</v>
      </c>
      <c r="G137" s="573">
        <f t="shared" si="92"/>
        <v>0</v>
      </c>
      <c r="H137" s="573">
        <f t="shared" si="92"/>
        <v>0</v>
      </c>
      <c r="I137" s="573">
        <f t="shared" si="92"/>
        <v>0</v>
      </c>
      <c r="J137" s="573">
        <f t="shared" si="92"/>
        <v>122.44010000000088</v>
      </c>
      <c r="K137" s="573">
        <f t="shared" si="92"/>
        <v>121.78198446249964</v>
      </c>
      <c r="L137" s="573">
        <f t="shared" si="92"/>
        <v>1113.3172192750001</v>
      </c>
      <c r="M137" s="573">
        <f t="shared" si="92"/>
        <v>278.62775256250018</v>
      </c>
      <c r="N137" s="573">
        <f t="shared" si="92"/>
        <v>2627.9318662999999</v>
      </c>
      <c r="O137" s="573"/>
    </row>
    <row r="138" spans="2:15" ht="14.85" customHeight="1">
      <c r="B138" s="234" t="str">
        <f t="shared" si="84"/>
        <v>Options at $0.91 Strike Price</v>
      </c>
      <c r="D138" s="573">
        <f t="shared" ref="D138:N138" si="93">D86/D$90*D$126</f>
        <v>0</v>
      </c>
      <c r="E138" s="573">
        <f t="shared" si="93"/>
        <v>0</v>
      </c>
      <c r="F138" s="573">
        <f t="shared" si="93"/>
        <v>0</v>
      </c>
      <c r="G138" s="573">
        <f t="shared" si="93"/>
        <v>0</v>
      </c>
      <c r="H138" s="573">
        <f t="shared" si="93"/>
        <v>0</v>
      </c>
      <c r="I138" s="573">
        <f t="shared" si="93"/>
        <v>0</v>
      </c>
      <c r="J138" s="573">
        <f t="shared" si="93"/>
        <v>0</v>
      </c>
      <c r="K138" s="573">
        <f t="shared" si="93"/>
        <v>9.4583864374999713</v>
      </c>
      <c r="L138" s="573">
        <f t="shared" si="93"/>
        <v>86.467506125</v>
      </c>
      <c r="M138" s="573">
        <f t="shared" si="93"/>
        <v>21.640055937500012</v>
      </c>
      <c r="N138" s="573">
        <f t="shared" si="93"/>
        <v>204.10239849999999</v>
      </c>
      <c r="O138" s="573"/>
    </row>
    <row r="139" spans="2:15" ht="14.85" customHeight="1">
      <c r="B139" s="234" t="str">
        <f t="shared" si="84"/>
        <v>Expected Options Grant</v>
      </c>
      <c r="D139" s="573">
        <f t="shared" ref="D139:N139" si="94">D87/D$90*D$126</f>
        <v>0</v>
      </c>
      <c r="E139" s="573">
        <f t="shared" si="94"/>
        <v>0</v>
      </c>
      <c r="F139" s="573">
        <f t="shared" si="94"/>
        <v>0</v>
      </c>
      <c r="G139" s="573">
        <f t="shared" si="94"/>
        <v>0</v>
      </c>
      <c r="H139" s="573">
        <f t="shared" si="94"/>
        <v>0</v>
      </c>
      <c r="I139" s="573">
        <f t="shared" si="94"/>
        <v>336.54620999999912</v>
      </c>
      <c r="J139" s="573">
        <f t="shared" si="94"/>
        <v>160.26010000000116</v>
      </c>
      <c r="K139" s="573">
        <f t="shared" si="94"/>
        <v>159.3987019624995</v>
      </c>
      <c r="L139" s="573">
        <f t="shared" si="94"/>
        <v>1457.2050242750001</v>
      </c>
      <c r="M139" s="573">
        <f t="shared" si="94"/>
        <v>364.69189006250025</v>
      </c>
      <c r="N139" s="573">
        <f t="shared" si="94"/>
        <v>3439.6625263000001</v>
      </c>
      <c r="O139" s="573"/>
    </row>
    <row r="140" spans="2:15" ht="14.85" customHeight="1">
      <c r="B140" s="234" t="str">
        <f t="shared" si="84"/>
        <v>Common Stock</v>
      </c>
      <c r="D140" s="573">
        <f t="shared" ref="D140:N140" si="95">D88/D$90*D$126</f>
        <v>0</v>
      </c>
      <c r="E140" s="573">
        <f t="shared" si="95"/>
        <v>21.257353875000263</v>
      </c>
      <c r="F140" s="573">
        <f t="shared" si="95"/>
        <v>1245.1381961250027</v>
      </c>
      <c r="G140" s="573">
        <f t="shared" si="95"/>
        <v>108.5481899999949</v>
      </c>
      <c r="H140" s="573">
        <f t="shared" si="95"/>
        <v>796.02006000000324</v>
      </c>
      <c r="I140" s="573">
        <f t="shared" si="95"/>
        <v>759.83732999999802</v>
      </c>
      <c r="J140" s="573">
        <f t="shared" si="95"/>
        <v>361.82730000000259</v>
      </c>
      <c r="K140" s="573">
        <f t="shared" si="95"/>
        <v>359.88247826249886</v>
      </c>
      <c r="L140" s="573">
        <f t="shared" si="95"/>
        <v>3290.0051820750004</v>
      </c>
      <c r="M140" s="573">
        <f t="shared" si="95"/>
        <v>823.38324956250051</v>
      </c>
      <c r="N140" s="573">
        <f t="shared" si="95"/>
        <v>7765.8993399000001</v>
      </c>
      <c r="O140" s="573"/>
    </row>
    <row r="141" spans="2:15" ht="14.85" customHeight="1">
      <c r="D141" s="310"/>
      <c r="E141" s="310"/>
      <c r="F141" s="310"/>
      <c r="G141" s="310"/>
      <c r="H141" s="310"/>
      <c r="I141" s="310"/>
      <c r="J141" s="310"/>
      <c r="K141" s="310"/>
      <c r="L141" s="310"/>
      <c r="M141" s="310"/>
      <c r="N141" s="310"/>
      <c r="O141" s="310"/>
    </row>
    <row r="142" spans="2:15" ht="14.85" customHeight="1">
      <c r="B142" s="473" t="s">
        <v>2028</v>
      </c>
      <c r="C142" s="270"/>
      <c r="D142" s="474">
        <f t="shared" ref="D142:N142" si="96">D128</f>
        <v>1</v>
      </c>
      <c r="E142" s="475">
        <f t="shared" si="96"/>
        <v>2</v>
      </c>
      <c r="F142" s="475">
        <f t="shared" si="96"/>
        <v>3</v>
      </c>
      <c r="G142" s="475">
        <f t="shared" si="96"/>
        <v>4</v>
      </c>
      <c r="H142" s="475">
        <f t="shared" si="96"/>
        <v>5</v>
      </c>
      <c r="I142" s="475">
        <f t="shared" si="96"/>
        <v>6</v>
      </c>
      <c r="J142" s="475">
        <f t="shared" si="96"/>
        <v>7</v>
      </c>
      <c r="K142" s="475">
        <f t="shared" si="96"/>
        <v>8</v>
      </c>
      <c r="L142" s="475">
        <f t="shared" si="96"/>
        <v>9</v>
      </c>
      <c r="M142" s="475">
        <f t="shared" si="96"/>
        <v>10</v>
      </c>
      <c r="N142" s="1680">
        <f t="shared" si="96"/>
        <v>11</v>
      </c>
      <c r="O142" s="1679"/>
    </row>
    <row r="143" spans="2:15" ht="14.85" customHeight="1">
      <c r="D143" s="310"/>
      <c r="E143" s="310"/>
      <c r="F143" s="310"/>
      <c r="G143" s="310"/>
      <c r="H143" s="310"/>
      <c r="I143" s="310"/>
      <c r="J143" s="310"/>
      <c r="K143" s="310"/>
      <c r="L143" s="310"/>
      <c r="M143" s="310"/>
      <c r="N143" s="310"/>
      <c r="O143" s="310"/>
    </row>
    <row r="144" spans="2:15" ht="14.85" customHeight="1">
      <c r="B144" s="234" t="str">
        <f t="shared" ref="B144:B152" si="97">B130</f>
        <v>Series Seed</v>
      </c>
      <c r="D144" s="476">
        <f>SUM($D130:D130)/$S35</f>
        <v>1.0094624999999999</v>
      </c>
      <c r="E144" s="476">
        <f>SUM($D130:E130)/$S35</f>
        <v>1.0094624999999999</v>
      </c>
      <c r="F144" s="476">
        <f>SUM($D130:F130)/$S35</f>
        <v>1.0094624999999999</v>
      </c>
      <c r="G144" s="476">
        <f>SUM($D130:G130)/$S35</f>
        <v>1.0094624999999999</v>
      </c>
      <c r="H144" s="476">
        <f>SUM($D130:H130)/$S35</f>
        <v>1.0094624999999999</v>
      </c>
      <c r="I144" s="476">
        <f>SUM($D130:I130)/$S35</f>
        <v>1.0094624999999999</v>
      </c>
      <c r="J144" s="476">
        <f>SUM($D130:J130)/$S35</f>
        <v>1.0094624999999999</v>
      </c>
      <c r="K144" s="476">
        <f>SUM($D130:K130)/$S35</f>
        <v>1.0094624999999999</v>
      </c>
      <c r="L144" s="476">
        <f>SUM($D130:L130)/$S35</f>
        <v>1.9187375</v>
      </c>
      <c r="M144" s="476">
        <f>SUM($D130:M130)/$S35</f>
        <v>2.1463000000000001</v>
      </c>
      <c r="N144" s="476">
        <f>SUM($D130:N130)/$S35</f>
        <v>4.2926000000000002</v>
      </c>
      <c r="O144" s="476"/>
    </row>
    <row r="145" spans="2:15" ht="14.85" customHeight="1">
      <c r="B145" s="234" t="str">
        <f t="shared" si="97"/>
        <v>Series Seed-1</v>
      </c>
      <c r="D145" s="476">
        <f>SUM($D131:D131)/$S36</f>
        <v>1.9187375000000002</v>
      </c>
      <c r="E145" s="476">
        <f>SUM($D131:E131)/$S36</f>
        <v>1.9187375000000002</v>
      </c>
      <c r="F145" s="476">
        <f>SUM($D131:F131)/$S36</f>
        <v>1.9187375000000002</v>
      </c>
      <c r="G145" s="476">
        <f>SUM($D131:G131)/$S36</f>
        <v>1.9187375000000002</v>
      </c>
      <c r="H145" s="476">
        <f>SUM($D131:H131)/$S36</f>
        <v>1.9187375000000002</v>
      </c>
      <c r="I145" s="476">
        <f>SUM($D131:I131)/$S36</f>
        <v>1.9187375000000002</v>
      </c>
      <c r="J145" s="476">
        <f>SUM($D131:J131)/$S36</f>
        <v>1.9187375000000002</v>
      </c>
      <c r="K145" s="476">
        <f>SUM($D131:K131)/$S36</f>
        <v>1.9187375000000002</v>
      </c>
      <c r="L145" s="476">
        <f>SUM($D131:L131)/$S36</f>
        <v>1.9187375000000002</v>
      </c>
      <c r="M145" s="476">
        <f>SUM($D131:M131)/$S36</f>
        <v>2.1463000000000005</v>
      </c>
      <c r="N145" s="476">
        <f>SUM($D131:N131)/$S36</f>
        <v>4.2926000000000002</v>
      </c>
      <c r="O145" s="476"/>
    </row>
    <row r="146" spans="2:15" ht="14.85" customHeight="1">
      <c r="B146" s="234" t="str">
        <f t="shared" si="97"/>
        <v>Series A</v>
      </c>
      <c r="D146" s="476">
        <f>SUM($D132:D132)/$S37</f>
        <v>2.1463000000000001</v>
      </c>
      <c r="E146" s="476">
        <f>SUM($D132:E132)/$S37</f>
        <v>2.1463000000000001</v>
      </c>
      <c r="F146" s="476">
        <f>SUM($D132:F132)/$S37</f>
        <v>2.1463000000000001</v>
      </c>
      <c r="G146" s="476">
        <f>SUM($D132:G132)/$S37</f>
        <v>2.1463000000000001</v>
      </c>
      <c r="H146" s="476">
        <f>SUM($D132:H132)/$S37</f>
        <v>2.1463000000000001</v>
      </c>
      <c r="I146" s="476">
        <f>SUM($D132:I132)/$S37</f>
        <v>2.1463000000000001</v>
      </c>
      <c r="J146" s="476">
        <f>SUM($D132:J132)/$S37</f>
        <v>2.1463000000000001</v>
      </c>
      <c r="K146" s="476">
        <f>SUM($D132:K132)/$S37</f>
        <v>2.1463000000000001</v>
      </c>
      <c r="L146" s="476">
        <f>SUM($D132:L132)/$S37</f>
        <v>2.1463000000000001</v>
      </c>
      <c r="M146" s="476">
        <f>SUM($D132:M132)/$S37</f>
        <v>2.1463000000000001</v>
      </c>
      <c r="N146" s="476">
        <f>SUM($D132:N132)/$S37</f>
        <v>4.2926000000000002</v>
      </c>
      <c r="O146" s="476"/>
    </row>
    <row r="147" spans="2:15" ht="14.85" customHeight="1">
      <c r="B147" s="234" t="str">
        <f t="shared" si="97"/>
        <v>Series B</v>
      </c>
      <c r="D147" s="476">
        <f>SUM($D133:D133)/$S38</f>
        <v>4.2926000000000011</v>
      </c>
      <c r="E147" s="476">
        <f>SUM($D133:E133)/$S38</f>
        <v>4.2926000000000011</v>
      </c>
      <c r="F147" s="476">
        <f>SUM($D133:F133)/$S38</f>
        <v>4.2926000000000011</v>
      </c>
      <c r="G147" s="476">
        <f>SUM($D133:G133)/$S38</f>
        <v>4.2926000000000011</v>
      </c>
      <c r="H147" s="476">
        <f>SUM($D133:H133)/$S38</f>
        <v>4.2926000000000011</v>
      </c>
      <c r="I147" s="476">
        <f>SUM($D133:I133)/$S38</f>
        <v>4.2926000000000011</v>
      </c>
      <c r="J147" s="476">
        <f>SUM($D133:J133)/$S38</f>
        <v>4.2926000000000011</v>
      </c>
      <c r="K147" s="476">
        <f>SUM($D133:K133)/$S38</f>
        <v>4.2926000000000011</v>
      </c>
      <c r="L147" s="476">
        <f>SUM($D133:L133)/$S38</f>
        <v>4.2926000000000011</v>
      </c>
      <c r="M147" s="476">
        <f>SUM($D133:M133)/$S38</f>
        <v>4.2926000000000011</v>
      </c>
      <c r="N147" s="476">
        <f>SUM($D133:N133)/$S38</f>
        <v>4.2926000000000011</v>
      </c>
      <c r="O147" s="476"/>
    </row>
    <row r="148" spans="2:15" ht="14.85" customHeight="1">
      <c r="B148" s="234" t="str">
        <f t="shared" si="97"/>
        <v>Options at $0.0059 Strike Price</v>
      </c>
      <c r="D148" s="476">
        <f>SUM($D134:D134)/$S39</f>
        <v>0</v>
      </c>
      <c r="E148" s="476">
        <f>SUM($D134:E134)/$S39</f>
        <v>0</v>
      </c>
      <c r="F148" s="476">
        <f>SUM($D134:F134)/$S39</f>
        <v>0.34412500000000074</v>
      </c>
      <c r="G148" s="476">
        <f>SUM($D134:G134)/$S39</f>
        <v>0.37412499999999932</v>
      </c>
      <c r="H148" s="476">
        <f>SUM($D134:H134)/$S39</f>
        <v>0.59412500000000024</v>
      </c>
      <c r="I148" s="476">
        <f>SUM($D134:I134)/$S39</f>
        <v>0.80412499999999976</v>
      </c>
      <c r="J148" s="476">
        <f>SUM($D134:J134)/$S39</f>
        <v>0.9041250000000004</v>
      </c>
      <c r="K148" s="476">
        <f>SUM($D134:K134)/$S39</f>
        <v>1.0035875000000001</v>
      </c>
      <c r="L148" s="476">
        <f>SUM($D134:L134)/$S39</f>
        <v>1.9128625000000004</v>
      </c>
      <c r="M148" s="476">
        <f>SUM($D134:M134)/$S39</f>
        <v>2.1404250000000005</v>
      </c>
      <c r="N148" s="476">
        <f>SUM($D134:N134)/$S39</f>
        <v>4.2867250000000006</v>
      </c>
      <c r="O148" s="476"/>
    </row>
    <row r="149" spans="2:15" ht="14.85" customHeight="1">
      <c r="B149" s="234" t="str">
        <f t="shared" si="97"/>
        <v>Options at $0.350 Strike Price</v>
      </c>
      <c r="D149" s="476">
        <f>SUM($D135:D135)/$S40</f>
        <v>0</v>
      </c>
      <c r="E149" s="476">
        <f>SUM($D135:E135)/$S40</f>
        <v>0</v>
      </c>
      <c r="F149" s="476">
        <f>SUM($D135:F135)/$S40</f>
        <v>0</v>
      </c>
      <c r="G149" s="476">
        <f>SUM($D135:G135)/$S40</f>
        <v>2.999999999999859E-2</v>
      </c>
      <c r="H149" s="476">
        <f>SUM($D135:H135)/$S40</f>
        <v>0.24999999999999947</v>
      </c>
      <c r="I149" s="476">
        <f>SUM($D135:I135)/$S40</f>
        <v>0.45999999999999891</v>
      </c>
      <c r="J149" s="476">
        <f>SUM($D135:J135)/$S40</f>
        <v>0.55999999999999961</v>
      </c>
      <c r="K149" s="476">
        <f>SUM($D135:K135)/$S40</f>
        <v>0.65946249999999929</v>
      </c>
      <c r="L149" s="476">
        <f>SUM($D135:L135)/$S40</f>
        <v>1.5687374999999992</v>
      </c>
      <c r="M149" s="476">
        <f>SUM($D135:M135)/$S40</f>
        <v>1.7962999999999993</v>
      </c>
      <c r="N149" s="476">
        <f>SUM($D135:N135)/$S40</f>
        <v>3.9425999999999988</v>
      </c>
      <c r="O149" s="476"/>
    </row>
    <row r="150" spans="2:15" ht="14.85" customHeight="1">
      <c r="B150" s="234" t="str">
        <f t="shared" si="97"/>
        <v>Options at $0.38 Strike Price</v>
      </c>
      <c r="D150" s="476">
        <f>SUM($D136:D136)/$S41</f>
        <v>0</v>
      </c>
      <c r="E150" s="476">
        <f>SUM($D136:E136)/$S41</f>
        <v>0</v>
      </c>
      <c r="F150" s="476">
        <f>SUM($D136:F136)/$S41</f>
        <v>0</v>
      </c>
      <c r="G150" s="476">
        <f>SUM($D136:G136)/$S41</f>
        <v>0</v>
      </c>
      <c r="H150" s="476">
        <f>SUM($D136:H136)/$S41</f>
        <v>0.22000000000000092</v>
      </c>
      <c r="I150" s="476">
        <f>SUM($D136:I136)/$S41</f>
        <v>0.43000000000000038</v>
      </c>
      <c r="J150" s="476">
        <f>SUM($D136:J136)/$S41</f>
        <v>0.53000000000000103</v>
      </c>
      <c r="K150" s="476">
        <f>SUM($D136:K136)/$S41</f>
        <v>0.62946250000000081</v>
      </c>
      <c r="L150" s="476">
        <f>SUM($D136:L136)/$S41</f>
        <v>1.5387375000000008</v>
      </c>
      <c r="M150" s="476">
        <f>SUM($D136:M136)/$S41</f>
        <v>1.7663000000000009</v>
      </c>
      <c r="N150" s="476">
        <f>SUM($D136:N136)/$S41</f>
        <v>3.9126000000000007</v>
      </c>
      <c r="O150" s="476"/>
    </row>
    <row r="151" spans="2:15" ht="14.85" customHeight="1">
      <c r="B151" s="234" t="str">
        <f t="shared" si="97"/>
        <v>Options at $0.81 Strike Price</v>
      </c>
      <c r="D151" s="476">
        <f>SUM($D137:D137)/$S42</f>
        <v>0</v>
      </c>
      <c r="E151" s="476">
        <f>SUM($D137:E137)/$S42</f>
        <v>0</v>
      </c>
      <c r="F151" s="476">
        <f>SUM($D137:F137)/$S42</f>
        <v>0</v>
      </c>
      <c r="G151" s="476">
        <f>SUM($D137:G137)/$S42</f>
        <v>0</v>
      </c>
      <c r="H151" s="476">
        <f>SUM($D137:H137)/$S42</f>
        <v>0</v>
      </c>
      <c r="I151" s="476">
        <f>SUM($D137:I137)/$S42</f>
        <v>0</v>
      </c>
      <c r="J151" s="476">
        <f>SUM($D137:J137)/$S42</f>
        <v>0.10000000000000071</v>
      </c>
      <c r="K151" s="476">
        <f>SUM($D137:K137)/$S42</f>
        <v>0.1994625000000004</v>
      </c>
      <c r="L151" s="476">
        <f>SUM($D137:L137)/$S42</f>
        <v>1.1087375000000004</v>
      </c>
      <c r="M151" s="476">
        <f>SUM($D137:M137)/$S42</f>
        <v>1.3363000000000005</v>
      </c>
      <c r="N151" s="476">
        <f>SUM($D137:N137)/$S42</f>
        <v>3.4826000000000001</v>
      </c>
      <c r="O151" s="476"/>
    </row>
    <row r="152" spans="2:15" ht="14.85" customHeight="1">
      <c r="B152" s="234" t="str">
        <f t="shared" si="97"/>
        <v>Options at $0.91 Strike Price</v>
      </c>
      <c r="D152" s="476">
        <f>SUM($D138:D138)/$S43</f>
        <v>0</v>
      </c>
      <c r="E152" s="476">
        <f>SUM($D138:E138)/$S43</f>
        <v>0</v>
      </c>
      <c r="F152" s="476">
        <f>SUM($D138:F138)/$S43</f>
        <v>0</v>
      </c>
      <c r="G152" s="476">
        <f>SUM($D138:G138)/$S43</f>
        <v>0</v>
      </c>
      <c r="H152" s="476">
        <f>SUM($D138:H138)/$S43</f>
        <v>0</v>
      </c>
      <c r="I152" s="476">
        <f>SUM($D138:I138)/$S43</f>
        <v>0</v>
      </c>
      <c r="J152" s="476">
        <f>SUM($D138:J138)/$S43</f>
        <v>0</v>
      </c>
      <c r="K152" s="476">
        <f>SUM($D138:K138)/$S43</f>
        <v>9.9462499999999704E-2</v>
      </c>
      <c r="L152" s="476">
        <f>SUM($D138:L138)/$S43</f>
        <v>1.0087374999999996</v>
      </c>
      <c r="M152" s="476">
        <f>SUM($D138:M138)/$S43</f>
        <v>1.2362999999999997</v>
      </c>
      <c r="N152" s="476">
        <f>SUM($D138:N138)/$S43</f>
        <v>3.3826000000000001</v>
      </c>
      <c r="O152" s="476"/>
    </row>
    <row r="153" spans="2:15" ht="14.85" customHeight="1">
      <c r="B153" s="234" t="str">
        <f t="shared" ref="B153:B154" si="98">B139</f>
        <v>Expected Options Grant</v>
      </c>
      <c r="D153" s="476">
        <f>SUM($D139:D139)/$S44</f>
        <v>0</v>
      </c>
      <c r="E153" s="476">
        <f>SUM($D139:E139)/$S44</f>
        <v>0</v>
      </c>
      <c r="F153" s="476">
        <f>SUM($D139:F139)/$S44</f>
        <v>0</v>
      </c>
      <c r="G153" s="476">
        <f>SUM($D139:G139)/$S44</f>
        <v>0</v>
      </c>
      <c r="H153" s="476">
        <f>SUM($D139:H139)/$S44</f>
        <v>0</v>
      </c>
      <c r="I153" s="476">
        <f>SUM($D139:I139)/$S44</f>
        <v>0.20999999999999944</v>
      </c>
      <c r="J153" s="476">
        <f>SUM($D139:J139)/$S44</f>
        <v>0.31000000000000016</v>
      </c>
      <c r="K153" s="476">
        <f>SUM($D139:K139)/$S44</f>
        <v>0.4094624999999999</v>
      </c>
      <c r="L153" s="476">
        <f>SUM($D139:L139)/$S44</f>
        <v>1.3187375000000001</v>
      </c>
      <c r="M153" s="476">
        <f>SUM($D139:M139)/$S44</f>
        <v>1.5463</v>
      </c>
      <c r="N153" s="476">
        <f>SUM($D139:N139)/$S44</f>
        <v>3.6926000000000001</v>
      </c>
      <c r="O153" s="476"/>
    </row>
    <row r="154" spans="2:15" ht="14.85" customHeight="1">
      <c r="B154" s="234" t="str">
        <f t="shared" si="98"/>
        <v>Common Stock</v>
      </c>
      <c r="D154" s="476">
        <f>SUM($D140:D140)/$S45</f>
        <v>0</v>
      </c>
      <c r="E154" s="476">
        <f>SUM($D140:E140)/$S45</f>
        <v>5.875000000000072E-3</v>
      </c>
      <c r="F154" s="476">
        <f>SUM($D140:F140)/$S45</f>
        <v>0.35000000000000081</v>
      </c>
      <c r="G154" s="476">
        <f>SUM($D140:G140)/$S45</f>
        <v>0.37999999999999939</v>
      </c>
      <c r="H154" s="476">
        <f>SUM($D140:H140)/$S45</f>
        <v>0.60000000000000031</v>
      </c>
      <c r="I154" s="476">
        <f>SUM($D140:I140)/$S45</f>
        <v>0.80999999999999983</v>
      </c>
      <c r="J154" s="476">
        <f>SUM($D140:J140)/$S45</f>
        <v>0.91000000000000048</v>
      </c>
      <c r="K154" s="476">
        <f>SUM($D140:K140)/$S45</f>
        <v>1.0094625000000002</v>
      </c>
      <c r="L154" s="476">
        <f>SUM($D140:L140)/$S45</f>
        <v>1.9187375000000004</v>
      </c>
      <c r="M154" s="476">
        <f>SUM($D140:M140)/$S45</f>
        <v>2.1463000000000005</v>
      </c>
      <c r="N154" s="476">
        <f>SUM($D140:N140)/$S45</f>
        <v>4.2926000000000002</v>
      </c>
      <c r="O154" s="476"/>
    </row>
    <row r="155" spans="2:15" ht="14.85" customHeight="1">
      <c r="D155" s="310"/>
      <c r="E155" s="310"/>
      <c r="F155" s="310"/>
      <c r="G155" s="310"/>
      <c r="H155" s="310"/>
      <c r="I155" s="310"/>
      <c r="J155" s="310"/>
      <c r="K155" s="310"/>
      <c r="L155" s="310"/>
      <c r="M155" s="310"/>
      <c r="N155" s="310"/>
      <c r="O155" s="310"/>
    </row>
    <row r="156" spans="2:15" ht="14.85" customHeight="1">
      <c r="D156" s="310">
        <f t="shared" ref="D156:N156" si="99">NORMSDIST(D63)</f>
        <v>1</v>
      </c>
      <c r="E156" s="310">
        <f t="shared" si="99"/>
        <v>0.71818502378754401</v>
      </c>
      <c r="F156" s="310">
        <f t="shared" si="99"/>
        <v>0.71797982385362924</v>
      </c>
      <c r="G156" s="310">
        <f t="shared" si="99"/>
        <v>0.70576751787505065</v>
      </c>
      <c r="H156" s="310">
        <f t="shared" si="99"/>
        <v>0.70470688425786621</v>
      </c>
      <c r="I156" s="310">
        <f t="shared" si="99"/>
        <v>0.69628054539007855</v>
      </c>
      <c r="J156" s="310">
        <f t="shared" si="99"/>
        <v>0.685160977575062</v>
      </c>
      <c r="K156" s="310">
        <f t="shared" si="99"/>
        <v>0.67877952602916269</v>
      </c>
      <c r="L156" s="310">
        <f t="shared" si="99"/>
        <v>0.67239265098007506</v>
      </c>
      <c r="M156" s="310">
        <f t="shared" si="99"/>
        <v>0.60860066748322439</v>
      </c>
      <c r="N156" s="310">
        <f t="shared" si="99"/>
        <v>0.59021952481338469</v>
      </c>
      <c r="O156" s="310"/>
    </row>
    <row r="157" spans="2:15" ht="14.85" customHeight="1">
      <c r="B157" s="234" t="s">
        <v>1430</v>
      </c>
      <c r="D157" s="477">
        <f>D156-E156</f>
        <v>0.28181497621245599</v>
      </c>
      <c r="E157" s="310"/>
      <c r="F157" s="310"/>
      <c r="G157" s="310"/>
      <c r="H157" s="310"/>
      <c r="I157" s="310"/>
      <c r="J157" s="310"/>
      <c r="K157" s="310"/>
      <c r="L157" s="310"/>
      <c r="M157" s="310"/>
      <c r="N157" s="310"/>
      <c r="O157" s="310"/>
    </row>
    <row r="158" spans="2:15" ht="14.85" customHeight="1"/>
    <row r="159" spans="2:15" ht="14.85" customHeight="1"/>
    <row r="160" spans="2:15" ht="14.85" customHeight="1">
      <c r="D160" s="1067">
        <f>E49</f>
        <v>0</v>
      </c>
      <c r="E160" s="1067">
        <f t="shared" ref="E160:N160" si="100">F49</f>
        <v>5.875E-3</v>
      </c>
      <c r="F160" s="1067">
        <f t="shared" si="100"/>
        <v>0.35</v>
      </c>
      <c r="G160" s="1067">
        <f t="shared" si="100"/>
        <v>0.38</v>
      </c>
      <c r="H160" s="1067">
        <f t="shared" si="100"/>
        <v>0.6</v>
      </c>
      <c r="I160" s="1067">
        <f t="shared" si="100"/>
        <v>0.81</v>
      </c>
      <c r="J160" s="1067">
        <f t="shared" si="100"/>
        <v>0.91</v>
      </c>
      <c r="K160" s="1067">
        <f t="shared" si="100"/>
        <v>1.0094624999999999</v>
      </c>
      <c r="L160" s="1067">
        <f t="shared" si="100"/>
        <v>1.9187375</v>
      </c>
      <c r="M160" s="1067">
        <f t="shared" si="100"/>
        <v>2.1463000000000001</v>
      </c>
      <c r="N160" s="1067">
        <f t="shared" si="100"/>
        <v>4.2926000000000002</v>
      </c>
    </row>
    <row r="161" spans="4:14" ht="14.85" customHeight="1">
      <c r="D161" s="1669" t="str">
        <f>IF(ABS(D154-D160)&gt;0.01%,"Check","")</f>
        <v/>
      </c>
      <c r="E161" s="1669" t="str">
        <f t="shared" ref="E161:N161" si="101">IF(ABS(E154-E160)&gt;0.01%,"Check","")</f>
        <v/>
      </c>
      <c r="F161" s="1669" t="str">
        <f t="shared" si="101"/>
        <v/>
      </c>
      <c r="G161" s="1669" t="str">
        <f t="shared" si="101"/>
        <v/>
      </c>
      <c r="H161" s="1669" t="str">
        <f t="shared" si="101"/>
        <v/>
      </c>
      <c r="I161" s="1669" t="str">
        <f t="shared" si="101"/>
        <v/>
      </c>
      <c r="J161" s="1669" t="str">
        <f t="shared" si="101"/>
        <v/>
      </c>
      <c r="K161" s="1669" t="str">
        <f t="shared" si="101"/>
        <v/>
      </c>
      <c r="L161" s="1669" t="str">
        <f t="shared" si="101"/>
        <v/>
      </c>
      <c r="M161" s="1669" t="str">
        <f t="shared" si="101"/>
        <v/>
      </c>
      <c r="N161" s="1669" t="str">
        <f t="shared" si="101"/>
        <v/>
      </c>
    </row>
    <row r="162" spans="4:14" ht="14.85" customHeight="1"/>
    <row r="163" spans="4:14" ht="14.85" customHeight="1"/>
    <row r="164" spans="4:14" ht="14.85" customHeight="1"/>
    <row r="165" spans="4:14" ht="14.85" customHeight="1"/>
    <row r="166" spans="4:14" ht="14.85" customHeight="1"/>
    <row r="167" spans="4:14" ht="14.85" customHeight="1"/>
    <row r="168" spans="4:14" ht="14.85" customHeight="1"/>
    <row r="169" spans="4:14" ht="14.85" customHeight="1"/>
    <row r="170" spans="4:14" ht="14.85" customHeight="1"/>
    <row r="171" spans="4:14" ht="14.85" customHeight="1"/>
    <row r="172" spans="4:14" ht="14.85" customHeight="1"/>
    <row r="173" spans="4:14" ht="14.85" customHeight="1"/>
    <row r="174" spans="4:14" ht="14.85" customHeight="1"/>
    <row r="175" spans="4:14" ht="14.85" customHeight="1"/>
    <row r="176" spans="4:14"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sheetData>
  <conditionalFormatting sqref="B4:I4">
    <cfRule type="cellIs" dxfId="142" priority="11" stopIfTrue="1" operator="equal">
      <formula>"input"</formula>
    </cfRule>
  </conditionalFormatting>
  <conditionalFormatting sqref="J4">
    <cfRule type="cellIs" dxfId="141" priority="9" stopIfTrue="1" operator="equal">
      <formula>"input"</formula>
    </cfRule>
  </conditionalFormatting>
  <conditionalFormatting sqref="J4">
    <cfRule type="cellIs" dxfId="140" priority="10" stopIfTrue="1" operator="equal">
      <formula>"input"</formula>
    </cfRule>
  </conditionalFormatting>
  <conditionalFormatting sqref="K4:N4">
    <cfRule type="cellIs" dxfId="139" priority="7" stopIfTrue="1" operator="equal">
      <formula>"input"</formula>
    </cfRule>
  </conditionalFormatting>
  <conditionalFormatting sqref="K4:N4">
    <cfRule type="cellIs" dxfId="138" priority="8" stopIfTrue="1" operator="equal">
      <formula>"input"</formula>
    </cfRule>
  </conditionalFormatting>
  <conditionalFormatting sqref="O4">
    <cfRule type="cellIs" dxfId="137" priority="1" stopIfTrue="1" operator="equal">
      <formula>"input"</formula>
    </cfRule>
  </conditionalFormatting>
  <conditionalFormatting sqref="O4">
    <cfRule type="cellIs" dxfId="136"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32" max="19" man="1"/>
    <brk id="56" max="19" man="1"/>
    <brk id="90" max="19" man="1"/>
  </rowBreaks>
  <legacyDrawing r:id="rId2"/>
  <legacyDrawingHF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41"/>
  <dimension ref="A1:AI759"/>
  <sheetViews>
    <sheetView showGridLines="0" view="pageBreakPreview" topLeftCell="C32" zoomScaleNormal="100" zoomScaleSheetLayoutView="100" workbookViewId="0">
      <selection activeCell="Q46" sqref="Q46"/>
    </sheetView>
  </sheetViews>
  <sheetFormatPr defaultRowHeight="14.25" outlineLevelRow="1" outlineLevelCol="1"/>
  <cols>
    <col min="1" max="1" width="4.5" style="234" customWidth="1"/>
    <col min="2" max="2" width="42.1640625" style="234" customWidth="1"/>
    <col min="3" max="3" width="3.5" style="234" customWidth="1"/>
    <col min="4" max="4" width="13.16406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e">
        <f>VLOOKUP(B4,Outline!$E$8:$G$65,COLUMNS(Outline!$E$8:$G$8),FALSE)</f>
        <v>#N/A</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
        <v>1774</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'PWERM Waterfall n Alloation'!D10</f>
        <v>1.7035945205479452</v>
      </c>
      <c r="O6" s="440">
        <f>'Risk-Free Rates Hybrid'!E27</f>
        <v>2.4500000000000001E-2</v>
      </c>
      <c r="Q6" s="268">
        <f>HLOOKUP(ROUND(N6,0),'Equity Vol'!$D$8:$K$8,1,TRUE)</f>
        <v>2</v>
      </c>
    </row>
    <row r="7" spans="2:35" ht="14.85"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14.85" customHeight="1"/>
    <row r="10" spans="2:35" ht="14.85" customHeight="1">
      <c r="B10" s="234" t="str">
        <f>'Comp.1'!B11</f>
        <v>Alnylam Pharmaceuticals, Inc.</v>
      </c>
      <c r="D10" s="259">
        <f>'Beta Calc'!K11</f>
        <v>8868.9653999999991</v>
      </c>
      <c r="E10" s="259">
        <f>'Beta Calc'!L11</f>
        <v>30</v>
      </c>
      <c r="F10" s="259" t="str">
        <f>'Beta Calc'!M11</f>
        <v>n/a</v>
      </c>
      <c r="G10" s="259" t="str">
        <f>'Beta Calc'!N11</f>
        <v>n/a</v>
      </c>
      <c r="H10" s="259">
        <f>SUM(E10:G10)</f>
        <v>30</v>
      </c>
      <c r="I10" s="259">
        <f>SUM(D10:G10)</f>
        <v>8898.9653999999991</v>
      </c>
      <c r="J10" s="259">
        <f>'Beta Calc'!Q11</f>
        <v>1236.8340000000001</v>
      </c>
      <c r="K10" s="259">
        <f>I10-J10</f>
        <v>7662.1313999999993</v>
      </c>
      <c r="M10" s="390">
        <f>IFERROR('Capital IQ Sheet-GPC'!AT13,"n/a")</f>
        <v>0</v>
      </c>
      <c r="N10" s="259">
        <f t="shared" ref="N10:O34" si="0">N$6</f>
        <v>1.7035945205479452</v>
      </c>
      <c r="O10" s="898">
        <f t="shared" si="0"/>
        <v>2.4500000000000001E-2</v>
      </c>
      <c r="P10" s="899"/>
      <c r="Q10" s="900">
        <f>IFERROR(HLOOKUP($Q$6,'Equity Vol'!$B$8:$K11,ROWS('Equity Vol'!$C$8:$C11),FALSE),"n/a")</f>
        <v>0.59416943228496266</v>
      </c>
      <c r="R10" s="304"/>
      <c r="S10" s="901">
        <f>IFERROR(IF(Q10="n/a","n/a",Q10^2),"n/a")</f>
        <v>0.35303731426183482</v>
      </c>
      <c r="T10" s="901">
        <f t="shared" ref="T10" si="1">IF(OR(K10="n/a",S10="n/a"),"n/a",IF(H10=0,0,IF(M10=0,(LN(K10/H10)+((O10+(S10/2))*N10))/((S10*N10)^0.5),(LN(K10/H10)+((O10-M10+(S10/2))*N10))/((S10*N10)^0.5))))</f>
        <v>7.5888393362269575</v>
      </c>
      <c r="U10" s="902">
        <f t="shared" ref="U10" si="2">IF(T10="n/a","n/a",IF(H10=0,0,T10-(S10*N10)^0.5))</f>
        <v>6.8133185859401424</v>
      </c>
      <c r="V10" s="902">
        <f t="shared" ref="V10" si="3">IF(OR(T10="n/a",S10="n/a"),"n/a",IF(H10=0,0,NORMSDIST(T10)))</f>
        <v>0.9999999999999839</v>
      </c>
      <c r="W10" s="902">
        <f t="shared" ref="W10" si="4">IF(OR(U10="n/a",S10="n/a"),"n/a",IF(H10=0,0,NORMSDIST(U10)))</f>
        <v>0.99999999999523137</v>
      </c>
      <c r="X10" s="465">
        <f t="shared" ref="X10:X28" si="5">IF(OR(K10="n/a",S10="n/a"),"n/a",IF(M10=0,(K10*V10)-((H10*EXP(1)^(-O10*N10))*W10),(K10*(2.718^(-M10*N10))*V10)-(H10*(2.718^(-O10*N10))*W10)))</f>
        <v>7633.3577707709319</v>
      </c>
      <c r="Y10" s="900">
        <f>IFERROR(IF(LEN(B10)&gt;0,IF(H10=0,Q10,IF(ISERROR(Q10/((K10/X10)*V10)),"n/a",Q10/((K10/X10)*V10)))),"n/a")</f>
        <v>0.59193814570800063</v>
      </c>
      <c r="AA10" s="815" t="str">
        <f>IF('MASTER PubCo Inputs'!B28=0,"",'MASTER PubCo Inputs'!B28)</f>
        <v>NasdaqGS:ALNY</v>
      </c>
      <c r="AB10" s="259">
        <f>'Beta Calc'!Z11</f>
        <v>7662.1313899999996</v>
      </c>
      <c r="AC10" s="903">
        <f t="shared" ref="AC10" si="6">K10-AB10</f>
        <v>9.9999997473787516E-6</v>
      </c>
      <c r="AI10" s="811"/>
    </row>
    <row r="11" spans="2:35" ht="14.85" customHeight="1">
      <c r="B11" s="234" t="str">
        <f>'Comp.1'!B12</f>
        <v>bluebird bio, Inc.</v>
      </c>
      <c r="D11" s="259">
        <f>'Beta Calc'!K12</f>
        <v>7297.8752599999998</v>
      </c>
      <c r="E11" s="259">
        <f>'Beta Calc'!L12</f>
        <v>155.03399999999999</v>
      </c>
      <c r="F11" s="259" t="str">
        <f>'Beta Calc'!M12</f>
        <v>n/a</v>
      </c>
      <c r="G11" s="259" t="str">
        <f>'Beta Calc'!N12</f>
        <v>n/a</v>
      </c>
      <c r="H11" s="259">
        <f t="shared" ref="H11:H34" si="7">SUM(E11:G11)</f>
        <v>155.03399999999999</v>
      </c>
      <c r="I11" s="259">
        <f t="shared" ref="I11:I34" si="8">SUM(D11:G11)</f>
        <v>7452.9092599999994</v>
      </c>
      <c r="J11" s="259">
        <f>'Beta Calc'!Q12</f>
        <v>1695.2950000000001</v>
      </c>
      <c r="K11" s="259">
        <f t="shared" ref="K11:K34" si="9">I11-J11</f>
        <v>5757.6142599999994</v>
      </c>
      <c r="M11" s="390">
        <f>IFERROR('Capital IQ Sheet-GPC'!AT14,"n/a")</f>
        <v>0</v>
      </c>
      <c r="N11" s="259">
        <f t="shared" si="0"/>
        <v>1.7035945205479452</v>
      </c>
      <c r="O11" s="898">
        <f t="shared" si="0"/>
        <v>2.4500000000000001E-2</v>
      </c>
      <c r="P11" s="899"/>
      <c r="Q11" s="900">
        <f>IFERROR(HLOOKUP($Q$6,'Equity Vol'!$B$8:$K12,ROWS('Equity Vol'!$C$8:$C12),FALSE),"n/a")</f>
        <v>0.53858552321462028</v>
      </c>
      <c r="R11" s="304"/>
      <c r="S11" s="901">
        <f t="shared" ref="S11:S34" si="10">IFERROR(IF(Q11="n/a","n/a",Q11^2),"n/a")</f>
        <v>0.29007436581636625</v>
      </c>
      <c r="T11" s="901">
        <f t="shared" ref="T11:T28" si="11">IF(OR(K11="n/a",S11="n/a"),"n/a",IF(H11=0,0,IF(M11=0,(LN(K11/H11)+((O11+(S11/2))*N11))/((S11*N11)^0.5),(LN(K11/H11)+((O11-M11+(S11/2))*N11))/((S11*N11)^0.5))))</f>
        <v>5.5527940638692561</v>
      </c>
      <c r="U11" s="902">
        <f t="shared" ref="U11:U34" si="12">IF(T11="n/a","n/a",IF(H11=0,0,T11-(S11*N11)^0.5))</f>
        <v>4.8498224427093533</v>
      </c>
      <c r="V11" s="902">
        <f t="shared" ref="V11:V34" si="13">IF(OR(T11="n/a",S11="n/a"),"n/a",IF(H11=0,0,NORMSDIST(T11)))</f>
        <v>0.99999998594303929</v>
      </c>
      <c r="W11" s="902">
        <f t="shared" ref="W11:W34" si="14">IF(OR(U11="n/a",S11="n/a"),"n/a",IF(H11=0,0,NORMSDIST(U11)))</f>
        <v>0.99999938213980055</v>
      </c>
      <c r="X11" s="465">
        <f t="shared" si="5"/>
        <v>5608.9179098089598</v>
      </c>
      <c r="Y11" s="900">
        <f t="shared" ref="Y11:Y34" si="15">IFERROR(IF(LEN(B11)&gt;0,IF(H11=0,Q11,IF(ISERROR(Q11/((K11/X11)*V11)),"n/a",Q11/((K11/X11)*V11)))),"n/a")</f>
        <v>0.52467600175540996</v>
      </c>
      <c r="AA11" s="815" t="str">
        <f>IF('MASTER PubCo Inputs'!B29=0,"",'MASTER PubCo Inputs'!B29)</f>
        <v>NasdaqGS:BLUE</v>
      </c>
      <c r="AB11" s="259">
        <f>'Beta Calc'!Z12</f>
        <v>5757.6142600000003</v>
      </c>
      <c r="AC11" s="903">
        <f t="shared" ref="AC11:AC34" si="16">K11-AB11</f>
        <v>0</v>
      </c>
      <c r="AI11" s="811"/>
    </row>
    <row r="12" spans="2:35" ht="14.85" customHeight="1">
      <c r="B12" s="234" t="str">
        <f>'Comp.1'!B13</f>
        <v>Ironwood Pharmaceuticals, Inc.</v>
      </c>
      <c r="D12" s="259">
        <f>'Beta Calc'!K13</f>
        <v>2104.44911</v>
      </c>
      <c r="E12" s="259">
        <f>'Beta Calc'!L13</f>
        <v>409.30599999999998</v>
      </c>
      <c r="F12" s="259" t="str">
        <f>'Beta Calc'!M13</f>
        <v>n/a</v>
      </c>
      <c r="G12" s="259" t="str">
        <f>'Beta Calc'!N13</f>
        <v>n/a</v>
      </c>
      <c r="H12" s="259">
        <f t="shared" si="7"/>
        <v>409.30599999999998</v>
      </c>
      <c r="I12" s="259">
        <f t="shared" si="8"/>
        <v>2513.7551100000001</v>
      </c>
      <c r="J12" s="259">
        <f>'Beta Calc'!Q13</f>
        <v>161.398</v>
      </c>
      <c r="K12" s="259">
        <f t="shared" si="9"/>
        <v>2352.3571099999999</v>
      </c>
      <c r="M12" s="390">
        <f>IFERROR('Capital IQ Sheet-GPC'!AT15,"n/a")</f>
        <v>0</v>
      </c>
      <c r="N12" s="259">
        <f t="shared" si="0"/>
        <v>1.7035945205479452</v>
      </c>
      <c r="O12" s="898">
        <f t="shared" si="0"/>
        <v>2.4500000000000001E-2</v>
      </c>
      <c r="P12" s="899"/>
      <c r="Q12" s="900">
        <f>IFERROR(HLOOKUP($Q$6,'Equity Vol'!$B$8:$K13,ROWS('Equity Vol'!$C$8:$C13),FALSE),"n/a")</f>
        <v>0.4634353984441596</v>
      </c>
      <c r="R12" s="304"/>
      <c r="S12" s="901">
        <f t="shared" si="10"/>
        <v>0.21477236853109696</v>
      </c>
      <c r="T12" s="901">
        <f t="shared" si="11"/>
        <v>3.2624266012933929</v>
      </c>
      <c r="U12" s="902">
        <f t="shared" si="12"/>
        <v>2.6575422898794825</v>
      </c>
      <c r="V12" s="902">
        <f t="shared" si="13"/>
        <v>0.99944768612944102</v>
      </c>
      <c r="W12" s="902">
        <f t="shared" si="14"/>
        <v>0.99606436428967304</v>
      </c>
      <c r="X12" s="465">
        <f t="shared" si="5"/>
        <v>1960.0289291650354</v>
      </c>
      <c r="Y12" s="900">
        <f t="shared" si="15"/>
        <v>0.3863566265772882</v>
      </c>
      <c r="AA12" s="815" t="str">
        <f>IF('MASTER PubCo Inputs'!B30=0,"",'MASTER PubCo Inputs'!B30)</f>
        <v>NasdaqGS:IRWD</v>
      </c>
      <c r="AB12" s="259">
        <f>'Beta Calc'!Z13</f>
        <v>2352.3571099999999</v>
      </c>
      <c r="AC12" s="903">
        <f t="shared" si="16"/>
        <v>0</v>
      </c>
      <c r="AI12" s="811"/>
    </row>
    <row r="13" spans="2:35" ht="14.85" customHeight="1">
      <c r="B13" s="234" t="str">
        <f>'Comp.1'!B14</f>
        <v>Global Blood Therapeutics, Inc.</v>
      </c>
      <c r="D13" s="259">
        <f>'Beta Calc'!K14</f>
        <v>2660.4172400000002</v>
      </c>
      <c r="E13" s="259">
        <f>'Beta Calc'!L14</f>
        <v>0</v>
      </c>
      <c r="F13" s="259" t="str">
        <f>'Beta Calc'!M14</f>
        <v>n/a</v>
      </c>
      <c r="G13" s="259" t="str">
        <f>'Beta Calc'!N14</f>
        <v>n/a</v>
      </c>
      <c r="H13" s="259">
        <f t="shared" si="7"/>
        <v>0</v>
      </c>
      <c r="I13" s="259">
        <f t="shared" si="8"/>
        <v>2660.4172400000002</v>
      </c>
      <c r="J13" s="259">
        <f>'Beta Calc'!Q14</f>
        <v>383.22800000000001</v>
      </c>
      <c r="K13" s="259">
        <f t="shared" si="9"/>
        <v>2277.1892400000002</v>
      </c>
      <c r="M13" s="390">
        <f>IFERROR('Capital IQ Sheet-GPC'!AT16,"n/a")</f>
        <v>0</v>
      </c>
      <c r="N13" s="259">
        <f t="shared" si="0"/>
        <v>1.7035945205479452</v>
      </c>
      <c r="O13" s="898">
        <f t="shared" si="0"/>
        <v>2.4500000000000001E-2</v>
      </c>
      <c r="P13" s="899"/>
      <c r="Q13" s="900">
        <f>IFERROR(HLOOKUP($Q$6,'Equity Vol'!$B$8:$K14,ROWS('Equity Vol'!$C$8:$C14),FALSE),"n/a")</f>
        <v>0.70150122776605739</v>
      </c>
      <c r="R13" s="304"/>
      <c r="S13" s="901">
        <f t="shared" si="10"/>
        <v>0.49210397255728594</v>
      </c>
      <c r="T13" s="901">
        <f t="shared" si="11"/>
        <v>0</v>
      </c>
      <c r="U13" s="902">
        <f t="shared" si="12"/>
        <v>0</v>
      </c>
      <c r="V13" s="902">
        <f t="shared" si="13"/>
        <v>0</v>
      </c>
      <c r="W13" s="902">
        <f t="shared" si="14"/>
        <v>0</v>
      </c>
      <c r="X13" s="465">
        <f t="shared" si="5"/>
        <v>0</v>
      </c>
      <c r="Y13" s="900">
        <f t="shared" si="15"/>
        <v>0.70150122776605739</v>
      </c>
      <c r="AA13" s="815" t="str">
        <f>IF('MASTER PubCo Inputs'!B31=0,"",'MASTER PubCo Inputs'!B31)</f>
        <v>NasdaqGS:GBT</v>
      </c>
      <c r="AB13" s="259">
        <f>'Beta Calc'!Z14</f>
        <v>2277.1892400000002</v>
      </c>
      <c r="AC13" s="903">
        <f t="shared" si="16"/>
        <v>0</v>
      </c>
      <c r="AI13" s="811"/>
    </row>
    <row r="14" spans="2:35" ht="14.85" customHeight="1">
      <c r="B14" s="234" t="str">
        <f>'Comp.1'!B15</f>
        <v>Acceleron Pharma Inc.</v>
      </c>
      <c r="D14" s="259">
        <f>'Beta Calc'!K15</f>
        <v>2185.0571599999998</v>
      </c>
      <c r="E14" s="259">
        <f>'Beta Calc'!L15</f>
        <v>0</v>
      </c>
      <c r="F14" s="259" t="str">
        <f>'Beta Calc'!M15</f>
        <v>n/a</v>
      </c>
      <c r="G14" s="259" t="str">
        <f>'Beta Calc'!N15</f>
        <v>n/a</v>
      </c>
      <c r="H14" s="259">
        <f t="shared" si="7"/>
        <v>0</v>
      </c>
      <c r="I14" s="259">
        <f t="shared" si="8"/>
        <v>2185.0571599999998</v>
      </c>
      <c r="J14" s="259">
        <f>'Beta Calc'!Q15</f>
        <v>307.97199999999998</v>
      </c>
      <c r="K14" s="259">
        <f t="shared" si="9"/>
        <v>1877.0851599999999</v>
      </c>
      <c r="M14" s="390">
        <f>IFERROR('Capital IQ Sheet-GPC'!AT17,"n/a")</f>
        <v>0</v>
      </c>
      <c r="N14" s="259">
        <f t="shared" si="0"/>
        <v>1.7035945205479452</v>
      </c>
      <c r="O14" s="898">
        <f t="shared" si="0"/>
        <v>2.4500000000000001E-2</v>
      </c>
      <c r="P14" s="899"/>
      <c r="Q14" s="900">
        <f>IFERROR(HLOOKUP($Q$6,'Equity Vol'!$B$8:$K15,ROWS('Equity Vol'!$C$8:$C15),FALSE),"n/a")</f>
        <v>0.52894966684130962</v>
      </c>
      <c r="R14" s="304"/>
      <c r="S14" s="901">
        <f t="shared" si="10"/>
        <v>0.27978775005153245</v>
      </c>
      <c r="T14" s="901">
        <f t="shared" si="11"/>
        <v>0</v>
      </c>
      <c r="U14" s="902">
        <f t="shared" si="12"/>
        <v>0</v>
      </c>
      <c r="V14" s="902">
        <f t="shared" si="13"/>
        <v>0</v>
      </c>
      <c r="W14" s="902">
        <f t="shared" si="14"/>
        <v>0</v>
      </c>
      <c r="X14" s="465">
        <f t="shared" si="5"/>
        <v>0</v>
      </c>
      <c r="Y14" s="900">
        <f t="shared" si="15"/>
        <v>0.52894966684130962</v>
      </c>
      <c r="AA14" s="815" t="str">
        <f>IF('MASTER PubCo Inputs'!B32=0,"",'MASTER PubCo Inputs'!B32)</f>
        <v>NasdaqGM:XLRN</v>
      </c>
      <c r="AB14" s="259">
        <f>'Beta Calc'!Z15</f>
        <v>1877.0851600000001</v>
      </c>
      <c r="AC14" s="903">
        <f t="shared" si="16"/>
        <v>0</v>
      </c>
      <c r="AI14" s="811"/>
    </row>
    <row r="15" spans="2:35" ht="14.85" customHeight="1">
      <c r="B15" s="234" t="str">
        <f>'Comp.1'!B16</f>
        <v>Spark Therapeutics, Inc.</v>
      </c>
      <c r="D15" s="259">
        <f>'Beta Calc'!K16</f>
        <v>1805.0671400000001</v>
      </c>
      <c r="E15" s="259">
        <f>'Beta Calc'!L16</f>
        <v>84.891000000000005</v>
      </c>
      <c r="F15" s="259" t="str">
        <f>'Beta Calc'!M16</f>
        <v>n/a</v>
      </c>
      <c r="G15" s="259" t="str">
        <f>'Beta Calc'!N16</f>
        <v>n/a</v>
      </c>
      <c r="H15" s="259">
        <f t="shared" si="7"/>
        <v>84.891000000000005</v>
      </c>
      <c r="I15" s="259">
        <f t="shared" si="8"/>
        <v>1889.9581400000002</v>
      </c>
      <c r="J15" s="259">
        <f>'Beta Calc'!Q16</f>
        <v>590.476</v>
      </c>
      <c r="K15" s="259">
        <f t="shared" si="9"/>
        <v>1299.4821400000001</v>
      </c>
      <c r="M15" s="390">
        <f>IFERROR('Capital IQ Sheet-GPC'!AT18,"n/a")</f>
        <v>0</v>
      </c>
      <c r="N15" s="259">
        <f t="shared" si="0"/>
        <v>1.7035945205479452</v>
      </c>
      <c r="O15" s="898">
        <f t="shared" si="0"/>
        <v>2.4500000000000001E-2</v>
      </c>
      <c r="P15" s="899"/>
      <c r="Q15" s="900">
        <f>IFERROR(HLOOKUP($Q$6,'Equity Vol'!$B$8:$K16,ROWS('Equity Vol'!$C$8:$C16),FALSE),"n/a")</f>
        <v>0.64539841996562952</v>
      </c>
      <c r="R15" s="304"/>
      <c r="S15" s="901">
        <f t="shared" si="10"/>
        <v>0.41653912049413111</v>
      </c>
      <c r="T15" s="901">
        <f t="shared" si="11"/>
        <v>3.709580737509675</v>
      </c>
      <c r="U15" s="902">
        <f t="shared" si="12"/>
        <v>2.8671949807048356</v>
      </c>
      <c r="V15" s="902">
        <f t="shared" si="13"/>
        <v>0.99989619862601498</v>
      </c>
      <c r="W15" s="902">
        <f t="shared" si="14"/>
        <v>0.99792936107476871</v>
      </c>
      <c r="X15" s="465">
        <f t="shared" si="5"/>
        <v>1218.0951062895954</v>
      </c>
      <c r="Y15" s="900">
        <f t="shared" si="15"/>
        <v>0.6050396887946704</v>
      </c>
      <c r="AA15" s="815" t="str">
        <f>IF('MASTER PubCo Inputs'!B33=0,"",'MASTER PubCo Inputs'!B33)</f>
        <v>NasdaqGS:ONCE</v>
      </c>
      <c r="AB15" s="259">
        <f>'Beta Calc'!Z16</f>
        <v>1299.4821300000001</v>
      </c>
      <c r="AC15" s="903">
        <f t="shared" si="16"/>
        <v>9.9999999747524271E-6</v>
      </c>
      <c r="AI15" s="811"/>
    </row>
    <row r="16" spans="2:35" ht="14.85" customHeight="1">
      <c r="B16" s="234" t="str">
        <f>'Comp.1'!B17</f>
        <v>REGENXBIO Inc.</v>
      </c>
      <c r="D16" s="259">
        <f>'Beta Calc'!K17</f>
        <v>1575.5421799999999</v>
      </c>
      <c r="E16" s="259">
        <f>'Beta Calc'!L17</f>
        <v>0</v>
      </c>
      <c r="F16" s="259" t="str">
        <f>'Beta Calc'!M17</f>
        <v>n/a</v>
      </c>
      <c r="G16" s="259" t="str">
        <f>'Beta Calc'!N17</f>
        <v>n/a</v>
      </c>
      <c r="H16" s="259">
        <f t="shared" si="7"/>
        <v>0</v>
      </c>
      <c r="I16" s="259">
        <f t="shared" si="8"/>
        <v>1575.5421799999999</v>
      </c>
      <c r="J16" s="259">
        <f>'Beta Calc'!Q17</f>
        <v>372.589</v>
      </c>
      <c r="K16" s="259">
        <f t="shared" si="9"/>
        <v>1202.95318</v>
      </c>
      <c r="M16" s="390">
        <f>IFERROR('Capital IQ Sheet-GPC'!AT19,"n/a")</f>
        <v>0</v>
      </c>
      <c r="N16" s="259">
        <f t="shared" si="0"/>
        <v>1.7035945205479452</v>
      </c>
      <c r="O16" s="898">
        <f t="shared" si="0"/>
        <v>2.4500000000000001E-2</v>
      </c>
      <c r="P16" s="899"/>
      <c r="Q16" s="900">
        <f>IFERROR(HLOOKUP($Q$6,'Equity Vol'!$B$8:$K17,ROWS('Equity Vol'!$C$8:$C17),FALSE),"n/a")</f>
        <v>0.67554666584600742</v>
      </c>
      <c r="R16" s="304"/>
      <c r="S16" s="901">
        <f t="shared" si="10"/>
        <v>0.4563632977356572</v>
      </c>
      <c r="T16" s="901">
        <f t="shared" si="11"/>
        <v>0</v>
      </c>
      <c r="U16" s="902">
        <f t="shared" si="12"/>
        <v>0</v>
      </c>
      <c r="V16" s="902">
        <f t="shared" si="13"/>
        <v>0</v>
      </c>
      <c r="W16" s="902">
        <f t="shared" si="14"/>
        <v>0</v>
      </c>
      <c r="X16" s="465">
        <f t="shared" si="5"/>
        <v>0</v>
      </c>
      <c r="Y16" s="900">
        <f t="shared" si="15"/>
        <v>0.67554666584600742</v>
      </c>
      <c r="AA16" s="815" t="str">
        <f>IF('MASTER PubCo Inputs'!B34=0,"",'MASTER PubCo Inputs'!B34)</f>
        <v>NasdaqGS:RGNX</v>
      </c>
      <c r="AB16" s="259">
        <f>'Beta Calc'!Z17</f>
        <v>1202.95318</v>
      </c>
      <c r="AC16" s="903">
        <f t="shared" si="16"/>
        <v>0</v>
      </c>
      <c r="AI16" s="811"/>
    </row>
    <row r="17" spans="2:35" ht="14.85" customHeight="1">
      <c r="B17" s="234" t="str">
        <f>'Comp.1'!B18</f>
        <v>uniQure N.V.</v>
      </c>
      <c r="D17" s="259">
        <f>'Beta Calc'!K18</f>
        <v>1275.6593700000001</v>
      </c>
      <c r="E17" s="259">
        <f>'Beta Calc'!L18</f>
        <v>20.707999999999998</v>
      </c>
      <c r="F17" s="259" t="str">
        <f>'Beta Calc'!M18</f>
        <v>n/a</v>
      </c>
      <c r="G17" s="259" t="str">
        <f>'Beta Calc'!N18</f>
        <v>n/a</v>
      </c>
      <c r="H17" s="259">
        <f t="shared" si="7"/>
        <v>20.707999999999998</v>
      </c>
      <c r="I17" s="259">
        <f t="shared" si="8"/>
        <v>1296.3673700000002</v>
      </c>
      <c r="J17" s="259">
        <f>'Beta Calc'!Q18</f>
        <v>239.54599999999999</v>
      </c>
      <c r="K17" s="259">
        <f t="shared" si="9"/>
        <v>1056.8213700000001</v>
      </c>
      <c r="M17" s="390">
        <f>IFERROR('Capital IQ Sheet-GPC'!AT20,"n/a")</f>
        <v>0</v>
      </c>
      <c r="N17" s="259">
        <f t="shared" si="0"/>
        <v>1.7035945205479452</v>
      </c>
      <c r="O17" s="898">
        <f t="shared" si="0"/>
        <v>2.4500000000000001E-2</v>
      </c>
      <c r="P17" s="899"/>
      <c r="Q17" s="900">
        <f>IFERROR(HLOOKUP($Q$6,'Equity Vol'!$B$8:$K18,ROWS('Equity Vol'!$C$8:$C18),FALSE),"n/a")</f>
        <v>0.76002768683622213</v>
      </c>
      <c r="R17" s="304"/>
      <c r="S17" s="901">
        <f t="shared" si="10"/>
        <v>0.57764208475761858</v>
      </c>
      <c r="T17" s="901">
        <f t="shared" si="11"/>
        <v>4.5022823163580936</v>
      </c>
      <c r="U17" s="902">
        <f t="shared" si="12"/>
        <v>3.5102803554573248</v>
      </c>
      <c r="V17" s="902">
        <f t="shared" si="13"/>
        <v>0.99999663862010502</v>
      </c>
      <c r="W17" s="902">
        <f t="shared" si="14"/>
        <v>0.99977618277132951</v>
      </c>
      <c r="X17" s="465">
        <f t="shared" si="5"/>
        <v>1036.9607858268039</v>
      </c>
      <c r="Y17" s="900">
        <f t="shared" si="15"/>
        <v>0.74574718011973196</v>
      </c>
      <c r="AA17" s="815" t="str">
        <f>IF('MASTER PubCo Inputs'!B35=0,"",'MASTER PubCo Inputs'!B35)</f>
        <v>NasdaqGS:QURE</v>
      </c>
      <c r="AB17" s="259">
        <f>'Beta Calc'!Z18</f>
        <v>1056.8213699999999</v>
      </c>
      <c r="AC17" s="903">
        <f t="shared" si="16"/>
        <v>0</v>
      </c>
      <c r="AI17" s="811"/>
    </row>
    <row r="18" spans="2:35" ht="14.85" customHeight="1">
      <c r="B18" s="234" t="str">
        <f>'Comp.1'!B19</f>
        <v>Audentes Therapeutics, Inc.</v>
      </c>
      <c r="D18" s="259">
        <f>'Beta Calc'!K19</f>
        <v>1058.70937</v>
      </c>
      <c r="E18" s="259">
        <f>'Beta Calc'!L19</f>
        <v>0</v>
      </c>
      <c r="F18" s="259" t="str">
        <f>'Beta Calc'!M19</f>
        <v>n/a</v>
      </c>
      <c r="G18" s="259" t="str">
        <f>'Beta Calc'!N19</f>
        <v>n/a</v>
      </c>
      <c r="H18" s="259">
        <f t="shared" si="7"/>
        <v>0</v>
      </c>
      <c r="I18" s="259">
        <f t="shared" si="8"/>
        <v>1058.70937</v>
      </c>
      <c r="J18" s="259">
        <f>'Beta Calc'!Q19</f>
        <v>280.68599999999998</v>
      </c>
      <c r="K18" s="259">
        <f t="shared" si="9"/>
        <v>778.02337000000011</v>
      </c>
      <c r="M18" s="390">
        <f>IFERROR('Capital IQ Sheet-GPC'!AT21,"n/a")</f>
        <v>0</v>
      </c>
      <c r="N18" s="259">
        <f t="shared" si="0"/>
        <v>1.7035945205479452</v>
      </c>
      <c r="O18" s="898">
        <f t="shared" si="0"/>
        <v>2.4500000000000001E-2</v>
      </c>
      <c r="P18" s="899"/>
      <c r="Q18" s="900">
        <f>IFERROR(HLOOKUP($Q$6,'Equity Vol'!$B$8:$K19,ROWS('Equity Vol'!$C$8:$C19),FALSE),"n/a")</f>
        <v>0.60947723086456018</v>
      </c>
      <c r="R18" s="304"/>
      <c r="S18" s="901">
        <f t="shared" si="10"/>
        <v>0.37146249494233241</v>
      </c>
      <c r="T18" s="901">
        <f t="shared" si="11"/>
        <v>0</v>
      </c>
      <c r="U18" s="902">
        <f t="shared" si="12"/>
        <v>0</v>
      </c>
      <c r="V18" s="902">
        <f t="shared" si="13"/>
        <v>0</v>
      </c>
      <c r="W18" s="902">
        <f t="shared" si="14"/>
        <v>0</v>
      </c>
      <c r="X18" s="465">
        <f t="shared" si="5"/>
        <v>0</v>
      </c>
      <c r="Y18" s="900">
        <f t="shared" si="15"/>
        <v>0.60947723086456018</v>
      </c>
      <c r="AA18" s="815" t="str">
        <f>IF('MASTER PubCo Inputs'!B36=0,"",'MASTER PubCo Inputs'!B36)</f>
        <v>NasdaqGM:BOLD</v>
      </c>
      <c r="AB18" s="259">
        <f>'Beta Calc'!Z19</f>
        <v>778.02337</v>
      </c>
      <c r="AC18" s="903">
        <f t="shared" si="16"/>
        <v>0</v>
      </c>
      <c r="AI18" s="811"/>
    </row>
    <row r="19" spans="2:35" ht="14.85" customHeight="1">
      <c r="B19" s="234" t="str">
        <f>'Comp.1'!B20</f>
        <v>Sangamo Therapeutics, Inc.</v>
      </c>
      <c r="D19" s="259">
        <f>'Beta Calc'!K20</f>
        <v>1193.4655700000001</v>
      </c>
      <c r="E19" s="259">
        <f>'Beta Calc'!L20</f>
        <v>0</v>
      </c>
      <c r="F19" s="259" t="str">
        <f>'Beta Calc'!M20</f>
        <v>n/a</v>
      </c>
      <c r="G19" s="259" t="str">
        <f>'Beta Calc'!N20</f>
        <v>n/a</v>
      </c>
      <c r="H19" s="259">
        <f t="shared" si="7"/>
        <v>0</v>
      </c>
      <c r="I19" s="259">
        <f t="shared" si="8"/>
        <v>1193.4655700000001</v>
      </c>
      <c r="J19" s="259">
        <f>'Beta Calc'!Q20</f>
        <v>458.57</v>
      </c>
      <c r="K19" s="259">
        <f t="shared" si="9"/>
        <v>734.89557000000013</v>
      </c>
      <c r="M19" s="390">
        <f>IFERROR('Capital IQ Sheet-GPC'!AT22,"n/a")</f>
        <v>0</v>
      </c>
      <c r="N19" s="259">
        <f t="shared" si="0"/>
        <v>1.7035945205479452</v>
      </c>
      <c r="O19" s="898">
        <f t="shared" si="0"/>
        <v>2.4500000000000001E-2</v>
      </c>
      <c r="P19" s="899"/>
      <c r="Q19" s="900">
        <f>IFERROR(HLOOKUP($Q$6,'Equity Vol'!$B$8:$K20,ROWS('Equity Vol'!$C$8:$C20),FALSE),"n/a")</f>
        <v>0.8134368682842571</v>
      </c>
      <c r="R19" s="304"/>
      <c r="S19" s="901">
        <f t="shared" si="10"/>
        <v>0.66167953868409979</v>
      </c>
      <c r="T19" s="901">
        <f t="shared" si="11"/>
        <v>0</v>
      </c>
      <c r="U19" s="902">
        <f t="shared" si="12"/>
        <v>0</v>
      </c>
      <c r="V19" s="902">
        <f t="shared" si="13"/>
        <v>0</v>
      </c>
      <c r="W19" s="902">
        <f t="shared" si="14"/>
        <v>0</v>
      </c>
      <c r="X19" s="465">
        <f t="shared" si="5"/>
        <v>0</v>
      </c>
      <c r="Y19" s="900">
        <f t="shared" si="15"/>
        <v>0.8134368682842571</v>
      </c>
      <c r="AA19" s="815" t="str">
        <f>IF('MASTER PubCo Inputs'!B37=0,"",'MASTER PubCo Inputs'!B37)</f>
        <v>NasdaqGS:SGMO</v>
      </c>
      <c r="AB19" s="259">
        <f>'Beta Calc'!Z20</f>
        <v>734.89557000000002</v>
      </c>
      <c r="AC19" s="903">
        <f t="shared" si="16"/>
        <v>0</v>
      </c>
      <c r="AI19" s="811"/>
    </row>
    <row r="20" spans="2:35" ht="14.85" customHeight="1">
      <c r="B20" s="234" t="str">
        <f>'Comp.1'!B21</f>
        <v>Homology Medicines, Inc.</v>
      </c>
      <c r="D20" s="259">
        <f>'Beta Calc'!K21</f>
        <v>756.27498000000003</v>
      </c>
      <c r="E20" s="259">
        <f>'Beta Calc'!L21</f>
        <v>0</v>
      </c>
      <c r="F20" s="259" t="str">
        <f>'Beta Calc'!M21</f>
        <v>n/a</v>
      </c>
      <c r="G20" s="259" t="str">
        <f>'Beta Calc'!N21</f>
        <v>n/a</v>
      </c>
      <c r="H20" s="259">
        <f t="shared" si="7"/>
        <v>0</v>
      </c>
      <c r="I20" s="259">
        <f t="shared" si="8"/>
        <v>756.27498000000003</v>
      </c>
      <c r="J20" s="259">
        <f>'Beta Calc'!Q21</f>
        <v>237.54401999999999</v>
      </c>
      <c r="K20" s="259">
        <f t="shared" si="9"/>
        <v>518.7309600000001</v>
      </c>
      <c r="M20" s="390">
        <f>IFERROR('Capital IQ Sheet-GPC'!AT23,"n/a")</f>
        <v>0</v>
      </c>
      <c r="N20" s="259">
        <f t="shared" si="0"/>
        <v>1.7035945205479452</v>
      </c>
      <c r="O20" s="898">
        <f t="shared" si="0"/>
        <v>2.4500000000000001E-2</v>
      </c>
      <c r="P20" s="899"/>
      <c r="Q20" s="900" t="str">
        <f>IFERROR(HLOOKUP($Q$6,'Equity Vol'!$B$8:$K21,ROWS('Equity Vol'!$C$8:$C21),FALSE),"n/a")</f>
        <v>NM</v>
      </c>
      <c r="R20" s="304"/>
      <c r="S20" s="901" t="str">
        <f t="shared" si="10"/>
        <v>n/a</v>
      </c>
      <c r="T20" s="901" t="str">
        <f t="shared" si="11"/>
        <v>n/a</v>
      </c>
      <c r="U20" s="902" t="str">
        <f t="shared" si="12"/>
        <v>n/a</v>
      </c>
      <c r="V20" s="902" t="str">
        <f t="shared" si="13"/>
        <v>n/a</v>
      </c>
      <c r="W20" s="902" t="str">
        <f t="shared" si="14"/>
        <v>n/a</v>
      </c>
      <c r="X20" s="465" t="str">
        <f t="shared" si="5"/>
        <v>n/a</v>
      </c>
      <c r="Y20" s="900" t="str">
        <f t="shared" si="15"/>
        <v>NM</v>
      </c>
      <c r="AA20" s="815" t="str">
        <f>IF('MASTER PubCo Inputs'!B38=0,"",'MASTER PubCo Inputs'!B38)</f>
        <v>NasdaqGS:FIXX</v>
      </c>
      <c r="AB20" s="259">
        <f>'Beta Calc'!Z21</f>
        <v>518.73095999999998</v>
      </c>
      <c r="AC20" s="903">
        <f t="shared" si="16"/>
        <v>0</v>
      </c>
      <c r="AI20" s="811"/>
    </row>
    <row r="21" spans="2:35" ht="14.85" customHeight="1">
      <c r="B21" s="234" t="str">
        <f>'Comp.1'!B22</f>
        <v>Corbus Pharmaceuticals Holdings, Inc.</v>
      </c>
      <c r="D21" s="259">
        <f>'Beta Calc'!K22</f>
        <v>473.53946999999999</v>
      </c>
      <c r="E21" s="259">
        <f>'Beta Calc'!L22</f>
        <v>0</v>
      </c>
      <c r="F21" s="259" t="str">
        <f>'Beta Calc'!M22</f>
        <v>n/a</v>
      </c>
      <c r="G21" s="259" t="str">
        <f>'Beta Calc'!N22</f>
        <v>n/a</v>
      </c>
      <c r="H21" s="259">
        <f t="shared" si="7"/>
        <v>0</v>
      </c>
      <c r="I21" s="259">
        <f t="shared" si="8"/>
        <v>473.53946999999999</v>
      </c>
      <c r="J21" s="259">
        <f>'Beta Calc'!Q22</f>
        <v>55.659350000000003</v>
      </c>
      <c r="K21" s="259">
        <f t="shared" si="9"/>
        <v>417.88011999999998</v>
      </c>
      <c r="M21" s="390">
        <f>IFERROR('Capital IQ Sheet-GPC'!AT24,"n/a")</f>
        <v>0</v>
      </c>
      <c r="N21" s="259">
        <f t="shared" si="0"/>
        <v>1.7035945205479452</v>
      </c>
      <c r="O21" s="898">
        <f t="shared" si="0"/>
        <v>2.4500000000000001E-2</v>
      </c>
      <c r="P21" s="899"/>
      <c r="Q21" s="900">
        <f>IFERROR(HLOOKUP($Q$6,'Equity Vol'!$B$8:$K22,ROWS('Equity Vol'!$C$8:$C22),FALSE),"n/a")</f>
        <v>0.6748916162350671</v>
      </c>
      <c r="R21" s="304"/>
      <c r="S21" s="901">
        <f t="shared" si="10"/>
        <v>0.4554786936643811</v>
      </c>
      <c r="T21" s="901">
        <f t="shared" si="11"/>
        <v>0</v>
      </c>
      <c r="U21" s="902">
        <f t="shared" si="12"/>
        <v>0</v>
      </c>
      <c r="V21" s="902">
        <f t="shared" si="13"/>
        <v>0</v>
      </c>
      <c r="W21" s="902">
        <f t="shared" si="14"/>
        <v>0</v>
      </c>
      <c r="X21" s="465">
        <f t="shared" si="5"/>
        <v>0</v>
      </c>
      <c r="Y21" s="900">
        <f t="shared" si="15"/>
        <v>0.6748916162350671</v>
      </c>
      <c r="AA21" s="815" t="str">
        <f>IF('MASTER PubCo Inputs'!B39=0,"",'MASTER PubCo Inputs'!B39)</f>
        <v>NasdaqGM:CRBP</v>
      </c>
      <c r="AB21" s="259">
        <f>'Beta Calc'!Z22</f>
        <v>417.88011999999998</v>
      </c>
      <c r="AC21" s="903">
        <f t="shared" si="16"/>
        <v>0</v>
      </c>
      <c r="AI21" s="811"/>
    </row>
    <row r="22" spans="2:35" ht="14.85" customHeight="1">
      <c r="B22" s="234" t="str">
        <f>'Comp.1'!B23</f>
        <v>GlycoMimetics, Inc.</v>
      </c>
      <c r="D22" s="259">
        <f>'Beta Calc'!K23</f>
        <v>483.13693999999998</v>
      </c>
      <c r="E22" s="259">
        <f>'Beta Calc'!L23</f>
        <v>0</v>
      </c>
      <c r="F22" s="259" t="str">
        <f>'Beta Calc'!M23</f>
        <v>n/a</v>
      </c>
      <c r="G22" s="259" t="str">
        <f>'Beta Calc'!N23</f>
        <v>n/a</v>
      </c>
      <c r="H22" s="259">
        <f t="shared" si="7"/>
        <v>0</v>
      </c>
      <c r="I22" s="259">
        <f t="shared" si="8"/>
        <v>483.13693999999998</v>
      </c>
      <c r="J22" s="259">
        <f>'Beta Calc'!Q23</f>
        <v>219.82863</v>
      </c>
      <c r="K22" s="259">
        <f t="shared" si="9"/>
        <v>263.30831000000001</v>
      </c>
      <c r="M22" s="390">
        <f>IFERROR('Capital IQ Sheet-GPC'!AT25,"n/a")</f>
        <v>0</v>
      </c>
      <c r="N22" s="259">
        <f t="shared" si="0"/>
        <v>1.7035945205479452</v>
      </c>
      <c r="O22" s="898">
        <f t="shared" si="0"/>
        <v>2.4500000000000001E-2</v>
      </c>
      <c r="P22" s="899"/>
      <c r="Q22" s="900">
        <f>IFERROR(HLOOKUP($Q$6,'Equity Vol'!$B$8:$K23,ROWS('Equity Vol'!$C$8:$C23),FALSE),"n/a")</f>
        <v>0.81863428009693251</v>
      </c>
      <c r="R22" s="304"/>
      <c r="S22" s="901">
        <f t="shared" si="10"/>
        <v>0.67016208454982296</v>
      </c>
      <c r="T22" s="901">
        <f t="shared" si="11"/>
        <v>0</v>
      </c>
      <c r="U22" s="902">
        <f t="shared" si="12"/>
        <v>0</v>
      </c>
      <c r="V22" s="902">
        <f t="shared" si="13"/>
        <v>0</v>
      </c>
      <c r="W22" s="902">
        <f t="shared" si="14"/>
        <v>0</v>
      </c>
      <c r="X22" s="465">
        <f t="shared" si="5"/>
        <v>0</v>
      </c>
      <c r="Y22" s="900">
        <f t="shared" si="15"/>
        <v>0.81863428009693251</v>
      </c>
      <c r="AA22" s="815" t="str">
        <f>IF('MASTER PubCo Inputs'!B40=0,"",'MASTER PubCo Inputs'!B40)</f>
        <v>NasdaqGM:GLYC</v>
      </c>
      <c r="AB22" s="259">
        <f>'Beta Calc'!Z23</f>
        <v>263.30831000000001</v>
      </c>
      <c r="AC22" s="903">
        <f t="shared" si="16"/>
        <v>0</v>
      </c>
      <c r="AI22" s="811"/>
    </row>
    <row r="23" spans="2:35" ht="14.85" customHeight="1">
      <c r="B23" s="234" t="str">
        <f>'Comp.1'!B24</f>
        <v>LogicBio Therapeutics, Inc.</v>
      </c>
      <c r="D23" s="259">
        <f>'Beta Calc'!K24</f>
        <v>196.03698</v>
      </c>
      <c r="E23" s="259">
        <f>'Beta Calc'!L24</f>
        <v>0</v>
      </c>
      <c r="F23" s="259">
        <f>'Beta Calc'!M24</f>
        <v>33.061999999999998</v>
      </c>
      <c r="G23" s="259" t="str">
        <f>'Beta Calc'!N24</f>
        <v>n/a</v>
      </c>
      <c r="H23" s="259">
        <f t="shared" si="7"/>
        <v>33.061999999999998</v>
      </c>
      <c r="I23" s="259">
        <f t="shared" si="8"/>
        <v>229.09897999999998</v>
      </c>
      <c r="J23" s="259">
        <f>'Beta Calc'!Q24</f>
        <v>12.877000000000001</v>
      </c>
      <c r="K23" s="259">
        <f t="shared" si="9"/>
        <v>216.22197999999997</v>
      </c>
      <c r="M23" s="390">
        <f>IFERROR('Capital IQ Sheet-GPC'!AT26,"n/a")</f>
        <v>0</v>
      </c>
      <c r="N23" s="259">
        <f t="shared" si="0"/>
        <v>1.7035945205479452</v>
      </c>
      <c r="O23" s="898">
        <f t="shared" si="0"/>
        <v>2.4500000000000001E-2</v>
      </c>
      <c r="P23" s="899"/>
      <c r="Q23" s="900" t="str">
        <f>IFERROR(HLOOKUP($Q$6,'Equity Vol'!$B$8:$K24,ROWS('Equity Vol'!$C$8:$C24),FALSE),"n/a")</f>
        <v>NM</v>
      </c>
      <c r="R23" s="304"/>
      <c r="S23" s="901" t="str">
        <f t="shared" si="10"/>
        <v>n/a</v>
      </c>
      <c r="T23" s="901" t="str">
        <f t="shared" si="11"/>
        <v>n/a</v>
      </c>
      <c r="U23" s="902" t="str">
        <f t="shared" si="12"/>
        <v>n/a</v>
      </c>
      <c r="V23" s="902" t="str">
        <f t="shared" si="13"/>
        <v>n/a</v>
      </c>
      <c r="W23" s="902" t="str">
        <f t="shared" si="14"/>
        <v>n/a</v>
      </c>
      <c r="X23" s="465" t="str">
        <f t="shared" si="5"/>
        <v>n/a</v>
      </c>
      <c r="Y23" s="900" t="str">
        <f t="shared" si="15"/>
        <v>n/a</v>
      </c>
      <c r="AA23" s="815" t="str">
        <f>IF('MASTER PubCo Inputs'!B41=0,"",'MASTER PubCo Inputs'!B41)</f>
        <v>NasdaqGM:LOGC</v>
      </c>
      <c r="AB23" s="259">
        <f>'Beta Calc'!Z24</f>
        <v>216.22198</v>
      </c>
      <c r="AC23" s="903">
        <f t="shared" si="16"/>
        <v>0</v>
      </c>
      <c r="AI23" s="811"/>
    </row>
    <row r="24" spans="2:35" ht="14.85" customHeight="1">
      <c r="B24" s="234" t="str">
        <f>'Comp.1'!B25</f>
        <v>Arbutus Biopharma Corporation</v>
      </c>
      <c r="D24" s="259">
        <f>'Beta Calc'!K25</f>
        <v>204.79499999999999</v>
      </c>
      <c r="E24" s="259">
        <f>'Beta Calc'!L25</f>
        <v>0</v>
      </c>
      <c r="F24" s="259">
        <f>'Beta Calc'!M25</f>
        <v>123.489</v>
      </c>
      <c r="G24" s="259" t="str">
        <f>'Beta Calc'!N25</f>
        <v>n/a</v>
      </c>
      <c r="H24" s="259">
        <f t="shared" si="7"/>
        <v>123.489</v>
      </c>
      <c r="I24" s="259">
        <f t="shared" si="8"/>
        <v>328.28399999999999</v>
      </c>
      <c r="J24" s="259">
        <f>'Beta Calc'!Q25</f>
        <v>142.018</v>
      </c>
      <c r="K24" s="259">
        <f t="shared" si="9"/>
        <v>186.26599999999999</v>
      </c>
      <c r="M24" s="390">
        <f>IFERROR('Capital IQ Sheet-GPC'!AT27,"n/a")</f>
        <v>0</v>
      </c>
      <c r="N24" s="259">
        <f t="shared" si="0"/>
        <v>1.7035945205479452</v>
      </c>
      <c r="O24" s="898">
        <f t="shared" si="0"/>
        <v>2.4500000000000001E-2</v>
      </c>
      <c r="P24" s="899"/>
      <c r="Q24" s="900">
        <f>IFERROR(HLOOKUP($Q$6,'Equity Vol'!$B$8:$K25,ROWS('Equity Vol'!$C$8:$C25),FALSE),"n/a")</f>
        <v>0.78028811938036324</v>
      </c>
      <c r="R24" s="304"/>
      <c r="S24" s="901">
        <f t="shared" si="10"/>
        <v>0.60884954924614398</v>
      </c>
      <c r="T24" s="901">
        <f t="shared" si="11"/>
        <v>0.95378437880000499</v>
      </c>
      <c r="U24" s="902">
        <f t="shared" si="12"/>
        <v>-6.4661867171679765E-2</v>
      </c>
      <c r="V24" s="902">
        <f t="shared" si="13"/>
        <v>0.8299036008858558</v>
      </c>
      <c r="W24" s="902">
        <f t="shared" si="14"/>
        <v>0.47422161242054084</v>
      </c>
      <c r="X24" s="465">
        <f t="shared" si="5"/>
        <v>98.415594292335726</v>
      </c>
      <c r="Y24" s="900">
        <f t="shared" si="15"/>
        <v>0.49677264873334659</v>
      </c>
      <c r="AA24" s="815" t="str">
        <f>IF('MASTER PubCo Inputs'!B42=0,"",'MASTER PubCo Inputs'!B42)</f>
        <v>NasdaqGS:ABUS</v>
      </c>
      <c r="AB24" s="259">
        <f>'Beta Calc'!Z25</f>
        <v>186.26599999999999</v>
      </c>
      <c r="AC24" s="903">
        <f t="shared" si="16"/>
        <v>0</v>
      </c>
      <c r="AI24" s="811"/>
    </row>
    <row r="25" spans="2:35" ht="14.85" customHeight="1">
      <c r="B25" s="234" t="str">
        <f>'Comp.1'!B26</f>
        <v>Voyager Therapeutics, Inc.</v>
      </c>
      <c r="D25" s="259">
        <f>'Beta Calc'!K26</f>
        <v>341.52161000000001</v>
      </c>
      <c r="E25" s="259">
        <f>'Beta Calc'!L26</f>
        <v>0</v>
      </c>
      <c r="F25" s="259" t="str">
        <f>'Beta Calc'!M26</f>
        <v>n/a</v>
      </c>
      <c r="G25" s="259" t="str">
        <f>'Beta Calc'!N26</f>
        <v>n/a</v>
      </c>
      <c r="H25" s="259">
        <f t="shared" si="7"/>
        <v>0</v>
      </c>
      <c r="I25" s="259">
        <f t="shared" si="8"/>
        <v>341.52161000000001</v>
      </c>
      <c r="J25" s="259">
        <f>'Beta Calc'!Q26</f>
        <v>179.601</v>
      </c>
      <c r="K25" s="259">
        <f t="shared" si="9"/>
        <v>161.92061000000001</v>
      </c>
      <c r="M25" s="390">
        <f>IFERROR('Capital IQ Sheet-GPC'!AT28,"n/a")</f>
        <v>0</v>
      </c>
      <c r="N25" s="259">
        <f t="shared" si="0"/>
        <v>1.7035945205479452</v>
      </c>
      <c r="O25" s="898">
        <f t="shared" si="0"/>
        <v>2.4500000000000001E-2</v>
      </c>
      <c r="P25" s="899"/>
      <c r="Q25" s="900">
        <f>IFERROR(HLOOKUP($Q$6,'Equity Vol'!$B$8:$K26,ROWS('Equity Vol'!$C$8:$C26),FALSE),"n/a")</f>
        <v>0.75170905184037895</v>
      </c>
      <c r="R25" s="304"/>
      <c r="S25" s="901">
        <f t="shared" si="10"/>
        <v>0.56506649861876157</v>
      </c>
      <c r="T25" s="901">
        <f t="shared" si="11"/>
        <v>0</v>
      </c>
      <c r="U25" s="902">
        <f t="shared" si="12"/>
        <v>0</v>
      </c>
      <c r="V25" s="902">
        <f t="shared" si="13"/>
        <v>0</v>
      </c>
      <c r="W25" s="902">
        <f t="shared" si="14"/>
        <v>0</v>
      </c>
      <c r="X25" s="465">
        <f t="shared" si="5"/>
        <v>0</v>
      </c>
      <c r="Y25" s="900">
        <f t="shared" si="15"/>
        <v>0.75170905184037895</v>
      </c>
      <c r="AA25" s="815" t="str">
        <f>IF('MASTER PubCo Inputs'!B43=0,"",'MASTER PubCo Inputs'!B43)</f>
        <v>NasdaqGS:VYGR</v>
      </c>
      <c r="AB25" s="259">
        <f>'Beta Calc'!Z26</f>
        <v>161.92061000000001</v>
      </c>
      <c r="AC25" s="903">
        <f t="shared" si="16"/>
        <v>0</v>
      </c>
      <c r="AI25" s="811"/>
    </row>
    <row r="26" spans="2:35" ht="14.85" customHeight="1">
      <c r="B26" s="234" t="str">
        <f>'Comp.1'!B27</f>
        <v>La Jolla Pharmaceutical Company</v>
      </c>
      <c r="D26" s="259">
        <f>'Beta Calc'!K27</f>
        <v>158.45113000000001</v>
      </c>
      <c r="E26" s="259">
        <f>'Beta Calc'!L27</f>
        <v>124.324</v>
      </c>
      <c r="F26" s="259">
        <f>'Beta Calc'!M27</f>
        <v>6.6429999999999998</v>
      </c>
      <c r="G26" s="259" t="str">
        <f>'Beta Calc'!N27</f>
        <v>n/a</v>
      </c>
      <c r="H26" s="259">
        <f t="shared" si="7"/>
        <v>130.96699999999998</v>
      </c>
      <c r="I26" s="259">
        <f t="shared" si="8"/>
        <v>289.41812999999996</v>
      </c>
      <c r="J26" s="259">
        <f>'Beta Calc'!Q27</f>
        <v>204.33699999999999</v>
      </c>
      <c r="K26" s="259">
        <f t="shared" si="9"/>
        <v>85.081129999999973</v>
      </c>
      <c r="M26" s="390">
        <f>IFERROR('Capital IQ Sheet-GPC'!AT29,"n/a")</f>
        <v>0</v>
      </c>
      <c r="N26" s="259">
        <f t="shared" si="0"/>
        <v>1.7035945205479452</v>
      </c>
      <c r="O26" s="898">
        <f t="shared" si="0"/>
        <v>2.4500000000000001E-2</v>
      </c>
      <c r="P26" s="899"/>
      <c r="Q26" s="900">
        <f>IFERROR(HLOOKUP($Q$6,'Equity Vol'!$B$8:$K27,ROWS('Equity Vol'!$C$8:$C27),FALSE),"n/a")</f>
        <v>0.89691591389580794</v>
      </c>
      <c r="R26" s="304"/>
      <c r="S26" s="901">
        <f t="shared" si="10"/>
        <v>0.80445815659955233</v>
      </c>
      <c r="T26" s="901">
        <f t="shared" si="11"/>
        <v>0.25253313463425453</v>
      </c>
      <c r="U26" s="902">
        <f t="shared" si="12"/>
        <v>-0.91813783006637317</v>
      </c>
      <c r="V26" s="902">
        <f t="shared" si="13"/>
        <v>0.59968549695489948</v>
      </c>
      <c r="W26" s="902">
        <f t="shared" si="14"/>
        <v>0.1792733558511467</v>
      </c>
      <c r="X26" s="465">
        <f t="shared" si="5"/>
        <v>28.502820424422232</v>
      </c>
      <c r="Y26" s="900">
        <f t="shared" si="15"/>
        <v>0.50105196682328501</v>
      </c>
      <c r="AA26" s="815" t="str">
        <f>IF('MASTER PubCo Inputs'!B44=0,"",'MASTER PubCo Inputs'!B44)</f>
        <v>NasdaqCM:LJPC</v>
      </c>
      <c r="AB26" s="259">
        <f>'Beta Calc'!Z27</f>
        <v>85.081130000000002</v>
      </c>
      <c r="AC26" s="903">
        <f t="shared" si="16"/>
        <v>0</v>
      </c>
      <c r="AI26" s="811"/>
    </row>
    <row r="27" spans="2:35" ht="14.85" customHeight="1">
      <c r="B27" s="234" t="str">
        <f>'Comp.1'!B28</f>
        <v>Protagonist Therapeutics, Inc.</v>
      </c>
      <c r="D27" s="259">
        <f>'Beta Calc'!K28</f>
        <v>197.11606</v>
      </c>
      <c r="E27" s="259">
        <f>'Beta Calc'!L28</f>
        <v>0</v>
      </c>
      <c r="F27" s="259" t="str">
        <f>'Beta Calc'!M28</f>
        <v>n/a</v>
      </c>
      <c r="G27" s="259" t="str">
        <f>'Beta Calc'!N28</f>
        <v>n/a</v>
      </c>
      <c r="H27" s="259">
        <f t="shared" si="7"/>
        <v>0</v>
      </c>
      <c r="I27" s="259">
        <f t="shared" si="8"/>
        <v>197.11606</v>
      </c>
      <c r="J27" s="259">
        <f>'Beta Calc'!Q28</f>
        <v>138.517</v>
      </c>
      <c r="K27" s="259">
        <f t="shared" si="9"/>
        <v>58.599060000000009</v>
      </c>
      <c r="M27" s="390">
        <f>IFERROR('Capital IQ Sheet-GPC'!AT30,"n/a")</f>
        <v>0</v>
      </c>
      <c r="N27" s="259">
        <f t="shared" si="0"/>
        <v>1.7035945205479452</v>
      </c>
      <c r="O27" s="898">
        <f t="shared" si="0"/>
        <v>2.4500000000000001E-2</v>
      </c>
      <c r="P27" s="899"/>
      <c r="Q27" s="900">
        <f>IFERROR(HLOOKUP($Q$6,'Equity Vol'!$B$8:$K28,ROWS('Equity Vol'!$C$8:$C28),FALSE),"n/a")</f>
        <v>0.9785041500826186</v>
      </c>
      <c r="R27" s="304"/>
      <c r="S27" s="901">
        <f t="shared" si="10"/>
        <v>0.95747037172890781</v>
      </c>
      <c r="T27" s="901">
        <f t="shared" si="11"/>
        <v>0</v>
      </c>
      <c r="U27" s="902">
        <f t="shared" si="12"/>
        <v>0</v>
      </c>
      <c r="V27" s="902">
        <f t="shared" si="13"/>
        <v>0</v>
      </c>
      <c r="W27" s="902">
        <f t="shared" si="14"/>
        <v>0</v>
      </c>
      <c r="X27" s="465">
        <f t="shared" si="5"/>
        <v>0</v>
      </c>
      <c r="Y27" s="900">
        <f t="shared" si="15"/>
        <v>0.9785041500826186</v>
      </c>
      <c r="AA27" s="815" t="str">
        <f>IF('MASTER PubCo Inputs'!B45=0,"",'MASTER PubCo Inputs'!B45)</f>
        <v>NasdaqGM:PTGX</v>
      </c>
      <c r="AB27" s="259">
        <f>'Beta Calc'!Z28</f>
        <v>58.599049999999998</v>
      </c>
      <c r="AC27" s="903">
        <f t="shared" si="16"/>
        <v>1.0000000010279564E-5</v>
      </c>
      <c r="AI27" s="811"/>
    </row>
    <row r="28" spans="2:35" ht="14.85" customHeight="1">
      <c r="B28" s="234" t="str">
        <f>'Comp.1'!B29</f>
        <v>Fibrocell Science, Inc.</v>
      </c>
      <c r="D28" s="259">
        <f>'Beta Calc'!K29</f>
        <v>19.22391</v>
      </c>
      <c r="E28" s="259">
        <f>'Beta Calc'!L29</f>
        <v>0</v>
      </c>
      <c r="F28" s="259">
        <f>'Beta Calc'!M29</f>
        <v>7.6230000000000002</v>
      </c>
      <c r="G28" s="259" t="str">
        <f>'Beta Calc'!N29</f>
        <v>n/a</v>
      </c>
      <c r="H28" s="259">
        <f t="shared" si="7"/>
        <v>7.6230000000000002</v>
      </c>
      <c r="I28" s="259">
        <f t="shared" si="8"/>
        <v>26.846910000000001</v>
      </c>
      <c r="J28" s="259">
        <f>'Beta Calc'!Q29</f>
        <v>16.111000000000001</v>
      </c>
      <c r="K28" s="259">
        <f t="shared" si="9"/>
        <v>10.735910000000001</v>
      </c>
      <c r="M28" s="390">
        <f>IFERROR('Capital IQ Sheet-GPC'!AT31,"n/a")</f>
        <v>0</v>
      </c>
      <c r="N28" s="259">
        <f t="shared" si="0"/>
        <v>1.7035945205479452</v>
      </c>
      <c r="O28" s="898">
        <f t="shared" si="0"/>
        <v>2.4500000000000001E-2</v>
      </c>
      <c r="P28" s="899"/>
      <c r="Q28" s="900">
        <f>IFERROR(HLOOKUP($Q$6,'Equity Vol'!$B$8:$K29,ROWS('Equity Vol'!$C$8:$C29),FALSE),"n/a")</f>
        <v>0.88336531692825482</v>
      </c>
      <c r="R28" s="304"/>
      <c r="S28" s="901">
        <f t="shared" si="10"/>
        <v>0.78033428315175613</v>
      </c>
      <c r="T28" s="901">
        <f t="shared" si="11"/>
        <v>0.9096816942972743</v>
      </c>
      <c r="U28" s="902">
        <f t="shared" si="12"/>
        <v>-0.24330278477130385</v>
      </c>
      <c r="V28" s="902">
        <f t="shared" si="13"/>
        <v>0.81850479954490174</v>
      </c>
      <c r="W28" s="902">
        <f t="shared" si="14"/>
        <v>0.40388542363340868</v>
      </c>
      <c r="X28" s="465">
        <f t="shared" si="5"/>
        <v>5.8344343821518851</v>
      </c>
      <c r="Y28" s="900">
        <f t="shared" si="15"/>
        <v>0.58651484817262012</v>
      </c>
      <c r="AA28" s="815" t="str">
        <f>IF('MASTER PubCo Inputs'!B46=0,"",'MASTER PubCo Inputs'!B46)</f>
        <v>NasdaqCM:FCSC</v>
      </c>
      <c r="AB28" s="259">
        <f>'Beta Calc'!Z29</f>
        <v>10.735910000000001</v>
      </c>
      <c r="AC28" s="903">
        <f t="shared" si="16"/>
        <v>0</v>
      </c>
      <c r="AI28" s="811"/>
    </row>
    <row r="29" spans="2:35" ht="14.85" customHeight="1">
      <c r="D29" s="259"/>
      <c r="E29" s="259"/>
      <c r="F29" s="259"/>
      <c r="G29" s="259"/>
      <c r="H29" s="259"/>
      <c r="I29" s="259"/>
      <c r="J29" s="259"/>
      <c r="K29" s="259"/>
      <c r="M29" s="390"/>
      <c r="N29" s="259"/>
      <c r="O29" s="898"/>
      <c r="P29" s="899"/>
      <c r="Q29" s="900"/>
      <c r="R29" s="304"/>
      <c r="S29" s="901"/>
      <c r="T29" s="901"/>
      <c r="U29" s="902"/>
      <c r="V29" s="902"/>
      <c r="W29" s="902"/>
      <c r="X29" s="465"/>
      <c r="Y29" s="900"/>
      <c r="AA29" s="815"/>
      <c r="AB29" s="259"/>
      <c r="AC29" s="903"/>
      <c r="AI29" s="811"/>
    </row>
    <row r="30" spans="2:35" ht="14.85" customHeight="1">
      <c r="B30" s="255" t="str">
        <f>'Comp.1'!B31</f>
        <v>CRISPR/Cas9</v>
      </c>
      <c r="D30" s="259">
        <f>'Beta Calc'!K31</f>
        <v>0</v>
      </c>
      <c r="E30" s="259">
        <f>'Beta Calc'!L31</f>
        <v>0</v>
      </c>
      <c r="F30" s="259">
        <f>'Beta Calc'!M31</f>
        <v>0</v>
      </c>
      <c r="G30" s="259">
        <f>'Beta Calc'!N31</f>
        <v>0</v>
      </c>
      <c r="H30" s="259">
        <f t="shared" si="7"/>
        <v>0</v>
      </c>
      <c r="I30" s="259">
        <f t="shared" si="8"/>
        <v>0</v>
      </c>
      <c r="J30" s="259">
        <f>'Beta Calc'!Q31</f>
        <v>0</v>
      </c>
      <c r="K30" s="259">
        <f t="shared" si="9"/>
        <v>0</v>
      </c>
      <c r="M30" s="390"/>
      <c r="N30" s="259"/>
      <c r="O30" s="898"/>
      <c r="P30" s="899"/>
      <c r="Q30" s="900"/>
      <c r="R30" s="304"/>
      <c r="S30" s="901"/>
      <c r="T30" s="901"/>
      <c r="U30" s="902"/>
      <c r="V30" s="902"/>
      <c r="W30" s="902"/>
      <c r="X30" s="465"/>
      <c r="Y30" s="900"/>
      <c r="AB30" s="259">
        <f>'Beta Calc'!Z31</f>
        <v>0</v>
      </c>
      <c r="AC30" s="903">
        <f t="shared" si="16"/>
        <v>0</v>
      </c>
      <c r="AI30" s="811"/>
    </row>
    <row r="31" spans="2:35" ht="14.85" customHeight="1">
      <c r="B31" s="234" t="str">
        <f>'Comp.1'!B32</f>
        <v>CRISPR Therapeutics AG</v>
      </c>
      <c r="D31" s="259">
        <f>'Beta Calc'!K32</f>
        <v>1679.8645300000001</v>
      </c>
      <c r="E31" s="259">
        <f>'Beta Calc'!L32</f>
        <v>0</v>
      </c>
      <c r="F31" s="259" t="str">
        <f>'Beta Calc'!M32</f>
        <v>n/a</v>
      </c>
      <c r="G31" s="259" t="str">
        <f>'Beta Calc'!N32</f>
        <v>n/a</v>
      </c>
      <c r="H31" s="259">
        <f t="shared" si="7"/>
        <v>0</v>
      </c>
      <c r="I31" s="259">
        <f t="shared" si="8"/>
        <v>1679.8645300000001</v>
      </c>
      <c r="J31" s="259">
        <f>'Beta Calc'!Q32</f>
        <v>487.29500000000002</v>
      </c>
      <c r="K31" s="259">
        <f t="shared" si="9"/>
        <v>1192.56953</v>
      </c>
      <c r="M31" s="390">
        <f>IFERROR('Capital IQ Sheet-GPC'!AT33,"n/a")</f>
        <v>0</v>
      </c>
      <c r="N31" s="259">
        <f t="shared" si="0"/>
        <v>1.7035945205479452</v>
      </c>
      <c r="O31" s="898">
        <f t="shared" si="0"/>
        <v>2.4500000000000001E-2</v>
      </c>
      <c r="P31" s="899"/>
      <c r="Q31" s="900">
        <f>IFERROR(HLOOKUP($Q$6,'Equity Vol'!$B$8:$K32,ROWS('Equity Vol'!$C$8:$C32),FALSE),"n/a")</f>
        <v>0.69448805510556844</v>
      </c>
      <c r="R31" s="304"/>
      <c r="S31" s="901">
        <f t="shared" si="10"/>
        <v>0.48231365868431508</v>
      </c>
      <c r="T31" s="901">
        <f>IF(OR(K31="n/a",S31="n/a"),"n/a",IF(H31=0,0,IF(M31=0,(LN(K31/H31)+((O31+(S31/2))*N31))/((S31*N31)^0.5),(LN(K31/H31)+((O31-M31+(S31/2))*N31))/((S31*N31)^0.5))))</f>
        <v>0</v>
      </c>
      <c r="U31" s="902">
        <f t="shared" si="12"/>
        <v>0</v>
      </c>
      <c r="V31" s="902">
        <f t="shared" si="13"/>
        <v>0</v>
      </c>
      <c r="W31" s="902">
        <f t="shared" si="14"/>
        <v>0</v>
      </c>
      <c r="X31" s="465">
        <f>IF(OR(K31="n/a",S31="n/a"),"n/a",IF(M31=0,(K31*V31)-((H31*EXP(1)^(-O31*N31))*W31),(K31*(2.718^(-M31*N31))*V31)-(H31*(2.718^(-O31*N31))*W31)))</f>
        <v>0</v>
      </c>
      <c r="Y31" s="900">
        <f t="shared" si="15"/>
        <v>0.69448805510556844</v>
      </c>
      <c r="AA31" s="815" t="str">
        <f>IF('MASTER PubCo Inputs'!B48=0,"",'MASTER PubCo Inputs'!B48)</f>
        <v>NasdaqGM:CRSP</v>
      </c>
      <c r="AB31" s="259">
        <f>'Beta Calc'!Z32</f>
        <v>1192.56953</v>
      </c>
      <c r="AC31" s="903">
        <f t="shared" si="16"/>
        <v>0</v>
      </c>
      <c r="AI31" s="811"/>
    </row>
    <row r="32" spans="2:35" ht="14.85" customHeight="1">
      <c r="B32" s="234" t="str">
        <f>'Comp.1'!B33</f>
        <v>Editas Medicine, Inc.</v>
      </c>
      <c r="D32" s="259">
        <f>'Beta Calc'!K33</f>
        <v>1032.0795800000001</v>
      </c>
      <c r="E32" s="259">
        <f>'Beta Calc'!L33</f>
        <v>32.694000000000003</v>
      </c>
      <c r="F32" s="259" t="str">
        <f>'Beta Calc'!M33</f>
        <v>n/a</v>
      </c>
      <c r="G32" s="259" t="str">
        <f>'Beta Calc'!N33</f>
        <v>n/a</v>
      </c>
      <c r="H32" s="259">
        <f t="shared" si="7"/>
        <v>32.694000000000003</v>
      </c>
      <c r="I32" s="259">
        <f t="shared" si="8"/>
        <v>1064.77358</v>
      </c>
      <c r="J32" s="259">
        <f>'Beta Calc'!Q33</f>
        <v>337.49200000000002</v>
      </c>
      <c r="K32" s="259">
        <f t="shared" si="9"/>
        <v>727.28158000000008</v>
      </c>
      <c r="M32" s="390">
        <f>IFERROR('Capital IQ Sheet-GPC'!AT34,"n/a")</f>
        <v>0</v>
      </c>
      <c r="N32" s="259">
        <f t="shared" si="0"/>
        <v>1.7035945205479452</v>
      </c>
      <c r="O32" s="898">
        <f t="shared" si="0"/>
        <v>2.4500000000000001E-2</v>
      </c>
      <c r="P32" s="899"/>
      <c r="Q32" s="900">
        <f>IFERROR(HLOOKUP($Q$6,'Equity Vol'!$B$8:$K33,ROWS('Equity Vol'!$C$8:$C33),FALSE),"n/a")</f>
        <v>0.71472719223896919</v>
      </c>
      <c r="R32" s="304"/>
      <c r="S32" s="901">
        <f t="shared" si="10"/>
        <v>0.51083495932580036</v>
      </c>
      <c r="T32" s="901">
        <f>IF(OR(K32="n/a",S32="n/a"),"n/a",IF(H32=0,0,IF(M32=0,(LN(K32/H32)+((O32+(S32/2))*N32))/((S32*N32)^0.5),(LN(K32/H32)+((O32-M32+(S32/2))*N32))/((S32*N32)^0.5))))</f>
        <v>3.8365143167643594</v>
      </c>
      <c r="U32" s="902">
        <f t="shared" si="12"/>
        <v>2.9036393853765734</v>
      </c>
      <c r="V32" s="902">
        <f t="shared" si="13"/>
        <v>0.99993760353786254</v>
      </c>
      <c r="W32" s="902">
        <f t="shared" si="14"/>
        <v>0.99815573629178278</v>
      </c>
      <c r="X32" s="465">
        <f>IF(OR(K32="n/a",S32="n/a"),"n/a",IF(M32=0,(K32*V32)-((H32*EXP(1)^(-O32*N32))*W32),(K32*(2.718^(-M32*N32))*V32)-(H32*(2.718^(-O32*N32))*W32)))</f>
        <v>695.93653056989922</v>
      </c>
      <c r="Y32" s="900">
        <f t="shared" si="15"/>
        <v>0.68396590039425731</v>
      </c>
      <c r="AA32" s="815" t="str">
        <f>IF('MASTER PubCo Inputs'!B49=0,"",'MASTER PubCo Inputs'!B49)</f>
        <v>NasdaqGS:EDIT</v>
      </c>
      <c r="AB32" s="259">
        <f>'Beta Calc'!Z33</f>
        <v>727.28157999999996</v>
      </c>
      <c r="AC32" s="903">
        <f t="shared" si="16"/>
        <v>0</v>
      </c>
      <c r="AI32" s="811"/>
    </row>
    <row r="33" spans="1:35" ht="14.85" customHeight="1">
      <c r="B33" s="234" t="str">
        <f>'Comp.1'!B34</f>
        <v>Intellia Therapeutics, Inc.</v>
      </c>
      <c r="D33" s="259">
        <f>'Beta Calc'!K34</f>
        <v>613.94893999999999</v>
      </c>
      <c r="E33" s="259">
        <f>'Beta Calc'!L34</f>
        <v>0</v>
      </c>
      <c r="F33" s="259" t="str">
        <f>'Beta Calc'!M34</f>
        <v>n/a</v>
      </c>
      <c r="G33" s="259" t="str">
        <f>'Beta Calc'!N34</f>
        <v>n/a</v>
      </c>
      <c r="H33" s="259">
        <f t="shared" si="7"/>
        <v>0</v>
      </c>
      <c r="I33" s="259">
        <f t="shared" si="8"/>
        <v>613.94893999999999</v>
      </c>
      <c r="J33" s="259">
        <f>'Beta Calc'!Q34</f>
        <v>293.24799999999999</v>
      </c>
      <c r="K33" s="259">
        <f t="shared" si="9"/>
        <v>320.70094</v>
      </c>
      <c r="M33" s="390">
        <f>IFERROR('Capital IQ Sheet-GPC'!AT35,"n/a")</f>
        <v>0</v>
      </c>
      <c r="N33" s="259">
        <f t="shared" si="0"/>
        <v>1.7035945205479452</v>
      </c>
      <c r="O33" s="898">
        <f t="shared" si="0"/>
        <v>2.4500000000000001E-2</v>
      </c>
      <c r="P33" s="899"/>
      <c r="Q33" s="900">
        <f>IFERROR(HLOOKUP($Q$6,'Equity Vol'!$B$8:$K34,ROWS('Equity Vol'!$C$8:$C34),FALSE),"n/a")</f>
        <v>0.74114018699687567</v>
      </c>
      <c r="R33" s="304"/>
      <c r="S33" s="901">
        <f t="shared" si="10"/>
        <v>0.5492887767817638</v>
      </c>
      <c r="T33" s="901">
        <f>IF(OR(K33="n/a",S33="n/a"),"n/a",IF(H33=0,0,IF(M33=0,(LN(K33/H33)+((O33+(S33/2))*N33))/((S33*N33)^0.5),(LN(K33/H33)+((O33-M33+(S33/2))*N33))/((S33*N33)^0.5))))</f>
        <v>0</v>
      </c>
      <c r="U33" s="902">
        <f t="shared" si="12"/>
        <v>0</v>
      </c>
      <c r="V33" s="902">
        <f t="shared" si="13"/>
        <v>0</v>
      </c>
      <c r="W33" s="902">
        <f t="shared" si="14"/>
        <v>0</v>
      </c>
      <c r="X33" s="465">
        <f>IF(OR(K33="n/a",S33="n/a"),"n/a",IF(M33=0,(K33*V33)-((H33*EXP(1)^(-O33*N33))*W33),(K33*(2.718^(-M33*N33))*V33)-(H33*(2.718^(-O33*N33))*W33)))</f>
        <v>0</v>
      </c>
      <c r="Y33" s="900">
        <f t="shared" si="15"/>
        <v>0.74114018699687567</v>
      </c>
      <c r="AA33" s="815" t="str">
        <f>IF('MASTER PubCo Inputs'!B50=0,"",'MASTER PubCo Inputs'!B50)</f>
        <v>NasdaqGM:NTLA</v>
      </c>
      <c r="AB33" s="259">
        <f>'Beta Calc'!Z34</f>
        <v>320.70094</v>
      </c>
      <c r="AC33" s="903">
        <f t="shared" si="16"/>
        <v>0</v>
      </c>
      <c r="AI33" s="811"/>
    </row>
    <row r="34" spans="1:35" ht="14.85" customHeight="1">
      <c r="B34" s="234" t="str">
        <f>'Comp.1'!B35</f>
        <v>Abeona Therapeutics Inc.</v>
      </c>
      <c r="D34" s="259">
        <f>'Beta Calc'!K35</f>
        <v>325.54306000000003</v>
      </c>
      <c r="E34" s="259">
        <f>'Beta Calc'!L35</f>
        <v>0</v>
      </c>
      <c r="F34" s="259" t="str">
        <f>'Beta Calc'!M35</f>
        <v>n/a</v>
      </c>
      <c r="G34" s="259" t="str">
        <f>'Beta Calc'!N35</f>
        <v>n/a</v>
      </c>
      <c r="H34" s="259">
        <f t="shared" si="7"/>
        <v>0</v>
      </c>
      <c r="I34" s="259">
        <f t="shared" si="8"/>
        <v>325.54306000000003</v>
      </c>
      <c r="J34" s="259">
        <f>'Beta Calc'!Q35</f>
        <v>112.224</v>
      </c>
      <c r="K34" s="259">
        <f t="shared" si="9"/>
        <v>213.31906000000004</v>
      </c>
      <c r="M34" s="390">
        <f>IFERROR('Capital IQ Sheet-GPC'!AT36,"n/a")</f>
        <v>0</v>
      </c>
      <c r="N34" s="259">
        <f t="shared" si="0"/>
        <v>1.7035945205479452</v>
      </c>
      <c r="O34" s="898">
        <f t="shared" si="0"/>
        <v>2.4500000000000001E-2</v>
      </c>
      <c r="P34" s="899"/>
      <c r="Q34" s="900">
        <f>IFERROR(HLOOKUP($Q$6,'Equity Vol'!$B$8:$K35,ROWS('Equity Vol'!$C$8:$C35),FALSE),"n/a")</f>
        <v>0.77912879298972271</v>
      </c>
      <c r="R34" s="304"/>
      <c r="S34" s="901">
        <f t="shared" si="10"/>
        <v>0.6070416760656222</v>
      </c>
      <c r="T34" s="901">
        <f>IF(OR(K34="n/a",S34="n/a"),"n/a",IF(H34=0,0,IF(M34=0,(LN(K34/H34)+((O34+(S34/2))*N34))/((S34*N34)^0.5),(LN(K34/H34)+((O34-M34+(S34/2))*N34))/((S34*N34)^0.5))))</f>
        <v>0</v>
      </c>
      <c r="U34" s="902">
        <f t="shared" si="12"/>
        <v>0</v>
      </c>
      <c r="V34" s="902">
        <f t="shared" si="13"/>
        <v>0</v>
      </c>
      <c r="W34" s="902">
        <f t="shared" si="14"/>
        <v>0</v>
      </c>
      <c r="X34" s="465">
        <f>IF(OR(K34="n/a",S34="n/a"),"n/a",IF(M34=0,(K34*V34)-((H34*EXP(1)^(-O34*N34))*W34),(K34*(2.718^(-M34*N34))*V34)-(H34*(2.718^(-O34*N34))*W34)))</f>
        <v>0</v>
      </c>
      <c r="Y34" s="900">
        <f t="shared" si="15"/>
        <v>0.77912879298972271</v>
      </c>
      <c r="AA34" s="815" t="str">
        <f>IF('MASTER PubCo Inputs'!B51=0,"",'MASTER PubCo Inputs'!B51)</f>
        <v>NasdaqCM:ABEO</v>
      </c>
      <c r="AB34" s="259">
        <f>'Beta Calc'!Z35</f>
        <v>213.31906000000001</v>
      </c>
      <c r="AC34" s="903">
        <f t="shared" si="16"/>
        <v>0</v>
      </c>
      <c r="AI34" s="811"/>
    </row>
    <row r="35" spans="1:35" ht="14.85" customHeight="1">
      <c r="D35" s="259"/>
      <c r="E35" s="259"/>
      <c r="F35" s="259"/>
      <c r="G35" s="259"/>
      <c r="H35" s="259"/>
      <c r="I35" s="259"/>
      <c r="J35" s="259"/>
      <c r="K35" s="259"/>
      <c r="R35" s="435"/>
    </row>
    <row r="36" spans="1:35" ht="14.85" customHeight="1">
      <c r="B36" s="817" t="s">
        <v>111</v>
      </c>
      <c r="C36" s="819"/>
      <c r="D36" s="818">
        <f t="shared" ref="D36:K36" si="17">MAX(D10:D34)</f>
        <v>8868.9653999999991</v>
      </c>
      <c r="E36" s="818">
        <f t="shared" si="17"/>
        <v>409.30599999999998</v>
      </c>
      <c r="F36" s="818">
        <f t="shared" si="17"/>
        <v>123.489</v>
      </c>
      <c r="G36" s="818">
        <f t="shared" si="17"/>
        <v>0</v>
      </c>
      <c r="H36" s="818">
        <f t="shared" si="17"/>
        <v>409.30599999999998</v>
      </c>
      <c r="I36" s="818">
        <f t="shared" si="17"/>
        <v>8898.9653999999991</v>
      </c>
      <c r="J36" s="818">
        <f t="shared" si="17"/>
        <v>1695.2950000000001</v>
      </c>
      <c r="K36" s="818">
        <f t="shared" si="17"/>
        <v>7662.1313999999993</v>
      </c>
      <c r="L36" s="819"/>
      <c r="M36" s="904">
        <f>MAX(M10:M34)</f>
        <v>0</v>
      </c>
      <c r="N36" s="818">
        <f>MAX(N10:N34)</f>
        <v>1.7035945205479452</v>
      </c>
      <c r="O36" s="905">
        <f>MAX(O10:O34)</f>
        <v>2.4500000000000001E-2</v>
      </c>
      <c r="P36" s="906"/>
      <c r="Q36" s="907">
        <f>MAX(Q10:Q34)</f>
        <v>0.9785041500826186</v>
      </c>
      <c r="R36" s="908"/>
      <c r="S36" s="909">
        <f>MAX(S10:S35)</f>
        <v>0.95747037172890781</v>
      </c>
      <c r="T36" s="909">
        <f>MAX(T10:T35)</f>
        <v>7.5888393362269575</v>
      </c>
      <c r="U36" s="910">
        <f>MAX(U10:U35)</f>
        <v>6.8133185859401424</v>
      </c>
      <c r="V36" s="910">
        <f>MAX(V10:V35)</f>
        <v>0.9999999999999839</v>
      </c>
      <c r="W36" s="910">
        <f>MAX(W10:W35)</f>
        <v>0.99999999999523137</v>
      </c>
      <c r="X36" s="818">
        <f>MAX(X10:X34)</f>
        <v>7633.3577707709319</v>
      </c>
      <c r="Y36" s="911">
        <f>MAX(Y10:Y34)</f>
        <v>0.9785041500826186</v>
      </c>
      <c r="AB36" s="912">
        <f>+'Asset Vol_PWERM'!Y43</f>
        <v>0.67659044589378492</v>
      </c>
      <c r="AC36" s="913" t="s">
        <v>1388</v>
      </c>
      <c r="AD36" s="913"/>
      <c r="AE36" s="913"/>
      <c r="AF36" s="480"/>
    </row>
    <row r="37" spans="1:35" ht="14.85" customHeight="1">
      <c r="B37" s="821" t="s">
        <v>115</v>
      </c>
      <c r="C37" s="823"/>
      <c r="D37" s="822">
        <f t="shared" ref="D37:K37" si="18">QUARTILE(D10:D34,3)</f>
        <v>1711.1651825000001</v>
      </c>
      <c r="E37" s="822">
        <f t="shared" si="18"/>
        <v>23.030999999999999</v>
      </c>
      <c r="F37" s="822">
        <f t="shared" si="18"/>
        <v>33.061999999999998</v>
      </c>
      <c r="G37" s="822">
        <f t="shared" si="18"/>
        <v>0</v>
      </c>
      <c r="H37" s="822">
        <f t="shared" si="18"/>
        <v>32.786000000000001</v>
      </c>
      <c r="I37" s="822">
        <f t="shared" si="18"/>
        <v>1732.3879325</v>
      </c>
      <c r="J37" s="822">
        <f t="shared" si="18"/>
        <v>375.24874999999997</v>
      </c>
      <c r="K37" s="822">
        <f t="shared" si="18"/>
        <v>1227.0854199999999</v>
      </c>
      <c r="L37" s="823"/>
      <c r="M37" s="860">
        <f>QUARTILE(M10:M34,3)</f>
        <v>0</v>
      </c>
      <c r="N37" s="822">
        <f>QUARTILE(N10:N34,3)</f>
        <v>1.7035945205479452</v>
      </c>
      <c r="O37" s="914">
        <f>QUARTILE(O10:O34,3)</f>
        <v>2.4500000000000001E-2</v>
      </c>
      <c r="P37" s="915"/>
      <c r="Q37" s="916">
        <f>QUARTILE(Q10:Q34,3)</f>
        <v>0.78028811938036324</v>
      </c>
      <c r="R37" s="917"/>
      <c r="S37" s="918">
        <f>QUARTILE(S10:S35,3)</f>
        <v>0.60884954924614398</v>
      </c>
      <c r="T37" s="918">
        <f>QUARTILE(T10:T35,3)</f>
        <v>3.2624266012933929</v>
      </c>
      <c r="U37" s="919">
        <f>QUARTILE(U10:U35,3)</f>
        <v>2.6575422898794825</v>
      </c>
      <c r="V37" s="919">
        <f>QUARTILE(V10:V35,3)</f>
        <v>0.99944768612944102</v>
      </c>
      <c r="W37" s="919">
        <f>QUARTILE(W10:W35,3)</f>
        <v>0.99606436428967304</v>
      </c>
      <c r="X37" s="822">
        <f>QUARTILE(X10:X34,3)</f>
        <v>695.93653056989922</v>
      </c>
      <c r="Y37" s="920">
        <f>QUARTILE(Y10:Y34,3)</f>
        <v>0.74574718011973196</v>
      </c>
      <c r="AB37" s="921">
        <f>+'Asset Vol_PWERM'!Y45</f>
        <v>0.68098575935207029</v>
      </c>
      <c r="AC37" s="234" t="s">
        <v>1389</v>
      </c>
      <c r="AF37" s="348"/>
    </row>
    <row r="38" spans="1:35" ht="14.85" customHeight="1">
      <c r="B38" s="821" t="s">
        <v>113</v>
      </c>
      <c r="C38" s="823"/>
      <c r="D38" s="822">
        <f t="shared" ref="D38:K38" si="19">AVERAGE(D10:D34)</f>
        <v>1521.1141662500002</v>
      </c>
      <c r="E38" s="822">
        <f t="shared" si="19"/>
        <v>35.706541666666659</v>
      </c>
      <c r="F38" s="822">
        <f t="shared" si="19"/>
        <v>34.163399999999996</v>
      </c>
      <c r="G38" s="822">
        <f t="shared" si="19"/>
        <v>0</v>
      </c>
      <c r="H38" s="822">
        <f t="shared" si="19"/>
        <v>42.823916666666662</v>
      </c>
      <c r="I38" s="822">
        <f t="shared" si="19"/>
        <v>1563.9380829166669</v>
      </c>
      <c r="J38" s="822">
        <f t="shared" si="19"/>
        <v>340.13941666666659</v>
      </c>
      <c r="K38" s="822">
        <f t="shared" si="19"/>
        <v>1223.79866625</v>
      </c>
      <c r="L38" s="823"/>
      <c r="M38" s="860">
        <f>AVERAGE(M10:M34)</f>
        <v>0</v>
      </c>
      <c r="N38" s="822">
        <f>AVERAGE(N10:N34)</f>
        <v>1.7035945205479452</v>
      </c>
      <c r="O38" s="914">
        <f>AVERAGE(O10:O34)</f>
        <v>2.4500000000000004E-2</v>
      </c>
      <c r="P38" s="915"/>
      <c r="Q38" s="916">
        <f>AVERAGE(Q10:Q34)</f>
        <v>0.71639622838754036</v>
      </c>
      <c r="R38" s="917"/>
      <c r="S38" s="918">
        <f>AVERAGE(S10:S35)</f>
        <v>0.52879814363089439</v>
      </c>
      <c r="T38" s="918">
        <f>AVERAGE(T10:T35)</f>
        <v>1.4556398371311079</v>
      </c>
      <c r="U38" s="919">
        <f>AVERAGE(U10:U35)</f>
        <v>1.0655093122884931</v>
      </c>
      <c r="V38" s="919">
        <f>AVERAGE(V10:V35)</f>
        <v>0.39273200048771917</v>
      </c>
      <c r="W38" s="919">
        <f>AVERAGE(W10:W35)</f>
        <v>0.33568121040322302</v>
      </c>
      <c r="X38" s="822">
        <f>AVERAGE(X10:X34)</f>
        <v>870.76428007286358</v>
      </c>
      <c r="Y38" s="920">
        <f>AVERAGE(Y10:Y34)</f>
        <v>0.66140337142990313</v>
      </c>
      <c r="AB38" s="921">
        <f>+'Asset Vol_PWERM'!Y39</f>
        <v>0.67554666584600742</v>
      </c>
      <c r="AC38" s="234" t="s">
        <v>1387</v>
      </c>
      <c r="AF38" s="922" t="s">
        <v>1764</v>
      </c>
    </row>
    <row r="39" spans="1:35" ht="14.85" customHeight="1">
      <c r="B39" s="821" t="s">
        <v>44</v>
      </c>
      <c r="C39" s="823"/>
      <c r="D39" s="822">
        <f t="shared" ref="D39:K39" si="20">MEDIAN(D10:D34)</f>
        <v>894.17728000000011</v>
      </c>
      <c r="E39" s="822">
        <f t="shared" si="20"/>
        <v>0</v>
      </c>
      <c r="F39" s="822">
        <f t="shared" si="20"/>
        <v>7.6230000000000002</v>
      </c>
      <c r="G39" s="822">
        <f t="shared" si="20"/>
        <v>0</v>
      </c>
      <c r="H39" s="822">
        <f t="shared" si="20"/>
        <v>0</v>
      </c>
      <c r="I39" s="822">
        <f t="shared" si="20"/>
        <v>907.49217500000009</v>
      </c>
      <c r="J39" s="822">
        <f t="shared" si="20"/>
        <v>238.54500999999999</v>
      </c>
      <c r="K39" s="822">
        <f t="shared" si="20"/>
        <v>623.00627000000009</v>
      </c>
      <c r="L39" s="823"/>
      <c r="M39" s="860">
        <f>MEDIAN(M10:M34)</f>
        <v>0</v>
      </c>
      <c r="N39" s="822">
        <f>MEDIAN(N10:N34)</f>
        <v>1.7035945205479452</v>
      </c>
      <c r="O39" s="914">
        <f>MEDIAN(O10:O34)</f>
        <v>2.4500000000000001E-2</v>
      </c>
      <c r="P39" s="915"/>
      <c r="Q39" s="916">
        <f>MEDIAN(Q10:Q34)</f>
        <v>0.71472719223896919</v>
      </c>
      <c r="R39" s="917"/>
      <c r="S39" s="918">
        <f>MEDIAN(S10:S35)</f>
        <v>0.51083495932580036</v>
      </c>
      <c r="T39" s="918">
        <f>MEDIAN(T10:T35)</f>
        <v>0</v>
      </c>
      <c r="U39" s="919">
        <f>MEDIAN(U10:U35)</f>
        <v>0</v>
      </c>
      <c r="V39" s="919">
        <f>MEDIAN(V10:V35)</f>
        <v>0</v>
      </c>
      <c r="W39" s="919">
        <f>MEDIAN(W10:W35)</f>
        <v>0</v>
      </c>
      <c r="X39" s="822">
        <f>MEDIAN(X10:X34)</f>
        <v>0</v>
      </c>
      <c r="Y39" s="920">
        <f>MEDIAN(Y10:Y34)</f>
        <v>0.67554666584600742</v>
      </c>
      <c r="AB39" s="923" t="str">
        <f>IF(ROUND(AB36,3)=ROUND(AB38,3),"","Update Volatility - OPM")</f>
        <v>Update Volatility - OPM</v>
      </c>
      <c r="AF39" s="348"/>
    </row>
    <row r="40" spans="1:35" ht="14.85" customHeight="1">
      <c r="B40" s="821" t="s">
        <v>114</v>
      </c>
      <c r="C40" s="823"/>
      <c r="D40" s="822">
        <f t="shared" ref="D40:K40" si="21">QUARTILE(D10:D34,1)</f>
        <v>295.35604499999999</v>
      </c>
      <c r="E40" s="822">
        <f t="shared" si="21"/>
        <v>0</v>
      </c>
      <c r="F40" s="822">
        <f t="shared" si="21"/>
        <v>6.6429999999999998</v>
      </c>
      <c r="G40" s="822">
        <f t="shared" si="21"/>
        <v>0</v>
      </c>
      <c r="H40" s="822">
        <f t="shared" si="21"/>
        <v>0</v>
      </c>
      <c r="I40" s="822">
        <f t="shared" si="21"/>
        <v>327.59876500000001</v>
      </c>
      <c r="J40" s="822">
        <f t="shared" si="21"/>
        <v>141.14275000000001</v>
      </c>
      <c r="K40" s="822">
        <f t="shared" si="21"/>
        <v>206.55579500000002</v>
      </c>
      <c r="L40" s="823"/>
      <c r="M40" s="860">
        <f>QUARTILE(M10:M34,1)</f>
        <v>0</v>
      </c>
      <c r="N40" s="822">
        <f>QUARTILE(N10:N34,1)</f>
        <v>1.7035945205479452</v>
      </c>
      <c r="O40" s="914">
        <f>QUARTILE(O10:O34,1)</f>
        <v>2.4500000000000001E-2</v>
      </c>
      <c r="P40" s="915"/>
      <c r="Q40" s="916">
        <f>QUARTILE(Q10:Q34,1)</f>
        <v>0.64539841996562952</v>
      </c>
      <c r="R40" s="917"/>
      <c r="S40" s="918">
        <f>QUARTILE(S10:S35,1)</f>
        <v>0.41653912049413111</v>
      </c>
      <c r="T40" s="918">
        <f>QUARTILE(T10:T35,1)</f>
        <v>0</v>
      </c>
      <c r="U40" s="919">
        <f>QUARTILE(U10:U35,1)</f>
        <v>0</v>
      </c>
      <c r="V40" s="919">
        <f>QUARTILE(V10:V35,1)</f>
        <v>0</v>
      </c>
      <c r="W40" s="919">
        <f>QUARTILE(W10:W35,1)</f>
        <v>0</v>
      </c>
      <c r="X40" s="822">
        <f>QUARTILE(X10:X34,1)</f>
        <v>0</v>
      </c>
      <c r="Y40" s="920">
        <f>QUARTILE(Y10:Y34,1)</f>
        <v>0.58651484817262012</v>
      </c>
      <c r="AB40" s="924" t="str">
        <f>IF(ROUND(AB37,3)=ROUND(AB38,3),"","Update Volatility - DLOM")</f>
        <v>Update Volatility - DLOM</v>
      </c>
      <c r="AC40" s="269"/>
      <c r="AD40" s="269"/>
      <c r="AE40" s="269"/>
      <c r="AF40" s="594"/>
    </row>
    <row r="41" spans="1:35" ht="14.85" customHeight="1">
      <c r="B41" s="754" t="s">
        <v>112</v>
      </c>
      <c r="C41" s="556"/>
      <c r="D41" s="565">
        <f t="shared" ref="D41:K41" si="22">MIN(D10:D34)</f>
        <v>0</v>
      </c>
      <c r="E41" s="565">
        <f t="shared" si="22"/>
        <v>0</v>
      </c>
      <c r="F41" s="565">
        <f t="shared" si="22"/>
        <v>0</v>
      </c>
      <c r="G41" s="565">
        <f t="shared" si="22"/>
        <v>0</v>
      </c>
      <c r="H41" s="565">
        <f t="shared" si="22"/>
        <v>0</v>
      </c>
      <c r="I41" s="565">
        <f t="shared" si="22"/>
        <v>0</v>
      </c>
      <c r="J41" s="565">
        <f t="shared" si="22"/>
        <v>0</v>
      </c>
      <c r="K41" s="565">
        <f t="shared" si="22"/>
        <v>0</v>
      </c>
      <c r="L41" s="556"/>
      <c r="M41" s="865">
        <f>MIN(M10:M34)</f>
        <v>0</v>
      </c>
      <c r="N41" s="565">
        <f>MIN(N10:N34)</f>
        <v>1.7035945205479452</v>
      </c>
      <c r="O41" s="925">
        <f>MIN(O10:O34)</f>
        <v>2.4500000000000001E-2</v>
      </c>
      <c r="P41" s="926"/>
      <c r="Q41" s="927">
        <f>MIN(Q10:Q34)</f>
        <v>0.4634353984441596</v>
      </c>
      <c r="R41" s="928"/>
      <c r="S41" s="929">
        <f>MIN(S10:S35)</f>
        <v>0.21477236853109696</v>
      </c>
      <c r="T41" s="929">
        <f>MIN(T10:T35)</f>
        <v>0</v>
      </c>
      <c r="U41" s="930">
        <f>MIN(U10:U35)</f>
        <v>-0.91813783006637317</v>
      </c>
      <c r="V41" s="930">
        <f>MIN(V10:V35)</f>
        <v>0</v>
      </c>
      <c r="W41" s="930">
        <f>MIN(W10:W35)</f>
        <v>0</v>
      </c>
      <c r="X41" s="565">
        <f>MIN(X10:X34)</f>
        <v>0</v>
      </c>
      <c r="Y41" s="931">
        <f>MIN(Y10:Y34)</f>
        <v>0.3863566265772882</v>
      </c>
      <c r="AB41" s="323" t="str">
        <f>IF(K43&lt;&gt;K45,"Check","")</f>
        <v/>
      </c>
    </row>
    <row r="42" spans="1:35" ht="14.85" customHeight="1">
      <c r="AB42" s="932" t="str">
        <f>IF(AND(AB39=$AF$40,AB41=$AF$40,AB40=$AF$40),"","Check")</f>
        <v>Check</v>
      </c>
    </row>
    <row r="43" spans="1:35" ht="14.85" customHeight="1">
      <c r="B43" s="933" t="str">
        <f>B2</f>
        <v>Trucode Gene Repair, Inc.</v>
      </c>
      <c r="C43" s="934" t="s">
        <v>249</v>
      </c>
      <c r="D43" s="936">
        <f>'Val Summ'!$D$9/1000</f>
        <v>42.64</v>
      </c>
      <c r="E43" s="936">
        <f>'Hist BS'!$E$61/1000</f>
        <v>0.15776502000000001</v>
      </c>
      <c r="F43" s="935"/>
      <c r="G43" s="935"/>
      <c r="H43" s="936">
        <f>SUM(E43:G43)</f>
        <v>0.15776502000000001</v>
      </c>
      <c r="I43" s="937">
        <f t="shared" ref="I43" si="23">SUM(D43:G43)</f>
        <v>42.79776502</v>
      </c>
      <c r="J43" s="935"/>
      <c r="K43" s="936">
        <f>'Val Summ'!$D$9/1000</f>
        <v>42.64</v>
      </c>
      <c r="L43" s="935"/>
      <c r="M43" s="938">
        <f>'PWERM Waterfall n Alloation'!D13</f>
        <v>0</v>
      </c>
      <c r="N43" s="939">
        <f>N$6</f>
        <v>1.7035945205479452</v>
      </c>
      <c r="O43" s="940">
        <f>O$6</f>
        <v>2.4500000000000001E-2</v>
      </c>
      <c r="P43" s="941"/>
      <c r="Q43" s="942">
        <v>0.67900000000000005</v>
      </c>
      <c r="R43" s="935"/>
      <c r="S43" s="943">
        <f>IF(Q43="n/a","n/a",Q43^2)</f>
        <v>0.46104100000000009</v>
      </c>
      <c r="T43" s="943">
        <f>IF(OR(K43="n/a",S43="n/a"),"n/a",IF(H43=0,0,IF(M43=0,(LN(K43/H43)+((O43+(S43/2))*N43))/((S43*N43)^0.5),(LN(K43/H43)+((O43-M43+(S43/2))*N43))/((S43*N43)^0.5))))</f>
        <v>6.8083943698699647</v>
      </c>
      <c r="U43" s="944">
        <f>IF(T43="n/a","n/a",IF(H43=0,0,T43-(S43*N43)^0.5))</f>
        <v>5.9221512196296118</v>
      </c>
      <c r="V43" s="944">
        <f>IF(OR(T43="n/a",S43="n/a"),"n/a",IF(H43=0,0,NORMSDIST(T43)))</f>
        <v>0.99999999999506528</v>
      </c>
      <c r="W43" s="944">
        <f>IF(OR(U43="n/a",S43="n/a"),"n/a",IF(H43=0,0,NORMSDIST(U43)))</f>
        <v>0.9999999984112139</v>
      </c>
      <c r="X43" s="944">
        <f>IF(OR(K43="n/a",S43="n/a"),"n/a",IF(M43=0,(K43*V43)-((H43*EXP(1)^(-O43*N43))*W43),(K43*(2.718^(-M43*N43))*V43)-(H43*(2.718^(-O43*N43))*W43)))</f>
        <v>42.488684260336711</v>
      </c>
      <c r="Y43" s="945">
        <f>IF(LEN(B43)&gt;0,IF(H43=0,Q43,IF(ISERROR(Q43/((K43/X43)*V43)),"n/a",Q43/((K43/X43)*V43))))</f>
        <v>0.67659044589378492</v>
      </c>
    </row>
    <row r="44" spans="1:35" ht="14.85" customHeight="1"/>
    <row r="45" spans="1:35" ht="14.85" customHeight="1">
      <c r="B45" s="933" t="str">
        <f>B43</f>
        <v>Trucode Gene Repair, Inc.</v>
      </c>
      <c r="C45" s="934" t="s">
        <v>288</v>
      </c>
      <c r="D45" s="936">
        <f>(PWERM!B177-PWERM!B129)/1000</f>
        <v>25.540442656150042</v>
      </c>
      <c r="E45" s="935">
        <f>(PWERM!B129)/1000</f>
        <v>17.099557343849959</v>
      </c>
      <c r="F45" s="935"/>
      <c r="G45" s="935"/>
      <c r="H45" s="936">
        <f>SUM(E45:G45)</f>
        <v>17.099557343849959</v>
      </c>
      <c r="I45" s="937">
        <f>K45+J45</f>
        <v>42.64</v>
      </c>
      <c r="J45" s="935"/>
      <c r="K45" s="946">
        <f>K43</f>
        <v>42.64</v>
      </c>
      <c r="L45" s="935"/>
      <c r="M45" s="947">
        <f>M43</f>
        <v>0</v>
      </c>
      <c r="N45" s="939">
        <f>N$6</f>
        <v>1.7035945205479452</v>
      </c>
      <c r="O45" s="940">
        <f>O$6</f>
        <v>2.4500000000000001E-2</v>
      </c>
      <c r="P45" s="941"/>
      <c r="Q45" s="942">
        <v>0.90300000000000002</v>
      </c>
      <c r="R45" s="935"/>
      <c r="S45" s="943">
        <f>IF(Q45="n/a","n/a",Q45^2)</f>
        <v>0.81540900000000005</v>
      </c>
      <c r="T45" s="943">
        <f>IF(OR(K45="n/a",S45="n/a"),"n/a",IF(H45=0,0,IF(M45=0,(LN(K45/H45)+((O45+(S45/2))*N45))/((S45*N45)^0.5),(LN(K45/H45)+((O45-M45+(S45/2))*N45))/((S45*N45)^0.5))))</f>
        <v>1.3999869224138666</v>
      </c>
      <c r="U45" s="944">
        <f>IF(T45="n/a","n/a",IF(H45=0,0,T45-(S45*N45)^0.5))</f>
        <v>0.22137489786741749</v>
      </c>
      <c r="V45" s="944">
        <f>IF(OR(T45="n/a",S45="n/a"),"n/a",IF(H45=0,0,NORMSDIST(T45)))</f>
        <v>0.91924138267447575</v>
      </c>
      <c r="W45" s="944">
        <f>IF(OR(U45="n/a",S45="n/a"),"n/a",IF(H45=0,0,NORMSDIST(U45)))</f>
        <v>0.58759973191353987</v>
      </c>
      <c r="X45" s="944">
        <f>IF(OR(K45="n/a",S45="n/a"),"n/a",IF(M45=0,(K45*V45)-((H45*EXP(1)^(-O45*N45))*W45),(K45*(2.718^(-M45*N45))*V45)-(H45*(2.718^(-O45*N45))*W45)))</f>
        <v>29.559497240973684</v>
      </c>
      <c r="Y45" s="945">
        <f>IF(LEN(B45)&gt;0,IF(H45=0,Q45,IF(ISERROR(Q45/((K45/X45)*V45)),"n/a",Q45/((K45/X45)*V45))))</f>
        <v>0.68098575935207029</v>
      </c>
    </row>
    <row r="46" spans="1:35" ht="14.85" customHeight="1"/>
    <row r="47" spans="1:35" ht="14.85" customHeight="1">
      <c r="B47" s="279" t="s">
        <v>86</v>
      </c>
    </row>
    <row r="48" spans="1:35" ht="14.85" customHeight="1">
      <c r="A48" s="280" t="s">
        <v>250</v>
      </c>
      <c r="B48" s="388" t="s">
        <v>2925</v>
      </c>
    </row>
    <row r="49" spans="1:2" ht="14.85" customHeight="1">
      <c r="A49" s="280" t="s">
        <v>249</v>
      </c>
      <c r="B49" s="388" t="s">
        <v>4243</v>
      </c>
    </row>
    <row r="50" spans="1:2" ht="14.85" customHeight="1">
      <c r="A50" s="280" t="s">
        <v>288</v>
      </c>
      <c r="B50" s="388" t="s">
        <v>4242</v>
      </c>
    </row>
    <row r="51" spans="1:2" ht="14.85" customHeight="1"/>
    <row r="52" spans="1:2" ht="14.85" customHeight="1">
      <c r="B52" s="279" t="s">
        <v>116</v>
      </c>
    </row>
    <row r="53" spans="1:2" ht="14.85" customHeight="1"/>
    <row r="54" spans="1:2" ht="14.85" customHeight="1">
      <c r="B54" s="234" t="s">
        <v>1416</v>
      </c>
    </row>
    <row r="55" spans="1:2" ht="14.85" customHeight="1">
      <c r="B55" s="234" t="s">
        <v>1417</v>
      </c>
    </row>
    <row r="56" spans="1:2" ht="14.85" customHeight="1">
      <c r="B56" s="234" t="s">
        <v>1418</v>
      </c>
    </row>
    <row r="57" spans="1:2" ht="14.85" customHeight="1">
      <c r="B57" s="234" t="s">
        <v>1419</v>
      </c>
    </row>
    <row r="58" spans="1:2" ht="14.85" customHeight="1">
      <c r="B58" s="234" t="s">
        <v>1420</v>
      </c>
    </row>
    <row r="59" spans="1:2" ht="14.85" customHeight="1">
      <c r="B59" s="234" t="s">
        <v>1421</v>
      </c>
    </row>
    <row r="60" spans="1:2" ht="14.85" customHeight="1">
      <c r="B60" s="234" t="s">
        <v>1422</v>
      </c>
    </row>
    <row r="61" spans="1:2" ht="14.85" customHeight="1"/>
    <row r="62" spans="1:2" ht="14.85" customHeight="1">
      <c r="B62" s="234" t="s">
        <v>1423</v>
      </c>
    </row>
    <row r="63" spans="1:2" ht="14.85" customHeight="1">
      <c r="B63" s="234" t="s">
        <v>1424</v>
      </c>
    </row>
    <row r="64" spans="1:2"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0:B34">
    <cfRule type="cellIs" dxfId="135" priority="8" operator="equal">
      <formula>"(Invalid Identifier)"</formula>
    </cfRule>
  </conditionalFormatting>
  <conditionalFormatting sqref="B4:I4">
    <cfRule type="cellIs" dxfId="134" priority="7" stopIfTrue="1" operator="equal">
      <formula>"input"</formula>
    </cfRule>
  </conditionalFormatting>
  <conditionalFormatting sqref="J4">
    <cfRule type="cellIs" dxfId="133" priority="5" stopIfTrue="1" operator="equal">
      <formula>"input"</formula>
    </cfRule>
  </conditionalFormatting>
  <conditionalFormatting sqref="J4">
    <cfRule type="cellIs" dxfId="132" priority="6" stopIfTrue="1" operator="equal">
      <formula>"input"</formula>
    </cfRule>
  </conditionalFormatting>
  <conditionalFormatting sqref="K4:X4">
    <cfRule type="cellIs" dxfId="131" priority="3" stopIfTrue="1" operator="equal">
      <formula>"input"</formula>
    </cfRule>
  </conditionalFormatting>
  <conditionalFormatting sqref="K4:X4">
    <cfRule type="cellIs" dxfId="130" priority="4" stopIfTrue="1" operator="equal">
      <formula>"input"</formula>
    </cfRule>
  </conditionalFormatting>
  <conditionalFormatting sqref="Y4">
    <cfRule type="cellIs" dxfId="129" priority="1" stopIfTrue="1" operator="equal">
      <formula>"input"</formula>
    </cfRule>
  </conditionalFormatting>
  <conditionalFormatting sqref="Y4">
    <cfRule type="cellIs" dxfId="128"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2"/>
  <dimension ref="B1:AG765"/>
  <sheetViews>
    <sheetView showGridLines="0" view="pageBreakPreview" topLeftCell="G35" zoomScaleNormal="100" zoomScaleSheetLayoutView="100" workbookViewId="0">
      <selection activeCell="AA8" sqref="AA8"/>
    </sheetView>
  </sheetViews>
  <sheetFormatPr defaultRowHeight="14.25" outlineLevelRow="1"/>
  <cols>
    <col min="1" max="1" width="4.5" style="234" customWidth="1"/>
    <col min="2" max="2" width="31.33203125" style="234" bestFit="1" customWidth="1"/>
    <col min="3" max="3" width="2.83203125" style="234" customWidth="1"/>
    <col min="4" max="4" width="11.83203125" style="234" customWidth="1"/>
    <col min="5" max="6" width="0" style="234" hidden="1" customWidth="1"/>
    <col min="7" max="7" width="2.83203125" style="234" customWidth="1"/>
    <col min="8" max="9" width="11.83203125" style="234" customWidth="1"/>
    <col min="10" max="10" width="2.83203125" style="234" customWidth="1"/>
    <col min="11" max="11" width="12.5" style="234" customWidth="1"/>
    <col min="12" max="18" width="11.83203125" style="234" customWidth="1"/>
    <col min="19" max="19" width="4.5" style="234" customWidth="1"/>
    <col min="20" max="20" width="0" style="234" hidden="1" customWidth="1"/>
    <col min="21" max="23" width="10.83203125" style="234" customWidth="1"/>
    <col min="24" max="24" width="1.83203125" style="234" customWidth="1"/>
    <col min="25" max="25" width="17.6640625" style="234" bestFit="1" customWidth="1"/>
    <col min="26" max="26" width="14.33203125" style="234" bestFit="1" customWidth="1"/>
    <col min="27" max="27" width="10" style="234" bestFit="1" customWidth="1"/>
    <col min="28" max="28" width="10.1640625" style="234" bestFit="1" customWidth="1"/>
    <col min="29" max="29" width="9.5" style="234" bestFit="1" customWidth="1"/>
    <col min="30" max="16384" width="9.33203125" style="234"/>
  </cols>
  <sheetData>
    <row r="1" spans="2:33" ht="10.7" customHeight="1" thickBot="1"/>
    <row r="2" spans="2:33" ht="16.5" customHeight="1" thickTop="1">
      <c r="B2" s="223" t="str">
        <f>'MASTER PubCo Inputs'!$C$5</f>
        <v>Trucode Gene Repair, Inc.</v>
      </c>
      <c r="C2" s="223"/>
      <c r="D2" s="223"/>
      <c r="E2" s="223"/>
      <c r="F2" s="223"/>
      <c r="G2" s="223"/>
      <c r="H2" s="223"/>
      <c r="I2" s="223"/>
      <c r="J2" s="223"/>
      <c r="K2" s="223"/>
      <c r="L2" s="223"/>
      <c r="M2" s="223"/>
      <c r="N2" s="223"/>
      <c r="O2" s="223"/>
      <c r="P2" s="223"/>
      <c r="Q2" s="223"/>
      <c r="R2" s="223"/>
      <c r="Y2" s="779" t="s">
        <v>87</v>
      </c>
      <c r="Z2" s="780">
        <f>+'Comp.1'!$AL$2</f>
        <v>43496</v>
      </c>
    </row>
    <row r="3" spans="2:33" ht="15.75" customHeight="1">
      <c r="B3" s="232" t="e">
        <f>VLOOKUP(B4,Outline!$E$8:$G$65,COLUMNS(Outline!$E$8:$G$8),FALSE)</f>
        <v>#N/A</v>
      </c>
      <c r="C3" s="232"/>
      <c r="D3" s="232"/>
      <c r="E3" s="232"/>
      <c r="F3" s="232"/>
      <c r="G3" s="232"/>
      <c r="H3" s="232"/>
      <c r="I3" s="232"/>
      <c r="J3" s="232"/>
      <c r="K3" s="232"/>
      <c r="L3" s="232"/>
      <c r="M3" s="232"/>
      <c r="N3" s="232"/>
      <c r="O3" s="232"/>
      <c r="P3" s="232"/>
      <c r="Q3" s="232"/>
      <c r="R3" s="232"/>
      <c r="Y3" s="619" t="s">
        <v>455</v>
      </c>
      <c r="Z3" s="889" t="str">
        <f>+'Comp.1'!$AL$3</f>
        <v>F</v>
      </c>
    </row>
    <row r="4" spans="2:33" ht="16.5" customHeight="1" thickBot="1">
      <c r="B4" s="225" t="s">
        <v>303</v>
      </c>
      <c r="C4" s="225"/>
      <c r="D4" s="225"/>
      <c r="E4" s="225"/>
      <c r="F4" s="225"/>
      <c r="G4" s="225"/>
      <c r="H4" s="225"/>
      <c r="I4" s="225"/>
      <c r="J4" s="233"/>
      <c r="K4" s="233"/>
      <c r="L4" s="233"/>
      <c r="M4" s="233"/>
      <c r="N4" s="233"/>
      <c r="O4" s="233"/>
      <c r="P4" s="233"/>
      <c r="Q4" s="233"/>
      <c r="R4" s="233" t="str">
        <f>+'MASTER PubCo Inputs'!$C$24</f>
        <v>(in millions of USD)</v>
      </c>
      <c r="Y4" s="619" t="s">
        <v>456</v>
      </c>
      <c r="Z4" s="889" t="str">
        <f>+'Comp.1'!$AL$4</f>
        <v>USD</v>
      </c>
    </row>
    <row r="5" spans="2:33" ht="14.85" customHeight="1" thickTop="1">
      <c r="Y5" s="384" t="s">
        <v>89</v>
      </c>
      <c r="Z5" s="890" t="str">
        <f>+'Comp.1'!$AL$5</f>
        <v>H</v>
      </c>
    </row>
    <row r="6" spans="2:33" ht="14.85" customHeight="1"/>
    <row r="7" spans="2:33" ht="14.85" customHeight="1">
      <c r="D7" s="1459" t="s">
        <v>69</v>
      </c>
      <c r="E7" s="1460"/>
      <c r="F7" s="1460"/>
      <c r="G7" s="1460"/>
      <c r="H7" s="1460"/>
      <c r="I7" s="1461"/>
      <c r="K7" s="1459" t="s">
        <v>91</v>
      </c>
      <c r="L7" s="1462"/>
      <c r="M7" s="1462"/>
      <c r="N7" s="1462"/>
      <c r="O7" s="1462"/>
      <c r="P7" s="1462"/>
      <c r="Q7" s="1462"/>
      <c r="R7" s="1463"/>
      <c r="W7" s="1464">
        <f>DCF!$D$47</f>
        <v>0.4</v>
      </c>
    </row>
    <row r="8" spans="2:33" s="270" customFormat="1" ht="14.85" customHeight="1">
      <c r="B8" s="1465" t="s">
        <v>711</v>
      </c>
      <c r="D8" s="1343" t="s">
        <v>298</v>
      </c>
      <c r="E8" s="1345" t="s">
        <v>291</v>
      </c>
      <c r="F8" s="1345" t="s">
        <v>292</v>
      </c>
      <c r="G8" s="1466"/>
      <c r="H8" s="1345" t="s">
        <v>299</v>
      </c>
      <c r="I8" s="794" t="s">
        <v>274</v>
      </c>
      <c r="J8" s="271"/>
      <c r="K8" s="1343" t="s">
        <v>94</v>
      </c>
      <c r="L8" s="1345" t="s">
        <v>95</v>
      </c>
      <c r="M8" s="1345" t="s">
        <v>96</v>
      </c>
      <c r="N8" s="1345" t="s">
        <v>97</v>
      </c>
      <c r="O8" s="1345" t="s">
        <v>98</v>
      </c>
      <c r="P8" s="1345" t="s">
        <v>99</v>
      </c>
      <c r="Q8" s="1345" t="s">
        <v>100</v>
      </c>
      <c r="R8" s="794" t="s">
        <v>101</v>
      </c>
      <c r="T8" s="1467" t="s">
        <v>300</v>
      </c>
      <c r="U8" s="1468" t="s">
        <v>301</v>
      </c>
      <c r="V8" s="1468" t="s">
        <v>302</v>
      </c>
      <c r="W8" s="1469" t="s">
        <v>271</v>
      </c>
      <c r="Y8" s="450" t="s">
        <v>108</v>
      </c>
      <c r="Z8" s="409" t="s">
        <v>109</v>
      </c>
      <c r="AA8" s="1470" t="str">
        <f t="array" ref="AA8">IF(SUM(ABS($AA$11:$AA$40))&lt;0.01,"","Check")</f>
        <v/>
      </c>
      <c r="AC8" s="270">
        <v>0</v>
      </c>
    </row>
    <row r="9" spans="2:33" ht="14.85" customHeight="1"/>
    <row r="10" spans="2:33" ht="14.85" customHeight="1">
      <c r="B10" s="1916" t="s">
        <v>4046</v>
      </c>
    </row>
    <row r="11" spans="2:33" ht="14.85" customHeight="1">
      <c r="B11" s="234" t="str">
        <f>'Comp.1'!B11</f>
        <v>Alnylam Pharmaceuticals, Inc.</v>
      </c>
      <c r="D11" s="517">
        <v>2</v>
      </c>
      <c r="E11" s="1471" t="s">
        <v>295</v>
      </c>
      <c r="F11" s="1471" t="s">
        <v>294</v>
      </c>
      <c r="H11" s="813">
        <f>HLOOKUP(D11,'Capital IQ Sheet-GPC'!$AQ$10:$AS$75,ROWS('Capital IQ Sheet-GPC'!AQ$10:AQ13),FALSE)</f>
        <v>1.55139</v>
      </c>
      <c r="I11" s="1472">
        <f>IF(ISERROR(H11/(1+(1-$W11)*(($U11)/$V11))), "n/a", H11/(1+(1-$W11)*(($U11)/$V11)))</f>
        <v>1.5482477552918119</v>
      </c>
      <c r="K11" s="465">
        <f>'Capital IQ Sheet-GPC'!J13</f>
        <v>8868.9653999999991</v>
      </c>
      <c r="L11" s="465">
        <f>'Capital IQ Sheet-GPC'!K13</f>
        <v>30</v>
      </c>
      <c r="M11" s="465" t="str">
        <f>'Capital IQ Sheet-GPC'!L13</f>
        <v>n/a</v>
      </c>
      <c r="N11" s="465" t="str">
        <f>'Capital IQ Sheet-GPC'!M13</f>
        <v>n/a</v>
      </c>
      <c r="O11" s="465">
        <f t="shared" ref="O11" si="0">SUM(L11:N11)</f>
        <v>30</v>
      </c>
      <c r="P11" s="465">
        <f>SUM(K11:N11)</f>
        <v>8898.9653999999991</v>
      </c>
      <c r="Q11" s="465">
        <f>'Capital IQ Sheet-GPC'!N13</f>
        <v>1236.8340000000001</v>
      </c>
      <c r="R11" s="465">
        <f t="shared" ref="R11" si="1">IF(ISERROR(P11-Q11), "n/a", P11-Q11)</f>
        <v>7662.1313999999993</v>
      </c>
      <c r="T11" s="401">
        <f t="shared" ref="T11" si="2">$Z$2-365*D11</f>
        <v>42766</v>
      </c>
      <c r="U11" s="390">
        <f>IFERROR(SUM(L11:M11)/P11,"n/a")</f>
        <v>3.3711784068741297E-3</v>
      </c>
      <c r="V11" s="390">
        <f>IFERROR(1-U11,"n/a")</f>
        <v>0.99662882159312582</v>
      </c>
      <c r="W11" s="390">
        <f>W$7</f>
        <v>0.4</v>
      </c>
      <c r="Y11" s="815" t="str">
        <f>'MASTER PubCo Inputs'!B28</f>
        <v>NasdaqGS:ALNY</v>
      </c>
      <c r="Z11" s="259">
        <f>'Capital IQ Sheet-GPC'!H13</f>
        <v>7662.1313899999996</v>
      </c>
      <c r="AA11" s="903">
        <f t="shared" ref="AA11" si="3">R11-Z11</f>
        <v>9.9999997473787516E-6</v>
      </c>
      <c r="AC11" s="324"/>
      <c r="AG11" s="811"/>
    </row>
    <row r="12" spans="2:33" ht="14.85" customHeight="1">
      <c r="B12" s="234" t="str">
        <f>'Comp.1'!B12</f>
        <v>bluebird bio, Inc.</v>
      </c>
      <c r="D12" s="517">
        <v>2</v>
      </c>
      <c r="E12" s="1471" t="s">
        <v>295</v>
      </c>
      <c r="F12" s="1471" t="s">
        <v>294</v>
      </c>
      <c r="H12" s="813">
        <f>HLOOKUP(D12,'Capital IQ Sheet-GPC'!$AQ$10:$AS$75,ROWS('Capital IQ Sheet-GPC'!AQ$10:AQ14),FALSE)</f>
        <v>1.8532299999999999</v>
      </c>
      <c r="I12" s="1472">
        <f t="shared" ref="I12:I35" si="4">IF(ISERROR(H12/(1+(1-$W12)*(($U12)/$V12))), "n/a", H12/(1+(1-$W12)*(($U12)/$V12)))</f>
        <v>1.8299056014666832</v>
      </c>
      <c r="K12" s="465">
        <f>'Capital IQ Sheet-GPC'!J14</f>
        <v>7297.8752599999998</v>
      </c>
      <c r="L12" s="465">
        <f>'Capital IQ Sheet-GPC'!K14</f>
        <v>155.03399999999999</v>
      </c>
      <c r="M12" s="465" t="str">
        <f>'Capital IQ Sheet-GPC'!L14</f>
        <v>n/a</v>
      </c>
      <c r="N12" s="465" t="str">
        <f>'Capital IQ Sheet-GPC'!M14</f>
        <v>n/a</v>
      </c>
      <c r="O12" s="465">
        <f t="shared" ref="O12:O35" si="5">SUM(L12:N12)</f>
        <v>155.03399999999999</v>
      </c>
      <c r="P12" s="465">
        <f t="shared" ref="P12:P35" si="6">SUM(K12:N12)</f>
        <v>7452.9092599999994</v>
      </c>
      <c r="Q12" s="465">
        <f>'Capital IQ Sheet-GPC'!N14</f>
        <v>1695.2950000000001</v>
      </c>
      <c r="R12" s="465">
        <f t="shared" ref="R12:R35" si="7">IF(ISERROR(P12-Q12), "n/a", P12-Q12)</f>
        <v>5757.6142599999994</v>
      </c>
      <c r="T12" s="401">
        <f t="shared" ref="T12:T35" si="8">$Z$2-365*D12</f>
        <v>42766</v>
      </c>
      <c r="U12" s="390">
        <f t="shared" ref="U12:U35" si="9">IFERROR(SUM(L12:M12)/P12,"n/a")</f>
        <v>2.0801809681498792E-2</v>
      </c>
      <c r="V12" s="390">
        <f t="shared" ref="V12:V35" si="10">IFERROR(1-U12,"n/a")</f>
        <v>0.97919819031850119</v>
      </c>
      <c r="W12" s="390">
        <f t="shared" ref="W12:W35" si="11">W$7</f>
        <v>0.4</v>
      </c>
      <c r="Y12" s="815" t="str">
        <f>'MASTER PubCo Inputs'!B29</f>
        <v>NasdaqGS:BLUE</v>
      </c>
      <c r="Z12" s="259">
        <f>'Capital IQ Sheet-GPC'!H14</f>
        <v>5757.6142600000003</v>
      </c>
      <c r="AA12" s="903">
        <f t="shared" ref="AA12:AA35" si="12">R12-Z12</f>
        <v>0</v>
      </c>
      <c r="AC12" s="324"/>
      <c r="AG12" s="811"/>
    </row>
    <row r="13" spans="2:33" ht="14.85" customHeight="1">
      <c r="B13" s="234" t="str">
        <f>'Comp.1'!B13</f>
        <v>Ironwood Pharmaceuticals, Inc.</v>
      </c>
      <c r="D13" s="517">
        <v>2</v>
      </c>
      <c r="E13" s="1471" t="s">
        <v>295</v>
      </c>
      <c r="F13" s="1471" t="s">
        <v>294</v>
      </c>
      <c r="H13" s="813">
        <f>HLOOKUP(D13,'Capital IQ Sheet-GPC'!$AQ$10:$AS$75,ROWS('Capital IQ Sheet-GPC'!AQ$10:AQ15),FALSE)</f>
        <v>1.48899</v>
      </c>
      <c r="I13" s="1472">
        <f t="shared" si="4"/>
        <v>1.333387261787901</v>
      </c>
      <c r="K13" s="465">
        <f>'Capital IQ Sheet-GPC'!J15</f>
        <v>2104.44911</v>
      </c>
      <c r="L13" s="465">
        <f>'Capital IQ Sheet-GPC'!K15</f>
        <v>409.30599999999998</v>
      </c>
      <c r="M13" s="465" t="str">
        <f>'Capital IQ Sheet-GPC'!L15</f>
        <v>n/a</v>
      </c>
      <c r="N13" s="465" t="str">
        <f>'Capital IQ Sheet-GPC'!M15</f>
        <v>n/a</v>
      </c>
      <c r="O13" s="465">
        <f t="shared" si="5"/>
        <v>409.30599999999998</v>
      </c>
      <c r="P13" s="465">
        <f t="shared" si="6"/>
        <v>2513.7551100000001</v>
      </c>
      <c r="Q13" s="465">
        <f>'Capital IQ Sheet-GPC'!N15</f>
        <v>161.398</v>
      </c>
      <c r="R13" s="465">
        <f t="shared" si="7"/>
        <v>2352.3571099999999</v>
      </c>
      <c r="T13" s="401">
        <f t="shared" si="8"/>
        <v>42766</v>
      </c>
      <c r="U13" s="390">
        <f t="shared" si="9"/>
        <v>0.16282652131535597</v>
      </c>
      <c r="V13" s="390">
        <f t="shared" si="10"/>
        <v>0.83717347868464409</v>
      </c>
      <c r="W13" s="390">
        <f t="shared" si="11"/>
        <v>0.4</v>
      </c>
      <c r="Y13" s="815" t="str">
        <f>'MASTER PubCo Inputs'!B30</f>
        <v>NasdaqGS:IRWD</v>
      </c>
      <c r="Z13" s="259">
        <f>'Capital IQ Sheet-GPC'!H15</f>
        <v>2352.3571099999999</v>
      </c>
      <c r="AA13" s="903">
        <f t="shared" si="12"/>
        <v>0</v>
      </c>
      <c r="AC13" s="324"/>
      <c r="AG13" s="811"/>
    </row>
    <row r="14" spans="2:33" ht="14.85" customHeight="1">
      <c r="B14" s="234" t="str">
        <f>'Comp.1'!B14</f>
        <v>Global Blood Therapeutics, Inc.</v>
      </c>
      <c r="D14" s="517">
        <v>2</v>
      </c>
      <c r="E14" s="1471" t="s">
        <v>295</v>
      </c>
      <c r="F14" s="1471" t="s">
        <v>294</v>
      </c>
      <c r="H14" s="813">
        <f>HLOOKUP(D14,'Capital IQ Sheet-GPC'!$AQ$10:$AS$75,ROWS('Capital IQ Sheet-GPC'!AQ$10:AQ16),FALSE)</f>
        <v>1.14316</v>
      </c>
      <c r="I14" s="1472">
        <f t="shared" si="4"/>
        <v>1.14316</v>
      </c>
      <c r="K14" s="465">
        <f>'Capital IQ Sheet-GPC'!J16</f>
        <v>2660.4172400000002</v>
      </c>
      <c r="L14" s="465">
        <f>'Capital IQ Sheet-GPC'!K16</f>
        <v>0</v>
      </c>
      <c r="M14" s="465" t="str">
        <f>'Capital IQ Sheet-GPC'!L16</f>
        <v>n/a</v>
      </c>
      <c r="N14" s="465" t="str">
        <f>'Capital IQ Sheet-GPC'!M16</f>
        <v>n/a</v>
      </c>
      <c r="O14" s="465">
        <f t="shared" si="5"/>
        <v>0</v>
      </c>
      <c r="P14" s="465">
        <f t="shared" si="6"/>
        <v>2660.4172400000002</v>
      </c>
      <c r="Q14" s="465">
        <f>'Capital IQ Sheet-GPC'!N16</f>
        <v>383.22800000000001</v>
      </c>
      <c r="R14" s="465">
        <f t="shared" si="7"/>
        <v>2277.1892400000002</v>
      </c>
      <c r="T14" s="401">
        <f t="shared" si="8"/>
        <v>42766</v>
      </c>
      <c r="U14" s="390">
        <f t="shared" si="9"/>
        <v>0</v>
      </c>
      <c r="V14" s="390">
        <f t="shared" si="10"/>
        <v>1</v>
      </c>
      <c r="W14" s="390">
        <f t="shared" si="11"/>
        <v>0.4</v>
      </c>
      <c r="Y14" s="815" t="str">
        <f>'MASTER PubCo Inputs'!B31</f>
        <v>NasdaqGS:GBT</v>
      </c>
      <c r="Z14" s="259">
        <f>'Capital IQ Sheet-GPC'!H16</f>
        <v>2277.1892400000002</v>
      </c>
      <c r="AA14" s="903">
        <f t="shared" si="12"/>
        <v>0</v>
      </c>
      <c r="AC14" s="324"/>
      <c r="AG14" s="811"/>
    </row>
    <row r="15" spans="2:33" ht="14.85" customHeight="1">
      <c r="B15" s="234" t="str">
        <f>'Comp.1'!B15</f>
        <v>Acceleron Pharma Inc.</v>
      </c>
      <c r="D15" s="517">
        <v>2</v>
      </c>
      <c r="E15" s="1471" t="s">
        <v>295</v>
      </c>
      <c r="F15" s="1471" t="s">
        <v>294</v>
      </c>
      <c r="H15" s="813">
        <f>HLOOKUP(D15,'Capital IQ Sheet-GPC'!$AQ$10:$AS$75,ROWS('Capital IQ Sheet-GPC'!AQ$10:AQ17),FALSE)</f>
        <v>1.08301</v>
      </c>
      <c r="I15" s="1472">
        <f t="shared" si="4"/>
        <v>1.08301</v>
      </c>
      <c r="K15" s="465">
        <f>'Capital IQ Sheet-GPC'!J17</f>
        <v>2185.0571599999998</v>
      </c>
      <c r="L15" s="465">
        <f>'Capital IQ Sheet-GPC'!K17</f>
        <v>0</v>
      </c>
      <c r="M15" s="465" t="str">
        <f>'Capital IQ Sheet-GPC'!L17</f>
        <v>n/a</v>
      </c>
      <c r="N15" s="465" t="str">
        <f>'Capital IQ Sheet-GPC'!M17</f>
        <v>n/a</v>
      </c>
      <c r="O15" s="465">
        <f t="shared" si="5"/>
        <v>0</v>
      </c>
      <c r="P15" s="465">
        <f t="shared" si="6"/>
        <v>2185.0571599999998</v>
      </c>
      <c r="Q15" s="465">
        <f>'Capital IQ Sheet-GPC'!N17</f>
        <v>307.97199999999998</v>
      </c>
      <c r="R15" s="465">
        <f t="shared" si="7"/>
        <v>1877.0851599999999</v>
      </c>
      <c r="T15" s="401">
        <f t="shared" si="8"/>
        <v>42766</v>
      </c>
      <c r="U15" s="390">
        <f t="shared" si="9"/>
        <v>0</v>
      </c>
      <c r="V15" s="390">
        <f t="shared" si="10"/>
        <v>1</v>
      </c>
      <c r="W15" s="390">
        <f t="shared" si="11"/>
        <v>0.4</v>
      </c>
      <c r="Y15" s="815" t="str">
        <f>'MASTER PubCo Inputs'!B32</f>
        <v>NasdaqGM:XLRN</v>
      </c>
      <c r="Z15" s="259">
        <f>'Capital IQ Sheet-GPC'!H17</f>
        <v>1877.0851600000001</v>
      </c>
      <c r="AA15" s="903">
        <f t="shared" si="12"/>
        <v>0</v>
      </c>
      <c r="AC15" s="324"/>
      <c r="AG15" s="811"/>
    </row>
    <row r="16" spans="2:33" ht="14.85" customHeight="1">
      <c r="B16" s="234" t="str">
        <f>'Comp.1'!B16</f>
        <v>Spark Therapeutics, Inc.</v>
      </c>
      <c r="D16" s="517">
        <v>2</v>
      </c>
      <c r="E16" s="1471" t="s">
        <v>295</v>
      </c>
      <c r="F16" s="1471" t="s">
        <v>294</v>
      </c>
      <c r="H16" s="813">
        <f>HLOOKUP(D16,'Capital IQ Sheet-GPC'!$AQ$10:$AS$75,ROWS('Capital IQ Sheet-GPC'!AQ$10:AQ18),FALSE)</f>
        <v>0.87100999999999995</v>
      </c>
      <c r="I16" s="1472">
        <f t="shared" si="4"/>
        <v>0.84710671101601431</v>
      </c>
      <c r="K16" s="465">
        <f>'Capital IQ Sheet-GPC'!J18</f>
        <v>1805.0671400000001</v>
      </c>
      <c r="L16" s="465">
        <f>'Capital IQ Sheet-GPC'!K18</f>
        <v>84.891000000000005</v>
      </c>
      <c r="M16" s="465" t="str">
        <f>'Capital IQ Sheet-GPC'!L18</f>
        <v>n/a</v>
      </c>
      <c r="N16" s="465" t="str">
        <f>'Capital IQ Sheet-GPC'!M18</f>
        <v>n/a</v>
      </c>
      <c r="O16" s="465">
        <f t="shared" si="5"/>
        <v>84.891000000000005</v>
      </c>
      <c r="P16" s="465">
        <f t="shared" si="6"/>
        <v>1889.9581400000002</v>
      </c>
      <c r="Q16" s="465">
        <f>'Capital IQ Sheet-GPC'!N18</f>
        <v>590.476</v>
      </c>
      <c r="R16" s="465">
        <f t="shared" si="7"/>
        <v>1299.4821400000001</v>
      </c>
      <c r="T16" s="401">
        <f t="shared" si="8"/>
        <v>42766</v>
      </c>
      <c r="U16" s="390">
        <f t="shared" si="9"/>
        <v>4.4916867841316314E-2</v>
      </c>
      <c r="V16" s="390">
        <f t="shared" si="10"/>
        <v>0.95508313215868368</v>
      </c>
      <c r="W16" s="390">
        <f t="shared" si="11"/>
        <v>0.4</v>
      </c>
      <c r="Y16" s="815" t="str">
        <f>'MASTER PubCo Inputs'!B33</f>
        <v>NasdaqGS:ONCE</v>
      </c>
      <c r="Z16" s="259">
        <f>'Capital IQ Sheet-GPC'!H18</f>
        <v>1299.4821300000001</v>
      </c>
      <c r="AA16" s="903">
        <f t="shared" si="12"/>
        <v>9.9999999747524271E-6</v>
      </c>
      <c r="AC16" s="324"/>
      <c r="AG16" s="811"/>
    </row>
    <row r="17" spans="2:33" ht="14.85" customHeight="1">
      <c r="B17" s="234" t="str">
        <f>'Comp.1'!B17</f>
        <v>REGENXBIO Inc.</v>
      </c>
      <c r="D17" s="517">
        <v>2</v>
      </c>
      <c r="E17" s="1471" t="s">
        <v>295</v>
      </c>
      <c r="F17" s="1471" t="s">
        <v>294</v>
      </c>
      <c r="H17" s="813">
        <f>HLOOKUP(D17,'Capital IQ Sheet-GPC'!$AQ$10:$AS$75,ROWS('Capital IQ Sheet-GPC'!AQ$10:AQ19),FALSE)</f>
        <v>1.45424</v>
      </c>
      <c r="I17" s="1472">
        <f t="shared" si="4"/>
        <v>1.45424</v>
      </c>
      <c r="K17" s="465">
        <f>'Capital IQ Sheet-GPC'!J19</f>
        <v>1575.5421799999999</v>
      </c>
      <c r="L17" s="465">
        <f>'Capital IQ Sheet-GPC'!K19</f>
        <v>0</v>
      </c>
      <c r="M17" s="465" t="str">
        <f>'Capital IQ Sheet-GPC'!L19</f>
        <v>n/a</v>
      </c>
      <c r="N17" s="465" t="str">
        <f>'Capital IQ Sheet-GPC'!M19</f>
        <v>n/a</v>
      </c>
      <c r="O17" s="465">
        <f t="shared" si="5"/>
        <v>0</v>
      </c>
      <c r="P17" s="465">
        <f t="shared" si="6"/>
        <v>1575.5421799999999</v>
      </c>
      <c r="Q17" s="465">
        <f>'Capital IQ Sheet-GPC'!N19</f>
        <v>372.589</v>
      </c>
      <c r="R17" s="465">
        <f t="shared" si="7"/>
        <v>1202.95318</v>
      </c>
      <c r="T17" s="401">
        <f t="shared" si="8"/>
        <v>42766</v>
      </c>
      <c r="U17" s="390">
        <f t="shared" si="9"/>
        <v>0</v>
      </c>
      <c r="V17" s="390">
        <f t="shared" si="10"/>
        <v>1</v>
      </c>
      <c r="W17" s="390">
        <f t="shared" si="11"/>
        <v>0.4</v>
      </c>
      <c r="Y17" s="815" t="str">
        <f>'MASTER PubCo Inputs'!B34</f>
        <v>NasdaqGS:RGNX</v>
      </c>
      <c r="Z17" s="259">
        <f>'Capital IQ Sheet-GPC'!H19</f>
        <v>1202.95318</v>
      </c>
      <c r="AA17" s="903">
        <f t="shared" si="12"/>
        <v>0</v>
      </c>
      <c r="AC17" s="324"/>
      <c r="AG17" s="811"/>
    </row>
    <row r="18" spans="2:33" ht="14.85" customHeight="1">
      <c r="B18" s="234" t="str">
        <f>'Comp.1'!B18</f>
        <v>uniQure N.V.</v>
      </c>
      <c r="D18" s="517">
        <v>2</v>
      </c>
      <c r="E18" s="1471" t="s">
        <v>295</v>
      </c>
      <c r="F18" s="1471" t="s">
        <v>294</v>
      </c>
      <c r="H18" s="813">
        <f>HLOOKUP(D18,'Capital IQ Sheet-GPC'!$AQ$10:$AS$75,ROWS('Capital IQ Sheet-GPC'!AQ$10:AQ20),FALSE)</f>
        <v>1.2294099999999999</v>
      </c>
      <c r="I18" s="1472">
        <f t="shared" si="4"/>
        <v>1.217551168315111</v>
      </c>
      <c r="K18" s="465">
        <f>'Capital IQ Sheet-GPC'!J20</f>
        <v>1275.6593700000001</v>
      </c>
      <c r="L18" s="465">
        <f>'Capital IQ Sheet-GPC'!K20</f>
        <v>20.707999999999998</v>
      </c>
      <c r="M18" s="465" t="str">
        <f>'Capital IQ Sheet-GPC'!L20</f>
        <v>n/a</v>
      </c>
      <c r="N18" s="465" t="str">
        <f>'Capital IQ Sheet-GPC'!M20</f>
        <v>n/a</v>
      </c>
      <c r="O18" s="465">
        <f t="shared" si="5"/>
        <v>20.707999999999998</v>
      </c>
      <c r="P18" s="465">
        <f t="shared" si="6"/>
        <v>1296.3673700000002</v>
      </c>
      <c r="Q18" s="465">
        <f>'Capital IQ Sheet-GPC'!N20</f>
        <v>239.54599999999999</v>
      </c>
      <c r="R18" s="465">
        <f t="shared" si="7"/>
        <v>1056.8213700000001</v>
      </c>
      <c r="T18" s="401">
        <f t="shared" si="8"/>
        <v>42766</v>
      </c>
      <c r="U18" s="390">
        <f t="shared" si="9"/>
        <v>1.5973867037396967E-2</v>
      </c>
      <c r="V18" s="390">
        <f t="shared" si="10"/>
        <v>0.984026132962603</v>
      </c>
      <c r="W18" s="390">
        <f t="shared" si="11"/>
        <v>0.4</v>
      </c>
      <c r="Y18" s="815" t="str">
        <f>'MASTER PubCo Inputs'!B35</f>
        <v>NasdaqGS:QURE</v>
      </c>
      <c r="Z18" s="259">
        <f>'Capital IQ Sheet-GPC'!H20</f>
        <v>1056.8213699999999</v>
      </c>
      <c r="AA18" s="903">
        <f t="shared" si="12"/>
        <v>0</v>
      </c>
      <c r="AC18" s="324"/>
      <c r="AG18" s="811"/>
    </row>
    <row r="19" spans="2:33" ht="14.85" customHeight="1">
      <c r="B19" s="234" t="str">
        <f>'Comp.1'!B19</f>
        <v>Audentes Therapeutics, Inc.</v>
      </c>
      <c r="D19" s="517">
        <v>2</v>
      </c>
      <c r="E19" s="1471" t="s">
        <v>295</v>
      </c>
      <c r="F19" s="1471" t="s">
        <v>294</v>
      </c>
      <c r="H19" s="813">
        <f>HLOOKUP(D19,'Capital IQ Sheet-GPC'!$AQ$10:$AS$75,ROWS('Capital IQ Sheet-GPC'!AQ$10:AQ21),FALSE)</f>
        <v>1.46404</v>
      </c>
      <c r="I19" s="1472">
        <f t="shared" si="4"/>
        <v>1.46404</v>
      </c>
      <c r="K19" s="465">
        <f>'Capital IQ Sheet-GPC'!J21</f>
        <v>1058.70937</v>
      </c>
      <c r="L19" s="465">
        <f>'Capital IQ Sheet-GPC'!K21</f>
        <v>0</v>
      </c>
      <c r="M19" s="465" t="str">
        <f>'Capital IQ Sheet-GPC'!L21</f>
        <v>n/a</v>
      </c>
      <c r="N19" s="465" t="str">
        <f>'Capital IQ Sheet-GPC'!M21</f>
        <v>n/a</v>
      </c>
      <c r="O19" s="465">
        <f t="shared" si="5"/>
        <v>0</v>
      </c>
      <c r="P19" s="465">
        <f t="shared" si="6"/>
        <v>1058.70937</v>
      </c>
      <c r="Q19" s="465">
        <f>'Capital IQ Sheet-GPC'!N21</f>
        <v>280.68599999999998</v>
      </c>
      <c r="R19" s="465">
        <f t="shared" si="7"/>
        <v>778.02337000000011</v>
      </c>
      <c r="T19" s="401">
        <f t="shared" si="8"/>
        <v>42766</v>
      </c>
      <c r="U19" s="390">
        <f t="shared" si="9"/>
        <v>0</v>
      </c>
      <c r="V19" s="390">
        <f t="shared" si="10"/>
        <v>1</v>
      </c>
      <c r="W19" s="390">
        <f t="shared" si="11"/>
        <v>0.4</v>
      </c>
      <c r="Y19" s="815" t="str">
        <f>'MASTER PubCo Inputs'!B36</f>
        <v>NasdaqGM:BOLD</v>
      </c>
      <c r="Z19" s="259">
        <f>'Capital IQ Sheet-GPC'!H21</f>
        <v>778.02337</v>
      </c>
      <c r="AA19" s="903">
        <f t="shared" si="12"/>
        <v>0</v>
      </c>
      <c r="AC19" s="324"/>
      <c r="AG19" s="811"/>
    </row>
    <row r="20" spans="2:33" ht="14.85" customHeight="1">
      <c r="B20" s="234" t="str">
        <f>'Comp.1'!B20</f>
        <v>Sangamo Therapeutics, Inc.</v>
      </c>
      <c r="D20" s="517">
        <v>2</v>
      </c>
      <c r="E20" s="1471" t="s">
        <v>295</v>
      </c>
      <c r="F20" s="1471" t="s">
        <v>294</v>
      </c>
      <c r="H20" s="813">
        <f>HLOOKUP(D20,'Capital IQ Sheet-GPC'!$AQ$10:$AS$75,ROWS('Capital IQ Sheet-GPC'!AQ$10:AQ22),FALSE)</f>
        <v>1.83629</v>
      </c>
      <c r="I20" s="1472">
        <f t="shared" si="4"/>
        <v>1.83629</v>
      </c>
      <c r="K20" s="465">
        <f>'Capital IQ Sheet-GPC'!J22</f>
        <v>1193.4655700000001</v>
      </c>
      <c r="L20" s="465">
        <f>'Capital IQ Sheet-GPC'!K22</f>
        <v>0</v>
      </c>
      <c r="M20" s="465" t="str">
        <f>'Capital IQ Sheet-GPC'!L22</f>
        <v>n/a</v>
      </c>
      <c r="N20" s="465" t="str">
        <f>'Capital IQ Sheet-GPC'!M22</f>
        <v>n/a</v>
      </c>
      <c r="O20" s="465">
        <f t="shared" si="5"/>
        <v>0</v>
      </c>
      <c r="P20" s="465">
        <f t="shared" si="6"/>
        <v>1193.4655700000001</v>
      </c>
      <c r="Q20" s="465">
        <f>'Capital IQ Sheet-GPC'!N22</f>
        <v>458.57</v>
      </c>
      <c r="R20" s="465">
        <f t="shared" si="7"/>
        <v>734.89557000000013</v>
      </c>
      <c r="T20" s="401">
        <f t="shared" si="8"/>
        <v>42766</v>
      </c>
      <c r="U20" s="390">
        <f t="shared" si="9"/>
        <v>0</v>
      </c>
      <c r="V20" s="390">
        <f t="shared" si="10"/>
        <v>1</v>
      </c>
      <c r="W20" s="390">
        <f t="shared" si="11"/>
        <v>0.4</v>
      </c>
      <c r="Y20" s="815" t="str">
        <f>'MASTER PubCo Inputs'!B37</f>
        <v>NasdaqGS:SGMO</v>
      </c>
      <c r="Z20" s="259">
        <f>'Capital IQ Sheet-GPC'!H22</f>
        <v>734.89557000000002</v>
      </c>
      <c r="AA20" s="903">
        <f t="shared" si="12"/>
        <v>0</v>
      </c>
      <c r="AC20" s="324"/>
      <c r="AG20" s="811"/>
    </row>
    <row r="21" spans="2:33" ht="14.85" customHeight="1">
      <c r="B21" s="234" t="str">
        <f>'Comp.1'!B21</f>
        <v>Homology Medicines, Inc.</v>
      </c>
      <c r="D21" s="517">
        <v>2</v>
      </c>
      <c r="E21" s="1471" t="s">
        <v>295</v>
      </c>
      <c r="F21" s="1471" t="s">
        <v>294</v>
      </c>
      <c r="H21" s="813" t="str">
        <f>HLOOKUP(D21,'Capital IQ Sheet-GPC'!$AQ$10:$AS$75,ROWS('Capital IQ Sheet-GPC'!AQ$10:AQ23),FALSE)</f>
        <v>n/a</v>
      </c>
      <c r="I21" s="1472" t="str">
        <f t="shared" si="4"/>
        <v>n/a</v>
      </c>
      <c r="K21" s="465">
        <f>'Capital IQ Sheet-GPC'!J23</f>
        <v>756.27498000000003</v>
      </c>
      <c r="L21" s="465">
        <f>'Capital IQ Sheet-GPC'!K23</f>
        <v>0</v>
      </c>
      <c r="M21" s="465" t="str">
        <f>'Capital IQ Sheet-GPC'!L23</f>
        <v>n/a</v>
      </c>
      <c r="N21" s="465" t="str">
        <f>'Capital IQ Sheet-GPC'!M23</f>
        <v>n/a</v>
      </c>
      <c r="O21" s="465">
        <f t="shared" si="5"/>
        <v>0</v>
      </c>
      <c r="P21" s="465">
        <f t="shared" si="6"/>
        <v>756.27498000000003</v>
      </c>
      <c r="Q21" s="465">
        <f>'Capital IQ Sheet-GPC'!N23</f>
        <v>237.54401999999999</v>
      </c>
      <c r="R21" s="465">
        <f t="shared" si="7"/>
        <v>518.7309600000001</v>
      </c>
      <c r="T21" s="401">
        <f t="shared" si="8"/>
        <v>42766</v>
      </c>
      <c r="U21" s="390">
        <f t="shared" si="9"/>
        <v>0</v>
      </c>
      <c r="V21" s="390">
        <f t="shared" si="10"/>
        <v>1</v>
      </c>
      <c r="W21" s="390">
        <f t="shared" si="11"/>
        <v>0.4</v>
      </c>
      <c r="Y21" s="815" t="str">
        <f>'MASTER PubCo Inputs'!B38</f>
        <v>NasdaqGS:FIXX</v>
      </c>
      <c r="Z21" s="259">
        <f>'Capital IQ Sheet-GPC'!H23</f>
        <v>518.73095999999998</v>
      </c>
      <c r="AA21" s="903">
        <f t="shared" si="12"/>
        <v>0</v>
      </c>
      <c r="AC21" s="324"/>
      <c r="AG21" s="811"/>
    </row>
    <row r="22" spans="2:33" ht="14.85" customHeight="1">
      <c r="B22" s="234" t="str">
        <f>'Comp.1'!B22</f>
        <v>Corbus Pharmaceuticals Holdings, Inc.</v>
      </c>
      <c r="D22" s="517">
        <v>2</v>
      </c>
      <c r="E22" s="1471" t="s">
        <v>295</v>
      </c>
      <c r="F22" s="1471" t="s">
        <v>294</v>
      </c>
      <c r="H22" s="813">
        <f>HLOOKUP(D22,'Capital IQ Sheet-GPC'!$AQ$10:$AS$75,ROWS('Capital IQ Sheet-GPC'!AQ$10:AQ24),FALSE)</f>
        <v>2.0670000000000002</v>
      </c>
      <c r="I22" s="1472">
        <f t="shared" si="4"/>
        <v>2.0670000000000002</v>
      </c>
      <c r="K22" s="465">
        <f>'Capital IQ Sheet-GPC'!J24</f>
        <v>473.53946999999999</v>
      </c>
      <c r="L22" s="465">
        <f>'Capital IQ Sheet-GPC'!K24</f>
        <v>0</v>
      </c>
      <c r="M22" s="465" t="str">
        <f>'Capital IQ Sheet-GPC'!L24</f>
        <v>n/a</v>
      </c>
      <c r="N22" s="465" t="str">
        <f>'Capital IQ Sheet-GPC'!M24</f>
        <v>n/a</v>
      </c>
      <c r="O22" s="465">
        <f t="shared" si="5"/>
        <v>0</v>
      </c>
      <c r="P22" s="465">
        <f t="shared" si="6"/>
        <v>473.53946999999999</v>
      </c>
      <c r="Q22" s="465">
        <f>'Capital IQ Sheet-GPC'!N24</f>
        <v>55.659350000000003</v>
      </c>
      <c r="R22" s="465">
        <f t="shared" si="7"/>
        <v>417.88011999999998</v>
      </c>
      <c r="T22" s="401">
        <f t="shared" si="8"/>
        <v>42766</v>
      </c>
      <c r="U22" s="390">
        <f t="shared" si="9"/>
        <v>0</v>
      </c>
      <c r="V22" s="390">
        <f t="shared" si="10"/>
        <v>1</v>
      </c>
      <c r="W22" s="390">
        <f t="shared" si="11"/>
        <v>0.4</v>
      </c>
      <c r="Y22" s="815" t="str">
        <f>'MASTER PubCo Inputs'!B39</f>
        <v>NasdaqGM:CRBP</v>
      </c>
      <c r="Z22" s="259">
        <f>'Capital IQ Sheet-GPC'!H24</f>
        <v>417.88011999999998</v>
      </c>
      <c r="AA22" s="903">
        <f t="shared" si="12"/>
        <v>0</v>
      </c>
      <c r="AC22" s="324"/>
      <c r="AG22" s="811"/>
    </row>
    <row r="23" spans="2:33" ht="14.85" customHeight="1">
      <c r="B23" s="234" t="str">
        <f>'Comp.1'!B23</f>
        <v>GlycoMimetics, Inc.</v>
      </c>
      <c r="D23" s="517">
        <v>2</v>
      </c>
      <c r="E23" s="1471" t="s">
        <v>295</v>
      </c>
      <c r="F23" s="1471" t="s">
        <v>294</v>
      </c>
      <c r="H23" s="813">
        <f>HLOOKUP(D23,'Capital IQ Sheet-GPC'!$AQ$10:$AS$75,ROWS('Capital IQ Sheet-GPC'!AQ$10:AQ25),FALSE)</f>
        <v>0.99138999999999999</v>
      </c>
      <c r="I23" s="1472">
        <f t="shared" si="4"/>
        <v>0.99138999999999999</v>
      </c>
      <c r="K23" s="465">
        <f>'Capital IQ Sheet-GPC'!J25</f>
        <v>483.13693999999998</v>
      </c>
      <c r="L23" s="465">
        <f>'Capital IQ Sheet-GPC'!K25</f>
        <v>0</v>
      </c>
      <c r="M23" s="465" t="str">
        <f>'Capital IQ Sheet-GPC'!L25</f>
        <v>n/a</v>
      </c>
      <c r="N23" s="465" t="str">
        <f>'Capital IQ Sheet-GPC'!M25</f>
        <v>n/a</v>
      </c>
      <c r="O23" s="465">
        <f t="shared" si="5"/>
        <v>0</v>
      </c>
      <c r="P23" s="465">
        <f t="shared" si="6"/>
        <v>483.13693999999998</v>
      </c>
      <c r="Q23" s="465">
        <f>'Capital IQ Sheet-GPC'!N25</f>
        <v>219.82863</v>
      </c>
      <c r="R23" s="465">
        <f t="shared" si="7"/>
        <v>263.30831000000001</v>
      </c>
      <c r="T23" s="401">
        <f t="shared" si="8"/>
        <v>42766</v>
      </c>
      <c r="U23" s="390">
        <f t="shared" si="9"/>
        <v>0</v>
      </c>
      <c r="V23" s="390">
        <f t="shared" si="10"/>
        <v>1</v>
      </c>
      <c r="W23" s="390">
        <f t="shared" si="11"/>
        <v>0.4</v>
      </c>
      <c r="Y23" s="815" t="str">
        <f>'MASTER PubCo Inputs'!B40</f>
        <v>NasdaqGM:GLYC</v>
      </c>
      <c r="Z23" s="259">
        <f>'Capital IQ Sheet-GPC'!H25</f>
        <v>263.30831000000001</v>
      </c>
      <c r="AA23" s="903">
        <f t="shared" si="12"/>
        <v>0</v>
      </c>
      <c r="AC23" s="324"/>
      <c r="AG23" s="811"/>
    </row>
    <row r="24" spans="2:33" ht="14.85" customHeight="1">
      <c r="B24" s="234" t="str">
        <f>'Comp.1'!B24</f>
        <v>LogicBio Therapeutics, Inc.</v>
      </c>
      <c r="D24" s="517">
        <v>2</v>
      </c>
      <c r="E24" s="1471" t="s">
        <v>295</v>
      </c>
      <c r="F24" s="1471" t="s">
        <v>294</v>
      </c>
      <c r="H24" s="813" t="str">
        <f>HLOOKUP(D24,'Capital IQ Sheet-GPC'!$AQ$10:$AS$75,ROWS('Capital IQ Sheet-GPC'!AQ$10:AQ26),FALSE)</f>
        <v>n/a</v>
      </c>
      <c r="I24" s="1472" t="str">
        <f t="shared" si="4"/>
        <v>n/a</v>
      </c>
      <c r="K24" s="465">
        <f>'Capital IQ Sheet-GPC'!J26</f>
        <v>196.03698</v>
      </c>
      <c r="L24" s="465">
        <f>'Capital IQ Sheet-GPC'!K26</f>
        <v>0</v>
      </c>
      <c r="M24" s="465">
        <f>'Capital IQ Sheet-GPC'!L26</f>
        <v>33.061999999999998</v>
      </c>
      <c r="N24" s="465" t="str">
        <f>'Capital IQ Sheet-GPC'!M26</f>
        <v>n/a</v>
      </c>
      <c r="O24" s="465">
        <f t="shared" si="5"/>
        <v>33.061999999999998</v>
      </c>
      <c r="P24" s="465">
        <f t="shared" si="6"/>
        <v>229.09897999999998</v>
      </c>
      <c r="Q24" s="465">
        <f>'Capital IQ Sheet-GPC'!N26</f>
        <v>12.877000000000001</v>
      </c>
      <c r="R24" s="465">
        <f t="shared" si="7"/>
        <v>216.22197999999997</v>
      </c>
      <c r="T24" s="401">
        <f t="shared" si="8"/>
        <v>42766</v>
      </c>
      <c r="U24" s="390">
        <f t="shared" si="9"/>
        <v>0.14431316979237532</v>
      </c>
      <c r="V24" s="390">
        <f t="shared" si="10"/>
        <v>0.8556868302076247</v>
      </c>
      <c r="W24" s="390">
        <f t="shared" si="11"/>
        <v>0.4</v>
      </c>
      <c r="Y24" s="815" t="str">
        <f>'MASTER PubCo Inputs'!B41</f>
        <v>NasdaqGM:LOGC</v>
      </c>
      <c r="Z24" s="259">
        <f>'Capital IQ Sheet-GPC'!H26</f>
        <v>216.22198</v>
      </c>
      <c r="AA24" s="903">
        <f t="shared" si="12"/>
        <v>0</v>
      </c>
      <c r="AC24" s="324"/>
      <c r="AG24" s="811"/>
    </row>
    <row r="25" spans="2:33" ht="14.85" customHeight="1">
      <c r="B25" s="234" t="str">
        <f>'Comp.1'!B25</f>
        <v>Arbutus Biopharma Corporation</v>
      </c>
      <c r="D25" s="517">
        <v>2</v>
      </c>
      <c r="E25" s="1471" t="s">
        <v>295</v>
      </c>
      <c r="F25" s="1471" t="s">
        <v>294</v>
      </c>
      <c r="H25" s="813">
        <f>HLOOKUP(D25,'Capital IQ Sheet-GPC'!$AQ$10:$AS$75,ROWS('Capital IQ Sheet-GPC'!AQ$10:AQ27),FALSE)</f>
        <v>1.0720400000000001</v>
      </c>
      <c r="I25" s="1472">
        <f t="shared" si="4"/>
        <v>0.78722683266855142</v>
      </c>
      <c r="K25" s="465">
        <f>'Capital IQ Sheet-GPC'!J27</f>
        <v>204.79499999999999</v>
      </c>
      <c r="L25" s="465">
        <f>'Capital IQ Sheet-GPC'!K27</f>
        <v>0</v>
      </c>
      <c r="M25" s="465">
        <f>'Capital IQ Sheet-GPC'!L27</f>
        <v>123.489</v>
      </c>
      <c r="N25" s="465" t="str">
        <f>'Capital IQ Sheet-GPC'!M27</f>
        <v>n/a</v>
      </c>
      <c r="O25" s="465">
        <f t="shared" si="5"/>
        <v>123.489</v>
      </c>
      <c r="P25" s="465">
        <f t="shared" si="6"/>
        <v>328.28399999999999</v>
      </c>
      <c r="Q25" s="465">
        <f>'Capital IQ Sheet-GPC'!N27</f>
        <v>142.018</v>
      </c>
      <c r="R25" s="465">
        <f t="shared" si="7"/>
        <v>186.26599999999999</v>
      </c>
      <c r="T25" s="401">
        <f t="shared" si="8"/>
        <v>42766</v>
      </c>
      <c r="U25" s="390">
        <f t="shared" si="9"/>
        <v>0.37616514968746573</v>
      </c>
      <c r="V25" s="390">
        <f t="shared" si="10"/>
        <v>0.62383485031253427</v>
      </c>
      <c r="W25" s="390">
        <f t="shared" si="11"/>
        <v>0.4</v>
      </c>
      <c r="Y25" s="815" t="str">
        <f>'MASTER PubCo Inputs'!B42</f>
        <v>NasdaqGS:ABUS</v>
      </c>
      <c r="Z25" s="259">
        <f>'Capital IQ Sheet-GPC'!H27</f>
        <v>186.26599999999999</v>
      </c>
      <c r="AA25" s="903">
        <f t="shared" si="12"/>
        <v>0</v>
      </c>
      <c r="AC25" s="324"/>
      <c r="AG25" s="811"/>
    </row>
    <row r="26" spans="2:33" ht="14.85" customHeight="1">
      <c r="B26" s="234" t="str">
        <f>'Comp.1'!B26</f>
        <v>Voyager Therapeutics, Inc.</v>
      </c>
      <c r="D26" s="517">
        <v>2</v>
      </c>
      <c r="E26" s="1471" t="s">
        <v>295</v>
      </c>
      <c r="F26" s="1471" t="s">
        <v>294</v>
      </c>
      <c r="H26" s="813">
        <f>HLOOKUP(D26,'Capital IQ Sheet-GPC'!$AQ$10:$AS$75,ROWS('Capital IQ Sheet-GPC'!AQ$10:AQ28),FALSE)</f>
        <v>1.36425</v>
      </c>
      <c r="I26" s="1472">
        <f t="shared" si="4"/>
        <v>1.36425</v>
      </c>
      <c r="K26" s="465">
        <f>'Capital IQ Sheet-GPC'!J28</f>
        <v>341.52161000000001</v>
      </c>
      <c r="L26" s="465">
        <f>'Capital IQ Sheet-GPC'!K28</f>
        <v>0</v>
      </c>
      <c r="M26" s="465" t="str">
        <f>'Capital IQ Sheet-GPC'!L28</f>
        <v>n/a</v>
      </c>
      <c r="N26" s="465" t="str">
        <f>'Capital IQ Sheet-GPC'!M28</f>
        <v>n/a</v>
      </c>
      <c r="O26" s="465">
        <f t="shared" si="5"/>
        <v>0</v>
      </c>
      <c r="P26" s="465">
        <f t="shared" si="6"/>
        <v>341.52161000000001</v>
      </c>
      <c r="Q26" s="465">
        <f>'Capital IQ Sheet-GPC'!N28</f>
        <v>179.601</v>
      </c>
      <c r="R26" s="465">
        <f t="shared" si="7"/>
        <v>161.92061000000001</v>
      </c>
      <c r="T26" s="401">
        <f t="shared" si="8"/>
        <v>42766</v>
      </c>
      <c r="U26" s="390">
        <f t="shared" si="9"/>
        <v>0</v>
      </c>
      <c r="V26" s="390">
        <f t="shared" si="10"/>
        <v>1</v>
      </c>
      <c r="W26" s="390">
        <f t="shared" si="11"/>
        <v>0.4</v>
      </c>
      <c r="Y26" s="815" t="str">
        <f>'MASTER PubCo Inputs'!B43</f>
        <v>NasdaqGS:VYGR</v>
      </c>
      <c r="Z26" s="259">
        <f>'Capital IQ Sheet-GPC'!H28</f>
        <v>161.92061000000001</v>
      </c>
      <c r="AA26" s="903">
        <f t="shared" si="12"/>
        <v>0</v>
      </c>
      <c r="AC26" s="324"/>
      <c r="AG26" s="811"/>
    </row>
    <row r="27" spans="2:33" ht="14.85" customHeight="1">
      <c r="B27" s="234" t="str">
        <f>'Comp.1'!B27</f>
        <v>La Jolla Pharmaceutical Company</v>
      </c>
      <c r="D27" s="517">
        <v>2</v>
      </c>
      <c r="E27" s="1471" t="s">
        <v>295</v>
      </c>
      <c r="F27" s="1471" t="s">
        <v>294</v>
      </c>
      <c r="H27" s="813">
        <f>HLOOKUP(D27,'Capital IQ Sheet-GPC'!$AQ$10:$AS$75,ROWS('Capital IQ Sheet-GPC'!AQ$10:AQ29),FALSE)</f>
        <v>0.55025000000000002</v>
      </c>
      <c r="I27" s="1472">
        <f t="shared" si="4"/>
        <v>0.36783211013708617</v>
      </c>
      <c r="K27" s="465">
        <f>'Capital IQ Sheet-GPC'!J29</f>
        <v>158.45113000000001</v>
      </c>
      <c r="L27" s="465">
        <f>'Capital IQ Sheet-GPC'!K29</f>
        <v>124.324</v>
      </c>
      <c r="M27" s="465">
        <f>'Capital IQ Sheet-GPC'!L29</f>
        <v>6.6429999999999998</v>
      </c>
      <c r="N27" s="465" t="str">
        <f>'Capital IQ Sheet-GPC'!M29</f>
        <v>n/a</v>
      </c>
      <c r="O27" s="465">
        <f t="shared" si="5"/>
        <v>130.96699999999998</v>
      </c>
      <c r="P27" s="465">
        <f t="shared" si="6"/>
        <v>289.41812999999996</v>
      </c>
      <c r="Q27" s="465">
        <f>'Capital IQ Sheet-GPC'!N29</f>
        <v>204.33699999999999</v>
      </c>
      <c r="R27" s="465">
        <f t="shared" si="7"/>
        <v>85.081129999999973</v>
      </c>
      <c r="T27" s="401">
        <f t="shared" si="8"/>
        <v>42766</v>
      </c>
      <c r="U27" s="390">
        <f t="shared" si="9"/>
        <v>0.45251829938919169</v>
      </c>
      <c r="V27" s="390">
        <f t="shared" si="10"/>
        <v>0.54748170061080836</v>
      </c>
      <c r="W27" s="390">
        <f t="shared" si="11"/>
        <v>0.4</v>
      </c>
      <c r="Y27" s="815" t="str">
        <f>'MASTER PubCo Inputs'!B45</f>
        <v>NasdaqGM:PTGX</v>
      </c>
      <c r="Z27" s="259">
        <f>'Capital IQ Sheet-GPC'!H29</f>
        <v>85.081130000000002</v>
      </c>
      <c r="AA27" s="903">
        <f t="shared" si="12"/>
        <v>0</v>
      </c>
      <c r="AC27" s="324"/>
      <c r="AG27" s="811"/>
    </row>
    <row r="28" spans="2:33" ht="14.85" customHeight="1">
      <c r="B28" s="234" t="str">
        <f>'Comp.1'!B28</f>
        <v>Protagonist Therapeutics, Inc.</v>
      </c>
      <c r="D28" s="517">
        <v>2</v>
      </c>
      <c r="E28" s="1471" t="s">
        <v>295</v>
      </c>
      <c r="F28" s="1471" t="s">
        <v>294</v>
      </c>
      <c r="H28" s="813">
        <f>HLOOKUP(D28,'Capital IQ Sheet-GPC'!$AQ$10:$AS$75,ROWS('Capital IQ Sheet-GPC'!AQ$10:AQ30),FALSE)</f>
        <v>0.19750000000000001</v>
      </c>
      <c r="I28" s="1472">
        <f t="shared" si="4"/>
        <v>0.19750000000000001</v>
      </c>
      <c r="K28" s="465">
        <f>'Capital IQ Sheet-GPC'!J30</f>
        <v>197.11606</v>
      </c>
      <c r="L28" s="465">
        <f>'Capital IQ Sheet-GPC'!K30</f>
        <v>0</v>
      </c>
      <c r="M28" s="465" t="str">
        <f>'Capital IQ Sheet-GPC'!L30</f>
        <v>n/a</v>
      </c>
      <c r="N28" s="465" t="str">
        <f>'Capital IQ Sheet-GPC'!M30</f>
        <v>n/a</v>
      </c>
      <c r="O28" s="465">
        <f t="shared" si="5"/>
        <v>0</v>
      </c>
      <c r="P28" s="465">
        <f t="shared" si="6"/>
        <v>197.11606</v>
      </c>
      <c r="Q28" s="465">
        <f>'Capital IQ Sheet-GPC'!N30</f>
        <v>138.517</v>
      </c>
      <c r="R28" s="465">
        <f t="shared" si="7"/>
        <v>58.599060000000009</v>
      </c>
      <c r="T28" s="401">
        <f t="shared" si="8"/>
        <v>42766</v>
      </c>
      <c r="U28" s="390">
        <f t="shared" si="9"/>
        <v>0</v>
      </c>
      <c r="V28" s="390">
        <f t="shared" si="10"/>
        <v>1</v>
      </c>
      <c r="W28" s="390">
        <f t="shared" si="11"/>
        <v>0.4</v>
      </c>
      <c r="Y28" s="815" t="str">
        <f>'MASTER PubCo Inputs'!B46</f>
        <v>NasdaqCM:FCSC</v>
      </c>
      <c r="Z28" s="259">
        <f>'Capital IQ Sheet-GPC'!H30</f>
        <v>58.599049999999998</v>
      </c>
      <c r="AA28" s="903">
        <f t="shared" si="12"/>
        <v>1.0000000010279564E-5</v>
      </c>
      <c r="AC28" s="324"/>
      <c r="AG28" s="811"/>
    </row>
    <row r="29" spans="2:33" ht="14.85" customHeight="1">
      <c r="B29" s="234" t="str">
        <f>'Comp.1'!B29</f>
        <v>Fibrocell Science, Inc.</v>
      </c>
      <c r="D29" s="517">
        <v>2</v>
      </c>
      <c r="E29" s="1471" t="s">
        <v>295</v>
      </c>
      <c r="F29" s="1471" t="s">
        <v>294</v>
      </c>
      <c r="H29" s="813">
        <f>HLOOKUP(D29,'Capital IQ Sheet-GPC'!$AQ$10:$AS$75,ROWS('Capital IQ Sheet-GPC'!AQ$10:AQ31),FALSE)</f>
        <v>1.0607</v>
      </c>
      <c r="I29" s="1472">
        <f t="shared" si="4"/>
        <v>0.85683880243099009</v>
      </c>
      <c r="K29" s="465">
        <f>'Capital IQ Sheet-GPC'!J31</f>
        <v>19.22391</v>
      </c>
      <c r="L29" s="465">
        <f>'Capital IQ Sheet-GPC'!K31</f>
        <v>0</v>
      </c>
      <c r="M29" s="465">
        <f>'Capital IQ Sheet-GPC'!L31</f>
        <v>7.6230000000000002</v>
      </c>
      <c r="N29" s="465" t="str">
        <f>'Capital IQ Sheet-GPC'!M31</f>
        <v>n/a</v>
      </c>
      <c r="O29" s="465">
        <f t="shared" si="5"/>
        <v>7.6230000000000002</v>
      </c>
      <c r="P29" s="465">
        <f t="shared" si="6"/>
        <v>26.846910000000001</v>
      </c>
      <c r="Q29" s="465">
        <f>'Capital IQ Sheet-GPC'!N31</f>
        <v>16.111000000000001</v>
      </c>
      <c r="R29" s="465">
        <f t="shared" si="7"/>
        <v>10.735910000000001</v>
      </c>
      <c r="T29" s="401">
        <f t="shared" si="8"/>
        <v>42766</v>
      </c>
      <c r="U29" s="390">
        <f t="shared" si="9"/>
        <v>0.28394329179782701</v>
      </c>
      <c r="V29" s="390">
        <f t="shared" si="10"/>
        <v>0.71605670820217293</v>
      </c>
      <c r="W29" s="390">
        <f t="shared" si="11"/>
        <v>0.4</v>
      </c>
      <c r="Y29" s="815" t="str">
        <f>'MASTER PubCo Inputs'!B47</f>
        <v>(Invalid Identifier)</v>
      </c>
      <c r="Z29" s="259">
        <f>'Capital IQ Sheet-GPC'!H31</f>
        <v>10.735910000000001</v>
      </c>
      <c r="AA29" s="903">
        <f t="shared" si="12"/>
        <v>0</v>
      </c>
      <c r="AC29" s="324"/>
      <c r="AG29" s="811"/>
    </row>
    <row r="30" spans="2:33" ht="14.85" customHeight="1">
      <c r="D30" s="517"/>
      <c r="E30" s="1471"/>
      <c r="F30" s="1471"/>
      <c r="H30" s="813"/>
      <c r="I30" s="1472"/>
      <c r="K30" s="465"/>
      <c r="L30" s="465"/>
      <c r="M30" s="465"/>
      <c r="N30" s="465"/>
      <c r="O30" s="465"/>
      <c r="P30" s="465"/>
      <c r="Q30" s="465"/>
      <c r="R30" s="465"/>
      <c r="T30" s="401"/>
      <c r="U30" s="390"/>
      <c r="V30" s="390"/>
      <c r="W30" s="390"/>
      <c r="Y30" s="815"/>
      <c r="Z30" s="259"/>
      <c r="AA30" s="903"/>
      <c r="AC30" s="324"/>
      <c r="AG30" s="811"/>
    </row>
    <row r="31" spans="2:33" ht="14.85" customHeight="1">
      <c r="B31" s="1369" t="str">
        <f>'Comp.1'!B31</f>
        <v>CRISPR/Cas9</v>
      </c>
      <c r="D31" s="1306"/>
      <c r="E31" s="1471" t="s">
        <v>295</v>
      </c>
      <c r="F31" s="1471" t="s">
        <v>294</v>
      </c>
      <c r="H31" s="813"/>
      <c r="I31" s="1472"/>
      <c r="K31" s="465"/>
      <c r="L31" s="465"/>
      <c r="M31" s="465"/>
      <c r="N31" s="465"/>
      <c r="O31" s="465"/>
      <c r="P31" s="465"/>
      <c r="Q31" s="465"/>
      <c r="R31" s="465"/>
      <c r="T31" s="401"/>
      <c r="U31" s="390"/>
      <c r="V31" s="390"/>
      <c r="W31" s="390"/>
      <c r="Y31" s="815"/>
      <c r="Z31" s="259"/>
      <c r="AA31" s="903"/>
      <c r="AC31" s="324"/>
      <c r="AG31" s="811"/>
    </row>
    <row r="32" spans="2:33" ht="14.85" customHeight="1">
      <c r="B32" s="234" t="str">
        <f>'Comp.1'!B32</f>
        <v>CRISPR Therapeutics AG</v>
      </c>
      <c r="D32" s="517">
        <v>2</v>
      </c>
      <c r="E32" s="1471" t="s">
        <v>295</v>
      </c>
      <c r="F32" s="1471" t="s">
        <v>294</v>
      </c>
      <c r="H32" s="813">
        <f>HLOOKUP(D32,'Capital IQ Sheet-GPC'!$AQ$10:$AS$75,ROWS('Capital IQ Sheet-GPC'!AQ$10:AQ33),FALSE)</f>
        <v>2.5017299999999998</v>
      </c>
      <c r="I32" s="1472">
        <f t="shared" si="4"/>
        <v>2.5017299999999998</v>
      </c>
      <c r="K32" s="465">
        <f>'Capital IQ Sheet-GPC'!J33</f>
        <v>1679.8645300000001</v>
      </c>
      <c r="L32" s="465">
        <f>'Capital IQ Sheet-GPC'!K33</f>
        <v>0</v>
      </c>
      <c r="M32" s="465" t="str">
        <f>'Capital IQ Sheet-GPC'!L33</f>
        <v>n/a</v>
      </c>
      <c r="N32" s="465" t="str">
        <f>'Capital IQ Sheet-GPC'!M33</f>
        <v>n/a</v>
      </c>
      <c r="O32" s="465">
        <f t="shared" si="5"/>
        <v>0</v>
      </c>
      <c r="P32" s="465">
        <f t="shared" si="6"/>
        <v>1679.8645300000001</v>
      </c>
      <c r="Q32" s="465">
        <f>'Capital IQ Sheet-GPC'!N33</f>
        <v>487.29500000000002</v>
      </c>
      <c r="R32" s="465">
        <f t="shared" si="7"/>
        <v>1192.56953</v>
      </c>
      <c r="T32" s="401">
        <f t="shared" si="8"/>
        <v>42766</v>
      </c>
      <c r="U32" s="390">
        <f t="shared" si="9"/>
        <v>0</v>
      </c>
      <c r="V32" s="390">
        <f t="shared" si="10"/>
        <v>1</v>
      </c>
      <c r="W32" s="390">
        <f t="shared" si="11"/>
        <v>0.4</v>
      </c>
      <c r="Y32" s="815" t="str">
        <f>'MASTER PubCo Inputs'!B49</f>
        <v>NasdaqGS:EDIT</v>
      </c>
      <c r="Z32" s="259">
        <f>'Capital IQ Sheet-GPC'!H33</f>
        <v>1192.56953</v>
      </c>
      <c r="AA32" s="903">
        <f t="shared" si="12"/>
        <v>0</v>
      </c>
      <c r="AC32" s="324"/>
      <c r="AG32" s="811"/>
    </row>
    <row r="33" spans="2:33" ht="14.85" customHeight="1">
      <c r="B33" s="234" t="str">
        <f>'Comp.1'!B33</f>
        <v>Editas Medicine, Inc.</v>
      </c>
      <c r="D33" s="517">
        <v>2</v>
      </c>
      <c r="E33" s="1471" t="s">
        <v>295</v>
      </c>
      <c r="F33" s="1471" t="s">
        <v>294</v>
      </c>
      <c r="H33" s="813">
        <f>HLOOKUP(D33,'Capital IQ Sheet-GPC'!$AQ$10:$AS$75,ROWS('Capital IQ Sheet-GPC'!AQ$10:AQ34),FALSE)</f>
        <v>2.11239</v>
      </c>
      <c r="I33" s="1472">
        <f t="shared" si="4"/>
        <v>2.0729893671326955</v>
      </c>
      <c r="K33" s="465">
        <f>'Capital IQ Sheet-GPC'!J34</f>
        <v>1032.0795800000001</v>
      </c>
      <c r="L33" s="465">
        <f>'Capital IQ Sheet-GPC'!K34</f>
        <v>32.694000000000003</v>
      </c>
      <c r="M33" s="465" t="str">
        <f>'Capital IQ Sheet-GPC'!L34</f>
        <v>n/a</v>
      </c>
      <c r="N33" s="465" t="str">
        <f>'Capital IQ Sheet-GPC'!M34</f>
        <v>n/a</v>
      </c>
      <c r="O33" s="465">
        <f t="shared" si="5"/>
        <v>32.694000000000003</v>
      </c>
      <c r="P33" s="465">
        <f t="shared" si="6"/>
        <v>1064.77358</v>
      </c>
      <c r="Q33" s="465">
        <f>'Capital IQ Sheet-GPC'!N34</f>
        <v>337.49200000000002</v>
      </c>
      <c r="R33" s="465">
        <f t="shared" si="7"/>
        <v>727.28158000000008</v>
      </c>
      <c r="T33" s="401">
        <f t="shared" si="8"/>
        <v>42766</v>
      </c>
      <c r="U33" s="390">
        <f t="shared" si="9"/>
        <v>3.0705119486529712E-2</v>
      </c>
      <c r="V33" s="390">
        <f t="shared" si="10"/>
        <v>0.96929488051347024</v>
      </c>
      <c r="W33" s="390">
        <f t="shared" si="11"/>
        <v>0.4</v>
      </c>
      <c r="Y33" s="815" t="str">
        <f>'MASTER PubCo Inputs'!B50</f>
        <v>NasdaqGM:NTLA</v>
      </c>
      <c r="Z33" s="259">
        <f>'Capital IQ Sheet-GPC'!H34</f>
        <v>727.28157999999996</v>
      </c>
      <c r="AA33" s="903">
        <f t="shared" si="12"/>
        <v>0</v>
      </c>
      <c r="AC33" s="324"/>
      <c r="AG33" s="811"/>
    </row>
    <row r="34" spans="2:33" ht="14.85" customHeight="1">
      <c r="B34" s="234" t="str">
        <f>'Comp.1'!B34</f>
        <v>Intellia Therapeutics, Inc.</v>
      </c>
      <c r="D34" s="517">
        <v>2</v>
      </c>
      <c r="E34" s="1471" t="s">
        <v>295</v>
      </c>
      <c r="F34" s="1471" t="s">
        <v>294</v>
      </c>
      <c r="H34" s="813">
        <f>HLOOKUP(D34,'Capital IQ Sheet-GPC'!$AQ$10:$AS$75,ROWS('Capital IQ Sheet-GPC'!AQ$10:AQ35),FALSE)</f>
        <v>2.3211200000000001</v>
      </c>
      <c r="I34" s="1472">
        <f t="shared" si="4"/>
        <v>2.3211200000000001</v>
      </c>
      <c r="K34" s="465">
        <f>'Capital IQ Sheet-GPC'!J35</f>
        <v>613.94893999999999</v>
      </c>
      <c r="L34" s="465">
        <f>'Capital IQ Sheet-GPC'!K35</f>
        <v>0</v>
      </c>
      <c r="M34" s="465" t="str">
        <f>'Capital IQ Sheet-GPC'!L35</f>
        <v>n/a</v>
      </c>
      <c r="N34" s="465" t="str">
        <f>'Capital IQ Sheet-GPC'!M35</f>
        <v>n/a</v>
      </c>
      <c r="O34" s="465">
        <f t="shared" si="5"/>
        <v>0</v>
      </c>
      <c r="P34" s="465">
        <f t="shared" si="6"/>
        <v>613.94893999999999</v>
      </c>
      <c r="Q34" s="465">
        <f>'Capital IQ Sheet-GPC'!N35</f>
        <v>293.24799999999999</v>
      </c>
      <c r="R34" s="465">
        <f t="shared" si="7"/>
        <v>320.70094</v>
      </c>
      <c r="T34" s="401">
        <f t="shared" si="8"/>
        <v>42766</v>
      </c>
      <c r="U34" s="390">
        <f t="shared" si="9"/>
        <v>0</v>
      </c>
      <c r="V34" s="390">
        <f t="shared" si="10"/>
        <v>1</v>
      </c>
      <c r="W34" s="390">
        <f t="shared" si="11"/>
        <v>0.4</v>
      </c>
      <c r="Y34" s="815" t="str">
        <f>'MASTER PubCo Inputs'!B51</f>
        <v>NasdaqCM:ABEO</v>
      </c>
      <c r="Z34" s="259">
        <f>'Capital IQ Sheet-GPC'!H35</f>
        <v>320.70094</v>
      </c>
      <c r="AA34" s="903">
        <f t="shared" si="12"/>
        <v>0</v>
      </c>
      <c r="AC34" s="324"/>
      <c r="AG34" s="811"/>
    </row>
    <row r="35" spans="2:33" ht="14.85" customHeight="1">
      <c r="B35" s="234" t="str">
        <f>'Comp.1'!B35</f>
        <v>Abeona Therapeutics Inc.</v>
      </c>
      <c r="D35" s="517">
        <v>2</v>
      </c>
      <c r="E35" s="1471" t="s">
        <v>295</v>
      </c>
      <c r="F35" s="1471" t="s">
        <v>294</v>
      </c>
      <c r="H35" s="813">
        <f>HLOOKUP(D35,'Capital IQ Sheet-GPC'!$AQ$10:$AS$75,ROWS('Capital IQ Sheet-GPC'!AQ$10:AQ36),FALSE)</f>
        <v>1.5396099999999999</v>
      </c>
      <c r="I35" s="1472">
        <f t="shared" si="4"/>
        <v>1.5396099999999999</v>
      </c>
      <c r="K35" s="465">
        <f>'Capital IQ Sheet-GPC'!J36</f>
        <v>325.54306000000003</v>
      </c>
      <c r="L35" s="465">
        <f>'Capital IQ Sheet-GPC'!K36</f>
        <v>0</v>
      </c>
      <c r="M35" s="465" t="str">
        <f>'Capital IQ Sheet-GPC'!L36</f>
        <v>n/a</v>
      </c>
      <c r="N35" s="465" t="str">
        <f>'Capital IQ Sheet-GPC'!M36</f>
        <v>n/a</v>
      </c>
      <c r="O35" s="465">
        <f t="shared" si="5"/>
        <v>0</v>
      </c>
      <c r="P35" s="465">
        <f t="shared" si="6"/>
        <v>325.54306000000003</v>
      </c>
      <c r="Q35" s="465">
        <f>'Capital IQ Sheet-GPC'!N36</f>
        <v>112.224</v>
      </c>
      <c r="R35" s="465">
        <f t="shared" si="7"/>
        <v>213.31906000000004</v>
      </c>
      <c r="T35" s="401">
        <f t="shared" si="8"/>
        <v>42766</v>
      </c>
      <c r="U35" s="390">
        <f t="shared" si="9"/>
        <v>0</v>
      </c>
      <c r="V35" s="390">
        <f t="shared" si="10"/>
        <v>1</v>
      </c>
      <c r="W35" s="390">
        <f t="shared" si="11"/>
        <v>0.4</v>
      </c>
      <c r="Y35" s="815">
        <f>'MASTER PubCo Inputs'!B52</f>
        <v>0</v>
      </c>
      <c r="Z35" s="259">
        <f>'Capital IQ Sheet-GPC'!H36</f>
        <v>213.31906000000001</v>
      </c>
      <c r="AA35" s="903">
        <f t="shared" si="12"/>
        <v>0</v>
      </c>
      <c r="AC35" s="324"/>
      <c r="AG35" s="811"/>
    </row>
    <row r="36" spans="2:33" ht="14.85" hidden="1" customHeight="1" outlineLevel="1">
      <c r="D36" s="517"/>
      <c r="E36" s="1471"/>
      <c r="F36" s="1471"/>
      <c r="H36" s="813"/>
      <c r="I36" s="1472"/>
      <c r="K36" s="465"/>
      <c r="L36" s="465"/>
      <c r="M36" s="465"/>
      <c r="N36" s="465"/>
      <c r="O36" s="465"/>
      <c r="P36" s="465"/>
      <c r="Q36" s="465"/>
      <c r="R36" s="465"/>
      <c r="T36" s="401"/>
      <c r="U36" s="390"/>
      <c r="V36" s="390"/>
      <c r="W36" s="390"/>
      <c r="Y36" s="815"/>
      <c r="Z36" s="259"/>
      <c r="AA36" s="903"/>
      <c r="AC36" s="324"/>
      <c r="AG36" s="811"/>
    </row>
    <row r="37" spans="2:33" ht="14.85" hidden="1" customHeight="1" outlineLevel="1">
      <c r="D37" s="517"/>
      <c r="E37" s="1471"/>
      <c r="F37" s="1471"/>
      <c r="H37" s="813"/>
      <c r="I37" s="1472"/>
      <c r="K37" s="465"/>
      <c r="L37" s="465"/>
      <c r="M37" s="465"/>
      <c r="N37" s="465"/>
      <c r="O37" s="465"/>
      <c r="P37" s="465"/>
      <c r="Q37" s="465"/>
      <c r="R37" s="465"/>
      <c r="T37" s="401"/>
      <c r="U37" s="390"/>
      <c r="V37" s="390"/>
      <c r="W37" s="390"/>
      <c r="Y37" s="815"/>
      <c r="Z37" s="259"/>
      <c r="AA37" s="903"/>
      <c r="AC37" s="324"/>
      <c r="AG37" s="811"/>
    </row>
    <row r="38" spans="2:33" ht="14.85" hidden="1" customHeight="1" outlineLevel="1">
      <c r="D38" s="517"/>
      <c r="E38" s="1471"/>
      <c r="F38" s="1471"/>
      <c r="H38" s="813"/>
      <c r="I38" s="1472"/>
      <c r="K38" s="465"/>
      <c r="L38" s="465"/>
      <c r="M38" s="465"/>
      <c r="N38" s="465"/>
      <c r="O38" s="465"/>
      <c r="P38" s="465"/>
      <c r="Q38" s="465"/>
      <c r="R38" s="465"/>
      <c r="T38" s="401"/>
      <c r="U38" s="390"/>
      <c r="V38" s="390"/>
      <c r="W38" s="390"/>
      <c r="Y38" s="815"/>
      <c r="Z38" s="259"/>
      <c r="AA38" s="903"/>
      <c r="AC38" s="324"/>
      <c r="AG38" s="811"/>
    </row>
    <row r="39" spans="2:33" ht="14.85" hidden="1" customHeight="1" outlineLevel="1">
      <c r="D39" s="517"/>
      <c r="E39" s="1471"/>
      <c r="F39" s="1471"/>
      <c r="H39" s="813"/>
      <c r="I39" s="1472"/>
      <c r="K39" s="465"/>
      <c r="L39" s="465"/>
      <c r="M39" s="465"/>
      <c r="N39" s="465"/>
      <c r="O39" s="465"/>
      <c r="P39" s="465"/>
      <c r="Q39" s="465"/>
      <c r="R39" s="465"/>
      <c r="T39" s="401"/>
      <c r="U39" s="390"/>
      <c r="V39" s="390"/>
      <c r="W39" s="390"/>
      <c r="Y39" s="815"/>
      <c r="Z39" s="259"/>
      <c r="AA39" s="903"/>
      <c r="AC39" s="324"/>
      <c r="AG39" s="811"/>
    </row>
    <row r="40" spans="2:33" ht="14.85" hidden="1" customHeight="1" outlineLevel="1">
      <c r="D40" s="517"/>
      <c r="E40" s="1471"/>
      <c r="F40" s="1471"/>
      <c r="H40" s="813"/>
      <c r="I40" s="1472"/>
      <c r="K40" s="465"/>
      <c r="L40" s="465"/>
      <c r="M40" s="465"/>
      <c r="N40" s="465"/>
      <c r="O40" s="465"/>
      <c r="P40" s="465"/>
      <c r="Q40" s="465"/>
      <c r="R40" s="465"/>
      <c r="T40" s="401"/>
      <c r="U40" s="390"/>
      <c r="V40" s="390"/>
      <c r="W40" s="390"/>
      <c r="Y40" s="815"/>
      <c r="Z40" s="259"/>
      <c r="AA40" s="903"/>
      <c r="AC40" s="324"/>
      <c r="AG40" s="811"/>
    </row>
    <row r="41" spans="2:33" ht="14.85" customHeight="1" collapsed="1">
      <c r="K41" s="259"/>
      <c r="L41" s="259"/>
      <c r="M41" s="259"/>
      <c r="N41" s="259"/>
      <c r="O41" s="259"/>
      <c r="P41" s="259"/>
      <c r="Q41" s="259"/>
      <c r="R41" s="259"/>
      <c r="S41" s="435"/>
      <c r="T41" s="435"/>
      <c r="U41" s="435"/>
      <c r="V41" s="435"/>
      <c r="W41" s="435"/>
    </row>
    <row r="42" spans="2:33" ht="14.85" customHeight="1">
      <c r="B42" s="817" t="s">
        <v>111</v>
      </c>
      <c r="C42" s="819"/>
      <c r="D42" s="819"/>
      <c r="E42" s="819"/>
      <c r="F42" s="819"/>
      <c r="G42" s="819"/>
      <c r="H42" s="1473">
        <f>MAX(H11:H40)</f>
        <v>2.5017299999999998</v>
      </c>
      <c r="I42" s="1473">
        <f>MAX(I11:I40)</f>
        <v>2.5017299999999998</v>
      </c>
      <c r="J42" s="819"/>
      <c r="K42" s="818">
        <f t="shared" ref="K42:R42" si="13">MAX(K11:K40)</f>
        <v>8868.9653999999991</v>
      </c>
      <c r="L42" s="818">
        <f t="shared" si="13"/>
        <v>409.30599999999998</v>
      </c>
      <c r="M42" s="818">
        <f t="shared" si="13"/>
        <v>123.489</v>
      </c>
      <c r="N42" s="818">
        <f t="shared" si="13"/>
        <v>0</v>
      </c>
      <c r="O42" s="818">
        <f t="shared" si="13"/>
        <v>409.30599999999998</v>
      </c>
      <c r="P42" s="818">
        <f t="shared" si="13"/>
        <v>8898.9653999999991</v>
      </c>
      <c r="Q42" s="818">
        <f t="shared" si="13"/>
        <v>1695.2950000000001</v>
      </c>
      <c r="R42" s="820">
        <f t="shared" si="13"/>
        <v>7662.1313999999993</v>
      </c>
      <c r="S42" s="434"/>
      <c r="T42" s="434"/>
      <c r="U42" s="862">
        <f>MAX(U11:U40)</f>
        <v>0.45251829938919169</v>
      </c>
      <c r="V42" s="862">
        <f>MAX(V11:V40)</f>
        <v>1</v>
      </c>
      <c r="W42" s="434"/>
    </row>
    <row r="43" spans="2:33" ht="14.85" customHeight="1">
      <c r="B43" s="821" t="s">
        <v>115</v>
      </c>
      <c r="C43" s="823"/>
      <c r="D43" s="823"/>
      <c r="E43" s="823"/>
      <c r="F43" s="823"/>
      <c r="G43" s="823"/>
      <c r="H43" s="1366">
        <f>QUARTILE(H11:H40,3)</f>
        <v>1.83629</v>
      </c>
      <c r="I43" s="1366">
        <f>QUARTILE(I11:I40,3)</f>
        <v>1.8299056014666832</v>
      </c>
      <c r="J43" s="823"/>
      <c r="K43" s="822">
        <f t="shared" ref="K43:R43" si="14">QUARTILE(K11:K40,3)</f>
        <v>1742.465835</v>
      </c>
      <c r="L43" s="822">
        <f t="shared" si="14"/>
        <v>25.353999999999999</v>
      </c>
      <c r="M43" s="822">
        <f t="shared" si="14"/>
        <v>55.668750000000003</v>
      </c>
      <c r="N43" s="822" t="e">
        <f t="shared" si="14"/>
        <v>#NUM!</v>
      </c>
      <c r="O43" s="822">
        <f t="shared" si="14"/>
        <v>32.878</v>
      </c>
      <c r="P43" s="822">
        <f t="shared" si="14"/>
        <v>1784.9113350000002</v>
      </c>
      <c r="Q43" s="822">
        <f t="shared" si="14"/>
        <v>377.9085</v>
      </c>
      <c r="R43" s="824">
        <f t="shared" si="14"/>
        <v>1251.21766</v>
      </c>
      <c r="S43" s="434"/>
      <c r="T43" s="434"/>
      <c r="U43" s="862">
        <f>QUARTILE(U11:U40,3)</f>
        <v>3.7810993663923015E-2</v>
      </c>
      <c r="V43" s="862">
        <f>QUARTILE(V11:V40,3)</f>
        <v>1</v>
      </c>
      <c r="W43" s="434"/>
    </row>
    <row r="44" spans="2:33" ht="14.85" customHeight="1">
      <c r="B44" s="821" t="s">
        <v>113</v>
      </c>
      <c r="C44" s="823"/>
      <c r="D44" s="823"/>
      <c r="E44" s="823"/>
      <c r="F44" s="823"/>
      <c r="G44" s="823"/>
      <c r="H44" s="1366">
        <f>AVERAGE(H11:H40)</f>
        <v>1.416797619047619</v>
      </c>
      <c r="I44" s="1366">
        <f>AVERAGE(I11:I40)</f>
        <v>1.3725916957260402</v>
      </c>
      <c r="J44" s="823"/>
      <c r="K44" s="822">
        <f t="shared" ref="K44:R44" si="15">AVERAGE(K11:K40)</f>
        <v>1587.2495647826088</v>
      </c>
      <c r="L44" s="822">
        <f t="shared" si="15"/>
        <v>37.258999999999993</v>
      </c>
      <c r="M44" s="822">
        <f t="shared" si="15"/>
        <v>42.704249999999995</v>
      </c>
      <c r="N44" s="822" t="e">
        <f t="shared" si="15"/>
        <v>#DIV/0!</v>
      </c>
      <c r="O44" s="822">
        <f t="shared" si="15"/>
        <v>44.685826086956517</v>
      </c>
      <c r="P44" s="822">
        <f t="shared" si="15"/>
        <v>1631.9353908695655</v>
      </c>
      <c r="Q44" s="822">
        <f t="shared" si="15"/>
        <v>354.92808695652167</v>
      </c>
      <c r="R44" s="824">
        <f t="shared" si="15"/>
        <v>1277.0073039130434</v>
      </c>
      <c r="S44" s="434"/>
      <c r="T44" s="434"/>
      <c r="U44" s="862">
        <f>AVERAGE(U11:U40)</f>
        <v>6.6762403236340515E-2</v>
      </c>
      <c r="V44" s="862">
        <f>AVERAGE(V11:V40)</f>
        <v>0.93323759676365936</v>
      </c>
      <c r="W44" s="434"/>
    </row>
    <row r="45" spans="2:33" ht="14.85" customHeight="1">
      <c r="B45" s="821" t="s">
        <v>44</v>
      </c>
      <c r="C45" s="823"/>
      <c r="D45" s="823"/>
      <c r="E45" s="823"/>
      <c r="F45" s="823"/>
      <c r="G45" s="823"/>
      <c r="H45" s="1366">
        <f>MEDIAN(H11:H40)</f>
        <v>1.45424</v>
      </c>
      <c r="I45" s="1366">
        <f>MEDIAN(I11:I40)</f>
        <v>1.36425</v>
      </c>
      <c r="J45" s="823"/>
      <c r="K45" s="822">
        <f t="shared" ref="K45:R45" si="16">MEDIAN(K11:K40)</f>
        <v>1032.0795800000001</v>
      </c>
      <c r="L45" s="822">
        <f t="shared" si="16"/>
        <v>0</v>
      </c>
      <c r="M45" s="822">
        <f t="shared" si="16"/>
        <v>20.342499999999998</v>
      </c>
      <c r="N45" s="822" t="e">
        <f t="shared" si="16"/>
        <v>#NUM!</v>
      </c>
      <c r="O45" s="822">
        <f t="shared" si="16"/>
        <v>0</v>
      </c>
      <c r="P45" s="822">
        <f t="shared" si="16"/>
        <v>1058.70937</v>
      </c>
      <c r="Q45" s="822">
        <f t="shared" si="16"/>
        <v>239.54599999999999</v>
      </c>
      <c r="R45" s="824">
        <f t="shared" si="16"/>
        <v>727.28158000000008</v>
      </c>
      <c r="S45" s="434"/>
      <c r="T45" s="434"/>
      <c r="U45" s="862">
        <f>MEDIAN(U11:U40)</f>
        <v>0</v>
      </c>
      <c r="V45" s="862">
        <f>MEDIAN(V11:V40)</f>
        <v>1</v>
      </c>
      <c r="W45" s="434"/>
    </row>
    <row r="46" spans="2:33" ht="14.85" customHeight="1">
      <c r="B46" s="821" t="s">
        <v>114</v>
      </c>
      <c r="C46" s="823"/>
      <c r="D46" s="823"/>
      <c r="E46" s="823"/>
      <c r="F46" s="823"/>
      <c r="G46" s="823"/>
      <c r="H46" s="1366">
        <f>QUARTILE(H11:H40,1)</f>
        <v>1.0720400000000001</v>
      </c>
      <c r="I46" s="1366">
        <f>QUARTILE(I11:I40,1)</f>
        <v>0.99138999999999999</v>
      </c>
      <c r="J46" s="823"/>
      <c r="K46" s="822">
        <f t="shared" ref="K46:R46" si="17">QUARTILE(K11:K40,1)</f>
        <v>333.53233499999999</v>
      </c>
      <c r="L46" s="822">
        <f t="shared" si="17"/>
        <v>0</v>
      </c>
      <c r="M46" s="822">
        <f t="shared" si="17"/>
        <v>7.3780000000000001</v>
      </c>
      <c r="N46" s="822" t="e">
        <f t="shared" si="17"/>
        <v>#NUM!</v>
      </c>
      <c r="O46" s="822">
        <f t="shared" si="17"/>
        <v>0</v>
      </c>
      <c r="P46" s="822">
        <f t="shared" si="17"/>
        <v>334.902805</v>
      </c>
      <c r="Q46" s="822">
        <f t="shared" si="17"/>
        <v>151.708</v>
      </c>
      <c r="R46" s="824">
        <f t="shared" si="17"/>
        <v>214.77052</v>
      </c>
      <c r="S46" s="434"/>
      <c r="T46" s="434"/>
      <c r="U46" s="862">
        <f>QUARTILE(U11:U40,1)</f>
        <v>0</v>
      </c>
      <c r="V46" s="862">
        <f>QUARTILE(V11:V40,1)</f>
        <v>0.96218900633607696</v>
      </c>
      <c r="W46" s="434"/>
    </row>
    <row r="47" spans="2:33" ht="14.85" customHeight="1">
      <c r="B47" s="754" t="s">
        <v>112</v>
      </c>
      <c r="C47" s="556"/>
      <c r="D47" s="556"/>
      <c r="E47" s="556"/>
      <c r="F47" s="556"/>
      <c r="G47" s="556"/>
      <c r="H47" s="1368">
        <f>MIN(H11:H40)</f>
        <v>0.19750000000000001</v>
      </c>
      <c r="I47" s="1368">
        <f>MIN(I11:I40)</f>
        <v>0.19750000000000001</v>
      </c>
      <c r="J47" s="556"/>
      <c r="K47" s="565">
        <f t="shared" ref="K47:R47" si="18">MIN(K11:K40)</f>
        <v>19.22391</v>
      </c>
      <c r="L47" s="565">
        <f t="shared" si="18"/>
        <v>0</v>
      </c>
      <c r="M47" s="565">
        <f t="shared" si="18"/>
        <v>6.6429999999999998</v>
      </c>
      <c r="N47" s="565">
        <f t="shared" si="18"/>
        <v>0</v>
      </c>
      <c r="O47" s="565">
        <f t="shared" si="18"/>
        <v>0</v>
      </c>
      <c r="P47" s="565">
        <f t="shared" si="18"/>
        <v>26.846910000000001</v>
      </c>
      <c r="Q47" s="565">
        <f t="shared" si="18"/>
        <v>12.877000000000001</v>
      </c>
      <c r="R47" s="825">
        <f t="shared" si="18"/>
        <v>10.735910000000001</v>
      </c>
      <c r="S47" s="434"/>
      <c r="T47" s="434"/>
      <c r="U47" s="862">
        <f>MIN(U11:U40)</f>
        <v>0</v>
      </c>
      <c r="V47" s="862">
        <f>MIN(V11:V40)</f>
        <v>0.54748170061080836</v>
      </c>
      <c r="W47" s="434"/>
    </row>
    <row r="48" spans="2:33" ht="14.85" customHeight="1">
      <c r="S48" s="435"/>
      <c r="T48" s="435"/>
      <c r="U48" s="435"/>
      <c r="V48" s="435"/>
      <c r="W48" s="435"/>
    </row>
    <row r="49" spans="2:19" ht="14.85" customHeight="1">
      <c r="B49" s="279" t="s">
        <v>116</v>
      </c>
      <c r="S49" s="435"/>
    </row>
    <row r="50" spans="2:19" ht="14.85" customHeight="1">
      <c r="S50" s="435"/>
    </row>
    <row r="51" spans="2:19" ht="14.85" customHeight="1"/>
    <row r="52" spans="2:19" ht="14.85" customHeight="1"/>
    <row r="53" spans="2:19" ht="14.85" customHeight="1"/>
    <row r="54" spans="2:19" ht="14.85" customHeight="1"/>
    <row r="55" spans="2:19" ht="14.85" customHeight="1"/>
    <row r="56" spans="2:19" ht="14.85" customHeight="1">
      <c r="E56" s="811" t="s">
        <v>295</v>
      </c>
      <c r="F56" s="1471" t="s">
        <v>293</v>
      </c>
    </row>
    <row r="57" spans="2:19" ht="14.85" customHeight="1">
      <c r="E57" s="811" t="s">
        <v>296</v>
      </c>
      <c r="F57" s="1471" t="s">
        <v>294</v>
      </c>
    </row>
    <row r="58" spans="2:19" ht="14.85" customHeight="1">
      <c r="E58" s="811" t="s">
        <v>297</v>
      </c>
    </row>
    <row r="59" spans="2:19" ht="14.85" customHeight="1">
      <c r="E59" s="811" t="str">
        <f>"IQ20246097"</f>
        <v>IQ20246097</v>
      </c>
    </row>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row r="765" ht="14.85" customHeight="1"/>
  </sheetData>
  <conditionalFormatting sqref="B11:B40">
    <cfRule type="cellIs" dxfId="127" priority="12" operator="equal">
      <formula>"(Invalid Identifier)"</formula>
    </cfRule>
  </conditionalFormatting>
  <conditionalFormatting sqref="B4:I4">
    <cfRule type="cellIs" dxfId="126" priority="10" stopIfTrue="1" operator="equal">
      <formula>"input"</formula>
    </cfRule>
  </conditionalFormatting>
  <conditionalFormatting sqref="J4">
    <cfRule type="cellIs" dxfId="125" priority="8" stopIfTrue="1" operator="equal">
      <formula>"input"</formula>
    </cfRule>
  </conditionalFormatting>
  <conditionalFormatting sqref="J4">
    <cfRule type="cellIs" dxfId="124" priority="9" stopIfTrue="1" operator="equal">
      <formula>"input"</formula>
    </cfRule>
  </conditionalFormatting>
  <conditionalFormatting sqref="K4:Q4">
    <cfRule type="cellIs" dxfId="123" priority="6" stopIfTrue="1" operator="equal">
      <formula>"input"</formula>
    </cfRule>
  </conditionalFormatting>
  <conditionalFormatting sqref="K4:Q4">
    <cfRule type="cellIs" dxfId="122" priority="7" stopIfTrue="1" operator="equal">
      <formula>"input"</formula>
    </cfRule>
  </conditionalFormatting>
  <conditionalFormatting sqref="R4">
    <cfRule type="cellIs" dxfId="121" priority="2" stopIfTrue="1" operator="equal">
      <formula>"input"</formula>
    </cfRule>
  </conditionalFormatting>
  <conditionalFormatting sqref="R4">
    <cfRule type="cellIs" dxfId="120" priority="3" stopIfTrue="1" operator="equal">
      <formula>"input"</formula>
    </cfRule>
  </conditionalFormatting>
  <conditionalFormatting sqref="H11:H40">
    <cfRule type="cellIs" dxfId="119" priority="1" operator="equal">
      <formula>"n/a"</formula>
    </cfRule>
  </conditionalFormatting>
  <dataValidations count="2">
    <dataValidation type="list" allowBlank="1" showInputMessage="1" showErrorMessage="1" sqref="E11:E40" xr:uid="{00000000-0002-0000-4900-000000000000}">
      <formula1>$E$56:$E$60</formula1>
    </dataValidation>
    <dataValidation type="list" allowBlank="1" showInputMessage="1" showErrorMessage="1" sqref="F11:F40" xr:uid="{00000000-0002-0000-4900-000001000000}">
      <formula1>$F$56:$F$57</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4900-000002000000}">
          <x14:formula1>
            <xm:f>'Capital IQ Sheet-GPC'!$AQ$10:$AS$10</xm:f>
          </x14:formula1>
          <xm:sqref>D11:D40</xm:sqref>
        </x14:dataValidation>
      </x14:dataValidations>
    </ext>
  </extLs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21">
    <pageSetUpPr fitToPage="1"/>
  </sheetPr>
  <dimension ref="A1:AB764"/>
  <sheetViews>
    <sheetView showGridLines="0" view="pageBreakPreview" zoomScaleNormal="100" zoomScaleSheetLayoutView="100" workbookViewId="0">
      <selection activeCell="J19" sqref="J19"/>
    </sheetView>
  </sheetViews>
  <sheetFormatPr defaultRowHeight="14.25"/>
  <cols>
    <col min="1" max="1" width="4.5" style="234" customWidth="1"/>
    <col min="2" max="2" width="46" style="234" customWidth="1"/>
    <col min="3" max="3" width="2.83203125" style="234" customWidth="1"/>
    <col min="4" max="4" width="25.83203125" style="234" customWidth="1"/>
    <col min="5" max="5" width="2.83203125" style="234" customWidth="1"/>
    <col min="6" max="6" width="25.83203125" style="234" customWidth="1"/>
    <col min="7" max="7" width="2.83203125" style="234" customWidth="1"/>
    <col min="8" max="8" width="25.83203125" style="234" customWidth="1"/>
    <col min="9" max="9" width="2.83203125" style="234" customWidth="1"/>
    <col min="10" max="10" width="15.83203125" style="234" customWidth="1"/>
    <col min="11" max="11" width="4.5" style="234" customWidth="1"/>
    <col min="12" max="12" width="17.83203125" style="234" bestFit="1" customWidth="1"/>
    <col min="13" max="13" width="46" style="234" customWidth="1"/>
    <col min="14" max="14" width="9.33203125" style="234"/>
    <col min="15" max="15" width="12" style="234" customWidth="1"/>
    <col min="16" max="16" width="9.33203125" style="234"/>
    <col min="17" max="17" width="13.83203125" style="234" customWidth="1"/>
    <col min="18" max="20" width="9.33203125" style="234"/>
    <col min="21" max="21" width="17.83203125" style="234" bestFit="1" customWidth="1"/>
    <col min="22" max="22" width="46" style="234" customWidth="1"/>
    <col min="23" max="23" width="9.33203125" style="234"/>
    <col min="24" max="24" width="12" style="234" customWidth="1"/>
    <col min="25" max="25" width="9.33203125" style="234"/>
    <col min="26" max="26" width="13.83203125" style="234" customWidth="1"/>
    <col min="27" max="16384" width="9.33203125" style="234"/>
  </cols>
  <sheetData>
    <row r="1" spans="2:13" ht="10.7" customHeight="1" thickBot="1"/>
    <row r="2" spans="2:13" ht="16.5" customHeight="1" thickTop="1">
      <c r="B2" s="223" t="str">
        <f>'MASTER PubCo Inputs'!$C$5</f>
        <v>Trucode Gene Repair, Inc.</v>
      </c>
      <c r="C2" s="223"/>
      <c r="D2" s="223"/>
      <c r="E2" s="223"/>
      <c r="F2" s="223"/>
      <c r="G2" s="223"/>
      <c r="H2" s="223"/>
      <c r="I2" s="223"/>
      <c r="J2" s="223"/>
    </row>
    <row r="3" spans="2:13" ht="15.75" customHeight="1">
      <c r="B3" s="232" t="e">
        <f>VLOOKUP(B4,Outline!$E$8:$G$65,COLUMNS(Outline!$E$8:$G$8),FALSE)</f>
        <v>#N/A</v>
      </c>
      <c r="C3" s="232"/>
      <c r="D3" s="232"/>
      <c r="E3" s="232"/>
      <c r="F3" s="232"/>
      <c r="G3" s="232"/>
      <c r="H3" s="232"/>
      <c r="I3" s="232"/>
      <c r="J3" s="232"/>
    </row>
    <row r="4" spans="2:13" ht="16.5" customHeight="1" thickBot="1">
      <c r="B4" s="225" t="s">
        <v>314</v>
      </c>
      <c r="C4" s="225"/>
      <c r="D4" s="225"/>
      <c r="E4" s="225"/>
      <c r="F4" s="225"/>
      <c r="G4" s="225"/>
      <c r="H4" s="225"/>
      <c r="I4" s="233"/>
      <c r="J4" s="233"/>
    </row>
    <row r="5" spans="2:13" ht="14.85" customHeight="1" thickTop="1"/>
    <row r="6" spans="2:13" ht="14.85" customHeight="1"/>
    <row r="7" spans="2:13" s="270" customFormat="1" ht="14.85" customHeight="1">
      <c r="B7" s="1474" t="s">
        <v>270</v>
      </c>
      <c r="C7" s="234"/>
      <c r="D7" s="1475" t="s">
        <v>266</v>
      </c>
      <c r="E7" s="1476"/>
      <c r="F7" s="1476" t="s">
        <v>267</v>
      </c>
      <c r="G7" s="1476"/>
      <c r="H7" s="1477" t="s">
        <v>268</v>
      </c>
      <c r="I7" s="234"/>
      <c r="J7" s="1478" t="s">
        <v>70</v>
      </c>
      <c r="L7" s="1479" t="s">
        <v>87</v>
      </c>
      <c r="M7" s="1480">
        <f>'MASTER PubCo Inputs'!$C$6</f>
        <v>43496</v>
      </c>
    </row>
    <row r="8" spans="2:13" ht="14.85" customHeight="1">
      <c r="F8" s="435"/>
    </row>
    <row r="9" spans="2:13" ht="14.85" customHeight="1">
      <c r="B9" s="388" t="s">
        <v>95</v>
      </c>
      <c r="D9" s="310">
        <f>H21</f>
        <v>3.0059999999999996E-2</v>
      </c>
      <c r="E9" s="370"/>
      <c r="F9" s="310">
        <f>1-F10</f>
        <v>0</v>
      </c>
      <c r="G9" s="370"/>
      <c r="H9" s="310">
        <f>F9*D9</f>
        <v>0</v>
      </c>
      <c r="J9" s="258"/>
    </row>
    <row r="10" spans="2:13" ht="14.85" customHeight="1">
      <c r="B10" s="388" t="s">
        <v>265</v>
      </c>
      <c r="D10" s="310">
        <f>H34</f>
        <v>0.26440070000000004</v>
      </c>
      <c r="E10" s="370"/>
      <c r="F10" s="884">
        <f>'Beta Calc'!V45</f>
        <v>1</v>
      </c>
      <c r="G10" s="370"/>
      <c r="H10" s="310">
        <f>F10*D10</f>
        <v>0.26440070000000004</v>
      </c>
      <c r="J10" s="258" t="s">
        <v>250</v>
      </c>
    </row>
    <row r="11" spans="2:13" ht="14.85" customHeight="1">
      <c r="B11" s="269"/>
      <c r="C11" s="269"/>
      <c r="D11" s="1481"/>
      <c r="E11" s="1481"/>
      <c r="F11" s="1481"/>
      <c r="G11" s="1481"/>
      <c r="H11" s="1481"/>
    </row>
    <row r="12" spans="2:13" ht="14.85" customHeight="1">
      <c r="B12" s="521" t="s">
        <v>284</v>
      </c>
      <c r="C12" s="521"/>
      <c r="D12" s="1482"/>
      <c r="E12" s="1482"/>
      <c r="F12" s="1482"/>
      <c r="G12" s="1482"/>
      <c r="H12" s="1483">
        <f>SUM(H9:H10)</f>
        <v>0.26440070000000004</v>
      </c>
    </row>
    <row r="13" spans="2:13" ht="14.85" customHeight="1"/>
    <row r="14" spans="2:13" ht="14.85" customHeight="1">
      <c r="B14" s="274" t="s">
        <v>285</v>
      </c>
      <c r="C14" s="275"/>
      <c r="D14" s="275"/>
      <c r="E14" s="275"/>
      <c r="F14" s="275"/>
      <c r="G14" s="275"/>
      <c r="H14" s="1484">
        <f>ROUND(H12,2)</f>
        <v>0.26</v>
      </c>
      <c r="J14" s="245"/>
    </row>
    <row r="15" spans="2:13" ht="14.85" customHeight="1"/>
    <row r="16" spans="2:13" s="435" customFormat="1" ht="14.85" customHeight="1">
      <c r="B16" s="1485" t="s">
        <v>269</v>
      </c>
      <c r="C16" s="1486"/>
      <c r="D16" s="1486"/>
      <c r="E16" s="1486"/>
      <c r="F16" s="1486"/>
      <c r="G16" s="1486"/>
      <c r="H16" s="1487"/>
    </row>
    <row r="17" spans="2:13" ht="14.85" customHeight="1"/>
    <row r="18" spans="2:13" ht="14.85" customHeight="1">
      <c r="B18" s="234" t="s">
        <v>1356</v>
      </c>
      <c r="H18" s="1298">
        <f>M18</f>
        <v>5.0099999999999999E-2</v>
      </c>
      <c r="J18" s="1488" t="s">
        <v>249</v>
      </c>
      <c r="L18" s="234" t="s">
        <v>286</v>
      </c>
      <c r="M18" s="370">
        <f>'Capital IQ Sheet-GPC'!C71</f>
        <v>5.0099999999999999E-2</v>
      </c>
    </row>
    <row r="19" spans="2:13" ht="14.85" customHeight="1">
      <c r="B19" s="234" t="s">
        <v>271</v>
      </c>
      <c r="H19" s="1389">
        <f>'MASTER PubCo Inputs'!C9</f>
        <v>0.4</v>
      </c>
      <c r="J19" s="245" t="e">
        <f>DCF!$B$3</f>
        <v>#N/A</v>
      </c>
    </row>
    <row r="20" spans="2:13" ht="14.85" customHeight="1">
      <c r="B20" s="269"/>
      <c r="C20" s="269"/>
      <c r="D20" s="269"/>
      <c r="E20" s="269"/>
      <c r="F20" s="269"/>
      <c r="G20" s="269"/>
      <c r="H20" s="1481"/>
    </row>
    <row r="21" spans="2:13" ht="14.85" customHeight="1">
      <c r="B21" s="521" t="s">
        <v>272</v>
      </c>
      <c r="C21" s="522"/>
      <c r="D21" s="522"/>
      <c r="E21" s="522"/>
      <c r="F21" s="522"/>
      <c r="G21" s="522"/>
      <c r="H21" s="1483">
        <f>H18*(1-H19)</f>
        <v>3.0059999999999996E-2</v>
      </c>
    </row>
    <row r="22" spans="2:13" ht="14.85" customHeight="1"/>
    <row r="23" spans="2:13" ht="14.85" customHeight="1">
      <c r="B23" s="1485" t="s">
        <v>273</v>
      </c>
      <c r="C23" s="1486"/>
      <c r="D23" s="1486"/>
      <c r="E23" s="1486"/>
      <c r="F23" s="1486"/>
      <c r="G23" s="1486"/>
      <c r="H23" s="1487"/>
    </row>
    <row r="24" spans="2:13" ht="14.85" customHeight="1"/>
    <row r="25" spans="2:13" ht="14.85" customHeight="1">
      <c r="B25" s="234" t="s">
        <v>274</v>
      </c>
      <c r="D25" s="435"/>
      <c r="E25" s="435"/>
      <c r="F25" s="435"/>
      <c r="H25" s="836">
        <f>'Beta Calc'!I45</f>
        <v>1.36425</v>
      </c>
      <c r="J25" s="245" t="e">
        <f>'Beta Calc'!$B$3</f>
        <v>#N/A</v>
      </c>
      <c r="L25" s="234" t="s">
        <v>287</v>
      </c>
    </row>
    <row r="26" spans="2:13" ht="14.85" customHeight="1">
      <c r="B26" s="234" t="s">
        <v>275</v>
      </c>
      <c r="F26" s="497" t="s">
        <v>277</v>
      </c>
      <c r="H26" s="837">
        <f>H25*(1+(1-H19)*(F9)/F10)</f>
        <v>1.36425</v>
      </c>
      <c r="J26" s="1488" t="s">
        <v>288</v>
      </c>
    </row>
    <row r="27" spans="2:13" ht="14.85" customHeight="1">
      <c r="B27" s="234" t="s">
        <v>276</v>
      </c>
      <c r="F27" s="497" t="s">
        <v>278</v>
      </c>
      <c r="H27" s="1489">
        <f>H67</f>
        <v>6.0400000000000002E-2</v>
      </c>
      <c r="J27" s="1488" t="s">
        <v>289</v>
      </c>
    </row>
    <row r="28" spans="2:13" ht="14.85" customHeight="1">
      <c r="F28" s="497"/>
      <c r="H28" s="1490"/>
      <c r="J28" s="435"/>
    </row>
    <row r="29" spans="2:13" ht="14.85" customHeight="1">
      <c r="B29" s="234" t="s">
        <v>280</v>
      </c>
      <c r="F29" s="497" t="s">
        <v>279</v>
      </c>
      <c r="H29" s="261">
        <f>H26*H27</f>
        <v>8.2400700000000007E-2</v>
      </c>
    </row>
    <row r="30" spans="2:13" ht="14.85" customHeight="1">
      <c r="B30" s="234" t="s">
        <v>72</v>
      </c>
      <c r="H30" s="1491">
        <f>'Risk-Free Rates'!$E$18</f>
        <v>2.8299999999999999E-2</v>
      </c>
      <c r="J30" s="245" t="str">
        <f>'Risk-Free Rates'!$B$3</f>
        <v>Exhibit H.7</v>
      </c>
    </row>
    <row r="31" spans="2:13" ht="14.85" customHeight="1">
      <c r="B31" s="234" t="s">
        <v>281</v>
      </c>
      <c r="H31" s="1489">
        <f>H61</f>
        <v>5.3699999999999998E-2</v>
      </c>
      <c r="J31" s="1488" t="s">
        <v>290</v>
      </c>
    </row>
    <row r="32" spans="2:13" ht="14.85" customHeight="1">
      <c r="B32" s="234" t="s">
        <v>282</v>
      </c>
      <c r="H32" s="1489">
        <v>0.1</v>
      </c>
      <c r="J32" s="1488" t="s">
        <v>315</v>
      </c>
    </row>
    <row r="33" spans="1:28" ht="14.85" customHeight="1">
      <c r="B33" s="269"/>
      <c r="C33" s="269"/>
      <c r="D33" s="269"/>
      <c r="E33" s="269"/>
      <c r="F33" s="269"/>
      <c r="G33" s="269"/>
      <c r="H33" s="269"/>
    </row>
    <row r="34" spans="1:28" ht="14.85" customHeight="1">
      <c r="B34" s="521" t="s">
        <v>283</v>
      </c>
      <c r="C34" s="522"/>
      <c r="D34" s="522"/>
      <c r="E34" s="522"/>
      <c r="F34" s="522"/>
      <c r="G34" s="522"/>
      <c r="H34" s="1483">
        <f>SUM(H29:H32)</f>
        <v>0.26440070000000004</v>
      </c>
    </row>
    <row r="35" spans="1:28" ht="14.85" customHeight="1"/>
    <row r="36" spans="1:28" ht="14.85" customHeight="1">
      <c r="B36" s="279" t="s">
        <v>86</v>
      </c>
    </row>
    <row r="37" spans="1:28" ht="14.85" customHeight="1">
      <c r="A37" s="574" t="s">
        <v>250</v>
      </c>
      <c r="B37" s="1323" t="s">
        <v>945</v>
      </c>
    </row>
    <row r="38" spans="1:28" ht="14.85" customHeight="1">
      <c r="A38" s="574" t="s">
        <v>249</v>
      </c>
      <c r="B38" s="1323" t="s">
        <v>946</v>
      </c>
    </row>
    <row r="39" spans="1:28" ht="14.85" customHeight="1">
      <c r="A39" s="574" t="s">
        <v>288</v>
      </c>
      <c r="B39" s="1323" t="s">
        <v>947</v>
      </c>
    </row>
    <row r="40" spans="1:28" ht="14.85" customHeight="1">
      <c r="A40" s="574" t="s">
        <v>289</v>
      </c>
      <c r="B40" s="1324" t="s">
        <v>1990</v>
      </c>
    </row>
    <row r="41" spans="1:28" ht="14.85" customHeight="1">
      <c r="A41" s="574" t="s">
        <v>290</v>
      </c>
      <c r="B41" s="1324" t="s">
        <v>1991</v>
      </c>
    </row>
    <row r="42" spans="1:28" ht="14.85" customHeight="1">
      <c r="A42" s="574" t="s">
        <v>315</v>
      </c>
      <c r="B42" s="1324" t="s">
        <v>948</v>
      </c>
    </row>
    <row r="43" spans="1:28" ht="14.85" customHeight="1">
      <c r="A43" s="574" t="s">
        <v>316</v>
      </c>
      <c r="B43" s="1323" t="s">
        <v>1355</v>
      </c>
    </row>
    <row r="44" spans="1:28" ht="14.85" customHeight="1">
      <c r="A44" s="574"/>
      <c r="B44" s="1300"/>
    </row>
    <row r="45" spans="1:28" ht="14.85" customHeight="1">
      <c r="A45" s="280"/>
    </row>
    <row r="46" spans="1:28" ht="14.85" customHeight="1">
      <c r="A46" s="1492" t="s">
        <v>1989</v>
      </c>
      <c r="B46" s="1493"/>
      <c r="C46" s="1494"/>
      <c r="D46" s="1495" t="s">
        <v>1410</v>
      </c>
      <c r="E46" s="1494"/>
      <c r="F46" s="1495" t="s">
        <v>1411</v>
      </c>
      <c r="G46" s="1494"/>
      <c r="H46" s="1496" t="s">
        <v>813</v>
      </c>
      <c r="L46" s="1492" t="s">
        <v>1412</v>
      </c>
      <c r="M46" s="1493"/>
      <c r="N46" s="1494"/>
      <c r="O46" s="1495" t="s">
        <v>1410</v>
      </c>
      <c r="P46" s="1494"/>
      <c r="Q46" s="1495" t="s">
        <v>1411</v>
      </c>
      <c r="R46" s="1494"/>
      <c r="S46" s="1496" t="s">
        <v>813</v>
      </c>
      <c r="U46" s="1492" t="s">
        <v>847</v>
      </c>
      <c r="V46" s="1493"/>
      <c r="W46" s="1494"/>
      <c r="X46" s="1495" t="s">
        <v>1410</v>
      </c>
      <c r="Y46" s="1494"/>
      <c r="Z46" s="1495" t="s">
        <v>1411</v>
      </c>
      <c r="AA46" s="1494"/>
      <c r="AB46" s="1496" t="s">
        <v>813</v>
      </c>
    </row>
    <row r="47" spans="1:28" ht="14.85" customHeight="1">
      <c r="A47" s="1497" t="s">
        <v>814</v>
      </c>
      <c r="B47" s="1498"/>
      <c r="D47" s="1499">
        <v>2763.7190000000001</v>
      </c>
      <c r="F47" s="1499">
        <v>11978.971</v>
      </c>
      <c r="H47" s="1500">
        <v>9.5999999999999992E-3</v>
      </c>
      <c r="L47" s="1497" t="s">
        <v>814</v>
      </c>
      <c r="M47" s="1498"/>
      <c r="O47" s="1499">
        <v>2392.6889999999999</v>
      </c>
      <c r="Q47" s="1499">
        <v>10711.194</v>
      </c>
      <c r="S47" s="1500">
        <v>1.0200000000000001E-2</v>
      </c>
      <c r="U47" s="1497" t="s">
        <v>814</v>
      </c>
      <c r="V47" s="1498"/>
      <c r="X47" s="1499">
        <v>2090.5659999999998</v>
      </c>
      <c r="Z47" s="1499">
        <v>9611.1869999999999</v>
      </c>
      <c r="AB47" s="1500">
        <v>0.01</v>
      </c>
    </row>
    <row r="48" spans="1:28" ht="14.85" customHeight="1">
      <c r="A48" s="1497" t="s">
        <v>815</v>
      </c>
      <c r="B48" s="1498"/>
      <c r="D48" s="1499">
        <v>657.70500000000004</v>
      </c>
      <c r="F48" s="1499">
        <v>2759.9389999999999</v>
      </c>
      <c r="H48" s="1500">
        <v>1.6400000000000001E-2</v>
      </c>
      <c r="L48" s="1497" t="s">
        <v>815</v>
      </c>
      <c r="M48" s="1498"/>
      <c r="O48" s="1499">
        <v>569.279</v>
      </c>
      <c r="Q48" s="1499">
        <v>2390.8989999999999</v>
      </c>
      <c r="S48" s="1500">
        <v>1.7500000000000002E-2</v>
      </c>
      <c r="U48" s="1497" t="s">
        <v>815</v>
      </c>
      <c r="V48" s="1498"/>
      <c r="X48" s="1499">
        <v>448.50200000000001</v>
      </c>
      <c r="Z48" s="1499">
        <v>2083.6019999999999</v>
      </c>
      <c r="AB48" s="1500">
        <v>1.7000000000000001E-2</v>
      </c>
    </row>
    <row r="49" spans="1:28" ht="14.85" customHeight="1">
      <c r="A49" s="1497" t="s">
        <v>816</v>
      </c>
      <c r="B49" s="1498"/>
      <c r="D49" s="1499">
        <v>2.5310000000000001</v>
      </c>
      <c r="F49" s="1499">
        <v>656.84500000000003</v>
      </c>
      <c r="H49" s="1500">
        <v>3.4799999999999998E-2</v>
      </c>
      <c r="L49" s="1497" t="s">
        <v>816</v>
      </c>
      <c r="M49" s="1498"/>
      <c r="O49" s="1499">
        <v>2.516</v>
      </c>
      <c r="Q49" s="1499">
        <v>567.84299999999996</v>
      </c>
      <c r="S49" s="1500">
        <v>3.6700000000000003E-2</v>
      </c>
      <c r="U49" s="1497" t="s">
        <v>816</v>
      </c>
      <c r="V49" s="1498"/>
      <c r="X49" s="1499">
        <v>1.9630000000000001</v>
      </c>
      <c r="Z49" s="1499">
        <v>448.07900000000001</v>
      </c>
      <c r="AB49" s="1500">
        <v>3.5799999999999998E-2</v>
      </c>
    </row>
    <row r="50" spans="1:28" ht="14.85" customHeight="1">
      <c r="A50" s="1497"/>
      <c r="B50" s="1498"/>
      <c r="D50" s="1498"/>
      <c r="F50" s="1498"/>
      <c r="H50" s="1501"/>
      <c r="L50" s="1497"/>
      <c r="M50" s="1498"/>
      <c r="O50" s="1498"/>
      <c r="Q50" s="1498"/>
      <c r="S50" s="1501"/>
      <c r="U50" s="1497"/>
      <c r="V50" s="1498"/>
      <c r="X50" s="1498"/>
      <c r="Z50" s="1498"/>
      <c r="AB50" s="1501"/>
    </row>
    <row r="51" spans="1:28" ht="14.85" customHeight="1">
      <c r="A51" s="1497" t="s">
        <v>817</v>
      </c>
      <c r="B51" s="1498"/>
      <c r="D51" s="1498"/>
      <c r="F51" s="1498"/>
      <c r="H51" s="1501"/>
      <c r="L51" s="1497" t="s">
        <v>817</v>
      </c>
      <c r="M51" s="1498"/>
      <c r="O51" s="1498"/>
      <c r="Q51" s="1498"/>
      <c r="S51" s="1501"/>
      <c r="U51" s="1497" t="s">
        <v>817</v>
      </c>
      <c r="V51" s="1498"/>
      <c r="X51" s="1498"/>
      <c r="Z51" s="1498"/>
      <c r="AB51" s="1501"/>
    </row>
    <row r="52" spans="1:28" ht="14.85" customHeight="1">
      <c r="A52" s="1497" t="s">
        <v>812</v>
      </c>
      <c r="B52" s="1498"/>
      <c r="D52" s="1499">
        <v>25142.833999999999</v>
      </c>
      <c r="F52" s="1499">
        <v>790050.07299999997</v>
      </c>
      <c r="H52" s="1500">
        <v>0</v>
      </c>
      <c r="L52" s="1497" t="s">
        <v>812</v>
      </c>
      <c r="M52" s="1498"/>
      <c r="O52" s="1499">
        <v>24361.659</v>
      </c>
      <c r="Q52" s="1499">
        <v>609163.49800000002</v>
      </c>
      <c r="S52" s="1500">
        <v>-3.5000000000000001E-3</v>
      </c>
      <c r="U52" s="1497" t="s">
        <v>812</v>
      </c>
      <c r="V52" s="1498"/>
      <c r="X52" s="1499">
        <v>22035.312999999998</v>
      </c>
      <c r="Z52" s="1499">
        <v>629010.25399999996</v>
      </c>
      <c r="AB52" s="1500">
        <v>-3.5999999999999999E-3</v>
      </c>
    </row>
    <row r="53" spans="1:28" ht="14.85" customHeight="1">
      <c r="A53" s="1497">
        <v>2</v>
      </c>
      <c r="B53" s="1498"/>
      <c r="D53" s="1499">
        <v>12067.589</v>
      </c>
      <c r="F53" s="1499">
        <v>25096.258000000002</v>
      </c>
      <c r="H53" s="1500">
        <v>5.5999999999999999E-3</v>
      </c>
      <c r="L53" s="1497">
        <v>2</v>
      </c>
      <c r="M53" s="1498"/>
      <c r="O53" s="1499">
        <v>10784.101000000001</v>
      </c>
      <c r="Q53" s="1499">
        <v>24233.746999999999</v>
      </c>
      <c r="S53" s="1500">
        <v>6.1000000000000004E-3</v>
      </c>
      <c r="U53" s="1497">
        <v>2</v>
      </c>
      <c r="V53" s="1498"/>
      <c r="X53" s="1499">
        <v>9618.0529999999999</v>
      </c>
      <c r="Z53" s="1499">
        <v>21809.433000000001</v>
      </c>
      <c r="AB53" s="1500">
        <v>5.7000000000000002E-3</v>
      </c>
    </row>
    <row r="54" spans="1:28" ht="14.85" customHeight="1">
      <c r="A54" s="1497">
        <v>3</v>
      </c>
      <c r="B54" s="1498"/>
      <c r="D54" s="1499">
        <v>6557.5190000000002</v>
      </c>
      <c r="F54" s="234">
        <v>11978.971</v>
      </c>
      <c r="H54" s="1500">
        <v>8.6999999999999994E-3</v>
      </c>
      <c r="L54" s="1497">
        <v>3</v>
      </c>
      <c r="M54" s="1498"/>
      <c r="O54" s="1499">
        <v>5683.991</v>
      </c>
      <c r="Q54" s="234">
        <v>10711.194</v>
      </c>
      <c r="S54" s="1500">
        <v>8.8999999999999999E-3</v>
      </c>
      <c r="U54" s="1497">
        <v>3</v>
      </c>
      <c r="V54" s="1498"/>
      <c r="X54" s="1499">
        <v>5205.8410000000003</v>
      </c>
      <c r="Z54" s="234">
        <v>9611.1869999999999</v>
      </c>
      <c r="AB54" s="1500">
        <v>8.6E-3</v>
      </c>
    </row>
    <row r="55" spans="1:28" ht="14.85" customHeight="1">
      <c r="A55" s="1497">
        <v>4</v>
      </c>
      <c r="B55" s="1498"/>
      <c r="D55" s="1499">
        <v>4097.96</v>
      </c>
      <c r="F55" s="234">
        <v>6545.5479999999998</v>
      </c>
      <c r="H55" s="1500">
        <v>8.9999999999999993E-3</v>
      </c>
      <c r="L55" s="1497">
        <v>4</v>
      </c>
      <c r="M55" s="1498"/>
      <c r="O55" s="1499">
        <v>3520.5659999999998</v>
      </c>
      <c r="Q55" s="234">
        <v>5676.7160000000003</v>
      </c>
      <c r="S55" s="1500">
        <v>9.7999999999999997E-3</v>
      </c>
      <c r="U55" s="1497">
        <v>4</v>
      </c>
      <c r="V55" s="1498"/>
      <c r="X55" s="1499">
        <v>3195.8180000000002</v>
      </c>
      <c r="Z55" s="234">
        <v>5199.9520000000002</v>
      </c>
      <c r="AB55" s="1500">
        <v>9.9000000000000008E-3</v>
      </c>
    </row>
    <row r="56" spans="1:28" ht="14.85" customHeight="1">
      <c r="A56" s="1497">
        <v>5</v>
      </c>
      <c r="B56" s="1498"/>
      <c r="D56" s="1499">
        <v>2763.7190000000001</v>
      </c>
      <c r="F56" s="1499">
        <v>4091.971</v>
      </c>
      <c r="H56" s="1500">
        <v>1.38E-2</v>
      </c>
      <c r="L56" s="1497">
        <v>5</v>
      </c>
      <c r="M56" s="1498"/>
      <c r="O56" s="1499">
        <v>2392.6889999999999</v>
      </c>
      <c r="Q56" s="1499">
        <v>3512.913</v>
      </c>
      <c r="S56" s="1500">
        <v>1.5100000000000001E-2</v>
      </c>
      <c r="U56" s="1497">
        <v>5</v>
      </c>
      <c r="V56" s="1498"/>
      <c r="X56" s="1499">
        <v>2090.5659999999998</v>
      </c>
      <c r="Z56" s="1499">
        <v>3187.48</v>
      </c>
      <c r="AB56" s="1500">
        <v>1.49E-2</v>
      </c>
    </row>
    <row r="57" spans="1:28" ht="14.85" customHeight="1">
      <c r="A57" s="1497">
        <v>6</v>
      </c>
      <c r="B57" s="1498"/>
      <c r="D57" s="1499">
        <v>1815.68</v>
      </c>
      <c r="F57" s="1499">
        <v>2759.9389999999999</v>
      </c>
      <c r="H57" s="1500">
        <v>1.6E-2</v>
      </c>
      <c r="L57" s="1497">
        <v>6</v>
      </c>
      <c r="M57" s="1498"/>
      <c r="O57" s="1499">
        <v>1571.193</v>
      </c>
      <c r="Q57" s="1499">
        <v>2390.8989999999999</v>
      </c>
      <c r="S57" s="1500">
        <v>1.66E-2</v>
      </c>
      <c r="U57" s="1497">
        <v>6</v>
      </c>
      <c r="V57" s="1498"/>
      <c r="X57" s="1499">
        <v>1400.931</v>
      </c>
      <c r="Z57" s="1499">
        <v>2083.6419999999998</v>
      </c>
      <c r="AB57" s="1500">
        <v>1.6299999999999999E-2</v>
      </c>
    </row>
    <row r="58" spans="1:28" ht="14.85" customHeight="1">
      <c r="A58" s="1497">
        <v>7</v>
      </c>
      <c r="B58" s="1498"/>
      <c r="D58" s="1499">
        <v>1175.3689999999999</v>
      </c>
      <c r="F58" s="1499">
        <v>1814.568</v>
      </c>
      <c r="H58" s="1500">
        <v>1.5800000000000002E-2</v>
      </c>
      <c r="L58" s="1497">
        <v>7</v>
      </c>
      <c r="M58" s="1498"/>
      <c r="O58" s="1499">
        <v>1033.3409999999999</v>
      </c>
      <c r="Q58" s="1499">
        <v>1569.9839999999999</v>
      </c>
      <c r="S58" s="1500">
        <v>1.72E-2</v>
      </c>
      <c r="U58" s="1497">
        <v>7</v>
      </c>
      <c r="V58" s="1498"/>
      <c r="X58" s="1499">
        <v>845.50900000000001</v>
      </c>
      <c r="Z58" s="1499">
        <v>1400.2080000000001</v>
      </c>
      <c r="AB58" s="1500">
        <v>1.6199999999999999E-2</v>
      </c>
    </row>
    <row r="59" spans="1:28" ht="14.85" customHeight="1">
      <c r="A59" s="1497">
        <v>8</v>
      </c>
      <c r="B59" s="1498"/>
      <c r="D59" s="1499">
        <v>657.70500000000004</v>
      </c>
      <c r="F59" s="1499">
        <v>1170.0630000000001</v>
      </c>
      <c r="H59" s="1500">
        <v>1.8800000000000001E-2</v>
      </c>
      <c r="L59" s="1497">
        <v>8</v>
      </c>
      <c r="M59" s="1498"/>
      <c r="O59" s="1499">
        <v>569.279</v>
      </c>
      <c r="Q59" s="1499">
        <v>1030.4259999999999</v>
      </c>
      <c r="S59" s="1500">
        <v>2.0799999999999999E-2</v>
      </c>
      <c r="U59" s="1497">
        <v>8</v>
      </c>
      <c r="V59" s="1498"/>
      <c r="X59" s="1499">
        <v>448.50200000000001</v>
      </c>
      <c r="Z59" s="1499">
        <v>844.47500000000002</v>
      </c>
      <c r="AB59" s="1500">
        <v>2.0400000000000001E-2</v>
      </c>
    </row>
    <row r="60" spans="1:28" ht="14.85" customHeight="1">
      <c r="A60" s="1497">
        <v>9</v>
      </c>
      <c r="B60" s="1498"/>
      <c r="D60" s="1499">
        <v>299.39999999999998</v>
      </c>
      <c r="F60" s="1499">
        <v>656.84500000000003</v>
      </c>
      <c r="H60" s="1500">
        <v>2.5000000000000001E-2</v>
      </c>
      <c r="L60" s="1497">
        <v>9</v>
      </c>
      <c r="M60" s="1498"/>
      <c r="O60" s="1499">
        <v>263.71499999999997</v>
      </c>
      <c r="Q60" s="1499">
        <v>567.84299999999996</v>
      </c>
      <c r="S60" s="1500">
        <v>2.6800000000000001E-2</v>
      </c>
      <c r="U60" s="1497">
        <v>9</v>
      </c>
      <c r="V60" s="1498"/>
      <c r="X60" s="1499">
        <v>209.88</v>
      </c>
      <c r="Z60" s="1499">
        <v>448.07900000000001</v>
      </c>
      <c r="AB60" s="1500">
        <v>2.5399999999999999E-2</v>
      </c>
    </row>
    <row r="61" spans="1:28" ht="14.85" customHeight="1">
      <c r="A61" s="1497" t="s">
        <v>818</v>
      </c>
      <c r="B61" s="1498"/>
      <c r="D61" s="1499">
        <v>2.5310000000000001</v>
      </c>
      <c r="F61" s="1499">
        <v>299.29000000000002</v>
      </c>
      <c r="H61" s="1500">
        <v>5.3699999999999998E-2</v>
      </c>
      <c r="L61" s="1497" t="s">
        <v>818</v>
      </c>
      <c r="M61" s="1498"/>
      <c r="O61" s="1499">
        <v>2.516</v>
      </c>
      <c r="Q61" s="1499">
        <v>262.89100000000002</v>
      </c>
      <c r="S61" s="1500">
        <v>5.5899999999999998E-2</v>
      </c>
      <c r="U61" s="1497" t="s">
        <v>818</v>
      </c>
      <c r="V61" s="1498"/>
      <c r="X61" s="1499">
        <v>1.9630000000000001</v>
      </c>
      <c r="Z61" s="1499">
        <v>209.40600000000001</v>
      </c>
      <c r="AB61" s="1500">
        <v>5.6000000000000001E-2</v>
      </c>
    </row>
    <row r="62" spans="1:28" ht="14.85" customHeight="1">
      <c r="A62" s="1497"/>
      <c r="B62" s="1498"/>
      <c r="D62" s="1499"/>
      <c r="F62" s="1499"/>
      <c r="H62" s="1500"/>
      <c r="L62" s="1497"/>
      <c r="M62" s="1498"/>
      <c r="O62" s="1499"/>
      <c r="Q62" s="1499"/>
      <c r="S62" s="1500"/>
      <c r="U62" s="1497"/>
      <c r="V62" s="1498"/>
      <c r="X62" s="1499"/>
      <c r="Z62" s="1499"/>
      <c r="AB62" s="1500"/>
    </row>
    <row r="63" spans="1:28" ht="14.85" customHeight="1">
      <c r="A63" s="1497" t="s">
        <v>819</v>
      </c>
      <c r="B63" s="1498"/>
      <c r="D63" s="1499"/>
      <c r="F63" s="1499"/>
      <c r="H63" s="1500"/>
      <c r="L63" s="1497" t="s">
        <v>819</v>
      </c>
      <c r="M63" s="1498"/>
      <c r="O63" s="1499"/>
      <c r="Q63" s="1499"/>
      <c r="S63" s="1500"/>
      <c r="U63" s="1497" t="s">
        <v>819</v>
      </c>
      <c r="V63" s="1498"/>
      <c r="X63" s="1499"/>
      <c r="Z63" s="1499"/>
      <c r="AB63" s="1500"/>
    </row>
    <row r="64" spans="1:28" ht="14.85" customHeight="1">
      <c r="A64" s="1497" t="s">
        <v>820</v>
      </c>
      <c r="B64" s="1498"/>
      <c r="D64" s="1499">
        <v>166.505</v>
      </c>
      <c r="F64" s="1499">
        <v>299.29000000000002</v>
      </c>
      <c r="H64" s="1500">
        <v>3.8600000000000002E-2</v>
      </c>
      <c r="L64" s="1497" t="s">
        <v>820</v>
      </c>
      <c r="M64" s="1498"/>
      <c r="O64" s="1499">
        <v>127.29600000000001</v>
      </c>
      <c r="Q64" s="1499">
        <v>262.89100000000002</v>
      </c>
      <c r="S64" s="1500">
        <v>4.0899999999999999E-2</v>
      </c>
      <c r="U64" s="1497" t="s">
        <v>820</v>
      </c>
      <c r="V64" s="1498"/>
      <c r="X64" s="1499">
        <v>108.962</v>
      </c>
      <c r="Z64" s="1499">
        <v>209.40600000000001</v>
      </c>
      <c r="AB64" s="1500">
        <v>4.0399999999999998E-2</v>
      </c>
    </row>
    <row r="65" spans="1:28" ht="14.85" customHeight="1">
      <c r="A65" s="1502" t="s">
        <v>821</v>
      </c>
      <c r="B65" s="1503"/>
      <c r="C65" s="269"/>
      <c r="D65" s="1504">
        <v>2.5310000000000001</v>
      </c>
      <c r="E65" s="269"/>
      <c r="F65" s="1504">
        <v>166.34899999999999</v>
      </c>
      <c r="G65" s="269"/>
      <c r="H65" s="1505">
        <v>8.4099999999999994E-2</v>
      </c>
      <c r="L65" s="1502" t="s">
        <v>821</v>
      </c>
      <c r="M65" s="1503"/>
      <c r="N65" s="269"/>
      <c r="O65" s="1504">
        <v>2.516</v>
      </c>
      <c r="P65" s="269"/>
      <c r="Q65" s="1504">
        <v>127.279</v>
      </c>
      <c r="R65" s="269"/>
      <c r="S65" s="1505">
        <v>8.6400000000000005E-2</v>
      </c>
      <c r="U65" s="1502" t="s">
        <v>821</v>
      </c>
      <c r="V65" s="1503"/>
      <c r="W65" s="269"/>
      <c r="X65" s="1504">
        <v>1.9630000000000001</v>
      </c>
      <c r="Y65" s="269"/>
      <c r="Z65" s="1504">
        <v>108.598</v>
      </c>
      <c r="AA65" s="269"/>
      <c r="AB65" s="1505">
        <v>8.7599999999999997E-2</v>
      </c>
    </row>
    <row r="66" spans="1:28" ht="14.85" customHeight="1">
      <c r="A66" s="1506"/>
      <c r="B66" s="587"/>
      <c r="C66" s="587"/>
      <c r="D66" s="587"/>
      <c r="E66" s="587"/>
      <c r="F66" s="587"/>
      <c r="G66" s="587"/>
      <c r="H66" s="589"/>
      <c r="L66" s="1506"/>
      <c r="M66" s="587"/>
      <c r="N66" s="587"/>
      <c r="O66" s="587"/>
      <c r="P66" s="587"/>
      <c r="Q66" s="587"/>
      <c r="R66" s="587"/>
      <c r="S66" s="589"/>
      <c r="U66" s="1506"/>
      <c r="V66" s="587"/>
      <c r="W66" s="587"/>
      <c r="X66" s="587"/>
      <c r="Y66" s="587"/>
      <c r="Z66" s="587"/>
      <c r="AA66" s="587"/>
      <c r="AB66" s="589"/>
    </row>
    <row r="67" spans="1:28" ht="14.85" customHeight="1">
      <c r="A67" s="384"/>
      <c r="B67" s="1507" t="s">
        <v>822</v>
      </c>
      <c r="C67" s="269"/>
      <c r="D67" s="269"/>
      <c r="E67" s="269"/>
      <c r="F67" s="269"/>
      <c r="G67" s="269"/>
      <c r="H67" s="1508">
        <v>6.0400000000000002E-2</v>
      </c>
      <c r="L67" s="384"/>
      <c r="M67" s="1507" t="s">
        <v>822</v>
      </c>
      <c r="N67" s="269"/>
      <c r="O67" s="269"/>
      <c r="P67" s="269"/>
      <c r="Q67" s="269"/>
      <c r="R67" s="269"/>
      <c r="S67" s="1508">
        <v>5.9700000000000003E-2</v>
      </c>
      <c r="U67" s="384"/>
      <c r="V67" s="1507" t="s">
        <v>822</v>
      </c>
      <c r="W67" s="269"/>
      <c r="X67" s="269"/>
      <c r="Y67" s="269"/>
      <c r="Z67" s="269"/>
      <c r="AA67" s="269"/>
      <c r="AB67" s="1508">
        <v>6.0299999999999999E-2</v>
      </c>
    </row>
    <row r="68" spans="1:28" ht="14.85" customHeight="1"/>
    <row r="69" spans="1:28" ht="14.85" customHeight="1"/>
    <row r="70" spans="1:28" ht="14.85" customHeight="1"/>
    <row r="71" spans="1:28" ht="14.85" customHeight="1"/>
    <row r="72" spans="1:28" ht="14.85" customHeight="1"/>
    <row r="73" spans="1:28" ht="14.85" customHeight="1"/>
    <row r="74" spans="1:28" ht="14.85" customHeight="1"/>
    <row r="75" spans="1:28" ht="14.85" customHeight="1"/>
    <row r="76" spans="1:28" ht="14.85" customHeight="1"/>
    <row r="77" spans="1:28" ht="14.85" customHeight="1"/>
    <row r="78" spans="1:28" ht="14.85" customHeight="1"/>
    <row r="79" spans="1:28" ht="14.85" customHeight="1"/>
    <row r="80" spans="1:28" ht="14.85" customHeight="1">
      <c r="B80" s="370"/>
    </row>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I4">
    <cfRule type="cellIs" dxfId="118" priority="4" stopIfTrue="1" operator="equal">
      <formula>"input"</formula>
    </cfRule>
  </conditionalFormatting>
  <conditionalFormatting sqref="I4">
    <cfRule type="cellIs" dxfId="117" priority="3" stopIfTrue="1" operator="equal">
      <formula>"input"</formula>
    </cfRule>
  </conditionalFormatting>
  <conditionalFormatting sqref="B4:H4">
    <cfRule type="cellIs" dxfId="116" priority="5" stopIfTrue="1" operator="equal">
      <formula>"input"</formula>
    </cfRule>
  </conditionalFormatting>
  <conditionalFormatting sqref="J4">
    <cfRule type="cellIs" dxfId="115" priority="2" stopIfTrue="1" operator="equal">
      <formula>"input"</formula>
    </cfRule>
  </conditionalFormatting>
  <conditionalFormatting sqref="J4">
    <cfRule type="cellIs" dxfId="114" priority="1" stopIfTrue="1" operator="equal">
      <formula>"input"</formula>
    </cfRule>
  </conditionalFormatting>
  <pageMargins left="0.5" right="0.5" top="0.5" bottom="0.5" header="0.5" footer="0.5"/>
  <pageSetup scale="89" orientation="landscape" r:id="rId1"/>
  <legacyDrawing r:id="rId2"/>
  <legacyDrawingHF r:id="rId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91"/>
  <dimension ref="A1:AA660"/>
  <sheetViews>
    <sheetView showGridLines="0" view="pageBreakPreview" zoomScale="70" zoomScaleNormal="85" zoomScaleSheetLayoutView="70" workbookViewId="0"/>
  </sheetViews>
  <sheetFormatPr defaultRowHeight="14.25" outlineLevelRow="1" outlineLevelCol="1"/>
  <cols>
    <col min="1" max="1" width="4.5" style="234" customWidth="1"/>
    <col min="2" max="2" width="52.5" style="234" customWidth="1"/>
    <col min="3" max="3" width="2.83203125" style="234" customWidth="1"/>
    <col min="4" max="9" width="18.1640625" style="234" customWidth="1"/>
    <col min="10" max="14" width="18.1640625" style="234" customWidth="1" outlineLevel="1"/>
    <col min="15" max="15" width="18.1640625" style="234" customWidth="1"/>
    <col min="16" max="16" width="4.5" style="234" customWidth="1"/>
    <col min="17" max="17" width="16.83203125" style="234" bestFit="1" customWidth="1"/>
    <col min="18" max="18" width="1.83203125" style="234" customWidth="1"/>
    <col min="19" max="19" width="21.6640625" style="252" bestFit="1" customWidth="1"/>
    <col min="20" max="24" width="12.83203125" style="234" customWidth="1"/>
    <col min="25" max="16384" width="9.33203125" style="234"/>
  </cols>
  <sheetData>
    <row r="1" spans="2:27" ht="10.7" customHeight="1" thickBot="1"/>
    <row r="2" spans="2:27" ht="16.5" customHeight="1" thickTop="1">
      <c r="B2" s="223" t="str">
        <f>'MASTER PubCo Inputs'!$C$5</f>
        <v>Trucode Gene Repair, Inc.</v>
      </c>
      <c r="C2" s="223"/>
      <c r="D2" s="223"/>
      <c r="E2" s="223"/>
      <c r="F2" s="223"/>
      <c r="G2" s="223"/>
      <c r="H2" s="223"/>
      <c r="I2" s="223"/>
      <c r="J2" s="223"/>
      <c r="K2" s="223"/>
      <c r="L2" s="223"/>
      <c r="M2" s="223"/>
      <c r="N2" s="223"/>
      <c r="O2" s="223"/>
    </row>
    <row r="3" spans="2:27" ht="15.75" customHeight="1">
      <c r="B3" s="232" t="e">
        <f>VLOOKUP(B4,Outline!$E$8:$G$65,COLUMNS(Outline!$E$8:$G$8),FALSE)</f>
        <v>#N/A</v>
      </c>
      <c r="C3" s="232"/>
      <c r="D3" s="232"/>
      <c r="E3" s="232"/>
      <c r="F3" s="232"/>
      <c r="G3" s="232"/>
      <c r="H3" s="232"/>
      <c r="I3" s="232"/>
      <c r="J3" s="232"/>
      <c r="K3" s="232"/>
      <c r="L3" s="232"/>
      <c r="M3" s="232"/>
      <c r="N3" s="232"/>
      <c r="O3" s="232"/>
    </row>
    <row r="4" spans="2:27" ht="16.5" customHeight="1" thickBot="1">
      <c r="B4" s="225" t="s">
        <v>616</v>
      </c>
      <c r="C4" s="225"/>
      <c r="D4" s="225"/>
      <c r="E4" s="225"/>
      <c r="F4" s="225"/>
      <c r="G4" s="225"/>
      <c r="H4" s="225"/>
      <c r="I4" s="225"/>
      <c r="J4" s="233"/>
      <c r="K4" s="233"/>
      <c r="L4" s="233"/>
      <c r="M4" s="233"/>
      <c r="N4" s="233"/>
      <c r="O4" s="233" t="str">
        <f>+'MASTER PubCo Inputs'!$C$20</f>
        <v>(in thousands of USD and shares, except price per share)</v>
      </c>
    </row>
    <row r="5" spans="2:27" ht="14.85" customHeight="1" thickTop="1"/>
    <row r="6" spans="2:27" ht="14.85" customHeight="1"/>
    <row r="7" spans="2:27" ht="14.85" customHeight="1">
      <c r="B7" s="430" t="s">
        <v>377</v>
      </c>
      <c r="C7" s="431"/>
      <c r="D7" s="431"/>
      <c r="E7" s="432" t="s">
        <v>70</v>
      </c>
      <c r="F7" s="431"/>
      <c r="G7" s="431"/>
      <c r="H7" s="431"/>
      <c r="I7" s="431"/>
      <c r="J7" s="431"/>
      <c r="K7" s="431"/>
      <c r="L7" s="431"/>
      <c r="M7" s="431"/>
      <c r="N7" s="431"/>
      <c r="O7" s="433"/>
    </row>
    <row r="8" spans="2:27" s="435" customFormat="1" ht="14.85" customHeight="1">
      <c r="B8" s="434"/>
      <c r="C8" s="434"/>
      <c r="D8" s="434"/>
      <c r="E8" s="434"/>
      <c r="F8" s="434"/>
      <c r="G8" s="434"/>
      <c r="H8" s="434"/>
      <c r="I8" s="434"/>
      <c r="J8" s="434"/>
      <c r="K8" s="434"/>
      <c r="L8" s="434"/>
      <c r="M8" s="434"/>
      <c r="N8" s="434"/>
      <c r="O8" s="434"/>
      <c r="S8" s="436"/>
    </row>
    <row r="9" spans="2:27" ht="14.85" customHeight="1">
      <c r="B9" s="234" t="s">
        <v>375</v>
      </c>
      <c r="C9" s="437"/>
      <c r="D9" s="438">
        <f>'Val Summ'!D9</f>
        <v>42640</v>
      </c>
      <c r="E9" s="283" t="s">
        <v>2021</v>
      </c>
    </row>
    <row r="10" spans="2:27" ht="14.85" customHeight="1">
      <c r="B10" s="234" t="s">
        <v>376</v>
      </c>
      <c r="D10" s="490">
        <f>T14</f>
        <v>1.7035945205479452</v>
      </c>
      <c r="E10" s="283" t="s">
        <v>2020</v>
      </c>
    </row>
    <row r="11" spans="2:27" ht="14.85" customHeight="1">
      <c r="B11" s="435" t="s">
        <v>74</v>
      </c>
      <c r="C11" s="440"/>
      <c r="D11" s="441">
        <f>'Asset Vol_DLOM'!Q43</f>
        <v>0.67800000000000005</v>
      </c>
      <c r="E11" s="283" t="e">
        <f>'Asset Vol_PWERM'!$B$3</f>
        <v>#N/A</v>
      </c>
      <c r="G11" s="338"/>
      <c r="T11" s="1754" t="str">
        <f>PWERM!D7</f>
        <v>IPO - Phase I</v>
      </c>
      <c r="U11" s="1754" t="str">
        <f>PWERM!E7</f>
        <v>IPO - Phase II</v>
      </c>
      <c r="V11" s="1754" t="str">
        <f>PWERM!F7</f>
        <v>M&amp;A - Phase I</v>
      </c>
      <c r="W11" s="1754" t="str">
        <f>PWERM!G7</f>
        <v>M&amp;A - Phase II</v>
      </c>
      <c r="X11" s="1754"/>
      <c r="Y11" s="1754"/>
      <c r="Z11" s="1754" t="str">
        <f>PWERM!H7</f>
        <v xml:space="preserve">Low Sale - Wtd. Avg. </v>
      </c>
    </row>
    <row r="12" spans="2:27" ht="14.85" customHeight="1">
      <c r="B12" s="234" t="s">
        <v>72</v>
      </c>
      <c r="C12" s="440"/>
      <c r="D12" s="442">
        <f>'Risk-Free Rates Hybrid'!E27</f>
        <v>2.4500000000000001E-2</v>
      </c>
      <c r="E12" s="283" t="str">
        <f>'Risk-Free Rates'!B3</f>
        <v>Exhibit H.7</v>
      </c>
      <c r="G12" s="338"/>
      <c r="Q12" s="252" t="s">
        <v>3570</v>
      </c>
      <c r="T12" s="1755">
        <f>PWERM!D13</f>
        <v>1.9178082191780821</v>
      </c>
      <c r="U12" s="1755">
        <f>PWERM!E13</f>
        <v>3.6657534246575341</v>
      </c>
      <c r="V12" s="1755">
        <f>PWERM!F13</f>
        <v>1.9178082191780821</v>
      </c>
      <c r="W12" s="1755">
        <f>PWERM!G13</f>
        <v>3.6657534246575341</v>
      </c>
      <c r="X12" s="1755"/>
      <c r="Y12" s="1755"/>
      <c r="Z12" s="1755">
        <f>PWERM!H13</f>
        <v>1.4657534246575343</v>
      </c>
      <c r="AA12" s="1755"/>
    </row>
    <row r="13" spans="2:27" ht="14.85" customHeight="1">
      <c r="B13" s="234" t="s">
        <v>73</v>
      </c>
      <c r="D13" s="443">
        <v>0</v>
      </c>
      <c r="E13" s="283" t="s">
        <v>2020</v>
      </c>
      <c r="G13" s="338"/>
      <c r="Q13" s="252" t="s">
        <v>3571</v>
      </c>
      <c r="T13" s="1756">
        <f>PWERM!D114</f>
        <v>1.7000000000000001E-2</v>
      </c>
      <c r="U13" s="1756">
        <f>PWERM!E114</f>
        <v>1.4999999999999999E-2</v>
      </c>
      <c r="V13" s="1756">
        <f>PWERM!F114</f>
        <v>0.14899999999999999</v>
      </c>
      <c r="W13" s="1756">
        <f>PWERM!G114</f>
        <v>5.8999999999999997E-2</v>
      </c>
      <c r="X13" s="1756"/>
      <c r="Y13" s="1756"/>
      <c r="Z13" s="1756">
        <f>PWERM!H114</f>
        <v>0.76</v>
      </c>
      <c r="AA13" s="1756"/>
    </row>
    <row r="14" spans="2:27" ht="14.85" customHeight="1">
      <c r="D14" s="323"/>
      <c r="G14" s="338"/>
      <c r="Q14" s="252" t="s">
        <v>3569</v>
      </c>
      <c r="T14" s="1757">
        <f>SUMPRODUCT(T12:AA12,T13:AA13)</f>
        <v>1.7035945205479452</v>
      </c>
    </row>
    <row r="15" spans="2:27" ht="14.85" customHeight="1">
      <c r="D15" s="444">
        <v>1</v>
      </c>
      <c r="E15" s="445">
        <f>D15+1</f>
        <v>2</v>
      </c>
      <c r="F15" s="445">
        <f t="shared" ref="F15:O15" si="0">E15+1</f>
        <v>3</v>
      </c>
      <c r="G15" s="445">
        <f t="shared" si="0"/>
        <v>4</v>
      </c>
      <c r="H15" s="445">
        <f t="shared" si="0"/>
        <v>5</v>
      </c>
      <c r="I15" s="445">
        <f t="shared" si="0"/>
        <v>6</v>
      </c>
      <c r="J15" s="445">
        <f t="shared" si="0"/>
        <v>7</v>
      </c>
      <c r="K15" s="445">
        <f t="shared" si="0"/>
        <v>8</v>
      </c>
      <c r="L15" s="445">
        <f t="shared" si="0"/>
        <v>9</v>
      </c>
      <c r="M15" s="445">
        <f t="shared" si="0"/>
        <v>10</v>
      </c>
      <c r="N15" s="445">
        <f t="shared" si="0"/>
        <v>11</v>
      </c>
      <c r="O15" s="446">
        <f t="shared" si="0"/>
        <v>12</v>
      </c>
    </row>
    <row r="16" spans="2:27" s="270" customFormat="1" ht="69.95" customHeight="1">
      <c r="B16" s="447" t="s">
        <v>378</v>
      </c>
      <c r="D16" s="448" t="str">
        <f t="array" ref="D16:O16">TRANSPOSE('Econ Rights'!K9:K20)</f>
        <v>Preferred Stock Receive Liquidation Preference</v>
      </c>
      <c r="E16" s="373" t="str">
        <v>Common Starts Receiving Value</v>
      </c>
      <c r="F16" s="373" t="str">
        <v>Options at $0.0059 Strike Price Exercise</v>
      </c>
      <c r="G16" s="373" t="str">
        <v>Options at $0.3500 Strike Price Exercise</v>
      </c>
      <c r="H16" s="373" t="str">
        <v>Options at $0.3800 Strike Price Exercise</v>
      </c>
      <c r="I16" s="373" t="str">
        <v>Expected Options at $0.6000 Strike Price Exercise</v>
      </c>
      <c r="J16" s="373" t="str">
        <v>Options at $0.8100 Strike Price Exercise</v>
      </c>
      <c r="K16" s="373" t="str">
        <v>Options at $0.9100 Strike Price Exercise</v>
      </c>
      <c r="L16" s="373" t="str">
        <v>Series Seed Converts</v>
      </c>
      <c r="M16" s="373" t="str">
        <v>Series Seed-1 Converts</v>
      </c>
      <c r="N16" s="373" t="str">
        <v>Series A Converts</v>
      </c>
      <c r="O16" s="449" t="str">
        <v>Series B Converts</v>
      </c>
      <c r="Q16" s="450"/>
      <c r="S16" s="271"/>
    </row>
    <row r="17" spans="2:19" ht="14.85" customHeight="1"/>
    <row r="18" spans="2:19" ht="14.85" customHeight="1">
      <c r="B18" s="255" t="s">
        <v>381</v>
      </c>
      <c r="S18" s="298" t="str">
        <f>B18</f>
        <v>Liquidation Preference</v>
      </c>
    </row>
    <row r="19" spans="2:19" ht="14.85" customHeight="1">
      <c r="B19" s="256" t="str">
        <f>'Cap Table'!$D$7</f>
        <v>Series Seed</v>
      </c>
      <c r="D19" s="297">
        <f>S19</f>
        <v>1020.0174399</v>
      </c>
      <c r="E19" s="297">
        <f>D19</f>
        <v>1020.0174399</v>
      </c>
      <c r="F19" s="297">
        <f t="shared" ref="F19:K19" si="1">E19</f>
        <v>1020.0174399</v>
      </c>
      <c r="G19" s="297">
        <f t="shared" si="1"/>
        <v>1020.0174399</v>
      </c>
      <c r="H19" s="297">
        <f t="shared" si="1"/>
        <v>1020.0174399</v>
      </c>
      <c r="I19" s="297">
        <f t="shared" si="1"/>
        <v>1020.0174399</v>
      </c>
      <c r="J19" s="297">
        <f t="shared" si="1"/>
        <v>1020.0174399</v>
      </c>
      <c r="K19" s="297">
        <f t="shared" si="1"/>
        <v>1020.0174399</v>
      </c>
      <c r="L19" s="297">
        <v>0</v>
      </c>
      <c r="M19" s="297">
        <f t="shared" ref="M19:O19" si="2">L19</f>
        <v>0</v>
      </c>
      <c r="N19" s="297">
        <f t="shared" si="2"/>
        <v>0</v>
      </c>
      <c r="O19" s="297">
        <f t="shared" si="2"/>
        <v>0</v>
      </c>
      <c r="Q19" s="259"/>
      <c r="S19" s="451">
        <f>'Econ Rights'!$D$16</f>
        <v>1020.0174399</v>
      </c>
    </row>
    <row r="20" spans="2:19" ht="14.85" customHeight="1">
      <c r="B20" s="256" t="str">
        <f>'Cap Table'!$E$7</f>
        <v>Series Seed-1</v>
      </c>
      <c r="D20" s="297">
        <f t="shared" ref="D20:D22" si="3">S20</f>
        <v>3430.0119045000001</v>
      </c>
      <c r="E20" s="297">
        <f t="shared" ref="E20:O22" si="4">D20</f>
        <v>3430.0119045000001</v>
      </c>
      <c r="F20" s="297">
        <f t="shared" si="4"/>
        <v>3430.0119045000001</v>
      </c>
      <c r="G20" s="297">
        <f t="shared" si="4"/>
        <v>3430.0119045000001</v>
      </c>
      <c r="H20" s="297">
        <f t="shared" si="4"/>
        <v>3430.0119045000001</v>
      </c>
      <c r="I20" s="297">
        <f t="shared" si="4"/>
        <v>3430.0119045000001</v>
      </c>
      <c r="J20" s="297">
        <f t="shared" si="4"/>
        <v>3430.0119045000001</v>
      </c>
      <c r="K20" s="297">
        <f t="shared" si="4"/>
        <v>3430.0119045000001</v>
      </c>
      <c r="L20" s="297">
        <f t="shared" si="4"/>
        <v>3430.0119045000001</v>
      </c>
      <c r="M20" s="297">
        <v>0</v>
      </c>
      <c r="N20" s="297">
        <f t="shared" si="4"/>
        <v>0</v>
      </c>
      <c r="O20" s="297">
        <f t="shared" si="4"/>
        <v>0</v>
      </c>
      <c r="S20" s="451">
        <f>'Econ Rights'!$E$16</f>
        <v>3430.0119045000001</v>
      </c>
    </row>
    <row r="21" spans="2:19" ht="14.85" customHeight="1">
      <c r="B21" s="256" t="str">
        <f>'Cap Table'!$F$7</f>
        <v>Series A</v>
      </c>
      <c r="D21" s="297">
        <f t="shared" si="3"/>
        <v>13135.5942393</v>
      </c>
      <c r="E21" s="297">
        <f t="shared" si="4"/>
        <v>13135.5942393</v>
      </c>
      <c r="F21" s="297">
        <f t="shared" si="4"/>
        <v>13135.5942393</v>
      </c>
      <c r="G21" s="297">
        <f t="shared" si="4"/>
        <v>13135.5942393</v>
      </c>
      <c r="H21" s="297">
        <f t="shared" si="4"/>
        <v>13135.5942393</v>
      </c>
      <c r="I21" s="297">
        <f t="shared" si="4"/>
        <v>13135.5942393</v>
      </c>
      <c r="J21" s="297">
        <f t="shared" si="4"/>
        <v>13135.5942393</v>
      </c>
      <c r="K21" s="297">
        <f t="shared" si="4"/>
        <v>13135.5942393</v>
      </c>
      <c r="L21" s="297">
        <f t="shared" si="4"/>
        <v>13135.5942393</v>
      </c>
      <c r="M21" s="297">
        <f t="shared" si="4"/>
        <v>13135.5942393</v>
      </c>
      <c r="N21" s="297">
        <v>0</v>
      </c>
      <c r="O21" s="297">
        <f t="shared" si="4"/>
        <v>0</v>
      </c>
      <c r="S21" s="451">
        <f>'Econ Rights'!$F$16</f>
        <v>13135.5942393</v>
      </c>
    </row>
    <row r="22" spans="2:19" ht="14.85" customHeight="1">
      <c r="B22" s="256" t="str">
        <f>'Cap Table'!$G$7</f>
        <v>Series B</v>
      </c>
      <c r="D22" s="297">
        <f t="shared" si="3"/>
        <v>21881.811811600001</v>
      </c>
      <c r="E22" s="297">
        <f t="shared" si="4"/>
        <v>21881.811811600001</v>
      </c>
      <c r="F22" s="297">
        <f t="shared" si="4"/>
        <v>21881.811811600001</v>
      </c>
      <c r="G22" s="297">
        <f t="shared" si="4"/>
        <v>21881.811811600001</v>
      </c>
      <c r="H22" s="297">
        <f t="shared" si="4"/>
        <v>21881.811811600001</v>
      </c>
      <c r="I22" s="297">
        <f t="shared" si="4"/>
        <v>21881.811811600001</v>
      </c>
      <c r="J22" s="297">
        <f t="shared" si="4"/>
        <v>21881.811811600001</v>
      </c>
      <c r="K22" s="297">
        <f t="shared" si="4"/>
        <v>21881.811811600001</v>
      </c>
      <c r="L22" s="297">
        <f t="shared" si="4"/>
        <v>21881.811811600001</v>
      </c>
      <c r="M22" s="297">
        <f t="shared" si="4"/>
        <v>21881.811811600001</v>
      </c>
      <c r="N22" s="297">
        <f t="shared" si="4"/>
        <v>21881.811811600001</v>
      </c>
      <c r="O22" s="297">
        <v>0</v>
      </c>
      <c r="S22" s="451">
        <f>'Econ Rights'!$G$16</f>
        <v>21881.811811600001</v>
      </c>
    </row>
    <row r="23" spans="2:19" ht="14.85" customHeight="1">
      <c r="B23" s="269"/>
      <c r="C23" s="269"/>
      <c r="D23" s="269"/>
      <c r="E23" s="269"/>
      <c r="F23" s="269"/>
      <c r="G23" s="269"/>
      <c r="H23" s="269"/>
      <c r="I23" s="269"/>
      <c r="J23" s="269"/>
      <c r="K23" s="269"/>
      <c r="L23" s="269"/>
      <c r="M23" s="269"/>
      <c r="N23" s="269"/>
      <c r="O23" s="269"/>
      <c r="S23" s="455"/>
    </row>
    <row r="24" spans="2:19" ht="14.85" customHeight="1">
      <c r="B24" s="298" t="s">
        <v>530</v>
      </c>
      <c r="D24" s="309">
        <f t="shared" ref="D24:O24" si="5">SUM(D19:D22)</f>
        <v>39467.435395299995</v>
      </c>
      <c r="E24" s="309">
        <f t="shared" si="5"/>
        <v>39467.435395299995</v>
      </c>
      <c r="F24" s="309">
        <f t="shared" si="5"/>
        <v>39467.435395299995</v>
      </c>
      <c r="G24" s="309">
        <f t="shared" si="5"/>
        <v>39467.435395299995</v>
      </c>
      <c r="H24" s="309">
        <f t="shared" si="5"/>
        <v>39467.435395299995</v>
      </c>
      <c r="I24" s="309">
        <f t="shared" si="5"/>
        <v>39467.435395299995</v>
      </c>
      <c r="J24" s="309">
        <f t="shared" si="5"/>
        <v>39467.435395299995</v>
      </c>
      <c r="K24" s="309">
        <f t="shared" si="5"/>
        <v>39467.435395299995</v>
      </c>
      <c r="L24" s="309">
        <f t="shared" si="5"/>
        <v>38447.4179554</v>
      </c>
      <c r="M24" s="309">
        <f t="shared" si="5"/>
        <v>35017.406050899997</v>
      </c>
      <c r="N24" s="309">
        <f t="shared" si="5"/>
        <v>21881.811811600001</v>
      </c>
      <c r="O24" s="309">
        <f t="shared" si="5"/>
        <v>0</v>
      </c>
    </row>
    <row r="25" spans="2:19" ht="14.85" hidden="1" customHeight="1" outlineLevel="1"/>
    <row r="26" spans="2:19" ht="14.85" hidden="1" customHeight="1" outlineLevel="1">
      <c r="B26" s="255" t="s">
        <v>592</v>
      </c>
      <c r="S26" s="298" t="str">
        <f>B26</f>
        <v>Capped Value</v>
      </c>
    </row>
    <row r="27" spans="2:19" ht="14.85" hidden="1" customHeight="1" outlineLevel="1">
      <c r="B27" s="256" t="str">
        <f>'Cap Table'!$D$7</f>
        <v>Series Seed</v>
      </c>
      <c r="D27" s="268">
        <f>S27</f>
        <v>1020.0174399</v>
      </c>
      <c r="E27" s="297">
        <f>D27</f>
        <v>1020.0174399</v>
      </c>
      <c r="F27" s="297">
        <f t="shared" ref="F27:O30" si="6">E27</f>
        <v>1020.0174399</v>
      </c>
      <c r="G27" s="297">
        <f t="shared" si="6"/>
        <v>1020.0174399</v>
      </c>
      <c r="H27" s="297">
        <f t="shared" si="6"/>
        <v>1020.0174399</v>
      </c>
      <c r="I27" s="297">
        <f t="shared" si="6"/>
        <v>1020.0174399</v>
      </c>
      <c r="J27" s="297">
        <f t="shared" si="6"/>
        <v>1020.0174399</v>
      </c>
      <c r="K27" s="297">
        <f t="shared" si="6"/>
        <v>1020.0174399</v>
      </c>
      <c r="L27" s="297">
        <v>0</v>
      </c>
      <c r="M27" s="297">
        <f t="shared" si="6"/>
        <v>0</v>
      </c>
      <c r="N27" s="297">
        <f t="shared" si="6"/>
        <v>0</v>
      </c>
      <c r="O27" s="297">
        <f t="shared" si="6"/>
        <v>0</v>
      </c>
      <c r="Q27" s="452" t="s">
        <v>593</v>
      </c>
      <c r="S27" s="453">
        <f>S19</f>
        <v>1020.0174399</v>
      </c>
    </row>
    <row r="28" spans="2:19" ht="14.85" hidden="1" customHeight="1" outlineLevel="1">
      <c r="B28" s="256" t="str">
        <f>'Cap Table'!$E$7</f>
        <v>Series Seed-1</v>
      </c>
      <c r="D28" s="268">
        <f t="shared" ref="D28:D30" si="7">S28</f>
        <v>3430.0119045000001</v>
      </c>
      <c r="E28" s="297">
        <f t="shared" ref="E28:E30" si="8">D28</f>
        <v>3430.0119045000001</v>
      </c>
      <c r="F28" s="297">
        <f t="shared" si="6"/>
        <v>3430.0119045000001</v>
      </c>
      <c r="G28" s="297">
        <f t="shared" si="6"/>
        <v>3430.0119045000001</v>
      </c>
      <c r="H28" s="297">
        <f t="shared" si="6"/>
        <v>3430.0119045000001</v>
      </c>
      <c r="I28" s="297">
        <f t="shared" si="6"/>
        <v>3430.0119045000001</v>
      </c>
      <c r="J28" s="297">
        <f t="shared" si="6"/>
        <v>3430.0119045000001</v>
      </c>
      <c r="K28" s="297">
        <f t="shared" si="6"/>
        <v>3430.0119045000001</v>
      </c>
      <c r="L28" s="297">
        <f t="shared" si="6"/>
        <v>3430.0119045000001</v>
      </c>
      <c r="M28" s="297">
        <v>0</v>
      </c>
      <c r="N28" s="297">
        <f t="shared" si="6"/>
        <v>0</v>
      </c>
      <c r="O28" s="297">
        <f t="shared" si="6"/>
        <v>0</v>
      </c>
      <c r="Q28" s="452" t="s">
        <v>593</v>
      </c>
      <c r="S28" s="454">
        <f t="shared" ref="S28:S30" si="9">S20</f>
        <v>3430.0119045000001</v>
      </c>
    </row>
    <row r="29" spans="2:19" ht="14.85" hidden="1" customHeight="1" outlineLevel="1">
      <c r="B29" s="256" t="str">
        <f>'Cap Table'!$F$7</f>
        <v>Series A</v>
      </c>
      <c r="D29" s="268">
        <f t="shared" si="7"/>
        <v>13135.5942393</v>
      </c>
      <c r="E29" s="297">
        <f t="shared" si="8"/>
        <v>13135.5942393</v>
      </c>
      <c r="F29" s="297">
        <f t="shared" si="6"/>
        <v>13135.5942393</v>
      </c>
      <c r="G29" s="297">
        <f t="shared" si="6"/>
        <v>13135.5942393</v>
      </c>
      <c r="H29" s="297">
        <f t="shared" si="6"/>
        <v>13135.5942393</v>
      </c>
      <c r="I29" s="297">
        <f t="shared" si="6"/>
        <v>13135.5942393</v>
      </c>
      <c r="J29" s="297">
        <f t="shared" si="6"/>
        <v>13135.5942393</v>
      </c>
      <c r="K29" s="297">
        <f t="shared" si="6"/>
        <v>13135.5942393</v>
      </c>
      <c r="L29" s="297">
        <f t="shared" si="6"/>
        <v>13135.5942393</v>
      </c>
      <c r="M29" s="297">
        <f t="shared" si="6"/>
        <v>13135.5942393</v>
      </c>
      <c r="N29" s="297">
        <v>0</v>
      </c>
      <c r="O29" s="297">
        <f t="shared" si="6"/>
        <v>0</v>
      </c>
      <c r="Q29" s="452" t="s">
        <v>593</v>
      </c>
      <c r="S29" s="454">
        <f t="shared" si="9"/>
        <v>13135.5942393</v>
      </c>
    </row>
    <row r="30" spans="2:19" ht="14.85" hidden="1" customHeight="1" outlineLevel="1">
      <c r="B30" s="256" t="str">
        <f>'Cap Table'!$G$7</f>
        <v>Series B</v>
      </c>
      <c r="D30" s="268">
        <f t="shared" si="7"/>
        <v>21881.811811600001</v>
      </c>
      <c r="E30" s="297">
        <f t="shared" si="8"/>
        <v>21881.811811600001</v>
      </c>
      <c r="F30" s="297">
        <f t="shared" si="6"/>
        <v>21881.811811600001</v>
      </c>
      <c r="G30" s="297">
        <f t="shared" si="6"/>
        <v>21881.811811600001</v>
      </c>
      <c r="H30" s="297">
        <f t="shared" si="6"/>
        <v>21881.811811600001</v>
      </c>
      <c r="I30" s="297">
        <f t="shared" si="6"/>
        <v>21881.811811600001</v>
      </c>
      <c r="J30" s="297">
        <f t="shared" si="6"/>
        <v>21881.811811600001</v>
      </c>
      <c r="K30" s="297">
        <f t="shared" si="6"/>
        <v>21881.811811600001</v>
      </c>
      <c r="L30" s="297">
        <f t="shared" si="6"/>
        <v>21881.811811600001</v>
      </c>
      <c r="M30" s="297">
        <f t="shared" si="6"/>
        <v>21881.811811600001</v>
      </c>
      <c r="N30" s="297">
        <f t="shared" si="6"/>
        <v>21881.811811600001</v>
      </c>
      <c r="O30" s="297">
        <v>0</v>
      </c>
      <c r="Q30" s="452" t="s">
        <v>593</v>
      </c>
      <c r="S30" s="454">
        <f t="shared" si="9"/>
        <v>21881.811811600001</v>
      </c>
    </row>
    <row r="31" spans="2:19" ht="14.85" hidden="1" customHeight="1" outlineLevel="1">
      <c r="B31" s="269"/>
      <c r="C31" s="269"/>
      <c r="D31" s="269"/>
      <c r="E31" s="269"/>
      <c r="F31" s="269"/>
      <c r="G31" s="269"/>
      <c r="H31" s="269"/>
      <c r="I31" s="269"/>
      <c r="J31" s="269"/>
      <c r="K31" s="269"/>
      <c r="L31" s="269"/>
      <c r="M31" s="269"/>
      <c r="N31" s="269"/>
      <c r="O31" s="269"/>
      <c r="S31" s="455"/>
    </row>
    <row r="32" spans="2:19" ht="14.85" hidden="1" customHeight="1" outlineLevel="1">
      <c r="B32" s="298" t="s">
        <v>161</v>
      </c>
      <c r="D32" s="309">
        <f t="shared" ref="D32:O32" si="10">SUM(D27:D30)</f>
        <v>39467.435395299995</v>
      </c>
      <c r="E32" s="309">
        <f t="shared" si="10"/>
        <v>39467.435395299995</v>
      </c>
      <c r="F32" s="309">
        <f t="shared" si="10"/>
        <v>39467.435395299995</v>
      </c>
      <c r="G32" s="309">
        <f t="shared" si="10"/>
        <v>39467.435395299995</v>
      </c>
      <c r="H32" s="309">
        <f t="shared" si="10"/>
        <v>39467.435395299995</v>
      </c>
      <c r="I32" s="309">
        <f t="shared" si="10"/>
        <v>39467.435395299995</v>
      </c>
      <c r="J32" s="309">
        <f t="shared" si="10"/>
        <v>39467.435395299995</v>
      </c>
      <c r="K32" s="309">
        <f t="shared" si="10"/>
        <v>39467.435395299995</v>
      </c>
      <c r="L32" s="309">
        <f t="shared" si="10"/>
        <v>38447.4179554</v>
      </c>
      <c r="M32" s="309">
        <f t="shared" si="10"/>
        <v>35017.406050899997</v>
      </c>
      <c r="N32" s="309">
        <f t="shared" si="10"/>
        <v>21881.811811600001</v>
      </c>
      <c r="O32" s="309">
        <f t="shared" si="10"/>
        <v>0</v>
      </c>
    </row>
    <row r="33" spans="2:21" ht="14.85" customHeight="1" collapsed="1"/>
    <row r="34" spans="2:21" ht="14.85" customHeight="1">
      <c r="B34" s="255" t="s">
        <v>533</v>
      </c>
      <c r="S34" s="298" t="str">
        <f>+B34</f>
        <v>Shares Outstanding / Converted to Common Stock</v>
      </c>
    </row>
    <row r="35" spans="2:21" ht="14.85" customHeight="1">
      <c r="B35" s="256" t="str">
        <f>+$B19</f>
        <v>Series Seed</v>
      </c>
      <c r="D35" s="297">
        <f>IF(D19&gt;0,0,$S35)</f>
        <v>0</v>
      </c>
      <c r="E35" s="297">
        <f t="shared" ref="E35:O35" si="11">IF(E19&gt;0,0,$S35)</f>
        <v>0</v>
      </c>
      <c r="F35" s="297">
        <f t="shared" si="11"/>
        <v>0</v>
      </c>
      <c r="G35" s="297">
        <f t="shared" si="11"/>
        <v>0</v>
      </c>
      <c r="H35" s="297">
        <f t="shared" si="11"/>
        <v>0</v>
      </c>
      <c r="I35" s="297">
        <f t="shared" si="11"/>
        <v>0</v>
      </c>
      <c r="J35" s="297">
        <f t="shared" si="11"/>
        <v>0</v>
      </c>
      <c r="K35" s="297">
        <f t="shared" si="11"/>
        <v>0</v>
      </c>
      <c r="L35" s="297">
        <f t="shared" si="11"/>
        <v>1010.456</v>
      </c>
      <c r="M35" s="297">
        <f t="shared" si="11"/>
        <v>1010.456</v>
      </c>
      <c r="N35" s="297">
        <f t="shared" si="11"/>
        <v>1010.456</v>
      </c>
      <c r="O35" s="297">
        <f t="shared" si="11"/>
        <v>1010.456</v>
      </c>
      <c r="S35" s="451">
        <f>+'Cap Table'!$D$11*'Cap Table'!$D$18</f>
        <v>1010.456</v>
      </c>
    </row>
    <row r="36" spans="2:21" ht="14.85" customHeight="1">
      <c r="B36" s="256" t="str">
        <f>+$B20</f>
        <v>Series Seed-1</v>
      </c>
      <c r="D36" s="297">
        <f t="shared" ref="D36:O38" si="12">IF(D20&gt;0,0,$S36)</f>
        <v>0</v>
      </c>
      <c r="E36" s="297">
        <f t="shared" si="12"/>
        <v>0</v>
      </c>
      <c r="F36" s="297">
        <f t="shared" si="12"/>
        <v>0</v>
      </c>
      <c r="G36" s="297">
        <f t="shared" si="12"/>
        <v>0</v>
      </c>
      <c r="H36" s="297">
        <f t="shared" si="12"/>
        <v>0</v>
      </c>
      <c r="I36" s="297">
        <f t="shared" si="12"/>
        <v>0</v>
      </c>
      <c r="J36" s="297">
        <f t="shared" si="12"/>
        <v>0</v>
      </c>
      <c r="K36" s="297">
        <f t="shared" si="12"/>
        <v>0</v>
      </c>
      <c r="L36" s="297">
        <f t="shared" si="12"/>
        <v>0</v>
      </c>
      <c r="M36" s="297">
        <f t="shared" si="12"/>
        <v>1787.64</v>
      </c>
      <c r="N36" s="297">
        <f t="shared" si="12"/>
        <v>1787.64</v>
      </c>
      <c r="O36" s="297">
        <f t="shared" si="12"/>
        <v>1787.64</v>
      </c>
      <c r="S36" s="451">
        <f>+'Cap Table'!$E$11*'Cap Table'!$E$18</f>
        <v>1787.64</v>
      </c>
    </row>
    <row r="37" spans="2:21" ht="14.85" customHeight="1">
      <c r="B37" s="256" t="str">
        <f>+$B21</f>
        <v>Series A</v>
      </c>
      <c r="D37" s="297">
        <f t="shared" si="12"/>
        <v>0</v>
      </c>
      <c r="E37" s="297">
        <f t="shared" si="12"/>
        <v>0</v>
      </c>
      <c r="F37" s="297">
        <f t="shared" si="12"/>
        <v>0</v>
      </c>
      <c r="G37" s="297">
        <f t="shared" si="12"/>
        <v>0</v>
      </c>
      <c r="H37" s="297">
        <f t="shared" si="12"/>
        <v>0</v>
      </c>
      <c r="I37" s="297">
        <f t="shared" si="12"/>
        <v>0</v>
      </c>
      <c r="J37" s="297">
        <f t="shared" si="12"/>
        <v>0</v>
      </c>
      <c r="K37" s="297">
        <f t="shared" si="12"/>
        <v>0</v>
      </c>
      <c r="L37" s="297">
        <f t="shared" si="12"/>
        <v>0</v>
      </c>
      <c r="M37" s="297">
        <f t="shared" si="12"/>
        <v>0</v>
      </c>
      <c r="N37" s="297">
        <f t="shared" si="12"/>
        <v>6120.1109999999999</v>
      </c>
      <c r="O37" s="297">
        <f t="shared" si="12"/>
        <v>6120.1109999999999</v>
      </c>
      <c r="S37" s="451">
        <f>+'Cap Table'!$F$11*'Cap Table'!$F$18</f>
        <v>6120.1109999999999</v>
      </c>
    </row>
    <row r="38" spans="2:21" ht="14.85" customHeight="1">
      <c r="B38" s="256" t="str">
        <f>+$B22</f>
        <v>Series B</v>
      </c>
      <c r="D38" s="297">
        <f t="shared" si="12"/>
        <v>0</v>
      </c>
      <c r="E38" s="297">
        <f t="shared" si="12"/>
        <v>0</v>
      </c>
      <c r="F38" s="297">
        <f t="shared" si="12"/>
        <v>0</v>
      </c>
      <c r="G38" s="297">
        <f t="shared" si="12"/>
        <v>0</v>
      </c>
      <c r="H38" s="297">
        <f t="shared" si="12"/>
        <v>0</v>
      </c>
      <c r="I38" s="297">
        <f t="shared" si="12"/>
        <v>0</v>
      </c>
      <c r="J38" s="297">
        <f t="shared" si="12"/>
        <v>0</v>
      </c>
      <c r="K38" s="297">
        <f t="shared" si="12"/>
        <v>0</v>
      </c>
      <c r="L38" s="297">
        <f t="shared" si="12"/>
        <v>0</v>
      </c>
      <c r="M38" s="297">
        <f t="shared" si="12"/>
        <v>0</v>
      </c>
      <c r="N38" s="297">
        <f t="shared" si="12"/>
        <v>0</v>
      </c>
      <c r="O38" s="297">
        <f t="shared" si="12"/>
        <v>5097.5659999999998</v>
      </c>
      <c r="S38" s="451">
        <f>+'Cap Table'!$G$11*'Cap Table'!$G$18</f>
        <v>5097.5659999999998</v>
      </c>
    </row>
    <row r="39" spans="2:21" ht="14.85" customHeight="1">
      <c r="B39" s="313" t="str">
        <f>'Cap Table'!$B24</f>
        <v>Options at $0.0059 Strike Price</v>
      </c>
      <c r="D39" s="297">
        <f>IF(D$49&gt;=$U39,$S39,0)</f>
        <v>0</v>
      </c>
      <c r="E39" s="297">
        <f t="shared" ref="E39:O44" si="13">IF(E$49&gt;=$U39,$S39,0)</f>
        <v>0</v>
      </c>
      <c r="F39" s="297">
        <f t="shared" si="13"/>
        <v>79.688000000000002</v>
      </c>
      <c r="G39" s="297">
        <f t="shared" si="13"/>
        <v>79.688000000000002</v>
      </c>
      <c r="H39" s="297">
        <f t="shared" si="13"/>
        <v>79.688000000000002</v>
      </c>
      <c r="I39" s="297">
        <f t="shared" si="13"/>
        <v>79.688000000000002</v>
      </c>
      <c r="J39" s="297">
        <f t="shared" si="13"/>
        <v>79.688000000000002</v>
      </c>
      <c r="K39" s="297">
        <f t="shared" si="13"/>
        <v>79.688000000000002</v>
      </c>
      <c r="L39" s="297">
        <f t="shared" si="13"/>
        <v>79.688000000000002</v>
      </c>
      <c r="M39" s="297">
        <f t="shared" si="13"/>
        <v>79.688000000000002</v>
      </c>
      <c r="N39" s="297">
        <f t="shared" si="13"/>
        <v>79.688000000000002</v>
      </c>
      <c r="O39" s="297">
        <f t="shared" si="13"/>
        <v>79.688000000000002</v>
      </c>
      <c r="S39" s="451">
        <f>+'Cap Table'!$D24</f>
        <v>79.688000000000002</v>
      </c>
      <c r="U39" s="456">
        <f>'Cap Table'!E24</f>
        <v>5.875E-3</v>
      </c>
    </row>
    <row r="40" spans="2:21" ht="14.85" customHeight="1">
      <c r="B40" s="313" t="str">
        <f>'Cap Table'!$B25</f>
        <v>Options at $0.350 Strike Price</v>
      </c>
      <c r="D40" s="297">
        <f t="shared" ref="D40:D44" si="14">IF(D$49&gt;=$U40,$S40,0)</f>
        <v>0</v>
      </c>
      <c r="E40" s="297">
        <f t="shared" si="13"/>
        <v>0</v>
      </c>
      <c r="F40" s="297">
        <f t="shared" si="13"/>
        <v>0</v>
      </c>
      <c r="G40" s="297">
        <f t="shared" si="13"/>
        <v>10</v>
      </c>
      <c r="H40" s="297">
        <f t="shared" si="13"/>
        <v>10</v>
      </c>
      <c r="I40" s="297">
        <f t="shared" si="13"/>
        <v>10</v>
      </c>
      <c r="J40" s="297">
        <f t="shared" si="13"/>
        <v>10</v>
      </c>
      <c r="K40" s="297">
        <f t="shared" si="13"/>
        <v>10</v>
      </c>
      <c r="L40" s="297">
        <f t="shared" si="13"/>
        <v>10</v>
      </c>
      <c r="M40" s="297">
        <f t="shared" si="13"/>
        <v>10</v>
      </c>
      <c r="N40" s="297">
        <f t="shared" si="13"/>
        <v>10</v>
      </c>
      <c r="O40" s="297">
        <f t="shared" si="13"/>
        <v>10</v>
      </c>
      <c r="S40" s="451">
        <f>+'Cap Table'!$D25</f>
        <v>10</v>
      </c>
      <c r="U40" s="456">
        <f>'Cap Table'!E25</f>
        <v>0.35</v>
      </c>
    </row>
    <row r="41" spans="2:21" ht="14.85" customHeight="1">
      <c r="B41" s="313" t="str">
        <f>'Cap Table'!$B26</f>
        <v>Options at $0.38 Strike Price</v>
      </c>
      <c r="D41" s="297">
        <f t="shared" si="14"/>
        <v>0</v>
      </c>
      <c r="E41" s="297">
        <f t="shared" si="13"/>
        <v>0</v>
      </c>
      <c r="F41" s="297">
        <f t="shared" si="13"/>
        <v>0</v>
      </c>
      <c r="G41" s="297">
        <f t="shared" si="13"/>
        <v>0</v>
      </c>
      <c r="H41" s="297">
        <f t="shared" si="13"/>
        <v>328.69</v>
      </c>
      <c r="I41" s="297">
        <f t="shared" si="13"/>
        <v>328.69</v>
      </c>
      <c r="J41" s="297">
        <f t="shared" si="13"/>
        <v>328.69</v>
      </c>
      <c r="K41" s="297">
        <f t="shared" si="13"/>
        <v>328.69</v>
      </c>
      <c r="L41" s="297">
        <f t="shared" si="13"/>
        <v>328.69</v>
      </c>
      <c r="M41" s="297">
        <f t="shared" si="13"/>
        <v>328.69</v>
      </c>
      <c r="N41" s="297">
        <f t="shared" si="13"/>
        <v>328.69</v>
      </c>
      <c r="O41" s="297">
        <f t="shared" si="13"/>
        <v>328.69</v>
      </c>
      <c r="S41" s="451">
        <f>+'Cap Table'!$D26</f>
        <v>328.69</v>
      </c>
      <c r="U41" s="456">
        <f>'Cap Table'!E26</f>
        <v>0.38</v>
      </c>
    </row>
    <row r="42" spans="2:21" ht="14.85" customHeight="1">
      <c r="B42" s="313" t="str">
        <f>'Cap Table'!$B27</f>
        <v>Options at $0.81 Strike Price</v>
      </c>
      <c r="D42" s="297">
        <f t="shared" si="14"/>
        <v>0</v>
      </c>
      <c r="E42" s="297">
        <f t="shared" si="13"/>
        <v>0</v>
      </c>
      <c r="F42" s="297">
        <f t="shared" si="13"/>
        <v>0</v>
      </c>
      <c r="G42" s="297">
        <f t="shared" si="13"/>
        <v>0</v>
      </c>
      <c r="H42" s="297">
        <f t="shared" si="13"/>
        <v>0</v>
      </c>
      <c r="I42" s="297">
        <f t="shared" si="13"/>
        <v>0</v>
      </c>
      <c r="J42" s="297">
        <f t="shared" si="13"/>
        <v>1224.4010000000001</v>
      </c>
      <c r="K42" s="297">
        <f t="shared" si="13"/>
        <v>1224.4010000000001</v>
      </c>
      <c r="L42" s="297">
        <f t="shared" si="13"/>
        <v>1224.4010000000001</v>
      </c>
      <c r="M42" s="297">
        <f t="shared" si="13"/>
        <v>1224.4010000000001</v>
      </c>
      <c r="N42" s="297">
        <f t="shared" si="13"/>
        <v>1224.4010000000001</v>
      </c>
      <c r="O42" s="297">
        <f t="shared" si="13"/>
        <v>1224.4010000000001</v>
      </c>
      <c r="S42" s="451">
        <f>+'Cap Table'!$D27</f>
        <v>1224.4010000000001</v>
      </c>
      <c r="U42" s="456">
        <f>'Cap Table'!E27</f>
        <v>0.81</v>
      </c>
    </row>
    <row r="43" spans="2:21" ht="14.85" customHeight="1">
      <c r="B43" s="313" t="str">
        <f>'Cap Table'!$B28</f>
        <v>Options at $0.91 Strike Price</v>
      </c>
      <c r="D43" s="297">
        <f t="shared" si="14"/>
        <v>0</v>
      </c>
      <c r="E43" s="297">
        <f t="shared" si="13"/>
        <v>0</v>
      </c>
      <c r="F43" s="297">
        <f t="shared" si="13"/>
        <v>0</v>
      </c>
      <c r="G43" s="297">
        <f t="shared" si="13"/>
        <v>0</v>
      </c>
      <c r="H43" s="297">
        <f t="shared" si="13"/>
        <v>0</v>
      </c>
      <c r="I43" s="297">
        <f t="shared" si="13"/>
        <v>0</v>
      </c>
      <c r="J43" s="297">
        <f t="shared" si="13"/>
        <v>0</v>
      </c>
      <c r="K43" s="297">
        <f t="shared" si="13"/>
        <v>95.094999999999999</v>
      </c>
      <c r="L43" s="297">
        <f t="shared" si="13"/>
        <v>95.094999999999999</v>
      </c>
      <c r="M43" s="297">
        <f t="shared" si="13"/>
        <v>95.094999999999999</v>
      </c>
      <c r="N43" s="297">
        <f t="shared" si="13"/>
        <v>95.094999999999999</v>
      </c>
      <c r="O43" s="297">
        <f t="shared" si="13"/>
        <v>95.094999999999999</v>
      </c>
      <c r="S43" s="451">
        <f>+'Cap Table'!$D28</f>
        <v>95.094999999999999</v>
      </c>
      <c r="U43" s="456">
        <f>'Cap Table'!E28</f>
        <v>0.91</v>
      </c>
    </row>
    <row r="44" spans="2:21" ht="14.85" customHeight="1">
      <c r="B44" s="313" t="str">
        <f>'Cap Table'!$B29</f>
        <v>Expected Options Grant</v>
      </c>
      <c r="D44" s="297">
        <f t="shared" si="14"/>
        <v>0</v>
      </c>
      <c r="E44" s="297">
        <f t="shared" si="13"/>
        <v>0</v>
      </c>
      <c r="F44" s="297">
        <f t="shared" si="13"/>
        <v>0</v>
      </c>
      <c r="G44" s="297">
        <f t="shared" si="13"/>
        <v>0</v>
      </c>
      <c r="H44" s="297">
        <f t="shared" si="13"/>
        <v>0</v>
      </c>
      <c r="I44" s="297">
        <f t="shared" si="13"/>
        <v>1602.6010000000001</v>
      </c>
      <c r="J44" s="297">
        <f t="shared" si="13"/>
        <v>1602.6010000000001</v>
      </c>
      <c r="K44" s="297">
        <f t="shared" si="13"/>
        <v>1602.6010000000001</v>
      </c>
      <c r="L44" s="297">
        <f t="shared" si="13"/>
        <v>1602.6010000000001</v>
      </c>
      <c r="M44" s="297">
        <f t="shared" si="13"/>
        <v>1602.6010000000001</v>
      </c>
      <c r="N44" s="297">
        <f t="shared" si="13"/>
        <v>1602.6010000000001</v>
      </c>
      <c r="O44" s="297">
        <f t="shared" si="13"/>
        <v>1602.6010000000001</v>
      </c>
      <c r="S44" s="451">
        <f>+'Cap Table'!$D29</f>
        <v>1602.6010000000001</v>
      </c>
      <c r="U44" s="456">
        <f>'Cap Table'!E29</f>
        <v>0.6</v>
      </c>
    </row>
    <row r="45" spans="2:21" ht="14.85" customHeight="1">
      <c r="B45" s="314" t="str">
        <f>'Cap Table'!$H7 &amp;" Stock"</f>
        <v>Common Stock</v>
      </c>
      <c r="D45" s="297">
        <v>0</v>
      </c>
      <c r="E45" s="297">
        <f>$S$45</f>
        <v>3618.2730000000001</v>
      </c>
      <c r="F45" s="297">
        <f>E45</f>
        <v>3618.2730000000001</v>
      </c>
      <c r="G45" s="297">
        <f t="shared" ref="G45:O45" si="15">F45</f>
        <v>3618.2730000000001</v>
      </c>
      <c r="H45" s="297">
        <f t="shared" si="15"/>
        <v>3618.2730000000001</v>
      </c>
      <c r="I45" s="297">
        <f t="shared" si="15"/>
        <v>3618.2730000000001</v>
      </c>
      <c r="J45" s="297">
        <f t="shared" si="15"/>
        <v>3618.2730000000001</v>
      </c>
      <c r="K45" s="297">
        <f t="shared" si="15"/>
        <v>3618.2730000000001</v>
      </c>
      <c r="L45" s="297">
        <f t="shared" si="15"/>
        <v>3618.2730000000001</v>
      </c>
      <c r="M45" s="297">
        <f t="shared" si="15"/>
        <v>3618.2730000000001</v>
      </c>
      <c r="N45" s="297">
        <f t="shared" si="15"/>
        <v>3618.2730000000001</v>
      </c>
      <c r="O45" s="297">
        <f t="shared" si="15"/>
        <v>3618.2730000000001</v>
      </c>
      <c r="S45" s="451">
        <f>+'Cap Table'!H11</f>
        <v>3618.2730000000001</v>
      </c>
      <c r="U45" s="358"/>
    </row>
    <row r="46" spans="2:21" ht="14.85" customHeight="1" thickBot="1">
      <c r="B46" s="269"/>
      <c r="C46" s="269"/>
      <c r="D46" s="269"/>
      <c r="E46" s="269"/>
      <c r="F46" s="269"/>
      <c r="G46" s="269"/>
      <c r="H46" s="269"/>
      <c r="I46" s="269"/>
      <c r="J46" s="269"/>
      <c r="K46" s="269"/>
      <c r="L46" s="269"/>
      <c r="M46" s="269"/>
      <c r="N46" s="269"/>
      <c r="O46" s="269"/>
      <c r="S46" s="457"/>
    </row>
    <row r="47" spans="2:21" ht="14.85" customHeight="1" thickBot="1">
      <c r="B47" s="298" t="s">
        <v>1993</v>
      </c>
      <c r="D47" s="309">
        <f t="shared" ref="D47:O47" si="16">SUM(D35:D45)</f>
        <v>0</v>
      </c>
      <c r="E47" s="309">
        <f t="shared" si="16"/>
        <v>3618.2730000000001</v>
      </c>
      <c r="F47" s="309">
        <f t="shared" si="16"/>
        <v>3697.9610000000002</v>
      </c>
      <c r="G47" s="309">
        <f t="shared" si="16"/>
        <v>3707.9610000000002</v>
      </c>
      <c r="H47" s="309">
        <f t="shared" si="16"/>
        <v>4036.6510000000003</v>
      </c>
      <c r="I47" s="309">
        <f t="shared" si="16"/>
        <v>5639.2520000000004</v>
      </c>
      <c r="J47" s="309">
        <f t="shared" si="16"/>
        <v>6863.6530000000002</v>
      </c>
      <c r="K47" s="309">
        <f t="shared" si="16"/>
        <v>6958.7480000000005</v>
      </c>
      <c r="L47" s="309">
        <f t="shared" si="16"/>
        <v>7969.2040000000006</v>
      </c>
      <c r="M47" s="309">
        <f t="shared" si="16"/>
        <v>9756.844000000001</v>
      </c>
      <c r="N47" s="309">
        <f t="shared" si="16"/>
        <v>15876.955000000002</v>
      </c>
      <c r="O47" s="309">
        <f t="shared" si="16"/>
        <v>20974.521000000001</v>
      </c>
      <c r="Q47" s="458" t="str">
        <f>IF(S47&lt;&gt;('Cap Table'!J20-'Cap Table'!J14+S44),"ERROR","")</f>
        <v/>
      </c>
      <c r="S47" s="309">
        <f>SUM(S35:S45)</f>
        <v>20974.521000000001</v>
      </c>
    </row>
    <row r="48" spans="2:21" ht="14.85" customHeight="1"/>
    <row r="49" spans="1:19" ht="14.85" customHeight="1">
      <c r="B49" s="256" t="s">
        <v>383</v>
      </c>
      <c r="D49" s="1678">
        <f t="array" ref="D49:O49">TRANSPOSE('Econ Rights'!J9:J20)</f>
        <v>0</v>
      </c>
      <c r="E49" s="1678">
        <v>0</v>
      </c>
      <c r="F49" s="1678">
        <v>5.875E-3</v>
      </c>
      <c r="G49" s="1678">
        <v>0.35</v>
      </c>
      <c r="H49" s="1678">
        <v>0.38</v>
      </c>
      <c r="I49" s="1678">
        <v>0.6</v>
      </c>
      <c r="J49" s="1678">
        <v>0.81</v>
      </c>
      <c r="K49" s="1678">
        <v>0.91</v>
      </c>
      <c r="L49" s="1678">
        <v>1.0094624999999999</v>
      </c>
      <c r="M49" s="1678">
        <v>1.9187375</v>
      </c>
      <c r="N49" s="1678">
        <v>2.1463000000000001</v>
      </c>
      <c r="O49" s="1678">
        <v>4.2926000000000002</v>
      </c>
    </row>
    <row r="50" spans="1:19" ht="14.85" customHeight="1">
      <c r="B50" s="269"/>
      <c r="C50" s="269"/>
      <c r="D50" s="269"/>
      <c r="E50" s="269"/>
      <c r="F50" s="269"/>
      <c r="G50" s="269"/>
      <c r="H50" s="269"/>
      <c r="I50" s="269"/>
      <c r="J50" s="269"/>
      <c r="K50" s="269"/>
      <c r="L50" s="269"/>
      <c r="M50" s="269"/>
      <c r="N50" s="269"/>
      <c r="O50" s="269"/>
    </row>
    <row r="51" spans="1:19" ht="14.85" customHeight="1">
      <c r="B51" s="255" t="s">
        <v>1994</v>
      </c>
      <c r="D51" s="459">
        <f>D47*D49</f>
        <v>0</v>
      </c>
      <c r="E51" s="459">
        <f t="shared" ref="E51:O51" si="17">E47*E49</f>
        <v>0</v>
      </c>
      <c r="F51" s="459">
        <f t="shared" si="17"/>
        <v>21.725520875000001</v>
      </c>
      <c r="G51" s="459">
        <f t="shared" si="17"/>
        <v>1297.7863500000001</v>
      </c>
      <c r="H51" s="459">
        <f t="shared" si="17"/>
        <v>1533.9273800000001</v>
      </c>
      <c r="I51" s="459">
        <f t="shared" si="17"/>
        <v>3383.5512000000003</v>
      </c>
      <c r="J51" s="459">
        <f t="shared" si="17"/>
        <v>5559.5589300000001</v>
      </c>
      <c r="K51" s="459">
        <f t="shared" si="17"/>
        <v>6332.460680000001</v>
      </c>
      <c r="L51" s="459">
        <f t="shared" si="17"/>
        <v>8044.6125928500005</v>
      </c>
      <c r="M51" s="459">
        <f t="shared" si="17"/>
        <v>18720.822464450001</v>
      </c>
      <c r="N51" s="459">
        <f t="shared" si="17"/>
        <v>34076.708516500003</v>
      </c>
      <c r="O51" s="459">
        <f t="shared" si="17"/>
        <v>90035.228844600002</v>
      </c>
    </row>
    <row r="52" spans="1:19" ht="14.85" customHeight="1"/>
    <row r="53" spans="1:19" ht="14.85" customHeight="1">
      <c r="B53" s="256" t="s">
        <v>384</v>
      </c>
      <c r="D53" s="297">
        <f t="shared" ref="D53:O53" si="18">-SUMPRODUCT(D39:D44,$U$39:$U$44)</f>
        <v>0</v>
      </c>
      <c r="E53" s="297">
        <f t="shared" si="18"/>
        <v>0</v>
      </c>
      <c r="F53" s="297">
        <f t="shared" si="18"/>
        <v>-0.468167</v>
      </c>
      <c r="G53" s="297">
        <f t="shared" si="18"/>
        <v>-3.9681670000000002</v>
      </c>
      <c r="H53" s="297">
        <f t="shared" si="18"/>
        <v>-128.87036700000002</v>
      </c>
      <c r="I53" s="297">
        <f t="shared" si="18"/>
        <v>-1090.430967</v>
      </c>
      <c r="J53" s="297">
        <f t="shared" si="18"/>
        <v>-2082.1957769999999</v>
      </c>
      <c r="K53" s="297">
        <f t="shared" si="18"/>
        <v>-2168.7322270000004</v>
      </c>
      <c r="L53" s="297">
        <f t="shared" si="18"/>
        <v>-2168.7322270000004</v>
      </c>
      <c r="M53" s="297">
        <f t="shared" si="18"/>
        <v>-2168.7322270000004</v>
      </c>
      <c r="N53" s="297">
        <f t="shared" si="18"/>
        <v>-2168.7322270000004</v>
      </c>
      <c r="O53" s="297">
        <f t="shared" si="18"/>
        <v>-2168.7322270000004</v>
      </c>
    </row>
    <row r="54" spans="1:19" ht="14.85" customHeight="1">
      <c r="B54" s="269"/>
      <c r="C54" s="269"/>
      <c r="D54" s="269"/>
      <c r="E54" s="269"/>
      <c r="F54" s="269"/>
      <c r="G54" s="269"/>
      <c r="H54" s="269"/>
      <c r="I54" s="269"/>
      <c r="J54" s="269"/>
      <c r="K54" s="269"/>
      <c r="L54" s="269"/>
      <c r="M54" s="269"/>
      <c r="N54" s="269"/>
      <c r="O54" s="269"/>
    </row>
    <row r="55" spans="1:19" ht="14.85" customHeight="1">
      <c r="B55" s="298" t="s">
        <v>385</v>
      </c>
      <c r="D55" s="459">
        <f t="shared" ref="D55:O55" si="19">SUM(D51:D53)+D24</f>
        <v>39467.435395299995</v>
      </c>
      <c r="E55" s="459">
        <f t="shared" si="19"/>
        <v>39467.435395299995</v>
      </c>
      <c r="F55" s="459">
        <f t="shared" si="19"/>
        <v>39488.692749174996</v>
      </c>
      <c r="G55" s="459">
        <f t="shared" si="19"/>
        <v>40761.253578299998</v>
      </c>
      <c r="H55" s="459">
        <f t="shared" si="19"/>
        <v>40872.492408299993</v>
      </c>
      <c r="I55" s="459">
        <f t="shared" si="19"/>
        <v>41760.555628299997</v>
      </c>
      <c r="J55" s="459">
        <f t="shared" si="19"/>
        <v>42944.798548299994</v>
      </c>
      <c r="K55" s="459">
        <f t="shared" si="19"/>
        <v>43631.163848299999</v>
      </c>
      <c r="L55" s="459">
        <f t="shared" si="19"/>
        <v>44323.298321249997</v>
      </c>
      <c r="M55" s="459">
        <f t="shared" si="19"/>
        <v>51569.496288349997</v>
      </c>
      <c r="N55" s="459">
        <f t="shared" si="19"/>
        <v>53789.788101099999</v>
      </c>
      <c r="O55" s="459">
        <f t="shared" si="19"/>
        <v>87866.496617600002</v>
      </c>
    </row>
    <row r="56" spans="1:19" ht="14.85" customHeight="1">
      <c r="B56" s="298"/>
      <c r="D56" s="309"/>
      <c r="E56" s="309"/>
      <c r="F56" s="309"/>
      <c r="G56" s="309"/>
      <c r="H56" s="309"/>
      <c r="I56" s="309"/>
      <c r="J56" s="309"/>
      <c r="K56" s="309"/>
      <c r="L56" s="309"/>
      <c r="M56" s="309"/>
      <c r="N56" s="309"/>
      <c r="O56" s="309"/>
    </row>
    <row r="57" spans="1:19" ht="14.85" customHeight="1"/>
    <row r="58" spans="1:19" s="270" customFormat="1" ht="14.85" customHeight="1">
      <c r="A58" s="460"/>
      <c r="B58" s="461" t="s">
        <v>387</v>
      </c>
      <c r="D58" s="462">
        <f>D$15</f>
        <v>1</v>
      </c>
      <c r="E58" s="463">
        <f t="shared" ref="E58:O58" si="20">E$15</f>
        <v>2</v>
      </c>
      <c r="F58" s="463">
        <f t="shared" si="20"/>
        <v>3</v>
      </c>
      <c r="G58" s="463">
        <f t="shared" si="20"/>
        <v>4</v>
      </c>
      <c r="H58" s="463">
        <f t="shared" si="20"/>
        <v>5</v>
      </c>
      <c r="I58" s="463">
        <f t="shared" si="20"/>
        <v>6</v>
      </c>
      <c r="J58" s="463">
        <f t="shared" si="20"/>
        <v>7</v>
      </c>
      <c r="K58" s="463">
        <f t="shared" si="20"/>
        <v>8</v>
      </c>
      <c r="L58" s="463">
        <f t="shared" si="20"/>
        <v>9</v>
      </c>
      <c r="M58" s="463">
        <f t="shared" si="20"/>
        <v>10</v>
      </c>
      <c r="N58" s="463">
        <f t="shared" si="20"/>
        <v>11</v>
      </c>
      <c r="O58" s="464">
        <f t="shared" si="20"/>
        <v>12</v>
      </c>
      <c r="S58" s="271"/>
    </row>
    <row r="59" spans="1:19" ht="14.85" customHeight="1"/>
    <row r="60" spans="1:19" ht="14.85" customHeight="1">
      <c r="B60" s="234" t="s">
        <v>388</v>
      </c>
      <c r="D60" s="465">
        <v>1E-10</v>
      </c>
      <c r="E60" s="465">
        <f>D61</f>
        <v>39467.435395299995</v>
      </c>
      <c r="F60" s="465">
        <f t="shared" ref="F60:O60" si="21">E61</f>
        <v>39488.692749174996</v>
      </c>
      <c r="G60" s="465">
        <f t="shared" si="21"/>
        <v>40761.253578299998</v>
      </c>
      <c r="H60" s="465">
        <f t="shared" si="21"/>
        <v>40872.492408299993</v>
      </c>
      <c r="I60" s="465">
        <f t="shared" si="21"/>
        <v>41760.555628299997</v>
      </c>
      <c r="J60" s="465">
        <f t="shared" si="21"/>
        <v>42944.798548299994</v>
      </c>
      <c r="K60" s="465">
        <f t="shared" si="21"/>
        <v>43631.163848299999</v>
      </c>
      <c r="L60" s="465">
        <f t="shared" si="21"/>
        <v>44323.298321249997</v>
      </c>
      <c r="M60" s="465">
        <f t="shared" si="21"/>
        <v>51569.496288349997</v>
      </c>
      <c r="N60" s="465">
        <f t="shared" si="21"/>
        <v>53789.788101099999</v>
      </c>
      <c r="O60" s="465">
        <f t="shared" si="21"/>
        <v>87866.496617600002</v>
      </c>
    </row>
    <row r="61" spans="1:19" ht="14.85" customHeight="1">
      <c r="B61" s="234" t="s">
        <v>389</v>
      </c>
      <c r="D61" s="465">
        <f>D55</f>
        <v>39467.435395299995</v>
      </c>
      <c r="E61" s="465">
        <f>IF(F55=0,"n/a",IF(D61=E55,F55,E55))</f>
        <v>39488.692749174996</v>
      </c>
      <c r="F61" s="465">
        <f t="shared" ref="F61:O61" si="22">IF(G55=0,"n/a",IF(E61=F55,G55,F55))</f>
        <v>40761.253578299998</v>
      </c>
      <c r="G61" s="465">
        <f t="shared" si="22"/>
        <v>40872.492408299993</v>
      </c>
      <c r="H61" s="465">
        <f t="shared" si="22"/>
        <v>41760.555628299997</v>
      </c>
      <c r="I61" s="465">
        <f t="shared" si="22"/>
        <v>42944.798548299994</v>
      </c>
      <c r="J61" s="465">
        <f t="shared" si="22"/>
        <v>43631.163848299999</v>
      </c>
      <c r="K61" s="465">
        <f t="shared" si="22"/>
        <v>44323.298321249997</v>
      </c>
      <c r="L61" s="465">
        <f t="shared" si="22"/>
        <v>51569.496288349997</v>
      </c>
      <c r="M61" s="465">
        <f t="shared" si="22"/>
        <v>53789.788101099999</v>
      </c>
      <c r="N61" s="465">
        <f t="shared" si="22"/>
        <v>87866.496617600002</v>
      </c>
      <c r="O61" s="465" t="str">
        <f t="shared" si="22"/>
        <v>n/a</v>
      </c>
    </row>
    <row r="62" spans="1:19" ht="14.85" customHeight="1"/>
    <row r="63" spans="1:19" ht="14.85" customHeight="1" outlineLevel="1">
      <c r="B63" s="234" t="s">
        <v>393</v>
      </c>
      <c r="D63" s="259">
        <f>(LN($D$9/D60)+($D$12+$D$11^2/2)*$D$10)/($D$11*SQRT($D$10))</f>
        <v>38.556031322138267</v>
      </c>
      <c r="E63" s="259">
        <f>(LN($D$9/E60)+($D$12+$D$11^2/2)*$D$10)/($D$11*SQRT($D$10))</f>
        <v>0.57700375065347598</v>
      </c>
      <c r="F63" s="259">
        <f t="shared" ref="F63:O63" si="23">(LN($D$9/F60)+($D$12+$D$11^2/2)*$D$10)/($D$11*SQRT($D$10))</f>
        <v>0.57639527871506635</v>
      </c>
      <c r="G63" s="259">
        <f t="shared" si="23"/>
        <v>0.54055367849568636</v>
      </c>
      <c r="H63" s="259">
        <f t="shared" si="23"/>
        <v>0.5374740087971871</v>
      </c>
      <c r="I63" s="259">
        <f t="shared" si="23"/>
        <v>0.51318420444330148</v>
      </c>
      <c r="J63" s="259">
        <f t="shared" si="23"/>
        <v>0.48158505323748269</v>
      </c>
      <c r="K63" s="259">
        <f t="shared" si="23"/>
        <v>0.46366727015322473</v>
      </c>
      <c r="L63" s="259">
        <f t="shared" si="23"/>
        <v>0.44588207018349829</v>
      </c>
      <c r="M63" s="259">
        <f t="shared" si="23"/>
        <v>0.27477415998703364</v>
      </c>
      <c r="N63" s="259">
        <f t="shared" si="23"/>
        <v>0.22713997583188422</v>
      </c>
      <c r="O63" s="259">
        <f t="shared" si="23"/>
        <v>-0.32740167502580947</v>
      </c>
    </row>
    <row r="64" spans="1:19" ht="14.85" customHeight="1" outlineLevel="1">
      <c r="B64" s="234" t="s">
        <v>395</v>
      </c>
      <c r="D64" s="259">
        <f>D63-$D$11*SQRT($D$10)</f>
        <v>37.671093390086781</v>
      </c>
      <c r="E64" s="259">
        <f t="shared" ref="E64:O64" si="24">E63-$D$11*SQRT($D$10)</f>
        <v>-0.30793418139801076</v>
      </c>
      <c r="F64" s="259">
        <f t="shared" si="24"/>
        <v>-0.30854265333642039</v>
      </c>
      <c r="G64" s="259">
        <f t="shared" si="24"/>
        <v>-0.34438425355580038</v>
      </c>
      <c r="H64" s="259">
        <f t="shared" si="24"/>
        <v>-0.34746392325429964</v>
      </c>
      <c r="I64" s="259">
        <f t="shared" si="24"/>
        <v>-0.37175372760818526</v>
      </c>
      <c r="J64" s="259">
        <f t="shared" si="24"/>
        <v>-0.40335287881400406</v>
      </c>
      <c r="K64" s="259">
        <f t="shared" si="24"/>
        <v>-0.42127066189826201</v>
      </c>
      <c r="L64" s="259">
        <f t="shared" si="24"/>
        <v>-0.43905586186798845</v>
      </c>
      <c r="M64" s="259">
        <f t="shared" si="24"/>
        <v>-0.61016377206445305</v>
      </c>
      <c r="N64" s="259">
        <f t="shared" si="24"/>
        <v>-0.65779795621960258</v>
      </c>
      <c r="O64" s="259">
        <f t="shared" si="24"/>
        <v>-1.2123396070772963</v>
      </c>
    </row>
    <row r="65" spans="2:19" ht="14.85" customHeight="1" outlineLevel="1">
      <c r="D65" s="259"/>
      <c r="E65" s="259"/>
      <c r="F65" s="259"/>
      <c r="G65" s="259"/>
      <c r="H65" s="259"/>
      <c r="I65" s="259"/>
      <c r="J65" s="259"/>
      <c r="K65" s="259"/>
      <c r="L65" s="259"/>
      <c r="M65" s="259"/>
      <c r="N65" s="259"/>
      <c r="O65" s="259"/>
    </row>
    <row r="66" spans="2:19" ht="14.85" customHeight="1" outlineLevel="1">
      <c r="B66" s="234" t="s">
        <v>394</v>
      </c>
      <c r="D66" s="259">
        <f>(LN($D$9/D61)+($D$12+$D$11^2/2)*$D$10)/($D$11*SQRT($D$10))</f>
        <v>0.57700375065347598</v>
      </c>
      <c r="E66" s="465">
        <f>IF(E61="n/a","n/a",(LN($D$9/E61)+($D$12+$D$11^2/2)*$D$10)/($D$11*SQRT($D$10)))</f>
        <v>0.57639527871506635</v>
      </c>
      <c r="F66" s="465">
        <f t="shared" ref="F66:O66" si="25">IF(F61="n/a","n/a",(LN($D$9/F61)+($D$12+$D$11^2/2)*$D$10)/($D$11*SQRT($D$10)))</f>
        <v>0.54055367849568636</v>
      </c>
      <c r="G66" s="465">
        <f t="shared" si="25"/>
        <v>0.5374740087971871</v>
      </c>
      <c r="H66" s="465">
        <f t="shared" si="25"/>
        <v>0.51318420444330148</v>
      </c>
      <c r="I66" s="465">
        <f t="shared" si="25"/>
        <v>0.48158505323748269</v>
      </c>
      <c r="J66" s="465">
        <f t="shared" si="25"/>
        <v>0.46366727015322473</v>
      </c>
      <c r="K66" s="465">
        <f t="shared" si="25"/>
        <v>0.44588207018349829</v>
      </c>
      <c r="L66" s="465">
        <f t="shared" si="25"/>
        <v>0.27477415998703364</v>
      </c>
      <c r="M66" s="465">
        <f t="shared" si="25"/>
        <v>0.22713997583188422</v>
      </c>
      <c r="N66" s="465">
        <f t="shared" si="25"/>
        <v>-0.32740167502580947</v>
      </c>
      <c r="O66" s="465" t="str">
        <f t="shared" si="25"/>
        <v>n/a</v>
      </c>
    </row>
    <row r="67" spans="2:19" ht="14.85" customHeight="1" outlineLevel="1">
      <c r="B67" s="234" t="s">
        <v>396</v>
      </c>
      <c r="D67" s="259">
        <f>D66-$D$11*SQRT($D$10)</f>
        <v>-0.30793418139801076</v>
      </c>
      <c r="E67" s="465">
        <f>IF(E61="n/a","n/a",E66-$D$11*SQRT($D$10))</f>
        <v>-0.30854265333642039</v>
      </c>
      <c r="F67" s="465">
        <f t="shared" ref="F67:O67" si="26">IF(F61="n/a","n/a",F66-$D$11*SQRT($D$10))</f>
        <v>-0.34438425355580038</v>
      </c>
      <c r="G67" s="465">
        <f t="shared" si="26"/>
        <v>-0.34746392325429964</v>
      </c>
      <c r="H67" s="465">
        <f t="shared" si="26"/>
        <v>-0.37175372760818526</v>
      </c>
      <c r="I67" s="465">
        <f t="shared" si="26"/>
        <v>-0.40335287881400406</v>
      </c>
      <c r="J67" s="465">
        <f t="shared" si="26"/>
        <v>-0.42127066189826201</v>
      </c>
      <c r="K67" s="465">
        <f t="shared" si="26"/>
        <v>-0.43905586186798845</v>
      </c>
      <c r="L67" s="465">
        <f t="shared" si="26"/>
        <v>-0.61016377206445305</v>
      </c>
      <c r="M67" s="465">
        <f t="shared" si="26"/>
        <v>-0.65779795621960258</v>
      </c>
      <c r="N67" s="465">
        <f t="shared" si="26"/>
        <v>-1.2123396070772963</v>
      </c>
      <c r="O67" s="465" t="str">
        <f t="shared" si="26"/>
        <v>n/a</v>
      </c>
    </row>
    <row r="68" spans="2:19" ht="14.85" customHeight="1" outlineLevel="1">
      <c r="D68" s="259"/>
      <c r="E68" s="259"/>
      <c r="F68" s="259"/>
      <c r="G68" s="259"/>
      <c r="H68" s="259"/>
      <c r="I68" s="259"/>
      <c r="J68" s="259"/>
      <c r="K68" s="259"/>
      <c r="L68" s="259"/>
      <c r="M68" s="259"/>
      <c r="N68" s="259"/>
      <c r="O68" s="259"/>
    </row>
    <row r="69" spans="2:19" ht="14.85" customHeight="1">
      <c r="B69" s="234" t="s">
        <v>390</v>
      </c>
      <c r="D69" s="259">
        <f>$D$9*NORMSDIST(D63)-D60*EXP(-$D$12*$D$10)*NORMSDIST(D64)</f>
        <v>42639.999999999905</v>
      </c>
      <c r="E69" s="259">
        <f t="shared" ref="E69:O69" si="27">$D$9*NORMSDIST(E63)-E60*EXP(-$D$12*$D$10)*NORMSDIST(E64)</f>
        <v>16267.675502040531</v>
      </c>
      <c r="F69" s="259">
        <f t="shared" si="27"/>
        <v>16259.949318506524</v>
      </c>
      <c r="G69" s="259">
        <f t="shared" si="27"/>
        <v>15805.899186361559</v>
      </c>
      <c r="H69" s="259">
        <f t="shared" si="27"/>
        <v>15766.988833226493</v>
      </c>
      <c r="I69" s="259">
        <f t="shared" si="27"/>
        <v>15460.732645914737</v>
      </c>
      <c r="J69" s="259">
        <f t="shared" si="27"/>
        <v>15064.154515844095</v>
      </c>
      <c r="K69" s="259">
        <f t="shared" si="27"/>
        <v>14840.297885115153</v>
      </c>
      <c r="L69" s="259">
        <f t="shared" si="27"/>
        <v>14618.885758446871</v>
      </c>
      <c r="M69" s="259">
        <f t="shared" si="27"/>
        <v>12538.06344919412</v>
      </c>
      <c r="N69" s="259">
        <f t="shared" si="27"/>
        <v>11977.972731406178</v>
      </c>
      <c r="O69" s="259">
        <f t="shared" si="27"/>
        <v>6351.5164623076816</v>
      </c>
    </row>
    <row r="70" spans="2:19" ht="14.85" customHeight="1">
      <c r="B70" s="234" t="s">
        <v>391</v>
      </c>
      <c r="D70" s="259">
        <f>$D$9*NORMSDIST(D66)-D61*EXP(-$D$12*$D$10)*NORMSDIST(D67)</f>
        <v>16267.675502040531</v>
      </c>
      <c r="E70" s="465">
        <f>IF(E61="n/a","n/a",$D$9*NORMSDIST(E66)-E61*EXP(-$D$12*$D$10)*NORMSDIST(E67))</f>
        <v>16259.949318506524</v>
      </c>
      <c r="F70" s="465">
        <f t="shared" ref="F70:O70" si="28">IF(F61="n/a","n/a",$D$9*NORMSDIST(F66)-F61*EXP(-$D$12*$D$10)*NORMSDIST(F67))</f>
        <v>15805.899186361559</v>
      </c>
      <c r="G70" s="465">
        <f t="shared" si="28"/>
        <v>15766.988833226493</v>
      </c>
      <c r="H70" s="465">
        <f t="shared" si="28"/>
        <v>15460.732645914737</v>
      </c>
      <c r="I70" s="465">
        <f t="shared" si="28"/>
        <v>15064.154515844095</v>
      </c>
      <c r="J70" s="465">
        <f t="shared" si="28"/>
        <v>14840.297885115153</v>
      </c>
      <c r="K70" s="465">
        <f t="shared" si="28"/>
        <v>14618.885758446871</v>
      </c>
      <c r="L70" s="465">
        <f t="shared" si="28"/>
        <v>12538.06344919412</v>
      </c>
      <c r="M70" s="465">
        <f t="shared" si="28"/>
        <v>11977.972731406178</v>
      </c>
      <c r="N70" s="465">
        <f t="shared" si="28"/>
        <v>6351.5164623076816</v>
      </c>
      <c r="O70" s="465" t="str">
        <f t="shared" si="28"/>
        <v>n/a</v>
      </c>
    </row>
    <row r="71" spans="2:19" ht="14.85" customHeight="1"/>
    <row r="72" spans="2:19" ht="14.85" customHeight="1">
      <c r="B72" s="255" t="s">
        <v>392</v>
      </c>
      <c r="C72" s="255"/>
      <c r="D72" s="459">
        <f>D69-D70</f>
        <v>26372.324497959373</v>
      </c>
      <c r="E72" s="459">
        <f>IF(E61="n/a",E69,E69-E70)</f>
        <v>7.7261835340068501</v>
      </c>
      <c r="F72" s="459">
        <f t="shared" ref="F72:O72" si="29">IF(F61="n/a",F69,F69-F70)</f>
        <v>454.05013214496466</v>
      </c>
      <c r="G72" s="459">
        <f t="shared" si="29"/>
        <v>38.910353135066543</v>
      </c>
      <c r="H72" s="459">
        <f t="shared" si="29"/>
        <v>306.25618731175564</v>
      </c>
      <c r="I72" s="459">
        <f t="shared" si="29"/>
        <v>396.57813007064215</v>
      </c>
      <c r="J72" s="459">
        <f t="shared" si="29"/>
        <v>223.85663072894204</v>
      </c>
      <c r="K72" s="459">
        <f t="shared" si="29"/>
        <v>221.41212666828142</v>
      </c>
      <c r="L72" s="459">
        <f t="shared" si="29"/>
        <v>2080.8223092527514</v>
      </c>
      <c r="M72" s="459">
        <f t="shared" si="29"/>
        <v>560.09071778794168</v>
      </c>
      <c r="N72" s="459">
        <f t="shared" si="29"/>
        <v>5626.4562690984967</v>
      </c>
      <c r="O72" s="459">
        <f t="shared" si="29"/>
        <v>6351.5164623076816</v>
      </c>
    </row>
    <row r="73" spans="2:19" ht="14.85" customHeight="1"/>
    <row r="74" spans="2:19" s="270" customFormat="1" ht="14.85" customHeight="1">
      <c r="B74" s="461" t="s">
        <v>386</v>
      </c>
      <c r="D74" s="462">
        <f>D$15</f>
        <v>1</v>
      </c>
      <c r="E74" s="463">
        <f t="shared" ref="E74:O74" si="30">E$15</f>
        <v>2</v>
      </c>
      <c r="F74" s="463">
        <f t="shared" si="30"/>
        <v>3</v>
      </c>
      <c r="G74" s="463">
        <f t="shared" si="30"/>
        <v>4</v>
      </c>
      <c r="H74" s="463">
        <f t="shared" si="30"/>
        <v>5</v>
      </c>
      <c r="I74" s="463">
        <f t="shared" si="30"/>
        <v>6</v>
      </c>
      <c r="J74" s="463">
        <f t="shared" si="30"/>
        <v>7</v>
      </c>
      <c r="K74" s="463">
        <f t="shared" si="30"/>
        <v>8</v>
      </c>
      <c r="L74" s="463">
        <f t="shared" si="30"/>
        <v>9</v>
      </c>
      <c r="M74" s="463">
        <f t="shared" si="30"/>
        <v>10</v>
      </c>
      <c r="N74" s="463">
        <f t="shared" si="30"/>
        <v>11</v>
      </c>
      <c r="O74" s="464">
        <f t="shared" si="30"/>
        <v>12</v>
      </c>
      <c r="S74" s="271"/>
    </row>
    <row r="75" spans="2:19" ht="14.85" customHeight="1"/>
    <row r="76" spans="2:19" ht="14.85" customHeight="1">
      <c r="D76" s="466" t="s">
        <v>380</v>
      </c>
      <c r="E76" s="466" t="s">
        <v>304</v>
      </c>
      <c r="F76" s="466" t="s">
        <v>304</v>
      </c>
      <c r="G76" s="466" t="s">
        <v>304</v>
      </c>
      <c r="H76" s="466" t="s">
        <v>304</v>
      </c>
      <c r="I76" s="466" t="s">
        <v>304</v>
      </c>
      <c r="J76" s="466" t="s">
        <v>304</v>
      </c>
      <c r="K76" s="466" t="s">
        <v>304</v>
      </c>
      <c r="L76" s="466" t="s">
        <v>304</v>
      </c>
      <c r="M76" s="466" t="s">
        <v>304</v>
      </c>
      <c r="N76" s="466" t="s">
        <v>304</v>
      </c>
      <c r="O76" s="466" t="s">
        <v>304</v>
      </c>
    </row>
    <row r="77" spans="2:19" ht="14.85" customHeight="1"/>
    <row r="78" spans="2:19" ht="14.85" customHeight="1">
      <c r="B78" s="256" t="str">
        <f t="shared" ref="B78:B88" si="31">B35</f>
        <v>Series Seed</v>
      </c>
      <c r="D78" s="297">
        <f>IF(D$76="Liq. Pref",D19,D35)</f>
        <v>1020.0174399</v>
      </c>
      <c r="E78" s="297">
        <f t="shared" ref="E78:O78" si="32">IF(E$76="Liq. Pref",E19,E35)</f>
        <v>0</v>
      </c>
      <c r="F78" s="297">
        <f t="shared" si="32"/>
        <v>0</v>
      </c>
      <c r="G78" s="297">
        <f t="shared" si="32"/>
        <v>0</v>
      </c>
      <c r="H78" s="297">
        <f t="shared" si="32"/>
        <v>0</v>
      </c>
      <c r="I78" s="297">
        <f t="shared" si="32"/>
        <v>0</v>
      </c>
      <c r="J78" s="297">
        <f t="shared" si="32"/>
        <v>0</v>
      </c>
      <c r="K78" s="297">
        <f t="shared" si="32"/>
        <v>0</v>
      </c>
      <c r="L78" s="297">
        <f t="shared" si="32"/>
        <v>1010.456</v>
      </c>
      <c r="M78" s="297">
        <f t="shared" si="32"/>
        <v>1010.456</v>
      </c>
      <c r="N78" s="297">
        <f t="shared" si="32"/>
        <v>1010.456</v>
      </c>
      <c r="O78" s="297">
        <f t="shared" si="32"/>
        <v>1010.456</v>
      </c>
    </row>
    <row r="79" spans="2:19" ht="14.85" customHeight="1">
      <c r="B79" s="256" t="str">
        <f t="shared" si="31"/>
        <v>Series Seed-1</v>
      </c>
      <c r="D79" s="297">
        <f t="shared" ref="D79:O81" si="33">IF(D$76="Liq. Pref",D20,D36)</f>
        <v>3430.0119045000001</v>
      </c>
      <c r="E79" s="297">
        <f t="shared" si="33"/>
        <v>0</v>
      </c>
      <c r="F79" s="297">
        <f t="shared" si="33"/>
        <v>0</v>
      </c>
      <c r="G79" s="297">
        <f t="shared" si="33"/>
        <v>0</v>
      </c>
      <c r="H79" s="297">
        <f t="shared" si="33"/>
        <v>0</v>
      </c>
      <c r="I79" s="297">
        <f t="shared" si="33"/>
        <v>0</v>
      </c>
      <c r="J79" s="297">
        <f t="shared" si="33"/>
        <v>0</v>
      </c>
      <c r="K79" s="297">
        <f t="shared" si="33"/>
        <v>0</v>
      </c>
      <c r="L79" s="297">
        <f t="shared" si="33"/>
        <v>0</v>
      </c>
      <c r="M79" s="297">
        <f t="shared" si="33"/>
        <v>1787.64</v>
      </c>
      <c r="N79" s="297">
        <f t="shared" si="33"/>
        <v>1787.64</v>
      </c>
      <c r="O79" s="297">
        <f t="shared" si="33"/>
        <v>1787.64</v>
      </c>
    </row>
    <row r="80" spans="2:19" ht="14.85" customHeight="1">
      <c r="B80" s="256" t="str">
        <f t="shared" si="31"/>
        <v>Series A</v>
      </c>
      <c r="D80" s="297">
        <f t="shared" si="33"/>
        <v>13135.5942393</v>
      </c>
      <c r="E80" s="297">
        <f t="shared" si="33"/>
        <v>0</v>
      </c>
      <c r="F80" s="297">
        <f t="shared" si="33"/>
        <v>0</v>
      </c>
      <c r="G80" s="297">
        <f t="shared" si="33"/>
        <v>0</v>
      </c>
      <c r="H80" s="297">
        <f t="shared" si="33"/>
        <v>0</v>
      </c>
      <c r="I80" s="297">
        <f t="shared" si="33"/>
        <v>0</v>
      </c>
      <c r="J80" s="297">
        <f t="shared" si="33"/>
        <v>0</v>
      </c>
      <c r="K80" s="297">
        <f t="shared" si="33"/>
        <v>0</v>
      </c>
      <c r="L80" s="297">
        <f t="shared" si="33"/>
        <v>0</v>
      </c>
      <c r="M80" s="297">
        <f t="shared" si="33"/>
        <v>0</v>
      </c>
      <c r="N80" s="297">
        <f t="shared" si="33"/>
        <v>6120.1109999999999</v>
      </c>
      <c r="O80" s="297">
        <f t="shared" si="33"/>
        <v>6120.1109999999999</v>
      </c>
    </row>
    <row r="81" spans="2:15" ht="14.85" customHeight="1">
      <c r="B81" s="256" t="str">
        <f t="shared" si="31"/>
        <v>Series B</v>
      </c>
      <c r="D81" s="297">
        <f t="shared" si="33"/>
        <v>21881.811811600001</v>
      </c>
      <c r="E81" s="297">
        <f t="shared" si="33"/>
        <v>0</v>
      </c>
      <c r="F81" s="297">
        <f t="shared" si="33"/>
        <v>0</v>
      </c>
      <c r="G81" s="297">
        <f t="shared" si="33"/>
        <v>0</v>
      </c>
      <c r="H81" s="297">
        <f t="shared" si="33"/>
        <v>0</v>
      </c>
      <c r="I81" s="297">
        <f t="shared" si="33"/>
        <v>0</v>
      </c>
      <c r="J81" s="297">
        <f t="shared" si="33"/>
        <v>0</v>
      </c>
      <c r="K81" s="297">
        <f t="shared" si="33"/>
        <v>0</v>
      </c>
      <c r="L81" s="297">
        <f t="shared" si="33"/>
        <v>0</v>
      </c>
      <c r="M81" s="297">
        <f t="shared" si="33"/>
        <v>0</v>
      </c>
      <c r="N81" s="297">
        <f t="shared" si="33"/>
        <v>0</v>
      </c>
      <c r="O81" s="297">
        <f t="shared" si="33"/>
        <v>5097.5659999999998</v>
      </c>
    </row>
    <row r="82" spans="2:15" ht="14.85" customHeight="1">
      <c r="B82" s="256" t="str">
        <f t="shared" si="31"/>
        <v>Options at $0.0059 Strike Price</v>
      </c>
      <c r="D82" s="297">
        <f>D39</f>
        <v>0</v>
      </c>
      <c r="E82" s="297">
        <f t="shared" ref="E82:O82" si="34">E39</f>
        <v>0</v>
      </c>
      <c r="F82" s="297">
        <f t="shared" si="34"/>
        <v>79.688000000000002</v>
      </c>
      <c r="G82" s="297">
        <f t="shared" si="34"/>
        <v>79.688000000000002</v>
      </c>
      <c r="H82" s="297">
        <f t="shared" si="34"/>
        <v>79.688000000000002</v>
      </c>
      <c r="I82" s="297">
        <f t="shared" si="34"/>
        <v>79.688000000000002</v>
      </c>
      <c r="J82" s="297">
        <f t="shared" si="34"/>
        <v>79.688000000000002</v>
      </c>
      <c r="K82" s="297">
        <f t="shared" si="34"/>
        <v>79.688000000000002</v>
      </c>
      <c r="L82" s="297">
        <f t="shared" si="34"/>
        <v>79.688000000000002</v>
      </c>
      <c r="M82" s="297">
        <f t="shared" si="34"/>
        <v>79.688000000000002</v>
      </c>
      <c r="N82" s="297">
        <f t="shared" si="34"/>
        <v>79.688000000000002</v>
      </c>
      <c r="O82" s="297">
        <f t="shared" si="34"/>
        <v>79.688000000000002</v>
      </c>
    </row>
    <row r="83" spans="2:15" ht="14.85" customHeight="1">
      <c r="B83" s="256" t="str">
        <f t="shared" si="31"/>
        <v>Options at $0.350 Strike Price</v>
      </c>
      <c r="D83" s="297">
        <f t="shared" ref="D83:O88" si="35">D40</f>
        <v>0</v>
      </c>
      <c r="E83" s="297">
        <f t="shared" si="35"/>
        <v>0</v>
      </c>
      <c r="F83" s="297">
        <f t="shared" si="35"/>
        <v>0</v>
      </c>
      <c r="G83" s="297">
        <f t="shared" si="35"/>
        <v>10</v>
      </c>
      <c r="H83" s="297">
        <f t="shared" si="35"/>
        <v>10</v>
      </c>
      <c r="I83" s="297">
        <f t="shared" si="35"/>
        <v>10</v>
      </c>
      <c r="J83" s="297">
        <f t="shared" si="35"/>
        <v>10</v>
      </c>
      <c r="K83" s="297">
        <f t="shared" si="35"/>
        <v>10</v>
      </c>
      <c r="L83" s="297">
        <f t="shared" si="35"/>
        <v>10</v>
      </c>
      <c r="M83" s="297">
        <f t="shared" si="35"/>
        <v>10</v>
      </c>
      <c r="N83" s="297">
        <f t="shared" si="35"/>
        <v>10</v>
      </c>
      <c r="O83" s="297">
        <f t="shared" si="35"/>
        <v>10</v>
      </c>
    </row>
    <row r="84" spans="2:15" ht="14.85" customHeight="1">
      <c r="B84" s="256" t="str">
        <f t="shared" si="31"/>
        <v>Options at $0.38 Strike Price</v>
      </c>
      <c r="D84" s="297">
        <f t="shared" si="35"/>
        <v>0</v>
      </c>
      <c r="E84" s="297">
        <f t="shared" si="35"/>
        <v>0</v>
      </c>
      <c r="F84" s="297">
        <f t="shared" si="35"/>
        <v>0</v>
      </c>
      <c r="G84" s="297">
        <f t="shared" si="35"/>
        <v>0</v>
      </c>
      <c r="H84" s="297">
        <f t="shared" si="35"/>
        <v>328.69</v>
      </c>
      <c r="I84" s="297">
        <f t="shared" si="35"/>
        <v>328.69</v>
      </c>
      <c r="J84" s="297">
        <f t="shared" si="35"/>
        <v>328.69</v>
      </c>
      <c r="K84" s="297">
        <f t="shared" si="35"/>
        <v>328.69</v>
      </c>
      <c r="L84" s="297">
        <f t="shared" si="35"/>
        <v>328.69</v>
      </c>
      <c r="M84" s="297">
        <f t="shared" si="35"/>
        <v>328.69</v>
      </c>
      <c r="N84" s="297">
        <f t="shared" si="35"/>
        <v>328.69</v>
      </c>
      <c r="O84" s="297">
        <f t="shared" si="35"/>
        <v>328.69</v>
      </c>
    </row>
    <row r="85" spans="2:15" ht="14.85" customHeight="1">
      <c r="B85" s="256" t="str">
        <f t="shared" si="31"/>
        <v>Options at $0.81 Strike Price</v>
      </c>
      <c r="D85" s="297">
        <f t="shared" si="35"/>
        <v>0</v>
      </c>
      <c r="E85" s="297">
        <f t="shared" si="35"/>
        <v>0</v>
      </c>
      <c r="F85" s="297">
        <f t="shared" si="35"/>
        <v>0</v>
      </c>
      <c r="G85" s="297">
        <f t="shared" si="35"/>
        <v>0</v>
      </c>
      <c r="H85" s="297">
        <f t="shared" si="35"/>
        <v>0</v>
      </c>
      <c r="I85" s="297">
        <f t="shared" si="35"/>
        <v>0</v>
      </c>
      <c r="J85" s="297">
        <f t="shared" si="35"/>
        <v>1224.4010000000001</v>
      </c>
      <c r="K85" s="297">
        <f t="shared" si="35"/>
        <v>1224.4010000000001</v>
      </c>
      <c r="L85" s="297">
        <f t="shared" si="35"/>
        <v>1224.4010000000001</v>
      </c>
      <c r="M85" s="297">
        <f t="shared" si="35"/>
        <v>1224.4010000000001</v>
      </c>
      <c r="N85" s="297">
        <f t="shared" si="35"/>
        <v>1224.4010000000001</v>
      </c>
      <c r="O85" s="297">
        <f t="shared" si="35"/>
        <v>1224.4010000000001</v>
      </c>
    </row>
    <row r="86" spans="2:15" ht="14.85" customHeight="1">
      <c r="B86" s="256" t="str">
        <f t="shared" si="31"/>
        <v>Options at $0.91 Strike Price</v>
      </c>
      <c r="D86" s="297">
        <f t="shared" si="35"/>
        <v>0</v>
      </c>
      <c r="E86" s="297">
        <f t="shared" si="35"/>
        <v>0</v>
      </c>
      <c r="F86" s="297">
        <f t="shared" si="35"/>
        <v>0</v>
      </c>
      <c r="G86" s="297">
        <f t="shared" si="35"/>
        <v>0</v>
      </c>
      <c r="H86" s="297">
        <f t="shared" si="35"/>
        <v>0</v>
      </c>
      <c r="I86" s="297">
        <f t="shared" si="35"/>
        <v>0</v>
      </c>
      <c r="J86" s="297">
        <f t="shared" si="35"/>
        <v>0</v>
      </c>
      <c r="K86" s="297">
        <f t="shared" si="35"/>
        <v>95.094999999999999</v>
      </c>
      <c r="L86" s="297">
        <f t="shared" si="35"/>
        <v>95.094999999999999</v>
      </c>
      <c r="M86" s="297">
        <f t="shared" si="35"/>
        <v>95.094999999999999</v>
      </c>
      <c r="N86" s="297">
        <f t="shared" si="35"/>
        <v>95.094999999999999</v>
      </c>
      <c r="O86" s="297">
        <f t="shared" si="35"/>
        <v>95.094999999999999</v>
      </c>
    </row>
    <row r="87" spans="2:15" ht="14.85" customHeight="1">
      <c r="B87" s="313" t="str">
        <f t="shared" si="31"/>
        <v>Expected Options Grant</v>
      </c>
      <c r="D87" s="297">
        <f t="shared" si="35"/>
        <v>0</v>
      </c>
      <c r="E87" s="297">
        <f t="shared" si="35"/>
        <v>0</v>
      </c>
      <c r="F87" s="297">
        <f t="shared" si="35"/>
        <v>0</v>
      </c>
      <c r="G87" s="297">
        <f t="shared" si="35"/>
        <v>0</v>
      </c>
      <c r="H87" s="297">
        <f t="shared" si="35"/>
        <v>0</v>
      </c>
      <c r="I87" s="297">
        <f t="shared" si="35"/>
        <v>1602.6010000000001</v>
      </c>
      <c r="J87" s="297">
        <f t="shared" si="35"/>
        <v>1602.6010000000001</v>
      </c>
      <c r="K87" s="297">
        <f t="shared" si="35"/>
        <v>1602.6010000000001</v>
      </c>
      <c r="L87" s="297">
        <f t="shared" si="35"/>
        <v>1602.6010000000001</v>
      </c>
      <c r="M87" s="297">
        <f t="shared" si="35"/>
        <v>1602.6010000000001</v>
      </c>
      <c r="N87" s="297">
        <f t="shared" si="35"/>
        <v>1602.6010000000001</v>
      </c>
      <c r="O87" s="297">
        <f t="shared" si="35"/>
        <v>1602.6010000000001</v>
      </c>
    </row>
    <row r="88" spans="2:15" ht="14.85" customHeight="1">
      <c r="B88" s="256" t="str">
        <f t="shared" si="31"/>
        <v>Common Stock</v>
      </c>
      <c r="D88" s="297">
        <f t="shared" si="35"/>
        <v>0</v>
      </c>
      <c r="E88" s="297">
        <f t="shared" si="35"/>
        <v>3618.2730000000001</v>
      </c>
      <c r="F88" s="297">
        <f t="shared" si="35"/>
        <v>3618.2730000000001</v>
      </c>
      <c r="G88" s="297">
        <f t="shared" si="35"/>
        <v>3618.2730000000001</v>
      </c>
      <c r="H88" s="297">
        <f t="shared" si="35"/>
        <v>3618.2730000000001</v>
      </c>
      <c r="I88" s="297">
        <f t="shared" si="35"/>
        <v>3618.2730000000001</v>
      </c>
      <c r="J88" s="297">
        <f t="shared" si="35"/>
        <v>3618.2730000000001</v>
      </c>
      <c r="K88" s="297">
        <f t="shared" si="35"/>
        <v>3618.2730000000001</v>
      </c>
      <c r="L88" s="297">
        <f t="shared" si="35"/>
        <v>3618.2730000000001</v>
      </c>
      <c r="M88" s="297">
        <f t="shared" si="35"/>
        <v>3618.2730000000001</v>
      </c>
      <c r="N88" s="297">
        <f t="shared" si="35"/>
        <v>3618.2730000000001</v>
      </c>
      <c r="O88" s="297">
        <f t="shared" si="35"/>
        <v>3618.2730000000001</v>
      </c>
    </row>
    <row r="89" spans="2:15" ht="14.85" customHeight="1">
      <c r="B89" s="269"/>
      <c r="C89" s="269"/>
      <c r="D89" s="269"/>
      <c r="E89" s="269"/>
      <c r="F89" s="269"/>
      <c r="G89" s="269"/>
      <c r="H89" s="269"/>
      <c r="I89" s="269"/>
      <c r="J89" s="269"/>
      <c r="K89" s="269"/>
      <c r="L89" s="269"/>
      <c r="M89" s="269"/>
      <c r="N89" s="269"/>
      <c r="O89" s="269"/>
    </row>
    <row r="90" spans="2:15" ht="14.85" customHeight="1">
      <c r="B90" s="298" t="s">
        <v>1995</v>
      </c>
      <c r="D90" s="309">
        <f t="shared" ref="D90:O90" si="36">SUM(D78:D88)</f>
        <v>39467.435395299995</v>
      </c>
      <c r="E90" s="309">
        <f t="shared" si="36"/>
        <v>3618.2730000000001</v>
      </c>
      <c r="F90" s="309">
        <f t="shared" si="36"/>
        <v>3697.9610000000002</v>
      </c>
      <c r="G90" s="309">
        <f t="shared" si="36"/>
        <v>3707.9610000000002</v>
      </c>
      <c r="H90" s="309">
        <f t="shared" si="36"/>
        <v>4036.6510000000003</v>
      </c>
      <c r="I90" s="309">
        <f t="shared" si="36"/>
        <v>5639.2520000000004</v>
      </c>
      <c r="J90" s="309">
        <f t="shared" si="36"/>
        <v>6863.6530000000002</v>
      </c>
      <c r="K90" s="309">
        <f t="shared" si="36"/>
        <v>6958.7480000000005</v>
      </c>
      <c r="L90" s="309">
        <f t="shared" si="36"/>
        <v>7969.2040000000006</v>
      </c>
      <c r="M90" s="309">
        <f t="shared" si="36"/>
        <v>9756.844000000001</v>
      </c>
      <c r="N90" s="309">
        <f t="shared" si="36"/>
        <v>15876.955000000002</v>
      </c>
      <c r="O90" s="309">
        <f t="shared" si="36"/>
        <v>20974.521000000001</v>
      </c>
    </row>
    <row r="91" spans="2:15" ht="14.85" customHeight="1"/>
    <row r="92" spans="2:15" ht="14.85" customHeight="1">
      <c r="B92" s="461" t="s">
        <v>2024</v>
      </c>
      <c r="C92" s="270"/>
      <c r="D92" s="462">
        <f>D$15</f>
        <v>1</v>
      </c>
      <c r="E92" s="463">
        <f t="shared" ref="E92:O92" si="37">E$15</f>
        <v>2</v>
      </c>
      <c r="F92" s="463">
        <f t="shared" si="37"/>
        <v>3</v>
      </c>
      <c r="G92" s="463">
        <f t="shared" si="37"/>
        <v>4</v>
      </c>
      <c r="H92" s="463">
        <f t="shared" si="37"/>
        <v>5</v>
      </c>
      <c r="I92" s="463">
        <f t="shared" si="37"/>
        <v>6</v>
      </c>
      <c r="J92" s="463">
        <f t="shared" si="37"/>
        <v>7</v>
      </c>
      <c r="K92" s="463">
        <f t="shared" si="37"/>
        <v>8</v>
      </c>
      <c r="L92" s="463">
        <f t="shared" si="37"/>
        <v>9</v>
      </c>
      <c r="M92" s="463">
        <f t="shared" si="37"/>
        <v>10</v>
      </c>
      <c r="N92" s="463">
        <f t="shared" si="37"/>
        <v>11</v>
      </c>
      <c r="O92" s="464">
        <f t="shared" si="37"/>
        <v>12</v>
      </c>
    </row>
    <row r="93" spans="2:15" ht="14.85" customHeight="1"/>
    <row r="94" spans="2:15" ht="14.85" customHeight="1">
      <c r="B94" s="256" t="str">
        <f t="shared" ref="B94:B104" si="38">B78</f>
        <v>Series Seed</v>
      </c>
      <c r="D94" s="310">
        <f t="shared" ref="D94:O104" si="39">D78/D$90</f>
        <v>2.5844533086167271E-2</v>
      </c>
      <c r="E94" s="310">
        <f t="shared" si="39"/>
        <v>0</v>
      </c>
      <c r="F94" s="310">
        <f t="shared" si="39"/>
        <v>0</v>
      </c>
      <c r="G94" s="310">
        <f t="shared" si="39"/>
        <v>0</v>
      </c>
      <c r="H94" s="310">
        <f t="shared" si="39"/>
        <v>0</v>
      </c>
      <c r="I94" s="310">
        <f t="shared" si="39"/>
        <v>0</v>
      </c>
      <c r="J94" s="310">
        <f t="shared" si="39"/>
        <v>0</v>
      </c>
      <c r="K94" s="310">
        <f t="shared" si="39"/>
        <v>0</v>
      </c>
      <c r="L94" s="310">
        <f t="shared" si="39"/>
        <v>0.12679509772870665</v>
      </c>
      <c r="M94" s="310">
        <f t="shared" si="39"/>
        <v>0.10356381633241239</v>
      </c>
      <c r="N94" s="310">
        <f t="shared" si="39"/>
        <v>6.3642934051271166E-2</v>
      </c>
      <c r="O94" s="310">
        <f t="shared" si="39"/>
        <v>4.8175402909081927E-2</v>
      </c>
    </row>
    <row r="95" spans="2:15" ht="14.85" customHeight="1">
      <c r="B95" s="256" t="str">
        <f t="shared" si="38"/>
        <v>Series Seed-1</v>
      </c>
      <c r="D95" s="310">
        <f t="shared" si="39"/>
        <v>8.6907392642706791E-2</v>
      </c>
      <c r="E95" s="310">
        <f t="shared" si="39"/>
        <v>0</v>
      </c>
      <c r="F95" s="310">
        <f t="shared" si="39"/>
        <v>0</v>
      </c>
      <c r="G95" s="310">
        <f t="shared" si="39"/>
        <v>0</v>
      </c>
      <c r="H95" s="310">
        <f t="shared" si="39"/>
        <v>0</v>
      </c>
      <c r="I95" s="310">
        <f t="shared" si="39"/>
        <v>0</v>
      </c>
      <c r="J95" s="310">
        <f t="shared" si="39"/>
        <v>0</v>
      </c>
      <c r="K95" s="310">
        <f t="shared" si="39"/>
        <v>0</v>
      </c>
      <c r="L95" s="310">
        <f t="shared" si="39"/>
        <v>0</v>
      </c>
      <c r="M95" s="310">
        <f t="shared" si="39"/>
        <v>0.1832190819080432</v>
      </c>
      <c r="N95" s="310">
        <f t="shared" si="39"/>
        <v>0.11259337826428303</v>
      </c>
      <c r="O95" s="310">
        <f t="shared" si="39"/>
        <v>8.5229121561345794E-2</v>
      </c>
    </row>
    <row r="96" spans="2:15" ht="14.85" customHeight="1">
      <c r="B96" s="256" t="str">
        <f t="shared" si="38"/>
        <v>Series A</v>
      </c>
      <c r="D96" s="310">
        <f t="shared" si="39"/>
        <v>0.33282107407628164</v>
      </c>
      <c r="E96" s="310">
        <f t="shared" si="39"/>
        <v>0</v>
      </c>
      <c r="F96" s="310">
        <f t="shared" si="39"/>
        <v>0</v>
      </c>
      <c r="G96" s="310">
        <f t="shared" si="39"/>
        <v>0</v>
      </c>
      <c r="H96" s="310">
        <f t="shared" si="39"/>
        <v>0</v>
      </c>
      <c r="I96" s="310">
        <f t="shared" si="39"/>
        <v>0</v>
      </c>
      <c r="J96" s="310">
        <f t="shared" si="39"/>
        <v>0</v>
      </c>
      <c r="K96" s="310">
        <f t="shared" si="39"/>
        <v>0</v>
      </c>
      <c r="L96" s="310">
        <f t="shared" si="39"/>
        <v>0</v>
      </c>
      <c r="M96" s="310">
        <f t="shared" si="39"/>
        <v>0</v>
      </c>
      <c r="N96" s="310">
        <f t="shared" si="39"/>
        <v>0.3854713325067684</v>
      </c>
      <c r="O96" s="310">
        <f t="shared" si="39"/>
        <v>0.29178787920830229</v>
      </c>
    </row>
    <row r="97" spans="2:19" ht="14.85" customHeight="1">
      <c r="B97" s="256" t="str">
        <f t="shared" si="38"/>
        <v>Series B</v>
      </c>
      <c r="D97" s="310">
        <f t="shared" si="39"/>
        <v>0.55442700019484448</v>
      </c>
      <c r="E97" s="310">
        <f t="shared" si="39"/>
        <v>0</v>
      </c>
      <c r="F97" s="310">
        <f t="shared" si="39"/>
        <v>0</v>
      </c>
      <c r="G97" s="310">
        <f t="shared" si="39"/>
        <v>0</v>
      </c>
      <c r="H97" s="310">
        <f t="shared" si="39"/>
        <v>0</v>
      </c>
      <c r="I97" s="310">
        <f t="shared" si="39"/>
        <v>0</v>
      </c>
      <c r="J97" s="310">
        <f t="shared" si="39"/>
        <v>0</v>
      </c>
      <c r="K97" s="310">
        <f t="shared" si="39"/>
        <v>0</v>
      </c>
      <c r="L97" s="310">
        <f t="shared" si="39"/>
        <v>0</v>
      </c>
      <c r="M97" s="310">
        <f t="shared" si="39"/>
        <v>0</v>
      </c>
      <c r="N97" s="310">
        <f t="shared" si="39"/>
        <v>0</v>
      </c>
      <c r="O97" s="310">
        <f t="shared" si="39"/>
        <v>0.24303611033596428</v>
      </c>
    </row>
    <row r="98" spans="2:19" ht="14.85" customHeight="1">
      <c r="B98" s="256" t="str">
        <f t="shared" si="38"/>
        <v>Options at $0.0059 Strike Price</v>
      </c>
      <c r="D98" s="310">
        <f t="shared" si="39"/>
        <v>0</v>
      </c>
      <c r="E98" s="310">
        <f t="shared" si="39"/>
        <v>0</v>
      </c>
      <c r="F98" s="310">
        <f t="shared" si="39"/>
        <v>2.1549172638651408E-2</v>
      </c>
      <c r="G98" s="310">
        <f t="shared" si="39"/>
        <v>2.1491056675083692E-2</v>
      </c>
      <c r="H98" s="310">
        <f t="shared" si="39"/>
        <v>1.9741117079479995E-2</v>
      </c>
      <c r="I98" s="310">
        <f t="shared" si="39"/>
        <v>1.4130952119181764E-2</v>
      </c>
      <c r="J98" s="310">
        <f t="shared" si="39"/>
        <v>1.1610144044286621E-2</v>
      </c>
      <c r="K98" s="310">
        <f t="shared" si="39"/>
        <v>1.1451485238436568E-2</v>
      </c>
      <c r="L98" s="310">
        <f t="shared" si="39"/>
        <v>9.9994930484901632E-3</v>
      </c>
      <c r="M98" s="310">
        <f t="shared" si="39"/>
        <v>8.1673951125999338E-3</v>
      </c>
      <c r="N98" s="310">
        <f t="shared" si="39"/>
        <v>5.0190984354367696E-3</v>
      </c>
      <c r="O98" s="310">
        <f t="shared" si="39"/>
        <v>3.7992762742948935E-3</v>
      </c>
    </row>
    <row r="99" spans="2:19" ht="14.85" customHeight="1">
      <c r="B99" s="256" t="str">
        <f t="shared" si="38"/>
        <v>Options at $0.350 Strike Price</v>
      </c>
      <c r="D99" s="310">
        <f t="shared" si="39"/>
        <v>0</v>
      </c>
      <c r="E99" s="310">
        <f t="shared" si="39"/>
        <v>0</v>
      </c>
      <c r="F99" s="310">
        <f t="shared" si="39"/>
        <v>0</v>
      </c>
      <c r="G99" s="310">
        <f t="shared" si="39"/>
        <v>2.6968999943634787E-3</v>
      </c>
      <c r="H99" s="310">
        <f t="shared" si="39"/>
        <v>2.4773011092611174E-3</v>
      </c>
      <c r="I99" s="310">
        <f t="shared" si="39"/>
        <v>1.7732848257180206E-3</v>
      </c>
      <c r="J99" s="310">
        <f t="shared" si="39"/>
        <v>1.4569501109686052E-3</v>
      </c>
      <c r="K99" s="310">
        <f t="shared" si="39"/>
        <v>1.4370401112384008E-3</v>
      </c>
      <c r="L99" s="310">
        <f t="shared" si="39"/>
        <v>1.2548304698938562E-3</v>
      </c>
      <c r="M99" s="310">
        <f t="shared" si="39"/>
        <v>1.0249215832496654E-3</v>
      </c>
      <c r="N99" s="310">
        <f t="shared" si="39"/>
        <v>6.2984369483947008E-4</v>
      </c>
      <c r="O99" s="310">
        <f t="shared" si="39"/>
        <v>4.7676893312605323E-4</v>
      </c>
    </row>
    <row r="100" spans="2:19" ht="14.85" customHeight="1">
      <c r="B100" s="256" t="str">
        <f t="shared" si="38"/>
        <v>Options at $0.38 Strike Price</v>
      </c>
      <c r="D100" s="310">
        <f t="shared" si="39"/>
        <v>0</v>
      </c>
      <c r="E100" s="310">
        <f t="shared" si="39"/>
        <v>0</v>
      </c>
      <c r="F100" s="310">
        <f t="shared" si="39"/>
        <v>0</v>
      </c>
      <c r="G100" s="310">
        <f t="shared" si="39"/>
        <v>0</v>
      </c>
      <c r="H100" s="310">
        <f t="shared" si="39"/>
        <v>8.1426410160303678E-2</v>
      </c>
      <c r="I100" s="310">
        <f t="shared" si="39"/>
        <v>5.8286098936525622E-2</v>
      </c>
      <c r="J100" s="310">
        <f t="shared" si="39"/>
        <v>4.7888493197427079E-2</v>
      </c>
      <c r="K100" s="310">
        <f t="shared" si="39"/>
        <v>4.7234071416294994E-2</v>
      </c>
      <c r="L100" s="310">
        <f t="shared" si="39"/>
        <v>4.1245022714941161E-2</v>
      </c>
      <c r="M100" s="310">
        <f t="shared" si="39"/>
        <v>3.3688147519833254E-2</v>
      </c>
      <c r="N100" s="310">
        <f t="shared" si="39"/>
        <v>2.0702332405678543E-2</v>
      </c>
      <c r="O100" s="310">
        <f t="shared" si="39"/>
        <v>1.5670918062920244E-2</v>
      </c>
    </row>
    <row r="101" spans="2:19" ht="14.85" customHeight="1">
      <c r="B101" s="256" t="str">
        <f t="shared" si="38"/>
        <v>Options at $0.81 Strike Price</v>
      </c>
      <c r="D101" s="310">
        <f t="shared" si="39"/>
        <v>0</v>
      </c>
      <c r="E101" s="310">
        <f t="shared" si="39"/>
        <v>0</v>
      </c>
      <c r="F101" s="310">
        <f t="shared" si="39"/>
        <v>0</v>
      </c>
      <c r="G101" s="310">
        <f t="shared" si="39"/>
        <v>0</v>
      </c>
      <c r="H101" s="310">
        <f t="shared" si="39"/>
        <v>0</v>
      </c>
      <c r="I101" s="310">
        <f t="shared" si="39"/>
        <v>0</v>
      </c>
      <c r="J101" s="310">
        <f t="shared" si="39"/>
        <v>0.17838911728200713</v>
      </c>
      <c r="K101" s="310">
        <f t="shared" si="39"/>
        <v>0.17595133492404094</v>
      </c>
      <c r="L101" s="310">
        <f t="shared" si="39"/>
        <v>0.15364156821685077</v>
      </c>
      <c r="M101" s="310">
        <f t="shared" si="39"/>
        <v>0.12549150114524737</v>
      </c>
      <c r="N101" s="310">
        <f t="shared" si="39"/>
        <v>7.7118124980514208E-2</v>
      </c>
      <c r="O101" s="310">
        <f t="shared" si="39"/>
        <v>5.8375635848847279E-2</v>
      </c>
    </row>
    <row r="102" spans="2:19" ht="14.85" customHeight="1">
      <c r="B102" s="256" t="str">
        <f t="shared" si="38"/>
        <v>Options at $0.91 Strike Price</v>
      </c>
      <c r="D102" s="310">
        <f t="shared" si="39"/>
        <v>0</v>
      </c>
      <c r="E102" s="310">
        <f t="shared" si="39"/>
        <v>0</v>
      </c>
      <c r="F102" s="310">
        <f t="shared" si="39"/>
        <v>0</v>
      </c>
      <c r="G102" s="310">
        <f t="shared" si="39"/>
        <v>0</v>
      </c>
      <c r="H102" s="310">
        <f t="shared" si="39"/>
        <v>0</v>
      </c>
      <c r="I102" s="310">
        <f t="shared" si="39"/>
        <v>0</v>
      </c>
      <c r="J102" s="310">
        <f t="shared" si="39"/>
        <v>0</v>
      </c>
      <c r="K102" s="310">
        <f t="shared" si="39"/>
        <v>1.3665532937821573E-2</v>
      </c>
      <c r="L102" s="310">
        <f t="shared" si="39"/>
        <v>1.1932810353455626E-2</v>
      </c>
      <c r="M102" s="310">
        <f t="shared" si="39"/>
        <v>9.7464917959126929E-3</v>
      </c>
      <c r="N102" s="310">
        <f t="shared" si="39"/>
        <v>5.9894986160759405E-3</v>
      </c>
      <c r="O102" s="310">
        <f t="shared" si="39"/>
        <v>4.5338341695622033E-3</v>
      </c>
    </row>
    <row r="103" spans="2:19" ht="14.85" customHeight="1">
      <c r="B103" s="256" t="str">
        <f t="shared" si="38"/>
        <v>Expected Options Grant</v>
      </c>
      <c r="D103" s="310">
        <f t="shared" si="39"/>
        <v>0</v>
      </c>
      <c r="E103" s="310">
        <f t="shared" si="39"/>
        <v>0</v>
      </c>
      <c r="F103" s="310">
        <f t="shared" si="39"/>
        <v>0</v>
      </c>
      <c r="G103" s="310">
        <f t="shared" si="39"/>
        <v>0</v>
      </c>
      <c r="H103" s="310">
        <f t="shared" si="39"/>
        <v>0</v>
      </c>
      <c r="I103" s="310">
        <f t="shared" si="39"/>
        <v>0.28418680349805259</v>
      </c>
      <c r="J103" s="310">
        <f t="shared" si="39"/>
        <v>0.23349097047883977</v>
      </c>
      <c r="K103" s="310">
        <f t="shared" si="39"/>
        <v>0.23030019193107726</v>
      </c>
      <c r="L103" s="310">
        <f t="shared" si="39"/>
        <v>0.20109925658823641</v>
      </c>
      <c r="M103" s="310">
        <f t="shared" si="39"/>
        <v>0.16425403542374972</v>
      </c>
      <c r="N103" s="310">
        <f t="shared" si="39"/>
        <v>0.10093881351934297</v>
      </c>
      <c r="O103" s="310">
        <f t="shared" si="39"/>
        <v>7.640703689967461E-2</v>
      </c>
    </row>
    <row r="104" spans="2:19" ht="14.85" customHeight="1">
      <c r="B104" s="256" t="str">
        <f t="shared" si="38"/>
        <v>Common Stock</v>
      </c>
      <c r="D104" s="310">
        <f t="shared" si="39"/>
        <v>0</v>
      </c>
      <c r="E104" s="310">
        <f t="shared" si="39"/>
        <v>1</v>
      </c>
      <c r="F104" s="310">
        <f t="shared" si="39"/>
        <v>0.97845082736134859</v>
      </c>
      <c r="G104" s="310">
        <f t="shared" si="39"/>
        <v>0.97581204333055283</v>
      </c>
      <c r="H104" s="310">
        <f t="shared" si="39"/>
        <v>0.89635517165095513</v>
      </c>
      <c r="I104" s="310">
        <f t="shared" si="39"/>
        <v>0.64162286062052198</v>
      </c>
      <c r="J104" s="310">
        <f t="shared" si="39"/>
        <v>0.5271643248864708</v>
      </c>
      <c r="K104" s="310">
        <f t="shared" si="39"/>
        <v>0.51996034344109021</v>
      </c>
      <c r="L104" s="310">
        <f t="shared" si="39"/>
        <v>0.45403192087942534</v>
      </c>
      <c r="M104" s="310">
        <f t="shared" si="39"/>
        <v>0.37084460917895168</v>
      </c>
      <c r="N104" s="310">
        <f t="shared" si="39"/>
        <v>0.22789464352578942</v>
      </c>
      <c r="O104" s="310">
        <f t="shared" si="39"/>
        <v>0.17250801579688041</v>
      </c>
    </row>
    <row r="105" spans="2:19" ht="14.85" customHeight="1">
      <c r="B105" s="467"/>
      <c r="C105" s="467"/>
      <c r="D105" s="269"/>
      <c r="E105" s="269"/>
      <c r="F105" s="269"/>
      <c r="G105" s="269"/>
      <c r="H105" s="269"/>
      <c r="I105" s="269"/>
      <c r="J105" s="269"/>
      <c r="K105" s="269"/>
      <c r="L105" s="269"/>
      <c r="M105" s="269"/>
      <c r="N105" s="269"/>
      <c r="O105" s="269"/>
    </row>
    <row r="106" spans="2:19" ht="14.85" customHeight="1">
      <c r="B106" s="255" t="s">
        <v>2025</v>
      </c>
      <c r="D106" s="888">
        <f t="shared" ref="D106:O106" si="40">SUM(D94:D104)</f>
        <v>1.0000000000000002</v>
      </c>
      <c r="E106" s="888">
        <f t="shared" si="40"/>
        <v>1</v>
      </c>
      <c r="F106" s="888">
        <f t="shared" si="40"/>
        <v>1</v>
      </c>
      <c r="G106" s="888">
        <f t="shared" si="40"/>
        <v>1</v>
      </c>
      <c r="H106" s="888">
        <f t="shared" si="40"/>
        <v>0.99999999999999989</v>
      </c>
      <c r="I106" s="888">
        <f t="shared" si="40"/>
        <v>1</v>
      </c>
      <c r="J106" s="888">
        <f t="shared" si="40"/>
        <v>1</v>
      </c>
      <c r="K106" s="888">
        <f t="shared" si="40"/>
        <v>1</v>
      </c>
      <c r="L106" s="888">
        <f t="shared" si="40"/>
        <v>0.99999999999999989</v>
      </c>
      <c r="M106" s="888">
        <f t="shared" si="40"/>
        <v>1</v>
      </c>
      <c r="N106" s="888">
        <f t="shared" si="40"/>
        <v>0.99999999999999978</v>
      </c>
      <c r="O106" s="888">
        <f t="shared" si="40"/>
        <v>1</v>
      </c>
    </row>
    <row r="107" spans="2:19" ht="14.85" customHeight="1">
      <c r="B107" s="255"/>
      <c r="D107" s="309"/>
      <c r="E107" s="309"/>
      <c r="F107" s="309"/>
      <c r="G107" s="309"/>
      <c r="H107" s="309"/>
      <c r="I107" s="309"/>
      <c r="J107" s="309"/>
      <c r="K107" s="309"/>
      <c r="L107" s="309"/>
      <c r="M107" s="309"/>
      <c r="N107" s="309"/>
      <c r="O107" s="309"/>
    </row>
    <row r="108" spans="2:19" s="270" customFormat="1" ht="14.85" customHeight="1">
      <c r="B108" s="461" t="s">
        <v>397</v>
      </c>
      <c r="D108" s="462">
        <f>D$15</f>
        <v>1</v>
      </c>
      <c r="E108" s="463">
        <f t="shared" ref="E108:O108" si="41">E$15</f>
        <v>2</v>
      </c>
      <c r="F108" s="463">
        <f t="shared" si="41"/>
        <v>3</v>
      </c>
      <c r="G108" s="463">
        <f t="shared" si="41"/>
        <v>4</v>
      </c>
      <c r="H108" s="463">
        <f t="shared" si="41"/>
        <v>5</v>
      </c>
      <c r="I108" s="463">
        <f t="shared" si="41"/>
        <v>6</v>
      </c>
      <c r="J108" s="463">
        <f t="shared" si="41"/>
        <v>7</v>
      </c>
      <c r="K108" s="463">
        <f t="shared" si="41"/>
        <v>8</v>
      </c>
      <c r="L108" s="463">
        <f t="shared" si="41"/>
        <v>9</v>
      </c>
      <c r="M108" s="463">
        <f t="shared" si="41"/>
        <v>10</v>
      </c>
      <c r="N108" s="463">
        <f t="shared" si="41"/>
        <v>11</v>
      </c>
      <c r="O108" s="464">
        <f t="shared" si="41"/>
        <v>12</v>
      </c>
      <c r="Q108" s="468" t="s">
        <v>161</v>
      </c>
      <c r="S108" s="271"/>
    </row>
    <row r="109" spans="2:19" ht="14.85" customHeight="1"/>
    <row r="110" spans="2:19" ht="14.85" customHeight="1">
      <c r="B110" s="256" t="str">
        <f t="shared" ref="B110:B120" si="42">B78</f>
        <v>Series Seed</v>
      </c>
      <c r="D110" s="469">
        <f t="shared" ref="D110:O120" si="43">D$72*D78/D$90</f>
        <v>681.58041304665062</v>
      </c>
      <c r="E110" s="469">
        <f t="shared" si="43"/>
        <v>0</v>
      </c>
      <c r="F110" s="469">
        <f t="shared" si="43"/>
        <v>0</v>
      </c>
      <c r="G110" s="469">
        <f t="shared" si="43"/>
        <v>0</v>
      </c>
      <c r="H110" s="469">
        <f t="shared" si="43"/>
        <v>0</v>
      </c>
      <c r="I110" s="469">
        <f t="shared" si="43"/>
        <v>0</v>
      </c>
      <c r="J110" s="469">
        <f t="shared" si="43"/>
        <v>0</v>
      </c>
      <c r="K110" s="469">
        <f t="shared" si="43"/>
        <v>0</v>
      </c>
      <c r="L110" s="469">
        <f t="shared" si="43"/>
        <v>263.83806805777567</v>
      </c>
      <c r="M110" s="469">
        <f t="shared" si="43"/>
        <v>58.005132226479418</v>
      </c>
      <c r="N110" s="469">
        <f t="shared" si="43"/>
        <v>358.08418527659683</v>
      </c>
      <c r="O110" s="469">
        <f t="shared" si="43"/>
        <v>305.98686465533928</v>
      </c>
      <c r="Q110" s="259">
        <f t="shared" ref="Q110:Q120" si="44">SUM(D110:O110)</f>
        <v>1667.4946632628419</v>
      </c>
    </row>
    <row r="111" spans="2:19" ht="14.85" customHeight="1">
      <c r="B111" s="256" t="str">
        <f t="shared" si="42"/>
        <v>Series Seed-1</v>
      </c>
      <c r="D111" s="259">
        <f t="shared" si="43"/>
        <v>2291.9499600450304</v>
      </c>
      <c r="E111" s="259">
        <f t="shared" si="43"/>
        <v>0</v>
      </c>
      <c r="F111" s="259">
        <f t="shared" si="43"/>
        <v>0</v>
      </c>
      <c r="G111" s="259">
        <f t="shared" si="43"/>
        <v>0</v>
      </c>
      <c r="H111" s="259">
        <f t="shared" si="43"/>
        <v>0</v>
      </c>
      <c r="I111" s="259">
        <f t="shared" si="43"/>
        <v>0</v>
      </c>
      <c r="J111" s="259">
        <f t="shared" si="43"/>
        <v>0</v>
      </c>
      <c r="K111" s="259">
        <f t="shared" si="43"/>
        <v>0</v>
      </c>
      <c r="L111" s="259">
        <f t="shared" si="43"/>
        <v>0</v>
      </c>
      <c r="M111" s="259">
        <f t="shared" si="43"/>
        <v>102.6193070983236</v>
      </c>
      <c r="N111" s="259">
        <f t="shared" si="43"/>
        <v>633.5017189940537</v>
      </c>
      <c r="O111" s="259">
        <f t="shared" si="43"/>
        <v>541.33416866491041</v>
      </c>
      <c r="Q111" s="259">
        <f t="shared" si="44"/>
        <v>3569.4051548023181</v>
      </c>
    </row>
    <row r="112" spans="2:19" ht="14.85" customHeight="1">
      <c r="B112" s="256" t="str">
        <f t="shared" si="42"/>
        <v>Series A</v>
      </c>
      <c r="D112" s="259">
        <f t="shared" si="43"/>
        <v>8777.2653652990739</v>
      </c>
      <c r="E112" s="259">
        <f t="shared" si="43"/>
        <v>0</v>
      </c>
      <c r="F112" s="259">
        <f t="shared" si="43"/>
        <v>0</v>
      </c>
      <c r="G112" s="259">
        <f t="shared" si="43"/>
        <v>0</v>
      </c>
      <c r="H112" s="259">
        <f t="shared" si="43"/>
        <v>0</v>
      </c>
      <c r="I112" s="259">
        <f t="shared" si="43"/>
        <v>0</v>
      </c>
      <c r="J112" s="259">
        <f t="shared" si="43"/>
        <v>0</v>
      </c>
      <c r="K112" s="259">
        <f t="shared" si="43"/>
        <v>0</v>
      </c>
      <c r="L112" s="259">
        <f t="shared" si="43"/>
        <v>0</v>
      </c>
      <c r="M112" s="259">
        <f t="shared" si="43"/>
        <v>0</v>
      </c>
      <c r="N112" s="259">
        <f t="shared" si="43"/>
        <v>2168.8375953404584</v>
      </c>
      <c r="O112" s="259">
        <f t="shared" si="43"/>
        <v>1853.2955182933774</v>
      </c>
      <c r="Q112" s="259">
        <f t="shared" si="44"/>
        <v>12799.398478932908</v>
      </c>
    </row>
    <row r="113" spans="2:19" ht="14.85" customHeight="1">
      <c r="B113" s="256" t="str">
        <f t="shared" si="42"/>
        <v>Series B</v>
      </c>
      <c r="D113" s="259">
        <f t="shared" si="43"/>
        <v>14621.52875956862</v>
      </c>
      <c r="E113" s="259">
        <f t="shared" si="43"/>
        <v>0</v>
      </c>
      <c r="F113" s="259">
        <f t="shared" si="43"/>
        <v>0</v>
      </c>
      <c r="G113" s="259">
        <f t="shared" si="43"/>
        <v>0</v>
      </c>
      <c r="H113" s="259">
        <f t="shared" si="43"/>
        <v>0</v>
      </c>
      <c r="I113" s="259">
        <f t="shared" si="43"/>
        <v>0</v>
      </c>
      <c r="J113" s="259">
        <f t="shared" si="43"/>
        <v>0</v>
      </c>
      <c r="K113" s="259">
        <f t="shared" si="43"/>
        <v>0</v>
      </c>
      <c r="L113" s="259">
        <f t="shared" si="43"/>
        <v>0</v>
      </c>
      <c r="M113" s="259">
        <f t="shared" si="43"/>
        <v>0</v>
      </c>
      <c r="N113" s="259">
        <f t="shared" si="43"/>
        <v>0</v>
      </c>
      <c r="O113" s="259">
        <f t="shared" si="43"/>
        <v>1543.6478557341031</v>
      </c>
      <c r="Q113" s="259">
        <f t="shared" si="44"/>
        <v>16165.176615302724</v>
      </c>
    </row>
    <row r="114" spans="2:19" ht="14.85" customHeight="1">
      <c r="B114" s="256" t="str">
        <f t="shared" si="42"/>
        <v>Options at $0.0059 Strike Price</v>
      </c>
      <c r="D114" s="259">
        <f t="shared" si="43"/>
        <v>0</v>
      </c>
      <c r="E114" s="259">
        <f t="shared" si="43"/>
        <v>0</v>
      </c>
      <c r="F114" s="259">
        <f t="shared" si="43"/>
        <v>9.7844046841943282</v>
      </c>
      <c r="G114" s="259">
        <f t="shared" si="43"/>
        <v>0.83622460447323554</v>
      </c>
      <c r="H114" s="259">
        <f t="shared" si="43"/>
        <v>6.0458392500365239</v>
      </c>
      <c r="I114" s="259">
        <f t="shared" si="43"/>
        <v>5.6040265675428813</v>
      </c>
      <c r="J114" s="259">
        <f t="shared" si="43"/>
        <v>2.5990077280316957</v>
      </c>
      <c r="K114" s="259">
        <f t="shared" si="43"/>
        <v>2.5354977001526726</v>
      </c>
      <c r="L114" s="259">
        <f t="shared" si="43"/>
        <v>20.807168216516136</v>
      </c>
      <c r="M114" s="259">
        <f t="shared" si="43"/>
        <v>4.574482191073824</v>
      </c>
      <c r="N114" s="259">
        <f t="shared" si="43"/>
        <v>28.239737857285668</v>
      </c>
      <c r="O114" s="259">
        <f t="shared" si="43"/>
        <v>24.13116580103901</v>
      </c>
      <c r="Q114" s="259">
        <f t="shared" si="44"/>
        <v>105.15755460034597</v>
      </c>
    </row>
    <row r="115" spans="2:19" ht="14.85" customHeight="1">
      <c r="B115" s="256" t="str">
        <f t="shared" si="42"/>
        <v>Options at $0.350 Strike Price</v>
      </c>
      <c r="D115" s="259">
        <f t="shared" si="43"/>
        <v>0</v>
      </c>
      <c r="E115" s="259">
        <f t="shared" si="43"/>
        <v>0</v>
      </c>
      <c r="F115" s="259">
        <f t="shared" si="43"/>
        <v>0</v>
      </c>
      <c r="G115" s="259">
        <f t="shared" si="43"/>
        <v>0.10493733115064194</v>
      </c>
      <c r="H115" s="259">
        <f t="shared" si="43"/>
        <v>0.75868879254549282</v>
      </c>
      <c r="I115" s="259">
        <f t="shared" si="43"/>
        <v>0.70324598026589713</v>
      </c>
      <c r="J115" s="259">
        <f t="shared" si="43"/>
        <v>0.32614794298159017</v>
      </c>
      <c r="K115" s="259">
        <f t="shared" si="43"/>
        <v>0.31817810713691802</v>
      </c>
      <c r="L115" s="259">
        <f t="shared" si="43"/>
        <v>2.6110792360852493</v>
      </c>
      <c r="M115" s="259">
        <f t="shared" si="43"/>
        <v>0.57404906523865873</v>
      </c>
      <c r="N115" s="259">
        <f t="shared" si="43"/>
        <v>3.543788005381697</v>
      </c>
      <c r="O115" s="259">
        <f t="shared" si="43"/>
        <v>3.0282057274669976</v>
      </c>
      <c r="Q115" s="259">
        <f t="shared" si="44"/>
        <v>11.968320188253141</v>
      </c>
    </row>
    <row r="116" spans="2:19" ht="14.85" customHeight="1">
      <c r="B116" s="256" t="str">
        <f t="shared" si="42"/>
        <v>Options at $0.38 Strike Price</v>
      </c>
      <c r="D116" s="259">
        <f t="shared" si="43"/>
        <v>0</v>
      </c>
      <c r="E116" s="259">
        <f t="shared" si="43"/>
        <v>0</v>
      </c>
      <c r="F116" s="259">
        <f t="shared" si="43"/>
        <v>0</v>
      </c>
      <c r="G116" s="259">
        <f t="shared" si="43"/>
        <v>0</v>
      </c>
      <c r="H116" s="259">
        <f t="shared" si="43"/>
        <v>24.937341922177804</v>
      </c>
      <c r="I116" s="259">
        <f t="shared" si="43"/>
        <v>23.114992125359773</v>
      </c>
      <c r="J116" s="259">
        <f t="shared" si="43"/>
        <v>10.720156737861886</v>
      </c>
      <c r="K116" s="259">
        <f t="shared" si="43"/>
        <v>10.458196203483359</v>
      </c>
      <c r="L116" s="259">
        <f t="shared" si="43"/>
        <v>85.823563410886067</v>
      </c>
      <c r="M116" s="259">
        <f t="shared" si="43"/>
        <v>18.868418725329477</v>
      </c>
      <c r="N116" s="259">
        <f t="shared" si="43"/>
        <v>116.480767948891</v>
      </c>
      <c r="O116" s="259">
        <f t="shared" si="43"/>
        <v>99.534094056112735</v>
      </c>
      <c r="Q116" s="259">
        <f t="shared" si="44"/>
        <v>389.93753113010212</v>
      </c>
    </row>
    <row r="117" spans="2:19" ht="14.85" customHeight="1">
      <c r="B117" s="256" t="str">
        <f t="shared" si="42"/>
        <v>Options at $0.81 Strike Price</v>
      </c>
      <c r="D117" s="259">
        <f t="shared" si="43"/>
        <v>0</v>
      </c>
      <c r="E117" s="259">
        <f t="shared" si="43"/>
        <v>0</v>
      </c>
      <c r="F117" s="259">
        <f t="shared" si="43"/>
        <v>0</v>
      </c>
      <c r="G117" s="259">
        <f t="shared" si="43"/>
        <v>0</v>
      </c>
      <c r="H117" s="259">
        <f t="shared" si="43"/>
        <v>0</v>
      </c>
      <c r="I117" s="259">
        <f t="shared" si="43"/>
        <v>0</v>
      </c>
      <c r="J117" s="259">
        <f t="shared" si="43"/>
        <v>39.933586753460204</v>
      </c>
      <c r="K117" s="259">
        <f t="shared" si="43"/>
        <v>38.957759255654963</v>
      </c>
      <c r="L117" s="259">
        <f t="shared" si="43"/>
        <v>319.70080277420158</v>
      </c>
      <c r="M117" s="259">
        <f t="shared" si="43"/>
        <v>70.286624952727905</v>
      </c>
      <c r="N117" s="259">
        <f t="shared" si="43"/>
        <v>433.90175775773554</v>
      </c>
      <c r="O117" s="259">
        <f t="shared" si="43"/>
        <v>370.77381209163195</v>
      </c>
      <c r="Q117" s="259">
        <f t="shared" si="44"/>
        <v>1273.5543435854122</v>
      </c>
    </row>
    <row r="118" spans="2:19" ht="14.85" customHeight="1">
      <c r="B118" s="256" t="str">
        <f t="shared" si="42"/>
        <v>Options at $0.91 Strike Price</v>
      </c>
      <c r="D118" s="259">
        <f t="shared" si="43"/>
        <v>0</v>
      </c>
      <c r="E118" s="259">
        <f t="shared" si="43"/>
        <v>0</v>
      </c>
      <c r="F118" s="259">
        <f t="shared" si="43"/>
        <v>0</v>
      </c>
      <c r="G118" s="259">
        <f t="shared" si="43"/>
        <v>0</v>
      </c>
      <c r="H118" s="259">
        <f t="shared" si="43"/>
        <v>0</v>
      </c>
      <c r="I118" s="259">
        <f t="shared" si="43"/>
        <v>0</v>
      </c>
      <c r="J118" s="259">
        <f t="shared" si="43"/>
        <v>0</v>
      </c>
      <c r="K118" s="259">
        <f t="shared" si="43"/>
        <v>3.025714709818522</v>
      </c>
      <c r="L118" s="259">
        <f t="shared" si="43"/>
        <v>24.830057995552679</v>
      </c>
      <c r="M118" s="259">
        <f t="shared" si="43"/>
        <v>5.4589195858870259</v>
      </c>
      <c r="N118" s="259">
        <f t="shared" si="43"/>
        <v>33.699652037177245</v>
      </c>
      <c r="O118" s="259">
        <f t="shared" si="43"/>
        <v>28.796722365347414</v>
      </c>
      <c r="Q118" s="259">
        <f t="shared" si="44"/>
        <v>95.811066693782891</v>
      </c>
    </row>
    <row r="119" spans="2:19" ht="14.85" customHeight="1">
      <c r="B119" s="256" t="str">
        <f t="shared" si="42"/>
        <v>Expected Options Grant</v>
      </c>
      <c r="D119" s="259">
        <f t="shared" si="43"/>
        <v>0</v>
      </c>
      <c r="E119" s="259">
        <f t="shared" si="43"/>
        <v>0</v>
      </c>
      <c r="F119" s="259">
        <f t="shared" si="43"/>
        <v>0</v>
      </c>
      <c r="G119" s="259">
        <f t="shared" si="43"/>
        <v>0</v>
      </c>
      <c r="H119" s="259">
        <f t="shared" si="43"/>
        <v>0</v>
      </c>
      <c r="I119" s="259">
        <f t="shared" si="43"/>
        <v>112.70227112201071</v>
      </c>
      <c r="J119" s="259">
        <f t="shared" si="43"/>
        <v>52.268501957023936</v>
      </c>
      <c r="K119" s="259">
        <f t="shared" si="43"/>
        <v>50.991255267573194</v>
      </c>
      <c r="L119" s="259">
        <f t="shared" si="43"/>
        <v>418.45181948294572</v>
      </c>
      <c r="M119" s="259">
        <f t="shared" si="43"/>
        <v>91.997160600053974</v>
      </c>
      <c r="N119" s="259">
        <f t="shared" si="43"/>
        <v>567.92782012127134</v>
      </c>
      <c r="O119" s="259">
        <f t="shared" si="43"/>
        <v>485.30055270443381</v>
      </c>
      <c r="Q119" s="259">
        <f t="shared" si="44"/>
        <v>1779.6393812553129</v>
      </c>
    </row>
    <row r="120" spans="2:19" ht="14.85" customHeight="1">
      <c r="B120" s="256" t="str">
        <f t="shared" si="42"/>
        <v>Common Stock</v>
      </c>
      <c r="D120" s="259">
        <f t="shared" si="43"/>
        <v>0</v>
      </c>
      <c r="E120" s="259">
        <f t="shared" si="43"/>
        <v>7.7261835340068501</v>
      </c>
      <c r="F120" s="259">
        <f t="shared" si="43"/>
        <v>444.26572746077034</v>
      </c>
      <c r="G120" s="259">
        <f t="shared" si="43"/>
        <v>37.969191199442669</v>
      </c>
      <c r="H120" s="259">
        <f t="shared" si="43"/>
        <v>274.51431734699582</v>
      </c>
      <c r="I120" s="259">
        <f t="shared" si="43"/>
        <v>254.45359427546285</v>
      </c>
      <c r="J120" s="259">
        <f t="shared" si="43"/>
        <v>118.00922960958273</v>
      </c>
      <c r="K120" s="259">
        <f t="shared" si="43"/>
        <v>115.12552542446178</v>
      </c>
      <c r="L120" s="259">
        <f t="shared" si="43"/>
        <v>944.75975007878833</v>
      </c>
      <c r="M120" s="259">
        <f t="shared" si="43"/>
        <v>207.70662334282775</v>
      </c>
      <c r="N120" s="259">
        <f t="shared" si="43"/>
        <v>1282.239245759645</v>
      </c>
      <c r="O120" s="259">
        <f t="shared" si="43"/>
        <v>1095.6875022139195</v>
      </c>
      <c r="Q120" s="259">
        <f t="shared" si="44"/>
        <v>4782.4568902459032</v>
      </c>
    </row>
    <row r="121" spans="2:19" ht="14.85" customHeight="1">
      <c r="B121" s="467"/>
      <c r="C121" s="467"/>
      <c r="D121" s="269"/>
      <c r="E121" s="269"/>
      <c r="F121" s="269"/>
      <c r="G121" s="269"/>
      <c r="H121" s="269"/>
      <c r="I121" s="269"/>
      <c r="J121" s="269"/>
      <c r="K121" s="269"/>
      <c r="L121" s="269"/>
      <c r="M121" s="269"/>
      <c r="N121" s="269"/>
      <c r="O121" s="269"/>
      <c r="Q121" s="269"/>
    </row>
    <row r="122" spans="2:19" ht="14.85" customHeight="1">
      <c r="B122" s="255" t="s">
        <v>1996</v>
      </c>
      <c r="D122" s="470">
        <f t="shared" ref="D122:O122" si="45">SUM(D110:D120)</f>
        <v>26372.324497959376</v>
      </c>
      <c r="E122" s="470">
        <f t="shared" si="45"/>
        <v>7.7261835340068501</v>
      </c>
      <c r="F122" s="470">
        <f t="shared" si="45"/>
        <v>454.05013214496466</v>
      </c>
      <c r="G122" s="470">
        <f t="shared" si="45"/>
        <v>38.910353135066543</v>
      </c>
      <c r="H122" s="470">
        <f t="shared" si="45"/>
        <v>306.25618731175564</v>
      </c>
      <c r="I122" s="470">
        <f t="shared" si="45"/>
        <v>396.57813007064215</v>
      </c>
      <c r="J122" s="470">
        <f t="shared" si="45"/>
        <v>223.85663072894204</v>
      </c>
      <c r="K122" s="470">
        <f t="shared" si="45"/>
        <v>221.41212666828142</v>
      </c>
      <c r="L122" s="470">
        <f t="shared" si="45"/>
        <v>2080.8223092527514</v>
      </c>
      <c r="M122" s="470">
        <f t="shared" si="45"/>
        <v>560.09071778794168</v>
      </c>
      <c r="N122" s="470">
        <f t="shared" si="45"/>
        <v>5626.4562690984967</v>
      </c>
      <c r="O122" s="470">
        <f t="shared" si="45"/>
        <v>6351.5164623076816</v>
      </c>
      <c r="Q122" s="309">
        <f>SUM(Q110:Q120)</f>
        <v>42639.999999999913</v>
      </c>
      <c r="S122" s="471">
        <f>Q122-D9</f>
        <v>-8.7311491370201111E-11</v>
      </c>
    </row>
    <row r="123" spans="2:19" ht="14.85" customHeight="1"/>
    <row r="124" spans="2:19" ht="14.85" customHeight="1"/>
    <row r="125" spans="2:19" ht="14.85" customHeight="1"/>
    <row r="126" spans="2:19" ht="14.85" customHeight="1">
      <c r="B126" s="234" t="s">
        <v>2026</v>
      </c>
      <c r="D126" s="472">
        <f>D55</f>
        <v>39467.435395299995</v>
      </c>
      <c r="E126" s="472">
        <f t="shared" ref="E126:N126" si="46">F55-E55</f>
        <v>21.257353875000263</v>
      </c>
      <c r="F126" s="472">
        <f t="shared" si="46"/>
        <v>1272.5608291250028</v>
      </c>
      <c r="G126" s="472">
        <f t="shared" si="46"/>
        <v>111.23882999999478</v>
      </c>
      <c r="H126" s="472">
        <f t="shared" si="46"/>
        <v>888.06322000000364</v>
      </c>
      <c r="I126" s="472">
        <f t="shared" si="46"/>
        <v>1184.242919999997</v>
      </c>
      <c r="J126" s="472">
        <f t="shared" si="46"/>
        <v>686.36530000000494</v>
      </c>
      <c r="K126" s="472">
        <f t="shared" si="46"/>
        <v>692.13447294999787</v>
      </c>
      <c r="L126" s="472">
        <f t="shared" si="46"/>
        <v>7246.1979671000008</v>
      </c>
      <c r="M126" s="472">
        <f t="shared" si="46"/>
        <v>2220.2918127500016</v>
      </c>
      <c r="N126" s="472">
        <f t="shared" si="46"/>
        <v>34076.708516500003</v>
      </c>
      <c r="O126" s="472"/>
    </row>
    <row r="127" spans="2:19" ht="14.85" customHeight="1">
      <c r="D127" s="472"/>
      <c r="E127" s="472"/>
      <c r="F127" s="472"/>
      <c r="G127" s="472"/>
      <c r="H127" s="472"/>
      <c r="I127" s="472"/>
      <c r="J127" s="472"/>
      <c r="K127" s="472"/>
      <c r="L127" s="472"/>
      <c r="M127" s="472"/>
      <c r="N127" s="472"/>
      <c r="O127" s="472"/>
    </row>
    <row r="128" spans="2:19" ht="14.85" customHeight="1">
      <c r="B128" s="473" t="s">
        <v>2027</v>
      </c>
      <c r="C128" s="270"/>
      <c r="D128" s="474">
        <f t="shared" ref="D128:N128" si="47">D108</f>
        <v>1</v>
      </c>
      <c r="E128" s="475">
        <f t="shared" si="47"/>
        <v>2</v>
      </c>
      <c r="F128" s="475">
        <f t="shared" si="47"/>
        <v>3</v>
      </c>
      <c r="G128" s="475">
        <f t="shared" si="47"/>
        <v>4</v>
      </c>
      <c r="H128" s="475">
        <f t="shared" si="47"/>
        <v>5</v>
      </c>
      <c r="I128" s="475">
        <f t="shared" si="47"/>
        <v>6</v>
      </c>
      <c r="J128" s="475">
        <f t="shared" si="47"/>
        <v>7</v>
      </c>
      <c r="K128" s="475">
        <f t="shared" si="47"/>
        <v>8</v>
      </c>
      <c r="L128" s="475">
        <f t="shared" si="47"/>
        <v>9</v>
      </c>
      <c r="M128" s="475">
        <f t="shared" si="47"/>
        <v>10</v>
      </c>
      <c r="N128" s="1680">
        <f t="shared" si="47"/>
        <v>11</v>
      </c>
      <c r="O128" s="1679"/>
    </row>
    <row r="129" spans="2:15" ht="14.85" customHeight="1">
      <c r="D129" s="472"/>
      <c r="E129" s="472"/>
      <c r="F129" s="472"/>
      <c r="G129" s="472"/>
      <c r="H129" s="472"/>
      <c r="I129" s="472"/>
      <c r="J129" s="472"/>
      <c r="K129" s="472"/>
      <c r="L129" s="472"/>
      <c r="M129" s="472"/>
      <c r="N129" s="472"/>
      <c r="O129" s="472"/>
    </row>
    <row r="130" spans="2:15" ht="14.85" customHeight="1">
      <c r="B130" s="234" t="str">
        <f t="shared" ref="B130:B140" si="48">B110</f>
        <v>Series Seed</v>
      </c>
      <c r="D130" s="573">
        <f t="shared" ref="D130:N140" si="49">D78/D$90*D$126</f>
        <v>1020.0174399</v>
      </c>
      <c r="E130" s="573">
        <f t="shared" si="49"/>
        <v>0</v>
      </c>
      <c r="F130" s="573">
        <f t="shared" si="49"/>
        <v>0</v>
      </c>
      <c r="G130" s="573">
        <f t="shared" si="49"/>
        <v>0</v>
      </c>
      <c r="H130" s="573">
        <f t="shared" si="49"/>
        <v>0</v>
      </c>
      <c r="I130" s="573">
        <f t="shared" si="49"/>
        <v>0</v>
      </c>
      <c r="J130" s="573">
        <f t="shared" si="49"/>
        <v>0</v>
      </c>
      <c r="K130" s="573">
        <f t="shared" si="49"/>
        <v>0</v>
      </c>
      <c r="L130" s="573">
        <f t="shared" si="49"/>
        <v>918.78237940000008</v>
      </c>
      <c r="M130" s="573">
        <f t="shared" si="49"/>
        <v>229.94189350000013</v>
      </c>
      <c r="N130" s="573">
        <f t="shared" si="49"/>
        <v>2168.7417128000002</v>
      </c>
      <c r="O130" s="573"/>
    </row>
    <row r="131" spans="2:15" ht="14.85" customHeight="1">
      <c r="B131" s="234" t="str">
        <f t="shared" si="48"/>
        <v>Series Seed-1</v>
      </c>
      <c r="D131" s="573">
        <f t="shared" si="49"/>
        <v>3430.0119045000006</v>
      </c>
      <c r="E131" s="573">
        <f t="shared" si="49"/>
        <v>0</v>
      </c>
      <c r="F131" s="573">
        <f t="shared" si="49"/>
        <v>0</v>
      </c>
      <c r="G131" s="573">
        <f t="shared" si="49"/>
        <v>0</v>
      </c>
      <c r="H131" s="573">
        <f t="shared" si="49"/>
        <v>0</v>
      </c>
      <c r="I131" s="573">
        <f t="shared" si="49"/>
        <v>0</v>
      </c>
      <c r="J131" s="573">
        <f t="shared" si="49"/>
        <v>0</v>
      </c>
      <c r="K131" s="573">
        <f t="shared" si="49"/>
        <v>0</v>
      </c>
      <c r="L131" s="573">
        <f t="shared" si="49"/>
        <v>0</v>
      </c>
      <c r="M131" s="573">
        <f t="shared" si="49"/>
        <v>406.79982750000028</v>
      </c>
      <c r="N131" s="573">
        <f t="shared" si="49"/>
        <v>3836.8117320000001</v>
      </c>
      <c r="O131" s="573"/>
    </row>
    <row r="132" spans="2:15" ht="14.85" customHeight="1">
      <c r="B132" s="234" t="str">
        <f t="shared" si="48"/>
        <v>Series A</v>
      </c>
      <c r="D132" s="573">
        <f t="shared" si="49"/>
        <v>13135.5942393</v>
      </c>
      <c r="E132" s="573">
        <f t="shared" si="49"/>
        <v>0</v>
      </c>
      <c r="F132" s="573">
        <f t="shared" si="49"/>
        <v>0</v>
      </c>
      <c r="G132" s="573">
        <f t="shared" si="49"/>
        <v>0</v>
      </c>
      <c r="H132" s="573">
        <f t="shared" si="49"/>
        <v>0</v>
      </c>
      <c r="I132" s="573">
        <f t="shared" si="49"/>
        <v>0</v>
      </c>
      <c r="J132" s="573">
        <f t="shared" si="49"/>
        <v>0</v>
      </c>
      <c r="K132" s="573">
        <f t="shared" si="49"/>
        <v>0</v>
      </c>
      <c r="L132" s="573">
        <f t="shared" si="49"/>
        <v>0</v>
      </c>
      <c r="M132" s="573">
        <f t="shared" si="49"/>
        <v>0</v>
      </c>
      <c r="N132" s="573">
        <f t="shared" si="49"/>
        <v>13135.594239299999</v>
      </c>
      <c r="O132" s="573"/>
    </row>
    <row r="133" spans="2:15" ht="14.85" customHeight="1">
      <c r="B133" s="234" t="str">
        <f t="shared" si="48"/>
        <v>Series B</v>
      </c>
      <c r="D133" s="573">
        <f t="shared" si="49"/>
        <v>21881.811811600004</v>
      </c>
      <c r="E133" s="573">
        <f t="shared" si="49"/>
        <v>0</v>
      </c>
      <c r="F133" s="573">
        <f t="shared" si="49"/>
        <v>0</v>
      </c>
      <c r="G133" s="573">
        <f t="shared" si="49"/>
        <v>0</v>
      </c>
      <c r="H133" s="573">
        <f t="shared" si="49"/>
        <v>0</v>
      </c>
      <c r="I133" s="573">
        <f t="shared" si="49"/>
        <v>0</v>
      </c>
      <c r="J133" s="573">
        <f t="shared" si="49"/>
        <v>0</v>
      </c>
      <c r="K133" s="573">
        <f t="shared" si="49"/>
        <v>0</v>
      </c>
      <c r="L133" s="573">
        <f t="shared" si="49"/>
        <v>0</v>
      </c>
      <c r="M133" s="573">
        <f t="shared" si="49"/>
        <v>0</v>
      </c>
      <c r="N133" s="573">
        <f t="shared" si="49"/>
        <v>0</v>
      </c>
      <c r="O133" s="573"/>
    </row>
    <row r="134" spans="2:15" ht="14.85" customHeight="1">
      <c r="B134" s="234" t="str">
        <f t="shared" si="48"/>
        <v>Options at $0.0059 Strike Price</v>
      </c>
      <c r="D134" s="573">
        <f t="shared" si="49"/>
        <v>0</v>
      </c>
      <c r="E134" s="573">
        <f t="shared" si="49"/>
        <v>0</v>
      </c>
      <c r="F134" s="573">
        <f t="shared" si="49"/>
        <v>27.422633000000058</v>
      </c>
      <c r="G134" s="573">
        <f t="shared" si="49"/>
        <v>2.390639999999888</v>
      </c>
      <c r="H134" s="573">
        <f t="shared" si="49"/>
        <v>17.53136000000007</v>
      </c>
      <c r="I134" s="573">
        <f t="shared" si="49"/>
        <v>16.734479999999959</v>
      </c>
      <c r="J134" s="573">
        <f t="shared" si="49"/>
        <v>7.9688000000000567</v>
      </c>
      <c r="K134" s="573">
        <f t="shared" si="49"/>
        <v>7.9259676999999744</v>
      </c>
      <c r="L134" s="573">
        <f t="shared" si="49"/>
        <v>72.45830620000001</v>
      </c>
      <c r="M134" s="573">
        <f t="shared" si="49"/>
        <v>18.13400050000001</v>
      </c>
      <c r="N134" s="573">
        <f t="shared" si="49"/>
        <v>171.03435440000001</v>
      </c>
      <c r="O134" s="573"/>
    </row>
    <row r="135" spans="2:15" ht="14.85" customHeight="1">
      <c r="B135" s="234" t="str">
        <f t="shared" si="48"/>
        <v>Options at $0.350 Strike Price</v>
      </c>
      <c r="D135" s="573">
        <f t="shared" si="49"/>
        <v>0</v>
      </c>
      <c r="E135" s="573">
        <f t="shared" si="49"/>
        <v>0</v>
      </c>
      <c r="F135" s="573">
        <f t="shared" si="49"/>
        <v>0</v>
      </c>
      <c r="G135" s="573">
        <f t="shared" si="49"/>
        <v>0.29999999999998589</v>
      </c>
      <c r="H135" s="573">
        <f t="shared" si="49"/>
        <v>2.2000000000000086</v>
      </c>
      <c r="I135" s="573">
        <f t="shared" si="49"/>
        <v>2.0999999999999943</v>
      </c>
      <c r="J135" s="573">
        <f t="shared" si="49"/>
        <v>1.0000000000000071</v>
      </c>
      <c r="K135" s="573">
        <f t="shared" si="49"/>
        <v>0.99462499999999687</v>
      </c>
      <c r="L135" s="573">
        <f t="shared" si="49"/>
        <v>9.0927500000000006</v>
      </c>
      <c r="M135" s="573">
        <f t="shared" si="49"/>
        <v>2.2756250000000011</v>
      </c>
      <c r="N135" s="573">
        <f t="shared" si="49"/>
        <v>21.462999999999997</v>
      </c>
      <c r="O135" s="573"/>
    </row>
    <row r="136" spans="2:15" ht="14.85" customHeight="1">
      <c r="B136" s="234" t="str">
        <f t="shared" si="48"/>
        <v>Options at $0.38 Strike Price</v>
      </c>
      <c r="D136" s="573">
        <f t="shared" si="49"/>
        <v>0</v>
      </c>
      <c r="E136" s="573">
        <f t="shared" si="49"/>
        <v>0</v>
      </c>
      <c r="F136" s="573">
        <f t="shared" si="49"/>
        <v>0</v>
      </c>
      <c r="G136" s="573">
        <f t="shared" si="49"/>
        <v>0</v>
      </c>
      <c r="H136" s="573">
        <f t="shared" si="49"/>
        <v>72.311800000000304</v>
      </c>
      <c r="I136" s="573">
        <f t="shared" si="49"/>
        <v>69.024899999999818</v>
      </c>
      <c r="J136" s="573">
        <f t="shared" si="49"/>
        <v>32.869000000000234</v>
      </c>
      <c r="K136" s="573">
        <f t="shared" si="49"/>
        <v>32.692329124999894</v>
      </c>
      <c r="L136" s="573">
        <f t="shared" si="49"/>
        <v>298.86959975000002</v>
      </c>
      <c r="M136" s="573">
        <f t="shared" si="49"/>
        <v>74.797518125000039</v>
      </c>
      <c r="N136" s="573">
        <f t="shared" si="49"/>
        <v>705.46734700000002</v>
      </c>
      <c r="O136" s="573"/>
    </row>
    <row r="137" spans="2:15" ht="14.85" customHeight="1">
      <c r="B137" s="234" t="str">
        <f t="shared" si="48"/>
        <v>Options at $0.81 Strike Price</v>
      </c>
      <c r="D137" s="573">
        <f t="shared" si="49"/>
        <v>0</v>
      </c>
      <c r="E137" s="573">
        <f t="shared" si="49"/>
        <v>0</v>
      </c>
      <c r="F137" s="573">
        <f t="shared" si="49"/>
        <v>0</v>
      </c>
      <c r="G137" s="573">
        <f t="shared" si="49"/>
        <v>0</v>
      </c>
      <c r="H137" s="573">
        <f t="shared" si="49"/>
        <v>0</v>
      </c>
      <c r="I137" s="573">
        <f t="shared" si="49"/>
        <v>0</v>
      </c>
      <c r="J137" s="573">
        <f t="shared" si="49"/>
        <v>122.44010000000088</v>
      </c>
      <c r="K137" s="573">
        <f t="shared" si="49"/>
        <v>121.78198446249964</v>
      </c>
      <c r="L137" s="573">
        <f t="shared" si="49"/>
        <v>1113.3172192750001</v>
      </c>
      <c r="M137" s="573">
        <f t="shared" si="49"/>
        <v>278.62775256250018</v>
      </c>
      <c r="N137" s="573">
        <f t="shared" si="49"/>
        <v>2627.9318662999999</v>
      </c>
      <c r="O137" s="573"/>
    </row>
    <row r="138" spans="2:15" ht="14.85" customHeight="1">
      <c r="B138" s="234" t="str">
        <f t="shared" si="48"/>
        <v>Options at $0.91 Strike Price</v>
      </c>
      <c r="D138" s="573">
        <f t="shared" si="49"/>
        <v>0</v>
      </c>
      <c r="E138" s="573">
        <f t="shared" si="49"/>
        <v>0</v>
      </c>
      <c r="F138" s="573">
        <f t="shared" si="49"/>
        <v>0</v>
      </c>
      <c r="G138" s="573">
        <f t="shared" si="49"/>
        <v>0</v>
      </c>
      <c r="H138" s="573">
        <f t="shared" si="49"/>
        <v>0</v>
      </c>
      <c r="I138" s="573">
        <f t="shared" si="49"/>
        <v>0</v>
      </c>
      <c r="J138" s="573">
        <f t="shared" si="49"/>
        <v>0</v>
      </c>
      <c r="K138" s="573">
        <f t="shared" si="49"/>
        <v>9.4583864374999713</v>
      </c>
      <c r="L138" s="573">
        <f t="shared" si="49"/>
        <v>86.467506125</v>
      </c>
      <c r="M138" s="573">
        <f t="shared" si="49"/>
        <v>21.640055937500012</v>
      </c>
      <c r="N138" s="573">
        <f t="shared" si="49"/>
        <v>204.10239849999999</v>
      </c>
      <c r="O138" s="573"/>
    </row>
    <row r="139" spans="2:15" ht="14.85" customHeight="1">
      <c r="B139" s="234" t="str">
        <f t="shared" si="48"/>
        <v>Expected Options Grant</v>
      </c>
      <c r="D139" s="573">
        <f t="shared" si="49"/>
        <v>0</v>
      </c>
      <c r="E139" s="573">
        <f t="shared" si="49"/>
        <v>0</v>
      </c>
      <c r="F139" s="573">
        <f t="shared" si="49"/>
        <v>0</v>
      </c>
      <c r="G139" s="573">
        <f t="shared" si="49"/>
        <v>0</v>
      </c>
      <c r="H139" s="573">
        <f t="shared" si="49"/>
        <v>0</v>
      </c>
      <c r="I139" s="573">
        <f t="shared" si="49"/>
        <v>336.54620999999912</v>
      </c>
      <c r="J139" s="573">
        <f t="shared" si="49"/>
        <v>160.26010000000116</v>
      </c>
      <c r="K139" s="573">
        <f t="shared" si="49"/>
        <v>159.3987019624995</v>
      </c>
      <c r="L139" s="573">
        <f t="shared" si="49"/>
        <v>1457.2050242750001</v>
      </c>
      <c r="M139" s="573">
        <f t="shared" si="49"/>
        <v>364.69189006250025</v>
      </c>
      <c r="N139" s="573">
        <f t="shared" si="49"/>
        <v>3439.6625263000001</v>
      </c>
      <c r="O139" s="573"/>
    </row>
    <row r="140" spans="2:15" ht="14.85" customHeight="1">
      <c r="B140" s="234" t="str">
        <f t="shared" si="48"/>
        <v>Common Stock</v>
      </c>
      <c r="D140" s="573">
        <f t="shared" si="49"/>
        <v>0</v>
      </c>
      <c r="E140" s="573">
        <f t="shared" si="49"/>
        <v>21.257353875000263</v>
      </c>
      <c r="F140" s="573">
        <f t="shared" si="49"/>
        <v>1245.1381961250027</v>
      </c>
      <c r="G140" s="573">
        <f t="shared" si="49"/>
        <v>108.5481899999949</v>
      </c>
      <c r="H140" s="573">
        <f t="shared" si="49"/>
        <v>796.02006000000324</v>
      </c>
      <c r="I140" s="573">
        <f t="shared" si="49"/>
        <v>759.83732999999802</v>
      </c>
      <c r="J140" s="573">
        <f t="shared" si="49"/>
        <v>361.82730000000259</v>
      </c>
      <c r="K140" s="573">
        <f t="shared" si="49"/>
        <v>359.88247826249886</v>
      </c>
      <c r="L140" s="573">
        <f t="shared" si="49"/>
        <v>3290.0051820750004</v>
      </c>
      <c r="M140" s="573">
        <f t="shared" si="49"/>
        <v>823.38324956250051</v>
      </c>
      <c r="N140" s="573">
        <f t="shared" si="49"/>
        <v>7765.8993399000001</v>
      </c>
      <c r="O140" s="573"/>
    </row>
    <row r="141" spans="2:15" ht="14.85" customHeight="1">
      <c r="D141" s="310"/>
      <c r="E141" s="310"/>
      <c r="F141" s="310"/>
      <c r="G141" s="310"/>
      <c r="H141" s="310"/>
      <c r="I141" s="310"/>
      <c r="J141" s="310"/>
      <c r="K141" s="310"/>
      <c r="L141" s="310"/>
      <c r="M141" s="310"/>
      <c r="N141" s="310"/>
      <c r="O141" s="310"/>
    </row>
    <row r="142" spans="2:15" ht="14.85" customHeight="1">
      <c r="B142" s="473" t="s">
        <v>2028</v>
      </c>
      <c r="C142" s="270"/>
      <c r="D142" s="474">
        <f t="shared" ref="D142:N142" si="50">D128</f>
        <v>1</v>
      </c>
      <c r="E142" s="475">
        <f t="shared" si="50"/>
        <v>2</v>
      </c>
      <c r="F142" s="475">
        <f t="shared" si="50"/>
        <v>3</v>
      </c>
      <c r="G142" s="475">
        <f t="shared" si="50"/>
        <v>4</v>
      </c>
      <c r="H142" s="475">
        <f t="shared" si="50"/>
        <v>5</v>
      </c>
      <c r="I142" s="475">
        <f t="shared" si="50"/>
        <v>6</v>
      </c>
      <c r="J142" s="475">
        <f t="shared" si="50"/>
        <v>7</v>
      </c>
      <c r="K142" s="475">
        <f t="shared" si="50"/>
        <v>8</v>
      </c>
      <c r="L142" s="475">
        <f t="shared" si="50"/>
        <v>9</v>
      </c>
      <c r="M142" s="475">
        <f t="shared" si="50"/>
        <v>10</v>
      </c>
      <c r="N142" s="1680">
        <f t="shared" si="50"/>
        <v>11</v>
      </c>
      <c r="O142" s="1679"/>
    </row>
    <row r="143" spans="2:15" ht="14.85" customHeight="1">
      <c r="D143" s="310"/>
      <c r="E143" s="310"/>
      <c r="F143" s="310"/>
      <c r="G143" s="310"/>
      <c r="H143" s="310"/>
      <c r="I143" s="310"/>
      <c r="J143" s="310"/>
      <c r="K143" s="310"/>
      <c r="L143" s="310"/>
      <c r="M143" s="310"/>
      <c r="N143" s="310"/>
      <c r="O143" s="310"/>
    </row>
    <row r="144" spans="2:15" ht="14.85" customHeight="1">
      <c r="B144" s="234" t="str">
        <f t="shared" ref="B144:B154" si="51">B130</f>
        <v>Series Seed</v>
      </c>
      <c r="D144" s="476">
        <f>SUM($D130:D130)/$S35</f>
        <v>1.0094624999999999</v>
      </c>
      <c r="E144" s="476">
        <f>SUM($D130:E130)/$S35</f>
        <v>1.0094624999999999</v>
      </c>
      <c r="F144" s="476">
        <f>SUM($D130:F130)/$S35</f>
        <v>1.0094624999999999</v>
      </c>
      <c r="G144" s="476">
        <f>SUM($D130:G130)/$S35</f>
        <v>1.0094624999999999</v>
      </c>
      <c r="H144" s="476">
        <f>SUM($D130:H130)/$S35</f>
        <v>1.0094624999999999</v>
      </c>
      <c r="I144" s="476">
        <f>SUM($D130:I130)/$S35</f>
        <v>1.0094624999999999</v>
      </c>
      <c r="J144" s="476">
        <f>SUM($D130:J130)/$S35</f>
        <v>1.0094624999999999</v>
      </c>
      <c r="K144" s="476">
        <f>SUM($D130:K130)/$S35</f>
        <v>1.0094624999999999</v>
      </c>
      <c r="L144" s="476">
        <f>SUM($D130:L130)/$S35</f>
        <v>1.9187375</v>
      </c>
      <c r="M144" s="476">
        <f>SUM($D130:M130)/$S35</f>
        <v>2.1463000000000001</v>
      </c>
      <c r="N144" s="476">
        <f>SUM($D130:N130)/$S35</f>
        <v>4.2926000000000002</v>
      </c>
      <c r="O144" s="476"/>
    </row>
    <row r="145" spans="2:15" ht="14.85" customHeight="1">
      <c r="B145" s="234" t="str">
        <f t="shared" si="51"/>
        <v>Series Seed-1</v>
      </c>
      <c r="D145" s="476">
        <f>SUM($D131:D131)/$S36</f>
        <v>1.9187375000000002</v>
      </c>
      <c r="E145" s="476">
        <f>SUM($D131:E131)/$S36</f>
        <v>1.9187375000000002</v>
      </c>
      <c r="F145" s="476">
        <f>SUM($D131:F131)/$S36</f>
        <v>1.9187375000000002</v>
      </c>
      <c r="G145" s="476">
        <f>SUM($D131:G131)/$S36</f>
        <v>1.9187375000000002</v>
      </c>
      <c r="H145" s="476">
        <f>SUM($D131:H131)/$S36</f>
        <v>1.9187375000000002</v>
      </c>
      <c r="I145" s="476">
        <f>SUM($D131:I131)/$S36</f>
        <v>1.9187375000000002</v>
      </c>
      <c r="J145" s="476">
        <f>SUM($D131:J131)/$S36</f>
        <v>1.9187375000000002</v>
      </c>
      <c r="K145" s="476">
        <f>SUM($D131:K131)/$S36</f>
        <v>1.9187375000000002</v>
      </c>
      <c r="L145" s="476">
        <f>SUM($D131:L131)/$S36</f>
        <v>1.9187375000000002</v>
      </c>
      <c r="M145" s="476">
        <f>SUM($D131:M131)/$S36</f>
        <v>2.1463000000000005</v>
      </c>
      <c r="N145" s="476">
        <f>SUM($D131:N131)/$S36</f>
        <v>4.2926000000000002</v>
      </c>
      <c r="O145" s="476"/>
    </row>
    <row r="146" spans="2:15" ht="14.85" customHeight="1">
      <c r="B146" s="234" t="str">
        <f t="shared" si="51"/>
        <v>Series A</v>
      </c>
      <c r="D146" s="476">
        <f>SUM($D132:D132)/$S37</f>
        <v>2.1463000000000001</v>
      </c>
      <c r="E146" s="476">
        <f>SUM($D132:E132)/$S37</f>
        <v>2.1463000000000001</v>
      </c>
      <c r="F146" s="476">
        <f>SUM($D132:F132)/$S37</f>
        <v>2.1463000000000001</v>
      </c>
      <c r="G146" s="476">
        <f>SUM($D132:G132)/$S37</f>
        <v>2.1463000000000001</v>
      </c>
      <c r="H146" s="476">
        <f>SUM($D132:H132)/$S37</f>
        <v>2.1463000000000001</v>
      </c>
      <c r="I146" s="476">
        <f>SUM($D132:I132)/$S37</f>
        <v>2.1463000000000001</v>
      </c>
      <c r="J146" s="476">
        <f>SUM($D132:J132)/$S37</f>
        <v>2.1463000000000001</v>
      </c>
      <c r="K146" s="476">
        <f>SUM($D132:K132)/$S37</f>
        <v>2.1463000000000001</v>
      </c>
      <c r="L146" s="476">
        <f>SUM($D132:L132)/$S37</f>
        <v>2.1463000000000001</v>
      </c>
      <c r="M146" s="476">
        <f>SUM($D132:M132)/$S37</f>
        <v>2.1463000000000001</v>
      </c>
      <c r="N146" s="476">
        <f>SUM($D132:N132)/$S37</f>
        <v>4.2926000000000002</v>
      </c>
      <c r="O146" s="476"/>
    </row>
    <row r="147" spans="2:15" ht="14.85" customHeight="1">
      <c r="B147" s="234" t="str">
        <f t="shared" si="51"/>
        <v>Series B</v>
      </c>
      <c r="D147" s="476">
        <f>SUM($D133:D133)/$S38</f>
        <v>4.2926000000000011</v>
      </c>
      <c r="E147" s="476">
        <f>SUM($D133:E133)/$S38</f>
        <v>4.2926000000000011</v>
      </c>
      <c r="F147" s="476">
        <f>SUM($D133:F133)/$S38</f>
        <v>4.2926000000000011</v>
      </c>
      <c r="G147" s="476">
        <f>SUM($D133:G133)/$S38</f>
        <v>4.2926000000000011</v>
      </c>
      <c r="H147" s="476">
        <f>SUM($D133:H133)/$S38</f>
        <v>4.2926000000000011</v>
      </c>
      <c r="I147" s="476">
        <f>SUM($D133:I133)/$S38</f>
        <v>4.2926000000000011</v>
      </c>
      <c r="J147" s="476">
        <f>SUM($D133:J133)/$S38</f>
        <v>4.2926000000000011</v>
      </c>
      <c r="K147" s="476">
        <f>SUM($D133:K133)/$S38</f>
        <v>4.2926000000000011</v>
      </c>
      <c r="L147" s="476">
        <f>SUM($D133:L133)/$S38</f>
        <v>4.2926000000000011</v>
      </c>
      <c r="M147" s="476">
        <f>SUM($D133:M133)/$S38</f>
        <v>4.2926000000000011</v>
      </c>
      <c r="N147" s="476">
        <f>SUM($D133:N133)/$S38</f>
        <v>4.2926000000000011</v>
      </c>
      <c r="O147" s="476"/>
    </row>
    <row r="148" spans="2:15" ht="14.85" customHeight="1">
      <c r="B148" s="234" t="str">
        <f t="shared" si="51"/>
        <v>Options at $0.0059 Strike Price</v>
      </c>
      <c r="D148" s="476">
        <f>SUM($D134:D134)/$S39</f>
        <v>0</v>
      </c>
      <c r="E148" s="476">
        <f>SUM($D134:E134)/$S39</f>
        <v>0</v>
      </c>
      <c r="F148" s="476">
        <f>SUM($D134:F134)/$S39</f>
        <v>0.34412500000000074</v>
      </c>
      <c r="G148" s="476">
        <f>SUM($D134:G134)/$S39</f>
        <v>0.37412499999999932</v>
      </c>
      <c r="H148" s="476">
        <f>SUM($D134:H134)/$S39</f>
        <v>0.59412500000000024</v>
      </c>
      <c r="I148" s="476">
        <f>SUM($D134:I134)/$S39</f>
        <v>0.80412499999999976</v>
      </c>
      <c r="J148" s="476">
        <f>SUM($D134:J134)/$S39</f>
        <v>0.9041250000000004</v>
      </c>
      <c r="K148" s="476">
        <f>SUM($D134:K134)/$S39</f>
        <v>1.0035875000000001</v>
      </c>
      <c r="L148" s="476">
        <f>SUM($D134:L134)/$S39</f>
        <v>1.9128625000000004</v>
      </c>
      <c r="M148" s="476">
        <f>SUM($D134:M134)/$S39</f>
        <v>2.1404250000000005</v>
      </c>
      <c r="N148" s="476">
        <f>SUM($D134:N134)/$S39</f>
        <v>4.2867250000000006</v>
      </c>
      <c r="O148" s="476"/>
    </row>
    <row r="149" spans="2:15" ht="14.85" customHeight="1">
      <c r="B149" s="234" t="str">
        <f t="shared" si="51"/>
        <v>Options at $0.350 Strike Price</v>
      </c>
      <c r="D149" s="476">
        <f>SUM($D135:D135)/$S40</f>
        <v>0</v>
      </c>
      <c r="E149" s="476">
        <f>SUM($D135:E135)/$S40</f>
        <v>0</v>
      </c>
      <c r="F149" s="476">
        <f>SUM($D135:F135)/$S40</f>
        <v>0</v>
      </c>
      <c r="G149" s="476">
        <f>SUM($D135:G135)/$S40</f>
        <v>2.999999999999859E-2</v>
      </c>
      <c r="H149" s="476">
        <f>SUM($D135:H135)/$S40</f>
        <v>0.24999999999999947</v>
      </c>
      <c r="I149" s="476">
        <f>SUM($D135:I135)/$S40</f>
        <v>0.45999999999999891</v>
      </c>
      <c r="J149" s="476">
        <f>SUM($D135:J135)/$S40</f>
        <v>0.55999999999999961</v>
      </c>
      <c r="K149" s="476">
        <f>SUM($D135:K135)/$S40</f>
        <v>0.65946249999999929</v>
      </c>
      <c r="L149" s="476">
        <f>SUM($D135:L135)/$S40</f>
        <v>1.5687374999999992</v>
      </c>
      <c r="M149" s="476">
        <f>SUM($D135:M135)/$S40</f>
        <v>1.7962999999999993</v>
      </c>
      <c r="N149" s="476">
        <f>SUM($D135:N135)/$S40</f>
        <v>3.9425999999999988</v>
      </c>
      <c r="O149" s="476"/>
    </row>
    <row r="150" spans="2:15" ht="14.85" customHeight="1">
      <c r="B150" s="234" t="str">
        <f t="shared" si="51"/>
        <v>Options at $0.38 Strike Price</v>
      </c>
      <c r="D150" s="476">
        <f>SUM($D136:D136)/$S41</f>
        <v>0</v>
      </c>
      <c r="E150" s="476">
        <f>SUM($D136:E136)/$S41</f>
        <v>0</v>
      </c>
      <c r="F150" s="476">
        <f>SUM($D136:F136)/$S41</f>
        <v>0</v>
      </c>
      <c r="G150" s="476">
        <f>SUM($D136:G136)/$S41</f>
        <v>0</v>
      </c>
      <c r="H150" s="476">
        <f>SUM($D136:H136)/$S41</f>
        <v>0.22000000000000092</v>
      </c>
      <c r="I150" s="476">
        <f>SUM($D136:I136)/$S41</f>
        <v>0.43000000000000038</v>
      </c>
      <c r="J150" s="476">
        <f>SUM($D136:J136)/$S41</f>
        <v>0.53000000000000103</v>
      </c>
      <c r="K150" s="476">
        <f>SUM($D136:K136)/$S41</f>
        <v>0.62946250000000081</v>
      </c>
      <c r="L150" s="476">
        <f>SUM($D136:L136)/$S41</f>
        <v>1.5387375000000008</v>
      </c>
      <c r="M150" s="476">
        <f>SUM($D136:M136)/$S41</f>
        <v>1.7663000000000009</v>
      </c>
      <c r="N150" s="476">
        <f>SUM($D136:N136)/$S41</f>
        <v>3.9126000000000007</v>
      </c>
      <c r="O150" s="476"/>
    </row>
    <row r="151" spans="2:15" ht="14.85" customHeight="1">
      <c r="B151" s="234" t="str">
        <f t="shared" si="51"/>
        <v>Options at $0.81 Strike Price</v>
      </c>
      <c r="D151" s="476">
        <f>SUM($D137:D137)/$S42</f>
        <v>0</v>
      </c>
      <c r="E151" s="476">
        <f>SUM($D137:E137)/$S42</f>
        <v>0</v>
      </c>
      <c r="F151" s="476">
        <f>SUM($D137:F137)/$S42</f>
        <v>0</v>
      </c>
      <c r="G151" s="476">
        <f>SUM($D137:G137)/$S42</f>
        <v>0</v>
      </c>
      <c r="H151" s="476">
        <f>SUM($D137:H137)/$S42</f>
        <v>0</v>
      </c>
      <c r="I151" s="476">
        <f>SUM($D137:I137)/$S42</f>
        <v>0</v>
      </c>
      <c r="J151" s="476">
        <f>SUM($D137:J137)/$S42</f>
        <v>0.10000000000000071</v>
      </c>
      <c r="K151" s="476">
        <f>SUM($D137:K137)/$S42</f>
        <v>0.1994625000000004</v>
      </c>
      <c r="L151" s="476">
        <f>SUM($D137:L137)/$S42</f>
        <v>1.1087375000000004</v>
      </c>
      <c r="M151" s="476">
        <f>SUM($D137:M137)/$S42</f>
        <v>1.3363000000000005</v>
      </c>
      <c r="N151" s="476">
        <f>SUM($D137:N137)/$S42</f>
        <v>3.4826000000000001</v>
      </c>
      <c r="O151" s="476"/>
    </row>
    <row r="152" spans="2:15" ht="14.85" customHeight="1">
      <c r="B152" s="234" t="str">
        <f t="shared" si="51"/>
        <v>Options at $0.91 Strike Price</v>
      </c>
      <c r="D152" s="476">
        <f>SUM($D138:D138)/$S43</f>
        <v>0</v>
      </c>
      <c r="E152" s="476">
        <f>SUM($D138:E138)/$S43</f>
        <v>0</v>
      </c>
      <c r="F152" s="476">
        <f>SUM($D138:F138)/$S43</f>
        <v>0</v>
      </c>
      <c r="G152" s="476">
        <f>SUM($D138:G138)/$S43</f>
        <v>0</v>
      </c>
      <c r="H152" s="476">
        <f>SUM($D138:H138)/$S43</f>
        <v>0</v>
      </c>
      <c r="I152" s="476">
        <f>SUM($D138:I138)/$S43</f>
        <v>0</v>
      </c>
      <c r="J152" s="476">
        <f>SUM($D138:J138)/$S43</f>
        <v>0</v>
      </c>
      <c r="K152" s="476">
        <f>SUM($D138:K138)/$S43</f>
        <v>9.9462499999999704E-2</v>
      </c>
      <c r="L152" s="476">
        <f>SUM($D138:L138)/$S43</f>
        <v>1.0087374999999996</v>
      </c>
      <c r="M152" s="476">
        <f>SUM($D138:M138)/$S43</f>
        <v>1.2362999999999997</v>
      </c>
      <c r="N152" s="476">
        <f>SUM($D138:N138)/$S43</f>
        <v>3.3826000000000001</v>
      </c>
      <c r="O152" s="476"/>
    </row>
    <row r="153" spans="2:15" ht="14.85" customHeight="1">
      <c r="B153" s="234" t="str">
        <f t="shared" si="51"/>
        <v>Expected Options Grant</v>
      </c>
      <c r="D153" s="476">
        <f>SUM($D139:D139)/$S44</f>
        <v>0</v>
      </c>
      <c r="E153" s="476">
        <f>SUM($D139:E139)/$S44</f>
        <v>0</v>
      </c>
      <c r="F153" s="476">
        <f>SUM($D139:F139)/$S44</f>
        <v>0</v>
      </c>
      <c r="G153" s="476">
        <f>SUM($D139:G139)/$S44</f>
        <v>0</v>
      </c>
      <c r="H153" s="476">
        <f>SUM($D139:H139)/$S44</f>
        <v>0</v>
      </c>
      <c r="I153" s="476">
        <f>SUM($D139:I139)/$S44</f>
        <v>0.20999999999999944</v>
      </c>
      <c r="J153" s="476">
        <f>SUM($D139:J139)/$S44</f>
        <v>0.31000000000000016</v>
      </c>
      <c r="K153" s="476">
        <f>SUM($D139:K139)/$S44</f>
        <v>0.4094624999999999</v>
      </c>
      <c r="L153" s="476">
        <f>SUM($D139:L139)/$S44</f>
        <v>1.3187375000000001</v>
      </c>
      <c r="M153" s="476">
        <f>SUM($D139:M139)/$S44</f>
        <v>1.5463</v>
      </c>
      <c r="N153" s="476">
        <f>SUM($D139:N139)/$S44</f>
        <v>3.6926000000000001</v>
      </c>
      <c r="O153" s="476"/>
    </row>
    <row r="154" spans="2:15" ht="14.85" customHeight="1">
      <c r="B154" s="234" t="str">
        <f t="shared" si="51"/>
        <v>Common Stock</v>
      </c>
      <c r="D154" s="476">
        <f>SUM($D140:D140)/$S45</f>
        <v>0</v>
      </c>
      <c r="E154" s="476">
        <f>SUM($D140:E140)/$S45</f>
        <v>5.875000000000072E-3</v>
      </c>
      <c r="F154" s="476">
        <f>SUM($D140:F140)/$S45</f>
        <v>0.35000000000000081</v>
      </c>
      <c r="G154" s="476">
        <f>SUM($D140:G140)/$S45</f>
        <v>0.37999999999999939</v>
      </c>
      <c r="H154" s="476">
        <f>SUM($D140:H140)/$S45</f>
        <v>0.60000000000000031</v>
      </c>
      <c r="I154" s="476">
        <f>SUM($D140:I140)/$S45</f>
        <v>0.80999999999999983</v>
      </c>
      <c r="J154" s="476">
        <f>SUM($D140:J140)/$S45</f>
        <v>0.91000000000000048</v>
      </c>
      <c r="K154" s="476">
        <f>SUM($D140:K140)/$S45</f>
        <v>1.0094625000000002</v>
      </c>
      <c r="L154" s="476">
        <f>SUM($D140:L140)/$S45</f>
        <v>1.9187375000000004</v>
      </c>
      <c r="M154" s="476">
        <f>SUM($D140:M140)/$S45</f>
        <v>2.1463000000000005</v>
      </c>
      <c r="N154" s="476">
        <f>SUM($D140:N140)/$S45</f>
        <v>4.2926000000000002</v>
      </c>
      <c r="O154" s="476"/>
    </row>
    <row r="155" spans="2:15" ht="14.85" customHeight="1">
      <c r="D155" s="310"/>
      <c r="E155" s="310"/>
      <c r="F155" s="310"/>
      <c r="G155" s="310"/>
      <c r="H155" s="310"/>
      <c r="I155" s="310"/>
      <c r="J155" s="310"/>
      <c r="K155" s="310"/>
      <c r="L155" s="310"/>
      <c r="M155" s="310"/>
      <c r="N155" s="310"/>
      <c r="O155" s="310"/>
    </row>
    <row r="156" spans="2:15" ht="14.85" customHeight="1">
      <c r="D156" s="310">
        <f t="shared" ref="D156:N156" si="52">NORMSDIST(D63)</f>
        <v>1</v>
      </c>
      <c r="E156" s="310">
        <f t="shared" si="52"/>
        <v>0.71803153907941408</v>
      </c>
      <c r="F156" s="310">
        <f t="shared" si="52"/>
        <v>0.71782598254828911</v>
      </c>
      <c r="G156" s="310">
        <f t="shared" si="52"/>
        <v>0.70559237354872795</v>
      </c>
      <c r="H156" s="310">
        <f t="shared" si="52"/>
        <v>0.70452988316082654</v>
      </c>
      <c r="I156" s="310">
        <f t="shared" si="52"/>
        <v>0.69608876299172673</v>
      </c>
      <c r="J156" s="310">
        <f t="shared" si="52"/>
        <v>0.68494962691058703</v>
      </c>
      <c r="K156" s="310">
        <f t="shared" si="52"/>
        <v>0.67855692494597186</v>
      </c>
      <c r="L156" s="310">
        <f t="shared" si="52"/>
        <v>0.67215878277975605</v>
      </c>
      <c r="M156" s="310">
        <f t="shared" si="52"/>
        <v>0.60825512421549288</v>
      </c>
      <c r="N156" s="310">
        <f t="shared" si="52"/>
        <v>0.58984254995633811</v>
      </c>
      <c r="O156" s="310"/>
    </row>
    <row r="157" spans="2:15" ht="14.85" customHeight="1">
      <c r="B157" s="234" t="s">
        <v>1430</v>
      </c>
      <c r="D157" s="477">
        <f>D156-E156</f>
        <v>0.28196846092058592</v>
      </c>
      <c r="E157" s="310"/>
      <c r="F157" s="310"/>
      <c r="G157" s="310"/>
      <c r="H157" s="310"/>
      <c r="I157" s="310"/>
      <c r="J157" s="310"/>
      <c r="K157" s="310"/>
      <c r="L157" s="310"/>
      <c r="M157" s="310"/>
      <c r="N157" s="310"/>
      <c r="O157" s="310"/>
    </row>
    <row r="158" spans="2:15" ht="14.85" customHeight="1"/>
    <row r="159" spans="2:15" ht="14.85" customHeight="1"/>
    <row r="160" spans="2:15" ht="14.85" customHeight="1">
      <c r="D160" s="1067">
        <f>E49</f>
        <v>0</v>
      </c>
      <c r="E160" s="1067">
        <f t="shared" ref="E160:N160" si="53">F49</f>
        <v>5.875E-3</v>
      </c>
      <c r="F160" s="1067">
        <f t="shared" si="53"/>
        <v>0.35</v>
      </c>
      <c r="G160" s="1067">
        <f t="shared" si="53"/>
        <v>0.38</v>
      </c>
      <c r="H160" s="1067">
        <f t="shared" si="53"/>
        <v>0.6</v>
      </c>
      <c r="I160" s="1067">
        <f t="shared" si="53"/>
        <v>0.81</v>
      </c>
      <c r="J160" s="1067">
        <f t="shared" si="53"/>
        <v>0.91</v>
      </c>
      <c r="K160" s="1067">
        <f t="shared" si="53"/>
        <v>1.0094624999999999</v>
      </c>
      <c r="L160" s="1067">
        <f t="shared" si="53"/>
        <v>1.9187375</v>
      </c>
      <c r="M160" s="1067">
        <f t="shared" si="53"/>
        <v>2.1463000000000001</v>
      </c>
      <c r="N160" s="1067">
        <f t="shared" si="53"/>
        <v>4.2926000000000002</v>
      </c>
    </row>
    <row r="161" spans="4:14" ht="14.85" customHeight="1">
      <c r="D161" s="1669" t="str">
        <f>IF(ABS(D154-D160)&gt;0.01%,"Check","")</f>
        <v/>
      </c>
      <c r="E161" s="1669" t="str">
        <f t="shared" ref="E161:N161" si="54">IF(ABS(E154-E160)&gt;0.01%,"Check","")</f>
        <v/>
      </c>
      <c r="F161" s="1669" t="str">
        <f t="shared" si="54"/>
        <v/>
      </c>
      <c r="G161" s="1669" t="str">
        <f t="shared" si="54"/>
        <v/>
      </c>
      <c r="H161" s="1669" t="str">
        <f t="shared" si="54"/>
        <v/>
      </c>
      <c r="I161" s="1669" t="str">
        <f t="shared" si="54"/>
        <v/>
      </c>
      <c r="J161" s="1669" t="str">
        <f t="shared" si="54"/>
        <v/>
      </c>
      <c r="K161" s="1669" t="str">
        <f t="shared" si="54"/>
        <v/>
      </c>
      <c r="L161" s="1669" t="str">
        <f t="shared" si="54"/>
        <v/>
      </c>
      <c r="M161" s="1669" t="str">
        <f t="shared" si="54"/>
        <v/>
      </c>
      <c r="N161" s="1669" t="str">
        <f t="shared" si="54"/>
        <v/>
      </c>
    </row>
    <row r="162" spans="4:14" ht="14.85" customHeight="1"/>
    <row r="163" spans="4:14" ht="14.85" customHeight="1"/>
    <row r="164" spans="4:14" ht="14.85" customHeight="1"/>
    <row r="165" spans="4:14" ht="14.85" customHeight="1"/>
    <row r="166" spans="4:14" ht="14.85" customHeight="1"/>
    <row r="167" spans="4:14" ht="14.85" customHeight="1"/>
    <row r="168" spans="4:14" ht="14.85" customHeight="1"/>
    <row r="169" spans="4:14" ht="14.85" customHeight="1"/>
    <row r="170" spans="4:14" ht="14.85" customHeight="1"/>
    <row r="171" spans="4:14" ht="14.85" customHeight="1"/>
    <row r="172" spans="4:14" ht="14.85" customHeight="1"/>
    <row r="173" spans="4:14" ht="14.85" customHeight="1"/>
    <row r="174" spans="4:14" ht="14.85" customHeight="1"/>
    <row r="175" spans="4:14" ht="14.85" customHeight="1"/>
    <row r="176" spans="4:14"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sheetData>
  <conditionalFormatting sqref="B4:I4">
    <cfRule type="cellIs" dxfId="113" priority="7" stopIfTrue="1" operator="equal">
      <formula>"input"</formula>
    </cfRule>
  </conditionalFormatting>
  <conditionalFormatting sqref="J4">
    <cfRule type="cellIs" dxfId="112" priority="5" stopIfTrue="1" operator="equal">
      <formula>"input"</formula>
    </cfRule>
  </conditionalFormatting>
  <conditionalFormatting sqref="J4">
    <cfRule type="cellIs" dxfId="111" priority="6" stopIfTrue="1" operator="equal">
      <formula>"input"</formula>
    </cfRule>
  </conditionalFormatting>
  <conditionalFormatting sqref="K4:N4">
    <cfRule type="cellIs" dxfId="110" priority="3" stopIfTrue="1" operator="equal">
      <formula>"input"</formula>
    </cfRule>
  </conditionalFormatting>
  <conditionalFormatting sqref="K4:N4">
    <cfRule type="cellIs" dxfId="109" priority="4" stopIfTrue="1" operator="equal">
      <formula>"input"</formula>
    </cfRule>
  </conditionalFormatting>
  <conditionalFormatting sqref="O4">
    <cfRule type="cellIs" dxfId="108" priority="1" stopIfTrue="1" operator="equal">
      <formula>"input"</formula>
    </cfRule>
  </conditionalFormatting>
  <conditionalFormatting sqref="O4">
    <cfRule type="cellIs" dxfId="107" priority="2" stopIfTrue="1" operator="equal">
      <formula>"input"</formula>
    </cfRule>
  </conditionalFormatting>
  <pageMargins left="0.5" right="0.5" top="0.5" bottom="0.5" header="0.5" footer="0.5"/>
  <pageSetup scale="75" fitToWidth="0" fitToHeight="0" pageOrder="overThenDown" orientation="landscape" r:id="rId1"/>
  <rowBreaks count="3" manualBreakCount="3">
    <brk id="32" max="19" man="1"/>
    <brk id="56" max="19" man="1"/>
    <brk id="90" max="19" man="1"/>
  </rowBreaks>
  <legacyDrawing r:id="rId2"/>
  <legacyDrawingHF r:id="rId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15"/>
  <dimension ref="A1:R754"/>
  <sheetViews>
    <sheetView showGridLines="0" view="pageBreakPreview" zoomScaleNormal="100" zoomScaleSheetLayoutView="100" workbookViewId="0"/>
  </sheetViews>
  <sheetFormatPr defaultRowHeight="14.25"/>
  <cols>
    <col min="1" max="1" width="4.5" style="234" customWidth="1"/>
    <col min="2" max="2" width="31.33203125" style="234" customWidth="1"/>
    <col min="3" max="3" width="2.83203125" style="234" customWidth="1"/>
    <col min="4" max="4" width="19.5" style="234" customWidth="1"/>
    <col min="5" max="5" width="2.83203125" style="234" customWidth="1"/>
    <col min="6" max="6" width="19.5" style="234" customWidth="1"/>
    <col min="7" max="7" width="3.6640625" style="234" customWidth="1"/>
    <col min="8" max="8" width="19.5" style="234" customWidth="1"/>
    <col min="9" max="9" width="3.83203125" style="234" customWidth="1"/>
    <col min="10" max="10" width="19.5" style="234" customWidth="1"/>
    <col min="11" max="11" width="3.33203125" style="234" customWidth="1"/>
    <col min="12" max="12" width="19.5" style="234" customWidth="1"/>
    <col min="13" max="13" width="4.5" style="234" customWidth="1"/>
    <col min="14" max="14" width="9.33203125" style="234"/>
    <col min="15" max="15" width="15.33203125" style="234" bestFit="1" customWidth="1"/>
    <col min="16" max="16" width="15.1640625" style="234" bestFit="1" customWidth="1"/>
    <col min="17" max="17" width="11.33203125" style="234" bestFit="1" customWidth="1"/>
    <col min="18" max="18" width="10.6640625" style="234" customWidth="1"/>
    <col min="19" max="16384" width="9.33203125" style="234"/>
  </cols>
  <sheetData>
    <row r="1" spans="2:17" ht="10.7" customHeight="1" thickBot="1"/>
    <row r="2" spans="2:17" ht="16.5" customHeight="1" thickTop="1">
      <c r="B2" s="223" t="str">
        <f>'MASTER PubCo Inputs'!$C$5</f>
        <v>Trucode Gene Repair, Inc.</v>
      </c>
      <c r="C2" s="223"/>
      <c r="D2" s="223"/>
      <c r="E2" s="223"/>
      <c r="F2" s="223"/>
      <c r="G2" s="223"/>
      <c r="H2" s="223"/>
      <c r="I2" s="223"/>
      <c r="J2" s="223"/>
      <c r="K2" s="223"/>
      <c r="L2" s="223"/>
      <c r="O2" s="478" t="s">
        <v>647</v>
      </c>
      <c r="P2" s="479"/>
    </row>
    <row r="3" spans="2:17" ht="15.75" customHeight="1">
      <c r="B3" s="232" t="e">
        <f>VLOOKUP(B4,Outline!$E$8:$G$65,COLUMNS(Outline!$E$8:$G$8),FALSE)</f>
        <v>#N/A</v>
      </c>
      <c r="C3" s="232"/>
      <c r="D3" s="232"/>
      <c r="E3" s="232"/>
      <c r="F3" s="232"/>
      <c r="G3" s="232"/>
      <c r="H3" s="232"/>
      <c r="I3" s="232"/>
      <c r="J3" s="232"/>
      <c r="K3" s="232"/>
      <c r="L3" s="232"/>
      <c r="O3" s="378" t="str">
        <f>'Econ Rights'!G7</f>
        <v>Series B</v>
      </c>
      <c r="P3" s="480"/>
    </row>
    <row r="4" spans="2:17" ht="16.5" customHeight="1" thickBot="1">
      <c r="B4" s="225" t="s">
        <v>401</v>
      </c>
      <c r="C4" s="225"/>
      <c r="D4" s="225"/>
      <c r="E4" s="225"/>
      <c r="F4" s="225"/>
      <c r="G4" s="225"/>
      <c r="H4" s="225"/>
      <c r="I4" s="225"/>
      <c r="J4" s="233"/>
      <c r="K4" s="233"/>
      <c r="L4" s="233" t="str">
        <f>+'MASTER PubCo Inputs'!$C$20</f>
        <v>(in thousands of USD and shares, except price per share)</v>
      </c>
      <c r="O4" s="347" t="s">
        <v>1322</v>
      </c>
      <c r="P4" s="481">
        <f>'Econ Rights'!G12</f>
        <v>4.2926000000000002</v>
      </c>
    </row>
    <row r="5" spans="2:17" ht="14.85" customHeight="1" thickTop="1">
      <c r="O5" s="347" t="s">
        <v>1323</v>
      </c>
      <c r="P5" s="482">
        <f>H12</f>
        <v>3.1701152666021972</v>
      </c>
    </row>
    <row r="6" spans="2:17" ht="14.85" customHeight="1">
      <c r="O6" s="483" t="s">
        <v>1324</v>
      </c>
      <c r="P6" s="484">
        <f>P5-P4</f>
        <v>-1.122484733397803</v>
      </c>
      <c r="Q6" s="323" t="str">
        <f>IF(OR(P6&lt;-0.01,P6&gt;0.01),"Chechk","")</f>
        <v>Chechk</v>
      </c>
    </row>
    <row r="7" spans="2:17" ht="14.85" customHeight="1">
      <c r="B7" s="485" t="s">
        <v>398</v>
      </c>
      <c r="C7" s="486"/>
      <c r="D7" s="487" t="s">
        <v>306</v>
      </c>
      <c r="E7" s="487"/>
      <c r="F7" s="487" t="s">
        <v>304</v>
      </c>
      <c r="G7" s="487"/>
      <c r="H7" s="487" t="s">
        <v>399</v>
      </c>
      <c r="I7" s="487"/>
      <c r="J7" s="487" t="s">
        <v>844</v>
      </c>
      <c r="K7" s="487"/>
      <c r="L7" s="488" t="s">
        <v>400</v>
      </c>
      <c r="O7" s="384" t="s">
        <v>375</v>
      </c>
      <c r="P7" s="489">
        <v>64144.781526536186</v>
      </c>
    </row>
    <row r="8" spans="2:17" ht="14.85" customHeight="1"/>
    <row r="9" spans="2:17" ht="14.85" customHeight="1">
      <c r="B9" s="234" t="str">
        <f>'PWERM Waterfall n Alloation'!B110</f>
        <v>Series Seed</v>
      </c>
      <c r="D9" s="257">
        <f>'PWERM Waterfall n Alloation'!$Q110</f>
        <v>1667.8714407178018</v>
      </c>
      <c r="E9" s="490"/>
      <c r="F9" s="257">
        <f>'Cap Table'!$D$11</f>
        <v>1010.456</v>
      </c>
      <c r="G9" s="268"/>
      <c r="H9" s="491">
        <f t="shared" ref="H9:H12" si="0">D9/F9</f>
        <v>1.6506126350061772</v>
      </c>
      <c r="I9" s="491"/>
      <c r="J9" s="492"/>
      <c r="K9" s="436"/>
      <c r="L9" s="492"/>
    </row>
    <row r="10" spans="2:17" ht="14.85" customHeight="1">
      <c r="B10" s="234" t="str">
        <f>'PWERM Waterfall n Alloation'!B111</f>
        <v>Series Seed-1</v>
      </c>
      <c r="D10" s="257">
        <f>'PWERM Waterfall n Alloation'!$Q111</f>
        <v>3569.5844575834462</v>
      </c>
      <c r="E10" s="490"/>
      <c r="F10" s="257">
        <f>'Cap Table'!$E$11</f>
        <v>1787.64</v>
      </c>
      <c r="G10" s="268"/>
      <c r="H10" s="491">
        <f t="shared" si="0"/>
        <v>1.9968139321023506</v>
      </c>
      <c r="I10" s="491"/>
      <c r="J10" s="492"/>
      <c r="K10" s="436"/>
      <c r="L10" s="492"/>
    </row>
    <row r="11" spans="2:17" ht="14.85" customHeight="1">
      <c r="B11" s="234" t="str">
        <f>'PWERM Waterfall n Alloation'!B112</f>
        <v>Series A</v>
      </c>
      <c r="D11" s="257">
        <f>'PWERM Waterfall n Alloation'!$Q112</f>
        <v>12799.51052491862</v>
      </c>
      <c r="E11" s="490"/>
      <c r="F11" s="257">
        <f>'Cap Table'!$F$11</f>
        <v>6120.1109999999999</v>
      </c>
      <c r="G11" s="268"/>
      <c r="H11" s="491">
        <f t="shared" si="0"/>
        <v>2.0913853563960885</v>
      </c>
      <c r="I11" s="491"/>
      <c r="J11" s="492"/>
      <c r="K11" s="436"/>
      <c r="L11" s="492"/>
    </row>
    <row r="12" spans="2:17" ht="14.85" customHeight="1">
      <c r="B12" s="234" t="str">
        <f>'PWERM Waterfall n Alloation'!B113</f>
        <v>Series B</v>
      </c>
      <c r="D12" s="257">
        <f>'PWERM Waterfall n Alloation'!$Q113</f>
        <v>16159.871799112296</v>
      </c>
      <c r="E12" s="490"/>
      <c r="F12" s="257">
        <f>'Cap Table'!$G$11</f>
        <v>5097.5659999999998</v>
      </c>
      <c r="G12" s="268"/>
      <c r="H12" s="491">
        <f t="shared" si="0"/>
        <v>3.1701152666021972</v>
      </c>
      <c r="I12" s="491"/>
      <c r="J12" s="492"/>
      <c r="K12" s="436"/>
      <c r="L12" s="492"/>
    </row>
    <row r="13" spans="2:17" ht="14.85" customHeight="1">
      <c r="B13" s="234" t="s">
        <v>532</v>
      </c>
      <c r="D13" s="257">
        <f>SUM('PWERM Waterfall n Alloation'!Q114:Q119)</f>
        <v>3658.6174863664119</v>
      </c>
      <c r="E13" s="490"/>
      <c r="F13" s="257">
        <f>SUM('Cap Table'!D24:D29)</f>
        <v>3340.4750000000004</v>
      </c>
      <c r="G13" s="268"/>
      <c r="H13" s="491">
        <f t="shared" ref="H13:H14" si="1">D13/F13</f>
        <v>1.0952386970015975</v>
      </c>
      <c r="I13" s="491"/>
      <c r="J13" s="492"/>
      <c r="K13" s="436"/>
      <c r="L13" s="492"/>
    </row>
    <row r="14" spans="2:17" ht="14.85" customHeight="1">
      <c r="B14" s="234" t="str">
        <f>'PWERM Waterfall n Alloation'!B120</f>
        <v>Common Stock</v>
      </c>
      <c r="C14" s="493"/>
      <c r="D14" s="257">
        <f>'PWERM Waterfall n Alloation'!Q120</f>
        <v>4784.5442913013312</v>
      </c>
      <c r="E14" s="490"/>
      <c r="F14" s="257">
        <f>'Cap Table'!H11</f>
        <v>3618.2730000000001</v>
      </c>
      <c r="G14" s="268"/>
      <c r="H14" s="494">
        <f t="shared" si="1"/>
        <v>1.3223281635468995</v>
      </c>
      <c r="I14" s="491"/>
      <c r="J14" s="441" t="e">
        <f>'PWERM DLOM'!#REF!</f>
        <v>#REF!</v>
      </c>
      <c r="K14" s="436"/>
      <c r="L14" s="491" t="e">
        <f>H14*(1-J14)</f>
        <v>#REF!</v>
      </c>
    </row>
    <row r="15" spans="2:17" ht="14.85" customHeight="1">
      <c r="B15" s="269"/>
      <c r="C15" s="269"/>
      <c r="D15" s="495"/>
      <c r="E15" s="495"/>
      <c r="F15" s="495"/>
      <c r="G15" s="269"/>
      <c r="H15" s="457"/>
      <c r="I15" s="269"/>
      <c r="J15" s="457"/>
      <c r="K15" s="457"/>
      <c r="L15" s="457"/>
    </row>
    <row r="16" spans="2:17" ht="14.85" customHeight="1">
      <c r="B16" s="255" t="str">
        <f>'PWERM Waterfall n Alloation'!B122</f>
        <v>Total Tranche Value</v>
      </c>
      <c r="D16" s="496">
        <f>SUM(D9:D14)</f>
        <v>42639.999999999913</v>
      </c>
      <c r="E16" s="465"/>
      <c r="F16" s="496">
        <f>SUM(F9:F14)</f>
        <v>20974.521000000001</v>
      </c>
      <c r="H16" s="252"/>
      <c r="J16" s="252"/>
      <c r="K16" s="252"/>
      <c r="L16" s="252"/>
    </row>
    <row r="17" spans="1:18" ht="14.85" customHeight="1"/>
    <row r="18" spans="1:18" ht="14.85" customHeight="1">
      <c r="B18" s="279" t="s">
        <v>86</v>
      </c>
    </row>
    <row r="19" spans="1:18" ht="14.85" customHeight="1">
      <c r="A19" s="280" t="s">
        <v>250</v>
      </c>
      <c r="B19" s="339" t="str">
        <f>"Refer to "&amp;'PWERM DLOM'!B3&amp;" for DLOM calculations."</f>
        <v>Refer to Exhibit H.1 for DLOM calculations.</v>
      </c>
    </row>
    <row r="20" spans="1:18" ht="14.85" customHeight="1">
      <c r="O20" s="323"/>
    </row>
    <row r="21" spans="1:18" ht="14.85" customHeight="1">
      <c r="D21" s="497"/>
    </row>
    <row r="22" spans="1:18" ht="14.85" customHeight="1">
      <c r="B22" s="234" t="s">
        <v>1757</v>
      </c>
      <c r="D22" s="278" t="str">
        <f>IF((D16&lt;&gt;'PWERM Waterfall n Alloation'!Q122),"Check","")</f>
        <v/>
      </c>
      <c r="R22" s="285"/>
    </row>
    <row r="23" spans="1:18" ht="14.85" customHeight="1">
      <c r="O23" s="261"/>
    </row>
    <row r="24" spans="1:18" ht="14.85" customHeight="1">
      <c r="O24" s="261"/>
    </row>
    <row r="25" spans="1:18" ht="14.85" customHeight="1">
      <c r="O25" s="381"/>
      <c r="R25" s="358"/>
    </row>
    <row r="26" spans="1:18" ht="14.85" customHeight="1">
      <c r="O26" s="261"/>
    </row>
    <row r="27" spans="1:18" ht="14.85" customHeight="1">
      <c r="O27" s="261"/>
    </row>
    <row r="28" spans="1:18" ht="14.85" customHeight="1"/>
    <row r="29" spans="1:18" ht="14.85" customHeight="1"/>
    <row r="30" spans="1:18" ht="14.85" customHeight="1">
      <c r="R30" s="285"/>
    </row>
    <row r="31" spans="1:18" ht="14.85" customHeight="1">
      <c r="O31" s="370"/>
    </row>
    <row r="32" spans="1:18" ht="14.85" customHeight="1">
      <c r="O32" s="370"/>
    </row>
    <row r="33" spans="15:18" ht="14.85" customHeight="1">
      <c r="O33" s="498"/>
      <c r="R33" s="358"/>
    </row>
    <row r="34" spans="15:18" ht="14.85" customHeight="1">
      <c r="O34" s="370"/>
    </row>
    <row r="35" spans="15:18" ht="14.85" customHeight="1">
      <c r="O35" s="370"/>
    </row>
    <row r="36" spans="15:18" ht="14.85" customHeight="1"/>
    <row r="37" spans="15:18" ht="14.85" customHeight="1"/>
    <row r="38" spans="15:18" ht="14.85" customHeight="1"/>
    <row r="39" spans="15:18" ht="14.85" customHeight="1"/>
    <row r="40" spans="15:18" ht="14.85" customHeight="1"/>
    <row r="41" spans="15:18" ht="14.85" customHeight="1"/>
    <row r="42" spans="15:18" ht="14.85" customHeight="1"/>
    <row r="43" spans="15:18" ht="14.85" customHeight="1"/>
    <row r="44" spans="15:18" ht="14.85" customHeight="1"/>
    <row r="45" spans="15:18" ht="14.85" customHeight="1"/>
    <row r="46" spans="15:18" ht="14.85" customHeight="1"/>
    <row r="47" spans="15:18" ht="14.85" customHeight="1"/>
    <row r="48" spans="15:1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sheetData>
  <dataConsolidate/>
  <conditionalFormatting sqref="B4:I4">
    <cfRule type="cellIs" dxfId="106" priority="9" stopIfTrue="1" operator="equal">
      <formula>"input"</formula>
    </cfRule>
  </conditionalFormatting>
  <conditionalFormatting sqref="J4">
    <cfRule type="cellIs" dxfId="105" priority="7" stopIfTrue="1" operator="equal">
      <formula>"input"</formula>
    </cfRule>
  </conditionalFormatting>
  <conditionalFormatting sqref="J4">
    <cfRule type="cellIs" dxfId="104" priority="8" stopIfTrue="1" operator="equal">
      <formula>"input"</formula>
    </cfRule>
  </conditionalFormatting>
  <conditionalFormatting sqref="K4">
    <cfRule type="cellIs" dxfId="103" priority="5" stopIfTrue="1" operator="equal">
      <formula>"input"</formula>
    </cfRule>
  </conditionalFormatting>
  <conditionalFormatting sqref="K4">
    <cfRule type="cellIs" dxfId="102" priority="6" stopIfTrue="1" operator="equal">
      <formula>"input"</formula>
    </cfRule>
  </conditionalFormatting>
  <conditionalFormatting sqref="L4">
    <cfRule type="cellIs" dxfId="101" priority="1" stopIfTrue="1" operator="equal">
      <formula>"input"</formula>
    </cfRule>
  </conditionalFormatting>
  <conditionalFormatting sqref="L4">
    <cfRule type="cellIs" dxfId="100" priority="2" stopIfTrue="1" operator="equal">
      <formula>"input"</formula>
    </cfRule>
  </conditionalFormatting>
  <pageMargins left="0.5" right="0.5" top="0.5" bottom="0.5" header="0.5" footer="0.5"/>
  <pageSetup scale="98" fitToWidth="0" fitToHeight="0" orientation="landscape" r:id="rId1"/>
  <legacyDrawingHF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73"/>
  <dimension ref="A1:AI759"/>
  <sheetViews>
    <sheetView showGridLines="0" view="pageBreakPreview" zoomScaleNormal="100" zoomScaleSheetLayoutView="100" workbookViewId="0"/>
  </sheetViews>
  <sheetFormatPr defaultRowHeight="14.25" outlineLevelRow="1" outlineLevelCol="1"/>
  <cols>
    <col min="1" max="1" width="4.5" style="234" customWidth="1"/>
    <col min="2" max="2" width="42.1640625" style="234" customWidth="1"/>
    <col min="3" max="3" width="3.5" style="234" customWidth="1"/>
    <col min="4" max="4" width="13.33203125" style="234" customWidth="1"/>
    <col min="5" max="5" width="10.83203125" style="234" hidden="1" customWidth="1" outlineLevel="1"/>
    <col min="6" max="7" width="9.83203125" style="234" hidden="1" customWidth="1" outlineLevel="1"/>
    <col min="8" max="8" width="12.83203125" style="234" customWidth="1" collapsed="1"/>
    <col min="9" max="11" width="12.83203125" style="234" customWidth="1"/>
    <col min="12" max="12" width="2.83203125" style="234" customWidth="1"/>
    <col min="13" max="15" width="12.83203125" style="234" customWidth="1"/>
    <col min="16" max="16" width="2.83203125" style="435" customWidth="1"/>
    <col min="17" max="17" width="12.83203125" style="234" customWidth="1"/>
    <col min="18" max="18" width="2.83203125" style="234" customWidth="1"/>
    <col min="19" max="19" width="11.6640625" style="234" hidden="1" customWidth="1" outlineLevel="1"/>
    <col min="20" max="23" width="8.83203125" style="234" hidden="1" customWidth="1" outlineLevel="1"/>
    <col min="24" max="24" width="12.83203125" style="234" customWidth="1" collapsed="1"/>
    <col min="25" max="25" width="12.83203125" style="234" customWidth="1"/>
    <col min="26" max="26" width="4.5" style="234" customWidth="1"/>
    <col min="27" max="27" width="17.5" style="234" bestFit="1" customWidth="1"/>
    <col min="28" max="28" width="14.33203125" style="234" bestFit="1" customWidth="1"/>
    <col min="29" max="29" width="9.6640625" style="234" bestFit="1" customWidth="1"/>
    <col min="30" max="30" width="10.1640625" style="234" bestFit="1" customWidth="1"/>
    <col min="31" max="16384" width="9.33203125" style="234"/>
  </cols>
  <sheetData>
    <row r="1" spans="2:35" ht="10.7" customHeight="1" thickBot="1">
      <c r="P1" s="234"/>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X2" s="223"/>
      <c r="Y2" s="223"/>
      <c r="AA2" s="779" t="s">
        <v>87</v>
      </c>
      <c r="AB2" s="780">
        <f>+'Comp.1'!$AL$2</f>
        <v>43496</v>
      </c>
    </row>
    <row r="3" spans="2:35" ht="15.75" customHeight="1">
      <c r="B3" s="232" t="e">
        <f>VLOOKUP(B4,Outline!$E$8:$G$65,COLUMNS(Outline!$E$8:$G$8),FALSE)</f>
        <v>#N/A</v>
      </c>
      <c r="C3" s="232"/>
      <c r="D3" s="232"/>
      <c r="E3" s="232"/>
      <c r="F3" s="232"/>
      <c r="G3" s="232"/>
      <c r="H3" s="232"/>
      <c r="I3" s="232"/>
      <c r="J3" s="232"/>
      <c r="K3" s="232"/>
      <c r="L3" s="232"/>
      <c r="M3" s="232"/>
      <c r="N3" s="232"/>
      <c r="O3" s="232"/>
      <c r="P3" s="232"/>
      <c r="Q3" s="232"/>
      <c r="R3" s="232"/>
      <c r="S3" s="232"/>
      <c r="T3" s="232"/>
      <c r="U3" s="232"/>
      <c r="V3" s="232"/>
      <c r="W3" s="232"/>
      <c r="X3" s="232"/>
      <c r="Y3" s="232"/>
      <c r="AA3" s="619" t="s">
        <v>455</v>
      </c>
      <c r="AB3" s="889" t="str">
        <f>+'Comp.1'!$AL$3</f>
        <v>F</v>
      </c>
    </row>
    <row r="4" spans="2:35" ht="16.5" customHeight="1" thickBot="1">
      <c r="B4" s="225" t="s">
        <v>1775</v>
      </c>
      <c r="C4" s="225"/>
      <c r="D4" s="225"/>
      <c r="E4" s="225"/>
      <c r="F4" s="225"/>
      <c r="G4" s="225"/>
      <c r="H4" s="225"/>
      <c r="I4" s="225"/>
      <c r="J4" s="233"/>
      <c r="K4" s="233"/>
      <c r="L4" s="233"/>
      <c r="M4" s="233"/>
      <c r="N4" s="233"/>
      <c r="O4" s="233"/>
      <c r="P4" s="233"/>
      <c r="Q4" s="233"/>
      <c r="R4" s="233"/>
      <c r="S4" s="233"/>
      <c r="T4" s="233"/>
      <c r="U4" s="233"/>
      <c r="V4" s="233"/>
      <c r="W4" s="233"/>
      <c r="X4" s="233"/>
      <c r="Y4" s="233" t="str">
        <f>+'MASTER PubCo Inputs'!$C$24</f>
        <v>(in millions of USD)</v>
      </c>
      <c r="AA4" s="619" t="s">
        <v>456</v>
      </c>
      <c r="AB4" s="889" t="str">
        <f>+'Comp.1'!$AL$4</f>
        <v>USD</v>
      </c>
    </row>
    <row r="5" spans="2:35" ht="14.85" customHeight="1" thickTop="1">
      <c r="B5" s="435"/>
      <c r="AA5" s="384" t="s">
        <v>89</v>
      </c>
      <c r="AB5" s="890" t="str">
        <f>+'Comp.1'!$AL$5</f>
        <v>H</v>
      </c>
    </row>
    <row r="6" spans="2:35" ht="14.85" hidden="1" customHeight="1" outlineLevel="1">
      <c r="N6" s="437">
        <f>'OPM 1'!D10</f>
        <v>1.7035945205479452</v>
      </c>
      <c r="O6" s="440">
        <f>'Risk-Free Rates Hybrid'!E27</f>
        <v>2.4500000000000001E-2</v>
      </c>
      <c r="Q6" s="268">
        <f>HLOOKUP(ROUND(N6,0),'Equity Vol'!$D$8:$K$8,1,TRUE)</f>
        <v>2</v>
      </c>
    </row>
    <row r="7" spans="2:35" ht="14.85" customHeight="1" collapsed="1">
      <c r="D7" s="745" t="s">
        <v>91</v>
      </c>
      <c r="E7" s="746"/>
      <c r="F7" s="746"/>
      <c r="G7" s="746"/>
      <c r="H7" s="746"/>
      <c r="I7" s="746"/>
      <c r="J7" s="746"/>
      <c r="K7" s="747"/>
      <c r="M7" s="745" t="s">
        <v>92</v>
      </c>
      <c r="N7" s="746"/>
      <c r="O7" s="746"/>
      <c r="P7" s="891"/>
      <c r="Q7" s="747"/>
      <c r="S7" s="745" t="s">
        <v>93</v>
      </c>
      <c r="T7" s="746"/>
      <c r="U7" s="746"/>
      <c r="V7" s="746"/>
      <c r="W7" s="746"/>
      <c r="X7" s="1272" t="s">
        <v>93</v>
      </c>
      <c r="Y7" s="1273"/>
    </row>
    <row r="8" spans="2:35" s="270" customFormat="1" ht="43.5" customHeight="1">
      <c r="B8" s="892" t="s">
        <v>711</v>
      </c>
      <c r="D8" s="893" t="s">
        <v>94</v>
      </c>
      <c r="E8" s="894" t="s">
        <v>95</v>
      </c>
      <c r="F8" s="894" t="s">
        <v>96</v>
      </c>
      <c r="G8" s="894" t="s">
        <v>97</v>
      </c>
      <c r="H8" s="894" t="s">
        <v>98</v>
      </c>
      <c r="I8" s="894" t="s">
        <v>99</v>
      </c>
      <c r="J8" s="894" t="s">
        <v>100</v>
      </c>
      <c r="K8" s="895" t="s">
        <v>101</v>
      </c>
      <c r="L8" s="271"/>
      <c r="M8" s="893" t="s">
        <v>73</v>
      </c>
      <c r="N8" s="894" t="s">
        <v>102</v>
      </c>
      <c r="O8" s="895" t="s">
        <v>72</v>
      </c>
      <c r="P8" s="798"/>
      <c r="Q8" s="896" t="s">
        <v>103</v>
      </c>
      <c r="R8" s="798"/>
      <c r="S8" s="893" t="s">
        <v>104</v>
      </c>
      <c r="T8" s="894" t="s">
        <v>84</v>
      </c>
      <c r="U8" s="894" t="s">
        <v>85</v>
      </c>
      <c r="V8" s="894" t="s">
        <v>105</v>
      </c>
      <c r="W8" s="894" t="s">
        <v>106</v>
      </c>
      <c r="X8" s="799" t="s">
        <v>107</v>
      </c>
      <c r="Y8" s="895" t="s">
        <v>2924</v>
      </c>
      <c r="AA8" s="450" t="s">
        <v>108</v>
      </c>
      <c r="AB8" s="409" t="s">
        <v>109</v>
      </c>
      <c r="AC8" s="409" t="s">
        <v>110</v>
      </c>
      <c r="AD8" s="897"/>
    </row>
    <row r="9" spans="2:35" ht="14.85" customHeight="1">
      <c r="X9" s="252"/>
      <c r="Y9" s="252"/>
    </row>
    <row r="10" spans="2:35" ht="14.85" customHeight="1">
      <c r="B10" s="234" t="str">
        <f>'Comp.1'!B11</f>
        <v>Alnylam Pharmaceuticals, Inc.</v>
      </c>
      <c r="D10" s="259">
        <f>'Beta Calc'!K11</f>
        <v>8868.9653999999991</v>
      </c>
      <c r="E10" s="259">
        <f>'Beta Calc'!L11</f>
        <v>30</v>
      </c>
      <c r="F10" s="259" t="str">
        <f>'Beta Calc'!M11</f>
        <v>n/a</v>
      </c>
      <c r="G10" s="259" t="str">
        <f>'Beta Calc'!N11</f>
        <v>n/a</v>
      </c>
      <c r="H10" s="259">
        <f>SUM(E10:G10)</f>
        <v>30</v>
      </c>
      <c r="I10" s="259">
        <f>SUM(D10:G10)</f>
        <v>8898.9653999999991</v>
      </c>
      <c r="J10" s="259">
        <f>'Beta Calc'!Q11</f>
        <v>1236.8340000000001</v>
      </c>
      <c r="K10" s="259">
        <f>I10-J10</f>
        <v>7662.1313999999993</v>
      </c>
      <c r="M10" s="390">
        <f>IFERROR('Capital IQ Sheet-GPC'!AT13,"n/a")</f>
        <v>0</v>
      </c>
      <c r="N10" s="259">
        <f t="shared" ref="N10:O34" si="0">N$6</f>
        <v>1.7035945205479452</v>
      </c>
      <c r="O10" s="898">
        <f t="shared" si="0"/>
        <v>2.4500000000000001E-2</v>
      </c>
      <c r="P10" s="899"/>
      <c r="Q10" s="900">
        <f>IFERROR(HLOOKUP($Q$6,'Equity Vol'!$B$8:$K11,ROWS('Equity Vol'!$C$8:$C11),FALSE),"n/a")</f>
        <v>0.59416943228496266</v>
      </c>
      <c r="R10" s="304"/>
      <c r="S10" s="901">
        <f>IFERROR(IF(Q10="n/a","n/a",Q10^2),"n/a")</f>
        <v>0.35303731426183482</v>
      </c>
      <c r="T10" s="901">
        <f t="shared" ref="T10" si="1">IF(OR(K10="n/a",S10="n/a"),"n/a",IF(H10=0,0,IF(M10=0,(LN(K10/H10)+((O10+(S10/2))*N10))/((S10*N10)^0.5),(LN(K10/H10)+((O10-M10+(S10/2))*N10))/((S10*N10)^0.5))))</f>
        <v>7.5888393362269575</v>
      </c>
      <c r="U10" s="902">
        <f t="shared" ref="U10" si="2">IF(T10="n/a","n/a",IF(H10=0,0,T10-(S10*N10)^0.5))</f>
        <v>6.8133185859401424</v>
      </c>
      <c r="V10" s="902">
        <f t="shared" ref="V10" si="3">IF(OR(T10="n/a",S10="n/a"),"n/a",IF(H10=0,0,NORMSDIST(T10)))</f>
        <v>0.9999999999999839</v>
      </c>
      <c r="W10" s="902">
        <f t="shared" ref="W10" si="4">IF(OR(U10="n/a",S10="n/a"),"n/a",IF(H10=0,0,NORMSDIST(U10)))</f>
        <v>0.99999999999523137</v>
      </c>
      <c r="X10" s="465">
        <f t="shared" ref="X10" si="5">IF(OR(K10="n/a",S10="n/a"),"n/a",IF(M10=0,(K10*V10)-((H10*EXP(1)^(-O10*N10))*W10),(K10*(2.718^(-M10*N10))*V10)-(H10*(2.718^(-O10*N10))*W10)))</f>
        <v>7633.3577707709319</v>
      </c>
      <c r="Y10" s="900">
        <f>IFERROR(IF(LEN(B10)&gt;0,IF(H10=0,Q10,IF(ISERROR(Q10/((K10/X10)*V10)),"n/a",Q10/((K10/X10)*V10)))),"n/a")</f>
        <v>0.59193814570800063</v>
      </c>
      <c r="AA10" s="815" t="str">
        <f>IF('MASTER PubCo Inputs'!B28=0,"",'MASTER PubCo Inputs'!B28)</f>
        <v>NasdaqGS:ALNY</v>
      </c>
      <c r="AB10" s="259">
        <f>'Beta Calc'!Z11</f>
        <v>7662.1313899999996</v>
      </c>
      <c r="AC10" s="903">
        <f t="shared" ref="AC10:AC34" si="6">K10-AB10</f>
        <v>9.9999997473787516E-6</v>
      </c>
      <c r="AI10" s="811"/>
    </row>
    <row r="11" spans="2:35" ht="14.85" customHeight="1">
      <c r="B11" s="234" t="str">
        <f>'Comp.1'!B12</f>
        <v>bluebird bio, Inc.</v>
      </c>
      <c r="D11" s="259">
        <f>'Beta Calc'!K12</f>
        <v>7297.8752599999998</v>
      </c>
      <c r="E11" s="259">
        <f>'Beta Calc'!L12</f>
        <v>155.03399999999999</v>
      </c>
      <c r="F11" s="259" t="str">
        <f>'Beta Calc'!M12</f>
        <v>n/a</v>
      </c>
      <c r="G11" s="259" t="str">
        <f>'Beta Calc'!N12</f>
        <v>n/a</v>
      </c>
      <c r="H11" s="259">
        <f t="shared" ref="H11:H34" si="7">SUM(E11:G11)</f>
        <v>155.03399999999999</v>
      </c>
      <c r="I11" s="259">
        <f t="shared" ref="I11:I34" si="8">SUM(D11:G11)</f>
        <v>7452.9092599999994</v>
      </c>
      <c r="J11" s="259">
        <f>'Beta Calc'!Q12</f>
        <v>1695.2950000000001</v>
      </c>
      <c r="K11" s="259">
        <f t="shared" ref="K11:K34" si="9">I11-J11</f>
        <v>5757.6142599999994</v>
      </c>
      <c r="M11" s="390">
        <f>IFERROR('Capital IQ Sheet-GPC'!AT14,"n/a")</f>
        <v>0</v>
      </c>
      <c r="N11" s="259">
        <f t="shared" si="0"/>
        <v>1.7035945205479452</v>
      </c>
      <c r="O11" s="898">
        <f t="shared" si="0"/>
        <v>2.4500000000000001E-2</v>
      </c>
      <c r="P11" s="899"/>
      <c r="Q11" s="900">
        <f>IFERROR(HLOOKUP($Q$6,'Equity Vol'!$B$8:$K12,ROWS('Equity Vol'!$C$8:$C12),FALSE),"n/a")</f>
        <v>0.53858552321462028</v>
      </c>
      <c r="R11" s="304"/>
      <c r="S11" s="901">
        <f t="shared" ref="S11:S34" si="10">IFERROR(IF(Q11="n/a","n/a",Q11^2),"n/a")</f>
        <v>0.29007436581636625</v>
      </c>
      <c r="T11" s="901">
        <f t="shared" ref="T11:T34" si="11">IF(OR(K11="n/a",S11="n/a"),"n/a",IF(H11=0,0,IF(M11=0,(LN(K11/H11)+((O11+(S11/2))*N11))/((S11*N11)^0.5),(LN(K11/H11)+((O11-M11+(S11/2))*N11))/((S11*N11)^0.5))))</f>
        <v>5.5527940638692561</v>
      </c>
      <c r="U11" s="902">
        <f t="shared" ref="U11:U34" si="12">IF(T11="n/a","n/a",IF(H11=0,0,T11-(S11*N11)^0.5))</f>
        <v>4.8498224427093533</v>
      </c>
      <c r="V11" s="902">
        <f t="shared" ref="V11:V34" si="13">IF(OR(T11="n/a",S11="n/a"),"n/a",IF(H11=0,0,NORMSDIST(T11)))</f>
        <v>0.99999998594303929</v>
      </c>
      <c r="W11" s="902">
        <f t="shared" ref="W11:W34" si="14">IF(OR(U11="n/a",S11="n/a"),"n/a",IF(H11=0,0,NORMSDIST(U11)))</f>
        <v>0.99999938213980055</v>
      </c>
      <c r="X11" s="465">
        <f t="shared" ref="X11:X34" si="15">IF(OR(K11="n/a",S11="n/a"),"n/a",IF(M11=0,(K11*V11)-((H11*EXP(1)^(-O11*N11))*W11),(K11*(2.718^(-M11*N11))*V11)-(H11*(2.718^(-O11*N11))*W11)))</f>
        <v>5608.9179098089598</v>
      </c>
      <c r="Y11" s="900">
        <f t="shared" ref="Y11:Y34" si="16">IFERROR(IF(LEN(B11)&gt;0,IF(H11=0,Q11,IF(ISERROR(Q11/((K11/X11)*V11)),"n/a",Q11/((K11/X11)*V11)))),"n/a")</f>
        <v>0.52467600175540996</v>
      </c>
      <c r="AA11" s="815" t="str">
        <f>IF('MASTER PubCo Inputs'!B29=0,"",'MASTER PubCo Inputs'!B29)</f>
        <v>NasdaqGS:BLUE</v>
      </c>
      <c r="AB11" s="259">
        <f>'Beta Calc'!Z12</f>
        <v>5757.6142600000003</v>
      </c>
      <c r="AC11" s="903">
        <f t="shared" si="6"/>
        <v>0</v>
      </c>
      <c r="AI11" s="811"/>
    </row>
    <row r="12" spans="2:35" ht="14.85" customHeight="1">
      <c r="B12" s="234" t="str">
        <f>'Comp.1'!B13</f>
        <v>Ironwood Pharmaceuticals, Inc.</v>
      </c>
      <c r="D12" s="259">
        <f>'Beta Calc'!K13</f>
        <v>2104.44911</v>
      </c>
      <c r="E12" s="259">
        <f>'Beta Calc'!L13</f>
        <v>409.30599999999998</v>
      </c>
      <c r="F12" s="259" t="str">
        <f>'Beta Calc'!M13</f>
        <v>n/a</v>
      </c>
      <c r="G12" s="259" t="str">
        <f>'Beta Calc'!N13</f>
        <v>n/a</v>
      </c>
      <c r="H12" s="259">
        <f t="shared" si="7"/>
        <v>409.30599999999998</v>
      </c>
      <c r="I12" s="259">
        <f t="shared" si="8"/>
        <v>2513.7551100000001</v>
      </c>
      <c r="J12" s="259">
        <f>'Beta Calc'!Q13</f>
        <v>161.398</v>
      </c>
      <c r="K12" s="259">
        <f t="shared" si="9"/>
        <v>2352.3571099999999</v>
      </c>
      <c r="M12" s="390">
        <f>IFERROR('Capital IQ Sheet-GPC'!AT15,"n/a")</f>
        <v>0</v>
      </c>
      <c r="N12" s="259">
        <f t="shared" si="0"/>
        <v>1.7035945205479452</v>
      </c>
      <c r="O12" s="898">
        <f t="shared" si="0"/>
        <v>2.4500000000000001E-2</v>
      </c>
      <c r="P12" s="899"/>
      <c r="Q12" s="900">
        <f>IFERROR(HLOOKUP($Q$6,'Equity Vol'!$B$8:$K13,ROWS('Equity Vol'!$C$8:$C13),FALSE),"n/a")</f>
        <v>0.4634353984441596</v>
      </c>
      <c r="R12" s="304"/>
      <c r="S12" s="901">
        <f t="shared" si="10"/>
        <v>0.21477236853109696</v>
      </c>
      <c r="T12" s="901">
        <f t="shared" si="11"/>
        <v>3.2624266012933929</v>
      </c>
      <c r="U12" s="902">
        <f t="shared" si="12"/>
        <v>2.6575422898794825</v>
      </c>
      <c r="V12" s="902">
        <f t="shared" si="13"/>
        <v>0.99944768612944102</v>
      </c>
      <c r="W12" s="902">
        <f t="shared" si="14"/>
        <v>0.99606436428967304</v>
      </c>
      <c r="X12" s="465">
        <f t="shared" si="15"/>
        <v>1960.0289291650354</v>
      </c>
      <c r="Y12" s="900">
        <f t="shared" si="16"/>
        <v>0.3863566265772882</v>
      </c>
      <c r="AA12" s="815" t="str">
        <f>IF('MASTER PubCo Inputs'!B30=0,"",'MASTER PubCo Inputs'!B30)</f>
        <v>NasdaqGS:IRWD</v>
      </c>
      <c r="AB12" s="259">
        <f>'Beta Calc'!Z13</f>
        <v>2352.3571099999999</v>
      </c>
      <c r="AC12" s="903">
        <f t="shared" si="6"/>
        <v>0</v>
      </c>
      <c r="AI12" s="811"/>
    </row>
    <row r="13" spans="2:35" ht="14.85" customHeight="1">
      <c r="B13" s="234" t="str">
        <f>'Comp.1'!B14</f>
        <v>Global Blood Therapeutics, Inc.</v>
      </c>
      <c r="D13" s="259">
        <f>'Beta Calc'!K14</f>
        <v>2660.4172400000002</v>
      </c>
      <c r="E13" s="259">
        <f>'Beta Calc'!L14</f>
        <v>0</v>
      </c>
      <c r="F13" s="259" t="str">
        <f>'Beta Calc'!M14</f>
        <v>n/a</v>
      </c>
      <c r="G13" s="259" t="str">
        <f>'Beta Calc'!N14</f>
        <v>n/a</v>
      </c>
      <c r="H13" s="259">
        <f t="shared" si="7"/>
        <v>0</v>
      </c>
      <c r="I13" s="259">
        <f t="shared" si="8"/>
        <v>2660.4172400000002</v>
      </c>
      <c r="J13" s="259">
        <f>'Beta Calc'!Q14</f>
        <v>383.22800000000001</v>
      </c>
      <c r="K13" s="259">
        <f t="shared" si="9"/>
        <v>2277.1892400000002</v>
      </c>
      <c r="M13" s="390">
        <f>IFERROR('Capital IQ Sheet-GPC'!AT16,"n/a")</f>
        <v>0</v>
      </c>
      <c r="N13" s="259">
        <f t="shared" si="0"/>
        <v>1.7035945205479452</v>
      </c>
      <c r="O13" s="898">
        <f t="shared" si="0"/>
        <v>2.4500000000000001E-2</v>
      </c>
      <c r="P13" s="899"/>
      <c r="Q13" s="900">
        <f>IFERROR(HLOOKUP($Q$6,'Equity Vol'!$B$8:$K14,ROWS('Equity Vol'!$C$8:$C14),FALSE),"n/a")</f>
        <v>0.70150122776605739</v>
      </c>
      <c r="R13" s="304"/>
      <c r="S13" s="901">
        <f t="shared" si="10"/>
        <v>0.49210397255728594</v>
      </c>
      <c r="T13" s="901">
        <f t="shared" si="11"/>
        <v>0</v>
      </c>
      <c r="U13" s="902">
        <f t="shared" si="12"/>
        <v>0</v>
      </c>
      <c r="V13" s="902">
        <f t="shared" si="13"/>
        <v>0</v>
      </c>
      <c r="W13" s="902">
        <f t="shared" si="14"/>
        <v>0</v>
      </c>
      <c r="X13" s="465">
        <f t="shared" si="15"/>
        <v>0</v>
      </c>
      <c r="Y13" s="900">
        <f t="shared" si="16"/>
        <v>0.70150122776605739</v>
      </c>
      <c r="AA13" s="815" t="str">
        <f>IF('MASTER PubCo Inputs'!B31=0,"",'MASTER PubCo Inputs'!B31)</f>
        <v>NasdaqGS:GBT</v>
      </c>
      <c r="AB13" s="259">
        <f>'Beta Calc'!Z14</f>
        <v>2277.1892400000002</v>
      </c>
      <c r="AC13" s="903">
        <f t="shared" si="6"/>
        <v>0</v>
      </c>
      <c r="AI13" s="811"/>
    </row>
    <row r="14" spans="2:35" ht="14.85" customHeight="1">
      <c r="B14" s="234" t="str">
        <f>'Comp.1'!B15</f>
        <v>Acceleron Pharma Inc.</v>
      </c>
      <c r="D14" s="259">
        <f>'Beta Calc'!K15</f>
        <v>2185.0571599999998</v>
      </c>
      <c r="E14" s="259">
        <f>'Beta Calc'!L15</f>
        <v>0</v>
      </c>
      <c r="F14" s="259" t="str">
        <f>'Beta Calc'!M15</f>
        <v>n/a</v>
      </c>
      <c r="G14" s="259" t="str">
        <f>'Beta Calc'!N15</f>
        <v>n/a</v>
      </c>
      <c r="H14" s="259">
        <f t="shared" si="7"/>
        <v>0</v>
      </c>
      <c r="I14" s="259">
        <f t="shared" si="8"/>
        <v>2185.0571599999998</v>
      </c>
      <c r="J14" s="259">
        <f>'Beta Calc'!Q15</f>
        <v>307.97199999999998</v>
      </c>
      <c r="K14" s="259">
        <f t="shared" si="9"/>
        <v>1877.0851599999999</v>
      </c>
      <c r="M14" s="390">
        <f>IFERROR('Capital IQ Sheet-GPC'!AT17,"n/a")</f>
        <v>0</v>
      </c>
      <c r="N14" s="259">
        <f t="shared" si="0"/>
        <v>1.7035945205479452</v>
      </c>
      <c r="O14" s="898">
        <f t="shared" si="0"/>
        <v>2.4500000000000001E-2</v>
      </c>
      <c r="P14" s="899"/>
      <c r="Q14" s="900">
        <f>IFERROR(HLOOKUP($Q$6,'Equity Vol'!$B$8:$K15,ROWS('Equity Vol'!$C$8:$C15),FALSE),"n/a")</f>
        <v>0.52894966684130962</v>
      </c>
      <c r="R14" s="304"/>
      <c r="S14" s="901">
        <f t="shared" si="10"/>
        <v>0.27978775005153245</v>
      </c>
      <c r="T14" s="901">
        <f t="shared" si="11"/>
        <v>0</v>
      </c>
      <c r="U14" s="902">
        <f t="shared" si="12"/>
        <v>0</v>
      </c>
      <c r="V14" s="902">
        <f t="shared" si="13"/>
        <v>0</v>
      </c>
      <c r="W14" s="902">
        <f t="shared" si="14"/>
        <v>0</v>
      </c>
      <c r="X14" s="465">
        <f t="shared" si="15"/>
        <v>0</v>
      </c>
      <c r="Y14" s="900">
        <f t="shared" si="16"/>
        <v>0.52894966684130962</v>
      </c>
      <c r="AA14" s="815" t="str">
        <f>IF('MASTER PubCo Inputs'!B32=0,"",'MASTER PubCo Inputs'!B32)</f>
        <v>NasdaqGM:XLRN</v>
      </c>
      <c r="AB14" s="259">
        <f>'Beta Calc'!Z15</f>
        <v>1877.0851600000001</v>
      </c>
      <c r="AC14" s="903">
        <f t="shared" si="6"/>
        <v>0</v>
      </c>
      <c r="AI14" s="811"/>
    </row>
    <row r="15" spans="2:35" ht="14.85" customHeight="1">
      <c r="B15" s="234" t="str">
        <f>'Comp.1'!B16</f>
        <v>Spark Therapeutics, Inc.</v>
      </c>
      <c r="D15" s="259">
        <f>'Beta Calc'!K16</f>
        <v>1805.0671400000001</v>
      </c>
      <c r="E15" s="259">
        <f>'Beta Calc'!L16</f>
        <v>84.891000000000005</v>
      </c>
      <c r="F15" s="259" t="str">
        <f>'Beta Calc'!M16</f>
        <v>n/a</v>
      </c>
      <c r="G15" s="259" t="str">
        <f>'Beta Calc'!N16</f>
        <v>n/a</v>
      </c>
      <c r="H15" s="259">
        <f t="shared" si="7"/>
        <v>84.891000000000005</v>
      </c>
      <c r="I15" s="259">
        <f t="shared" si="8"/>
        <v>1889.9581400000002</v>
      </c>
      <c r="J15" s="259">
        <f>'Beta Calc'!Q16</f>
        <v>590.476</v>
      </c>
      <c r="K15" s="259">
        <f t="shared" si="9"/>
        <v>1299.4821400000001</v>
      </c>
      <c r="M15" s="390">
        <f>IFERROR('Capital IQ Sheet-GPC'!AT18,"n/a")</f>
        <v>0</v>
      </c>
      <c r="N15" s="259">
        <f t="shared" si="0"/>
        <v>1.7035945205479452</v>
      </c>
      <c r="O15" s="898">
        <f t="shared" si="0"/>
        <v>2.4500000000000001E-2</v>
      </c>
      <c r="P15" s="899"/>
      <c r="Q15" s="900">
        <f>IFERROR(HLOOKUP($Q$6,'Equity Vol'!$B$8:$K16,ROWS('Equity Vol'!$C$8:$C16),FALSE),"n/a")</f>
        <v>0.64539841996562952</v>
      </c>
      <c r="R15" s="304"/>
      <c r="S15" s="901">
        <f t="shared" si="10"/>
        <v>0.41653912049413111</v>
      </c>
      <c r="T15" s="901">
        <f t="shared" si="11"/>
        <v>3.709580737509675</v>
      </c>
      <c r="U15" s="902">
        <f t="shared" si="12"/>
        <v>2.8671949807048356</v>
      </c>
      <c r="V15" s="902">
        <f t="shared" si="13"/>
        <v>0.99989619862601498</v>
      </c>
      <c r="W15" s="902">
        <f t="shared" si="14"/>
        <v>0.99792936107476871</v>
      </c>
      <c r="X15" s="465">
        <f t="shared" si="15"/>
        <v>1218.0951062895954</v>
      </c>
      <c r="Y15" s="900">
        <f t="shared" si="16"/>
        <v>0.6050396887946704</v>
      </c>
      <c r="AA15" s="815" t="str">
        <f>IF('MASTER PubCo Inputs'!B33=0,"",'MASTER PubCo Inputs'!B33)</f>
        <v>NasdaqGS:ONCE</v>
      </c>
      <c r="AB15" s="259">
        <f>'Beta Calc'!Z16</f>
        <v>1299.4821300000001</v>
      </c>
      <c r="AC15" s="903">
        <f t="shared" si="6"/>
        <v>9.9999999747524271E-6</v>
      </c>
      <c r="AI15" s="811"/>
    </row>
    <row r="16" spans="2:35" ht="14.85" customHeight="1">
      <c r="B16" s="234" t="str">
        <f>'Comp.1'!B17</f>
        <v>REGENXBIO Inc.</v>
      </c>
      <c r="D16" s="259">
        <f>'Beta Calc'!K17</f>
        <v>1575.5421799999999</v>
      </c>
      <c r="E16" s="259">
        <f>'Beta Calc'!L17</f>
        <v>0</v>
      </c>
      <c r="F16" s="259" t="str">
        <f>'Beta Calc'!M17</f>
        <v>n/a</v>
      </c>
      <c r="G16" s="259" t="str">
        <f>'Beta Calc'!N17</f>
        <v>n/a</v>
      </c>
      <c r="H16" s="259">
        <f t="shared" si="7"/>
        <v>0</v>
      </c>
      <c r="I16" s="259">
        <f t="shared" si="8"/>
        <v>1575.5421799999999</v>
      </c>
      <c r="J16" s="259">
        <f>'Beta Calc'!Q17</f>
        <v>372.589</v>
      </c>
      <c r="K16" s="259">
        <f t="shared" si="9"/>
        <v>1202.95318</v>
      </c>
      <c r="M16" s="390">
        <f>IFERROR('Capital IQ Sheet-GPC'!AT19,"n/a")</f>
        <v>0</v>
      </c>
      <c r="N16" s="259">
        <f t="shared" si="0"/>
        <v>1.7035945205479452</v>
      </c>
      <c r="O16" s="898">
        <f t="shared" si="0"/>
        <v>2.4500000000000001E-2</v>
      </c>
      <c r="P16" s="899"/>
      <c r="Q16" s="900">
        <f>IFERROR(HLOOKUP($Q$6,'Equity Vol'!$B$8:$K17,ROWS('Equity Vol'!$C$8:$C17),FALSE),"n/a")</f>
        <v>0.67554666584600742</v>
      </c>
      <c r="R16" s="304"/>
      <c r="S16" s="901">
        <f t="shared" si="10"/>
        <v>0.4563632977356572</v>
      </c>
      <c r="T16" s="901">
        <f t="shared" si="11"/>
        <v>0</v>
      </c>
      <c r="U16" s="902">
        <f t="shared" si="12"/>
        <v>0</v>
      </c>
      <c r="V16" s="902">
        <f t="shared" si="13"/>
        <v>0</v>
      </c>
      <c r="W16" s="902">
        <f t="shared" si="14"/>
        <v>0</v>
      </c>
      <c r="X16" s="465">
        <f t="shared" si="15"/>
        <v>0</v>
      </c>
      <c r="Y16" s="900">
        <f t="shared" si="16"/>
        <v>0.67554666584600742</v>
      </c>
      <c r="AA16" s="815" t="str">
        <f>IF('MASTER PubCo Inputs'!B34=0,"",'MASTER PubCo Inputs'!B34)</f>
        <v>NasdaqGS:RGNX</v>
      </c>
      <c r="AB16" s="259">
        <f>'Beta Calc'!Z17</f>
        <v>1202.95318</v>
      </c>
      <c r="AC16" s="903">
        <f t="shared" si="6"/>
        <v>0</v>
      </c>
      <c r="AI16" s="811"/>
    </row>
    <row r="17" spans="2:35" ht="14.85" customHeight="1">
      <c r="B17" s="234" t="str">
        <f>'Comp.1'!B18</f>
        <v>uniQure N.V.</v>
      </c>
      <c r="D17" s="259">
        <f>'Beta Calc'!K18</f>
        <v>1275.6593700000001</v>
      </c>
      <c r="E17" s="259">
        <f>'Beta Calc'!L18</f>
        <v>20.707999999999998</v>
      </c>
      <c r="F17" s="259" t="str">
        <f>'Beta Calc'!M18</f>
        <v>n/a</v>
      </c>
      <c r="G17" s="259" t="str">
        <f>'Beta Calc'!N18</f>
        <v>n/a</v>
      </c>
      <c r="H17" s="259">
        <f t="shared" si="7"/>
        <v>20.707999999999998</v>
      </c>
      <c r="I17" s="259">
        <f t="shared" si="8"/>
        <v>1296.3673700000002</v>
      </c>
      <c r="J17" s="259">
        <f>'Beta Calc'!Q18</f>
        <v>239.54599999999999</v>
      </c>
      <c r="K17" s="259">
        <f t="shared" si="9"/>
        <v>1056.8213700000001</v>
      </c>
      <c r="M17" s="390">
        <f>IFERROR('Capital IQ Sheet-GPC'!AT20,"n/a")</f>
        <v>0</v>
      </c>
      <c r="N17" s="259">
        <f t="shared" si="0"/>
        <v>1.7035945205479452</v>
      </c>
      <c r="O17" s="898">
        <f t="shared" si="0"/>
        <v>2.4500000000000001E-2</v>
      </c>
      <c r="P17" s="899"/>
      <c r="Q17" s="900">
        <f>IFERROR(HLOOKUP($Q$6,'Equity Vol'!$B$8:$K18,ROWS('Equity Vol'!$C$8:$C18),FALSE),"n/a")</f>
        <v>0.76002768683622213</v>
      </c>
      <c r="R17" s="304"/>
      <c r="S17" s="901">
        <f t="shared" si="10"/>
        <v>0.57764208475761858</v>
      </c>
      <c r="T17" s="901">
        <f t="shared" si="11"/>
        <v>4.5022823163580936</v>
      </c>
      <c r="U17" s="902">
        <f t="shared" si="12"/>
        <v>3.5102803554573248</v>
      </c>
      <c r="V17" s="902">
        <f t="shared" si="13"/>
        <v>0.99999663862010502</v>
      </c>
      <c r="W17" s="902">
        <f t="shared" si="14"/>
        <v>0.99977618277132951</v>
      </c>
      <c r="X17" s="465">
        <f t="shared" si="15"/>
        <v>1036.9607858268039</v>
      </c>
      <c r="Y17" s="900">
        <f t="shared" si="16"/>
        <v>0.74574718011973196</v>
      </c>
      <c r="AA17" s="815" t="str">
        <f>IF('MASTER PubCo Inputs'!B35=0,"",'MASTER PubCo Inputs'!B35)</f>
        <v>NasdaqGS:QURE</v>
      </c>
      <c r="AB17" s="259">
        <f>'Beta Calc'!Z18</f>
        <v>1056.8213699999999</v>
      </c>
      <c r="AC17" s="903">
        <f t="shared" si="6"/>
        <v>0</v>
      </c>
      <c r="AI17" s="811"/>
    </row>
    <row r="18" spans="2:35" ht="14.85" customHeight="1">
      <c r="B18" s="234" t="str">
        <f>'Comp.1'!B19</f>
        <v>Audentes Therapeutics, Inc.</v>
      </c>
      <c r="D18" s="259">
        <f>'Beta Calc'!K19</f>
        <v>1058.70937</v>
      </c>
      <c r="E18" s="259">
        <f>'Beta Calc'!L19</f>
        <v>0</v>
      </c>
      <c r="F18" s="259" t="str">
        <f>'Beta Calc'!M19</f>
        <v>n/a</v>
      </c>
      <c r="G18" s="259" t="str">
        <f>'Beta Calc'!N19</f>
        <v>n/a</v>
      </c>
      <c r="H18" s="259">
        <f t="shared" si="7"/>
        <v>0</v>
      </c>
      <c r="I18" s="259">
        <f t="shared" si="8"/>
        <v>1058.70937</v>
      </c>
      <c r="J18" s="259">
        <f>'Beta Calc'!Q19</f>
        <v>280.68599999999998</v>
      </c>
      <c r="K18" s="259">
        <f t="shared" si="9"/>
        <v>778.02337000000011</v>
      </c>
      <c r="M18" s="390">
        <f>IFERROR('Capital IQ Sheet-GPC'!AT21,"n/a")</f>
        <v>0</v>
      </c>
      <c r="N18" s="259">
        <f t="shared" si="0"/>
        <v>1.7035945205479452</v>
      </c>
      <c r="O18" s="898">
        <f t="shared" si="0"/>
        <v>2.4500000000000001E-2</v>
      </c>
      <c r="P18" s="899"/>
      <c r="Q18" s="900">
        <f>IFERROR(HLOOKUP($Q$6,'Equity Vol'!$B$8:$K19,ROWS('Equity Vol'!$C$8:$C19),FALSE),"n/a")</f>
        <v>0.60947723086456018</v>
      </c>
      <c r="R18" s="304"/>
      <c r="S18" s="901">
        <f t="shared" si="10"/>
        <v>0.37146249494233241</v>
      </c>
      <c r="T18" s="901">
        <f t="shared" si="11"/>
        <v>0</v>
      </c>
      <c r="U18" s="902">
        <f t="shared" si="12"/>
        <v>0</v>
      </c>
      <c r="V18" s="902">
        <f t="shared" si="13"/>
        <v>0</v>
      </c>
      <c r="W18" s="902">
        <f t="shared" si="14"/>
        <v>0</v>
      </c>
      <c r="X18" s="465">
        <f t="shared" si="15"/>
        <v>0</v>
      </c>
      <c r="Y18" s="900">
        <f t="shared" si="16"/>
        <v>0.60947723086456018</v>
      </c>
      <c r="AA18" s="815" t="str">
        <f>IF('MASTER PubCo Inputs'!B36=0,"",'MASTER PubCo Inputs'!B36)</f>
        <v>NasdaqGM:BOLD</v>
      </c>
      <c r="AB18" s="259">
        <f>'Beta Calc'!Z19</f>
        <v>778.02337</v>
      </c>
      <c r="AC18" s="903">
        <f t="shared" si="6"/>
        <v>0</v>
      </c>
      <c r="AI18" s="811"/>
    </row>
    <row r="19" spans="2:35" ht="14.85" customHeight="1">
      <c r="B19" s="234" t="str">
        <f>'Comp.1'!B20</f>
        <v>Sangamo Therapeutics, Inc.</v>
      </c>
      <c r="D19" s="259">
        <f>'Beta Calc'!K20</f>
        <v>1193.4655700000001</v>
      </c>
      <c r="E19" s="259">
        <f>'Beta Calc'!L20</f>
        <v>0</v>
      </c>
      <c r="F19" s="259" t="str">
        <f>'Beta Calc'!M20</f>
        <v>n/a</v>
      </c>
      <c r="G19" s="259" t="str">
        <f>'Beta Calc'!N20</f>
        <v>n/a</v>
      </c>
      <c r="H19" s="259">
        <f t="shared" si="7"/>
        <v>0</v>
      </c>
      <c r="I19" s="259">
        <f t="shared" si="8"/>
        <v>1193.4655700000001</v>
      </c>
      <c r="J19" s="259">
        <f>'Beta Calc'!Q20</f>
        <v>458.57</v>
      </c>
      <c r="K19" s="259">
        <f t="shared" si="9"/>
        <v>734.89557000000013</v>
      </c>
      <c r="M19" s="390">
        <f>IFERROR('Capital IQ Sheet-GPC'!AT22,"n/a")</f>
        <v>0</v>
      </c>
      <c r="N19" s="259">
        <f t="shared" si="0"/>
        <v>1.7035945205479452</v>
      </c>
      <c r="O19" s="898">
        <f t="shared" si="0"/>
        <v>2.4500000000000001E-2</v>
      </c>
      <c r="P19" s="899"/>
      <c r="Q19" s="900">
        <f>IFERROR(HLOOKUP($Q$6,'Equity Vol'!$B$8:$K20,ROWS('Equity Vol'!$C$8:$C20),FALSE),"n/a")</f>
        <v>0.8134368682842571</v>
      </c>
      <c r="R19" s="304"/>
      <c r="S19" s="901">
        <f t="shared" si="10"/>
        <v>0.66167953868409979</v>
      </c>
      <c r="T19" s="901">
        <f t="shared" si="11"/>
        <v>0</v>
      </c>
      <c r="U19" s="902">
        <f t="shared" si="12"/>
        <v>0</v>
      </c>
      <c r="V19" s="902">
        <f t="shared" si="13"/>
        <v>0</v>
      </c>
      <c r="W19" s="902">
        <f t="shared" si="14"/>
        <v>0</v>
      </c>
      <c r="X19" s="465">
        <f t="shared" si="15"/>
        <v>0</v>
      </c>
      <c r="Y19" s="900">
        <f t="shared" si="16"/>
        <v>0.8134368682842571</v>
      </c>
      <c r="AA19" s="815" t="str">
        <f>IF('MASTER PubCo Inputs'!B37=0,"",'MASTER PubCo Inputs'!B37)</f>
        <v>NasdaqGS:SGMO</v>
      </c>
      <c r="AB19" s="259">
        <f>'Beta Calc'!Z20</f>
        <v>734.89557000000002</v>
      </c>
      <c r="AC19" s="903">
        <f t="shared" si="6"/>
        <v>0</v>
      </c>
      <c r="AI19" s="811"/>
    </row>
    <row r="20" spans="2:35" ht="14.85" customHeight="1">
      <c r="B20" s="234" t="str">
        <f>'Comp.1'!B21</f>
        <v>Homology Medicines, Inc.</v>
      </c>
      <c r="D20" s="259">
        <f>'Beta Calc'!K21</f>
        <v>756.27498000000003</v>
      </c>
      <c r="E20" s="259">
        <f>'Beta Calc'!L21</f>
        <v>0</v>
      </c>
      <c r="F20" s="259" t="str">
        <f>'Beta Calc'!M21</f>
        <v>n/a</v>
      </c>
      <c r="G20" s="259" t="str">
        <f>'Beta Calc'!N21</f>
        <v>n/a</v>
      </c>
      <c r="H20" s="259">
        <f t="shared" si="7"/>
        <v>0</v>
      </c>
      <c r="I20" s="259">
        <f t="shared" si="8"/>
        <v>756.27498000000003</v>
      </c>
      <c r="J20" s="259">
        <f>'Beta Calc'!Q21</f>
        <v>237.54401999999999</v>
      </c>
      <c r="K20" s="259">
        <f t="shared" si="9"/>
        <v>518.7309600000001</v>
      </c>
      <c r="M20" s="390">
        <f>IFERROR('Capital IQ Sheet-GPC'!AT23,"n/a")</f>
        <v>0</v>
      </c>
      <c r="N20" s="259">
        <f t="shared" si="0"/>
        <v>1.7035945205479452</v>
      </c>
      <c r="O20" s="898">
        <f t="shared" si="0"/>
        <v>2.4500000000000001E-2</v>
      </c>
      <c r="P20" s="899"/>
      <c r="Q20" s="900" t="str">
        <f>IFERROR(HLOOKUP($Q$6,'Equity Vol'!$B$8:$K21,ROWS('Equity Vol'!$C$8:$C21),FALSE),"n/a")</f>
        <v>NM</v>
      </c>
      <c r="R20" s="304"/>
      <c r="S20" s="901" t="str">
        <f t="shared" si="10"/>
        <v>n/a</v>
      </c>
      <c r="T20" s="901" t="str">
        <f t="shared" si="11"/>
        <v>n/a</v>
      </c>
      <c r="U20" s="902" t="str">
        <f t="shared" si="12"/>
        <v>n/a</v>
      </c>
      <c r="V20" s="902" t="str">
        <f t="shared" si="13"/>
        <v>n/a</v>
      </c>
      <c r="W20" s="902" t="str">
        <f t="shared" si="14"/>
        <v>n/a</v>
      </c>
      <c r="X20" s="465" t="str">
        <f t="shared" si="15"/>
        <v>n/a</v>
      </c>
      <c r="Y20" s="900" t="str">
        <f t="shared" si="16"/>
        <v>NM</v>
      </c>
      <c r="AA20" s="815" t="str">
        <f>IF('MASTER PubCo Inputs'!B38=0,"",'MASTER PubCo Inputs'!B38)</f>
        <v>NasdaqGS:FIXX</v>
      </c>
      <c r="AB20" s="259">
        <f>'Beta Calc'!Z21</f>
        <v>518.73095999999998</v>
      </c>
      <c r="AC20" s="903">
        <f t="shared" si="6"/>
        <v>0</v>
      </c>
      <c r="AI20" s="811"/>
    </row>
    <row r="21" spans="2:35" ht="14.85" customHeight="1">
      <c r="B21" s="234" t="str">
        <f>'Comp.1'!B22</f>
        <v>Corbus Pharmaceuticals Holdings, Inc.</v>
      </c>
      <c r="D21" s="259">
        <f>'Beta Calc'!K22</f>
        <v>473.53946999999999</v>
      </c>
      <c r="E21" s="259">
        <f>'Beta Calc'!L22</f>
        <v>0</v>
      </c>
      <c r="F21" s="259" t="str">
        <f>'Beta Calc'!M22</f>
        <v>n/a</v>
      </c>
      <c r="G21" s="259" t="str">
        <f>'Beta Calc'!N22</f>
        <v>n/a</v>
      </c>
      <c r="H21" s="259">
        <f t="shared" si="7"/>
        <v>0</v>
      </c>
      <c r="I21" s="259">
        <f t="shared" si="8"/>
        <v>473.53946999999999</v>
      </c>
      <c r="J21" s="259">
        <f>'Beta Calc'!Q22</f>
        <v>55.659350000000003</v>
      </c>
      <c r="K21" s="259">
        <f t="shared" si="9"/>
        <v>417.88011999999998</v>
      </c>
      <c r="M21" s="390">
        <f>IFERROR('Capital IQ Sheet-GPC'!AT24,"n/a")</f>
        <v>0</v>
      </c>
      <c r="N21" s="259">
        <f t="shared" si="0"/>
        <v>1.7035945205479452</v>
      </c>
      <c r="O21" s="898">
        <f t="shared" si="0"/>
        <v>2.4500000000000001E-2</v>
      </c>
      <c r="P21" s="899"/>
      <c r="Q21" s="900">
        <f>IFERROR(HLOOKUP($Q$6,'Equity Vol'!$B$8:$K22,ROWS('Equity Vol'!$C$8:$C22),FALSE),"n/a")</f>
        <v>0.6748916162350671</v>
      </c>
      <c r="R21" s="304"/>
      <c r="S21" s="901">
        <f t="shared" si="10"/>
        <v>0.4554786936643811</v>
      </c>
      <c r="T21" s="901">
        <f t="shared" si="11"/>
        <v>0</v>
      </c>
      <c r="U21" s="902">
        <f t="shared" si="12"/>
        <v>0</v>
      </c>
      <c r="V21" s="902">
        <f t="shared" si="13"/>
        <v>0</v>
      </c>
      <c r="W21" s="902">
        <f t="shared" si="14"/>
        <v>0</v>
      </c>
      <c r="X21" s="465">
        <f t="shared" si="15"/>
        <v>0</v>
      </c>
      <c r="Y21" s="900">
        <f t="shared" si="16"/>
        <v>0.6748916162350671</v>
      </c>
      <c r="AA21" s="815" t="str">
        <f>IF('MASTER PubCo Inputs'!B39=0,"",'MASTER PubCo Inputs'!B39)</f>
        <v>NasdaqGM:CRBP</v>
      </c>
      <c r="AB21" s="259">
        <f>'Beta Calc'!Z22</f>
        <v>417.88011999999998</v>
      </c>
      <c r="AC21" s="903">
        <f t="shared" si="6"/>
        <v>0</v>
      </c>
      <c r="AI21" s="811"/>
    </row>
    <row r="22" spans="2:35" ht="14.85" customHeight="1">
      <c r="B22" s="234" t="str">
        <f>'Comp.1'!B23</f>
        <v>GlycoMimetics, Inc.</v>
      </c>
      <c r="D22" s="259">
        <f>'Beta Calc'!K23</f>
        <v>483.13693999999998</v>
      </c>
      <c r="E22" s="259">
        <f>'Beta Calc'!L23</f>
        <v>0</v>
      </c>
      <c r="F22" s="259" t="str">
        <f>'Beta Calc'!M23</f>
        <v>n/a</v>
      </c>
      <c r="G22" s="259" t="str">
        <f>'Beta Calc'!N23</f>
        <v>n/a</v>
      </c>
      <c r="H22" s="259">
        <f t="shared" si="7"/>
        <v>0</v>
      </c>
      <c r="I22" s="259">
        <f t="shared" si="8"/>
        <v>483.13693999999998</v>
      </c>
      <c r="J22" s="259">
        <f>'Beta Calc'!Q23</f>
        <v>219.82863</v>
      </c>
      <c r="K22" s="259">
        <f t="shared" si="9"/>
        <v>263.30831000000001</v>
      </c>
      <c r="M22" s="390">
        <f>IFERROR('Capital IQ Sheet-GPC'!AT25,"n/a")</f>
        <v>0</v>
      </c>
      <c r="N22" s="259">
        <f t="shared" si="0"/>
        <v>1.7035945205479452</v>
      </c>
      <c r="O22" s="898">
        <f t="shared" si="0"/>
        <v>2.4500000000000001E-2</v>
      </c>
      <c r="P22" s="899"/>
      <c r="Q22" s="900">
        <f>IFERROR(HLOOKUP($Q$6,'Equity Vol'!$B$8:$K23,ROWS('Equity Vol'!$C$8:$C23),FALSE),"n/a")</f>
        <v>0.81863428009693251</v>
      </c>
      <c r="R22" s="304"/>
      <c r="S22" s="901">
        <f t="shared" si="10"/>
        <v>0.67016208454982296</v>
      </c>
      <c r="T22" s="901">
        <f t="shared" si="11"/>
        <v>0</v>
      </c>
      <c r="U22" s="902">
        <f t="shared" si="12"/>
        <v>0</v>
      </c>
      <c r="V22" s="902">
        <f t="shared" si="13"/>
        <v>0</v>
      </c>
      <c r="W22" s="902">
        <f t="shared" si="14"/>
        <v>0</v>
      </c>
      <c r="X22" s="465">
        <f t="shared" si="15"/>
        <v>0</v>
      </c>
      <c r="Y22" s="900">
        <f t="shared" si="16"/>
        <v>0.81863428009693251</v>
      </c>
      <c r="AA22" s="815" t="str">
        <f>IF('MASTER PubCo Inputs'!B40=0,"",'MASTER PubCo Inputs'!B40)</f>
        <v>NasdaqGM:GLYC</v>
      </c>
      <c r="AB22" s="259">
        <f>'Beta Calc'!Z23</f>
        <v>263.30831000000001</v>
      </c>
      <c r="AC22" s="903">
        <f t="shared" si="6"/>
        <v>0</v>
      </c>
      <c r="AI22" s="811"/>
    </row>
    <row r="23" spans="2:35" ht="14.85" customHeight="1">
      <c r="B23" s="234" t="str">
        <f>'Comp.1'!B24</f>
        <v>LogicBio Therapeutics, Inc.</v>
      </c>
      <c r="D23" s="259">
        <f>'Beta Calc'!K24</f>
        <v>196.03698</v>
      </c>
      <c r="E23" s="259">
        <f>'Beta Calc'!L24</f>
        <v>0</v>
      </c>
      <c r="F23" s="259">
        <f>'Beta Calc'!M24</f>
        <v>33.061999999999998</v>
      </c>
      <c r="G23" s="259" t="str">
        <f>'Beta Calc'!N24</f>
        <v>n/a</v>
      </c>
      <c r="H23" s="259">
        <f t="shared" si="7"/>
        <v>33.061999999999998</v>
      </c>
      <c r="I23" s="259">
        <f t="shared" si="8"/>
        <v>229.09897999999998</v>
      </c>
      <c r="J23" s="259">
        <f>'Beta Calc'!Q24</f>
        <v>12.877000000000001</v>
      </c>
      <c r="K23" s="259">
        <f t="shared" si="9"/>
        <v>216.22197999999997</v>
      </c>
      <c r="M23" s="390">
        <f>IFERROR('Capital IQ Sheet-GPC'!AT26,"n/a")</f>
        <v>0</v>
      </c>
      <c r="N23" s="259">
        <f t="shared" si="0"/>
        <v>1.7035945205479452</v>
      </c>
      <c r="O23" s="898">
        <f t="shared" si="0"/>
        <v>2.4500000000000001E-2</v>
      </c>
      <c r="P23" s="899"/>
      <c r="Q23" s="900" t="str">
        <f>IFERROR(HLOOKUP($Q$6,'Equity Vol'!$B$8:$K24,ROWS('Equity Vol'!$C$8:$C24),FALSE),"n/a")</f>
        <v>NM</v>
      </c>
      <c r="R23" s="304"/>
      <c r="S23" s="901" t="str">
        <f t="shared" si="10"/>
        <v>n/a</v>
      </c>
      <c r="T23" s="901" t="str">
        <f t="shared" si="11"/>
        <v>n/a</v>
      </c>
      <c r="U23" s="902" t="str">
        <f t="shared" si="12"/>
        <v>n/a</v>
      </c>
      <c r="V23" s="902" t="str">
        <f t="shared" si="13"/>
        <v>n/a</v>
      </c>
      <c r="W23" s="902" t="str">
        <f t="shared" si="14"/>
        <v>n/a</v>
      </c>
      <c r="X23" s="465" t="str">
        <f t="shared" si="15"/>
        <v>n/a</v>
      </c>
      <c r="Y23" s="900" t="str">
        <f t="shared" si="16"/>
        <v>n/a</v>
      </c>
      <c r="AA23" s="815" t="str">
        <f>IF('MASTER PubCo Inputs'!B41=0,"",'MASTER PubCo Inputs'!B41)</f>
        <v>NasdaqGM:LOGC</v>
      </c>
      <c r="AB23" s="259">
        <f>'Beta Calc'!Z24</f>
        <v>216.22198</v>
      </c>
      <c r="AC23" s="903">
        <f t="shared" si="6"/>
        <v>0</v>
      </c>
      <c r="AI23" s="811"/>
    </row>
    <row r="24" spans="2:35" ht="14.85" customHeight="1">
      <c r="B24" s="234" t="str">
        <f>'Comp.1'!B25</f>
        <v>Arbutus Biopharma Corporation</v>
      </c>
      <c r="D24" s="259">
        <f>'Beta Calc'!K25</f>
        <v>204.79499999999999</v>
      </c>
      <c r="E24" s="259">
        <f>'Beta Calc'!L25</f>
        <v>0</v>
      </c>
      <c r="F24" s="259">
        <f>'Beta Calc'!M25</f>
        <v>123.489</v>
      </c>
      <c r="G24" s="259" t="str">
        <f>'Beta Calc'!N25</f>
        <v>n/a</v>
      </c>
      <c r="H24" s="259">
        <f t="shared" si="7"/>
        <v>123.489</v>
      </c>
      <c r="I24" s="259">
        <f t="shared" si="8"/>
        <v>328.28399999999999</v>
      </c>
      <c r="J24" s="259">
        <f>'Beta Calc'!Q25</f>
        <v>142.018</v>
      </c>
      <c r="K24" s="259">
        <f t="shared" si="9"/>
        <v>186.26599999999999</v>
      </c>
      <c r="M24" s="390">
        <f>IFERROR('Capital IQ Sheet-GPC'!AT27,"n/a")</f>
        <v>0</v>
      </c>
      <c r="N24" s="259">
        <f t="shared" si="0"/>
        <v>1.7035945205479452</v>
      </c>
      <c r="O24" s="898">
        <f t="shared" si="0"/>
        <v>2.4500000000000001E-2</v>
      </c>
      <c r="P24" s="899"/>
      <c r="Q24" s="900">
        <f>IFERROR(HLOOKUP($Q$6,'Equity Vol'!$B$8:$K25,ROWS('Equity Vol'!$C$8:$C25),FALSE),"n/a")</f>
        <v>0.78028811938036324</v>
      </c>
      <c r="R24" s="304"/>
      <c r="S24" s="901">
        <f t="shared" si="10"/>
        <v>0.60884954924614398</v>
      </c>
      <c r="T24" s="901">
        <f t="shared" si="11"/>
        <v>0.95378437880000499</v>
      </c>
      <c r="U24" s="902">
        <f t="shared" si="12"/>
        <v>-6.4661867171679765E-2</v>
      </c>
      <c r="V24" s="902">
        <f t="shared" si="13"/>
        <v>0.8299036008858558</v>
      </c>
      <c r="W24" s="902">
        <f t="shared" si="14"/>
        <v>0.47422161242054084</v>
      </c>
      <c r="X24" s="465">
        <f t="shared" si="15"/>
        <v>98.415594292335726</v>
      </c>
      <c r="Y24" s="900">
        <f t="shared" si="16"/>
        <v>0.49677264873334659</v>
      </c>
      <c r="AA24" s="815" t="str">
        <f>IF('MASTER PubCo Inputs'!B42=0,"",'MASTER PubCo Inputs'!B42)</f>
        <v>NasdaqGS:ABUS</v>
      </c>
      <c r="AB24" s="259">
        <f>'Beta Calc'!Z25</f>
        <v>186.26599999999999</v>
      </c>
      <c r="AC24" s="903">
        <f t="shared" si="6"/>
        <v>0</v>
      </c>
      <c r="AI24" s="811"/>
    </row>
    <row r="25" spans="2:35" ht="14.85" customHeight="1">
      <c r="B25" s="234" t="str">
        <f>'Comp.1'!B26</f>
        <v>Voyager Therapeutics, Inc.</v>
      </c>
      <c r="D25" s="259">
        <f>'Beta Calc'!K26</f>
        <v>341.52161000000001</v>
      </c>
      <c r="E25" s="259">
        <f>'Beta Calc'!L26</f>
        <v>0</v>
      </c>
      <c r="F25" s="259" t="str">
        <f>'Beta Calc'!M26</f>
        <v>n/a</v>
      </c>
      <c r="G25" s="259" t="str">
        <f>'Beta Calc'!N26</f>
        <v>n/a</v>
      </c>
      <c r="H25" s="259">
        <f t="shared" si="7"/>
        <v>0</v>
      </c>
      <c r="I25" s="259">
        <f t="shared" si="8"/>
        <v>341.52161000000001</v>
      </c>
      <c r="J25" s="259">
        <f>'Beta Calc'!Q26</f>
        <v>179.601</v>
      </c>
      <c r="K25" s="259">
        <f t="shared" si="9"/>
        <v>161.92061000000001</v>
      </c>
      <c r="M25" s="390">
        <f>IFERROR('Capital IQ Sheet-GPC'!AT28,"n/a")</f>
        <v>0</v>
      </c>
      <c r="N25" s="259">
        <f t="shared" si="0"/>
        <v>1.7035945205479452</v>
      </c>
      <c r="O25" s="898">
        <f t="shared" si="0"/>
        <v>2.4500000000000001E-2</v>
      </c>
      <c r="P25" s="899"/>
      <c r="Q25" s="900">
        <f>IFERROR(HLOOKUP($Q$6,'Equity Vol'!$B$8:$K26,ROWS('Equity Vol'!$C$8:$C26),FALSE),"n/a")</f>
        <v>0.75170905184037895</v>
      </c>
      <c r="R25" s="304"/>
      <c r="S25" s="901">
        <f t="shared" si="10"/>
        <v>0.56506649861876157</v>
      </c>
      <c r="T25" s="901">
        <f t="shared" si="11"/>
        <v>0</v>
      </c>
      <c r="U25" s="902">
        <f t="shared" si="12"/>
        <v>0</v>
      </c>
      <c r="V25" s="902">
        <f t="shared" si="13"/>
        <v>0</v>
      </c>
      <c r="W25" s="902">
        <f t="shared" si="14"/>
        <v>0</v>
      </c>
      <c r="X25" s="465">
        <f t="shared" si="15"/>
        <v>0</v>
      </c>
      <c r="Y25" s="900">
        <f t="shared" si="16"/>
        <v>0.75170905184037895</v>
      </c>
      <c r="AA25" s="815" t="str">
        <f>IF('MASTER PubCo Inputs'!B43=0,"",'MASTER PubCo Inputs'!B43)</f>
        <v>NasdaqGS:VYGR</v>
      </c>
      <c r="AB25" s="259">
        <f>'Beta Calc'!Z26</f>
        <v>161.92061000000001</v>
      </c>
      <c r="AC25" s="903">
        <f t="shared" si="6"/>
        <v>0</v>
      </c>
      <c r="AI25" s="811"/>
    </row>
    <row r="26" spans="2:35" ht="14.85" customHeight="1">
      <c r="B26" s="234" t="str">
        <f>'Comp.1'!B27</f>
        <v>La Jolla Pharmaceutical Company</v>
      </c>
      <c r="D26" s="259">
        <f>'Beta Calc'!K27</f>
        <v>158.45113000000001</v>
      </c>
      <c r="E26" s="259">
        <f>'Beta Calc'!L27</f>
        <v>124.324</v>
      </c>
      <c r="F26" s="259">
        <f>'Beta Calc'!M27</f>
        <v>6.6429999999999998</v>
      </c>
      <c r="G26" s="259" t="str">
        <f>'Beta Calc'!N27</f>
        <v>n/a</v>
      </c>
      <c r="H26" s="259">
        <f t="shared" si="7"/>
        <v>130.96699999999998</v>
      </c>
      <c r="I26" s="259">
        <f t="shared" si="8"/>
        <v>289.41812999999996</v>
      </c>
      <c r="J26" s="259">
        <f>'Beta Calc'!Q27</f>
        <v>204.33699999999999</v>
      </c>
      <c r="K26" s="259">
        <f t="shared" si="9"/>
        <v>85.081129999999973</v>
      </c>
      <c r="M26" s="390">
        <f>IFERROR('Capital IQ Sheet-GPC'!AT29,"n/a")</f>
        <v>0</v>
      </c>
      <c r="N26" s="259">
        <f t="shared" si="0"/>
        <v>1.7035945205479452</v>
      </c>
      <c r="O26" s="898">
        <f t="shared" si="0"/>
        <v>2.4500000000000001E-2</v>
      </c>
      <c r="P26" s="899"/>
      <c r="Q26" s="900">
        <f>IFERROR(HLOOKUP($Q$6,'Equity Vol'!$B$8:$K27,ROWS('Equity Vol'!$C$8:$C27),FALSE),"n/a")</f>
        <v>0.89691591389580794</v>
      </c>
      <c r="R26" s="304"/>
      <c r="S26" s="901">
        <f t="shared" si="10"/>
        <v>0.80445815659955233</v>
      </c>
      <c r="T26" s="901">
        <f t="shared" si="11"/>
        <v>0.25253313463425453</v>
      </c>
      <c r="U26" s="902">
        <f t="shared" si="12"/>
        <v>-0.91813783006637317</v>
      </c>
      <c r="V26" s="902">
        <f t="shared" si="13"/>
        <v>0.59968549695489948</v>
      </c>
      <c r="W26" s="902">
        <f t="shared" si="14"/>
        <v>0.1792733558511467</v>
      </c>
      <c r="X26" s="465">
        <f t="shared" si="15"/>
        <v>28.502820424422232</v>
      </c>
      <c r="Y26" s="900">
        <f t="shared" si="16"/>
        <v>0.50105196682328501</v>
      </c>
      <c r="AA26" s="815" t="str">
        <f>IF('MASTER PubCo Inputs'!B44=0,"",'MASTER PubCo Inputs'!B44)</f>
        <v>NasdaqCM:LJPC</v>
      </c>
      <c r="AB26" s="259">
        <f>'Beta Calc'!Z27</f>
        <v>85.081130000000002</v>
      </c>
      <c r="AC26" s="903">
        <f t="shared" si="6"/>
        <v>0</v>
      </c>
      <c r="AI26" s="811"/>
    </row>
    <row r="27" spans="2:35" ht="14.85" customHeight="1">
      <c r="B27" s="234" t="str">
        <f>'Comp.1'!B28</f>
        <v>Protagonist Therapeutics, Inc.</v>
      </c>
      <c r="D27" s="259">
        <f>'Beta Calc'!K28</f>
        <v>197.11606</v>
      </c>
      <c r="E27" s="259">
        <f>'Beta Calc'!L28</f>
        <v>0</v>
      </c>
      <c r="F27" s="259" t="str">
        <f>'Beta Calc'!M28</f>
        <v>n/a</v>
      </c>
      <c r="G27" s="259" t="str">
        <f>'Beta Calc'!N28</f>
        <v>n/a</v>
      </c>
      <c r="H27" s="259">
        <f t="shared" si="7"/>
        <v>0</v>
      </c>
      <c r="I27" s="259">
        <f t="shared" si="8"/>
        <v>197.11606</v>
      </c>
      <c r="J27" s="259">
        <f>'Beta Calc'!Q28</f>
        <v>138.517</v>
      </c>
      <c r="K27" s="259">
        <f t="shared" si="9"/>
        <v>58.599060000000009</v>
      </c>
      <c r="M27" s="390">
        <f>IFERROR('Capital IQ Sheet-GPC'!AT30,"n/a")</f>
        <v>0</v>
      </c>
      <c r="N27" s="259">
        <f t="shared" si="0"/>
        <v>1.7035945205479452</v>
      </c>
      <c r="O27" s="898">
        <f t="shared" si="0"/>
        <v>2.4500000000000001E-2</v>
      </c>
      <c r="P27" s="899"/>
      <c r="Q27" s="900">
        <f>IFERROR(HLOOKUP($Q$6,'Equity Vol'!$B$8:$K28,ROWS('Equity Vol'!$C$8:$C28),FALSE),"n/a")</f>
        <v>0.9785041500826186</v>
      </c>
      <c r="R27" s="304"/>
      <c r="S27" s="901">
        <f t="shared" si="10"/>
        <v>0.95747037172890781</v>
      </c>
      <c r="T27" s="901">
        <f t="shared" si="11"/>
        <v>0</v>
      </c>
      <c r="U27" s="902">
        <f t="shared" si="12"/>
        <v>0</v>
      </c>
      <c r="V27" s="902">
        <f t="shared" si="13"/>
        <v>0</v>
      </c>
      <c r="W27" s="902">
        <f t="shared" si="14"/>
        <v>0</v>
      </c>
      <c r="X27" s="465">
        <f t="shared" si="15"/>
        <v>0</v>
      </c>
      <c r="Y27" s="900">
        <f t="shared" si="16"/>
        <v>0.9785041500826186</v>
      </c>
      <c r="AA27" s="815" t="str">
        <f>IF('MASTER PubCo Inputs'!B45=0,"",'MASTER PubCo Inputs'!B45)</f>
        <v>NasdaqGM:PTGX</v>
      </c>
      <c r="AB27" s="259">
        <f>'Beta Calc'!Z28</f>
        <v>58.599049999999998</v>
      </c>
      <c r="AC27" s="903">
        <f t="shared" si="6"/>
        <v>1.0000000010279564E-5</v>
      </c>
      <c r="AI27" s="811"/>
    </row>
    <row r="28" spans="2:35" ht="14.85" customHeight="1">
      <c r="B28" s="234" t="str">
        <f>'Comp.1'!B29</f>
        <v>Fibrocell Science, Inc.</v>
      </c>
      <c r="D28" s="259">
        <f>'Beta Calc'!K29</f>
        <v>19.22391</v>
      </c>
      <c r="E28" s="259">
        <f>'Beta Calc'!L29</f>
        <v>0</v>
      </c>
      <c r="F28" s="259">
        <f>'Beta Calc'!M29</f>
        <v>7.6230000000000002</v>
      </c>
      <c r="G28" s="259" t="str">
        <f>'Beta Calc'!N29</f>
        <v>n/a</v>
      </c>
      <c r="H28" s="259">
        <f t="shared" si="7"/>
        <v>7.6230000000000002</v>
      </c>
      <c r="I28" s="259">
        <f t="shared" si="8"/>
        <v>26.846910000000001</v>
      </c>
      <c r="J28" s="259">
        <f>'Beta Calc'!Q29</f>
        <v>16.111000000000001</v>
      </c>
      <c r="K28" s="259">
        <f t="shared" si="9"/>
        <v>10.735910000000001</v>
      </c>
      <c r="M28" s="390">
        <f>IFERROR('Capital IQ Sheet-GPC'!AT31,"n/a")</f>
        <v>0</v>
      </c>
      <c r="N28" s="259">
        <f t="shared" si="0"/>
        <v>1.7035945205479452</v>
      </c>
      <c r="O28" s="898">
        <f t="shared" si="0"/>
        <v>2.4500000000000001E-2</v>
      </c>
      <c r="P28" s="899"/>
      <c r="Q28" s="900">
        <f>IFERROR(HLOOKUP($Q$6,'Equity Vol'!$B$8:$K29,ROWS('Equity Vol'!$C$8:$C29),FALSE),"n/a")</f>
        <v>0.88336531692825482</v>
      </c>
      <c r="R28" s="304"/>
      <c r="S28" s="901">
        <f t="shared" si="10"/>
        <v>0.78033428315175613</v>
      </c>
      <c r="T28" s="901">
        <f t="shared" si="11"/>
        <v>0.9096816942972743</v>
      </c>
      <c r="U28" s="902">
        <f t="shared" si="12"/>
        <v>-0.24330278477130385</v>
      </c>
      <c r="V28" s="902">
        <f t="shared" si="13"/>
        <v>0.81850479954490174</v>
      </c>
      <c r="W28" s="902">
        <f t="shared" si="14"/>
        <v>0.40388542363340868</v>
      </c>
      <c r="X28" s="465">
        <f t="shared" si="15"/>
        <v>5.8344343821518851</v>
      </c>
      <c r="Y28" s="900">
        <f t="shared" si="16"/>
        <v>0.58651484817262012</v>
      </c>
      <c r="AA28" s="815" t="str">
        <f>IF('MASTER PubCo Inputs'!B46=0,"",'MASTER PubCo Inputs'!B46)</f>
        <v>NasdaqCM:FCSC</v>
      </c>
      <c r="AB28" s="259">
        <f>'Beta Calc'!Z29</f>
        <v>10.735910000000001</v>
      </c>
      <c r="AC28" s="903">
        <f t="shared" si="6"/>
        <v>0</v>
      </c>
      <c r="AI28" s="811"/>
    </row>
    <row r="29" spans="2:35" ht="14.85" customHeight="1">
      <c r="D29" s="259"/>
      <c r="E29" s="259"/>
      <c r="F29" s="259"/>
      <c r="G29" s="259"/>
      <c r="H29" s="259"/>
      <c r="I29" s="259"/>
      <c r="J29" s="259"/>
      <c r="K29" s="259"/>
      <c r="M29" s="390"/>
      <c r="N29" s="259"/>
      <c r="O29" s="898"/>
      <c r="P29" s="899"/>
      <c r="Q29" s="900"/>
      <c r="R29" s="304"/>
      <c r="S29" s="901"/>
      <c r="T29" s="901"/>
      <c r="U29" s="902"/>
      <c r="V29" s="902"/>
      <c r="W29" s="902"/>
      <c r="X29" s="465"/>
      <c r="Y29" s="900"/>
      <c r="AA29" s="815" t="str">
        <f>IF('MASTER PubCo Inputs'!B47=0,"",'MASTER PubCo Inputs'!B47)</f>
        <v>(Invalid Identifier)</v>
      </c>
      <c r="AB29" s="259">
        <f>'Beta Calc'!Z30</f>
        <v>0</v>
      </c>
      <c r="AC29" s="903">
        <f t="shared" si="6"/>
        <v>0</v>
      </c>
      <c r="AI29" s="811"/>
    </row>
    <row r="30" spans="2:35" ht="14.85" customHeight="1">
      <c r="B30" s="234" t="str">
        <f>'Comp.1'!B31</f>
        <v>CRISPR/Cas9</v>
      </c>
      <c r="D30" s="259"/>
      <c r="E30" s="259"/>
      <c r="F30" s="259"/>
      <c r="G30" s="259"/>
      <c r="H30" s="259"/>
      <c r="I30" s="259"/>
      <c r="J30" s="259"/>
      <c r="K30" s="259"/>
      <c r="M30" s="390"/>
      <c r="N30" s="259"/>
      <c r="O30" s="898"/>
      <c r="P30" s="899"/>
      <c r="Q30" s="900"/>
      <c r="R30" s="304"/>
      <c r="S30" s="901"/>
      <c r="T30" s="901"/>
      <c r="U30" s="902"/>
      <c r="V30" s="902"/>
      <c r="W30" s="902"/>
      <c r="X30" s="465"/>
      <c r="Y30" s="900"/>
      <c r="AA30" s="815" t="str">
        <f>IF('MASTER PubCo Inputs'!B48=0,"",'MASTER PubCo Inputs'!B48)</f>
        <v>NasdaqGM:CRSP</v>
      </c>
      <c r="AB30" s="259">
        <f>'Beta Calc'!Z31</f>
        <v>0</v>
      </c>
      <c r="AC30" s="903">
        <f t="shared" si="6"/>
        <v>0</v>
      </c>
      <c r="AI30" s="811"/>
    </row>
    <row r="31" spans="2:35" ht="14.85" customHeight="1">
      <c r="B31" s="234" t="str">
        <f>'Comp.1'!B32</f>
        <v>CRISPR Therapeutics AG</v>
      </c>
      <c r="D31" s="259">
        <f>'Beta Calc'!K32</f>
        <v>1679.8645300000001</v>
      </c>
      <c r="E31" s="259">
        <f>'Beta Calc'!L32</f>
        <v>0</v>
      </c>
      <c r="F31" s="259" t="str">
        <f>'Beta Calc'!M32</f>
        <v>n/a</v>
      </c>
      <c r="G31" s="259" t="str">
        <f>'Beta Calc'!N32</f>
        <v>n/a</v>
      </c>
      <c r="H31" s="259">
        <f t="shared" si="7"/>
        <v>0</v>
      </c>
      <c r="I31" s="259">
        <f t="shared" si="8"/>
        <v>1679.8645300000001</v>
      </c>
      <c r="J31" s="259">
        <f>'Beta Calc'!Q32</f>
        <v>487.29500000000002</v>
      </c>
      <c r="K31" s="259">
        <f t="shared" si="9"/>
        <v>1192.56953</v>
      </c>
      <c r="M31" s="390">
        <f>IFERROR('Capital IQ Sheet-GPC'!AT33,"n/a")</f>
        <v>0</v>
      </c>
      <c r="N31" s="259">
        <f t="shared" si="0"/>
        <v>1.7035945205479452</v>
      </c>
      <c r="O31" s="898">
        <f t="shared" si="0"/>
        <v>2.4500000000000001E-2</v>
      </c>
      <c r="P31" s="899"/>
      <c r="Q31" s="900">
        <f>IFERROR(HLOOKUP($Q$6,'Equity Vol'!$B$8:$K32,ROWS('Equity Vol'!$C$8:$C32),FALSE),"n/a")</f>
        <v>0.69448805510556844</v>
      </c>
      <c r="R31" s="304"/>
      <c r="S31" s="901">
        <f t="shared" si="10"/>
        <v>0.48231365868431508</v>
      </c>
      <c r="T31" s="901">
        <f t="shared" si="11"/>
        <v>0</v>
      </c>
      <c r="U31" s="902">
        <f t="shared" si="12"/>
        <v>0</v>
      </c>
      <c r="V31" s="902">
        <f t="shared" si="13"/>
        <v>0</v>
      </c>
      <c r="W31" s="902">
        <f t="shared" si="14"/>
        <v>0</v>
      </c>
      <c r="X31" s="465">
        <f t="shared" si="15"/>
        <v>0</v>
      </c>
      <c r="Y31" s="900">
        <f t="shared" si="16"/>
        <v>0.69448805510556844</v>
      </c>
      <c r="AA31" s="815" t="str">
        <f>IF('MASTER PubCo Inputs'!B49=0,"",'MASTER PubCo Inputs'!B49)</f>
        <v>NasdaqGS:EDIT</v>
      </c>
      <c r="AB31" s="259">
        <f>'Beta Calc'!Z32</f>
        <v>1192.56953</v>
      </c>
      <c r="AC31" s="903">
        <f t="shared" si="6"/>
        <v>0</v>
      </c>
      <c r="AI31" s="811"/>
    </row>
    <row r="32" spans="2:35" ht="14.85" customHeight="1">
      <c r="B32" s="234" t="str">
        <f>'Comp.1'!B33</f>
        <v>Editas Medicine, Inc.</v>
      </c>
      <c r="D32" s="259">
        <f>'Beta Calc'!K33</f>
        <v>1032.0795800000001</v>
      </c>
      <c r="E32" s="259">
        <f>'Beta Calc'!L33</f>
        <v>32.694000000000003</v>
      </c>
      <c r="F32" s="259" t="str">
        <f>'Beta Calc'!M33</f>
        <v>n/a</v>
      </c>
      <c r="G32" s="259" t="str">
        <f>'Beta Calc'!N33</f>
        <v>n/a</v>
      </c>
      <c r="H32" s="259">
        <f t="shared" si="7"/>
        <v>32.694000000000003</v>
      </c>
      <c r="I32" s="259">
        <f t="shared" si="8"/>
        <v>1064.77358</v>
      </c>
      <c r="J32" s="259">
        <f>'Beta Calc'!Q33</f>
        <v>337.49200000000002</v>
      </c>
      <c r="K32" s="259">
        <f t="shared" si="9"/>
        <v>727.28158000000008</v>
      </c>
      <c r="M32" s="390">
        <f>IFERROR('Capital IQ Sheet-GPC'!AT34,"n/a")</f>
        <v>0</v>
      </c>
      <c r="N32" s="259">
        <f t="shared" si="0"/>
        <v>1.7035945205479452</v>
      </c>
      <c r="O32" s="898">
        <f t="shared" si="0"/>
        <v>2.4500000000000001E-2</v>
      </c>
      <c r="P32" s="899"/>
      <c r="Q32" s="900">
        <f>IFERROR(HLOOKUP($Q$6,'Equity Vol'!$B$8:$K33,ROWS('Equity Vol'!$C$8:$C33),FALSE),"n/a")</f>
        <v>0.71472719223896919</v>
      </c>
      <c r="R32" s="304"/>
      <c r="S32" s="901">
        <f t="shared" si="10"/>
        <v>0.51083495932580036</v>
      </c>
      <c r="T32" s="901">
        <f t="shared" si="11"/>
        <v>3.8365143167643594</v>
      </c>
      <c r="U32" s="902">
        <f t="shared" si="12"/>
        <v>2.9036393853765734</v>
      </c>
      <c r="V32" s="902">
        <f t="shared" si="13"/>
        <v>0.99993760353786254</v>
      </c>
      <c r="W32" s="902">
        <f t="shared" si="14"/>
        <v>0.99815573629178278</v>
      </c>
      <c r="X32" s="465">
        <f t="shared" si="15"/>
        <v>695.93653056989922</v>
      </c>
      <c r="Y32" s="900">
        <f t="shared" si="16"/>
        <v>0.68396590039425731</v>
      </c>
      <c r="AA32" s="815" t="str">
        <f>IF('MASTER PubCo Inputs'!B50=0,"",'MASTER PubCo Inputs'!B50)</f>
        <v>NasdaqGM:NTLA</v>
      </c>
      <c r="AB32" s="259">
        <f>'Beta Calc'!Z33</f>
        <v>727.28157999999996</v>
      </c>
      <c r="AC32" s="903">
        <f t="shared" si="6"/>
        <v>0</v>
      </c>
      <c r="AI32" s="811"/>
    </row>
    <row r="33" spans="1:35" ht="14.85" customHeight="1">
      <c r="B33" s="234" t="str">
        <f>'Comp.1'!B34</f>
        <v>Intellia Therapeutics, Inc.</v>
      </c>
      <c r="D33" s="259">
        <f>'Beta Calc'!K34</f>
        <v>613.94893999999999</v>
      </c>
      <c r="E33" s="259">
        <f>'Beta Calc'!L34</f>
        <v>0</v>
      </c>
      <c r="F33" s="259" t="str">
        <f>'Beta Calc'!M34</f>
        <v>n/a</v>
      </c>
      <c r="G33" s="259" t="str">
        <f>'Beta Calc'!N34</f>
        <v>n/a</v>
      </c>
      <c r="H33" s="259">
        <f t="shared" si="7"/>
        <v>0</v>
      </c>
      <c r="I33" s="259">
        <f t="shared" si="8"/>
        <v>613.94893999999999</v>
      </c>
      <c r="J33" s="259">
        <f>'Beta Calc'!Q34</f>
        <v>293.24799999999999</v>
      </c>
      <c r="K33" s="259">
        <f t="shared" si="9"/>
        <v>320.70094</v>
      </c>
      <c r="M33" s="390">
        <f>IFERROR('Capital IQ Sheet-GPC'!AT35,"n/a")</f>
        <v>0</v>
      </c>
      <c r="N33" s="259">
        <f t="shared" si="0"/>
        <v>1.7035945205479452</v>
      </c>
      <c r="O33" s="898">
        <f t="shared" si="0"/>
        <v>2.4500000000000001E-2</v>
      </c>
      <c r="P33" s="899"/>
      <c r="Q33" s="900">
        <f>IFERROR(HLOOKUP($Q$6,'Equity Vol'!$B$8:$K34,ROWS('Equity Vol'!$C$8:$C34),FALSE),"n/a")</f>
        <v>0.74114018699687567</v>
      </c>
      <c r="R33" s="304"/>
      <c r="S33" s="901">
        <f t="shared" si="10"/>
        <v>0.5492887767817638</v>
      </c>
      <c r="T33" s="901">
        <f t="shared" si="11"/>
        <v>0</v>
      </c>
      <c r="U33" s="902">
        <f t="shared" si="12"/>
        <v>0</v>
      </c>
      <c r="V33" s="902">
        <f t="shared" si="13"/>
        <v>0</v>
      </c>
      <c r="W33" s="902">
        <f t="shared" si="14"/>
        <v>0</v>
      </c>
      <c r="X33" s="465">
        <f t="shared" si="15"/>
        <v>0</v>
      </c>
      <c r="Y33" s="900">
        <f t="shared" si="16"/>
        <v>0.74114018699687567</v>
      </c>
      <c r="AA33" s="815" t="str">
        <f>IF('MASTER PubCo Inputs'!B51=0,"",'MASTER PubCo Inputs'!B51)</f>
        <v>NasdaqCM:ABEO</v>
      </c>
      <c r="AB33" s="259">
        <f>'Beta Calc'!Z34</f>
        <v>320.70094</v>
      </c>
      <c r="AC33" s="903">
        <f t="shared" si="6"/>
        <v>0</v>
      </c>
      <c r="AI33" s="811"/>
    </row>
    <row r="34" spans="1:35" ht="14.85" customHeight="1">
      <c r="B34" s="234" t="str">
        <f>'Comp.1'!B35</f>
        <v>Abeona Therapeutics Inc.</v>
      </c>
      <c r="D34" s="259">
        <f>'Beta Calc'!K35</f>
        <v>325.54306000000003</v>
      </c>
      <c r="E34" s="259">
        <f>'Beta Calc'!L35</f>
        <v>0</v>
      </c>
      <c r="F34" s="259" t="str">
        <f>'Beta Calc'!M35</f>
        <v>n/a</v>
      </c>
      <c r="G34" s="259" t="str">
        <f>'Beta Calc'!N35</f>
        <v>n/a</v>
      </c>
      <c r="H34" s="259">
        <f t="shared" si="7"/>
        <v>0</v>
      </c>
      <c r="I34" s="259">
        <f t="shared" si="8"/>
        <v>325.54306000000003</v>
      </c>
      <c r="J34" s="259">
        <f>'Beta Calc'!Q35</f>
        <v>112.224</v>
      </c>
      <c r="K34" s="259">
        <f t="shared" si="9"/>
        <v>213.31906000000004</v>
      </c>
      <c r="M34" s="390">
        <f>IFERROR('Capital IQ Sheet-GPC'!AT36,"n/a")</f>
        <v>0</v>
      </c>
      <c r="N34" s="259">
        <f t="shared" si="0"/>
        <v>1.7035945205479452</v>
      </c>
      <c r="O34" s="898">
        <f t="shared" si="0"/>
        <v>2.4500000000000001E-2</v>
      </c>
      <c r="P34" s="899"/>
      <c r="Q34" s="900">
        <f>IFERROR(HLOOKUP($Q$6,'Equity Vol'!$B$8:$K35,ROWS('Equity Vol'!$C$8:$C35),FALSE),"n/a")</f>
        <v>0.77912879298972271</v>
      </c>
      <c r="R34" s="304"/>
      <c r="S34" s="901">
        <f t="shared" si="10"/>
        <v>0.6070416760656222</v>
      </c>
      <c r="T34" s="901">
        <f t="shared" si="11"/>
        <v>0</v>
      </c>
      <c r="U34" s="902">
        <f t="shared" si="12"/>
        <v>0</v>
      </c>
      <c r="V34" s="902">
        <f t="shared" si="13"/>
        <v>0</v>
      </c>
      <c r="W34" s="902">
        <f t="shared" si="14"/>
        <v>0</v>
      </c>
      <c r="X34" s="465">
        <f t="shared" si="15"/>
        <v>0</v>
      </c>
      <c r="Y34" s="900">
        <f t="shared" si="16"/>
        <v>0.77912879298972271</v>
      </c>
      <c r="AA34" s="815" t="str">
        <f>IF('MASTER PubCo Inputs'!B52=0,"",'MASTER PubCo Inputs'!B52)</f>
        <v/>
      </c>
      <c r="AB34" s="259">
        <f>'Beta Calc'!Z35</f>
        <v>213.31906000000001</v>
      </c>
      <c r="AC34" s="903">
        <f t="shared" si="6"/>
        <v>0</v>
      </c>
      <c r="AI34" s="811"/>
    </row>
    <row r="35" spans="1:35" ht="14.85" customHeight="1">
      <c r="D35" s="259"/>
      <c r="E35" s="259"/>
      <c r="F35" s="259"/>
      <c r="G35" s="259"/>
      <c r="H35" s="259"/>
      <c r="I35" s="259"/>
      <c r="J35" s="259"/>
      <c r="K35" s="259"/>
      <c r="R35" s="435"/>
    </row>
    <row r="36" spans="1:35" ht="14.85" customHeight="1">
      <c r="B36" s="817" t="s">
        <v>111</v>
      </c>
      <c r="C36" s="819"/>
      <c r="D36" s="818">
        <f t="shared" ref="D36:K36" si="17">MAX(D10:D34)</f>
        <v>8868.9653999999991</v>
      </c>
      <c r="E36" s="818">
        <f t="shared" si="17"/>
        <v>409.30599999999998</v>
      </c>
      <c r="F36" s="818">
        <f t="shared" si="17"/>
        <v>123.489</v>
      </c>
      <c r="G36" s="818">
        <f t="shared" si="17"/>
        <v>0</v>
      </c>
      <c r="H36" s="818">
        <f t="shared" si="17"/>
        <v>409.30599999999998</v>
      </c>
      <c r="I36" s="818">
        <f t="shared" si="17"/>
        <v>8898.9653999999991</v>
      </c>
      <c r="J36" s="818">
        <f t="shared" si="17"/>
        <v>1695.2950000000001</v>
      </c>
      <c r="K36" s="818">
        <f t="shared" si="17"/>
        <v>7662.1313999999993</v>
      </c>
      <c r="L36" s="819"/>
      <c r="M36" s="904">
        <f>MAX(M10:M34)</f>
        <v>0</v>
      </c>
      <c r="N36" s="818">
        <f>MAX(N10:N34)</f>
        <v>1.7035945205479452</v>
      </c>
      <c r="O36" s="905">
        <f>MAX(O10:O34)</f>
        <v>2.4500000000000001E-2</v>
      </c>
      <c r="P36" s="906"/>
      <c r="Q36" s="907">
        <f>MAX(Q10:Q34)</f>
        <v>0.9785041500826186</v>
      </c>
      <c r="R36" s="908"/>
      <c r="S36" s="909">
        <f>MAX(S10:S35)</f>
        <v>0.95747037172890781</v>
      </c>
      <c r="T36" s="909">
        <f>MAX(T10:T35)</f>
        <v>7.5888393362269575</v>
      </c>
      <c r="U36" s="910">
        <f>MAX(U10:U35)</f>
        <v>6.8133185859401424</v>
      </c>
      <c r="V36" s="910">
        <f>MAX(V10:V35)</f>
        <v>0.9999999999999839</v>
      </c>
      <c r="W36" s="910">
        <f>MAX(W10:W35)</f>
        <v>0.99999999999523137</v>
      </c>
      <c r="X36" s="818">
        <f>MAX(X10:X34)</f>
        <v>7633.3577707709319</v>
      </c>
      <c r="Y36" s="911">
        <f>MAX(Y10:Y34)</f>
        <v>0.9785041500826186</v>
      </c>
      <c r="AB36" s="912">
        <f>+'Asset Vol_DLOM'!Y43</f>
        <v>0.67560286381040968</v>
      </c>
      <c r="AC36" s="913" t="s">
        <v>1388</v>
      </c>
      <c r="AD36" s="913"/>
      <c r="AE36" s="913"/>
      <c r="AF36" s="480"/>
    </row>
    <row r="37" spans="1:35" ht="14.85" customHeight="1">
      <c r="B37" s="821" t="s">
        <v>115</v>
      </c>
      <c r="C37" s="823"/>
      <c r="D37" s="822">
        <f t="shared" ref="D37:K37" si="18">QUARTILE(D10:D34,3)</f>
        <v>1742.465835</v>
      </c>
      <c r="E37" s="822">
        <f t="shared" si="18"/>
        <v>25.353999999999999</v>
      </c>
      <c r="F37" s="822">
        <f t="shared" si="18"/>
        <v>55.668750000000003</v>
      </c>
      <c r="G37" s="822" t="e">
        <f t="shared" si="18"/>
        <v>#NUM!</v>
      </c>
      <c r="H37" s="822">
        <f t="shared" si="18"/>
        <v>32.878</v>
      </c>
      <c r="I37" s="822">
        <f t="shared" si="18"/>
        <v>1784.9113350000002</v>
      </c>
      <c r="J37" s="822">
        <f t="shared" si="18"/>
        <v>377.9085</v>
      </c>
      <c r="K37" s="822">
        <f t="shared" si="18"/>
        <v>1251.21766</v>
      </c>
      <c r="L37" s="823"/>
      <c r="M37" s="860">
        <f>QUARTILE(M10:M34,3)</f>
        <v>0</v>
      </c>
      <c r="N37" s="822">
        <f>QUARTILE(N10:N34,3)</f>
        <v>1.7035945205479452</v>
      </c>
      <c r="O37" s="914">
        <f>QUARTILE(O10:O34,3)</f>
        <v>2.4500000000000001E-2</v>
      </c>
      <c r="P37" s="915"/>
      <c r="Q37" s="916">
        <f>QUARTILE(Q10:Q34,3)</f>
        <v>0.78028811938036324</v>
      </c>
      <c r="R37" s="917"/>
      <c r="S37" s="918">
        <f>QUARTILE(S10:S35,3)</f>
        <v>0.60884954924614398</v>
      </c>
      <c r="T37" s="918">
        <f>QUARTILE(T10:T35,3)</f>
        <v>3.2624266012933929</v>
      </c>
      <c r="U37" s="919">
        <f>QUARTILE(U10:U35,3)</f>
        <v>2.6575422898794825</v>
      </c>
      <c r="V37" s="919">
        <f>QUARTILE(V10:V35,3)</f>
        <v>0.99944768612944102</v>
      </c>
      <c r="W37" s="919">
        <f>QUARTILE(W10:W35,3)</f>
        <v>0.99606436428967304</v>
      </c>
      <c r="X37" s="822">
        <f>QUARTILE(X10:X34,3)</f>
        <v>695.93653056989922</v>
      </c>
      <c r="Y37" s="920">
        <f>QUARTILE(Y10:Y34,3)</f>
        <v>0.74574718011973196</v>
      </c>
      <c r="AB37" s="921">
        <f>+'Asset Vol_DLOM'!Y45</f>
        <v>0.67560286381040968</v>
      </c>
      <c r="AC37" s="234" t="s">
        <v>1389</v>
      </c>
      <c r="AF37" s="348"/>
    </row>
    <row r="38" spans="1:35" ht="14.85" customHeight="1">
      <c r="B38" s="821" t="s">
        <v>113</v>
      </c>
      <c r="C38" s="823"/>
      <c r="D38" s="822">
        <f t="shared" ref="D38:K38" si="19">AVERAGE(D10:D34)</f>
        <v>1587.2495647826088</v>
      </c>
      <c r="E38" s="822">
        <f t="shared" si="19"/>
        <v>37.258999999999993</v>
      </c>
      <c r="F38" s="822">
        <f t="shared" si="19"/>
        <v>42.704249999999995</v>
      </c>
      <c r="G38" s="822" t="e">
        <f t="shared" si="19"/>
        <v>#DIV/0!</v>
      </c>
      <c r="H38" s="822">
        <f t="shared" si="19"/>
        <v>44.685826086956517</v>
      </c>
      <c r="I38" s="822">
        <f t="shared" si="19"/>
        <v>1631.9353908695655</v>
      </c>
      <c r="J38" s="822">
        <f t="shared" si="19"/>
        <v>354.92808695652167</v>
      </c>
      <c r="K38" s="822">
        <f t="shared" si="19"/>
        <v>1277.0073039130434</v>
      </c>
      <c r="L38" s="823"/>
      <c r="M38" s="860">
        <f>AVERAGE(M10:M34)</f>
        <v>0</v>
      </c>
      <c r="N38" s="822">
        <f>AVERAGE(N10:N34)</f>
        <v>1.7035945205479452</v>
      </c>
      <c r="O38" s="914">
        <f>AVERAGE(O10:O34)</f>
        <v>2.4500000000000004E-2</v>
      </c>
      <c r="P38" s="915"/>
      <c r="Q38" s="916">
        <f>AVERAGE(Q10:Q34)</f>
        <v>0.71639622838754036</v>
      </c>
      <c r="R38" s="917"/>
      <c r="S38" s="918">
        <f>AVERAGE(S10:S35)</f>
        <v>0.52879814363089439</v>
      </c>
      <c r="T38" s="918">
        <f>AVERAGE(T10:T35)</f>
        <v>1.4556398371311079</v>
      </c>
      <c r="U38" s="919">
        <f>AVERAGE(U10:U35)</f>
        <v>1.0655093122884931</v>
      </c>
      <c r="V38" s="919">
        <f>AVERAGE(V10:V35)</f>
        <v>0.39273200048771917</v>
      </c>
      <c r="W38" s="919">
        <f>AVERAGE(W10:W35)</f>
        <v>0.33568121040322302</v>
      </c>
      <c r="X38" s="822">
        <f>AVERAGE(X10:X34)</f>
        <v>870.76428007286358</v>
      </c>
      <c r="Y38" s="920">
        <f>AVERAGE(Y10:Y34)</f>
        <v>0.66140337142990313</v>
      </c>
      <c r="AB38" s="921">
        <f>+'Asset Vol_DLOM'!Y39</f>
        <v>0.67554666584600742</v>
      </c>
      <c r="AC38" s="234" t="s">
        <v>1387</v>
      </c>
      <c r="AF38" s="922" t="s">
        <v>1764</v>
      </c>
    </row>
    <row r="39" spans="1:35" ht="14.85" customHeight="1">
      <c r="B39" s="821" t="s">
        <v>44</v>
      </c>
      <c r="C39" s="823"/>
      <c r="D39" s="822">
        <f t="shared" ref="D39:K39" si="20">MEDIAN(D10:D34)</f>
        <v>1032.0795800000001</v>
      </c>
      <c r="E39" s="822">
        <f t="shared" si="20"/>
        <v>0</v>
      </c>
      <c r="F39" s="822">
        <f t="shared" si="20"/>
        <v>20.342499999999998</v>
      </c>
      <c r="G39" s="822" t="e">
        <f t="shared" si="20"/>
        <v>#NUM!</v>
      </c>
      <c r="H39" s="822">
        <f t="shared" si="20"/>
        <v>0</v>
      </c>
      <c r="I39" s="822">
        <f t="shared" si="20"/>
        <v>1058.70937</v>
      </c>
      <c r="J39" s="822">
        <f t="shared" si="20"/>
        <v>239.54599999999999</v>
      </c>
      <c r="K39" s="822">
        <f t="shared" si="20"/>
        <v>727.28158000000008</v>
      </c>
      <c r="L39" s="823"/>
      <c r="M39" s="860">
        <f>MEDIAN(M10:M34)</f>
        <v>0</v>
      </c>
      <c r="N39" s="822">
        <f>MEDIAN(N10:N34)</f>
        <v>1.7035945205479452</v>
      </c>
      <c r="O39" s="914">
        <f>MEDIAN(O10:O34)</f>
        <v>2.4500000000000001E-2</v>
      </c>
      <c r="P39" s="915"/>
      <c r="Q39" s="916">
        <f>MEDIAN(Q10:Q34)</f>
        <v>0.71472719223896919</v>
      </c>
      <c r="R39" s="917"/>
      <c r="S39" s="918">
        <f>MEDIAN(S10:S35)</f>
        <v>0.51083495932580036</v>
      </c>
      <c r="T39" s="918">
        <f>MEDIAN(T10:T35)</f>
        <v>0</v>
      </c>
      <c r="U39" s="919">
        <f>MEDIAN(U10:U35)</f>
        <v>0</v>
      </c>
      <c r="V39" s="919">
        <f>MEDIAN(V10:V35)</f>
        <v>0</v>
      </c>
      <c r="W39" s="919">
        <f>MEDIAN(W10:W35)</f>
        <v>0</v>
      </c>
      <c r="X39" s="822">
        <f>MEDIAN(X10:X34)</f>
        <v>0</v>
      </c>
      <c r="Y39" s="920">
        <f>MEDIAN(Y10:Y34)</f>
        <v>0.67554666584600742</v>
      </c>
      <c r="AB39" s="923" t="str">
        <f>IF(ROUND(AB36,3)=ROUND(AB38,3),"","Update Volatility - OPM")</f>
        <v/>
      </c>
      <c r="AF39" s="348"/>
    </row>
    <row r="40" spans="1:35" ht="14.85" customHeight="1">
      <c r="B40" s="821" t="s">
        <v>114</v>
      </c>
      <c r="C40" s="823"/>
      <c r="D40" s="822">
        <f t="shared" ref="D40:K40" si="21">QUARTILE(D10:D34,1)</f>
        <v>333.53233499999999</v>
      </c>
      <c r="E40" s="822">
        <f t="shared" si="21"/>
        <v>0</v>
      </c>
      <c r="F40" s="822">
        <f t="shared" si="21"/>
        <v>7.3780000000000001</v>
      </c>
      <c r="G40" s="822" t="e">
        <f t="shared" si="21"/>
        <v>#NUM!</v>
      </c>
      <c r="H40" s="822">
        <f t="shared" si="21"/>
        <v>0</v>
      </c>
      <c r="I40" s="822">
        <f t="shared" si="21"/>
        <v>334.902805</v>
      </c>
      <c r="J40" s="822">
        <f t="shared" si="21"/>
        <v>151.708</v>
      </c>
      <c r="K40" s="822">
        <f t="shared" si="21"/>
        <v>214.77052</v>
      </c>
      <c r="L40" s="823"/>
      <c r="M40" s="860">
        <f>QUARTILE(M10:M34,1)</f>
        <v>0</v>
      </c>
      <c r="N40" s="822">
        <f>QUARTILE(N10:N34,1)</f>
        <v>1.7035945205479452</v>
      </c>
      <c r="O40" s="914">
        <f>QUARTILE(O10:O34,1)</f>
        <v>2.4500000000000001E-2</v>
      </c>
      <c r="P40" s="915"/>
      <c r="Q40" s="916">
        <f>QUARTILE(Q10:Q34,1)</f>
        <v>0.64539841996562952</v>
      </c>
      <c r="R40" s="917"/>
      <c r="S40" s="918">
        <f>QUARTILE(S10:S35,1)</f>
        <v>0.41653912049413111</v>
      </c>
      <c r="T40" s="918">
        <f>QUARTILE(T10:T35,1)</f>
        <v>0</v>
      </c>
      <c r="U40" s="919">
        <f>QUARTILE(U10:U35,1)</f>
        <v>0</v>
      </c>
      <c r="V40" s="919">
        <f>QUARTILE(V10:V35,1)</f>
        <v>0</v>
      </c>
      <c r="W40" s="919">
        <f>QUARTILE(W10:W35,1)</f>
        <v>0</v>
      </c>
      <c r="X40" s="822">
        <f>QUARTILE(X10:X34,1)</f>
        <v>0</v>
      </c>
      <c r="Y40" s="920">
        <f>QUARTILE(Y10:Y34,1)</f>
        <v>0.58651484817262012</v>
      </c>
      <c r="AB40" s="924" t="str">
        <f>IF(ROUND(AB37,3)=ROUND(AB38,3),"","Update Volatility - DLOM")</f>
        <v/>
      </c>
      <c r="AC40" s="269"/>
      <c r="AD40" s="269"/>
      <c r="AE40" s="269"/>
      <c r="AF40" s="594"/>
    </row>
    <row r="41" spans="1:35" ht="14.85" customHeight="1">
      <c r="B41" s="754" t="s">
        <v>112</v>
      </c>
      <c r="C41" s="556"/>
      <c r="D41" s="565">
        <f t="shared" ref="D41:K41" si="22">MIN(D10:D34)</f>
        <v>19.22391</v>
      </c>
      <c r="E41" s="565">
        <f t="shared" si="22"/>
        <v>0</v>
      </c>
      <c r="F41" s="565">
        <f t="shared" si="22"/>
        <v>6.6429999999999998</v>
      </c>
      <c r="G41" s="565">
        <f t="shared" si="22"/>
        <v>0</v>
      </c>
      <c r="H41" s="565">
        <f t="shared" si="22"/>
        <v>0</v>
      </c>
      <c r="I41" s="565">
        <f t="shared" si="22"/>
        <v>26.846910000000001</v>
      </c>
      <c r="J41" s="565">
        <f t="shared" si="22"/>
        <v>12.877000000000001</v>
      </c>
      <c r="K41" s="565">
        <f t="shared" si="22"/>
        <v>10.735910000000001</v>
      </c>
      <c r="L41" s="556"/>
      <c r="M41" s="865">
        <f>MIN(M10:M34)</f>
        <v>0</v>
      </c>
      <c r="N41" s="565">
        <f>MIN(N10:N34)</f>
        <v>1.7035945205479452</v>
      </c>
      <c r="O41" s="925">
        <f>MIN(O10:O34)</f>
        <v>2.4500000000000001E-2</v>
      </c>
      <c r="P41" s="926"/>
      <c r="Q41" s="927">
        <f>MIN(Q10:Q34)</f>
        <v>0.4634353984441596</v>
      </c>
      <c r="R41" s="928"/>
      <c r="S41" s="929">
        <f>MIN(S10:S35)</f>
        <v>0.21477236853109696</v>
      </c>
      <c r="T41" s="929">
        <f>MIN(T10:T35)</f>
        <v>0</v>
      </c>
      <c r="U41" s="930">
        <f>MIN(U10:U35)</f>
        <v>-0.91813783006637317</v>
      </c>
      <c r="V41" s="930">
        <f>MIN(V10:V35)</f>
        <v>0</v>
      </c>
      <c r="W41" s="930">
        <f>MIN(W10:W35)</f>
        <v>0</v>
      </c>
      <c r="X41" s="565">
        <f>MIN(X10:X34)</f>
        <v>0</v>
      </c>
      <c r="Y41" s="931">
        <f>MIN(Y10:Y34)</f>
        <v>0.3863566265772882</v>
      </c>
      <c r="AB41" s="323" t="str">
        <f>IF(K43&lt;&gt;K45,"Check","")</f>
        <v/>
      </c>
    </row>
    <row r="42" spans="1:35" ht="14.85" customHeight="1">
      <c r="AB42" s="932" t="str">
        <f>IF(AND(AB39=$AF$40,AB41=$AF$40,AB40=$AF$40),"","Check")</f>
        <v/>
      </c>
    </row>
    <row r="43" spans="1:35" ht="14.85" customHeight="1">
      <c r="B43" s="933" t="str">
        <f>B2</f>
        <v>Trucode Gene Repair, Inc.</v>
      </c>
      <c r="C43" s="934" t="s">
        <v>249</v>
      </c>
      <c r="D43" s="936">
        <f>'OPM 1'!D9/1000</f>
        <v>42.64</v>
      </c>
      <c r="E43" s="935">
        <f>'Hist BS'!E61/1000</f>
        <v>0.15776502000000001</v>
      </c>
      <c r="F43" s="935"/>
      <c r="G43" s="935"/>
      <c r="H43" s="936">
        <f>'Hist BS'!E61/1000</f>
        <v>0.15776502000000001</v>
      </c>
      <c r="I43" s="937">
        <f t="shared" ref="I43" si="23">SUM(D43:G43)</f>
        <v>42.79776502</v>
      </c>
      <c r="J43" s="935"/>
      <c r="K43" s="936">
        <f>I43+J43</f>
        <v>42.79776502</v>
      </c>
      <c r="L43" s="935"/>
      <c r="M43" s="938">
        <f>'OPM 1'!D13</f>
        <v>0</v>
      </c>
      <c r="N43" s="939">
        <f>N$6</f>
        <v>1.7035945205479452</v>
      </c>
      <c r="O43" s="940">
        <f>O$6</f>
        <v>2.4500000000000001E-2</v>
      </c>
      <c r="P43" s="941"/>
      <c r="Q43" s="942">
        <v>0.67800000000000005</v>
      </c>
      <c r="R43" s="935"/>
      <c r="S43" s="943">
        <f>IF(Q43="n/a","n/a",Q43^2)</f>
        <v>0.45968400000000004</v>
      </c>
      <c r="T43" s="943">
        <f>IF(OR(K43="n/a",S43="n/a"),"n/a",IF(H43=0,0,IF(M43=0,(LN(K43/H43)+((O43+(S43/2))*N43))/((S43*N43)^0.5),(LN(K43/H43)+((O43-M43+(S43/2))*N43))/((S43*N43)^0.5))))</f>
        <v>6.8213033582638429</v>
      </c>
      <c r="U43" s="944">
        <f>IF(T43="n/a","n/a",IF(H43=0,0,T43-(S43*N43)^0.5))</f>
        <v>5.9363654262123564</v>
      </c>
      <c r="V43" s="944">
        <f>IF(OR(T43="n/a",S43="n/a"),"n/a",IF(H43=0,0,NORMSDIST(T43)))</f>
        <v>0.99999999999548905</v>
      </c>
      <c r="W43" s="944">
        <f>IF(OR(U43="n/a",S43="n/a"),"n/a",IF(H43=0,0,NORMSDIST(U43)))</f>
        <v>0.99999999854295052</v>
      </c>
      <c r="X43" s="944">
        <f>IF(OR(K43="n/a",S43="n/a"),"n/a",IF(M43=0,(K43*V43)-((H43*EXP(1)^(-O43*N43))*W43),(K43*(2.718^(-M43*N43))*V43)-(H43*(2.718^(-O43*N43))*W43)))</f>
        <v>42.646449280334124</v>
      </c>
      <c r="Y43" s="945">
        <f>IF(LEN(B43)&gt;0,IF(H43=0,Q43,IF(ISERROR(Q43/((K43/X43)*V43)),"n/a",Q43/((K43/X43)*V43))))</f>
        <v>0.67560286381040968</v>
      </c>
    </row>
    <row r="44" spans="1:35" ht="14.85" hidden="1" customHeight="1" outlineLevel="1"/>
    <row r="45" spans="1:35" ht="14.85" hidden="1" customHeight="1" outlineLevel="1">
      <c r="B45" s="933" t="str">
        <f>B43</f>
        <v>Trucode Gene Repair, Inc.</v>
      </c>
      <c r="C45" s="934" t="s">
        <v>288</v>
      </c>
      <c r="D45" s="935">
        <f>D43</f>
        <v>42.64</v>
      </c>
      <c r="E45" s="2069">
        <f>H43</f>
        <v>0.15776502000000001</v>
      </c>
      <c r="F45" s="935"/>
      <c r="G45" s="935"/>
      <c r="H45" s="936">
        <f>SUM(E45:G45)</f>
        <v>0.15776502000000001</v>
      </c>
      <c r="I45" s="937">
        <f>K45+J45</f>
        <v>42.79776502</v>
      </c>
      <c r="J45" s="935"/>
      <c r="K45" s="946">
        <f>K43</f>
        <v>42.79776502</v>
      </c>
      <c r="L45" s="935"/>
      <c r="M45" s="947">
        <f>M43</f>
        <v>0</v>
      </c>
      <c r="N45" s="939">
        <f>N$6</f>
        <v>1.7035945205479452</v>
      </c>
      <c r="O45" s="940">
        <f>O$6</f>
        <v>2.4500000000000001E-2</v>
      </c>
      <c r="P45" s="941"/>
      <c r="Q45" s="942">
        <v>0.67800000000000005</v>
      </c>
      <c r="R45" s="935"/>
      <c r="S45" s="943">
        <f>IF(Q45="n/a","n/a",Q45^2)</f>
        <v>0.45968400000000004</v>
      </c>
      <c r="T45" s="943">
        <f>IF(OR(K45="n/a",S45="n/a"),"n/a",IF(H45=0,0,IF(M45=0,(LN(K45/H45)+((O45+(S45/2))*N45))/((S45*N45)^0.5),(LN(K45/H45)+((O45-M45+(S45/2))*N45))/((S45*N45)^0.5))))</f>
        <v>6.8213033582638429</v>
      </c>
      <c r="U45" s="944">
        <f>IF(T45="n/a","n/a",IF(H45=0,0,T45-(S45*N45)^0.5))</f>
        <v>5.9363654262123564</v>
      </c>
      <c r="V45" s="944">
        <f>IF(OR(T45="n/a",S45="n/a"),"n/a",IF(H45=0,0,NORMSDIST(T45)))</f>
        <v>0.99999999999548905</v>
      </c>
      <c r="W45" s="944">
        <f>IF(OR(U45="n/a",S45="n/a"),"n/a",IF(H45=0,0,NORMSDIST(U45)))</f>
        <v>0.99999999854295052</v>
      </c>
      <c r="X45" s="944">
        <f>IF(OR(K45="n/a",S45="n/a"),"n/a",IF(M45=0,(K45*V45)-((H45*EXP(1)^(-O45*N45))*W45),(K45*(2.718^(-M45*N45))*V45)-(H45*(2.718^(-O45*N45))*W45)))</f>
        <v>42.646449280334124</v>
      </c>
      <c r="Y45" s="945">
        <f>IF(LEN(B45)&gt;0,IF(H45=0,Q45,IF(ISERROR(Q45/((K45/X45)*V45)),"n/a",Q45/((K45/X45)*V45))))</f>
        <v>0.67560286381040968</v>
      </c>
    </row>
    <row r="46" spans="1:35" ht="14.85" customHeight="1" collapsed="1"/>
    <row r="47" spans="1:35" ht="14.85" customHeight="1">
      <c r="B47" s="279" t="s">
        <v>86</v>
      </c>
    </row>
    <row r="48" spans="1:35" ht="14.85" customHeight="1">
      <c r="A48" s="280" t="s">
        <v>250</v>
      </c>
      <c r="B48" s="388" t="s">
        <v>2925</v>
      </c>
    </row>
    <row r="49" spans="1:2" ht="14.85" customHeight="1">
      <c r="A49" s="280" t="s">
        <v>249</v>
      </c>
      <c r="B49" s="388" t="s">
        <v>937</v>
      </c>
    </row>
    <row r="50" spans="1:2" ht="14.85" customHeight="1">
      <c r="A50" s="280" t="s">
        <v>288</v>
      </c>
      <c r="B50" s="388" t="s">
        <v>938</v>
      </c>
    </row>
    <row r="51" spans="1:2" ht="14.85" customHeight="1"/>
    <row r="52" spans="1:2" ht="14.85" customHeight="1">
      <c r="B52" s="279" t="s">
        <v>116</v>
      </c>
    </row>
    <row r="53" spans="1:2" ht="14.85" customHeight="1"/>
    <row r="54" spans="1:2" ht="14.85" customHeight="1">
      <c r="B54" s="234" t="s">
        <v>1416</v>
      </c>
    </row>
    <row r="55" spans="1:2" ht="14.85" customHeight="1">
      <c r="B55" s="234" t="s">
        <v>1417</v>
      </c>
    </row>
    <row r="56" spans="1:2" ht="14.85" customHeight="1">
      <c r="B56" s="234" t="s">
        <v>1418</v>
      </c>
    </row>
    <row r="57" spans="1:2" ht="14.85" customHeight="1">
      <c r="B57" s="234" t="s">
        <v>1419</v>
      </c>
    </row>
    <row r="58" spans="1:2" ht="14.85" customHeight="1">
      <c r="B58" s="234" t="s">
        <v>1420</v>
      </c>
    </row>
    <row r="59" spans="1:2" ht="14.85" customHeight="1">
      <c r="B59" s="234" t="s">
        <v>1421</v>
      </c>
    </row>
    <row r="60" spans="1:2" ht="14.85" customHeight="1">
      <c r="B60" s="234" t="s">
        <v>1422</v>
      </c>
    </row>
    <row r="61" spans="1:2" ht="14.85" customHeight="1"/>
    <row r="62" spans="1:2" ht="14.85" customHeight="1">
      <c r="B62" s="234" t="s">
        <v>1423</v>
      </c>
    </row>
    <row r="63" spans="1:2" ht="14.85" customHeight="1">
      <c r="B63" s="234" t="s">
        <v>1424</v>
      </c>
    </row>
    <row r="64" spans="1:2" ht="14.85" customHeight="1">
      <c r="B64" s="234" t="s">
        <v>1425</v>
      </c>
    </row>
    <row r="65" spans="2:2" ht="14.85" customHeight="1">
      <c r="B65" s="234" t="s">
        <v>1426</v>
      </c>
    </row>
    <row r="66" spans="2:2" ht="14.85" customHeight="1">
      <c r="B66" s="234" t="s">
        <v>1427</v>
      </c>
    </row>
    <row r="67" spans="2:2" ht="14.85" customHeight="1">
      <c r="B67" s="234" t="s">
        <v>1428</v>
      </c>
    </row>
    <row r="68" spans="2:2" ht="14.85" customHeight="1"/>
    <row r="69" spans="2:2" ht="14.85" customHeight="1"/>
    <row r="70" spans="2:2" ht="14.85" customHeight="1"/>
    <row r="71" spans="2:2" ht="14.85" customHeight="1"/>
    <row r="72" spans="2:2" ht="14.85" customHeight="1"/>
    <row r="73" spans="2:2" ht="14.85" customHeight="1"/>
    <row r="74" spans="2:2" ht="14.85" customHeight="1"/>
    <row r="75" spans="2:2" ht="14.85" customHeight="1"/>
    <row r="76" spans="2:2" ht="14.85" customHeight="1"/>
    <row r="77" spans="2:2" ht="14.85" customHeight="1"/>
    <row r="78" spans="2:2" ht="14.85" customHeight="1"/>
    <row r="79" spans="2:2" ht="14.85" customHeight="1"/>
    <row r="80" spans="2:2"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sheetData>
  <conditionalFormatting sqref="B10:B34">
    <cfRule type="cellIs" dxfId="99" priority="8" operator="equal">
      <formula>"(Invalid Identifier)"</formula>
    </cfRule>
  </conditionalFormatting>
  <conditionalFormatting sqref="B4:I4">
    <cfRule type="cellIs" dxfId="98" priority="7" stopIfTrue="1" operator="equal">
      <formula>"input"</formula>
    </cfRule>
  </conditionalFormatting>
  <conditionalFormatting sqref="J4">
    <cfRule type="cellIs" dxfId="97" priority="5" stopIfTrue="1" operator="equal">
      <formula>"input"</formula>
    </cfRule>
  </conditionalFormatting>
  <conditionalFormatting sqref="J4">
    <cfRule type="cellIs" dxfId="96" priority="6" stopIfTrue="1" operator="equal">
      <formula>"input"</formula>
    </cfRule>
  </conditionalFormatting>
  <conditionalFormatting sqref="K4:X4">
    <cfRule type="cellIs" dxfId="95" priority="3" stopIfTrue="1" operator="equal">
      <formula>"input"</formula>
    </cfRule>
  </conditionalFormatting>
  <conditionalFormatting sqref="K4:X4">
    <cfRule type="cellIs" dxfId="94" priority="4" stopIfTrue="1" operator="equal">
      <formula>"input"</formula>
    </cfRule>
  </conditionalFormatting>
  <conditionalFormatting sqref="Y4">
    <cfRule type="cellIs" dxfId="93" priority="1" stopIfTrue="1" operator="equal">
      <formula>"input"</formula>
    </cfRule>
  </conditionalFormatting>
  <conditionalFormatting sqref="Y4">
    <cfRule type="cellIs" dxfId="92" priority="2" stopIfTrue="1" operator="equal">
      <formula>"input"</formula>
    </cfRule>
  </conditionalFormatting>
  <pageMargins left="0.5" right="0.5" top="0.5" bottom="0.5" header="0.5" footer="0.5"/>
  <pageSetup scale="74" fitToWidth="0" fitToHeight="0" orientation="landscape" r:id="rId1"/>
  <legacyDrawingHF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63"/>
  <dimension ref="A1:AL764"/>
  <sheetViews>
    <sheetView showGridLines="0" view="pageBreakPreview" zoomScale="85" zoomScaleNormal="100" zoomScaleSheetLayoutView="85" workbookViewId="0"/>
  </sheetViews>
  <sheetFormatPr defaultColWidth="10.6640625" defaultRowHeight="14.25" outlineLevelCol="1"/>
  <cols>
    <col min="1" max="1" width="4.5" style="1033" customWidth="1"/>
    <col min="2" max="2" width="40.83203125" style="1033" customWidth="1"/>
    <col min="3" max="3" width="18.6640625" style="1033" hidden="1" customWidth="1" outlineLevel="1"/>
    <col min="4" max="4" width="15.1640625" style="1033" hidden="1" customWidth="1" outlineLevel="1"/>
    <col min="5" max="5" width="12.5" style="1035" bestFit="1" customWidth="1" collapsed="1"/>
    <col min="6" max="6" width="12.33203125" style="1035" customWidth="1"/>
    <col min="7" max="8" width="14" style="1035" hidden="1" customWidth="1" outlineLevel="1"/>
    <col min="9" max="9" width="14.83203125" style="1035" hidden="1" customWidth="1" outlineLevel="1"/>
    <col min="10" max="10" width="14.83203125" style="1035" customWidth="1" collapsed="1"/>
    <col min="11" max="11" width="13.83203125" style="1035" bestFit="1" customWidth="1"/>
    <col min="12" max="12" width="14.83203125" style="1035" customWidth="1"/>
    <col min="13" max="13" width="15.6640625" style="1035" customWidth="1"/>
    <col min="14" max="14" width="15.83203125" style="1035" customWidth="1"/>
    <col min="15" max="15" width="16" style="1035" customWidth="1"/>
    <col min="16" max="16" width="4.5" style="1035" hidden="1" customWidth="1" outlineLevel="1"/>
    <col min="17" max="17" width="28.83203125" style="1035" hidden="1" customWidth="1" outlineLevel="1"/>
    <col min="18" max="18" width="16.33203125" style="1033" hidden="1" customWidth="1" outlineLevel="1"/>
    <col min="19" max="19" width="13.6640625" style="1033" hidden="1" customWidth="1" outlineLevel="1"/>
    <col min="20" max="20" width="14.83203125" style="1033" hidden="1" customWidth="1" outlineLevel="1"/>
    <col min="21" max="21" width="13.5" style="1033" hidden="1" customWidth="1" outlineLevel="1"/>
    <col min="22" max="22" width="16.1640625" style="1033" hidden="1" customWidth="1" outlineLevel="1"/>
    <col min="23" max="23" width="11.5" style="1033" hidden="1" customWidth="1" outlineLevel="1"/>
    <col min="24" max="25" width="10.6640625" style="1033" hidden="1" customWidth="1" outlineLevel="1"/>
    <col min="26" max="26" width="4.5" style="1033" customWidth="1" collapsed="1"/>
    <col min="27" max="27" width="23.5" style="1033" customWidth="1"/>
    <col min="28" max="33" width="15.33203125" style="1033" customWidth="1"/>
    <col min="34" max="34" width="12.6640625" style="1033" bestFit="1" customWidth="1"/>
    <col min="35" max="35" width="13.5" style="1033" bestFit="1" customWidth="1"/>
    <col min="36" max="36" width="13" style="1033" bestFit="1" customWidth="1"/>
    <col min="37" max="37" width="10.83203125" style="1033" bestFit="1" customWidth="1"/>
    <col min="38" max="38" width="14.83203125" style="1033" bestFit="1" customWidth="1"/>
    <col min="39" max="16384" width="10.6640625" style="1033"/>
  </cols>
  <sheetData>
    <row r="1" spans="1:38" ht="11.25" customHeight="1" thickBot="1">
      <c r="A1" s="1032"/>
      <c r="E1" s="1034"/>
      <c r="F1" s="1034"/>
      <c r="G1" s="1034"/>
      <c r="H1" s="1034"/>
      <c r="I1" s="1034"/>
      <c r="J1" s="1034"/>
      <c r="K1" s="1034"/>
      <c r="L1" s="1034"/>
      <c r="M1" s="1034"/>
      <c r="Q1" s="1033"/>
      <c r="R1" s="1036"/>
      <c r="S1" s="1037"/>
      <c r="AG1" s="1033" t="s">
        <v>455</v>
      </c>
      <c r="AH1" s="1033" t="s">
        <v>457</v>
      </c>
      <c r="AJ1" s="1038"/>
    </row>
    <row r="2" spans="1:38" s="1189" customFormat="1" ht="15.75" thickTop="1">
      <c r="A2" s="1184"/>
      <c r="B2" s="223" t="str">
        <f>'MASTER PubCo Inputs'!$C$5</f>
        <v>Trucode Gene Repair, Inc.</v>
      </c>
      <c r="C2" s="223"/>
      <c r="D2" s="223"/>
      <c r="E2" s="223"/>
      <c r="F2" s="223"/>
      <c r="G2" s="223"/>
      <c r="H2" s="223"/>
      <c r="I2" s="223"/>
      <c r="J2" s="223"/>
      <c r="K2" s="223"/>
      <c r="L2" s="223"/>
      <c r="M2" s="223"/>
      <c r="N2" s="223"/>
      <c r="O2" s="223"/>
      <c r="P2" s="1185"/>
      <c r="Q2" s="1186"/>
      <c r="R2" s="1187" t="s">
        <v>1345</v>
      </c>
      <c r="S2" s="1188">
        <v>42704</v>
      </c>
      <c r="AB2" s="1190" t="s">
        <v>1667</v>
      </c>
      <c r="AG2" s="1189" t="s">
        <v>828</v>
      </c>
      <c r="AH2" s="1189" t="s">
        <v>829</v>
      </c>
    </row>
    <row r="3" spans="1:38" s="1189" customFormat="1" ht="15">
      <c r="A3" s="1184"/>
      <c r="B3" s="232" t="str">
        <f>VLOOKUP(B4,Outline!$E$8:$G$65,COLUMNS(Outline!$E$8:$G$8),FALSE)</f>
        <v>Exhibit H.10</v>
      </c>
      <c r="C3" s="232"/>
      <c r="D3" s="232"/>
      <c r="E3" s="232"/>
      <c r="F3" s="232"/>
      <c r="G3" s="232"/>
      <c r="H3" s="232"/>
      <c r="I3" s="232"/>
      <c r="J3" s="232"/>
      <c r="K3" s="232"/>
      <c r="L3" s="232"/>
      <c r="M3" s="232"/>
      <c r="N3" s="232"/>
      <c r="O3" s="232"/>
      <c r="P3" s="1185"/>
      <c r="Q3" s="1186"/>
      <c r="R3" s="1191"/>
      <c r="S3" s="1192"/>
      <c r="AB3" s="1193">
        <v>42825</v>
      </c>
      <c r="AC3" s="1189" t="s">
        <v>1668</v>
      </c>
      <c r="AG3" s="1189" t="s">
        <v>456</v>
      </c>
      <c r="AH3" s="1189" t="s">
        <v>458</v>
      </c>
    </row>
    <row r="4" spans="1:38" s="1189" customFormat="1" ht="15.75" thickBot="1">
      <c r="B4" s="225" t="s">
        <v>975</v>
      </c>
      <c r="C4" s="225"/>
      <c r="D4" s="225"/>
      <c r="E4" s="225"/>
      <c r="F4" s="225"/>
      <c r="G4" s="225"/>
      <c r="H4" s="225"/>
      <c r="I4" s="225"/>
      <c r="J4" s="225"/>
      <c r="K4" s="225"/>
      <c r="L4" s="225"/>
      <c r="M4" s="225"/>
      <c r="N4" s="225"/>
      <c r="O4" s="233" t="str">
        <f>'MASTER PubCo Inputs'!C20</f>
        <v>(in thousands of USD and shares, except price per share)</v>
      </c>
      <c r="P4" s="1185"/>
      <c r="AG4" s="1189" t="s">
        <v>89</v>
      </c>
      <c r="AH4" s="1189" t="s">
        <v>90</v>
      </c>
    </row>
    <row r="5" spans="1:38" ht="14.85" customHeight="1" thickTop="1">
      <c r="B5" s="1046" t="s">
        <v>1806</v>
      </c>
      <c r="C5" s="1046"/>
      <c r="D5" s="1046"/>
      <c r="E5" s="1046"/>
      <c r="F5" s="1047"/>
      <c r="G5" s="412"/>
      <c r="H5" s="412"/>
      <c r="I5" s="412"/>
      <c r="J5" s="412"/>
      <c r="K5" s="413"/>
      <c r="L5" s="413"/>
      <c r="M5" s="413"/>
      <c r="N5" s="413"/>
      <c r="O5" s="414"/>
      <c r="P5" s="1040"/>
      <c r="Q5" s="1033"/>
    </row>
    <row r="6" spans="1:38" ht="14.85" customHeight="1">
      <c r="B6" s="1039"/>
      <c r="C6" s="1039"/>
      <c r="D6" s="1039"/>
      <c r="E6" s="1034"/>
      <c r="F6" s="1034"/>
      <c r="G6" s="1034"/>
      <c r="H6" s="1034"/>
      <c r="I6" s="1034"/>
      <c r="J6" s="1034"/>
      <c r="K6" s="1034"/>
      <c r="L6" s="1034"/>
      <c r="M6" s="1034"/>
      <c r="P6" s="1040"/>
      <c r="Q6" s="1033"/>
    </row>
    <row r="7" spans="1:38" s="1051" customFormat="1" ht="14.85" customHeight="1">
      <c r="B7" s="1052" t="s">
        <v>1563</v>
      </c>
      <c r="C7" s="1053"/>
      <c r="D7" s="1053"/>
      <c r="E7" s="1053"/>
      <c r="F7" s="1053"/>
      <c r="G7" s="1053"/>
      <c r="H7" s="1053"/>
      <c r="I7" s="1053"/>
      <c r="J7" s="1053"/>
      <c r="K7" s="1053"/>
      <c r="L7" s="1053"/>
      <c r="M7" s="1053"/>
      <c r="N7" s="1053"/>
      <c r="O7" s="1054"/>
      <c r="P7" s="1053"/>
      <c r="Q7" s="1053"/>
      <c r="R7" s="1053"/>
      <c r="S7" s="1054"/>
      <c r="T7" s="1053"/>
      <c r="U7" s="1053"/>
      <c r="V7" s="1053"/>
      <c r="W7" s="1053"/>
      <c r="X7" s="1053"/>
      <c r="Y7" s="1054"/>
      <c r="Z7" s="1133"/>
      <c r="AA7" s="1056"/>
    </row>
    <row r="8" spans="1:38" s="1057" customFormat="1" ht="14.85" customHeight="1">
      <c r="B8" s="1134"/>
      <c r="C8" s="1135"/>
      <c r="D8" s="1135"/>
      <c r="E8" s="1135"/>
      <c r="F8" s="1136"/>
      <c r="G8" s="1136"/>
      <c r="H8" s="1136"/>
      <c r="I8" s="1137"/>
      <c r="J8" s="1135"/>
      <c r="K8" s="1137"/>
      <c r="L8" s="1137"/>
      <c r="M8" s="1137"/>
      <c r="N8" s="1135"/>
      <c r="O8" s="1138"/>
      <c r="P8" s="1139" t="s">
        <v>1564</v>
      </c>
      <c r="Q8" s="1139"/>
      <c r="R8" s="1139"/>
      <c r="S8" s="1140"/>
      <c r="T8" s="1139" t="s">
        <v>1565</v>
      </c>
      <c r="U8" s="1139"/>
      <c r="V8" s="1139"/>
      <c r="W8" s="1139" t="s">
        <v>1566</v>
      </c>
      <c r="X8" s="1139"/>
      <c r="Y8" s="1140"/>
      <c r="Z8" s="1133"/>
      <c r="AA8" s="1141"/>
      <c r="AB8" s="1051"/>
      <c r="AC8" s="1051"/>
      <c r="AF8" s="1051"/>
    </row>
    <row r="9" spans="1:38" s="1057" customFormat="1" ht="17.25" customHeight="1">
      <c r="B9" s="1142"/>
      <c r="C9" s="1143"/>
      <c r="D9" s="1143" t="s">
        <v>978</v>
      </c>
      <c r="E9" s="2228" t="s">
        <v>1564</v>
      </c>
      <c r="F9" s="2227" t="s">
        <v>979</v>
      </c>
      <c r="G9" s="2228" t="s">
        <v>980</v>
      </c>
      <c r="H9" s="2228"/>
      <c r="I9" s="2227" t="s">
        <v>981</v>
      </c>
      <c r="J9" s="2227" t="s">
        <v>1802</v>
      </c>
      <c r="K9" s="2227" t="s">
        <v>982</v>
      </c>
      <c r="L9" s="2227" t="s">
        <v>983</v>
      </c>
      <c r="M9" s="2227" t="s">
        <v>984</v>
      </c>
      <c r="N9" s="2227" t="s">
        <v>1803</v>
      </c>
      <c r="O9" s="2230" t="s">
        <v>989</v>
      </c>
      <c r="P9" s="1059" t="s">
        <v>322</v>
      </c>
      <c r="Q9" s="1059" t="s">
        <v>325</v>
      </c>
      <c r="R9" s="1143" t="s">
        <v>322</v>
      </c>
      <c r="S9" s="1144" t="s">
        <v>325</v>
      </c>
      <c r="T9" s="1143" t="s">
        <v>1567</v>
      </c>
      <c r="U9" s="1143" t="s">
        <v>322</v>
      </c>
      <c r="V9" s="1143" t="s">
        <v>325</v>
      </c>
      <c r="W9" s="1143" t="s">
        <v>1567</v>
      </c>
      <c r="X9" s="1143" t="s">
        <v>322</v>
      </c>
      <c r="Y9" s="1145" t="s">
        <v>325</v>
      </c>
      <c r="Z9" s="1133"/>
      <c r="AA9" s="2202" t="s">
        <v>985</v>
      </c>
      <c r="AB9" s="2202" t="s">
        <v>986</v>
      </c>
      <c r="AC9" s="2202" t="s">
        <v>987</v>
      </c>
      <c r="AE9" s="2229" t="s">
        <v>989</v>
      </c>
      <c r="AF9" s="2202" t="s">
        <v>809</v>
      </c>
      <c r="AH9" s="2203" t="s">
        <v>146</v>
      </c>
      <c r="AI9" s="2203" t="s">
        <v>1808</v>
      </c>
      <c r="AJ9" s="2203" t="s">
        <v>1809</v>
      </c>
      <c r="AK9" s="2203" t="s">
        <v>1810</v>
      </c>
      <c r="AL9" s="2203" t="s">
        <v>1811</v>
      </c>
    </row>
    <row r="10" spans="1:38" s="1057" customFormat="1" ht="23.25" customHeight="1">
      <c r="B10" s="623" t="s">
        <v>990</v>
      </c>
      <c r="C10" s="1060" t="s">
        <v>991</v>
      </c>
      <c r="D10" s="1060" t="s">
        <v>992</v>
      </c>
      <c r="E10" s="2205"/>
      <c r="F10" s="2207"/>
      <c r="G10" s="1061" t="s">
        <v>112</v>
      </c>
      <c r="H10" s="1061" t="s">
        <v>111</v>
      </c>
      <c r="I10" s="2207"/>
      <c r="J10" s="2207"/>
      <c r="K10" s="2207"/>
      <c r="L10" s="2207"/>
      <c r="M10" s="2207"/>
      <c r="N10" s="2207"/>
      <c r="O10" s="2209"/>
      <c r="P10" s="1060" t="s">
        <v>160</v>
      </c>
      <c r="Q10" s="1060" t="s">
        <v>160</v>
      </c>
      <c r="R10" s="1060" t="s">
        <v>1568</v>
      </c>
      <c r="S10" s="1146" t="s">
        <v>1569</v>
      </c>
      <c r="T10" s="1060" t="s">
        <v>1570</v>
      </c>
      <c r="U10" s="1060" t="s">
        <v>1568</v>
      </c>
      <c r="V10" s="1060" t="s">
        <v>1569</v>
      </c>
      <c r="W10" s="1060" t="s">
        <v>1570</v>
      </c>
      <c r="X10" s="1060" t="s">
        <v>1568</v>
      </c>
      <c r="Y10" s="1146" t="s">
        <v>1569</v>
      </c>
      <c r="Z10" s="1133"/>
      <c r="AA10" s="2202"/>
      <c r="AB10" s="2202"/>
      <c r="AC10" s="2202"/>
      <c r="AE10" s="2229"/>
      <c r="AF10" s="2202"/>
      <c r="AG10" s="622" t="s">
        <v>95</v>
      </c>
      <c r="AH10" s="2203"/>
      <c r="AI10" s="2203"/>
      <c r="AJ10" s="2203"/>
      <c r="AK10" s="2203"/>
      <c r="AL10" s="2203"/>
    </row>
    <row r="11" spans="1:38" s="1057" customFormat="1" ht="14.85" customHeight="1">
      <c r="B11" s="622"/>
      <c r="C11" s="622"/>
      <c r="D11" s="622"/>
      <c r="E11" s="622"/>
      <c r="F11" s="622"/>
      <c r="G11" s="622"/>
      <c r="H11" s="622"/>
      <c r="I11" s="622"/>
      <c r="J11" s="622"/>
      <c r="K11" s="622"/>
      <c r="L11" s="622"/>
      <c r="M11" s="622"/>
      <c r="N11" s="1147"/>
      <c r="O11" s="622"/>
      <c r="P11" s="1147"/>
      <c r="Q11" s="1147"/>
      <c r="R11" s="622"/>
      <c r="S11" s="1147"/>
      <c r="T11" s="1147"/>
      <c r="U11" s="622"/>
      <c r="V11" s="622"/>
      <c r="W11" s="622"/>
      <c r="X11" s="622"/>
      <c r="Y11" s="1147"/>
      <c r="Z11" s="1133"/>
      <c r="AA11" s="1063"/>
      <c r="AB11" s="1063"/>
      <c r="AC11" s="1063"/>
      <c r="AF11" s="1148"/>
    </row>
    <row r="12" spans="1:38" s="1057" customFormat="1" ht="14.85" customHeight="1">
      <c r="B12" s="1051" t="s">
        <v>1571</v>
      </c>
      <c r="C12" s="1064" t="s">
        <v>1572</v>
      </c>
      <c r="D12" s="1064" t="s">
        <v>1573</v>
      </c>
      <c r="E12" s="1066">
        <v>42662</v>
      </c>
      <c r="F12" s="1149">
        <v>17</v>
      </c>
      <c r="G12" s="1149">
        <v>13</v>
      </c>
      <c r="H12" s="1150">
        <v>15</v>
      </c>
      <c r="I12" s="1150">
        <v>30.49</v>
      </c>
      <c r="J12" s="1071">
        <f t="shared" ref="J12:J40" si="0">L12-K12</f>
        <v>14828.987000000001</v>
      </c>
      <c r="K12" s="1071">
        <v>5350</v>
      </c>
      <c r="L12" s="839">
        <v>20178.987000000001</v>
      </c>
      <c r="M12" s="1071">
        <f>+J12*F12</f>
        <v>252092.77900000001</v>
      </c>
      <c r="N12" s="1071">
        <v>107000.01</v>
      </c>
      <c r="O12" s="1071">
        <f>+M12+N12</f>
        <v>359092.78899999999</v>
      </c>
      <c r="P12" s="1151">
        <v>48786000</v>
      </c>
      <c r="Q12" s="1151">
        <v>62887920</v>
      </c>
      <c r="R12" s="1071">
        <f t="shared" ref="R12:R40" si="1">IFERROR(O12/P12,"n/a")</f>
        <v>7.3605704300414047E-3</v>
      </c>
      <c r="S12" s="1071">
        <f t="shared" ref="S12:S40" si="2">IFERROR(O12/Q12,"n/a")</f>
        <v>5.7100439798295124E-3</v>
      </c>
      <c r="T12" s="1151">
        <f>O12+AG12-AF12</f>
        <v>381493.78899999999</v>
      </c>
      <c r="U12" s="1071">
        <f>IFERROR($T12/P12,"n/a")</f>
        <v>7.8197390439880294E-3</v>
      </c>
      <c r="V12" s="1071">
        <f>IFERROR($T12/Q12,"n/a")</f>
        <v>6.0662491142973087E-3</v>
      </c>
      <c r="W12" s="1151">
        <v>766886680</v>
      </c>
      <c r="X12" s="1071">
        <f>IFERROR($W12/P12,"n/a")</f>
        <v>15.719400647726808</v>
      </c>
      <c r="Y12" s="1071">
        <f>IFERROR($W12/Q12,"n/a")</f>
        <v>12.194499038925123</v>
      </c>
      <c r="Z12" s="1071"/>
      <c r="AA12" s="1071">
        <f>+I12*L12</f>
        <v>615257.31362999999</v>
      </c>
      <c r="AB12" s="1152">
        <v>42663</v>
      </c>
      <c r="AC12" s="1152">
        <f t="shared" ref="AC12:AC21" si="3">+AB12+30</f>
        <v>42693</v>
      </c>
      <c r="AD12" s="1074" t="s">
        <v>1574</v>
      </c>
      <c r="AE12" s="1074">
        <v>359092.78899999999</v>
      </c>
      <c r="AF12" s="1033">
        <v>8974</v>
      </c>
      <c r="AG12" s="1033">
        <v>31375</v>
      </c>
      <c r="AH12" s="1153">
        <f>AE12+AG12-AF12</f>
        <v>381493.78899999999</v>
      </c>
      <c r="AI12" s="1077">
        <v>3924</v>
      </c>
      <c r="AJ12" s="1077">
        <v>-15387</v>
      </c>
      <c r="AK12" s="1154">
        <f>IFERROR(AH12/AI12,"n/a")</f>
        <v>97.220639398572885</v>
      </c>
      <c r="AL12" s="1153">
        <f>IFERROR(AH12/AJ12,"n/a")</f>
        <v>-24.793253330733737</v>
      </c>
    </row>
    <row r="13" spans="1:38" s="1057" customFormat="1" ht="14.85" customHeight="1">
      <c r="B13" s="1051" t="s">
        <v>1575</v>
      </c>
      <c r="C13" s="1064" t="s">
        <v>1576</v>
      </c>
      <c r="D13" s="1064" t="s">
        <v>1577</v>
      </c>
      <c r="E13" s="1066">
        <v>42648</v>
      </c>
      <c r="F13" s="1149">
        <v>15</v>
      </c>
      <c r="G13" s="1149">
        <v>14</v>
      </c>
      <c r="H13" s="1150">
        <v>16</v>
      </c>
      <c r="I13" s="1150">
        <v>8.9499999999999993</v>
      </c>
      <c r="J13" s="1071">
        <f t="shared" si="0"/>
        <v>10953.471</v>
      </c>
      <c r="K13" s="1071">
        <v>5000</v>
      </c>
      <c r="L13" s="839">
        <v>15953.471</v>
      </c>
      <c r="M13" s="1071">
        <f t="shared" ref="M13:M16" si="4">+J13*F13</f>
        <v>164302.065</v>
      </c>
      <c r="N13" s="1071">
        <v>75000</v>
      </c>
      <c r="O13" s="1071">
        <f t="shared" ref="O13:O40" si="5">+M13+N13</f>
        <v>239302.065</v>
      </c>
      <c r="P13" s="1151">
        <v>3924000</v>
      </c>
      <c r="Q13" s="1151">
        <v>3332750</v>
      </c>
      <c r="R13" s="1071">
        <f t="shared" si="1"/>
        <v>6.0984216360856269E-2</v>
      </c>
      <c r="S13" s="1071">
        <f t="shared" si="2"/>
        <v>7.1803185057385047E-2</v>
      </c>
      <c r="T13" s="1151">
        <f t="shared" ref="T13:T16" si="6">O13+AG13-AF13</f>
        <v>244856.065</v>
      </c>
      <c r="U13" s="1071">
        <f t="shared" ref="U13:V16" si="7">IFERROR($T13/P13,"n/a")</f>
        <v>6.2399608817533127E-2</v>
      </c>
      <c r="V13" s="1071">
        <f t="shared" si="7"/>
        <v>7.3469676693421346E-2</v>
      </c>
      <c r="W13" s="1151">
        <v>249632570</v>
      </c>
      <c r="X13" s="1071">
        <f t="shared" ref="X13:Y16" si="8">IFERROR($W13/P13,"n/a")</f>
        <v>63.616862895005099</v>
      </c>
      <c r="Y13" s="1071">
        <f t="shared" si="8"/>
        <v>74.902879003825674</v>
      </c>
      <c r="Z13" s="1071"/>
      <c r="AA13" s="1071">
        <f t="shared" ref="AA13:AA16" si="9">+I13*L13</f>
        <v>142783.56544999999</v>
      </c>
      <c r="AB13" s="1152">
        <v>42649</v>
      </c>
      <c r="AC13" s="1152">
        <f t="shared" si="3"/>
        <v>42679</v>
      </c>
      <c r="AD13" s="1074" t="s">
        <v>1578</v>
      </c>
      <c r="AE13" s="1074">
        <v>239302.065</v>
      </c>
      <c r="AF13" s="1033">
        <v>4329</v>
      </c>
      <c r="AG13" s="1033">
        <v>9883</v>
      </c>
      <c r="AH13" s="1153">
        <f t="shared" ref="AH13:AH40" si="10">AE13+AG13-AF13</f>
        <v>244856.065</v>
      </c>
      <c r="AI13" s="1153">
        <v>71409</v>
      </c>
      <c r="AJ13" s="1153">
        <v>5566</v>
      </c>
      <c r="AK13" s="1154">
        <f t="shared" ref="AK13:AK40" si="11">IFERROR(AH13/AI13,"n/a")</f>
        <v>3.4289244352952708</v>
      </c>
      <c r="AL13" s="1154">
        <f t="shared" ref="AL13:AL40" si="12">IFERROR(AH13/AJ13,"n/a")</f>
        <v>43.99138789076536</v>
      </c>
    </row>
    <row r="14" spans="1:38" s="1057" customFormat="1" ht="14.85" customHeight="1">
      <c r="B14" s="1051" t="s">
        <v>1579</v>
      </c>
      <c r="C14" s="1064" t="s">
        <v>1580</v>
      </c>
      <c r="D14" s="1064" t="s">
        <v>1581</v>
      </c>
      <c r="E14" s="1066">
        <v>42578</v>
      </c>
      <c r="F14" s="1149">
        <v>10</v>
      </c>
      <c r="G14" s="1149">
        <v>14</v>
      </c>
      <c r="H14" s="1150">
        <v>16</v>
      </c>
      <c r="I14" s="1150">
        <v>13.57</v>
      </c>
      <c r="J14" s="1071">
        <f t="shared" si="0"/>
        <v>12649.017</v>
      </c>
      <c r="K14" s="1071">
        <v>4000</v>
      </c>
      <c r="L14" s="839">
        <v>16649.017</v>
      </c>
      <c r="M14" s="1071">
        <f t="shared" si="4"/>
        <v>126490.17</v>
      </c>
      <c r="N14" s="1071">
        <v>40000</v>
      </c>
      <c r="O14" s="1071">
        <f t="shared" si="5"/>
        <v>166490.16999999998</v>
      </c>
      <c r="P14" s="1151">
        <v>66450999.999999993</v>
      </c>
      <c r="Q14" s="1151">
        <v>82300000</v>
      </c>
      <c r="R14" s="1071">
        <f t="shared" si="1"/>
        <v>2.5054577056778681E-3</v>
      </c>
      <c r="S14" s="1071">
        <f t="shared" si="2"/>
        <v>2.0229668286755771E-3</v>
      </c>
      <c r="T14" s="1151">
        <f t="shared" si="6"/>
        <v>160703.16999999998</v>
      </c>
      <c r="U14" s="1071">
        <f t="shared" si="7"/>
        <v>2.4183709801206903E-3</v>
      </c>
      <c r="V14" s="1071">
        <f t="shared" si="7"/>
        <v>1.9526509113001213E-3</v>
      </c>
      <c r="W14" s="1151">
        <v>199301160</v>
      </c>
      <c r="X14" s="1071">
        <f t="shared" si="8"/>
        <v>2.9992198762998301</v>
      </c>
      <c r="Y14" s="1071">
        <f t="shared" si="8"/>
        <v>2.421642284325638</v>
      </c>
      <c r="Z14" s="1071"/>
      <c r="AA14" s="1071">
        <f t="shared" si="9"/>
        <v>225927.16068999999</v>
      </c>
      <c r="AB14" s="1152">
        <v>42579</v>
      </c>
      <c r="AC14" s="1152">
        <f t="shared" si="3"/>
        <v>42609</v>
      </c>
      <c r="AD14" s="1074" t="s">
        <v>1582</v>
      </c>
      <c r="AE14" s="1074">
        <v>166490.16999999998</v>
      </c>
      <c r="AF14" s="1033">
        <v>5787</v>
      </c>
      <c r="AG14" s="1033">
        <v>0</v>
      </c>
      <c r="AH14" s="1153">
        <f t="shared" si="10"/>
        <v>160703.16999999998</v>
      </c>
      <c r="AI14" s="1153">
        <v>0</v>
      </c>
      <c r="AJ14" s="1153">
        <v>-5970.97</v>
      </c>
      <c r="AK14" s="1154" t="str">
        <f t="shared" si="11"/>
        <v>n/a</v>
      </c>
      <c r="AL14" s="1154">
        <f t="shared" si="12"/>
        <v>-26.914080961719783</v>
      </c>
    </row>
    <row r="15" spans="1:38" s="1057" customFormat="1" ht="14.85" customHeight="1">
      <c r="B15" s="1051" t="s">
        <v>1583</v>
      </c>
      <c r="C15" s="1064" t="s">
        <v>1584</v>
      </c>
      <c r="D15" s="1064" t="s">
        <v>1585</v>
      </c>
      <c r="E15" s="1066">
        <v>42507</v>
      </c>
      <c r="F15" s="1149">
        <v>4</v>
      </c>
      <c r="G15" s="1149">
        <v>0</v>
      </c>
      <c r="H15" s="1150">
        <v>0</v>
      </c>
      <c r="I15" s="1150">
        <v>4.37</v>
      </c>
      <c r="J15" s="1071">
        <f t="shared" si="0"/>
        <v>7565.4509999999991</v>
      </c>
      <c r="K15" s="1071">
        <v>5000</v>
      </c>
      <c r="L15" s="839">
        <v>12565.450999999999</v>
      </c>
      <c r="M15" s="1071">
        <f t="shared" si="4"/>
        <v>30261.803999999996</v>
      </c>
      <c r="N15" s="1071">
        <v>20000</v>
      </c>
      <c r="O15" s="1071">
        <f t="shared" si="5"/>
        <v>50261.803999999996</v>
      </c>
      <c r="P15" s="1151">
        <v>0</v>
      </c>
      <c r="Q15" s="1151">
        <v>0</v>
      </c>
      <c r="R15" s="1071" t="str">
        <f t="shared" si="1"/>
        <v>n/a</v>
      </c>
      <c r="S15" s="1071" t="str">
        <f t="shared" si="2"/>
        <v>n/a</v>
      </c>
      <c r="T15" s="1151">
        <f t="shared" si="6"/>
        <v>46655.894</v>
      </c>
      <c r="U15" s="1071" t="str">
        <f t="shared" si="7"/>
        <v>n/a</v>
      </c>
      <c r="V15" s="1071" t="str">
        <f t="shared" si="7"/>
        <v>n/a</v>
      </c>
      <c r="W15" s="1151">
        <v>51305110</v>
      </c>
      <c r="X15" s="1071" t="str">
        <f t="shared" si="8"/>
        <v>n/a</v>
      </c>
      <c r="Y15" s="1071" t="str">
        <f t="shared" si="8"/>
        <v>n/a</v>
      </c>
      <c r="Z15" s="1071"/>
      <c r="AA15" s="1071">
        <f t="shared" si="9"/>
        <v>54911.02087</v>
      </c>
      <c r="AB15" s="1152">
        <v>42508</v>
      </c>
      <c r="AC15" s="1152">
        <f t="shared" si="3"/>
        <v>42538</v>
      </c>
      <c r="AD15" s="1074" t="s">
        <v>1586</v>
      </c>
      <c r="AE15" s="1074">
        <v>50261.803999999996</v>
      </c>
      <c r="AF15" s="1033">
        <v>3605.91</v>
      </c>
      <c r="AG15" s="1033">
        <v>0</v>
      </c>
      <c r="AH15" s="1153">
        <f t="shared" si="10"/>
        <v>46655.894</v>
      </c>
      <c r="AI15" s="1153">
        <v>0</v>
      </c>
      <c r="AJ15" s="1153">
        <v>0</v>
      </c>
      <c r="AK15" s="1154" t="str">
        <f t="shared" si="11"/>
        <v>n/a</v>
      </c>
      <c r="AL15" s="1154" t="str">
        <f t="shared" si="12"/>
        <v>n/a</v>
      </c>
    </row>
    <row r="16" spans="1:38" s="1057" customFormat="1" ht="14.85" customHeight="1">
      <c r="B16" s="1051" t="s">
        <v>1587</v>
      </c>
      <c r="C16" s="1064" t="s">
        <v>1588</v>
      </c>
      <c r="D16" s="1064" t="s">
        <v>1589</v>
      </c>
      <c r="E16" s="1066">
        <v>42488</v>
      </c>
      <c r="F16" s="1149">
        <v>5</v>
      </c>
      <c r="G16" s="1149">
        <v>0</v>
      </c>
      <c r="H16" s="1150">
        <v>0</v>
      </c>
      <c r="I16" s="1150">
        <v>14.3</v>
      </c>
      <c r="J16" s="1151">
        <f t="shared" si="0"/>
        <v>12250</v>
      </c>
      <c r="K16" s="1151">
        <f>+L16-(12250000/1000)</f>
        <v>1200</v>
      </c>
      <c r="L16" s="839">
        <v>13450</v>
      </c>
      <c r="M16" s="1071">
        <f t="shared" si="4"/>
        <v>61250</v>
      </c>
      <c r="N16" s="1071">
        <v>5300</v>
      </c>
      <c r="O16" s="1071">
        <f t="shared" si="5"/>
        <v>66550</v>
      </c>
      <c r="P16" s="1151">
        <v>0</v>
      </c>
      <c r="Q16" s="1151">
        <v>0</v>
      </c>
      <c r="R16" s="1071" t="str">
        <f t="shared" si="1"/>
        <v>n/a</v>
      </c>
      <c r="S16" s="1071" t="str">
        <f t="shared" si="2"/>
        <v>n/a</v>
      </c>
      <c r="T16" s="1151">
        <f t="shared" si="6"/>
        <v>65782.73</v>
      </c>
      <c r="U16" s="1071" t="str">
        <f t="shared" si="7"/>
        <v>n/a</v>
      </c>
      <c r="V16" s="1071" t="str">
        <f t="shared" si="7"/>
        <v>n/a</v>
      </c>
      <c r="W16" s="1151">
        <v>187310150</v>
      </c>
      <c r="X16" s="1071" t="str">
        <f t="shared" si="8"/>
        <v>n/a</v>
      </c>
      <c r="Y16" s="1071" t="str">
        <f t="shared" si="8"/>
        <v>n/a</v>
      </c>
      <c r="Z16" s="1071"/>
      <c r="AA16" s="1071">
        <f t="shared" si="9"/>
        <v>192335</v>
      </c>
      <c r="AB16" s="1152">
        <v>42579</v>
      </c>
      <c r="AC16" s="1152">
        <f t="shared" si="3"/>
        <v>42609</v>
      </c>
      <c r="AD16" s="1074" t="s">
        <v>1590</v>
      </c>
      <c r="AE16" s="1074">
        <v>66550</v>
      </c>
      <c r="AF16" s="1033">
        <v>767.27</v>
      </c>
      <c r="AG16" s="1033">
        <v>0</v>
      </c>
      <c r="AH16" s="1153">
        <f t="shared" si="10"/>
        <v>65782.73</v>
      </c>
      <c r="AI16" s="1153">
        <v>227857</v>
      </c>
      <c r="AJ16" s="1153">
        <v>7320</v>
      </c>
      <c r="AK16" s="1154">
        <f t="shared" si="11"/>
        <v>0.28870181736791056</v>
      </c>
      <c r="AL16" s="1154">
        <f t="shared" si="12"/>
        <v>8.9867117486338799</v>
      </c>
    </row>
    <row r="17" spans="2:38" s="1057" customFormat="1" ht="14.85" customHeight="1">
      <c r="B17" s="1051" t="s">
        <v>1591</v>
      </c>
      <c r="C17" s="1064" t="s">
        <v>1592</v>
      </c>
      <c r="D17" s="1064" t="s">
        <v>1593</v>
      </c>
      <c r="E17" s="1066">
        <v>42264</v>
      </c>
      <c r="F17" s="1149">
        <v>30</v>
      </c>
      <c r="G17" s="1149">
        <v>25</v>
      </c>
      <c r="H17" s="1150">
        <v>28</v>
      </c>
      <c r="I17" s="1150">
        <v>40.799999999999997</v>
      </c>
      <c r="J17" s="1071">
        <f t="shared" si="0"/>
        <v>26038.636999999999</v>
      </c>
      <c r="K17" s="1071">
        <v>4600</v>
      </c>
      <c r="L17" s="839">
        <v>30638.636999999999</v>
      </c>
      <c r="M17" s="1071">
        <f>+J17*F17</f>
        <v>781159.11</v>
      </c>
      <c r="N17" s="1071">
        <v>120000</v>
      </c>
      <c r="O17" s="1071">
        <f t="shared" si="5"/>
        <v>901159.11</v>
      </c>
      <c r="P17" s="1151">
        <v>149130000</v>
      </c>
      <c r="Q17" s="1151">
        <v>178289300</v>
      </c>
      <c r="R17" s="1071">
        <f t="shared" si="1"/>
        <v>6.0427754978877486E-3</v>
      </c>
      <c r="S17" s="1071">
        <f t="shared" si="2"/>
        <v>5.0544766848038556E-3</v>
      </c>
      <c r="T17" s="1151">
        <f>O17+AG17-AF17</f>
        <v>864395.11</v>
      </c>
      <c r="U17" s="1071">
        <f>IFERROR($T17/P17,"n/a")</f>
        <v>5.7962523301817205E-3</v>
      </c>
      <c r="V17" s="1071">
        <f>IFERROR($T17/Q17,"n/a")</f>
        <v>4.8482724986861243E-3</v>
      </c>
      <c r="W17" s="1151">
        <v>1300279390</v>
      </c>
      <c r="X17" s="1071">
        <f>IFERROR($W17/P17,"n/a")</f>
        <v>8.7191000469389124</v>
      </c>
      <c r="Y17" s="1071">
        <f>IFERROR($W17/Q17,"n/a")</f>
        <v>7.2930870781364892</v>
      </c>
      <c r="Z17" s="1071"/>
      <c r="AA17" s="1071">
        <f>+I17*L17</f>
        <v>1250056.3895999999</v>
      </c>
      <c r="AB17" s="1152">
        <v>42265</v>
      </c>
      <c r="AC17" s="1152">
        <f t="shared" si="3"/>
        <v>42295</v>
      </c>
      <c r="AD17" s="1074" t="s">
        <v>1594</v>
      </c>
      <c r="AE17" s="1074">
        <v>901159.11</v>
      </c>
      <c r="AF17" s="1033">
        <v>36764</v>
      </c>
      <c r="AG17" s="1033">
        <v>0</v>
      </c>
      <c r="AH17" s="1153">
        <f t="shared" si="10"/>
        <v>864395.11</v>
      </c>
      <c r="AI17" s="1153">
        <v>72148</v>
      </c>
      <c r="AJ17" s="1153">
        <v>-57318</v>
      </c>
      <c r="AK17" s="1154">
        <f t="shared" si="11"/>
        <v>11.980860314908243</v>
      </c>
      <c r="AL17" s="1154">
        <f t="shared" si="12"/>
        <v>-15.080692103702154</v>
      </c>
    </row>
    <row r="18" spans="2:38" s="1057" customFormat="1" ht="14.85" customHeight="1">
      <c r="B18" s="1051" t="s">
        <v>1595</v>
      </c>
      <c r="C18" s="1064" t="s">
        <v>1596</v>
      </c>
      <c r="D18" s="1064" t="s">
        <v>1597</v>
      </c>
      <c r="E18" s="1066">
        <v>42185</v>
      </c>
      <c r="F18" s="1149">
        <v>15</v>
      </c>
      <c r="G18" s="1149">
        <v>14</v>
      </c>
      <c r="H18" s="1150">
        <v>16</v>
      </c>
      <c r="I18" s="1150">
        <v>23.08</v>
      </c>
      <c r="J18" s="1071">
        <f t="shared" si="0"/>
        <v>30086.637000000002</v>
      </c>
      <c r="K18" s="1071">
        <v>10350</v>
      </c>
      <c r="L18" s="839">
        <v>40436.637000000002</v>
      </c>
      <c r="M18" s="1071">
        <f t="shared" ref="M18:M40" si="13">+J18*F18</f>
        <v>451299.55500000005</v>
      </c>
      <c r="N18" s="1071">
        <v>135000</v>
      </c>
      <c r="O18" s="1071">
        <f t="shared" si="5"/>
        <v>586299.55500000005</v>
      </c>
      <c r="P18" s="1151">
        <v>51287000</v>
      </c>
      <c r="Q18" s="1151">
        <v>64888710</v>
      </c>
      <c r="R18" s="1071">
        <f t="shared" si="1"/>
        <v>1.1431738159767583E-2</v>
      </c>
      <c r="S18" s="1071">
        <f t="shared" si="2"/>
        <v>9.0354632570134319E-3</v>
      </c>
      <c r="T18" s="1151">
        <f t="shared" ref="T18:T40" si="14">O18+AG18-AF18</f>
        <v>573920.55500000005</v>
      </c>
      <c r="U18" s="1071">
        <f>IFERROR($T18/P18,"n/a")</f>
        <v>1.1190370951703162E-2</v>
      </c>
      <c r="V18" s="1071">
        <f>IFERROR($T18/Q18,"n/a")</f>
        <v>8.8446904708076347E-3</v>
      </c>
      <c r="W18" s="1151">
        <v>889748960</v>
      </c>
      <c r="X18" s="1071">
        <f t="shared" ref="X18:Y40" si="15">IFERROR($W18/P18,"n/a")</f>
        <v>17.348430596447443</v>
      </c>
      <c r="Y18" s="1071">
        <f t="shared" si="15"/>
        <v>13.711922459238286</v>
      </c>
      <c r="Z18" s="1071"/>
      <c r="AA18" s="1071">
        <f>+I18*L18</f>
        <v>933277.58195999998</v>
      </c>
      <c r="AB18" s="1152">
        <v>42186</v>
      </c>
      <c r="AC18" s="1152">
        <f t="shared" si="3"/>
        <v>42216</v>
      </c>
      <c r="AD18" s="1074" t="s">
        <v>1598</v>
      </c>
      <c r="AE18" s="1074">
        <v>586299.55500000005</v>
      </c>
      <c r="AF18" s="1033">
        <v>22939</v>
      </c>
      <c r="AG18" s="1033">
        <v>10560</v>
      </c>
      <c r="AH18" s="1153">
        <f t="shared" si="10"/>
        <v>573920.55500000005</v>
      </c>
      <c r="AI18" s="1153">
        <v>90928</v>
      </c>
      <c r="AJ18" s="1153">
        <v>3392</v>
      </c>
      <c r="AK18" s="1154">
        <f t="shared" si="11"/>
        <v>6.3118132478444489</v>
      </c>
      <c r="AL18" s="1154">
        <f t="shared" si="12"/>
        <v>169.1982768278302</v>
      </c>
    </row>
    <row r="19" spans="2:38" s="1057" customFormat="1" ht="14.85" customHeight="1">
      <c r="B19" s="1051" t="s">
        <v>1599</v>
      </c>
      <c r="C19" s="1064" t="s">
        <v>1600</v>
      </c>
      <c r="D19" s="1064" t="s">
        <v>1601</v>
      </c>
      <c r="E19" s="1066">
        <v>42179</v>
      </c>
      <c r="F19" s="1150">
        <v>18</v>
      </c>
      <c r="G19" s="1150">
        <v>13</v>
      </c>
      <c r="H19" s="1150">
        <v>15</v>
      </c>
      <c r="I19" s="1150">
        <v>32.119999999999997</v>
      </c>
      <c r="J19" s="1071">
        <f t="shared" si="0"/>
        <v>24363.330999999998</v>
      </c>
      <c r="K19" s="1071">
        <v>6900</v>
      </c>
      <c r="L19" s="839">
        <v>31263.330999999998</v>
      </c>
      <c r="M19" s="1071">
        <f t="shared" si="13"/>
        <v>438539.95799999998</v>
      </c>
      <c r="N19" s="1071">
        <v>108000</v>
      </c>
      <c r="O19" s="1071">
        <f t="shared" si="5"/>
        <v>546539.95799999998</v>
      </c>
      <c r="P19" s="1151">
        <v>52004000</v>
      </c>
      <c r="Q19" s="1151">
        <v>71599930</v>
      </c>
      <c r="R19" s="1071">
        <f t="shared" si="1"/>
        <v>1.0509575378817014E-2</v>
      </c>
      <c r="S19" s="1071">
        <f t="shared" si="2"/>
        <v>7.6332470995432531E-3</v>
      </c>
      <c r="T19" s="1151">
        <f t="shared" si="14"/>
        <v>564641.95799999998</v>
      </c>
      <c r="U19" s="1071">
        <f t="shared" ref="U19:V40" si="16">IFERROR($T19/P19,"n/a")</f>
        <v>1.0857663987385585E-2</v>
      </c>
      <c r="V19" s="1071">
        <f t="shared" si="16"/>
        <v>7.8860685757653672E-3</v>
      </c>
      <c r="W19" s="1151">
        <v>983313560</v>
      </c>
      <c r="X19" s="1071">
        <f t="shared" si="15"/>
        <v>18.908421659872317</v>
      </c>
      <c r="Y19" s="1071">
        <f t="shared" si="15"/>
        <v>13.733443035489001</v>
      </c>
      <c r="Z19" s="1071"/>
      <c r="AA19" s="1071">
        <f t="shared" ref="AA19:AA40" si="17">+I19*J19</f>
        <v>782550.19171999989</v>
      </c>
      <c r="AB19" s="1152">
        <v>42180</v>
      </c>
      <c r="AC19" s="1152">
        <f t="shared" si="3"/>
        <v>42210</v>
      </c>
      <c r="AD19" s="1074" t="s">
        <v>1602</v>
      </c>
      <c r="AE19" s="1074">
        <v>546539.95799999998</v>
      </c>
      <c r="AF19" s="1033">
        <v>4239</v>
      </c>
      <c r="AG19" s="1033">
        <v>22341</v>
      </c>
      <c r="AH19" s="1153">
        <f t="shared" si="10"/>
        <v>564641.95799999998</v>
      </c>
      <c r="AI19" s="1153">
        <v>462.05</v>
      </c>
      <c r="AJ19" s="1153">
        <v>-14963.6</v>
      </c>
      <c r="AK19" s="1154">
        <f t="shared" si="11"/>
        <v>1222.0364852288712</v>
      </c>
      <c r="AL19" s="1154">
        <f t="shared" si="12"/>
        <v>-37.734365927985245</v>
      </c>
    </row>
    <row r="20" spans="2:38" s="1057" customFormat="1" ht="14.85" customHeight="1">
      <c r="B20" s="1051" t="s">
        <v>1603</v>
      </c>
      <c r="C20" s="1064" t="s">
        <v>1604</v>
      </c>
      <c r="D20" s="1064" t="s">
        <v>1605</v>
      </c>
      <c r="E20" s="1066">
        <v>42173</v>
      </c>
      <c r="F20" s="1150">
        <v>0.39183000000000001</v>
      </c>
      <c r="G20" s="1150">
        <v>0</v>
      </c>
      <c r="H20" s="1150">
        <v>0</v>
      </c>
      <c r="I20" s="1150">
        <v>0.44996999999999998</v>
      </c>
      <c r="J20" s="1071">
        <f t="shared" si="0"/>
        <v>138244.701</v>
      </c>
      <c r="K20" s="1071">
        <v>73027.989000000001</v>
      </c>
      <c r="L20" s="839">
        <v>211272.69</v>
      </c>
      <c r="M20" s="1071">
        <f t="shared" si="13"/>
        <v>54168.421192829999</v>
      </c>
      <c r="N20" s="1071">
        <v>28614.86</v>
      </c>
      <c r="O20" s="1071">
        <f t="shared" si="5"/>
        <v>82783.281192830007</v>
      </c>
      <c r="P20" s="1151">
        <v>0</v>
      </c>
      <c r="Q20" s="1151">
        <v>900000</v>
      </c>
      <c r="R20" s="1071" t="str">
        <f t="shared" si="1"/>
        <v>n/a</v>
      </c>
      <c r="S20" s="1071">
        <f t="shared" si="2"/>
        <v>9.1981423547588897E-2</v>
      </c>
      <c r="T20" s="1151">
        <f t="shared" si="14"/>
        <v>84696.281192830007</v>
      </c>
      <c r="U20" s="1071" t="str">
        <f t="shared" si="16"/>
        <v>n/a</v>
      </c>
      <c r="V20" s="1071">
        <f t="shared" si="16"/>
        <v>9.4106979103144459E-2</v>
      </c>
      <c r="W20" s="1151">
        <v>96878820</v>
      </c>
      <c r="X20" s="1071" t="str">
        <f t="shared" si="15"/>
        <v>n/a</v>
      </c>
      <c r="Y20" s="1071">
        <f t="shared" si="15"/>
        <v>107.64313333333334</v>
      </c>
      <c r="Z20" s="1071"/>
      <c r="AA20" s="1071">
        <f t="shared" si="17"/>
        <v>62205.968108969995</v>
      </c>
      <c r="AB20" s="1152">
        <v>42177</v>
      </c>
      <c r="AC20" s="1152">
        <f t="shared" si="3"/>
        <v>42207</v>
      </c>
      <c r="AD20" s="1074" t="s">
        <v>1606</v>
      </c>
      <c r="AE20" s="1074">
        <v>82783.281192830007</v>
      </c>
      <c r="AF20" s="1033">
        <v>1651</v>
      </c>
      <c r="AG20" s="1033">
        <v>3564</v>
      </c>
      <c r="AH20" s="1153">
        <f t="shared" si="10"/>
        <v>84696.281192830007</v>
      </c>
      <c r="AI20" s="1153">
        <v>26469</v>
      </c>
      <c r="AJ20" s="1153">
        <v>-37625</v>
      </c>
      <c r="AK20" s="1154">
        <f t="shared" si="11"/>
        <v>3.1998292792636671</v>
      </c>
      <c r="AL20" s="1154">
        <f t="shared" si="12"/>
        <v>-2.251063951968904</v>
      </c>
    </row>
    <row r="21" spans="2:38" s="1057" customFormat="1" ht="14.85" customHeight="1">
      <c r="B21" s="1051" t="s">
        <v>1607</v>
      </c>
      <c r="C21" s="1064" t="s">
        <v>1608</v>
      </c>
      <c r="D21" s="1064" t="s">
        <v>1609</v>
      </c>
      <c r="E21" s="1066">
        <v>42166</v>
      </c>
      <c r="F21" s="1150">
        <v>12</v>
      </c>
      <c r="G21" s="1150">
        <v>14</v>
      </c>
      <c r="H21" s="1150">
        <v>16</v>
      </c>
      <c r="I21" s="1150">
        <v>13.75</v>
      </c>
      <c r="J21" s="1071">
        <f t="shared" si="0"/>
        <v>8701.0920000000006</v>
      </c>
      <c r="K21" s="1071">
        <v>4600</v>
      </c>
      <c r="L21" s="839">
        <v>13301.092000000001</v>
      </c>
      <c r="M21" s="1071">
        <f t="shared" si="13"/>
        <v>104413.10400000001</v>
      </c>
      <c r="N21" s="1071">
        <v>48000</v>
      </c>
      <c r="O21" s="1071">
        <f t="shared" si="5"/>
        <v>152413.10399999999</v>
      </c>
      <c r="P21" s="1151">
        <v>15391000</v>
      </c>
      <c r="Q21" s="1151">
        <v>20775000</v>
      </c>
      <c r="R21" s="1071">
        <f t="shared" si="1"/>
        <v>9.9027421220193607E-3</v>
      </c>
      <c r="S21" s="1071">
        <f t="shared" si="2"/>
        <v>7.3363708303249096E-3</v>
      </c>
      <c r="T21" s="1151">
        <f t="shared" si="14"/>
        <v>141544.10399999999</v>
      </c>
      <c r="U21" s="1071">
        <f t="shared" si="16"/>
        <v>9.1965501916704568E-3</v>
      </c>
      <c r="V21" s="1071">
        <f t="shared" si="16"/>
        <v>6.8131939350180503E-3</v>
      </c>
      <c r="W21" s="1151">
        <v>163771020</v>
      </c>
      <c r="X21" s="1071">
        <f t="shared" si="15"/>
        <v>10.640700409330128</v>
      </c>
      <c r="Y21" s="1071">
        <f t="shared" si="15"/>
        <v>7.8830815884476531</v>
      </c>
      <c r="Z21" s="1071"/>
      <c r="AA21" s="1071">
        <f t="shared" si="17"/>
        <v>119640.01500000001</v>
      </c>
      <c r="AB21" s="1152">
        <v>42170</v>
      </c>
      <c r="AC21" s="1152">
        <f t="shared" si="3"/>
        <v>42200</v>
      </c>
      <c r="AD21" s="1074" t="s">
        <v>1610</v>
      </c>
      <c r="AE21" s="1074">
        <v>152413.10399999999</v>
      </c>
      <c r="AF21" s="1033">
        <v>25251</v>
      </c>
      <c r="AG21" s="1033">
        <v>14382</v>
      </c>
      <c r="AH21" s="1153">
        <f t="shared" si="10"/>
        <v>141544.10399999999</v>
      </c>
      <c r="AI21" s="1153">
        <v>74624</v>
      </c>
      <c r="AJ21" s="1153">
        <v>-42901</v>
      </c>
      <c r="AK21" s="1154">
        <f t="shared" si="11"/>
        <v>1.8967638293310463</v>
      </c>
      <c r="AL21" s="1154">
        <f t="shared" si="12"/>
        <v>-3.2993194564229271</v>
      </c>
    </row>
    <row r="22" spans="2:38" s="1051" customFormat="1" ht="14.85" customHeight="1">
      <c r="B22" s="1051" t="s">
        <v>1611</v>
      </c>
      <c r="C22" s="1064" t="s">
        <v>1612</v>
      </c>
      <c r="D22" s="1064" t="s">
        <v>1613</v>
      </c>
      <c r="E22" s="1066">
        <v>42159</v>
      </c>
      <c r="F22" s="1150">
        <v>15</v>
      </c>
      <c r="G22" s="1150">
        <v>15</v>
      </c>
      <c r="H22" s="1150">
        <v>17</v>
      </c>
      <c r="I22" s="1150">
        <v>15.80622</v>
      </c>
      <c r="J22" s="1071">
        <f t="shared" si="0"/>
        <v>17910.787</v>
      </c>
      <c r="K22" s="1071">
        <v>7302.5</v>
      </c>
      <c r="L22" s="839">
        <v>25213.287</v>
      </c>
      <c r="M22" s="1071">
        <f t="shared" si="13"/>
        <v>268661.80499999999</v>
      </c>
      <c r="N22" s="1071">
        <v>95250</v>
      </c>
      <c r="O22" s="1071">
        <f t="shared" si="5"/>
        <v>363911.80499999999</v>
      </c>
      <c r="P22" s="1151" t="s">
        <v>13</v>
      </c>
      <c r="Q22" s="1151" t="s">
        <v>13</v>
      </c>
      <c r="R22" s="1071" t="str">
        <f t="shared" si="1"/>
        <v>n/a</v>
      </c>
      <c r="S22" s="1071" t="str">
        <f t="shared" si="2"/>
        <v>n/a</v>
      </c>
      <c r="T22" s="1151" t="s">
        <v>13</v>
      </c>
      <c r="U22" s="1071" t="str">
        <f t="shared" si="16"/>
        <v>n/a</v>
      </c>
      <c r="V22" s="1071" t="str">
        <f t="shared" si="16"/>
        <v>n/a</v>
      </c>
      <c r="W22" s="1151" t="s">
        <v>13</v>
      </c>
      <c r="X22" s="1071" t="str">
        <f t="shared" si="15"/>
        <v>n/a</v>
      </c>
      <c r="Y22" s="1071" t="str">
        <f t="shared" si="15"/>
        <v>n/a</v>
      </c>
      <c r="Z22" s="1071"/>
      <c r="AA22" s="1071">
        <f t="shared" si="17"/>
        <v>283101.83969514002</v>
      </c>
      <c r="AB22" s="1152">
        <v>42171</v>
      </c>
      <c r="AC22" s="1152">
        <v>42201</v>
      </c>
      <c r="AD22" s="1074" t="s">
        <v>1612</v>
      </c>
      <c r="AE22" s="1074">
        <v>363911.80499999999</v>
      </c>
      <c r="AF22" s="1033">
        <v>32981</v>
      </c>
      <c r="AG22" s="1033">
        <v>39481</v>
      </c>
      <c r="AH22" s="1153">
        <f t="shared" si="10"/>
        <v>370411.80499999999</v>
      </c>
      <c r="AI22" s="1153">
        <v>0</v>
      </c>
      <c r="AJ22" s="1153">
        <v>-32861</v>
      </c>
      <c r="AK22" s="1154" t="str">
        <f t="shared" si="11"/>
        <v>n/a</v>
      </c>
      <c r="AL22" s="1154">
        <f t="shared" si="12"/>
        <v>-11.272079516752381</v>
      </c>
    </row>
    <row r="23" spans="2:38" s="1051" customFormat="1" ht="14.85" customHeight="1">
      <c r="B23" s="1051" t="s">
        <v>1225</v>
      </c>
      <c r="C23" s="1064" t="s">
        <v>1226</v>
      </c>
      <c r="D23" s="1064" t="s">
        <v>1227</v>
      </c>
      <c r="E23" s="1066">
        <v>42048</v>
      </c>
      <c r="F23" s="1150">
        <v>12</v>
      </c>
      <c r="G23" s="1150">
        <v>14</v>
      </c>
      <c r="H23" s="1150">
        <v>16</v>
      </c>
      <c r="I23" s="1150">
        <v>9.75</v>
      </c>
      <c r="J23" s="1071">
        <f t="shared" si="0"/>
        <v>6905.3259999999991</v>
      </c>
      <c r="K23" s="1071">
        <v>5000</v>
      </c>
      <c r="L23" s="839">
        <v>11905.325999999999</v>
      </c>
      <c r="M23" s="1071">
        <f t="shared" si="13"/>
        <v>82863.911999999982</v>
      </c>
      <c r="N23" s="1071">
        <v>60000</v>
      </c>
      <c r="O23" s="1071">
        <f t="shared" si="5"/>
        <v>142863.91199999998</v>
      </c>
      <c r="P23" s="1151">
        <v>0</v>
      </c>
      <c r="Q23" s="1151">
        <v>0</v>
      </c>
      <c r="R23" s="1071" t="str">
        <f t="shared" si="1"/>
        <v>n/a</v>
      </c>
      <c r="S23" s="1071" t="str">
        <f t="shared" si="2"/>
        <v>n/a</v>
      </c>
      <c r="T23" s="1151">
        <f t="shared" si="14"/>
        <v>112258.91199999998</v>
      </c>
      <c r="U23" s="1071" t="str">
        <f t="shared" si="16"/>
        <v>n/a</v>
      </c>
      <c r="V23" s="1071" t="str">
        <f t="shared" si="16"/>
        <v>n/a</v>
      </c>
      <c r="W23" s="1151">
        <v>95221930</v>
      </c>
      <c r="X23" s="1071" t="str">
        <f t="shared" si="15"/>
        <v>n/a</v>
      </c>
      <c r="Y23" s="1071" t="str">
        <f t="shared" si="15"/>
        <v>n/a</v>
      </c>
      <c r="Z23" s="1071"/>
      <c r="AA23" s="1071">
        <f t="shared" si="17"/>
        <v>67326.928499999995</v>
      </c>
      <c r="AB23" s="1152">
        <v>42048</v>
      </c>
      <c r="AC23" s="1152">
        <f t="shared" ref="AC23:AC40" si="18">+AB23+30</f>
        <v>42078</v>
      </c>
      <c r="AD23" s="1074" t="s">
        <v>1228</v>
      </c>
      <c r="AE23" s="1074">
        <v>142863.91199999998</v>
      </c>
      <c r="AF23" s="1033">
        <v>30605</v>
      </c>
      <c r="AG23" s="1033">
        <v>0</v>
      </c>
      <c r="AH23" s="1153">
        <f t="shared" si="10"/>
        <v>112258.91199999998</v>
      </c>
      <c r="AI23" s="1153">
        <v>14797</v>
      </c>
      <c r="AJ23" s="1153">
        <v>-48150</v>
      </c>
      <c r="AK23" s="1154">
        <f t="shared" si="11"/>
        <v>7.5865994458336141</v>
      </c>
      <c r="AL23" s="1154">
        <f t="shared" si="12"/>
        <v>-2.3314415784008302</v>
      </c>
    </row>
    <row r="24" spans="2:38" s="1051" customFormat="1" ht="14.85" customHeight="1">
      <c r="B24" s="1051" t="s">
        <v>1614</v>
      </c>
      <c r="C24" s="1064" t="s">
        <v>1615</v>
      </c>
      <c r="D24" s="1064" t="s">
        <v>1616</v>
      </c>
      <c r="E24" s="1066">
        <v>42034</v>
      </c>
      <c r="F24" s="1150">
        <v>13</v>
      </c>
      <c r="G24" s="1150">
        <v>12</v>
      </c>
      <c r="H24" s="1150">
        <v>14</v>
      </c>
      <c r="I24" s="1150">
        <v>11.4</v>
      </c>
      <c r="J24" s="1071">
        <f t="shared" si="0"/>
        <v>7211.277</v>
      </c>
      <c r="K24" s="1071">
        <v>5000</v>
      </c>
      <c r="L24" s="839">
        <v>12211.277</v>
      </c>
      <c r="M24" s="1071">
        <f t="shared" si="13"/>
        <v>93746.600999999995</v>
      </c>
      <c r="N24" s="1071">
        <v>65000</v>
      </c>
      <c r="O24" s="1071">
        <f t="shared" si="5"/>
        <v>158746.601</v>
      </c>
      <c r="P24" s="1151">
        <v>11536000</v>
      </c>
      <c r="Q24" s="1151">
        <v>10923500</v>
      </c>
      <c r="R24" s="1071">
        <f t="shared" si="1"/>
        <v>1.3760974427877947E-2</v>
      </c>
      <c r="S24" s="1071">
        <f t="shared" si="2"/>
        <v>1.4532576646679177E-2</v>
      </c>
      <c r="T24" s="1151">
        <f t="shared" si="14"/>
        <v>179272.601</v>
      </c>
      <c r="U24" s="1071">
        <f t="shared" si="16"/>
        <v>1.554027401178918E-2</v>
      </c>
      <c r="V24" s="1071">
        <f t="shared" si="16"/>
        <v>1.6411644710944293E-2</v>
      </c>
      <c r="W24" s="1151">
        <v>137148000</v>
      </c>
      <c r="X24" s="1071">
        <f t="shared" si="15"/>
        <v>11.88869625520111</v>
      </c>
      <c r="Y24" s="1071">
        <f t="shared" si="15"/>
        <v>12.555316519430585</v>
      </c>
      <c r="Z24" s="1071"/>
      <c r="AA24" s="1071">
        <f t="shared" si="17"/>
        <v>82208.55780000001</v>
      </c>
      <c r="AB24" s="1152">
        <v>42034</v>
      </c>
      <c r="AC24" s="1152">
        <f t="shared" si="18"/>
        <v>42064</v>
      </c>
      <c r="AD24" s="1074" t="s">
        <v>1617</v>
      </c>
      <c r="AE24" s="1074">
        <v>158746.601</v>
      </c>
      <c r="AF24" s="1033">
        <v>12213</v>
      </c>
      <c r="AG24" s="1033">
        <v>32738.999999999996</v>
      </c>
      <c r="AH24" s="1153">
        <f t="shared" si="10"/>
        <v>179272.601</v>
      </c>
      <c r="AI24" s="1153">
        <v>68509</v>
      </c>
      <c r="AJ24" s="1153">
        <v>-19324</v>
      </c>
      <c r="AK24" s="1154">
        <f t="shared" si="11"/>
        <v>2.6167744529915775</v>
      </c>
      <c r="AL24" s="1154">
        <f t="shared" si="12"/>
        <v>-9.2771993893603799</v>
      </c>
    </row>
    <row r="25" spans="2:38" s="1051" customFormat="1" ht="14.85" customHeight="1">
      <c r="B25" s="1051" t="s">
        <v>1618</v>
      </c>
      <c r="C25" s="1064" t="s">
        <v>1619</v>
      </c>
      <c r="D25" s="1064" t="s">
        <v>1620</v>
      </c>
      <c r="E25" s="1066">
        <v>42032</v>
      </c>
      <c r="F25" s="1150">
        <v>17</v>
      </c>
      <c r="G25" s="1150">
        <v>15</v>
      </c>
      <c r="H25" s="1150">
        <v>17</v>
      </c>
      <c r="I25" s="1150">
        <v>21.75</v>
      </c>
      <c r="J25" s="1071">
        <f t="shared" si="0"/>
        <v>13039.407000000001</v>
      </c>
      <c r="K25" s="1071">
        <v>5294.1170000000002</v>
      </c>
      <c r="L25" s="839">
        <v>18333.524000000001</v>
      </c>
      <c r="M25" s="1071">
        <f t="shared" si="13"/>
        <v>221669.91900000002</v>
      </c>
      <c r="N25" s="1071">
        <v>78260.86</v>
      </c>
      <c r="O25" s="1071">
        <f t="shared" si="5"/>
        <v>299930.77900000004</v>
      </c>
      <c r="P25" s="1151">
        <v>44764000</v>
      </c>
      <c r="Q25" s="1151">
        <v>61076400</v>
      </c>
      <c r="R25" s="1071">
        <f t="shared" si="1"/>
        <v>6.7002676034313294E-3</v>
      </c>
      <c r="S25" s="1071">
        <f t="shared" si="2"/>
        <v>4.9107475064018189E-3</v>
      </c>
      <c r="T25" s="1151">
        <f t="shared" si="14"/>
        <v>313902.77900000004</v>
      </c>
      <c r="U25" s="1071">
        <f t="shared" si="16"/>
        <v>7.0123934188186946E-3</v>
      </c>
      <c r="V25" s="1071">
        <f t="shared" si="16"/>
        <v>5.1395101708679629E-3</v>
      </c>
      <c r="W25" s="1151">
        <v>405211000</v>
      </c>
      <c r="X25" s="1071">
        <f t="shared" si="15"/>
        <v>9.0521624519703341</v>
      </c>
      <c r="Y25" s="1071">
        <f t="shared" si="15"/>
        <v>6.634493847050579</v>
      </c>
      <c r="Z25" s="1071"/>
      <c r="AA25" s="1071">
        <f t="shared" si="17"/>
        <v>283607.10225</v>
      </c>
      <c r="AB25" s="1152">
        <v>42033</v>
      </c>
      <c r="AC25" s="1152">
        <f t="shared" si="18"/>
        <v>42063</v>
      </c>
      <c r="AD25" s="1074" t="s">
        <v>1621</v>
      </c>
      <c r="AE25" s="1074">
        <v>299930.77900000004</v>
      </c>
      <c r="AF25" s="1033">
        <v>1028</v>
      </c>
      <c r="AG25" s="1033">
        <v>15000</v>
      </c>
      <c r="AH25" s="1153">
        <f t="shared" si="10"/>
        <v>313902.77900000004</v>
      </c>
      <c r="AI25" s="1153">
        <v>0</v>
      </c>
      <c r="AJ25" s="1153">
        <v>-26747</v>
      </c>
      <c r="AK25" s="1154" t="str">
        <f t="shared" si="11"/>
        <v>n/a</v>
      </c>
      <c r="AL25" s="1154">
        <f t="shared" si="12"/>
        <v>-11.735999513964185</v>
      </c>
    </row>
    <row r="26" spans="2:38" s="1051" customFormat="1" ht="14.85" customHeight="1">
      <c r="B26" s="1051" t="s">
        <v>1244</v>
      </c>
      <c r="C26" s="1064" t="s">
        <v>1245</v>
      </c>
      <c r="D26" s="1064" t="s">
        <v>1246</v>
      </c>
      <c r="E26" s="1066">
        <v>42030</v>
      </c>
      <c r="F26" s="1150">
        <v>11</v>
      </c>
      <c r="G26" s="1150">
        <v>10</v>
      </c>
      <c r="H26" s="1150">
        <v>12</v>
      </c>
      <c r="I26" s="1150">
        <v>11.04</v>
      </c>
      <c r="J26" s="1071">
        <f t="shared" si="0"/>
        <v>6641.1119999999992</v>
      </c>
      <c r="K26" s="1071">
        <v>5175</v>
      </c>
      <c r="L26" s="839">
        <v>11816.111999999999</v>
      </c>
      <c r="M26" s="1071">
        <f t="shared" si="13"/>
        <v>73052.231999999989</v>
      </c>
      <c r="N26" s="1071">
        <v>49500</v>
      </c>
      <c r="O26" s="1071">
        <f t="shared" si="5"/>
        <v>122552.23199999999</v>
      </c>
      <c r="P26" s="1151">
        <v>3043000</v>
      </c>
      <c r="Q26" s="1151">
        <v>313000</v>
      </c>
      <c r="R26" s="1071">
        <f t="shared" si="1"/>
        <v>4.0273490634242522E-2</v>
      </c>
      <c r="S26" s="1071">
        <f t="shared" si="2"/>
        <v>0.39154067731629388</v>
      </c>
      <c r="T26" s="1151">
        <f t="shared" si="14"/>
        <v>140512.23199999999</v>
      </c>
      <c r="U26" s="1071">
        <f t="shared" si="16"/>
        <v>4.6175560959579358E-2</v>
      </c>
      <c r="V26" s="1071">
        <f t="shared" si="16"/>
        <v>0.44892086900958461</v>
      </c>
      <c r="W26" s="1151">
        <v>142156640</v>
      </c>
      <c r="X26" s="1071">
        <f t="shared" si="15"/>
        <v>46.715951363785734</v>
      </c>
      <c r="Y26" s="1071">
        <f t="shared" si="15"/>
        <v>454.17456869009584</v>
      </c>
      <c r="Z26" s="1071"/>
      <c r="AA26" s="1071">
        <f t="shared" si="17"/>
        <v>73317.876479999992</v>
      </c>
      <c r="AB26" s="1152">
        <v>42031</v>
      </c>
      <c r="AC26" s="1152">
        <f t="shared" si="18"/>
        <v>42061</v>
      </c>
      <c r="AD26" s="1074" t="s">
        <v>1247</v>
      </c>
      <c r="AE26" s="1074">
        <v>122552.23199999999</v>
      </c>
      <c r="AF26" s="1033">
        <v>2303</v>
      </c>
      <c r="AG26" s="1033">
        <v>20263</v>
      </c>
      <c r="AH26" s="1153">
        <f t="shared" si="10"/>
        <v>140512.23199999999</v>
      </c>
      <c r="AI26" s="1153">
        <v>6679</v>
      </c>
      <c r="AJ26" s="1153">
        <v>-24087</v>
      </c>
      <c r="AK26" s="1154">
        <f t="shared" si="11"/>
        <v>21.037914657882915</v>
      </c>
      <c r="AL26" s="1154">
        <f t="shared" si="12"/>
        <v>-5.8335297878523678</v>
      </c>
    </row>
    <row r="27" spans="2:38" s="1051" customFormat="1" ht="14.85" customHeight="1">
      <c r="B27" s="1051" t="s">
        <v>1622</v>
      </c>
      <c r="C27" s="1064" t="s">
        <v>1623</v>
      </c>
      <c r="D27" s="1064" t="s">
        <v>1624</v>
      </c>
      <c r="E27" s="1066">
        <v>41962</v>
      </c>
      <c r="F27" s="1150">
        <v>9</v>
      </c>
      <c r="G27" s="1150">
        <v>0</v>
      </c>
      <c r="H27" s="1150">
        <v>0</v>
      </c>
      <c r="I27" s="1150">
        <v>11.19</v>
      </c>
      <c r="J27" s="1071">
        <f t="shared" si="0"/>
        <v>31125.572999999997</v>
      </c>
      <c r="K27" s="1071">
        <v>4025</v>
      </c>
      <c r="L27" s="839">
        <v>35150.572999999997</v>
      </c>
      <c r="M27" s="1071">
        <f t="shared" si="13"/>
        <v>280130.15699999995</v>
      </c>
      <c r="N27" s="1071">
        <v>31500</v>
      </c>
      <c r="O27" s="1071">
        <f t="shared" si="5"/>
        <v>311630.15699999995</v>
      </c>
      <c r="P27" s="1151">
        <v>2441260</v>
      </c>
      <c r="Q27" s="1151">
        <v>0</v>
      </c>
      <c r="R27" s="1071">
        <f t="shared" si="1"/>
        <v>0.12765135913421755</v>
      </c>
      <c r="S27" s="1071" t="str">
        <f t="shared" si="2"/>
        <v>n/a</v>
      </c>
      <c r="T27" s="1151">
        <f t="shared" si="14"/>
        <v>335839.81699999992</v>
      </c>
      <c r="U27" s="1071">
        <f t="shared" si="16"/>
        <v>0.13756822993044573</v>
      </c>
      <c r="V27" s="1071" t="str">
        <f t="shared" si="16"/>
        <v>n/a</v>
      </c>
      <c r="W27" s="1151">
        <v>410977260</v>
      </c>
      <c r="X27" s="1071">
        <f t="shared" si="15"/>
        <v>168.34637031696747</v>
      </c>
      <c r="Y27" s="1071" t="str">
        <f t="shared" si="15"/>
        <v>n/a</v>
      </c>
      <c r="Z27" s="1071"/>
      <c r="AA27" s="1071">
        <f t="shared" si="17"/>
        <v>348295.16186999995</v>
      </c>
      <c r="AB27" s="1152">
        <v>41962</v>
      </c>
      <c r="AC27" s="1152">
        <f t="shared" si="18"/>
        <v>41992</v>
      </c>
      <c r="AD27" s="1074" t="s">
        <v>1625</v>
      </c>
      <c r="AE27" s="1074">
        <v>311630.15699999995</v>
      </c>
      <c r="AF27" s="1033">
        <v>977.4</v>
      </c>
      <c r="AG27" s="1033">
        <v>25187.06</v>
      </c>
      <c r="AH27" s="1153">
        <f t="shared" si="10"/>
        <v>335839.81699999992</v>
      </c>
      <c r="AI27" s="1153">
        <v>145577</v>
      </c>
      <c r="AJ27" s="1153">
        <v>-44540</v>
      </c>
      <c r="AK27" s="1154">
        <f t="shared" si="11"/>
        <v>2.306956572810265</v>
      </c>
      <c r="AL27" s="1154">
        <f t="shared" si="12"/>
        <v>-7.5401844858554092</v>
      </c>
    </row>
    <row r="28" spans="2:38" s="1051" customFormat="1" ht="14.85" customHeight="1">
      <c r="B28" s="1051" t="s">
        <v>1626</v>
      </c>
      <c r="C28" s="1064" t="s">
        <v>1627</v>
      </c>
      <c r="D28" s="1064" t="s">
        <v>1628</v>
      </c>
      <c r="E28" s="1066">
        <v>41948</v>
      </c>
      <c r="F28" s="1150">
        <v>18</v>
      </c>
      <c r="G28" s="1150">
        <v>15</v>
      </c>
      <c r="H28" s="1150">
        <v>17</v>
      </c>
      <c r="I28" s="1150">
        <v>35.86</v>
      </c>
      <c r="J28" s="1071">
        <f t="shared" si="0"/>
        <v>16543.131000000001</v>
      </c>
      <c r="K28" s="1071">
        <v>8050</v>
      </c>
      <c r="L28" s="839">
        <v>24593.131000000001</v>
      </c>
      <c r="M28" s="1071">
        <f t="shared" si="13"/>
        <v>297776.35800000001</v>
      </c>
      <c r="N28" s="1071">
        <v>126000</v>
      </c>
      <c r="O28" s="1071">
        <f t="shared" si="5"/>
        <v>423776.35800000001</v>
      </c>
      <c r="P28" s="1151">
        <v>26584000</v>
      </c>
      <c r="Q28" s="1151">
        <v>31448010</v>
      </c>
      <c r="R28" s="1071">
        <f t="shared" si="1"/>
        <v>1.5941030619921758E-2</v>
      </c>
      <c r="S28" s="1071">
        <f t="shared" si="2"/>
        <v>1.3475458637923354E-2</v>
      </c>
      <c r="T28" s="1151">
        <f t="shared" si="14"/>
        <v>406382.35800000001</v>
      </c>
      <c r="U28" s="1071">
        <f t="shared" si="16"/>
        <v>1.5286727279566656E-2</v>
      </c>
      <c r="V28" s="1071">
        <f t="shared" si="16"/>
        <v>1.2922355277806132E-2</v>
      </c>
      <c r="W28" s="1151">
        <v>1010615700</v>
      </c>
      <c r="X28" s="1071">
        <f t="shared" si="15"/>
        <v>38.015938158290702</v>
      </c>
      <c r="Y28" s="1071">
        <f t="shared" si="15"/>
        <v>32.136077926711422</v>
      </c>
      <c r="Z28" s="1071"/>
      <c r="AA28" s="1071">
        <f t="shared" si="17"/>
        <v>593236.67766000004</v>
      </c>
      <c r="AB28" s="1152">
        <v>41949</v>
      </c>
      <c r="AC28" s="1152">
        <f t="shared" si="18"/>
        <v>41979</v>
      </c>
      <c r="AD28" s="1074" t="s">
        <v>1629</v>
      </c>
      <c r="AE28" s="1074">
        <v>423776.35800000001</v>
      </c>
      <c r="AF28" s="1033">
        <v>17394</v>
      </c>
      <c r="AG28" s="1033">
        <v>0</v>
      </c>
      <c r="AH28" s="1153">
        <f t="shared" si="10"/>
        <v>406382.35800000001</v>
      </c>
      <c r="AI28" s="1153">
        <v>2618.1800000000003</v>
      </c>
      <c r="AJ28" s="1153">
        <v>-27556.27</v>
      </c>
      <c r="AK28" s="1154">
        <f t="shared" si="11"/>
        <v>155.21559174693868</v>
      </c>
      <c r="AL28" s="1154">
        <f t="shared" si="12"/>
        <v>-14.747364501799408</v>
      </c>
    </row>
    <row r="29" spans="2:38" s="1051" customFormat="1" ht="14.85" customHeight="1">
      <c r="B29" s="1051" t="s">
        <v>1630</v>
      </c>
      <c r="C29" s="1064" t="s">
        <v>1631</v>
      </c>
      <c r="D29" s="1064" t="s">
        <v>1632</v>
      </c>
      <c r="E29" s="1066">
        <v>41920</v>
      </c>
      <c r="F29" s="1150">
        <v>7</v>
      </c>
      <c r="G29" s="1150">
        <v>6</v>
      </c>
      <c r="H29" s="1150">
        <v>7</v>
      </c>
      <c r="I29" s="1150" t="s">
        <v>13</v>
      </c>
      <c r="J29" s="1071">
        <f t="shared" si="0"/>
        <v>3928.4620000000004</v>
      </c>
      <c r="K29" s="1071">
        <v>1150</v>
      </c>
      <c r="L29" s="839">
        <v>5078.4620000000004</v>
      </c>
      <c r="M29" s="1071">
        <f t="shared" si="13"/>
        <v>27499.234000000004</v>
      </c>
      <c r="N29" s="1071">
        <v>8050.0000000000009</v>
      </c>
      <c r="O29" s="1071">
        <f t="shared" si="5"/>
        <v>35549.234000000004</v>
      </c>
      <c r="P29" s="1151" t="s">
        <v>13</v>
      </c>
      <c r="Q29" s="1151" t="s">
        <v>13</v>
      </c>
      <c r="R29" s="1071" t="str">
        <f t="shared" si="1"/>
        <v>n/a</v>
      </c>
      <c r="S29" s="1071" t="str">
        <f t="shared" si="2"/>
        <v>n/a</v>
      </c>
      <c r="T29" s="1151" t="s">
        <v>13</v>
      </c>
      <c r="U29" s="1071" t="str">
        <f t="shared" si="16"/>
        <v>n/a</v>
      </c>
      <c r="V29" s="1071" t="str">
        <f t="shared" si="16"/>
        <v>n/a</v>
      </c>
      <c r="W29" s="1151" t="s">
        <v>13</v>
      </c>
      <c r="X29" s="1071" t="str">
        <f t="shared" si="15"/>
        <v>n/a</v>
      </c>
      <c r="Y29" s="1071" t="str">
        <f t="shared" si="15"/>
        <v>n/a</v>
      </c>
      <c r="Z29" s="1071"/>
      <c r="AA29" s="1070">
        <v>996023842737.35803</v>
      </c>
      <c r="AB29" s="1152">
        <v>41921</v>
      </c>
      <c r="AC29" s="1152">
        <v>41951</v>
      </c>
      <c r="AD29" s="1074" t="s">
        <v>1631</v>
      </c>
      <c r="AE29" s="1074">
        <v>35549.234000000004</v>
      </c>
      <c r="AF29" s="1033">
        <v>412.75</v>
      </c>
      <c r="AG29" s="1033">
        <v>4079.5899999999997</v>
      </c>
      <c r="AH29" s="1153">
        <f t="shared" si="10"/>
        <v>39216.074000000001</v>
      </c>
      <c r="AI29" s="1153">
        <v>67932</v>
      </c>
      <c r="AJ29" s="1153">
        <v>-29239</v>
      </c>
      <c r="AK29" s="1154">
        <f t="shared" si="11"/>
        <v>0.57728425484307833</v>
      </c>
      <c r="AL29" s="1154">
        <f t="shared" si="12"/>
        <v>-1.3412248708916175</v>
      </c>
    </row>
    <row r="30" spans="2:38" s="1051" customFormat="1" ht="14.85" customHeight="1">
      <c r="B30" s="1051" t="s">
        <v>1278</v>
      </c>
      <c r="C30" s="1064" t="s">
        <v>1279</v>
      </c>
      <c r="D30" s="1064" t="s">
        <v>1280</v>
      </c>
      <c r="E30" s="1066">
        <v>41843</v>
      </c>
      <c r="F30" s="1150">
        <v>11</v>
      </c>
      <c r="G30" s="1150">
        <v>11</v>
      </c>
      <c r="H30" s="1150">
        <v>13</v>
      </c>
      <c r="I30" s="1150">
        <v>15.86</v>
      </c>
      <c r="J30" s="1071">
        <f t="shared" si="0"/>
        <v>16751.808000000001</v>
      </c>
      <c r="K30" s="1071">
        <v>5750</v>
      </c>
      <c r="L30" s="839">
        <v>22501.808000000001</v>
      </c>
      <c r="M30" s="1071">
        <f t="shared" si="13"/>
        <v>184269.88800000001</v>
      </c>
      <c r="N30" s="1071">
        <v>55000</v>
      </c>
      <c r="O30" s="1071">
        <f t="shared" si="5"/>
        <v>239269.88800000001</v>
      </c>
      <c r="P30" s="1151">
        <v>22384000</v>
      </c>
      <c r="Q30" s="1151">
        <v>38406000</v>
      </c>
      <c r="R30" s="1071">
        <f t="shared" si="1"/>
        <v>1.0689326661901359E-2</v>
      </c>
      <c r="S30" s="1071">
        <f t="shared" si="2"/>
        <v>6.2300132270999321E-3</v>
      </c>
      <c r="T30" s="1151">
        <f t="shared" si="14"/>
        <v>233071.88800000001</v>
      </c>
      <c r="U30" s="1071">
        <f t="shared" si="16"/>
        <v>1.0412432451751252E-2</v>
      </c>
      <c r="V30" s="1071">
        <f t="shared" si="16"/>
        <v>6.0686321928865279E-3</v>
      </c>
      <c r="W30" s="1151">
        <v>350683720</v>
      </c>
      <c r="X30" s="1071">
        <f t="shared" si="15"/>
        <v>15.666713724088634</v>
      </c>
      <c r="Y30" s="1071">
        <f t="shared" si="15"/>
        <v>9.1309618288809045</v>
      </c>
      <c r="Z30" s="1071"/>
      <c r="AA30" s="1071">
        <f t="shared" si="17"/>
        <v>265683.67488000001</v>
      </c>
      <c r="AB30" s="1152">
        <v>41844</v>
      </c>
      <c r="AC30" s="1152">
        <f t="shared" si="18"/>
        <v>41874</v>
      </c>
      <c r="AD30" s="1074" t="s">
        <v>1281</v>
      </c>
      <c r="AE30" s="1074">
        <v>239269.88800000001</v>
      </c>
      <c r="AF30" s="1033">
        <v>7478</v>
      </c>
      <c r="AG30" s="1033">
        <v>1280</v>
      </c>
      <c r="AH30" s="1153">
        <f t="shared" si="10"/>
        <v>233071.88800000001</v>
      </c>
      <c r="AI30" s="1153">
        <v>6460</v>
      </c>
      <c r="AJ30" s="1153">
        <v>-26733</v>
      </c>
      <c r="AK30" s="1154">
        <f t="shared" si="11"/>
        <v>36.079239628482974</v>
      </c>
      <c r="AL30" s="1154">
        <f t="shared" si="12"/>
        <v>-8.7185085100811737</v>
      </c>
    </row>
    <row r="31" spans="2:38" s="1051" customFormat="1" ht="14.85" customHeight="1">
      <c r="B31" s="1051" t="s">
        <v>1283</v>
      </c>
      <c r="C31" s="1064" t="s">
        <v>1284</v>
      </c>
      <c r="D31" s="1064" t="s">
        <v>1285</v>
      </c>
      <c r="E31" s="1066">
        <v>41836</v>
      </c>
      <c r="F31" s="1150">
        <v>12</v>
      </c>
      <c r="G31" s="1150">
        <v>14</v>
      </c>
      <c r="H31" s="1150">
        <v>16</v>
      </c>
      <c r="I31" s="1150">
        <v>124.8</v>
      </c>
      <c r="J31" s="1071">
        <f t="shared" si="0"/>
        <v>12631.596000000001</v>
      </c>
      <c r="K31" s="1071">
        <v>5000</v>
      </c>
      <c r="L31" s="839">
        <v>17631.596000000001</v>
      </c>
      <c r="M31" s="1071">
        <f t="shared" si="13"/>
        <v>151579.152</v>
      </c>
      <c r="N31" s="1071">
        <v>60000</v>
      </c>
      <c r="O31" s="1071">
        <f t="shared" si="5"/>
        <v>211579.152</v>
      </c>
      <c r="P31" s="1151">
        <v>2744000</v>
      </c>
      <c r="Q31" s="1151">
        <v>5125110</v>
      </c>
      <c r="R31" s="1071">
        <f t="shared" si="1"/>
        <v>7.7106104956268226E-2</v>
      </c>
      <c r="S31" s="1071">
        <f t="shared" si="2"/>
        <v>4.1282850904663507E-2</v>
      </c>
      <c r="T31" s="1151">
        <f t="shared" si="14"/>
        <v>188605.152</v>
      </c>
      <c r="U31" s="1071">
        <f t="shared" si="16"/>
        <v>6.8733655976676383E-2</v>
      </c>
      <c r="V31" s="1071">
        <f t="shared" si="16"/>
        <v>3.680021541001071E-2</v>
      </c>
      <c r="W31" s="1151">
        <v>332946300</v>
      </c>
      <c r="X31" s="1071">
        <f t="shared" si="15"/>
        <v>121.33611516034985</v>
      </c>
      <c r="Y31" s="1071">
        <f t="shared" si="15"/>
        <v>64.963737363685851</v>
      </c>
      <c r="Z31" s="1071"/>
      <c r="AA31" s="1071">
        <f t="shared" si="17"/>
        <v>1576423.1808000002</v>
      </c>
      <c r="AB31" s="1152">
        <v>41838</v>
      </c>
      <c r="AC31" s="1152">
        <f t="shared" si="18"/>
        <v>41868</v>
      </c>
      <c r="AD31" s="1074" t="s">
        <v>1286</v>
      </c>
      <c r="AE31" s="1074">
        <v>211579.152</v>
      </c>
      <c r="AF31" s="1033">
        <v>32698.999999999996</v>
      </c>
      <c r="AG31" s="1033">
        <v>9725</v>
      </c>
      <c r="AH31" s="1153">
        <f t="shared" si="10"/>
        <v>188605.152</v>
      </c>
      <c r="AI31" s="1153">
        <v>35461.060000000005</v>
      </c>
      <c r="AJ31" s="1153">
        <v>13616.65</v>
      </c>
      <c r="AK31" s="1154">
        <f t="shared" si="11"/>
        <v>5.3186552235043161</v>
      </c>
      <c r="AL31" s="1154">
        <f t="shared" si="12"/>
        <v>13.85106850803979</v>
      </c>
    </row>
    <row r="32" spans="2:38" s="1051" customFormat="1" ht="14.85" customHeight="1">
      <c r="B32" s="1051" t="s">
        <v>1633</v>
      </c>
      <c r="C32" s="1064" t="s">
        <v>1634</v>
      </c>
      <c r="D32" s="1064" t="s">
        <v>1635</v>
      </c>
      <c r="E32" s="1066">
        <v>41835</v>
      </c>
      <c r="F32" s="1150">
        <v>6.25</v>
      </c>
      <c r="G32" s="1150">
        <v>0</v>
      </c>
      <c r="H32" s="1150">
        <v>0</v>
      </c>
      <c r="I32" s="1150">
        <v>10.75</v>
      </c>
      <c r="J32" s="1071">
        <f t="shared" si="0"/>
        <v>8400</v>
      </c>
      <c r="K32" s="1071">
        <v>2318.4</v>
      </c>
      <c r="L32" s="839">
        <v>10718.4</v>
      </c>
      <c r="M32" s="1071">
        <f t="shared" si="13"/>
        <v>52500</v>
      </c>
      <c r="N32" s="1071">
        <v>12600</v>
      </c>
      <c r="O32" s="1071">
        <f t="shared" si="5"/>
        <v>65100</v>
      </c>
      <c r="P32" s="1151">
        <v>12056490</v>
      </c>
      <c r="Q32" s="1151">
        <v>15600000</v>
      </c>
      <c r="R32" s="1071">
        <f t="shared" si="1"/>
        <v>5.3995814702288971E-3</v>
      </c>
      <c r="S32" s="1071">
        <f t="shared" si="2"/>
        <v>4.1730769230769234E-3</v>
      </c>
      <c r="T32" s="1151">
        <f t="shared" si="14"/>
        <v>62191.360000000001</v>
      </c>
      <c r="U32" s="1071">
        <f t="shared" si="16"/>
        <v>5.1583304925397026E-3</v>
      </c>
      <c r="V32" s="1071">
        <f t="shared" si="16"/>
        <v>3.9866256410256411E-3</v>
      </c>
      <c r="W32" s="1151">
        <v>110703210</v>
      </c>
      <c r="X32" s="1071">
        <f t="shared" si="15"/>
        <v>9.1820430324248594</v>
      </c>
      <c r="Y32" s="1071">
        <f t="shared" si="15"/>
        <v>7.0963596153846158</v>
      </c>
      <c r="Z32" s="1071"/>
      <c r="AA32" s="1071">
        <f t="shared" si="17"/>
        <v>90300</v>
      </c>
      <c r="AB32" s="1152">
        <v>41836</v>
      </c>
      <c r="AC32" s="1152">
        <f t="shared" si="18"/>
        <v>41866</v>
      </c>
      <c r="AD32" s="1074" t="s">
        <v>1636</v>
      </c>
      <c r="AE32" s="1074">
        <v>65100</v>
      </c>
      <c r="AF32" s="1033">
        <v>2908.64</v>
      </c>
      <c r="AG32" s="1033">
        <v>0</v>
      </c>
      <c r="AH32" s="1153">
        <f t="shared" si="10"/>
        <v>62191.360000000001</v>
      </c>
      <c r="AI32" s="1153">
        <v>224262</v>
      </c>
      <c r="AJ32" s="1153">
        <v>-10153</v>
      </c>
      <c r="AK32" s="1154">
        <f t="shared" si="11"/>
        <v>0.27731563974280082</v>
      </c>
      <c r="AL32" s="1154">
        <f t="shared" si="12"/>
        <v>-6.1254171180931749</v>
      </c>
    </row>
    <row r="33" spans="2:38" s="1051" customFormat="1" ht="14.85" customHeight="1">
      <c r="B33" s="1051" t="s">
        <v>1637</v>
      </c>
      <c r="C33" s="1064" t="s">
        <v>1638</v>
      </c>
      <c r="D33" s="1064" t="s">
        <v>1639</v>
      </c>
      <c r="E33" s="1066">
        <v>41766</v>
      </c>
      <c r="F33" s="1150">
        <v>15</v>
      </c>
      <c r="G33" s="1150">
        <v>16</v>
      </c>
      <c r="H33" s="1150">
        <v>18</v>
      </c>
      <c r="I33" s="1150">
        <v>14.6</v>
      </c>
      <c r="J33" s="1071">
        <f t="shared" si="0"/>
        <v>29566.542000000001</v>
      </c>
      <c r="K33" s="1071">
        <v>9825</v>
      </c>
      <c r="L33" s="839">
        <v>39391.542000000001</v>
      </c>
      <c r="M33" s="1071">
        <f t="shared" si="13"/>
        <v>443498.13</v>
      </c>
      <c r="N33" s="1071">
        <v>132375</v>
      </c>
      <c r="O33" s="1071">
        <f t="shared" si="5"/>
        <v>575873.13</v>
      </c>
      <c r="P33" s="1151">
        <v>155584000</v>
      </c>
      <c r="Q33" s="1151">
        <v>186350000</v>
      </c>
      <c r="R33" s="1071">
        <f t="shared" si="1"/>
        <v>3.701364729020979E-3</v>
      </c>
      <c r="S33" s="1071">
        <f t="shared" si="2"/>
        <v>3.0902770592970219E-3</v>
      </c>
      <c r="T33" s="1151">
        <f t="shared" si="14"/>
        <v>611604.13</v>
      </c>
      <c r="U33" s="1071">
        <f t="shared" si="16"/>
        <v>3.931022020259153E-3</v>
      </c>
      <c r="V33" s="1071">
        <f t="shared" si="16"/>
        <v>3.2820184062248457E-3</v>
      </c>
      <c r="W33" s="1151">
        <v>698421600</v>
      </c>
      <c r="X33" s="1071">
        <f t="shared" si="15"/>
        <v>4.4890322912381739</v>
      </c>
      <c r="Y33" s="1071">
        <f t="shared" si="15"/>
        <v>3.7479023343171454</v>
      </c>
      <c r="Z33" s="1071"/>
      <c r="AA33" s="1071">
        <f t="shared" si="17"/>
        <v>431671.51319999999</v>
      </c>
      <c r="AB33" s="1152">
        <v>41767</v>
      </c>
      <c r="AC33" s="1152">
        <f t="shared" si="18"/>
        <v>41797</v>
      </c>
      <c r="AD33" s="1074" t="s">
        <v>1640</v>
      </c>
      <c r="AE33" s="1074">
        <v>575873.13</v>
      </c>
      <c r="AF33" s="1033">
        <v>7419</v>
      </c>
      <c r="AG33" s="1033">
        <v>43150</v>
      </c>
      <c r="AH33" s="1153">
        <f t="shared" si="10"/>
        <v>611604.13</v>
      </c>
      <c r="AI33" s="1153" t="e">
        <v>#VALUE!</v>
      </c>
      <c r="AJ33" s="1153" t="e">
        <v>#VALUE!</v>
      </c>
      <c r="AK33" s="1154" t="str">
        <f t="shared" si="11"/>
        <v>n/a</v>
      </c>
      <c r="AL33" s="1154" t="str">
        <f t="shared" si="12"/>
        <v>n/a</v>
      </c>
    </row>
    <row r="34" spans="2:38" s="1051" customFormat="1" ht="14.85" customHeight="1">
      <c r="B34" s="1051" t="s">
        <v>1641</v>
      </c>
      <c r="C34" s="1064" t="s">
        <v>1642</v>
      </c>
      <c r="D34" s="1064" t="s">
        <v>1643</v>
      </c>
      <c r="E34" s="1066">
        <v>41753</v>
      </c>
      <c r="F34" s="1150">
        <v>11</v>
      </c>
      <c r="G34" s="1150">
        <v>15</v>
      </c>
      <c r="H34" s="1150">
        <v>18</v>
      </c>
      <c r="I34" s="1150">
        <v>8.3000000000000007</v>
      </c>
      <c r="J34" s="1071">
        <f t="shared" si="0"/>
        <v>11185.797</v>
      </c>
      <c r="K34" s="1071">
        <v>5000</v>
      </c>
      <c r="L34" s="839">
        <v>16185.797</v>
      </c>
      <c r="M34" s="1071">
        <f t="shared" si="13"/>
        <v>123043.76700000001</v>
      </c>
      <c r="N34" s="1071">
        <v>55000</v>
      </c>
      <c r="O34" s="1071">
        <f t="shared" si="5"/>
        <v>178043.76699999999</v>
      </c>
      <c r="P34" s="1151">
        <v>6960000</v>
      </c>
      <c r="Q34" s="1151">
        <v>0</v>
      </c>
      <c r="R34" s="1071">
        <f t="shared" si="1"/>
        <v>2.5581001005747124E-2</v>
      </c>
      <c r="S34" s="1071" t="str">
        <f t="shared" si="2"/>
        <v>n/a</v>
      </c>
      <c r="T34" s="1151">
        <f t="shared" si="14"/>
        <v>139735.76699999999</v>
      </c>
      <c r="U34" s="1071">
        <f t="shared" si="16"/>
        <v>2.0076978017241377E-2</v>
      </c>
      <c r="V34" s="1071" t="str">
        <f t="shared" si="16"/>
        <v>n/a</v>
      </c>
      <c r="W34" s="1151">
        <v>96034120</v>
      </c>
      <c r="X34" s="1071">
        <f t="shared" si="15"/>
        <v>13.798005747126437</v>
      </c>
      <c r="Y34" s="1071" t="str">
        <f t="shared" si="15"/>
        <v>n/a</v>
      </c>
      <c r="Z34" s="1071"/>
      <c r="AA34" s="1071">
        <f t="shared" si="17"/>
        <v>92842.11510000001</v>
      </c>
      <c r="AB34" s="1152">
        <v>41754</v>
      </c>
      <c r="AC34" s="1152">
        <f t="shared" si="18"/>
        <v>41784</v>
      </c>
      <c r="AD34" s="1074" t="s">
        <v>1644</v>
      </c>
      <c r="AE34" s="1074">
        <v>178043.76699999999</v>
      </c>
      <c r="AF34" s="1033">
        <v>40866</v>
      </c>
      <c r="AG34" s="1033">
        <v>2558</v>
      </c>
      <c r="AH34" s="1153">
        <f t="shared" si="10"/>
        <v>139735.76699999999</v>
      </c>
      <c r="AI34" s="1153">
        <v>36301</v>
      </c>
      <c r="AJ34" s="1153">
        <v>-49816</v>
      </c>
      <c r="AK34" s="1154">
        <f t="shared" si="11"/>
        <v>3.8493641222004902</v>
      </c>
      <c r="AL34" s="1154">
        <f t="shared" si="12"/>
        <v>-2.8050378793961777</v>
      </c>
    </row>
    <row r="35" spans="2:38" s="1051" customFormat="1" ht="14.85" customHeight="1">
      <c r="B35" s="1051" t="s">
        <v>1645</v>
      </c>
      <c r="C35" s="1064" t="s">
        <v>1646</v>
      </c>
      <c r="D35" s="1064" t="s">
        <v>1647</v>
      </c>
      <c r="E35" s="1066">
        <v>41744</v>
      </c>
      <c r="F35" s="1150">
        <v>12</v>
      </c>
      <c r="G35" s="1150">
        <v>13</v>
      </c>
      <c r="H35" s="1150">
        <v>15</v>
      </c>
      <c r="I35" s="1150">
        <v>14.06</v>
      </c>
      <c r="J35" s="1071">
        <f t="shared" si="0"/>
        <v>12829.154999999999</v>
      </c>
      <c r="K35" s="1071">
        <v>7475</v>
      </c>
      <c r="L35" s="839">
        <v>20304.154999999999</v>
      </c>
      <c r="M35" s="1071">
        <f t="shared" si="13"/>
        <v>153949.85999999999</v>
      </c>
      <c r="N35" s="1071">
        <v>78000</v>
      </c>
      <c r="O35" s="1071">
        <f t="shared" si="5"/>
        <v>231949.86</v>
      </c>
      <c r="P35" s="1151" t="s">
        <v>13</v>
      </c>
      <c r="Q35" s="1151" t="s">
        <v>13</v>
      </c>
      <c r="R35" s="1071" t="str">
        <f t="shared" si="1"/>
        <v>n/a</v>
      </c>
      <c r="S35" s="1071" t="str">
        <f t="shared" si="2"/>
        <v>n/a</v>
      </c>
      <c r="T35" s="1151" t="s">
        <v>13</v>
      </c>
      <c r="U35" s="1071" t="str">
        <f t="shared" si="16"/>
        <v>n/a</v>
      </c>
      <c r="V35" s="1071" t="str">
        <f t="shared" si="16"/>
        <v>n/a</v>
      </c>
      <c r="W35" s="1151" t="s">
        <v>13</v>
      </c>
      <c r="X35" s="1071" t="str">
        <f t="shared" si="15"/>
        <v>n/a</v>
      </c>
      <c r="Y35" s="1071" t="str">
        <f t="shared" si="15"/>
        <v>n/a</v>
      </c>
      <c r="Z35" s="1071"/>
      <c r="AA35" s="1070">
        <v>180377.91930000001</v>
      </c>
      <c r="AB35" s="1152">
        <v>41745</v>
      </c>
      <c r="AC35" s="1152">
        <v>41775</v>
      </c>
      <c r="AD35" s="1074" t="s">
        <v>1646</v>
      </c>
      <c r="AE35" s="1074">
        <v>231949.86</v>
      </c>
      <c r="AF35" s="1033">
        <v>38108</v>
      </c>
      <c r="AG35" s="1033">
        <v>44288</v>
      </c>
      <c r="AH35" s="1153">
        <f t="shared" si="10"/>
        <v>238129.86</v>
      </c>
      <c r="AI35" s="1153">
        <v>7632</v>
      </c>
      <c r="AJ35" s="1153">
        <v>-7146</v>
      </c>
      <c r="AK35" s="1154">
        <f t="shared" si="11"/>
        <v>31.201501572327043</v>
      </c>
      <c r="AL35" s="1154">
        <f t="shared" si="12"/>
        <v>-33.323518052057096</v>
      </c>
    </row>
    <row r="36" spans="2:38" s="1051" customFormat="1" ht="14.85" customHeight="1">
      <c r="B36" s="1051" t="s">
        <v>1648</v>
      </c>
      <c r="C36" s="1064" t="s">
        <v>1649</v>
      </c>
      <c r="D36" s="1064" t="s">
        <v>1650</v>
      </c>
      <c r="E36" s="1066">
        <v>41690</v>
      </c>
      <c r="F36" s="1150">
        <v>7</v>
      </c>
      <c r="G36" s="1150">
        <v>12</v>
      </c>
      <c r="H36" s="1150">
        <v>14</v>
      </c>
      <c r="I36" s="1150">
        <v>5.65</v>
      </c>
      <c r="J36" s="1071">
        <f t="shared" si="0"/>
        <v>3278.0169999999998</v>
      </c>
      <c r="K36" s="1071">
        <v>1430</v>
      </c>
      <c r="L36" s="839">
        <v>4708.0169999999998</v>
      </c>
      <c r="M36" s="1071">
        <f t="shared" si="13"/>
        <v>22946.118999999999</v>
      </c>
      <c r="N36" s="1071">
        <v>10010</v>
      </c>
      <c r="O36" s="1071">
        <f t="shared" si="5"/>
        <v>32956.118999999999</v>
      </c>
      <c r="P36" s="1151" t="s">
        <v>13</v>
      </c>
      <c r="Q36" s="1151" t="s">
        <v>13</v>
      </c>
      <c r="R36" s="1071" t="str">
        <f t="shared" si="1"/>
        <v>n/a</v>
      </c>
      <c r="S36" s="1071" t="str">
        <f t="shared" si="2"/>
        <v>n/a</v>
      </c>
      <c r="T36" s="1151" t="s">
        <v>13</v>
      </c>
      <c r="U36" s="1071" t="str">
        <f t="shared" si="16"/>
        <v>n/a</v>
      </c>
      <c r="V36" s="1071" t="str">
        <f t="shared" si="16"/>
        <v>n/a</v>
      </c>
      <c r="W36" s="1151" t="s">
        <v>13</v>
      </c>
      <c r="X36" s="1071" t="str">
        <f t="shared" si="15"/>
        <v>n/a</v>
      </c>
      <c r="Y36" s="1071" t="str">
        <f t="shared" si="15"/>
        <v>n/a</v>
      </c>
      <c r="Z36" s="1071"/>
      <c r="AA36" s="1070">
        <v>18520.796050000001</v>
      </c>
      <c r="AB36" s="1152">
        <v>41691</v>
      </c>
      <c r="AC36" s="1152">
        <v>41721</v>
      </c>
      <c r="AD36" s="1074" t="s">
        <v>1649</v>
      </c>
      <c r="AE36" s="1074">
        <v>32956.118999999999</v>
      </c>
      <c r="AF36" s="1033">
        <v>734</v>
      </c>
      <c r="AG36" s="1033">
        <v>270</v>
      </c>
      <c r="AH36" s="1153">
        <f t="shared" si="10"/>
        <v>32492.118999999999</v>
      </c>
      <c r="AI36" s="1153">
        <v>178780</v>
      </c>
      <c r="AJ36" s="1153">
        <v>32462.000000000004</v>
      </c>
      <c r="AK36" s="1154">
        <f t="shared" si="11"/>
        <v>0.18174358988701197</v>
      </c>
      <c r="AL36" s="1154">
        <f t="shared" si="12"/>
        <v>1.0009278233010903</v>
      </c>
    </row>
    <row r="37" spans="2:38" s="1051" customFormat="1" ht="14.85" customHeight="1">
      <c r="B37" s="1051" t="s">
        <v>1651</v>
      </c>
      <c r="C37" s="1064" t="s">
        <v>1652</v>
      </c>
      <c r="D37" s="1064" t="s">
        <v>1653</v>
      </c>
      <c r="E37" s="1066">
        <v>41683</v>
      </c>
      <c r="F37" s="1150">
        <v>16</v>
      </c>
      <c r="G37" s="1150">
        <v>16</v>
      </c>
      <c r="H37" s="1150">
        <v>18</v>
      </c>
      <c r="I37" s="1150">
        <v>19.399999999999999</v>
      </c>
      <c r="J37" s="1071">
        <f t="shared" si="0"/>
        <v>13537.623000000001</v>
      </c>
      <c r="K37" s="1071">
        <v>4511.3130000000001</v>
      </c>
      <c r="L37" s="839">
        <v>18048.936000000002</v>
      </c>
      <c r="M37" s="1071">
        <f t="shared" si="13"/>
        <v>216601.96800000002</v>
      </c>
      <c r="N37" s="1071">
        <v>70588.210000000006</v>
      </c>
      <c r="O37" s="1071">
        <f t="shared" si="5"/>
        <v>287190.17800000001</v>
      </c>
      <c r="P37" s="1151">
        <v>69522000</v>
      </c>
      <c r="Q37" s="1151">
        <v>109881000</v>
      </c>
      <c r="R37" s="1071">
        <f t="shared" si="1"/>
        <v>4.1309251459969512E-3</v>
      </c>
      <c r="S37" s="1071">
        <f t="shared" si="2"/>
        <v>2.6136472911604375E-3</v>
      </c>
      <c r="T37" s="1151">
        <f t="shared" si="14"/>
        <v>282158.17800000001</v>
      </c>
      <c r="U37" s="1071">
        <f t="shared" si="16"/>
        <v>4.0585451799430398E-3</v>
      </c>
      <c r="V37" s="1071">
        <f t="shared" si="16"/>
        <v>2.5678522947552352E-3</v>
      </c>
      <c r="W37" s="1151">
        <v>462310600</v>
      </c>
      <c r="X37" s="1071">
        <f t="shared" si="15"/>
        <v>6.6498460918845836</v>
      </c>
      <c r="Y37" s="1071">
        <f t="shared" si="15"/>
        <v>4.207375251408342</v>
      </c>
      <c r="Z37" s="1071"/>
      <c r="AA37" s="1071">
        <f t="shared" si="17"/>
        <v>262629.88620000001</v>
      </c>
      <c r="AB37" s="1152">
        <v>41684</v>
      </c>
      <c r="AC37" s="1152">
        <f t="shared" si="18"/>
        <v>41714</v>
      </c>
      <c r="AD37" s="1074" t="s">
        <v>1654</v>
      </c>
      <c r="AE37" s="1074">
        <v>287190.17800000001</v>
      </c>
      <c r="AF37" s="1033">
        <v>17059</v>
      </c>
      <c r="AG37" s="1033">
        <v>12027</v>
      </c>
      <c r="AH37" s="1153">
        <f t="shared" si="10"/>
        <v>282158.17800000001</v>
      </c>
      <c r="AI37" s="1153">
        <v>18126</v>
      </c>
      <c r="AJ37" s="1153">
        <v>-8340</v>
      </c>
      <c r="AK37" s="1154">
        <f t="shared" si="11"/>
        <v>15.566488910956638</v>
      </c>
      <c r="AL37" s="1154">
        <f t="shared" si="12"/>
        <v>-33.831915827338129</v>
      </c>
    </row>
    <row r="38" spans="2:38" s="1051" customFormat="1" ht="14.85" customHeight="1">
      <c r="B38" s="1051" t="s">
        <v>1655</v>
      </c>
      <c r="C38" s="1064" t="s">
        <v>1656</v>
      </c>
      <c r="D38" s="1064" t="s">
        <v>1657</v>
      </c>
      <c r="E38" s="1066">
        <v>41682</v>
      </c>
      <c r="F38" s="1150">
        <v>5.75</v>
      </c>
      <c r="G38" s="1150">
        <v>10</v>
      </c>
      <c r="H38" s="1150">
        <v>12</v>
      </c>
      <c r="I38" s="1150">
        <v>109.65011</v>
      </c>
      <c r="J38" s="1071">
        <f t="shared" si="0"/>
        <v>8444.5540000000001</v>
      </c>
      <c r="K38" s="1071">
        <v>3682.9</v>
      </c>
      <c r="L38" s="839">
        <v>12127.454</v>
      </c>
      <c r="M38" s="1071">
        <f t="shared" si="13"/>
        <v>48556.1855</v>
      </c>
      <c r="N38" s="1071">
        <v>20125</v>
      </c>
      <c r="O38" s="1071">
        <f t="shared" si="5"/>
        <v>68681.185499999992</v>
      </c>
      <c r="P38" s="1151">
        <v>22242540</v>
      </c>
      <c r="Q38" s="1151">
        <v>23350000</v>
      </c>
      <c r="R38" s="1071">
        <f t="shared" si="1"/>
        <v>3.0878301443989756E-3</v>
      </c>
      <c r="S38" s="1071">
        <f t="shared" si="2"/>
        <v>2.9413783940042825E-3</v>
      </c>
      <c r="T38" s="1151">
        <f t="shared" si="14"/>
        <v>79035.395499999999</v>
      </c>
      <c r="U38" s="1071">
        <f t="shared" si="16"/>
        <v>3.5533439751035626E-3</v>
      </c>
      <c r="V38" s="1071">
        <f t="shared" si="16"/>
        <v>3.3848135117773019E-3</v>
      </c>
      <c r="W38" s="1151">
        <v>99002490</v>
      </c>
      <c r="X38" s="1071">
        <f t="shared" si="15"/>
        <v>4.4510424618771056</v>
      </c>
      <c r="Y38" s="1071">
        <f t="shared" si="15"/>
        <v>4.239935331905782</v>
      </c>
      <c r="Z38" s="1071"/>
      <c r="AA38" s="1071">
        <f t="shared" si="17"/>
        <v>925946.27500093996</v>
      </c>
      <c r="AB38" s="1152">
        <v>41684</v>
      </c>
      <c r="AC38" s="1152">
        <f t="shared" si="18"/>
        <v>41714</v>
      </c>
      <c r="AD38" s="1074" t="s">
        <v>1658</v>
      </c>
      <c r="AE38" s="1074">
        <v>68681.185499999992</v>
      </c>
      <c r="AF38" s="1033">
        <v>7562.4</v>
      </c>
      <c r="AG38" s="1033">
        <v>17916.61</v>
      </c>
      <c r="AH38" s="1153">
        <f t="shared" si="10"/>
        <v>79035.395499999999</v>
      </c>
      <c r="AI38" s="1153">
        <v>87879</v>
      </c>
      <c r="AJ38" s="1153">
        <v>-61080</v>
      </c>
      <c r="AK38" s="1154">
        <f t="shared" si="11"/>
        <v>0.89936612273694505</v>
      </c>
      <c r="AL38" s="1154">
        <f t="shared" si="12"/>
        <v>-1.2939652177472167</v>
      </c>
    </row>
    <row r="39" spans="2:38" s="1051" customFormat="1" ht="14.85" customHeight="1">
      <c r="B39" s="1051" t="s">
        <v>1659</v>
      </c>
      <c r="C39" s="1064" t="s">
        <v>1660</v>
      </c>
      <c r="D39" s="1064" t="s">
        <v>1661</v>
      </c>
      <c r="E39" s="1066">
        <v>41591</v>
      </c>
      <c r="F39" s="1150">
        <v>15</v>
      </c>
      <c r="G39" s="1150">
        <v>13</v>
      </c>
      <c r="H39" s="1150">
        <v>15</v>
      </c>
      <c r="I39" s="1150">
        <v>22.67</v>
      </c>
      <c r="J39" s="1071">
        <f t="shared" si="0"/>
        <v>12178.095000000001</v>
      </c>
      <c r="K39" s="1071">
        <v>9200</v>
      </c>
      <c r="L39" s="839">
        <v>21378.095000000001</v>
      </c>
      <c r="M39" s="1071">
        <f t="shared" si="13"/>
        <v>182671.42500000002</v>
      </c>
      <c r="N39" s="1071">
        <v>120000</v>
      </c>
      <c r="O39" s="1071">
        <f t="shared" si="5"/>
        <v>302671.42500000005</v>
      </c>
      <c r="P39" s="1151">
        <v>21019270</v>
      </c>
      <c r="Q39" s="1151">
        <v>27458360</v>
      </c>
      <c r="R39" s="1071">
        <f t="shared" si="1"/>
        <v>1.4399711550401133E-2</v>
      </c>
      <c r="S39" s="1071">
        <f t="shared" si="2"/>
        <v>1.1022924347994565E-2</v>
      </c>
      <c r="T39" s="1151">
        <f t="shared" si="14"/>
        <v>316469.70500000002</v>
      </c>
      <c r="U39" s="1071">
        <f t="shared" si="16"/>
        <v>1.5056170123891079E-2</v>
      </c>
      <c r="V39" s="1071">
        <f t="shared" si="16"/>
        <v>1.1525440885763025E-2</v>
      </c>
      <c r="W39" s="1151">
        <v>498437530</v>
      </c>
      <c r="X39" s="1071">
        <f t="shared" si="15"/>
        <v>23.713360644779765</v>
      </c>
      <c r="Y39" s="1071">
        <f t="shared" si="15"/>
        <v>18.152487257068522</v>
      </c>
      <c r="Z39" s="1071"/>
      <c r="AA39" s="1071">
        <f t="shared" si="17"/>
        <v>276077.41365000006</v>
      </c>
      <c r="AB39" s="1152">
        <v>41592</v>
      </c>
      <c r="AC39" s="1152">
        <f t="shared" si="18"/>
        <v>41622</v>
      </c>
      <c r="AD39" s="1074" t="s">
        <v>1662</v>
      </c>
      <c r="AE39" s="1074">
        <v>302671.42500000005</v>
      </c>
      <c r="AF39" s="1033">
        <v>15550.02</v>
      </c>
      <c r="AG39" s="1033">
        <v>29348.3</v>
      </c>
      <c r="AH39" s="1153">
        <f t="shared" si="10"/>
        <v>316469.70500000002</v>
      </c>
      <c r="AI39" s="1153">
        <v>54602</v>
      </c>
      <c r="AJ39" s="1153">
        <v>-34860</v>
      </c>
      <c r="AK39" s="1154">
        <f t="shared" si="11"/>
        <v>5.7959361378704077</v>
      </c>
      <c r="AL39" s="1154">
        <f t="shared" si="12"/>
        <v>-9.078304790590936</v>
      </c>
    </row>
    <row r="40" spans="2:38" s="1051" customFormat="1" ht="14.85" customHeight="1">
      <c r="B40" s="1051" t="s">
        <v>1663</v>
      </c>
      <c r="C40" s="1064" t="s">
        <v>1664</v>
      </c>
      <c r="D40" s="1064" t="s">
        <v>1665</v>
      </c>
      <c r="E40" s="1066">
        <v>41577</v>
      </c>
      <c r="F40" s="1150">
        <v>13</v>
      </c>
      <c r="G40" s="1150">
        <v>13</v>
      </c>
      <c r="H40" s="1150">
        <v>15</v>
      </c>
      <c r="I40" s="1150">
        <v>12.98</v>
      </c>
      <c r="J40" s="1071">
        <f t="shared" si="0"/>
        <v>15989.89</v>
      </c>
      <c r="K40" s="1071">
        <v>5000</v>
      </c>
      <c r="L40" s="839">
        <v>20989.89</v>
      </c>
      <c r="M40" s="1071">
        <f t="shared" si="13"/>
        <v>207868.57</v>
      </c>
      <c r="N40" s="1071">
        <v>65000</v>
      </c>
      <c r="O40" s="1071">
        <f t="shared" si="5"/>
        <v>272868.57</v>
      </c>
      <c r="P40" s="1151">
        <v>17133000</v>
      </c>
      <c r="Q40" s="1151">
        <v>21510330</v>
      </c>
      <c r="R40" s="1071">
        <f t="shared" si="1"/>
        <v>1.5926490982314832E-2</v>
      </c>
      <c r="S40" s="1071">
        <f t="shared" si="2"/>
        <v>1.2685466471225686E-2</v>
      </c>
      <c r="T40" s="1151">
        <f t="shared" si="14"/>
        <v>257011.57</v>
      </c>
      <c r="U40" s="1071">
        <f t="shared" si="16"/>
        <v>1.5000967139438512E-2</v>
      </c>
      <c r="V40" s="1071">
        <f t="shared" si="16"/>
        <v>1.1948285777112671E-2</v>
      </c>
      <c r="W40" s="1151">
        <v>341745300</v>
      </c>
      <c r="X40" s="1071">
        <f t="shared" si="15"/>
        <v>19.946611801786027</v>
      </c>
      <c r="Y40" s="1071">
        <f t="shared" si="15"/>
        <v>15.887496844539344</v>
      </c>
      <c r="Z40" s="1071"/>
      <c r="AA40" s="1071">
        <f t="shared" si="17"/>
        <v>207548.77220000001</v>
      </c>
      <c r="AB40" s="1152">
        <v>41577</v>
      </c>
      <c r="AC40" s="1152">
        <f t="shared" si="18"/>
        <v>41607</v>
      </c>
      <c r="AD40" s="1074" t="s">
        <v>1666</v>
      </c>
      <c r="AE40" s="1074">
        <v>272868.57</v>
      </c>
      <c r="AF40" s="1033">
        <v>20683</v>
      </c>
      <c r="AG40" s="1033">
        <v>4826</v>
      </c>
      <c r="AH40" s="1153">
        <f t="shared" si="10"/>
        <v>257011.57</v>
      </c>
      <c r="AI40" s="1153" t="e">
        <v>#VALUE!</v>
      </c>
      <c r="AJ40" s="1153" t="e">
        <v>#VALUE!</v>
      </c>
      <c r="AK40" s="1154" t="str">
        <f t="shared" si="11"/>
        <v>n/a</v>
      </c>
      <c r="AL40" s="1154" t="str">
        <f t="shared" si="12"/>
        <v>n/a</v>
      </c>
    </row>
    <row r="41" spans="2:38" s="1051" customFormat="1" ht="14.85" customHeight="1">
      <c r="B41" s="1155"/>
      <c r="C41" s="1155"/>
      <c r="D41" s="1155"/>
      <c r="E41" s="1156"/>
      <c r="F41" s="1156"/>
      <c r="G41" s="1156"/>
      <c r="H41" s="1156"/>
      <c r="I41" s="1156"/>
      <c r="J41" s="1156"/>
      <c r="K41" s="1156"/>
      <c r="L41" s="1156"/>
      <c r="M41" s="1156"/>
      <c r="N41" s="1156"/>
      <c r="O41" s="1119"/>
      <c r="P41" s="1156"/>
      <c r="Q41" s="1119"/>
      <c r="R41" s="1119"/>
      <c r="S41" s="1119"/>
      <c r="T41" s="1157"/>
      <c r="U41" s="813"/>
      <c r="V41" s="813"/>
      <c r="W41" s="1156"/>
      <c r="X41" s="1119"/>
      <c r="Y41" s="1156"/>
      <c r="Z41" s="1133"/>
      <c r="AA41" s="1156"/>
    </row>
    <row r="42" spans="2:38" s="1051" customFormat="1" ht="14.85" customHeight="1">
      <c r="B42" s="1158" t="s">
        <v>111</v>
      </c>
      <c r="C42" s="1159"/>
      <c r="D42" s="1159"/>
      <c r="E42" s="1160"/>
      <c r="F42" s="1160"/>
      <c r="G42" s="1160"/>
      <c r="H42" s="1160"/>
      <c r="I42" s="1160"/>
      <c r="J42" s="1160"/>
      <c r="K42" s="1160"/>
      <c r="L42" s="1160"/>
      <c r="M42" s="1161">
        <f>MAX(M12:M40)</f>
        <v>781159.11</v>
      </c>
      <c r="N42" s="1161"/>
      <c r="O42" s="1162">
        <f>MAX(O12:O40)</f>
        <v>901159.11</v>
      </c>
      <c r="P42" s="1163">
        <f t="shared" ref="P42:Y42" si="19">MIN(P12:P40)</f>
        <v>0</v>
      </c>
      <c r="Q42" s="1163">
        <f t="shared" si="19"/>
        <v>0</v>
      </c>
      <c r="R42" s="1164">
        <f t="shared" si="19"/>
        <v>2.5054577056778681E-3</v>
      </c>
      <c r="S42" s="1165">
        <f t="shared" si="19"/>
        <v>2.0229668286755771E-3</v>
      </c>
      <c r="T42" s="1163">
        <f t="shared" si="19"/>
        <v>46655.894</v>
      </c>
      <c r="U42" s="1164">
        <f t="shared" si="19"/>
        <v>2.4183709801206903E-3</v>
      </c>
      <c r="V42" s="1164">
        <f t="shared" si="19"/>
        <v>1.9526509113001213E-3</v>
      </c>
      <c r="W42" s="1163">
        <f t="shared" si="19"/>
        <v>51305110</v>
      </c>
      <c r="X42" s="1164">
        <f t="shared" si="19"/>
        <v>2.9992198762998301</v>
      </c>
      <c r="Y42" s="1165">
        <f t="shared" si="19"/>
        <v>2.421642284325638</v>
      </c>
      <c r="Z42" s="1133"/>
      <c r="AA42" s="1162">
        <f>MAX(AA12:AA40)</f>
        <v>996023842737.35803</v>
      </c>
    </row>
    <row r="43" spans="2:38" s="1051" customFormat="1" ht="14.85" customHeight="1">
      <c r="B43" s="1166" t="s">
        <v>115</v>
      </c>
      <c r="C43" s="1167"/>
      <c r="D43" s="1167"/>
      <c r="E43" s="1168"/>
      <c r="F43" s="1168"/>
      <c r="G43" s="1168"/>
      <c r="H43" s="1168"/>
      <c r="I43" s="1168"/>
      <c r="J43" s="1168"/>
      <c r="K43" s="1168"/>
      <c r="L43" s="1168"/>
      <c r="M43" s="1169">
        <f>QUARTILE(M12:M40,3)</f>
        <v>252092.77900000001</v>
      </c>
      <c r="N43" s="1169"/>
      <c r="O43" s="1170">
        <f>QUARTILE(O12:O40,3)</f>
        <v>311630.15699999995</v>
      </c>
      <c r="P43" s="1171">
        <f t="shared" ref="P43:Y43" si="20">QUARTILE(P12:P40,1)</f>
        <v>3043000</v>
      </c>
      <c r="Q43" s="1171">
        <f t="shared" si="20"/>
        <v>900000</v>
      </c>
      <c r="R43" s="1172">
        <f t="shared" si="20"/>
        <v>6.0427754978877486E-3</v>
      </c>
      <c r="S43" s="1173">
        <f t="shared" si="20"/>
        <v>4.7263298605705953E-3</v>
      </c>
      <c r="T43" s="1171">
        <f t="shared" si="20"/>
        <v>139735.76699999999</v>
      </c>
      <c r="U43" s="1172">
        <f t="shared" si="20"/>
        <v>5.7962523301817205E-3</v>
      </c>
      <c r="V43" s="1172">
        <f t="shared" si="20"/>
        <v>4.6328607842710031E-3</v>
      </c>
      <c r="W43" s="1171">
        <f t="shared" si="20"/>
        <v>137148000</v>
      </c>
      <c r="X43" s="1172">
        <f t="shared" si="20"/>
        <v>9.0521624519703341</v>
      </c>
      <c r="Y43" s="1173">
        <f t="shared" si="20"/>
        <v>6.9808931733011068</v>
      </c>
      <c r="Z43" s="1133"/>
      <c r="AA43" s="1170">
        <f>QUARTILE(AA12:AA40,3)</f>
        <v>593236.67766000004</v>
      </c>
    </row>
    <row r="44" spans="2:38" s="1051" customFormat="1" ht="14.85" customHeight="1">
      <c r="B44" s="1166" t="s">
        <v>113</v>
      </c>
      <c r="C44" s="1167"/>
      <c r="D44" s="1167"/>
      <c r="E44" s="1168"/>
      <c r="F44" s="1168"/>
      <c r="G44" s="1168"/>
      <c r="H44" s="1168"/>
      <c r="I44" s="1168"/>
      <c r="J44" s="1168"/>
      <c r="K44" s="1168"/>
      <c r="L44" s="1168"/>
      <c r="M44" s="1169">
        <f>AVERAGE(M12:M40)</f>
        <v>192995.24995492518</v>
      </c>
      <c r="N44" s="1169"/>
      <c r="O44" s="1170">
        <f>AVERAGE(O12:O40)</f>
        <v>257794.35133423554</v>
      </c>
      <c r="P44" s="1171">
        <f t="shared" ref="P44:Y44" si="21">MEDIAN(P12:P40)</f>
        <v>17133000</v>
      </c>
      <c r="Q44" s="1171">
        <f t="shared" si="21"/>
        <v>21510330</v>
      </c>
      <c r="R44" s="1172">
        <f t="shared" si="21"/>
        <v>1.0689326661901359E-2</v>
      </c>
      <c r="S44" s="1173">
        <f t="shared" si="21"/>
        <v>7.4848089649340813E-3</v>
      </c>
      <c r="T44" s="1171">
        <f t="shared" si="21"/>
        <v>233071.88800000001</v>
      </c>
      <c r="U44" s="1172">
        <f t="shared" si="21"/>
        <v>1.0857663987385585E-2</v>
      </c>
      <c r="V44" s="1172">
        <f t="shared" si="21"/>
        <v>7.3496312553917083E-3</v>
      </c>
      <c r="W44" s="1171">
        <f t="shared" si="21"/>
        <v>332946300</v>
      </c>
      <c r="X44" s="1172">
        <f t="shared" si="21"/>
        <v>15.666713724088634</v>
      </c>
      <c r="Y44" s="1173">
        <f t="shared" si="21"/>
        <v>12.374907779177853</v>
      </c>
      <c r="Z44" s="1133"/>
      <c r="AA44" s="1170">
        <f>AVERAGE(AA12:AA40)</f>
        <v>34346009682.663994</v>
      </c>
    </row>
    <row r="45" spans="2:38" s="1051" customFormat="1" ht="14.85" customHeight="1">
      <c r="B45" s="1166" t="s">
        <v>44</v>
      </c>
      <c r="C45" s="1167"/>
      <c r="D45" s="1167"/>
      <c r="E45" s="1168"/>
      <c r="F45" s="1168"/>
      <c r="G45" s="1168"/>
      <c r="H45" s="1168"/>
      <c r="I45" s="1168"/>
      <c r="J45" s="1168"/>
      <c r="K45" s="1168"/>
      <c r="L45" s="1168"/>
      <c r="M45" s="1169">
        <f>MEDIAN(M12:M40)</f>
        <v>153949.85999999999</v>
      </c>
      <c r="N45" s="1169"/>
      <c r="O45" s="1170">
        <f>MEDIAN(O12:O40)</f>
        <v>231949.86</v>
      </c>
      <c r="P45" s="1171">
        <f t="shared" ref="P45:Y45" si="22">AVERAGE(P12:P40)</f>
        <v>32199462.399999999</v>
      </c>
      <c r="Q45" s="1171">
        <f t="shared" si="22"/>
        <v>40656612.799999997</v>
      </c>
      <c r="R45" s="1172">
        <f t="shared" si="22"/>
        <v>2.2527930224811279E-2</v>
      </c>
      <c r="S45" s="1173">
        <f t="shared" si="22"/>
        <v>3.5453813600549257E-2</v>
      </c>
      <c r="T45" s="1171">
        <f t="shared" si="22"/>
        <v>271469.66002771322</v>
      </c>
      <c r="U45" s="1172">
        <f t="shared" si="22"/>
        <v>2.2725866060934595E-2</v>
      </c>
      <c r="V45" s="1172">
        <f t="shared" si="22"/>
        <v>3.8347302229559968E-2</v>
      </c>
      <c r="W45" s="1171">
        <f t="shared" si="22"/>
        <v>403201712.80000001</v>
      </c>
      <c r="X45" s="1172">
        <f t="shared" si="22"/>
        <v>30.057334553971014</v>
      </c>
      <c r="Y45" s="1173">
        <f t="shared" si="22"/>
        <v>43.635520031610007</v>
      </c>
      <c r="Z45" s="1133"/>
      <c r="AA45" s="1170">
        <f>MEDIAN(AA12:AA40)</f>
        <v>262629.88620000001</v>
      </c>
    </row>
    <row r="46" spans="2:38" s="1051" customFormat="1" ht="14.85" customHeight="1">
      <c r="B46" s="1166" t="s">
        <v>114</v>
      </c>
      <c r="C46" s="1167"/>
      <c r="D46" s="1167"/>
      <c r="E46" s="1168"/>
      <c r="F46" s="1168"/>
      <c r="G46" s="1168"/>
      <c r="H46" s="1168"/>
      <c r="I46" s="1168"/>
      <c r="J46" s="1168"/>
      <c r="K46" s="1168"/>
      <c r="L46" s="1168"/>
      <c r="M46" s="1169">
        <f>QUARTILE(M12:M40,1)</f>
        <v>73052.231999999989</v>
      </c>
      <c r="N46" s="1169"/>
      <c r="O46" s="1170">
        <f>QUARTILE(O12:O40,1)</f>
        <v>122552.23199999999</v>
      </c>
      <c r="P46" s="1171">
        <f t="shared" ref="P46:Y46" si="23">QUARTILE(P12:P40,3)</f>
        <v>48786000</v>
      </c>
      <c r="Q46" s="1171">
        <f t="shared" si="23"/>
        <v>62887920</v>
      </c>
      <c r="R46" s="1172">
        <f t="shared" si="23"/>
        <v>1.5941030619921758E-2</v>
      </c>
      <c r="S46" s="1173">
        <f t="shared" si="23"/>
        <v>1.373973814011231E-2</v>
      </c>
      <c r="T46" s="1171">
        <f t="shared" si="23"/>
        <v>335839.81699999992</v>
      </c>
      <c r="U46" s="1172">
        <f t="shared" si="23"/>
        <v>1.554027401178918E-2</v>
      </c>
      <c r="V46" s="1172">
        <f t="shared" si="23"/>
        <v>1.3794677636090671E-2</v>
      </c>
      <c r="W46" s="1171">
        <f t="shared" si="23"/>
        <v>498437530</v>
      </c>
      <c r="X46" s="1172">
        <f t="shared" si="23"/>
        <v>23.713360644779765</v>
      </c>
      <c r="Y46" s="1173">
        <f t="shared" si="23"/>
        <v>21.648384924479245</v>
      </c>
      <c r="Z46" s="1133"/>
      <c r="AA46" s="1170">
        <f>QUARTILE(AA12:AA40,1)</f>
        <v>92842.11510000001</v>
      </c>
    </row>
    <row r="47" spans="2:38" s="1051" customFormat="1" ht="14.85" customHeight="1">
      <c r="B47" s="1174" t="s">
        <v>112</v>
      </c>
      <c r="C47" s="1175"/>
      <c r="D47" s="1175"/>
      <c r="E47" s="1176"/>
      <c r="F47" s="1176"/>
      <c r="G47" s="1176"/>
      <c r="H47" s="1176"/>
      <c r="I47" s="1176"/>
      <c r="J47" s="1176"/>
      <c r="K47" s="1176"/>
      <c r="L47" s="1176"/>
      <c r="M47" s="1177">
        <f>MIN(M12:M40)</f>
        <v>22946.118999999999</v>
      </c>
      <c r="N47" s="1177"/>
      <c r="O47" s="1178">
        <f>MIN(O12:O40)</f>
        <v>32956.118999999999</v>
      </c>
      <c r="P47" s="1179">
        <f t="shared" ref="P47:Y47" si="24">MAX(P12:P40)</f>
        <v>155584000</v>
      </c>
      <c r="Q47" s="1179">
        <f t="shared" si="24"/>
        <v>186350000</v>
      </c>
      <c r="R47" s="1180">
        <f t="shared" si="24"/>
        <v>0.12765135913421755</v>
      </c>
      <c r="S47" s="1181">
        <f t="shared" si="24"/>
        <v>0.39154067731629388</v>
      </c>
      <c r="T47" s="1179">
        <f t="shared" si="24"/>
        <v>864395.11</v>
      </c>
      <c r="U47" s="1180">
        <f t="shared" si="24"/>
        <v>0.13756822993044573</v>
      </c>
      <c r="V47" s="1180">
        <f t="shared" si="24"/>
        <v>0.44892086900958461</v>
      </c>
      <c r="W47" s="1179">
        <f t="shared" si="24"/>
        <v>1300279390</v>
      </c>
      <c r="X47" s="1180">
        <f t="shared" si="24"/>
        <v>168.34637031696747</v>
      </c>
      <c r="Y47" s="1181">
        <f t="shared" si="24"/>
        <v>454.17456869009584</v>
      </c>
      <c r="Z47" s="1133"/>
      <c r="AA47" s="1178">
        <f>MIN(AA12:AA40)</f>
        <v>18520.796050000001</v>
      </c>
    </row>
    <row r="48" spans="2:38" s="1051" customFormat="1" ht="14.85" customHeight="1">
      <c r="B48" s="1182"/>
      <c r="C48" s="1182"/>
      <c r="D48" s="1182"/>
      <c r="E48" s="1183"/>
      <c r="F48" s="1183"/>
      <c r="G48" s="1183"/>
      <c r="H48" s="1183"/>
      <c r="I48" s="1183"/>
      <c r="J48" s="1183"/>
      <c r="K48" s="1183"/>
      <c r="L48" s="1183"/>
      <c r="M48" s="1183"/>
      <c r="N48" s="1183"/>
      <c r="O48" s="1119"/>
      <c r="P48" s="1119"/>
      <c r="Q48" s="1119"/>
      <c r="R48" s="1119"/>
      <c r="S48" s="1119"/>
      <c r="T48" s="1119"/>
      <c r="U48" s="1119"/>
      <c r="V48" s="1119"/>
      <c r="W48" s="1119"/>
      <c r="X48" s="1119"/>
      <c r="Y48" s="1119"/>
      <c r="Z48" s="1133"/>
      <c r="AA48" s="1183"/>
    </row>
    <row r="49" spans="2:27" s="1051" customFormat="1" ht="14.85" customHeight="1">
      <c r="B49" s="279" t="s">
        <v>116</v>
      </c>
      <c r="E49" s="1119"/>
      <c r="F49" s="1119"/>
      <c r="G49" s="1119"/>
      <c r="H49" s="1119"/>
      <c r="I49" s="1119"/>
      <c r="J49" s="1119"/>
      <c r="K49" s="1119"/>
      <c r="L49" s="1119"/>
      <c r="M49" s="1119"/>
      <c r="N49" s="1119"/>
      <c r="O49" s="1119"/>
      <c r="P49" s="1119"/>
      <c r="Q49" s="1119"/>
      <c r="R49" s="1119"/>
      <c r="S49" s="1119"/>
      <c r="T49" s="1119"/>
      <c r="U49" s="1119"/>
      <c r="V49" s="1119"/>
      <c r="W49" s="1119"/>
      <c r="X49" s="1119"/>
      <c r="Y49" s="1119"/>
      <c r="Z49" s="1119"/>
      <c r="AA49" s="1119"/>
    </row>
    <row r="50" spans="2:27" ht="14.85" customHeight="1"/>
    <row r="51" spans="2:27" ht="14.85" customHeight="1"/>
    <row r="52" spans="2:27" ht="14.85" customHeight="1"/>
    <row r="53" spans="2:27" ht="14.85" customHeight="1"/>
    <row r="54" spans="2:27" ht="14.85" customHeight="1"/>
    <row r="55" spans="2:27" ht="14.85" customHeight="1"/>
    <row r="56" spans="2:27" ht="14.85" customHeight="1"/>
    <row r="57" spans="2:27" ht="14.85" customHeight="1"/>
    <row r="58" spans="2:27" ht="14.85" customHeight="1"/>
    <row r="59" spans="2:27" ht="14.85" customHeight="1"/>
    <row r="60" spans="2:27" ht="14.85" customHeight="1"/>
    <row r="61" spans="2:27" ht="14.85" customHeight="1"/>
    <row r="62" spans="2:27" ht="14.85" customHeight="1"/>
    <row r="63" spans="2:27" ht="14.85" customHeight="1"/>
    <row r="64" spans="2:27"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E9:E10"/>
    <mergeCell ref="J9:J10"/>
    <mergeCell ref="N9:N10"/>
    <mergeCell ref="O9:O10"/>
    <mergeCell ref="AC9:AC10"/>
    <mergeCell ref="AF9:AF10"/>
    <mergeCell ref="F9:F10"/>
    <mergeCell ref="G9:H9"/>
    <mergeCell ref="I9:I10"/>
    <mergeCell ref="K9:K10"/>
    <mergeCell ref="AA9:AA10"/>
    <mergeCell ref="AB9:AB10"/>
    <mergeCell ref="L9:L10"/>
    <mergeCell ref="M9:M10"/>
    <mergeCell ref="AE9:AE10"/>
    <mergeCell ref="AH9:AH10"/>
    <mergeCell ref="AI9:AI10"/>
    <mergeCell ref="AJ9:AJ10"/>
    <mergeCell ref="AK9:AK10"/>
    <mergeCell ref="AL9:AL10"/>
  </mergeCells>
  <conditionalFormatting sqref="C4:D4">
    <cfRule type="cellIs" dxfId="91" priority="8" stopIfTrue="1" operator="equal">
      <formula>"input"</formula>
    </cfRule>
  </conditionalFormatting>
  <conditionalFormatting sqref="E4:F4">
    <cfRule type="cellIs" dxfId="90" priority="7" stopIfTrue="1" operator="equal">
      <formula>"input"</formula>
    </cfRule>
  </conditionalFormatting>
  <conditionalFormatting sqref="G4:H5">
    <cfRule type="cellIs" dxfId="89" priority="6" stopIfTrue="1" operator="equal">
      <formula>"input"</formula>
    </cfRule>
  </conditionalFormatting>
  <conditionalFormatting sqref="I4:J5">
    <cfRule type="cellIs" dxfId="88" priority="5" stopIfTrue="1" operator="equal">
      <formula>"input"</formula>
    </cfRule>
  </conditionalFormatting>
  <conditionalFormatting sqref="K4:L5">
    <cfRule type="cellIs" dxfId="87" priority="4" stopIfTrue="1" operator="equal">
      <formula>"input"</formula>
    </cfRule>
  </conditionalFormatting>
  <conditionalFormatting sqref="M4:N5">
    <cfRule type="cellIs" dxfId="86" priority="3" stopIfTrue="1" operator="equal">
      <formula>"input"</formula>
    </cfRule>
  </conditionalFormatting>
  <conditionalFormatting sqref="O4:O5">
    <cfRule type="cellIs" dxfId="85" priority="2" stopIfTrue="1" operator="equal">
      <formula>"input"</formula>
    </cfRule>
  </conditionalFormatting>
  <conditionalFormatting sqref="B4">
    <cfRule type="cellIs" dxfId="84" priority="1" stopIfTrue="1" operator="equal">
      <formula>"input"</formula>
    </cfRule>
  </conditionalFormatting>
  <pageMargins left="0.5" right="0.5" top="0.5" bottom="0.5" header="0.5" footer="0.5"/>
  <pageSetup scale="92" fitToWidth="0" fitToHeight="0" orientation="landscape" r:id="rId1"/>
  <legacyDrawing r:id="rId2"/>
  <legacyDrawingHF r:id="rId3"/>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64"/>
  <dimension ref="A1:BM764"/>
  <sheetViews>
    <sheetView showGridLines="0" view="pageBreakPreview" zoomScale="85" zoomScaleNormal="100" zoomScaleSheetLayoutView="85" workbookViewId="0"/>
  </sheetViews>
  <sheetFormatPr defaultColWidth="10.6640625" defaultRowHeight="14.25" outlineLevelRow="1" outlineLevelCol="1"/>
  <cols>
    <col min="1" max="1" width="4.5" style="1033" customWidth="1"/>
    <col min="2" max="2" width="42.33203125" style="1033" customWidth="1"/>
    <col min="3" max="3" width="19.83203125" style="1033" hidden="1" customWidth="1" outlineLevel="1"/>
    <col min="4" max="4" width="18.6640625" style="1033" hidden="1" customWidth="1" outlineLevel="1" collapsed="1"/>
    <col min="5" max="5" width="15.5" style="1033" hidden="1" customWidth="1" outlineLevel="1"/>
    <col min="6" max="6" width="12.83203125" style="1035" bestFit="1" customWidth="1" collapsed="1"/>
    <col min="7" max="7" width="12" style="1035" customWidth="1"/>
    <col min="8" max="9" width="14" style="1035" hidden="1" customWidth="1" outlineLevel="1"/>
    <col min="10" max="10" width="15" style="1035" customWidth="1" collapsed="1"/>
    <col min="11" max="13" width="16.83203125" style="1035" customWidth="1"/>
    <col min="14" max="14" width="18.33203125" style="1035" customWidth="1"/>
    <col min="15" max="15" width="16.83203125" style="1035" customWidth="1"/>
    <col min="16" max="16" width="18.33203125" style="1035" customWidth="1"/>
    <col min="17" max="17" width="4.5" style="1035" customWidth="1"/>
    <col min="18" max="18" width="29.1640625" style="1035" bestFit="1" customWidth="1"/>
    <col min="19" max="19" width="16.33203125" style="1033" customWidth="1"/>
    <col min="20" max="20" width="13.6640625" style="1033" customWidth="1"/>
    <col min="21" max="21" width="14.83203125" style="1033" customWidth="1"/>
    <col min="22" max="22" width="13.5" style="1033" bestFit="1" customWidth="1"/>
    <col min="23" max="23" width="16.5" style="1033" bestFit="1" customWidth="1"/>
    <col min="24" max="24" width="12.5" style="1033" bestFit="1" customWidth="1"/>
    <col min="25" max="25" width="13.6640625" style="1033" bestFit="1" customWidth="1"/>
    <col min="26" max="26" width="13.6640625" style="1033" customWidth="1"/>
    <col min="27" max="27" width="12.5" style="1033" bestFit="1" customWidth="1"/>
    <col min="28" max="28" width="13.1640625" style="1033" bestFit="1" customWidth="1"/>
    <col min="29" max="29" width="13" style="1033" bestFit="1" customWidth="1"/>
    <col min="30" max="30" width="15.6640625" style="1033" bestFit="1" customWidth="1"/>
    <col min="31" max="31" width="11" style="1033" bestFit="1" customWidth="1"/>
    <col min="32" max="34" width="10.6640625" style="1033"/>
    <col min="35" max="36" width="12.5" style="1033" bestFit="1" customWidth="1"/>
    <col min="37" max="37" width="14" style="1033" bestFit="1" customWidth="1"/>
    <col min="38" max="38" width="10.6640625" style="1033"/>
    <col min="39" max="40" width="11" style="1033" bestFit="1" customWidth="1"/>
    <col min="41" max="41" width="12.5" style="1033" bestFit="1" customWidth="1"/>
    <col min="42" max="42" width="12.33203125" style="1033" bestFit="1" customWidth="1"/>
    <col min="43" max="43" width="14" style="1033" bestFit="1" customWidth="1"/>
    <col min="44" max="44" width="14.33203125" style="1033" bestFit="1" customWidth="1"/>
    <col min="45" max="45" width="11" style="1033" bestFit="1" customWidth="1"/>
    <col min="46" max="46" width="18" style="1033" bestFit="1" customWidth="1"/>
    <col min="47" max="47" width="14" style="1033" bestFit="1" customWidth="1"/>
    <col min="48" max="48" width="18" style="1033" bestFit="1" customWidth="1"/>
    <col min="49" max="51" width="11" style="1033" bestFit="1" customWidth="1"/>
    <col min="52" max="52" width="14" style="1033" bestFit="1" customWidth="1"/>
    <col min="53" max="53" width="11" style="1033" bestFit="1" customWidth="1"/>
    <col min="54" max="54" width="18.1640625" style="1033" bestFit="1" customWidth="1"/>
    <col min="55" max="55" width="10.6640625" style="1033"/>
    <col min="56" max="56" width="14" style="1033" bestFit="1" customWidth="1"/>
    <col min="57" max="57" width="11" style="1033" bestFit="1" customWidth="1"/>
    <col min="58" max="58" width="12" style="1033" bestFit="1" customWidth="1"/>
    <col min="59" max="59" width="15.5" style="1033" bestFit="1" customWidth="1"/>
    <col min="60" max="60" width="12" style="1033" bestFit="1" customWidth="1"/>
    <col min="61" max="64" width="10.6640625" style="1033"/>
    <col min="65" max="65" width="11" style="1033" bestFit="1" customWidth="1"/>
    <col min="66" max="16384" width="10.6640625" style="1033"/>
  </cols>
  <sheetData>
    <row r="1" spans="1:36" ht="11.25" customHeight="1" thickBot="1">
      <c r="A1" s="1032"/>
      <c r="F1" s="1034"/>
      <c r="G1" s="1034"/>
      <c r="H1" s="1034"/>
      <c r="I1" s="1034"/>
      <c r="J1" s="1034"/>
      <c r="K1" s="1034"/>
      <c r="L1" s="1034"/>
      <c r="M1" s="1034"/>
      <c r="N1" s="1034"/>
      <c r="R1" s="1033"/>
      <c r="S1" s="1036"/>
      <c r="T1" s="1037"/>
      <c r="W1" s="1033" t="s">
        <v>455</v>
      </c>
      <c r="X1" s="1033" t="s">
        <v>457</v>
      </c>
      <c r="AJ1" s="1038"/>
    </row>
    <row r="2" spans="1:36" ht="15.75" thickTop="1">
      <c r="A2" s="1039"/>
      <c r="B2" s="223" t="str">
        <f>'MASTER PubCo Inputs'!$C$5</f>
        <v>Trucode Gene Repair, Inc.</v>
      </c>
      <c r="C2" s="223"/>
      <c r="D2" s="223"/>
      <c r="E2" s="223"/>
      <c r="F2" s="223"/>
      <c r="G2" s="223"/>
      <c r="H2" s="223"/>
      <c r="I2" s="223"/>
      <c r="J2" s="223"/>
      <c r="K2" s="223"/>
      <c r="L2" s="223"/>
      <c r="M2" s="223"/>
      <c r="N2" s="223"/>
      <c r="O2" s="223"/>
      <c r="P2" s="223"/>
      <c r="Q2" s="1040"/>
      <c r="R2" s="1041"/>
      <c r="S2" s="1042" t="s">
        <v>1345</v>
      </c>
      <c r="T2" s="1043">
        <v>42837</v>
      </c>
      <c r="U2" s="1033" t="s">
        <v>1706</v>
      </c>
      <c r="W2" s="1033" t="s">
        <v>828</v>
      </c>
      <c r="X2" s="1033" t="s">
        <v>829</v>
      </c>
    </row>
    <row r="3" spans="1:36" ht="15">
      <c r="A3" s="1039"/>
      <c r="B3" s="232" t="str">
        <f>VLOOKUP(B4,Outline!$E$8:$G$65,COLUMNS(Outline!$E$8:$G$8),FALSE)</f>
        <v>Exhibit H.10</v>
      </c>
      <c r="C3" s="232"/>
      <c r="D3" s="232"/>
      <c r="E3" s="232"/>
      <c r="F3" s="232"/>
      <c r="G3" s="232"/>
      <c r="H3" s="232"/>
      <c r="I3" s="232"/>
      <c r="J3" s="232"/>
      <c r="K3" s="232"/>
      <c r="L3" s="232"/>
      <c r="M3" s="232"/>
      <c r="N3" s="232"/>
      <c r="O3" s="232"/>
      <c r="P3" s="232"/>
      <c r="Q3" s="1040"/>
      <c r="R3" s="1041"/>
      <c r="S3" s="1044"/>
      <c r="T3" s="1045"/>
      <c r="W3" s="1033" t="s">
        <v>456</v>
      </c>
      <c r="X3" s="1033" t="s">
        <v>458</v>
      </c>
    </row>
    <row r="4" spans="1:36" ht="15.75" thickBot="1">
      <c r="B4" s="225" t="s">
        <v>975</v>
      </c>
      <c r="C4" s="225"/>
      <c r="D4" s="225"/>
      <c r="E4" s="225"/>
      <c r="F4" s="225"/>
      <c r="G4" s="225"/>
      <c r="H4" s="225"/>
      <c r="I4" s="225"/>
      <c r="J4" s="225"/>
      <c r="K4" s="225"/>
      <c r="L4" s="225"/>
      <c r="M4" s="225"/>
      <c r="N4" s="225"/>
      <c r="O4" s="225"/>
      <c r="P4" s="233" t="str">
        <f>'MASTER PubCo Inputs'!C20</f>
        <v>(in thousands of USD and shares, except price per share)</v>
      </c>
      <c r="Q4" s="1040"/>
      <c r="R4" s="1033"/>
      <c r="W4" s="1033" t="s">
        <v>89</v>
      </c>
      <c r="X4" s="1033" t="s">
        <v>90</v>
      </c>
    </row>
    <row r="5" spans="1:36" ht="14.85" customHeight="1" thickTop="1">
      <c r="B5" s="1046" t="s">
        <v>1806</v>
      </c>
      <c r="C5" s="1046"/>
      <c r="D5" s="1046"/>
      <c r="E5" s="1046"/>
      <c r="F5" s="1047"/>
      <c r="G5" s="1047"/>
      <c r="H5" s="1047"/>
      <c r="I5" s="1047"/>
      <c r="J5" s="1047"/>
      <c r="K5" s="1034"/>
      <c r="L5" s="1034"/>
      <c r="M5" s="1034"/>
      <c r="N5" s="1034"/>
      <c r="Q5" s="1040"/>
      <c r="R5" s="1033"/>
    </row>
    <row r="6" spans="1:36" ht="14.85" customHeight="1">
      <c r="B6" s="1039"/>
      <c r="C6" s="1039"/>
      <c r="D6" s="1039"/>
      <c r="E6" s="1039"/>
      <c r="F6" s="1034"/>
      <c r="G6" s="1034"/>
      <c r="H6" s="1034"/>
      <c r="I6" s="1034"/>
      <c r="J6" s="1034"/>
      <c r="K6" s="1034"/>
      <c r="L6" s="1048"/>
      <c r="M6" s="1034"/>
      <c r="N6" s="1049"/>
      <c r="P6" s="1050"/>
    </row>
    <row r="7" spans="1:36" s="1051" customFormat="1" ht="14.85" customHeight="1">
      <c r="B7" s="1052" t="s">
        <v>1669</v>
      </c>
      <c r="C7" s="1053"/>
      <c r="D7" s="1053"/>
      <c r="E7" s="1053"/>
      <c r="F7" s="1053"/>
      <c r="G7" s="1053"/>
      <c r="H7" s="1053"/>
      <c r="I7" s="1053"/>
      <c r="J7" s="1053"/>
      <c r="K7" s="1053"/>
      <c r="L7" s="1053"/>
      <c r="M7" s="1053"/>
      <c r="N7" s="1053"/>
      <c r="O7" s="1053"/>
      <c r="P7" s="1054"/>
      <c r="Q7" s="1055"/>
      <c r="R7" s="1056"/>
    </row>
    <row r="8" spans="1:36" s="1057" customFormat="1" ht="28.5">
      <c r="B8" s="1058"/>
      <c r="C8" s="1059"/>
      <c r="D8" s="1059" t="s">
        <v>977</v>
      </c>
      <c r="E8" s="1059" t="s">
        <v>978</v>
      </c>
      <c r="F8" s="2232" t="s">
        <v>1564</v>
      </c>
      <c r="G8" s="2231" t="s">
        <v>979</v>
      </c>
      <c r="H8" s="2231" t="s">
        <v>980</v>
      </c>
      <c r="I8" s="2231"/>
      <c r="J8" s="2231" t="s">
        <v>981</v>
      </c>
      <c r="K8" s="2233" t="s">
        <v>1802</v>
      </c>
      <c r="L8" s="2231" t="s">
        <v>982</v>
      </c>
      <c r="M8" s="2231" t="s">
        <v>983</v>
      </c>
      <c r="N8" s="2231" t="s">
        <v>984</v>
      </c>
      <c r="O8" s="2233" t="s">
        <v>1803</v>
      </c>
      <c r="P8" s="2234" t="s">
        <v>1805</v>
      </c>
      <c r="Q8" s="1055"/>
      <c r="R8" s="2202" t="s">
        <v>985</v>
      </c>
      <c r="S8" s="2202" t="s">
        <v>986</v>
      </c>
      <c r="T8" s="2202" t="s">
        <v>987</v>
      </c>
      <c r="U8" s="2202" t="s">
        <v>988</v>
      </c>
      <c r="W8" s="622" t="s">
        <v>989</v>
      </c>
      <c r="X8" s="2202" t="s">
        <v>809</v>
      </c>
      <c r="Z8" s="2203" t="s">
        <v>146</v>
      </c>
      <c r="AA8" s="2203" t="s">
        <v>1808</v>
      </c>
      <c r="AB8" s="2203" t="s">
        <v>1809</v>
      </c>
      <c r="AC8" s="2203" t="s">
        <v>1810</v>
      </c>
      <c r="AD8" s="2203" t="s">
        <v>1811</v>
      </c>
    </row>
    <row r="9" spans="1:36" s="1057" customFormat="1" ht="28.5">
      <c r="B9" s="623" t="s">
        <v>990</v>
      </c>
      <c r="C9" s="1060" t="s">
        <v>991</v>
      </c>
      <c r="D9" s="1060" t="s">
        <v>580</v>
      </c>
      <c r="E9" s="1060" t="s">
        <v>992</v>
      </c>
      <c r="F9" s="2205"/>
      <c r="G9" s="2207"/>
      <c r="H9" s="1061" t="s">
        <v>112</v>
      </c>
      <c r="I9" s="1061" t="s">
        <v>111</v>
      </c>
      <c r="J9" s="2207"/>
      <c r="K9" s="2207"/>
      <c r="L9" s="2207"/>
      <c r="M9" s="2207"/>
      <c r="N9" s="2207"/>
      <c r="O9" s="2207"/>
      <c r="P9" s="2209"/>
      <c r="Q9" s="1055"/>
      <c r="R9" s="2202"/>
      <c r="S9" s="2202"/>
      <c r="T9" s="2202"/>
      <c r="U9" s="2202"/>
      <c r="X9" s="2202"/>
      <c r="Y9" s="622" t="s">
        <v>95</v>
      </c>
      <c r="Z9" s="2203"/>
      <c r="AA9" s="2203"/>
      <c r="AB9" s="2203"/>
      <c r="AC9" s="2203"/>
      <c r="AD9" s="2203"/>
    </row>
    <row r="10" spans="1:36" s="1057" customFormat="1" ht="14.85" customHeight="1">
      <c r="B10" s="622"/>
      <c r="C10" s="622"/>
      <c r="D10" s="622"/>
      <c r="E10" s="622"/>
      <c r="F10" s="622"/>
      <c r="G10" s="622"/>
      <c r="H10" s="622"/>
      <c r="I10" s="622"/>
      <c r="J10" s="622"/>
      <c r="K10" s="1062"/>
      <c r="L10" s="622"/>
      <c r="M10" s="622"/>
      <c r="N10" s="622"/>
      <c r="O10" s="622"/>
      <c r="P10" s="622"/>
      <c r="Q10" s="1055"/>
      <c r="R10" s="1063"/>
      <c r="S10" s="1063"/>
      <c r="T10" s="1063"/>
      <c r="AE10" s="1057" t="s">
        <v>110</v>
      </c>
    </row>
    <row r="11" spans="1:36" s="1057" customFormat="1" ht="14.85" customHeight="1">
      <c r="B11" s="1051" t="s">
        <v>1670</v>
      </c>
      <c r="C11" s="1064" t="s">
        <v>1671</v>
      </c>
      <c r="D11" s="1065" t="s">
        <v>13</v>
      </c>
      <c r="E11" s="1064" t="s">
        <v>1672</v>
      </c>
      <c r="F11" s="1066">
        <v>42641</v>
      </c>
      <c r="G11" s="1067">
        <v>9</v>
      </c>
      <c r="H11" s="1068">
        <v>12</v>
      </c>
      <c r="I11" s="1068">
        <v>14</v>
      </c>
      <c r="J11" s="1067">
        <v>9.09</v>
      </c>
      <c r="K11" s="1069">
        <f>M11-L11</f>
        <v>12846.256000000001</v>
      </c>
      <c r="L11" s="1070">
        <v>4200</v>
      </c>
      <c r="M11" s="591">
        <v>17046.256000000001</v>
      </c>
      <c r="N11" s="1071">
        <f>+K11*G11</f>
        <v>115616.304</v>
      </c>
      <c r="O11" s="1070">
        <v>37800</v>
      </c>
      <c r="P11" s="1071">
        <f>N11+O11</f>
        <v>153416.304</v>
      </c>
      <c r="Q11" s="1071"/>
      <c r="R11" s="1072">
        <f>M11*J11</f>
        <v>154950.46704000002</v>
      </c>
      <c r="S11" s="1073">
        <v>42642</v>
      </c>
      <c r="T11" s="1073">
        <v>42672</v>
      </c>
      <c r="U11" s="1074" t="s">
        <v>1673</v>
      </c>
      <c r="V11" s="1075" t="s">
        <v>1674</v>
      </c>
      <c r="W11" s="1076">
        <f>+N11+O11</f>
        <v>153416.304</v>
      </c>
      <c r="X11" s="1077">
        <v>16060</v>
      </c>
      <c r="Y11" s="1077">
        <v>0</v>
      </c>
      <c r="Z11" s="1077">
        <f>W11+Y11-X11</f>
        <v>137356.304</v>
      </c>
      <c r="AA11" s="1077">
        <v>13218</v>
      </c>
      <c r="AB11" s="1077">
        <v>-5000</v>
      </c>
      <c r="AC11" s="1077">
        <f>Z11/AA11</f>
        <v>10.391610228476321</v>
      </c>
      <c r="AD11" s="1077">
        <f>Z11/AB11</f>
        <v>-27.4712608</v>
      </c>
      <c r="AE11" s="1078">
        <f t="shared" ref="AE11:AE19" si="0">+P11-W11</f>
        <v>0</v>
      </c>
    </row>
    <row r="12" spans="1:36" s="1057" customFormat="1" ht="14.85" customHeight="1">
      <c r="B12" s="1051" t="s">
        <v>1675</v>
      </c>
      <c r="C12" s="1064" t="s">
        <v>1676</v>
      </c>
      <c r="D12" s="1065" t="s">
        <v>13</v>
      </c>
      <c r="E12" s="1064" t="s">
        <v>1677</v>
      </c>
      <c r="F12" s="1066">
        <v>42522</v>
      </c>
      <c r="G12" s="1067">
        <v>14</v>
      </c>
      <c r="H12" s="1068">
        <v>12.5</v>
      </c>
      <c r="I12" s="1068">
        <v>15.5</v>
      </c>
      <c r="J12" s="1067">
        <v>12.87</v>
      </c>
      <c r="K12" s="1069">
        <f t="shared" ref="K12:K19" si="1">M12-L12</f>
        <v>111345.825</v>
      </c>
      <c r="L12" s="1070">
        <v>6500</v>
      </c>
      <c r="M12" s="591">
        <v>117845.825</v>
      </c>
      <c r="N12" s="1071">
        <f t="shared" ref="N12:N19" si="2">+K12*G12</f>
        <v>1558841.55</v>
      </c>
      <c r="O12" s="1070">
        <v>91000</v>
      </c>
      <c r="P12" s="1071">
        <f t="shared" ref="P12:P19" si="3">N12+O12</f>
        <v>1649841.55</v>
      </c>
      <c r="Q12" s="1071"/>
      <c r="R12" s="1072">
        <f t="shared" ref="R12:R19" si="4">M12*J12</f>
        <v>1516675.7677499999</v>
      </c>
      <c r="S12" s="1073">
        <v>42523</v>
      </c>
      <c r="T12" s="1073">
        <v>42553</v>
      </c>
      <c r="U12" s="1074" t="s">
        <v>1678</v>
      </c>
      <c r="V12" s="1075" t="s">
        <v>1679</v>
      </c>
      <c r="W12" s="1076">
        <f t="shared" ref="W12:W19" si="5">+N12+O12</f>
        <v>1649841.55</v>
      </c>
      <c r="X12" s="1077">
        <v>24560</v>
      </c>
      <c r="Y12" s="1077">
        <v>152666</v>
      </c>
      <c r="Z12" s="1077">
        <f t="shared" ref="Z12:Z19" si="6">W12+Y12-X12</f>
        <v>1777947.55</v>
      </c>
      <c r="AA12" s="1077">
        <v>66012</v>
      </c>
      <c r="AB12" s="1077">
        <v>-81859</v>
      </c>
      <c r="AC12" s="1077">
        <f t="shared" ref="AC12:AC19" si="7">Z12/AA12</f>
        <v>26.933702205659579</v>
      </c>
      <c r="AD12" s="1077">
        <f t="shared" ref="AD12:AD19" si="8">Z12/AB12</f>
        <v>-21.719634371296987</v>
      </c>
      <c r="AE12" s="1078">
        <f t="shared" si="0"/>
        <v>0</v>
      </c>
    </row>
    <row r="13" spans="1:36" s="1057" customFormat="1" ht="14.85" customHeight="1">
      <c r="B13" s="1079" t="s">
        <v>1680</v>
      </c>
      <c r="C13" s="1064" t="s">
        <v>1681</v>
      </c>
      <c r="D13" s="1065" t="s">
        <v>13</v>
      </c>
      <c r="E13" s="1064" t="s">
        <v>1682</v>
      </c>
      <c r="F13" s="1066">
        <v>42129</v>
      </c>
      <c r="G13" s="1067">
        <v>14</v>
      </c>
      <c r="H13" s="1068">
        <v>13</v>
      </c>
      <c r="I13" s="1068">
        <v>15</v>
      </c>
      <c r="J13" s="1067">
        <v>15.61</v>
      </c>
      <c r="K13" s="1069">
        <f t="shared" si="1"/>
        <v>3164.6130000000003</v>
      </c>
      <c r="L13" s="1070">
        <v>3570</v>
      </c>
      <c r="M13" s="591">
        <v>6734.6130000000003</v>
      </c>
      <c r="N13" s="1071">
        <f t="shared" si="2"/>
        <v>44304.582000000002</v>
      </c>
      <c r="O13" s="1070">
        <v>49980</v>
      </c>
      <c r="P13" s="1071">
        <f t="shared" si="3"/>
        <v>94284.581999999995</v>
      </c>
      <c r="Q13" s="1071"/>
      <c r="R13" s="1072">
        <f t="shared" si="4"/>
        <v>105127.30893</v>
      </c>
      <c r="S13" s="1073">
        <v>42131</v>
      </c>
      <c r="T13" s="1073">
        <v>42161</v>
      </c>
      <c r="U13" s="1074" t="s">
        <v>1683</v>
      </c>
      <c r="V13" s="1075" t="s">
        <v>1684</v>
      </c>
      <c r="W13" s="1076">
        <f t="shared" si="5"/>
        <v>94284.581999999995</v>
      </c>
      <c r="X13" s="1077">
        <v>3613.39</v>
      </c>
      <c r="Y13" s="1077">
        <v>10519.37</v>
      </c>
      <c r="Z13" s="1077">
        <f t="shared" si="6"/>
        <v>101190.56199999999</v>
      </c>
      <c r="AA13" s="1077">
        <v>3328.96</v>
      </c>
      <c r="AB13" s="1077">
        <v>-12367.85</v>
      </c>
      <c r="AC13" s="1077">
        <f t="shared" si="7"/>
        <v>30.39704952898202</v>
      </c>
      <c r="AD13" s="1077">
        <f t="shared" si="8"/>
        <v>-8.1817423400186762</v>
      </c>
      <c r="AE13" s="1078">
        <f t="shared" si="0"/>
        <v>0</v>
      </c>
    </row>
    <row r="14" spans="1:36" s="1057" customFormat="1" ht="14.85" customHeight="1">
      <c r="B14" s="1051" t="s">
        <v>1685</v>
      </c>
      <c r="C14" s="1064" t="s">
        <v>1686</v>
      </c>
      <c r="D14" s="1065" t="s">
        <v>13</v>
      </c>
      <c r="E14" s="1064" t="s">
        <v>1687</v>
      </c>
      <c r="F14" s="1066">
        <v>41955</v>
      </c>
      <c r="G14" s="1067">
        <v>6.5</v>
      </c>
      <c r="H14" s="1068">
        <v>0</v>
      </c>
      <c r="I14" s="1068">
        <v>0</v>
      </c>
      <c r="J14" s="1067">
        <v>2.5</v>
      </c>
      <c r="K14" s="1069">
        <f t="shared" si="1"/>
        <v>4822.67</v>
      </c>
      <c r="L14" s="1070">
        <v>1550</v>
      </c>
      <c r="M14" s="591">
        <v>6372.67</v>
      </c>
      <c r="N14" s="1071">
        <f t="shared" si="2"/>
        <v>31347.355</v>
      </c>
      <c r="O14" s="1070">
        <v>10075</v>
      </c>
      <c r="P14" s="1071">
        <f t="shared" si="3"/>
        <v>41422.354999999996</v>
      </c>
      <c r="Q14" s="1071"/>
      <c r="R14" s="1072">
        <f t="shared" si="4"/>
        <v>15931.674999999999</v>
      </c>
      <c r="S14" s="1073">
        <v>41957</v>
      </c>
      <c r="T14" s="1073">
        <v>41987</v>
      </c>
      <c r="U14" s="1074" t="s">
        <v>1688</v>
      </c>
      <c r="V14" s="1075" t="s">
        <v>1689</v>
      </c>
      <c r="W14" s="1076">
        <f t="shared" si="5"/>
        <v>41422.354999999996</v>
      </c>
      <c r="X14" s="1077" t="e">
        <v>#VALUE!</v>
      </c>
      <c r="Y14" s="1077" t="e">
        <v>#VALUE!</v>
      </c>
      <c r="Z14" s="1077" t="e">
        <f t="shared" si="6"/>
        <v>#VALUE!</v>
      </c>
      <c r="AA14" s="1077" t="e">
        <v>#VALUE!</v>
      </c>
      <c r="AB14" s="1077" t="e">
        <v>#VALUE!</v>
      </c>
      <c r="AC14" s="1077" t="e">
        <f t="shared" si="7"/>
        <v>#VALUE!</v>
      </c>
      <c r="AD14" s="1077" t="e">
        <f t="shared" si="8"/>
        <v>#VALUE!</v>
      </c>
      <c r="AE14" s="1078">
        <f t="shared" si="0"/>
        <v>0</v>
      </c>
    </row>
    <row r="15" spans="1:36" s="1057" customFormat="1" ht="14.85" customHeight="1">
      <c r="B15" s="1051" t="s">
        <v>1690</v>
      </c>
      <c r="C15" s="1064" t="s">
        <v>1691</v>
      </c>
      <c r="D15" s="1065" t="s">
        <v>13</v>
      </c>
      <c r="E15" s="1064" t="s">
        <v>1692</v>
      </c>
      <c r="F15" s="1066">
        <v>41857</v>
      </c>
      <c r="G15" s="1067">
        <v>11</v>
      </c>
      <c r="H15" s="1068">
        <v>15</v>
      </c>
      <c r="I15" s="1068">
        <v>17</v>
      </c>
      <c r="J15" s="1067">
        <v>19.66</v>
      </c>
      <c r="K15" s="1069">
        <f t="shared" si="1"/>
        <v>14021.603999999999</v>
      </c>
      <c r="L15" s="1070">
        <v>4000</v>
      </c>
      <c r="M15" s="591">
        <v>18021.603999999999</v>
      </c>
      <c r="N15" s="1071">
        <f t="shared" si="2"/>
        <v>154237.644</v>
      </c>
      <c r="O15" s="1070">
        <v>44000</v>
      </c>
      <c r="P15" s="1071">
        <f>N15+O15</f>
        <v>198237.644</v>
      </c>
      <c r="Q15" s="1071"/>
      <c r="R15" s="1072">
        <f t="shared" si="4"/>
        <v>354304.73463999998</v>
      </c>
      <c r="S15" s="1073">
        <v>41858</v>
      </c>
      <c r="T15" s="1073">
        <v>41888</v>
      </c>
      <c r="U15" s="1074" t="s">
        <v>1693</v>
      </c>
      <c r="V15" s="1075" t="s">
        <v>1694</v>
      </c>
      <c r="W15" s="1076">
        <f t="shared" si="5"/>
        <v>198237.644</v>
      </c>
      <c r="X15" s="1077">
        <v>23698</v>
      </c>
      <c r="Y15" s="1077">
        <v>4619</v>
      </c>
      <c r="Z15" s="1077">
        <f t="shared" si="6"/>
        <v>179158.644</v>
      </c>
      <c r="AA15" s="1077">
        <v>266</v>
      </c>
      <c r="AB15" s="1077">
        <v>-21409</v>
      </c>
      <c r="AC15" s="1077">
        <f t="shared" si="7"/>
        <v>673.52873684210522</v>
      </c>
      <c r="AD15" s="1077">
        <f t="shared" si="8"/>
        <v>-8.3683798402540983</v>
      </c>
      <c r="AE15" s="1078">
        <f t="shared" si="0"/>
        <v>0</v>
      </c>
    </row>
    <row r="16" spans="1:36" s="1057" customFormat="1" ht="14.85" customHeight="1">
      <c r="B16" s="1051" t="s">
        <v>1287</v>
      </c>
      <c r="C16" s="1064" t="s">
        <v>1288</v>
      </c>
      <c r="D16" s="1065" t="s">
        <v>13</v>
      </c>
      <c r="E16" s="1064" t="s">
        <v>1289</v>
      </c>
      <c r="F16" s="1066">
        <v>41836</v>
      </c>
      <c r="G16" s="1067">
        <v>10</v>
      </c>
      <c r="H16" s="1068">
        <v>15</v>
      </c>
      <c r="I16" s="1068">
        <v>17</v>
      </c>
      <c r="J16" s="1067">
        <v>10.02</v>
      </c>
      <c r="K16" s="1069">
        <f t="shared" si="1"/>
        <v>7379.3019999999997</v>
      </c>
      <c r="L16" s="1070">
        <v>3125</v>
      </c>
      <c r="M16" s="591">
        <v>10504.302</v>
      </c>
      <c r="N16" s="1071">
        <f t="shared" si="2"/>
        <v>73793.01999999999</v>
      </c>
      <c r="O16" s="1070">
        <v>31250</v>
      </c>
      <c r="P16" s="1071">
        <f t="shared" si="3"/>
        <v>105043.01999999999</v>
      </c>
      <c r="Q16" s="1071"/>
      <c r="R16" s="1072">
        <f t="shared" si="4"/>
        <v>105253.10604</v>
      </c>
      <c r="S16" s="1073">
        <v>41838</v>
      </c>
      <c r="T16" s="1073">
        <v>41868</v>
      </c>
      <c r="U16" s="1074" t="s">
        <v>1290</v>
      </c>
      <c r="V16" s="1075" t="s">
        <v>1291</v>
      </c>
      <c r="W16" s="1076">
        <f t="shared" si="5"/>
        <v>105043.01999999999</v>
      </c>
      <c r="X16" s="1077">
        <v>4837</v>
      </c>
      <c r="Y16" s="1077">
        <v>15114</v>
      </c>
      <c r="Z16" s="1077">
        <f t="shared" si="6"/>
        <v>115320.01999999999</v>
      </c>
      <c r="AA16" s="1077">
        <v>23041</v>
      </c>
      <c r="AB16" s="1077">
        <v>59</v>
      </c>
      <c r="AC16" s="1077">
        <f t="shared" si="7"/>
        <v>5.0049919708345989</v>
      </c>
      <c r="AD16" s="1077">
        <f t="shared" si="8"/>
        <v>1954.5766101694915</v>
      </c>
      <c r="AE16" s="1078">
        <f t="shared" si="0"/>
        <v>0</v>
      </c>
    </row>
    <row r="17" spans="1:31" s="1057" customFormat="1" ht="14.85" customHeight="1">
      <c r="B17" s="1051" t="s">
        <v>1663</v>
      </c>
      <c r="C17" s="1064" t="s">
        <v>1664</v>
      </c>
      <c r="D17" s="1065" t="s">
        <v>13</v>
      </c>
      <c r="E17" s="1064" t="s">
        <v>1665</v>
      </c>
      <c r="F17" s="1066">
        <v>41577</v>
      </c>
      <c r="G17" s="1067">
        <v>13</v>
      </c>
      <c r="H17" s="1068">
        <v>13</v>
      </c>
      <c r="I17" s="1068">
        <v>15</v>
      </c>
      <c r="J17" s="1067">
        <v>12.98</v>
      </c>
      <c r="K17" s="1069">
        <f t="shared" si="1"/>
        <v>15989.89</v>
      </c>
      <c r="L17" s="1070">
        <v>4700</v>
      </c>
      <c r="M17" s="591">
        <v>20689.89</v>
      </c>
      <c r="N17" s="1071">
        <f t="shared" si="2"/>
        <v>207868.57</v>
      </c>
      <c r="O17" s="1070">
        <v>61100</v>
      </c>
      <c r="P17" s="1071">
        <f t="shared" si="3"/>
        <v>268968.57</v>
      </c>
      <c r="Q17" s="1071"/>
      <c r="R17" s="1072">
        <f t="shared" si="4"/>
        <v>268554.77220000001</v>
      </c>
      <c r="S17" s="1073">
        <v>41577</v>
      </c>
      <c r="T17" s="1073">
        <v>41607</v>
      </c>
      <c r="U17" s="1074" t="s">
        <v>1666</v>
      </c>
      <c r="V17" s="1075" t="s">
        <v>1695</v>
      </c>
      <c r="W17" s="1076">
        <f t="shared" si="5"/>
        <v>268968.57</v>
      </c>
      <c r="X17" s="1077">
        <v>20683</v>
      </c>
      <c r="Y17" s="1077">
        <v>4826</v>
      </c>
      <c r="Z17" s="1077">
        <f t="shared" si="6"/>
        <v>253111.57</v>
      </c>
      <c r="AA17" s="1077">
        <v>17133</v>
      </c>
      <c r="AB17" s="1077">
        <v>-20627</v>
      </c>
      <c r="AC17" s="1077">
        <f t="shared" si="7"/>
        <v>14.773336251678048</v>
      </c>
      <c r="AD17" s="1077">
        <f t="shared" si="8"/>
        <v>-12.2708862170941</v>
      </c>
      <c r="AE17" s="1078">
        <f t="shared" si="0"/>
        <v>0</v>
      </c>
    </row>
    <row r="18" spans="1:31" s="1057" customFormat="1" ht="14.85" customHeight="1">
      <c r="B18" s="1051" t="s">
        <v>1696</v>
      </c>
      <c r="C18" s="1064" t="s">
        <v>1697</v>
      </c>
      <c r="D18" s="1065" t="s">
        <v>13</v>
      </c>
      <c r="E18" s="1064" t="s">
        <v>1698</v>
      </c>
      <c r="F18" s="1066">
        <v>41541</v>
      </c>
      <c r="G18" s="1067">
        <v>18</v>
      </c>
      <c r="H18" s="1068">
        <v>14</v>
      </c>
      <c r="I18" s="1068">
        <v>16</v>
      </c>
      <c r="J18" s="1067">
        <v>30.87</v>
      </c>
      <c r="K18" s="1069">
        <f t="shared" si="1"/>
        <v>21283.454000000002</v>
      </c>
      <c r="L18" s="1070">
        <v>5000</v>
      </c>
      <c r="M18" s="591">
        <v>26283.454000000002</v>
      </c>
      <c r="N18" s="1071">
        <f t="shared" si="2"/>
        <v>383102.17200000002</v>
      </c>
      <c r="O18" s="1070">
        <v>90000</v>
      </c>
      <c r="P18" s="1071">
        <f t="shared" si="3"/>
        <v>473102.17200000002</v>
      </c>
      <c r="Q18" s="1071"/>
      <c r="R18" s="1072">
        <f>M18*J18</f>
        <v>811370.22498000006</v>
      </c>
      <c r="S18" s="1073">
        <v>41542</v>
      </c>
      <c r="T18" s="1073">
        <v>41572</v>
      </c>
      <c r="U18" s="1074" t="s">
        <v>1699</v>
      </c>
      <c r="V18" s="1075" t="s">
        <v>1700</v>
      </c>
      <c r="W18" s="1076">
        <f t="shared" si="5"/>
        <v>473102.17200000002</v>
      </c>
      <c r="X18" s="1077">
        <v>35965</v>
      </c>
      <c r="Y18" s="1077">
        <v>2346</v>
      </c>
      <c r="Z18" s="1077">
        <f t="shared" si="6"/>
        <v>439483.17200000002</v>
      </c>
      <c r="AA18" s="1077">
        <v>19336</v>
      </c>
      <c r="AB18" s="1077">
        <v>-24930</v>
      </c>
      <c r="AC18" s="1077">
        <f t="shared" si="7"/>
        <v>22.728753206454282</v>
      </c>
      <c r="AD18" s="1077">
        <f t="shared" si="8"/>
        <v>-17.62868720417168</v>
      </c>
      <c r="AE18" s="1078">
        <f t="shared" si="0"/>
        <v>0</v>
      </c>
    </row>
    <row r="19" spans="1:31" s="1057" customFormat="1" ht="14.85" customHeight="1">
      <c r="B19" s="1051" t="s">
        <v>1701</v>
      </c>
      <c r="C19" s="1064" t="s">
        <v>1702</v>
      </c>
      <c r="D19" s="1065" t="s">
        <v>13</v>
      </c>
      <c r="E19" s="1064" t="s">
        <v>1703</v>
      </c>
      <c r="F19" s="1066">
        <v>41493</v>
      </c>
      <c r="G19" s="1067">
        <v>16</v>
      </c>
      <c r="H19" s="1068">
        <v>14</v>
      </c>
      <c r="I19" s="1068">
        <v>16</v>
      </c>
      <c r="J19" s="1067">
        <v>25.54</v>
      </c>
      <c r="K19" s="1069">
        <f t="shared" si="1"/>
        <v>85486.074000000008</v>
      </c>
      <c r="L19" s="1070">
        <v>8333.3330000000005</v>
      </c>
      <c r="M19" s="591">
        <v>93819.407000000007</v>
      </c>
      <c r="N19" s="1071">
        <f t="shared" si="2"/>
        <v>1367777.1840000001</v>
      </c>
      <c r="O19" s="1070">
        <v>133333.32800000001</v>
      </c>
      <c r="P19" s="1071">
        <f t="shared" si="3"/>
        <v>1501110.5120000001</v>
      </c>
      <c r="Q19" s="1071"/>
      <c r="R19" s="1072">
        <f t="shared" si="4"/>
        <v>2396147.65478</v>
      </c>
      <c r="S19" s="1073">
        <v>41494</v>
      </c>
      <c r="T19" s="1073">
        <v>41524</v>
      </c>
      <c r="U19" s="1074" t="s">
        <v>1704</v>
      </c>
      <c r="V19" s="1075" t="s">
        <v>1705</v>
      </c>
      <c r="W19" s="1076">
        <f t="shared" si="5"/>
        <v>1501110.5120000001</v>
      </c>
      <c r="X19" s="1077">
        <v>59724</v>
      </c>
      <c r="Y19" s="1077">
        <v>2288</v>
      </c>
      <c r="Z19" s="1077">
        <f t="shared" si="6"/>
        <v>1443674.5120000001</v>
      </c>
      <c r="AA19" s="1077">
        <v>16283.000000000002</v>
      </c>
      <c r="AB19" s="1077">
        <v>-56078</v>
      </c>
      <c r="AC19" s="1077">
        <f t="shared" si="7"/>
        <v>88.661457470982</v>
      </c>
      <c r="AD19" s="1077">
        <f t="shared" si="8"/>
        <v>-25.744044224116411</v>
      </c>
      <c r="AE19" s="1078">
        <f t="shared" si="0"/>
        <v>0</v>
      </c>
    </row>
    <row r="20" spans="1:31" s="1057" customFormat="1" ht="14.85" customHeight="1">
      <c r="B20" s="622"/>
      <c r="C20" s="622"/>
      <c r="D20" s="622"/>
      <c r="E20" s="622"/>
      <c r="F20" s="622"/>
      <c r="G20" s="622"/>
      <c r="H20" s="622"/>
      <c r="I20" s="622"/>
      <c r="J20" s="622"/>
      <c r="K20" s="622"/>
      <c r="L20" s="622"/>
      <c r="M20" s="622"/>
      <c r="N20" s="622"/>
      <c r="O20" s="622"/>
      <c r="P20" s="622"/>
      <c r="Q20" s="1055"/>
      <c r="R20" s="1063"/>
      <c r="S20" s="1063"/>
      <c r="T20" s="1063"/>
    </row>
    <row r="21" spans="1:31" s="1057" customFormat="1" ht="14.85" customHeight="1" outlineLevel="1">
      <c r="B21" s="1080" t="s">
        <v>1505</v>
      </c>
      <c r="C21" s="622"/>
      <c r="D21" s="622"/>
      <c r="E21" s="622"/>
      <c r="F21" s="622"/>
      <c r="G21" s="622"/>
      <c r="H21" s="622"/>
      <c r="I21" s="622"/>
      <c r="J21" s="622"/>
      <c r="K21" s="622"/>
      <c r="L21" s="1081"/>
      <c r="M21" s="622"/>
      <c r="N21" s="622"/>
      <c r="O21" s="622"/>
      <c r="P21" s="622"/>
      <c r="Q21" s="1055"/>
      <c r="R21" s="1055"/>
      <c r="S21" s="1063"/>
      <c r="T21" s="1063"/>
    </row>
    <row r="22" spans="1:31" s="1057" customFormat="1" ht="14.85" customHeight="1" outlineLevel="1">
      <c r="B22" s="1080"/>
      <c r="C22" s="622"/>
      <c r="D22" s="622"/>
      <c r="E22" s="622"/>
      <c r="F22" s="622"/>
      <c r="G22" s="622"/>
      <c r="H22" s="622"/>
      <c r="I22" s="622"/>
      <c r="J22" s="622"/>
      <c r="K22" s="622"/>
      <c r="L22" s="1081"/>
      <c r="M22" s="622"/>
      <c r="N22" s="622"/>
      <c r="O22" s="622"/>
      <c r="P22" s="622"/>
      <c r="Q22" s="1055"/>
      <c r="R22" s="1055"/>
      <c r="S22" s="1063"/>
      <c r="T22" s="1063"/>
    </row>
    <row r="23" spans="1:31" s="1057" customFormat="1" ht="14.85" customHeight="1" outlineLevel="1">
      <c r="B23" s="1051" t="s">
        <v>880</v>
      </c>
      <c r="C23" s="1064" t="s">
        <v>878</v>
      </c>
      <c r="D23" s="1065" t="s">
        <v>965</v>
      </c>
      <c r="E23" s="1064" t="s">
        <v>998</v>
      </c>
      <c r="F23" s="1066">
        <v>42661</v>
      </c>
      <c r="G23" s="1067">
        <v>14</v>
      </c>
      <c r="H23" s="1068">
        <v>15</v>
      </c>
      <c r="I23" s="1068">
        <v>17</v>
      </c>
      <c r="J23" s="1067">
        <v>20.5</v>
      </c>
      <c r="K23" s="1082">
        <f t="shared" ref="K23:K38" si="9">+M23-L23</f>
        <v>35360.633999999998</v>
      </c>
      <c r="L23" s="1081">
        <v>4000</v>
      </c>
      <c r="M23" s="1081">
        <v>39360.633999999998</v>
      </c>
      <c r="N23" s="1055">
        <f t="shared" ref="N23:N38" si="10">+G23*K23</f>
        <v>495048.87599999999</v>
      </c>
      <c r="O23" s="1083">
        <f t="shared" ref="O23:O38" si="11">+G23*L23</f>
        <v>56000</v>
      </c>
      <c r="P23" s="1055">
        <f t="shared" ref="P23:P38" si="12">+N23+O23</f>
        <v>551048.87599999993</v>
      </c>
      <c r="Q23" s="1055"/>
      <c r="R23" s="1068">
        <v>20.5</v>
      </c>
      <c r="S23" s="1084">
        <f t="shared" ref="S23:S38" si="13">R23*M23</f>
        <v>806892.99699999997</v>
      </c>
      <c r="T23" s="1085">
        <f t="shared" ref="T23:T38" si="14">S23/P23-1</f>
        <v>0.46428571428571441</v>
      </c>
      <c r="U23" s="1074" t="s">
        <v>879</v>
      </c>
      <c r="V23" s="1075" t="s">
        <v>881</v>
      </c>
      <c r="W23" s="1076">
        <f t="shared" ref="W23:W38" si="15">+N23+O23</f>
        <v>551048.87599999993</v>
      </c>
      <c r="X23" s="1078">
        <f t="shared" ref="X23:X38" si="16">+P23-W23</f>
        <v>0</v>
      </c>
    </row>
    <row r="24" spans="1:31" s="1057" customFormat="1" ht="14.85" customHeight="1" outlineLevel="1">
      <c r="B24" s="1051" t="s">
        <v>904</v>
      </c>
      <c r="C24" s="1064" t="s">
        <v>902</v>
      </c>
      <c r="D24" s="1065" t="s">
        <v>871</v>
      </c>
      <c r="E24" s="1064" t="s">
        <v>1024</v>
      </c>
      <c r="F24" s="1066">
        <v>42571</v>
      </c>
      <c r="G24" s="1086">
        <v>15</v>
      </c>
      <c r="H24" s="1087">
        <v>14</v>
      </c>
      <c r="I24" s="1087">
        <v>16</v>
      </c>
      <c r="J24" s="1086">
        <v>14.4</v>
      </c>
      <c r="K24" s="1082">
        <f t="shared" si="9"/>
        <v>16020.378000000001</v>
      </c>
      <c r="L24" s="1081">
        <v>5000</v>
      </c>
      <c r="M24" s="1081">
        <v>21020.378000000001</v>
      </c>
      <c r="N24" s="1055">
        <f t="shared" si="10"/>
        <v>240305.67</v>
      </c>
      <c r="O24" s="1083">
        <f t="shared" si="11"/>
        <v>75000</v>
      </c>
      <c r="P24" s="1055">
        <f t="shared" si="12"/>
        <v>315305.67000000004</v>
      </c>
      <c r="Q24" s="1055"/>
      <c r="R24" s="1068">
        <v>14.4</v>
      </c>
      <c r="S24" s="1084">
        <f t="shared" si="13"/>
        <v>302693.44320000004</v>
      </c>
      <c r="T24" s="1085">
        <f t="shared" si="14"/>
        <v>-4.0000000000000036E-2</v>
      </c>
      <c r="U24" s="1088" t="s">
        <v>903</v>
      </c>
      <c r="V24" s="1075" t="s">
        <v>905</v>
      </c>
      <c r="W24" s="1076">
        <f t="shared" si="15"/>
        <v>315305.67000000004</v>
      </c>
      <c r="X24" s="1078">
        <f t="shared" si="16"/>
        <v>0</v>
      </c>
      <c r="Y24" s="1089"/>
    </row>
    <row r="25" spans="1:31" s="1057" customFormat="1" ht="14.85" customHeight="1" outlineLevel="1">
      <c r="B25" s="1051" t="s">
        <v>1031</v>
      </c>
      <c r="C25" s="1064" t="s">
        <v>1032</v>
      </c>
      <c r="D25" s="1065" t="s">
        <v>871</v>
      </c>
      <c r="E25" s="1064" t="s">
        <v>1033</v>
      </c>
      <c r="F25" s="1066">
        <v>42522</v>
      </c>
      <c r="G25" s="1086">
        <v>6</v>
      </c>
      <c r="H25" s="1087">
        <v>5</v>
      </c>
      <c r="I25" s="1087">
        <v>6</v>
      </c>
      <c r="J25" s="1086">
        <v>7.0350000000000001</v>
      </c>
      <c r="K25" s="1082">
        <f t="shared" si="9"/>
        <v>6895.2960000000003</v>
      </c>
      <c r="L25" s="1081">
        <v>1540.0260000000001</v>
      </c>
      <c r="M25" s="1081">
        <v>8435.3220000000001</v>
      </c>
      <c r="N25" s="1055">
        <f t="shared" si="10"/>
        <v>41371.775999999998</v>
      </c>
      <c r="O25" s="1083">
        <f t="shared" si="11"/>
        <v>9240.1560000000009</v>
      </c>
      <c r="P25" s="1055">
        <f t="shared" si="12"/>
        <v>50611.932000000001</v>
      </c>
      <c r="Q25" s="1055"/>
      <c r="R25" s="1068">
        <v>7.0350000000000001</v>
      </c>
      <c r="S25" s="1084">
        <f t="shared" si="13"/>
        <v>59342.490270000002</v>
      </c>
      <c r="T25" s="1085">
        <f t="shared" si="14"/>
        <v>0.1725000000000001</v>
      </c>
      <c r="U25" s="1088" t="s">
        <v>1034</v>
      </c>
      <c r="V25" s="1075" t="s">
        <v>1035</v>
      </c>
      <c r="W25" s="1076">
        <f t="shared" si="15"/>
        <v>50611.932000000001</v>
      </c>
      <c r="X25" s="1078">
        <f t="shared" si="16"/>
        <v>0</v>
      </c>
      <c r="Y25" s="1089"/>
    </row>
    <row r="26" spans="1:31" s="1089" customFormat="1" ht="14.85" customHeight="1" outlineLevel="1">
      <c r="A26" s="1057"/>
      <c r="B26" s="1051" t="s">
        <v>918</v>
      </c>
      <c r="C26" s="1064" t="s">
        <v>916</v>
      </c>
      <c r="D26" s="1065" t="s">
        <v>871</v>
      </c>
      <c r="E26" s="1064" t="s">
        <v>1046</v>
      </c>
      <c r="F26" s="1066">
        <v>42507</v>
      </c>
      <c r="G26" s="1086">
        <v>5</v>
      </c>
      <c r="H26" s="1087">
        <v>0</v>
      </c>
      <c r="I26" s="1087">
        <v>0</v>
      </c>
      <c r="J26" s="1086">
        <v>5.18</v>
      </c>
      <c r="K26" s="1082">
        <f t="shared" si="9"/>
        <v>7883.2340000000004</v>
      </c>
      <c r="L26" s="1081">
        <v>3700</v>
      </c>
      <c r="M26" s="1081">
        <v>11583.234</v>
      </c>
      <c r="N26" s="1055">
        <f t="shared" si="10"/>
        <v>39416.17</v>
      </c>
      <c r="O26" s="1083">
        <f t="shared" si="11"/>
        <v>18500</v>
      </c>
      <c r="P26" s="1055">
        <f t="shared" si="12"/>
        <v>57916.17</v>
      </c>
      <c r="Q26" s="1055"/>
      <c r="R26" s="1068">
        <v>5.18</v>
      </c>
      <c r="S26" s="1084">
        <f t="shared" si="13"/>
        <v>60001.152119999999</v>
      </c>
      <c r="T26" s="1085">
        <f t="shared" si="14"/>
        <v>3.6000000000000032E-2</v>
      </c>
      <c r="U26" s="1088" t="s">
        <v>917</v>
      </c>
      <c r="V26" s="1075" t="s">
        <v>919</v>
      </c>
      <c r="W26" s="1076">
        <f t="shared" si="15"/>
        <v>57916.17</v>
      </c>
      <c r="X26" s="1078">
        <f t="shared" si="16"/>
        <v>0</v>
      </c>
      <c r="Y26" s="1057"/>
      <c r="AC26" s="1078"/>
      <c r="AD26" s="1090"/>
    </row>
    <row r="27" spans="1:31" s="1057" customFormat="1" ht="14.85" customHeight="1" outlineLevel="1">
      <c r="B27" s="1051" t="s">
        <v>900</v>
      </c>
      <c r="C27" s="1064" t="s">
        <v>898</v>
      </c>
      <c r="D27" s="1065" t="s">
        <v>965</v>
      </c>
      <c r="E27" s="1064" t="s">
        <v>1052</v>
      </c>
      <c r="F27" s="1066">
        <v>42495</v>
      </c>
      <c r="G27" s="1086">
        <v>18</v>
      </c>
      <c r="H27" s="1087">
        <v>16</v>
      </c>
      <c r="I27" s="1087">
        <v>18</v>
      </c>
      <c r="J27" s="1086">
        <v>28.8</v>
      </c>
      <c r="K27" s="1082">
        <f t="shared" si="9"/>
        <v>29096.264999999999</v>
      </c>
      <c r="L27" s="1081">
        <v>6000</v>
      </c>
      <c r="M27" s="1081">
        <v>35096.264999999999</v>
      </c>
      <c r="N27" s="1055">
        <f t="shared" si="10"/>
        <v>523732.77</v>
      </c>
      <c r="O27" s="1083">
        <f t="shared" si="11"/>
        <v>108000</v>
      </c>
      <c r="P27" s="1055">
        <f t="shared" si="12"/>
        <v>631732.77</v>
      </c>
      <c r="Q27" s="1055"/>
      <c r="R27" s="1068">
        <v>28.8</v>
      </c>
      <c r="S27" s="1084">
        <f t="shared" si="13"/>
        <v>1010772.432</v>
      </c>
      <c r="T27" s="1085">
        <f t="shared" si="14"/>
        <v>0.60000000000000009</v>
      </c>
      <c r="U27" s="1088" t="s">
        <v>899</v>
      </c>
      <c r="V27" s="1075" t="s">
        <v>901</v>
      </c>
      <c r="W27" s="1076">
        <f t="shared" si="15"/>
        <v>631732.77</v>
      </c>
      <c r="X27" s="1078">
        <f t="shared" si="16"/>
        <v>0</v>
      </c>
      <c r="AC27" s="1078"/>
      <c r="AD27" s="1090"/>
      <c r="AE27" s="1089"/>
    </row>
    <row r="28" spans="1:31" s="1057" customFormat="1" ht="14.85" customHeight="1" outlineLevel="1">
      <c r="B28" s="1051" t="s">
        <v>1057</v>
      </c>
      <c r="C28" s="1064" t="s">
        <v>1058</v>
      </c>
      <c r="D28" s="1065" t="s">
        <v>1506</v>
      </c>
      <c r="E28" s="1064" t="s">
        <v>1059</v>
      </c>
      <c r="F28" s="1066">
        <v>42466</v>
      </c>
      <c r="G28" s="1086">
        <v>10</v>
      </c>
      <c r="H28" s="1087">
        <v>16</v>
      </c>
      <c r="I28" s="1087">
        <v>18</v>
      </c>
      <c r="J28" s="1086">
        <v>8.7100000000000009</v>
      </c>
      <c r="K28" s="1082">
        <f t="shared" si="9"/>
        <v>7929.8320000000003</v>
      </c>
      <c r="L28" s="1081">
        <v>5000</v>
      </c>
      <c r="M28" s="1081">
        <v>12929.832</v>
      </c>
      <c r="N28" s="1055">
        <f t="shared" si="10"/>
        <v>79298.320000000007</v>
      </c>
      <c r="O28" s="1083">
        <f t="shared" si="11"/>
        <v>50000</v>
      </c>
      <c r="P28" s="1055">
        <f t="shared" si="12"/>
        <v>129298.32</v>
      </c>
      <c r="Q28" s="1055"/>
      <c r="R28" s="1068">
        <v>8.7100000000000009</v>
      </c>
      <c r="S28" s="1084">
        <f t="shared" si="13"/>
        <v>112618.83672000002</v>
      </c>
      <c r="T28" s="1085">
        <f t="shared" si="14"/>
        <v>-0.12899999999999989</v>
      </c>
      <c r="U28" s="1074" t="s">
        <v>1060</v>
      </c>
      <c r="V28" s="1075" t="s">
        <v>1061</v>
      </c>
      <c r="W28" s="1076">
        <f t="shared" si="15"/>
        <v>129298.32</v>
      </c>
      <c r="X28" s="1078">
        <f t="shared" si="16"/>
        <v>0</v>
      </c>
      <c r="AC28" s="1083"/>
      <c r="AD28" s="1090"/>
      <c r="AE28" s="1089"/>
    </row>
    <row r="29" spans="1:31" s="1051" customFormat="1" ht="14.85" customHeight="1" outlineLevel="1">
      <c r="A29" s="1057"/>
      <c r="B29" s="1051" t="s">
        <v>1076</v>
      </c>
      <c r="C29" s="1064" t="s">
        <v>1077</v>
      </c>
      <c r="D29" s="1065" t="s">
        <v>1506</v>
      </c>
      <c r="E29" s="1064" t="s">
        <v>1078</v>
      </c>
      <c r="F29" s="1066">
        <v>42410</v>
      </c>
      <c r="G29" s="1086">
        <v>8</v>
      </c>
      <c r="H29" s="1087">
        <v>12</v>
      </c>
      <c r="I29" s="1087">
        <v>14</v>
      </c>
      <c r="J29" s="1086">
        <v>8.9600000000000009</v>
      </c>
      <c r="K29" s="1082">
        <f t="shared" si="9"/>
        <v>12861.478999999999</v>
      </c>
      <c r="L29" s="1081">
        <v>6250</v>
      </c>
      <c r="M29" s="1081">
        <v>19111.478999999999</v>
      </c>
      <c r="N29" s="1055">
        <f t="shared" si="10"/>
        <v>102891.83199999999</v>
      </c>
      <c r="O29" s="1083">
        <f t="shared" si="11"/>
        <v>50000</v>
      </c>
      <c r="P29" s="1055">
        <f t="shared" si="12"/>
        <v>152891.83199999999</v>
      </c>
      <c r="Q29" s="1055"/>
      <c r="R29" s="1068">
        <v>8.9600000000000009</v>
      </c>
      <c r="S29" s="1084">
        <f t="shared" si="13"/>
        <v>171238.85184000002</v>
      </c>
      <c r="T29" s="1085">
        <f t="shared" si="14"/>
        <v>0.12000000000000011</v>
      </c>
      <c r="U29" s="1074" t="s">
        <v>1079</v>
      </c>
      <c r="V29" s="1075" t="s">
        <v>1080</v>
      </c>
      <c r="W29" s="1076">
        <f t="shared" si="15"/>
        <v>152891.83199999999</v>
      </c>
      <c r="X29" s="1078">
        <f t="shared" si="16"/>
        <v>0</v>
      </c>
      <c r="Y29" s="1057"/>
      <c r="AC29" s="1083"/>
      <c r="AD29" s="1090"/>
      <c r="AE29" s="1089"/>
    </row>
    <row r="30" spans="1:31" s="1051" customFormat="1" ht="14.85" customHeight="1" outlineLevel="1">
      <c r="A30" s="1057"/>
      <c r="B30" s="1051" t="s">
        <v>892</v>
      </c>
      <c r="C30" s="1064" t="s">
        <v>890</v>
      </c>
      <c r="D30" s="1065" t="s">
        <v>871</v>
      </c>
      <c r="E30" s="1064" t="s">
        <v>1081</v>
      </c>
      <c r="F30" s="1066">
        <v>42402</v>
      </c>
      <c r="G30" s="1086">
        <v>16</v>
      </c>
      <c r="H30" s="1087">
        <v>16</v>
      </c>
      <c r="I30" s="1087">
        <v>18</v>
      </c>
      <c r="J30" s="1086">
        <v>35.56</v>
      </c>
      <c r="K30" s="1082">
        <f t="shared" si="9"/>
        <v>29799.538</v>
      </c>
      <c r="L30" s="1081">
        <v>5900</v>
      </c>
      <c r="M30" s="1081">
        <v>35699.538</v>
      </c>
      <c r="N30" s="1055">
        <f t="shared" si="10"/>
        <v>476792.60800000001</v>
      </c>
      <c r="O30" s="1083">
        <f t="shared" si="11"/>
        <v>94400</v>
      </c>
      <c r="P30" s="1055">
        <f t="shared" si="12"/>
        <v>571192.60800000001</v>
      </c>
      <c r="Q30" s="1055"/>
      <c r="R30" s="1068">
        <v>35.56</v>
      </c>
      <c r="S30" s="1084">
        <f t="shared" si="13"/>
        <v>1269475.57128</v>
      </c>
      <c r="T30" s="1085">
        <f t="shared" si="14"/>
        <v>1.2225000000000001</v>
      </c>
      <c r="U30" s="1074" t="s">
        <v>891</v>
      </c>
      <c r="V30" s="1075" t="s">
        <v>893</v>
      </c>
      <c r="W30" s="1076">
        <f t="shared" si="15"/>
        <v>571192.60800000001</v>
      </c>
      <c r="X30" s="1078">
        <f t="shared" si="16"/>
        <v>0</v>
      </c>
      <c r="Y30" s="1057"/>
      <c r="AC30" s="1083"/>
      <c r="AD30" s="1090"/>
      <c r="AE30" s="1089"/>
    </row>
    <row r="31" spans="1:31" s="1051" customFormat="1" ht="14.85" customHeight="1" outlineLevel="1">
      <c r="A31" s="1057"/>
      <c r="B31" s="1051" t="s">
        <v>884</v>
      </c>
      <c r="C31" s="1064" t="s">
        <v>882</v>
      </c>
      <c r="D31" s="1065" t="s">
        <v>871</v>
      </c>
      <c r="E31" s="1064" t="s">
        <v>1090</v>
      </c>
      <c r="F31" s="1066">
        <v>42318</v>
      </c>
      <c r="G31" s="1086">
        <v>16</v>
      </c>
      <c r="H31" s="1087">
        <v>15</v>
      </c>
      <c r="I31" s="1087">
        <v>17</v>
      </c>
      <c r="J31" s="1086">
        <v>13.785</v>
      </c>
      <c r="K31" s="1082">
        <f t="shared" si="9"/>
        <v>14558.296999999999</v>
      </c>
      <c r="L31" s="1081">
        <v>6375</v>
      </c>
      <c r="M31" s="1081">
        <v>20933.296999999999</v>
      </c>
      <c r="N31" s="1055">
        <f t="shared" si="10"/>
        <v>232932.75199999998</v>
      </c>
      <c r="O31" s="1083">
        <f t="shared" si="11"/>
        <v>102000</v>
      </c>
      <c r="P31" s="1055">
        <f t="shared" si="12"/>
        <v>334932.75199999998</v>
      </c>
      <c r="Q31" s="1055"/>
      <c r="R31" s="1068">
        <v>13.785</v>
      </c>
      <c r="S31" s="1084">
        <f t="shared" si="13"/>
        <v>288565.49914500001</v>
      </c>
      <c r="T31" s="1085">
        <f t="shared" si="14"/>
        <v>-0.13843749999999988</v>
      </c>
      <c r="U31" s="1074" t="s">
        <v>883</v>
      </c>
      <c r="V31" s="1075" t="s">
        <v>885</v>
      </c>
      <c r="W31" s="1076">
        <f t="shared" si="15"/>
        <v>334932.75199999998</v>
      </c>
      <c r="X31" s="1078">
        <f t="shared" si="16"/>
        <v>0</v>
      </c>
      <c r="Y31" s="1057"/>
      <c r="AC31" s="1083"/>
      <c r="AD31" s="1090"/>
      <c r="AE31" s="1089"/>
    </row>
    <row r="32" spans="1:31" s="1051" customFormat="1" ht="14.85" customHeight="1" outlineLevel="1">
      <c r="A32" s="1057"/>
      <c r="B32" s="1051" t="s">
        <v>1107</v>
      </c>
      <c r="C32" s="1064" t="s">
        <v>1108</v>
      </c>
      <c r="D32" s="1065" t="s">
        <v>871</v>
      </c>
      <c r="E32" s="1064" t="s">
        <v>1109</v>
      </c>
      <c r="F32" s="1066">
        <v>42284</v>
      </c>
      <c r="G32" s="1086">
        <v>12</v>
      </c>
      <c r="H32" s="1087">
        <v>14</v>
      </c>
      <c r="I32" s="1087">
        <v>16</v>
      </c>
      <c r="J32" s="1086">
        <v>11.42</v>
      </c>
      <c r="K32" s="1082">
        <f t="shared" si="9"/>
        <v>28253.925999999999</v>
      </c>
      <c r="L32" s="1081">
        <v>6666.6670000000004</v>
      </c>
      <c r="M32" s="1081">
        <v>34920.593000000001</v>
      </c>
      <c r="N32" s="1055">
        <f t="shared" si="10"/>
        <v>339047.11199999996</v>
      </c>
      <c r="O32" s="1083">
        <f t="shared" si="11"/>
        <v>80000.004000000001</v>
      </c>
      <c r="P32" s="1055">
        <f t="shared" si="12"/>
        <v>419047.11599999998</v>
      </c>
      <c r="Q32" s="1055"/>
      <c r="R32" s="1068">
        <v>11.42</v>
      </c>
      <c r="S32" s="1084">
        <f t="shared" si="13"/>
        <v>398793.17206000001</v>
      </c>
      <c r="T32" s="1085">
        <f t="shared" si="14"/>
        <v>-4.8333333333333228E-2</v>
      </c>
      <c r="U32" s="1074" t="s">
        <v>1110</v>
      </c>
      <c r="V32" s="1075" t="s">
        <v>1111</v>
      </c>
      <c r="W32" s="1076">
        <f t="shared" si="15"/>
        <v>419047.11599999998</v>
      </c>
      <c r="X32" s="1078">
        <f t="shared" si="16"/>
        <v>0</v>
      </c>
      <c r="Y32" s="1057"/>
      <c r="AC32" s="1083"/>
      <c r="AD32" s="1090"/>
      <c r="AE32" s="1089"/>
    </row>
    <row r="33" spans="1:34" s="1051" customFormat="1" ht="14.85" customHeight="1" outlineLevel="1">
      <c r="A33" s="1057"/>
      <c r="B33" s="1051" t="s">
        <v>888</v>
      </c>
      <c r="C33" s="1064" t="s">
        <v>886</v>
      </c>
      <c r="D33" s="1065" t="s">
        <v>871</v>
      </c>
      <c r="E33" s="1064" t="s">
        <v>1126</v>
      </c>
      <c r="F33" s="1066">
        <v>42263</v>
      </c>
      <c r="G33" s="1086">
        <v>22</v>
      </c>
      <c r="H33" s="1087">
        <v>17</v>
      </c>
      <c r="I33" s="1087">
        <v>19</v>
      </c>
      <c r="J33" s="1086">
        <v>18.55</v>
      </c>
      <c r="K33" s="1082">
        <f t="shared" si="9"/>
        <v>19050.707999999999</v>
      </c>
      <c r="L33" s="1081">
        <v>6300</v>
      </c>
      <c r="M33" s="1081">
        <v>25350.707999999999</v>
      </c>
      <c r="N33" s="1055">
        <f t="shared" si="10"/>
        <v>419115.576</v>
      </c>
      <c r="O33" s="1083">
        <f t="shared" si="11"/>
        <v>138600</v>
      </c>
      <c r="P33" s="1055">
        <f t="shared" si="12"/>
        <v>557715.576</v>
      </c>
      <c r="Q33" s="1055"/>
      <c r="R33" s="1068">
        <v>18.55</v>
      </c>
      <c r="S33" s="1084">
        <f t="shared" si="13"/>
        <v>470255.63339999999</v>
      </c>
      <c r="T33" s="1085">
        <f t="shared" si="14"/>
        <v>-0.15681818181818186</v>
      </c>
      <c r="U33" s="1091" t="s">
        <v>887</v>
      </c>
      <c r="V33" s="1075" t="s">
        <v>889</v>
      </c>
      <c r="W33" s="1076">
        <f t="shared" si="15"/>
        <v>557715.576</v>
      </c>
      <c r="X33" s="1078">
        <f t="shared" si="16"/>
        <v>0</v>
      </c>
      <c r="Y33" s="1092"/>
      <c r="Z33" s="1092"/>
      <c r="AA33" s="1092"/>
      <c r="AB33" s="1092"/>
      <c r="AC33" s="1093"/>
      <c r="AD33" s="1090"/>
      <c r="AE33" s="1089"/>
      <c r="AF33" s="1092"/>
      <c r="AG33" s="1092"/>
      <c r="AH33" s="1092"/>
    </row>
    <row r="34" spans="1:34" s="1051" customFormat="1" ht="14.85" customHeight="1" outlineLevel="1">
      <c r="A34" s="1057"/>
      <c r="B34" s="1051" t="s">
        <v>1137</v>
      </c>
      <c r="C34" s="1064" t="s">
        <v>1138</v>
      </c>
      <c r="D34" s="1065" t="s">
        <v>871</v>
      </c>
      <c r="E34" s="1064" t="s">
        <v>1139</v>
      </c>
      <c r="F34" s="1066">
        <v>42220</v>
      </c>
      <c r="G34" s="1086">
        <v>14</v>
      </c>
      <c r="H34" s="1087">
        <v>13</v>
      </c>
      <c r="I34" s="1087">
        <v>15</v>
      </c>
      <c r="J34" s="1086">
        <v>28.8</v>
      </c>
      <c r="K34" s="1082">
        <f t="shared" si="9"/>
        <v>5733.9629999999997</v>
      </c>
      <c r="L34" s="1081">
        <v>3000</v>
      </c>
      <c r="M34" s="1081">
        <v>8733.9629999999997</v>
      </c>
      <c r="N34" s="1055">
        <f t="shared" si="10"/>
        <v>80275.481999999989</v>
      </c>
      <c r="O34" s="1083">
        <f t="shared" si="11"/>
        <v>42000</v>
      </c>
      <c r="P34" s="1055">
        <f t="shared" si="12"/>
        <v>122275.48199999999</v>
      </c>
      <c r="Q34" s="1055"/>
      <c r="R34" s="1068">
        <v>28.8</v>
      </c>
      <c r="S34" s="1084">
        <f t="shared" si="13"/>
        <v>251538.13440000001</v>
      </c>
      <c r="T34" s="1085">
        <f t="shared" si="14"/>
        <v>1.0571428571428574</v>
      </c>
      <c r="U34" s="1091" t="s">
        <v>1140</v>
      </c>
      <c r="V34" s="1075" t="s">
        <v>1141</v>
      </c>
      <c r="W34" s="1076">
        <f t="shared" si="15"/>
        <v>122275.48199999999</v>
      </c>
      <c r="X34" s="1078">
        <f t="shared" si="16"/>
        <v>0</v>
      </c>
      <c r="Y34" s="1094"/>
      <c r="Z34" s="1093"/>
      <c r="AA34" s="1094"/>
      <c r="AB34" s="1095"/>
      <c r="AC34" s="1093"/>
      <c r="AD34" s="1090"/>
      <c r="AE34" s="1089"/>
      <c r="AF34" s="1091"/>
      <c r="AG34" s="1096"/>
      <c r="AH34" s="1096"/>
    </row>
    <row r="35" spans="1:34" s="1092" customFormat="1" ht="14.85" customHeight="1" outlineLevel="1">
      <c r="A35" s="1057"/>
      <c r="B35" s="1051" t="s">
        <v>1188</v>
      </c>
      <c r="C35" s="1064" t="s">
        <v>1189</v>
      </c>
      <c r="D35" s="1065" t="s">
        <v>871</v>
      </c>
      <c r="E35" s="1064" t="s">
        <v>1190</v>
      </c>
      <c r="F35" s="1066">
        <v>42125</v>
      </c>
      <c r="G35" s="1086">
        <v>3.0585200000000001</v>
      </c>
      <c r="H35" s="1087">
        <v>0</v>
      </c>
      <c r="I35" s="1087">
        <v>0</v>
      </c>
      <c r="J35" s="1086">
        <v>3.2423000000000002</v>
      </c>
      <c r="K35" s="1082">
        <f t="shared" si="9"/>
        <v>117170.86200000002</v>
      </c>
      <c r="L35" s="1081">
        <v>32569.046999999999</v>
      </c>
      <c r="M35" s="1081">
        <v>149739.90900000001</v>
      </c>
      <c r="N35" s="1055">
        <f t="shared" si="10"/>
        <v>358369.42484424007</v>
      </c>
      <c r="O35" s="1083">
        <f t="shared" si="11"/>
        <v>99613.081630440007</v>
      </c>
      <c r="P35" s="1055">
        <f t="shared" si="12"/>
        <v>457982.50647468009</v>
      </c>
      <c r="Q35" s="1055"/>
      <c r="R35" s="1068">
        <v>3.2423000000000002</v>
      </c>
      <c r="S35" s="1084">
        <f t="shared" si="13"/>
        <v>485501.70695070009</v>
      </c>
      <c r="T35" s="1085">
        <f t="shared" si="14"/>
        <v>6.0087885644036998E-2</v>
      </c>
      <c r="U35" s="1074" t="s">
        <v>1191</v>
      </c>
      <c r="V35" s="1075" t="s">
        <v>1192</v>
      </c>
      <c r="W35" s="1076">
        <f t="shared" si="15"/>
        <v>457982.50647468009</v>
      </c>
      <c r="X35" s="1078">
        <f t="shared" si="16"/>
        <v>0</v>
      </c>
      <c r="Y35" s="1057"/>
      <c r="Z35" s="1051"/>
      <c r="AA35" s="1051"/>
      <c r="AB35" s="1051"/>
      <c r="AC35" s="1083"/>
      <c r="AD35" s="1090"/>
      <c r="AE35" s="1089"/>
      <c r="AF35" s="1051"/>
      <c r="AG35" s="1051"/>
      <c r="AH35" s="1051"/>
    </row>
    <row r="36" spans="1:34" s="1092" customFormat="1" ht="14.85" customHeight="1" outlineLevel="1">
      <c r="A36" s="1057"/>
      <c r="B36" s="1051" t="s">
        <v>974</v>
      </c>
      <c r="C36" s="1064" t="s">
        <v>1193</v>
      </c>
      <c r="D36" s="1065" t="s">
        <v>1507</v>
      </c>
      <c r="E36" s="1064" t="s">
        <v>1194</v>
      </c>
      <c r="F36" s="1066">
        <v>42123</v>
      </c>
      <c r="G36" s="1086">
        <v>18</v>
      </c>
      <c r="H36" s="1087">
        <v>15</v>
      </c>
      <c r="I36" s="1087">
        <v>17</v>
      </c>
      <c r="J36" s="1086">
        <v>28.69</v>
      </c>
      <c r="K36" s="1082">
        <f t="shared" si="9"/>
        <v>17686.131000000001</v>
      </c>
      <c r="L36" s="1081">
        <v>8145.8339999999998</v>
      </c>
      <c r="M36" s="1081">
        <v>25831.965</v>
      </c>
      <c r="N36" s="1055">
        <f t="shared" si="10"/>
        <v>318350.35800000001</v>
      </c>
      <c r="O36" s="1083">
        <f t="shared" si="11"/>
        <v>146625.01199999999</v>
      </c>
      <c r="P36" s="1055">
        <f t="shared" si="12"/>
        <v>464975.37</v>
      </c>
      <c r="Q36" s="1055"/>
      <c r="R36" s="1068">
        <v>28.69</v>
      </c>
      <c r="S36" s="1084">
        <f t="shared" si="13"/>
        <v>741119.07585000002</v>
      </c>
      <c r="T36" s="1085">
        <f t="shared" si="14"/>
        <v>0.59388888888888891</v>
      </c>
      <c r="U36" s="1091" t="s">
        <v>1195</v>
      </c>
      <c r="V36" s="1075" t="s">
        <v>1508</v>
      </c>
      <c r="W36" s="1076">
        <f t="shared" si="15"/>
        <v>464975.37</v>
      </c>
      <c r="X36" s="1078">
        <f t="shared" si="16"/>
        <v>0</v>
      </c>
      <c r="AC36" s="1093"/>
      <c r="AD36" s="1090"/>
      <c r="AE36" s="1089"/>
    </row>
    <row r="37" spans="1:34" s="1092" customFormat="1" ht="14.85" customHeight="1" outlineLevel="1">
      <c r="A37" s="1057"/>
      <c r="B37" s="1051" t="s">
        <v>1206</v>
      </c>
      <c r="C37" s="1064" t="s">
        <v>1207</v>
      </c>
      <c r="D37" s="1065" t="s">
        <v>871</v>
      </c>
      <c r="E37" s="1064" t="s">
        <v>1208</v>
      </c>
      <c r="F37" s="1066">
        <v>42108</v>
      </c>
      <c r="G37" s="1086">
        <v>16</v>
      </c>
      <c r="H37" s="1087">
        <v>14</v>
      </c>
      <c r="I37" s="1087">
        <v>16</v>
      </c>
      <c r="J37" s="1086">
        <v>16.32</v>
      </c>
      <c r="K37" s="1082">
        <f t="shared" si="9"/>
        <v>8694.1180000000004</v>
      </c>
      <c r="L37" s="1081">
        <v>4800</v>
      </c>
      <c r="M37" s="1081">
        <v>13494.118</v>
      </c>
      <c r="N37" s="1055">
        <f t="shared" si="10"/>
        <v>139105.88800000001</v>
      </c>
      <c r="O37" s="1083">
        <f t="shared" si="11"/>
        <v>76800</v>
      </c>
      <c r="P37" s="1055">
        <f t="shared" si="12"/>
        <v>215905.88800000001</v>
      </c>
      <c r="Q37" s="1055"/>
      <c r="R37" s="1068">
        <v>16.32</v>
      </c>
      <c r="S37" s="1084">
        <f t="shared" si="13"/>
        <v>220224.00576</v>
      </c>
      <c r="T37" s="1085">
        <f t="shared" si="14"/>
        <v>2.0000000000000018E-2</v>
      </c>
      <c r="U37" s="1075" t="s">
        <v>1209</v>
      </c>
      <c r="V37" s="1075" t="s">
        <v>1210</v>
      </c>
      <c r="W37" s="1076">
        <f t="shared" si="15"/>
        <v>215905.88800000001</v>
      </c>
      <c r="X37" s="1078">
        <f t="shared" si="16"/>
        <v>0</v>
      </c>
      <c r="Y37" s="1051"/>
      <c r="Z37" s="1051"/>
      <c r="AA37" s="1051"/>
      <c r="AB37" s="1083"/>
      <c r="AC37" s="1090"/>
      <c r="AD37" s="1089"/>
      <c r="AE37" s="1051"/>
      <c r="AF37" s="1051"/>
      <c r="AG37" s="1051"/>
    </row>
    <row r="38" spans="1:34" s="1092" customFormat="1" ht="14.85" customHeight="1" outlineLevel="1">
      <c r="A38" s="1057"/>
      <c r="B38" s="1051" t="s">
        <v>1240</v>
      </c>
      <c r="C38" s="1064" t="s">
        <v>1241</v>
      </c>
      <c r="D38" s="1065" t="s">
        <v>871</v>
      </c>
      <c r="E38" s="1064" t="s">
        <v>1242</v>
      </c>
      <c r="F38" s="1066">
        <v>42032</v>
      </c>
      <c r="G38" s="1086">
        <v>16</v>
      </c>
      <c r="H38" s="1087">
        <v>12</v>
      </c>
      <c r="I38" s="1087">
        <v>14</v>
      </c>
      <c r="J38" s="1086">
        <v>17.385000000000002</v>
      </c>
      <c r="K38" s="1082">
        <f t="shared" si="9"/>
        <v>12405.409</v>
      </c>
      <c r="L38" s="1081">
        <v>5400</v>
      </c>
      <c r="M38" s="1081">
        <v>17805.409</v>
      </c>
      <c r="N38" s="1055">
        <f t="shared" si="10"/>
        <v>198486.54399999999</v>
      </c>
      <c r="O38" s="1083">
        <f t="shared" si="11"/>
        <v>86400</v>
      </c>
      <c r="P38" s="1055">
        <f t="shared" si="12"/>
        <v>284886.54399999999</v>
      </c>
      <c r="Q38" s="1055"/>
      <c r="R38" s="1068">
        <v>17.385000000000002</v>
      </c>
      <c r="S38" s="1084">
        <f t="shared" si="13"/>
        <v>309547.03546500002</v>
      </c>
      <c r="T38" s="1085">
        <f t="shared" si="14"/>
        <v>8.6562500000000098E-2</v>
      </c>
      <c r="U38" s="1075" t="s">
        <v>1243</v>
      </c>
      <c r="V38" s="1075" t="s">
        <v>1509</v>
      </c>
      <c r="W38" s="1076">
        <f t="shared" si="15"/>
        <v>284886.54399999999</v>
      </c>
      <c r="X38" s="1078">
        <f t="shared" si="16"/>
        <v>0</v>
      </c>
      <c r="Y38" s="1051"/>
      <c r="Z38" s="1051"/>
      <c r="AA38" s="1051"/>
      <c r="AB38" s="1083"/>
      <c r="AC38" s="1090"/>
      <c r="AD38" s="1089"/>
      <c r="AE38" s="1051"/>
      <c r="AF38" s="1051"/>
      <c r="AG38" s="1051"/>
    </row>
    <row r="39" spans="1:34" s="1092" customFormat="1" ht="14.85" customHeight="1" outlineLevel="1">
      <c r="A39" s="1097"/>
      <c r="B39" s="1051" t="s">
        <v>1295</v>
      </c>
      <c r="C39" s="1064" t="s">
        <v>1296</v>
      </c>
      <c r="D39" s="1065" t="s">
        <v>569</v>
      </c>
      <c r="E39" s="1064" t="s">
        <v>1297</v>
      </c>
      <c r="F39" s="1066">
        <v>41810</v>
      </c>
      <c r="G39" s="1086">
        <v>17</v>
      </c>
      <c r="H39" s="1087">
        <v>12</v>
      </c>
      <c r="I39" s="1087">
        <v>14</v>
      </c>
      <c r="J39" s="1086">
        <v>22.84</v>
      </c>
      <c r="K39" s="1082">
        <f>+M39-L39</f>
        <v>29366.629000000001</v>
      </c>
      <c r="L39" s="1081">
        <v>8625</v>
      </c>
      <c r="M39" s="1081">
        <v>37991.629000000001</v>
      </c>
      <c r="N39" s="1055">
        <f>+G39*K39</f>
        <v>499232.69300000003</v>
      </c>
      <c r="O39" s="1083">
        <f>+G39*L39</f>
        <v>146625</v>
      </c>
      <c r="P39" s="1055">
        <f>+N39+O39</f>
        <v>645857.69299999997</v>
      </c>
      <c r="Q39" s="1055"/>
      <c r="R39" s="1086">
        <v>22.84</v>
      </c>
      <c r="S39" s="1084">
        <f>R39*M39</f>
        <v>867728.80636000005</v>
      </c>
      <c r="T39" s="1085">
        <f>S39/P39-1</f>
        <v>0.34352941176470608</v>
      </c>
      <c r="U39" s="1075" t="s">
        <v>1298</v>
      </c>
      <c r="V39" s="1075" t="s">
        <v>1299</v>
      </c>
      <c r="W39" s="1076">
        <f>+N39+O39</f>
        <v>645857.69299999997</v>
      </c>
      <c r="X39" s="1078">
        <f>+P39-W39</f>
        <v>0</v>
      </c>
      <c r="Y39" s="1051"/>
      <c r="Z39" s="1051"/>
      <c r="AA39" s="1051"/>
      <c r="AB39" s="1083"/>
      <c r="AC39" s="1090"/>
      <c r="AD39" s="1089"/>
      <c r="AE39" s="1051"/>
      <c r="AF39" s="1051"/>
      <c r="AG39" s="1051"/>
    </row>
    <row r="40" spans="1:34" s="1092" customFormat="1" ht="14.85" customHeight="1" outlineLevel="1">
      <c r="A40" s="1057"/>
      <c r="B40" s="1051"/>
      <c r="C40" s="1064"/>
      <c r="D40" s="1065"/>
      <c r="E40" s="1064"/>
      <c r="F40" s="1066"/>
      <c r="G40" s="1086"/>
      <c r="H40" s="1087"/>
      <c r="I40" s="1087"/>
      <c r="J40" s="1086"/>
      <c r="K40" s="1082"/>
      <c r="L40" s="1083"/>
      <c r="M40" s="1083"/>
      <c r="N40" s="1055"/>
      <c r="O40" s="1083"/>
      <c r="P40" s="1055"/>
      <c r="Q40" s="1055"/>
      <c r="R40" s="1068"/>
      <c r="S40" s="1084"/>
      <c r="T40" s="1085"/>
      <c r="U40" s="1075"/>
      <c r="V40" s="1075"/>
      <c r="W40" s="1076"/>
      <c r="X40" s="1078"/>
      <c r="Y40" s="1051"/>
      <c r="Z40" s="1051"/>
      <c r="AA40" s="1051"/>
      <c r="AB40" s="1083"/>
      <c r="AC40" s="1090"/>
      <c r="AD40" s="1089"/>
      <c r="AE40" s="1051"/>
      <c r="AF40" s="1051"/>
      <c r="AG40" s="1051"/>
    </row>
    <row r="41" spans="1:34" s="1092" customFormat="1" ht="14.85" customHeight="1" outlineLevel="1">
      <c r="A41" s="1057"/>
      <c r="B41" s="1098" t="s">
        <v>111</v>
      </c>
      <c r="C41" s="1099"/>
      <c r="D41" s="1099"/>
      <c r="E41" s="1099"/>
      <c r="F41" s="1099"/>
      <c r="G41" s="1099"/>
      <c r="H41" s="1099"/>
      <c r="I41" s="1099"/>
      <c r="J41" s="1099"/>
      <c r="K41" s="1099"/>
      <c r="L41" s="1099"/>
      <c r="M41" s="1099"/>
      <c r="N41" s="1100">
        <f>MAX(N23:N39)</f>
        <v>523732.77</v>
      </c>
      <c r="O41" s="1100"/>
      <c r="P41" s="1101">
        <f>MAX(P23:P39)</f>
        <v>645857.69299999997</v>
      </c>
      <c r="Q41" s="1055"/>
      <c r="R41" s="1102">
        <f>MAX(R23:R38)</f>
        <v>35.56</v>
      </c>
      <c r="S41" s="1084"/>
      <c r="T41" s="1085"/>
      <c r="U41" s="1075"/>
      <c r="V41" s="1075"/>
      <c r="W41" s="1076"/>
      <c r="X41" s="1078"/>
      <c r="Y41" s="1051"/>
      <c r="Z41" s="1051"/>
      <c r="AA41" s="1051"/>
      <c r="AB41" s="1083"/>
      <c r="AC41" s="1090"/>
      <c r="AD41" s="1089"/>
      <c r="AE41" s="1051"/>
      <c r="AF41" s="1051"/>
      <c r="AG41" s="1051"/>
    </row>
    <row r="42" spans="1:34" s="1092" customFormat="1" ht="14.85" customHeight="1" outlineLevel="1">
      <c r="A42" s="1057"/>
      <c r="B42" s="1103" t="s">
        <v>115</v>
      </c>
      <c r="C42" s="1104"/>
      <c r="D42" s="1104"/>
      <c r="E42" s="1104"/>
      <c r="F42" s="1104"/>
      <c r="G42" s="1104"/>
      <c r="H42" s="1104"/>
      <c r="I42" s="1104"/>
      <c r="J42" s="1104"/>
      <c r="K42" s="1104"/>
      <c r="L42" s="1104"/>
      <c r="M42" s="1104"/>
      <c r="N42" s="1105">
        <f>_xlfn.QUARTILE.INC(N23:N39,3)</f>
        <v>419115.576</v>
      </c>
      <c r="O42" s="1105"/>
      <c r="P42" s="1106">
        <f>_xlfn.QUARTILE.INC(P23:P39,3)</f>
        <v>551048.87599999993</v>
      </c>
      <c r="Q42" s="1055"/>
      <c r="R42" s="1107">
        <f>_xlfn.QUARTILE.INC(R23:R38,3)</f>
        <v>22.547499999999999</v>
      </c>
      <c r="S42" s="1084"/>
      <c r="T42" s="1085"/>
      <c r="U42" s="1075"/>
      <c r="V42" s="1075"/>
      <c r="W42" s="1076"/>
      <c r="X42" s="1078"/>
      <c r="Y42" s="1051"/>
      <c r="Z42" s="1051"/>
      <c r="AA42" s="1051"/>
      <c r="AB42" s="1083"/>
      <c r="AC42" s="1090"/>
      <c r="AD42" s="1089"/>
      <c r="AE42" s="1051"/>
      <c r="AF42" s="1051"/>
      <c r="AG42" s="1051"/>
    </row>
    <row r="43" spans="1:34" s="1092" customFormat="1" ht="14.85" customHeight="1" outlineLevel="1">
      <c r="A43" s="1057"/>
      <c r="B43" s="1103" t="s">
        <v>43</v>
      </c>
      <c r="C43" s="1104"/>
      <c r="D43" s="1104"/>
      <c r="E43" s="1104"/>
      <c r="F43" s="1104"/>
      <c r="G43" s="1104"/>
      <c r="H43" s="1104"/>
      <c r="I43" s="1104"/>
      <c r="J43" s="1104"/>
      <c r="K43" s="1104"/>
      <c r="L43" s="1104"/>
      <c r="M43" s="1104"/>
      <c r="N43" s="1105">
        <f>AVERAGE(N23:N39)</f>
        <v>269633.75599083764</v>
      </c>
      <c r="O43" s="1105"/>
      <c r="P43" s="1106">
        <f>AVERAGE(P23:P39)</f>
        <v>350798.65326321643</v>
      </c>
      <c r="Q43" s="1055"/>
      <c r="R43" s="1107">
        <f>AVERAGE(R23:R38)</f>
        <v>16.708581250000002</v>
      </c>
      <c r="S43" s="1084"/>
      <c r="T43" s="1085"/>
      <c r="U43" s="1075"/>
      <c r="V43" s="1075"/>
      <c r="W43" s="1076"/>
      <c r="X43" s="1078"/>
      <c r="Y43" s="1051"/>
      <c r="Z43" s="1051"/>
      <c r="AA43" s="1051"/>
      <c r="AB43" s="1083"/>
      <c r="AC43" s="1090"/>
      <c r="AD43" s="1089"/>
      <c r="AE43" s="1051"/>
      <c r="AF43" s="1051"/>
      <c r="AG43" s="1051"/>
    </row>
    <row r="44" spans="1:34" s="1092" customFormat="1" ht="14.85" customHeight="1" outlineLevel="1">
      <c r="A44" s="1057"/>
      <c r="B44" s="1103" t="s">
        <v>44</v>
      </c>
      <c r="C44" s="1104"/>
      <c r="D44" s="1104"/>
      <c r="E44" s="1104"/>
      <c r="F44" s="1104"/>
      <c r="G44" s="1104"/>
      <c r="H44" s="1104"/>
      <c r="I44" s="1104"/>
      <c r="J44" s="1104"/>
      <c r="K44" s="1104"/>
      <c r="L44" s="1104"/>
      <c r="M44" s="1104"/>
      <c r="N44" s="1105">
        <f>MEDIAN(N23:N39)</f>
        <v>240305.67</v>
      </c>
      <c r="O44" s="1105"/>
      <c r="P44" s="1106">
        <f>MEDIAN(P23:P39)</f>
        <v>334932.75199999998</v>
      </c>
      <c r="Q44" s="1055"/>
      <c r="R44" s="1107">
        <f>MEDIAN(R23:R38)</f>
        <v>15.36</v>
      </c>
      <c r="S44" s="1084"/>
      <c r="T44" s="1085"/>
      <c r="U44" s="1075"/>
      <c r="V44" s="1075"/>
      <c r="W44" s="1076"/>
      <c r="X44" s="1078"/>
      <c r="Y44" s="1051"/>
      <c r="Z44" s="1051"/>
      <c r="AA44" s="1051"/>
      <c r="AB44" s="1083"/>
      <c r="AC44" s="1090"/>
      <c r="AD44" s="1089"/>
      <c r="AE44" s="1051"/>
      <c r="AF44" s="1051"/>
      <c r="AG44" s="1051"/>
    </row>
    <row r="45" spans="1:34" s="1092" customFormat="1" ht="14.85" customHeight="1" outlineLevel="1">
      <c r="A45" s="1057"/>
      <c r="B45" s="1103" t="s">
        <v>114</v>
      </c>
      <c r="C45" s="1104"/>
      <c r="D45" s="1104"/>
      <c r="E45" s="1104"/>
      <c r="F45" s="1104"/>
      <c r="G45" s="1104"/>
      <c r="H45" s="1104"/>
      <c r="I45" s="1104"/>
      <c r="J45" s="1104"/>
      <c r="K45" s="1104"/>
      <c r="L45" s="1104"/>
      <c r="M45" s="1104"/>
      <c r="N45" s="1105">
        <f>_xlfn.QUARTILE.INC(N23:N39,1)</f>
        <v>102891.83199999999</v>
      </c>
      <c r="O45" s="1105"/>
      <c r="P45" s="1106">
        <f>_xlfn.QUARTILE.INC(P23:P39,1)</f>
        <v>152891.83199999999</v>
      </c>
      <c r="Q45" s="1055"/>
      <c r="R45" s="1107">
        <f>_xlfn.QUARTILE.INC(R23:R38,1)</f>
        <v>8.8975000000000009</v>
      </c>
      <c r="S45" s="1084"/>
      <c r="T45" s="1085"/>
      <c r="U45" s="1075"/>
      <c r="V45" s="1075"/>
      <c r="W45" s="1076"/>
      <c r="X45" s="1078"/>
      <c r="Y45" s="1051"/>
      <c r="Z45" s="1051"/>
      <c r="AA45" s="1051"/>
      <c r="AB45" s="1083"/>
      <c r="AC45" s="1090"/>
      <c r="AD45" s="1089"/>
      <c r="AE45" s="1051"/>
      <c r="AF45" s="1051"/>
      <c r="AG45" s="1051"/>
    </row>
    <row r="46" spans="1:34" s="1092" customFormat="1" ht="14.85" customHeight="1" outlineLevel="1">
      <c r="A46" s="1057"/>
      <c r="B46" s="1108" t="s">
        <v>112</v>
      </c>
      <c r="C46" s="1109"/>
      <c r="D46" s="1109"/>
      <c r="E46" s="1109"/>
      <c r="F46" s="1109"/>
      <c r="G46" s="1109"/>
      <c r="H46" s="1109"/>
      <c r="I46" s="1109"/>
      <c r="J46" s="1109"/>
      <c r="K46" s="1109"/>
      <c r="L46" s="1109"/>
      <c r="M46" s="1109"/>
      <c r="N46" s="1110">
        <f>MIN(N23:N39)</f>
        <v>39416.17</v>
      </c>
      <c r="O46" s="1110"/>
      <c r="P46" s="1111">
        <f>MIN(P23:P39)</f>
        <v>50611.932000000001</v>
      </c>
      <c r="Q46" s="1055"/>
      <c r="R46" s="1112">
        <f>MIN(R23:R38)</f>
        <v>3.2423000000000002</v>
      </c>
      <c r="S46" s="1084"/>
      <c r="T46" s="1085"/>
      <c r="U46" s="1075"/>
      <c r="V46" s="1075"/>
      <c r="W46" s="1076"/>
      <c r="X46" s="1078"/>
      <c r="Y46" s="1051"/>
      <c r="Z46" s="1051"/>
      <c r="AA46" s="1051"/>
      <c r="AB46" s="1083"/>
      <c r="AC46" s="1090"/>
      <c r="AD46" s="1089"/>
      <c r="AE46" s="1051"/>
      <c r="AF46" s="1051"/>
      <c r="AG46" s="1051"/>
    </row>
    <row r="47" spans="1:34" s="1092" customFormat="1" ht="14.85" customHeight="1" outlineLevel="1">
      <c r="A47" s="1057"/>
      <c r="B47" s="1051"/>
      <c r="C47" s="1064"/>
      <c r="D47" s="1065"/>
      <c r="E47" s="1064"/>
      <c r="F47" s="1066"/>
      <c r="G47" s="1086"/>
      <c r="H47" s="1087"/>
      <c r="I47" s="1087"/>
      <c r="J47" s="1086"/>
      <c r="K47" s="1082"/>
      <c r="L47" s="1083"/>
      <c r="M47" s="1083"/>
      <c r="N47" s="1055"/>
      <c r="O47" s="1083"/>
      <c r="P47" s="1055"/>
      <c r="Q47" s="1055"/>
      <c r="R47" s="1068"/>
      <c r="S47" s="1084"/>
      <c r="T47" s="1085"/>
      <c r="U47" s="1075"/>
      <c r="V47" s="1075"/>
      <c r="W47" s="1078"/>
      <c r="X47" s="1057"/>
      <c r="Y47" s="1051"/>
      <c r="Z47" s="1051"/>
      <c r="AA47" s="1051"/>
      <c r="AB47" s="1083"/>
      <c r="AC47" s="1090"/>
      <c r="AD47" s="1089"/>
      <c r="AE47" s="1051"/>
      <c r="AF47" s="1051"/>
      <c r="AG47" s="1051"/>
    </row>
    <row r="48" spans="1:34" s="1092" customFormat="1" ht="14.85" customHeight="1" outlineLevel="1">
      <c r="A48" s="1057"/>
      <c r="B48" s="1113" t="s">
        <v>1510</v>
      </c>
      <c r="C48" s="1064"/>
      <c r="D48" s="1065"/>
      <c r="E48" s="1064"/>
      <c r="F48" s="1066"/>
      <c r="G48" s="1086"/>
      <c r="H48" s="1087"/>
      <c r="I48" s="1087"/>
      <c r="J48" s="1086"/>
      <c r="K48" s="1082"/>
      <c r="L48" s="1083"/>
      <c r="M48" s="1083"/>
      <c r="N48" s="1055"/>
      <c r="O48" s="1083"/>
      <c r="P48" s="1055"/>
      <c r="Q48" s="1055"/>
      <c r="R48" s="1068"/>
      <c r="S48" s="1084"/>
      <c r="T48" s="1085"/>
      <c r="U48" s="1075"/>
      <c r="V48" s="1075"/>
      <c r="W48" s="1078"/>
      <c r="X48" s="1057"/>
      <c r="Y48" s="1051"/>
      <c r="Z48" s="1051"/>
      <c r="AA48" s="1051"/>
      <c r="AB48" s="1083"/>
      <c r="AC48" s="1090"/>
      <c r="AD48" s="1089"/>
      <c r="AE48" s="1051"/>
      <c r="AF48" s="1051"/>
      <c r="AG48" s="1051"/>
    </row>
    <row r="49" spans="1:34" s="1092" customFormat="1" ht="14.85" customHeight="1" outlineLevel="1">
      <c r="A49" s="1057"/>
      <c r="B49" s="1051" t="s">
        <v>1511</v>
      </c>
      <c r="C49" s="1064" t="s">
        <v>1512</v>
      </c>
      <c r="D49" s="1065" t="s">
        <v>1098</v>
      </c>
      <c r="E49" s="1064" t="s">
        <v>1513</v>
      </c>
      <c r="F49" s="1066">
        <v>42761</v>
      </c>
      <c r="G49" s="1086">
        <v>16</v>
      </c>
      <c r="H49" s="1087">
        <v>13</v>
      </c>
      <c r="I49" s="1087">
        <v>15</v>
      </c>
      <c r="J49" s="1086">
        <v>19.84</v>
      </c>
      <c r="K49" s="1082">
        <f t="shared" ref="K49:K67" si="17">+M49-L49</f>
        <v>24802.026000000002</v>
      </c>
      <c r="L49" s="1083">
        <f>5360000/1000</f>
        <v>5360</v>
      </c>
      <c r="M49" s="1083">
        <f>30162026/1000</f>
        <v>30162.026000000002</v>
      </c>
      <c r="N49" s="1055">
        <f t="shared" ref="N49:N67" si="18">+G49*K49</f>
        <v>396832.41600000003</v>
      </c>
      <c r="O49" s="1083">
        <f t="shared" ref="O49:O70" si="19">+G49*L49</f>
        <v>85760</v>
      </c>
      <c r="P49" s="1055">
        <f t="shared" ref="P49:P70" si="20">+N49+O49</f>
        <v>482592.41600000003</v>
      </c>
      <c r="Q49" s="1055"/>
      <c r="R49" s="1068">
        <v>19.84</v>
      </c>
      <c r="S49" s="1084">
        <f>598414595.84/1000</f>
        <v>598414.59584000008</v>
      </c>
      <c r="T49" s="1085">
        <v>0.24</v>
      </c>
      <c r="U49" s="1074" t="s">
        <v>1513</v>
      </c>
      <c r="V49" s="1075"/>
      <c r="W49" s="1076">
        <f t="shared" ref="W49:W70" si="21">+N49+O49</f>
        <v>482592.41600000003</v>
      </c>
      <c r="X49" s="1078">
        <f t="shared" ref="X49:X70" si="22">+P49-W49</f>
        <v>0</v>
      </c>
      <c r="Y49" s="1051"/>
      <c r="Z49" s="1051"/>
      <c r="AA49" s="1051"/>
      <c r="AB49" s="1083"/>
      <c r="AC49" s="1090"/>
      <c r="AD49" s="1089"/>
      <c r="AE49" s="1051"/>
      <c r="AF49" s="1051"/>
      <c r="AG49" s="1051"/>
    </row>
    <row r="50" spans="1:34" s="1057" customFormat="1" ht="14.85" customHeight="1" outlineLevel="1">
      <c r="B50" s="1051" t="s">
        <v>1514</v>
      </c>
      <c r="C50" s="1064" t="s">
        <v>1515</v>
      </c>
      <c r="D50" s="1065" t="s">
        <v>583</v>
      </c>
      <c r="E50" s="1064" t="s">
        <v>1516</v>
      </c>
      <c r="F50" s="1066">
        <v>42760</v>
      </c>
      <c r="G50" s="1067">
        <v>15</v>
      </c>
      <c r="H50" s="1068">
        <v>14</v>
      </c>
      <c r="I50" s="1068">
        <v>16</v>
      </c>
      <c r="J50" s="1067">
        <v>24.6</v>
      </c>
      <c r="K50" s="1082">
        <f t="shared" si="17"/>
        <v>14159.332999999999</v>
      </c>
      <c r="L50" s="1081">
        <f>4000000/1000</f>
        <v>4000</v>
      </c>
      <c r="M50" s="1081">
        <f>18159333/1000</f>
        <v>18159.332999999999</v>
      </c>
      <c r="N50" s="1055">
        <f t="shared" si="18"/>
        <v>212389.995</v>
      </c>
      <c r="O50" s="1083">
        <f t="shared" si="19"/>
        <v>60000</v>
      </c>
      <c r="P50" s="1055">
        <f t="shared" si="20"/>
        <v>272389.995</v>
      </c>
      <c r="Q50" s="1055"/>
      <c r="R50" s="1068">
        <v>24.6</v>
      </c>
      <c r="S50" s="1084">
        <f>446719591.8/1000</f>
        <v>446719.59179999999</v>
      </c>
      <c r="T50" s="1085">
        <v>0.64000000000000012</v>
      </c>
      <c r="U50" s="1074" t="s">
        <v>1517</v>
      </c>
      <c r="V50" s="1075"/>
      <c r="W50" s="1076">
        <f t="shared" si="21"/>
        <v>272389.995</v>
      </c>
      <c r="X50" s="1078">
        <f t="shared" si="22"/>
        <v>0</v>
      </c>
    </row>
    <row r="51" spans="1:34" s="1057" customFormat="1" ht="14.85" customHeight="1" outlineLevel="1">
      <c r="B51" s="1051" t="s">
        <v>993</v>
      </c>
      <c r="C51" s="1064" t="s">
        <v>994</v>
      </c>
      <c r="D51" s="1065" t="s">
        <v>583</v>
      </c>
      <c r="E51" s="1064" t="s">
        <v>995</v>
      </c>
      <c r="F51" s="1066">
        <v>42668</v>
      </c>
      <c r="G51" s="1067">
        <v>13</v>
      </c>
      <c r="H51" s="1068">
        <v>12</v>
      </c>
      <c r="I51" s="1068">
        <v>14</v>
      </c>
      <c r="J51" s="1067">
        <v>13.14</v>
      </c>
      <c r="K51" s="1082">
        <f t="shared" si="17"/>
        <v>14439.55</v>
      </c>
      <c r="L51" s="1081">
        <v>7049.23</v>
      </c>
      <c r="M51" s="1081">
        <v>21488.78</v>
      </c>
      <c r="N51" s="1055">
        <f t="shared" si="18"/>
        <v>187714.15</v>
      </c>
      <c r="O51" s="1083">
        <f t="shared" si="19"/>
        <v>91639.989999999991</v>
      </c>
      <c r="P51" s="1055">
        <f t="shared" si="20"/>
        <v>279354.14</v>
      </c>
      <c r="Q51" s="1055"/>
      <c r="R51" s="1068">
        <v>13.14</v>
      </c>
      <c r="S51" s="1084">
        <f t="shared" ref="S51:S70" si="23">R51*M51</f>
        <v>282362.56919999997</v>
      </c>
      <c r="T51" s="1085">
        <f t="shared" ref="T51:T70" si="24">S51/P51-1</f>
        <v>1.0769230769230642E-2</v>
      </c>
      <c r="U51" s="1074" t="s">
        <v>996</v>
      </c>
      <c r="V51" s="1075" t="s">
        <v>997</v>
      </c>
      <c r="W51" s="1076">
        <f t="shared" si="21"/>
        <v>279354.14</v>
      </c>
      <c r="X51" s="1078">
        <f t="shared" si="22"/>
        <v>0</v>
      </c>
    </row>
    <row r="52" spans="1:34" s="1057" customFormat="1" ht="14.85" customHeight="1" outlineLevel="1">
      <c r="B52" s="1051" t="s">
        <v>999</v>
      </c>
      <c r="C52" s="1064" t="s">
        <v>1000</v>
      </c>
      <c r="D52" s="1065" t="s">
        <v>1518</v>
      </c>
      <c r="E52" s="1064" t="s">
        <v>1001</v>
      </c>
      <c r="F52" s="1066">
        <v>42654</v>
      </c>
      <c r="G52" s="1067">
        <v>5.5</v>
      </c>
      <c r="H52" s="1068">
        <v>6</v>
      </c>
      <c r="I52" s="1068">
        <v>8</v>
      </c>
      <c r="J52" s="1067">
        <v>4.74</v>
      </c>
      <c r="K52" s="1082">
        <f t="shared" si="17"/>
        <v>8671.0879999999997</v>
      </c>
      <c r="L52" s="1081">
        <v>960</v>
      </c>
      <c r="M52" s="1081">
        <v>9631.0879999999997</v>
      </c>
      <c r="N52" s="1055">
        <f t="shared" si="18"/>
        <v>47690.983999999997</v>
      </c>
      <c r="O52" s="1083">
        <f t="shared" si="19"/>
        <v>5280</v>
      </c>
      <c r="P52" s="1055">
        <f t="shared" si="20"/>
        <v>52970.983999999997</v>
      </c>
      <c r="Q52" s="1055"/>
      <c r="R52" s="1068">
        <v>4.74</v>
      </c>
      <c r="S52" s="1084">
        <f t="shared" si="23"/>
        <v>45651.357120000001</v>
      </c>
      <c r="T52" s="1085">
        <f t="shared" si="24"/>
        <v>-0.13818181818181807</v>
      </c>
      <c r="U52" s="1074" t="s">
        <v>1002</v>
      </c>
      <c r="V52" s="1075" t="s">
        <v>1003</v>
      </c>
      <c r="W52" s="1076">
        <f t="shared" si="21"/>
        <v>52970.983999999997</v>
      </c>
      <c r="X52" s="1078">
        <f t="shared" si="22"/>
        <v>0</v>
      </c>
    </row>
    <row r="53" spans="1:34" s="1057" customFormat="1" ht="14.85" customHeight="1" outlineLevel="1">
      <c r="B53" s="1051" t="s">
        <v>1009</v>
      </c>
      <c r="C53" s="1064" t="s">
        <v>1010</v>
      </c>
      <c r="D53" s="1065" t="s">
        <v>583</v>
      </c>
      <c r="E53" s="1064" t="s">
        <v>1011</v>
      </c>
      <c r="F53" s="1066">
        <v>42592</v>
      </c>
      <c r="G53" s="1067">
        <v>12</v>
      </c>
      <c r="H53" s="1068">
        <v>11</v>
      </c>
      <c r="I53" s="1068">
        <v>13</v>
      </c>
      <c r="J53" s="1067">
        <v>12.4</v>
      </c>
      <c r="K53" s="1082">
        <f t="shared" si="17"/>
        <v>8823.5509999999995</v>
      </c>
      <c r="L53" s="1081">
        <v>7500</v>
      </c>
      <c r="M53" s="1081">
        <v>16323.550999999999</v>
      </c>
      <c r="N53" s="1055">
        <f t="shared" si="18"/>
        <v>105882.61199999999</v>
      </c>
      <c r="O53" s="1083">
        <f t="shared" si="19"/>
        <v>90000</v>
      </c>
      <c r="P53" s="1055">
        <f t="shared" si="20"/>
        <v>195882.61199999999</v>
      </c>
      <c r="Q53" s="1055"/>
      <c r="R53" s="1068">
        <v>12.4</v>
      </c>
      <c r="S53" s="1084">
        <f t="shared" si="23"/>
        <v>202412.0324</v>
      </c>
      <c r="T53" s="1085">
        <f t="shared" si="24"/>
        <v>3.3333333333333437E-2</v>
      </c>
      <c r="U53" s="1088" t="s">
        <v>1012</v>
      </c>
      <c r="V53" s="1075" t="s">
        <v>1013</v>
      </c>
      <c r="W53" s="1076">
        <f t="shared" si="21"/>
        <v>195882.61199999999</v>
      </c>
      <c r="X53" s="1078">
        <f t="shared" si="22"/>
        <v>0</v>
      </c>
      <c r="Y53" s="1089"/>
    </row>
    <row r="54" spans="1:34" s="1057" customFormat="1" ht="14.85" customHeight="1" outlineLevel="1">
      <c r="B54" s="1051" t="s">
        <v>908</v>
      </c>
      <c r="C54" s="1064" t="s">
        <v>906</v>
      </c>
      <c r="D54" s="1065" t="s">
        <v>583</v>
      </c>
      <c r="E54" s="1064" t="s">
        <v>1025</v>
      </c>
      <c r="F54" s="1066">
        <v>42550</v>
      </c>
      <c r="G54" s="1086">
        <v>12.5</v>
      </c>
      <c r="H54" s="1087">
        <v>14</v>
      </c>
      <c r="I54" s="1087">
        <v>16</v>
      </c>
      <c r="J54" s="1086">
        <v>11.58</v>
      </c>
      <c r="K54" s="1082">
        <f t="shared" si="17"/>
        <v>18760.161</v>
      </c>
      <c r="L54" s="1081">
        <v>4000</v>
      </c>
      <c r="M54" s="1081">
        <v>22760.161</v>
      </c>
      <c r="N54" s="1055">
        <f t="shared" si="18"/>
        <v>234502.01250000001</v>
      </c>
      <c r="O54" s="1083">
        <f t="shared" si="19"/>
        <v>50000</v>
      </c>
      <c r="P54" s="1055">
        <f t="shared" si="20"/>
        <v>284502.01250000001</v>
      </c>
      <c r="Q54" s="1055"/>
      <c r="R54" s="1068">
        <v>11.58</v>
      </c>
      <c r="S54" s="1084">
        <f t="shared" si="23"/>
        <v>263562.66438000003</v>
      </c>
      <c r="T54" s="1085">
        <f t="shared" si="24"/>
        <v>-7.3599999999999888E-2</v>
      </c>
      <c r="U54" s="1088" t="s">
        <v>907</v>
      </c>
      <c r="V54" s="1075" t="s">
        <v>909</v>
      </c>
      <c r="W54" s="1076">
        <f t="shared" si="21"/>
        <v>284502.01250000001</v>
      </c>
      <c r="X54" s="1078">
        <f t="shared" si="22"/>
        <v>0</v>
      </c>
      <c r="Y54" s="1089"/>
    </row>
    <row r="55" spans="1:34" s="1057" customFormat="1" ht="14.85" customHeight="1" outlineLevel="1">
      <c r="B55" s="1051" t="s">
        <v>1026</v>
      </c>
      <c r="C55" s="1064" t="s">
        <v>1027</v>
      </c>
      <c r="D55" s="1065" t="s">
        <v>583</v>
      </c>
      <c r="E55" s="1064" t="s">
        <v>1028</v>
      </c>
      <c r="F55" s="1066">
        <v>42542</v>
      </c>
      <c r="G55" s="1086">
        <v>14</v>
      </c>
      <c r="H55" s="1087">
        <v>14</v>
      </c>
      <c r="I55" s="1087">
        <v>16</v>
      </c>
      <c r="J55" s="1086">
        <v>13.77</v>
      </c>
      <c r="K55" s="1082">
        <f t="shared" si="17"/>
        <v>12899.585999999999</v>
      </c>
      <c r="L55" s="1081">
        <v>5000</v>
      </c>
      <c r="M55" s="1081">
        <v>17899.585999999999</v>
      </c>
      <c r="N55" s="1055">
        <f t="shared" si="18"/>
        <v>180594.204</v>
      </c>
      <c r="O55" s="1083">
        <f t="shared" si="19"/>
        <v>70000</v>
      </c>
      <c r="P55" s="1055">
        <f t="shared" si="20"/>
        <v>250594.204</v>
      </c>
      <c r="Q55" s="1055"/>
      <c r="R55" s="1068">
        <v>13.77</v>
      </c>
      <c r="S55" s="1084">
        <f t="shared" si="23"/>
        <v>246477.29921999999</v>
      </c>
      <c r="T55" s="1085">
        <f t="shared" si="24"/>
        <v>-1.6428571428571459E-2</v>
      </c>
      <c r="U55" s="1088" t="s">
        <v>1029</v>
      </c>
      <c r="V55" s="1075" t="s">
        <v>1030</v>
      </c>
      <c r="W55" s="1076">
        <f t="shared" si="21"/>
        <v>250594.204</v>
      </c>
      <c r="X55" s="1078">
        <f t="shared" si="22"/>
        <v>0</v>
      </c>
      <c r="Y55" s="1089"/>
    </row>
    <row r="56" spans="1:34" s="1057" customFormat="1" ht="14.85" customHeight="1" outlineLevel="1">
      <c r="B56" s="1051" t="s">
        <v>1041</v>
      </c>
      <c r="C56" s="1064" t="s">
        <v>1042</v>
      </c>
      <c r="D56" s="1065" t="s">
        <v>1098</v>
      </c>
      <c r="E56" s="1064" t="s">
        <v>1043</v>
      </c>
      <c r="F56" s="1066">
        <v>42508</v>
      </c>
      <c r="G56" s="1086">
        <v>10</v>
      </c>
      <c r="H56" s="1087">
        <v>14</v>
      </c>
      <c r="I56" s="1087">
        <v>16</v>
      </c>
      <c r="J56" s="1086">
        <v>9.1691500000000001</v>
      </c>
      <c r="K56" s="1082">
        <f t="shared" si="17"/>
        <v>8740.4410000000007</v>
      </c>
      <c r="L56" s="1081">
        <v>5500</v>
      </c>
      <c r="M56" s="1081">
        <v>14240.441000000001</v>
      </c>
      <c r="N56" s="1055">
        <f t="shared" si="18"/>
        <v>87404.41</v>
      </c>
      <c r="O56" s="1083">
        <f t="shared" si="19"/>
        <v>55000</v>
      </c>
      <c r="P56" s="1055">
        <f t="shared" si="20"/>
        <v>142404.41</v>
      </c>
      <c r="Q56" s="1055"/>
      <c r="R56" s="1068">
        <v>9.1691500000000001</v>
      </c>
      <c r="S56" s="1084">
        <f t="shared" si="23"/>
        <v>130572.73959515001</v>
      </c>
      <c r="T56" s="1085">
        <f t="shared" si="24"/>
        <v>-8.3084999999999964E-2</v>
      </c>
      <c r="U56" s="1088" t="s">
        <v>1044</v>
      </c>
      <c r="V56" s="1075" t="s">
        <v>1045</v>
      </c>
      <c r="W56" s="1076">
        <f t="shared" si="21"/>
        <v>142404.41</v>
      </c>
      <c r="X56" s="1078">
        <f t="shared" si="22"/>
        <v>0</v>
      </c>
      <c r="Y56" s="1089"/>
    </row>
    <row r="57" spans="1:34" s="1057" customFormat="1" ht="14.85" customHeight="1" outlineLevel="1">
      <c r="B57" s="1051" t="s">
        <v>1047</v>
      </c>
      <c r="C57" s="1064" t="s">
        <v>1048</v>
      </c>
      <c r="D57" s="1065" t="s">
        <v>583</v>
      </c>
      <c r="E57" s="1064" t="s">
        <v>1049</v>
      </c>
      <c r="F57" s="1066">
        <v>42502</v>
      </c>
      <c r="G57" s="1086">
        <v>6</v>
      </c>
      <c r="H57" s="1087">
        <v>11</v>
      </c>
      <c r="I57" s="1087">
        <v>13</v>
      </c>
      <c r="J57" s="1086">
        <v>3.35</v>
      </c>
      <c r="K57" s="1082">
        <f t="shared" si="17"/>
        <v>16969.444</v>
      </c>
      <c r="L57" s="1081">
        <v>5833.3339999999998</v>
      </c>
      <c r="M57" s="1081">
        <v>22802.777999999998</v>
      </c>
      <c r="N57" s="1055">
        <f t="shared" si="18"/>
        <v>101816.66399999999</v>
      </c>
      <c r="O57" s="1083">
        <f t="shared" si="19"/>
        <v>35000.004000000001</v>
      </c>
      <c r="P57" s="1055">
        <f t="shared" si="20"/>
        <v>136816.66800000001</v>
      </c>
      <c r="Q57" s="1055"/>
      <c r="R57" s="1068">
        <v>3.35</v>
      </c>
      <c r="S57" s="1084">
        <f t="shared" si="23"/>
        <v>76389.306299999997</v>
      </c>
      <c r="T57" s="1085">
        <f t="shared" si="24"/>
        <v>-0.44166666666666676</v>
      </c>
      <c r="U57" s="1088" t="s">
        <v>1050</v>
      </c>
      <c r="V57" s="1075" t="s">
        <v>1051</v>
      </c>
      <c r="W57" s="1076">
        <f t="shared" si="21"/>
        <v>136816.66800000001</v>
      </c>
      <c r="X57" s="1078">
        <f t="shared" si="22"/>
        <v>0</v>
      </c>
      <c r="AC57" s="1078"/>
      <c r="AD57" s="1090"/>
      <c r="AE57" s="1089"/>
    </row>
    <row r="58" spans="1:34" s="1051" customFormat="1" ht="14.85" customHeight="1" outlineLevel="1">
      <c r="A58" s="1057"/>
      <c r="B58" s="1051" t="s">
        <v>968</v>
      </c>
      <c r="C58" s="1064" t="s">
        <v>1062</v>
      </c>
      <c r="D58" s="1065" t="s">
        <v>1063</v>
      </c>
      <c r="E58" s="1064" t="s">
        <v>1064</v>
      </c>
      <c r="F58" s="1066">
        <v>42451</v>
      </c>
      <c r="G58" s="1086">
        <v>15</v>
      </c>
      <c r="H58" s="1087">
        <v>15</v>
      </c>
      <c r="I58" s="1087">
        <v>17</v>
      </c>
      <c r="J58" s="1086">
        <v>15.13</v>
      </c>
      <c r="K58" s="1082">
        <f t="shared" si="17"/>
        <v>15706.356</v>
      </c>
      <c r="L58" s="1081">
        <v>4700</v>
      </c>
      <c r="M58" s="1081">
        <v>20406.356</v>
      </c>
      <c r="N58" s="1055">
        <f t="shared" si="18"/>
        <v>235595.34</v>
      </c>
      <c r="O58" s="1083">
        <f t="shared" si="19"/>
        <v>70500</v>
      </c>
      <c r="P58" s="1055">
        <f t="shared" si="20"/>
        <v>306095.33999999997</v>
      </c>
      <c r="Q58" s="1055"/>
      <c r="R58" s="1068">
        <v>15.13</v>
      </c>
      <c r="S58" s="1084">
        <f t="shared" si="23"/>
        <v>308748.16628</v>
      </c>
      <c r="T58" s="1085">
        <f t="shared" si="24"/>
        <v>8.6666666666668224E-3</v>
      </c>
      <c r="U58" s="1074" t="s">
        <v>1065</v>
      </c>
      <c r="V58" s="1075" t="s">
        <v>1066</v>
      </c>
      <c r="W58" s="1076">
        <f t="shared" si="21"/>
        <v>306095.33999999997</v>
      </c>
      <c r="X58" s="1078">
        <f t="shared" si="22"/>
        <v>0</v>
      </c>
      <c r="Y58" s="1057"/>
      <c r="AC58" s="1083"/>
      <c r="AD58" s="1090"/>
      <c r="AE58" s="1089"/>
    </row>
    <row r="59" spans="1:34" s="1051" customFormat="1" ht="14.85" customHeight="1" outlineLevel="1">
      <c r="A59" s="1057"/>
      <c r="B59" s="1051" t="s">
        <v>970</v>
      </c>
      <c r="C59" s="1064" t="s">
        <v>1067</v>
      </c>
      <c r="D59" s="1065" t="s">
        <v>1174</v>
      </c>
      <c r="E59" s="1064" t="s">
        <v>1068</v>
      </c>
      <c r="F59" s="1066">
        <v>42431</v>
      </c>
      <c r="G59" s="1086">
        <v>12</v>
      </c>
      <c r="H59" s="1087">
        <v>14</v>
      </c>
      <c r="I59" s="1087">
        <v>16</v>
      </c>
      <c r="J59" s="1086">
        <v>13.11</v>
      </c>
      <c r="K59" s="1082">
        <f t="shared" si="17"/>
        <v>12972.674999999999</v>
      </c>
      <c r="L59" s="1081">
        <v>4400</v>
      </c>
      <c r="M59" s="1081">
        <v>17372.674999999999</v>
      </c>
      <c r="N59" s="1055">
        <f t="shared" si="18"/>
        <v>155672.09999999998</v>
      </c>
      <c r="O59" s="1083">
        <f t="shared" si="19"/>
        <v>52800</v>
      </c>
      <c r="P59" s="1055">
        <f t="shared" si="20"/>
        <v>208472.09999999998</v>
      </c>
      <c r="Q59" s="1055"/>
      <c r="R59" s="1068">
        <v>13.11</v>
      </c>
      <c r="S59" s="1084">
        <f t="shared" si="23"/>
        <v>227755.76924999998</v>
      </c>
      <c r="T59" s="1085">
        <f t="shared" si="24"/>
        <v>9.2500000000000027E-2</v>
      </c>
      <c r="U59" s="1074" t="s">
        <v>1069</v>
      </c>
      <c r="V59" s="1075" t="s">
        <v>1070</v>
      </c>
      <c r="W59" s="1076">
        <f t="shared" si="21"/>
        <v>208472.09999999998</v>
      </c>
      <c r="X59" s="1078">
        <f t="shared" si="22"/>
        <v>0</v>
      </c>
      <c r="Y59" s="1057"/>
      <c r="AC59" s="1083"/>
      <c r="AD59" s="1090"/>
      <c r="AE59" s="1089"/>
    </row>
    <row r="60" spans="1:34" s="1051" customFormat="1" ht="14.85" customHeight="1" outlineLevel="1">
      <c r="A60" s="1057"/>
      <c r="B60" s="1051" t="s">
        <v>1071</v>
      </c>
      <c r="C60" s="1064" t="s">
        <v>1072</v>
      </c>
      <c r="D60" s="1065" t="s">
        <v>583</v>
      </c>
      <c r="E60" s="1064" t="s">
        <v>1073</v>
      </c>
      <c r="F60" s="1066">
        <v>42410</v>
      </c>
      <c r="G60" s="1086">
        <v>20</v>
      </c>
      <c r="H60" s="1087">
        <v>19</v>
      </c>
      <c r="I60" s="1087">
        <v>21</v>
      </c>
      <c r="J60" s="1086">
        <v>21.15</v>
      </c>
      <c r="K60" s="1082">
        <f t="shared" si="17"/>
        <v>17650.57</v>
      </c>
      <c r="L60" s="1081">
        <v>4750</v>
      </c>
      <c r="M60" s="1081">
        <v>22400.57</v>
      </c>
      <c r="N60" s="1055">
        <f t="shared" si="18"/>
        <v>353011.4</v>
      </c>
      <c r="O60" s="1083">
        <f t="shared" si="19"/>
        <v>95000</v>
      </c>
      <c r="P60" s="1055">
        <f t="shared" si="20"/>
        <v>448011.4</v>
      </c>
      <c r="Q60" s="1055"/>
      <c r="R60" s="1068">
        <v>21.15</v>
      </c>
      <c r="S60" s="1084">
        <f t="shared" si="23"/>
        <v>473772.05549999996</v>
      </c>
      <c r="T60" s="1085">
        <f t="shared" si="24"/>
        <v>5.7499999999999885E-2</v>
      </c>
      <c r="U60" s="1074" t="s">
        <v>1074</v>
      </c>
      <c r="V60" s="1075" t="s">
        <v>1075</v>
      </c>
      <c r="W60" s="1076">
        <f t="shared" si="21"/>
        <v>448011.4</v>
      </c>
      <c r="X60" s="1078">
        <f t="shared" si="22"/>
        <v>0</v>
      </c>
      <c r="Y60" s="1057"/>
      <c r="AC60" s="1083"/>
      <c r="AD60" s="1090"/>
      <c r="AE60" s="1089"/>
    </row>
    <row r="61" spans="1:34" s="1051" customFormat="1" ht="14.85" customHeight="1" outlineLevel="1">
      <c r="A61" s="1057"/>
      <c r="B61" s="1051" t="s">
        <v>798</v>
      </c>
      <c r="C61" s="1064" t="s">
        <v>1087</v>
      </c>
      <c r="D61" s="1065" t="s">
        <v>568</v>
      </c>
      <c r="E61" s="1064" t="s">
        <v>1088</v>
      </c>
      <c r="F61" s="1066">
        <v>42318</v>
      </c>
      <c r="G61" s="1086">
        <v>14</v>
      </c>
      <c r="H61" s="1087">
        <v>15</v>
      </c>
      <c r="I61" s="1087">
        <v>17</v>
      </c>
      <c r="J61" s="1086">
        <v>23.72</v>
      </c>
      <c r="K61" s="1082">
        <f t="shared" si="17"/>
        <v>21034.71</v>
      </c>
      <c r="L61" s="1081">
        <v>5000</v>
      </c>
      <c r="M61" s="1081">
        <v>26034.71</v>
      </c>
      <c r="N61" s="1055">
        <f t="shared" si="18"/>
        <v>294485.94</v>
      </c>
      <c r="O61" s="1083">
        <f t="shared" si="19"/>
        <v>70000</v>
      </c>
      <c r="P61" s="1055">
        <f t="shared" si="20"/>
        <v>364485.94</v>
      </c>
      <c r="Q61" s="1055"/>
      <c r="R61" s="1068">
        <v>23.72</v>
      </c>
      <c r="S61" s="1084">
        <f t="shared" si="23"/>
        <v>617543.32120000001</v>
      </c>
      <c r="T61" s="1085">
        <f t="shared" si="24"/>
        <v>0.69428571428571439</v>
      </c>
      <c r="U61" s="1091" t="s">
        <v>1089</v>
      </c>
      <c r="V61" s="1075" t="s">
        <v>1519</v>
      </c>
      <c r="W61" s="1076">
        <f t="shared" si="21"/>
        <v>364485.94</v>
      </c>
      <c r="X61" s="1078">
        <f t="shared" si="22"/>
        <v>0</v>
      </c>
      <c r="Y61" s="1094"/>
      <c r="Z61" s="1093"/>
      <c r="AA61" s="1094"/>
      <c r="AB61" s="1094"/>
      <c r="AC61" s="1093"/>
      <c r="AD61" s="1090"/>
      <c r="AE61" s="1089"/>
      <c r="AF61" s="1091"/>
      <c r="AG61" s="1096"/>
      <c r="AH61" s="1096"/>
    </row>
    <row r="62" spans="1:34" s="1051" customFormat="1" ht="14.85" customHeight="1" outlineLevel="1">
      <c r="A62" s="1057"/>
      <c r="B62" s="1051" t="s">
        <v>1091</v>
      </c>
      <c r="C62" s="1064" t="s">
        <v>1092</v>
      </c>
      <c r="D62" s="1065" t="s">
        <v>583</v>
      </c>
      <c r="E62" s="1064" t="s">
        <v>1093</v>
      </c>
      <c r="F62" s="1066">
        <v>42305</v>
      </c>
      <c r="G62" s="1086">
        <v>10</v>
      </c>
      <c r="H62" s="1087">
        <v>15</v>
      </c>
      <c r="I62" s="1087">
        <v>17</v>
      </c>
      <c r="J62" s="1086">
        <v>12.4</v>
      </c>
      <c r="K62" s="1082">
        <f t="shared" si="17"/>
        <v>20805.473000000002</v>
      </c>
      <c r="L62" s="1081">
        <v>5437.5</v>
      </c>
      <c r="M62" s="1081">
        <v>26242.973000000002</v>
      </c>
      <c r="N62" s="1055">
        <f t="shared" si="18"/>
        <v>208054.73</v>
      </c>
      <c r="O62" s="1083">
        <f t="shared" si="19"/>
        <v>54375</v>
      </c>
      <c r="P62" s="1055">
        <f t="shared" si="20"/>
        <v>262429.73</v>
      </c>
      <c r="Q62" s="1055"/>
      <c r="R62" s="1068">
        <v>12.4</v>
      </c>
      <c r="S62" s="1084">
        <f t="shared" si="23"/>
        <v>325412.86520000006</v>
      </c>
      <c r="T62" s="1085">
        <f t="shared" si="24"/>
        <v>0.24000000000000021</v>
      </c>
      <c r="U62" s="1091" t="s">
        <v>1094</v>
      </c>
      <c r="V62" s="1075" t="s">
        <v>1095</v>
      </c>
      <c r="W62" s="1076">
        <f t="shared" si="21"/>
        <v>262429.73</v>
      </c>
      <c r="X62" s="1078">
        <f t="shared" si="22"/>
        <v>0</v>
      </c>
      <c r="Y62" s="1094"/>
      <c r="Z62" s="1093"/>
      <c r="AA62" s="1094"/>
      <c r="AB62" s="1094"/>
      <c r="AC62" s="1093"/>
      <c r="AD62" s="1090"/>
      <c r="AE62" s="1089"/>
      <c r="AF62" s="1091"/>
      <c r="AG62" s="1096"/>
      <c r="AH62" s="1096"/>
    </row>
    <row r="63" spans="1:34" s="1051" customFormat="1" ht="14.85" customHeight="1" outlineLevel="1">
      <c r="A63" s="1057"/>
      <c r="B63" s="1051" t="s">
        <v>1096</v>
      </c>
      <c r="C63" s="1064" t="s">
        <v>1097</v>
      </c>
      <c r="D63" s="1065" t="s">
        <v>583</v>
      </c>
      <c r="E63" s="1064" t="s">
        <v>1099</v>
      </c>
      <c r="F63" s="1066">
        <v>42298</v>
      </c>
      <c r="G63" s="1086">
        <v>13</v>
      </c>
      <c r="H63" s="1087">
        <v>14</v>
      </c>
      <c r="I63" s="1087">
        <v>16</v>
      </c>
      <c r="J63" s="1086">
        <v>13.45</v>
      </c>
      <c r="K63" s="1082">
        <f t="shared" si="17"/>
        <v>19379.574000000001</v>
      </c>
      <c r="L63" s="1081">
        <v>5500</v>
      </c>
      <c r="M63" s="1081">
        <v>24879.574000000001</v>
      </c>
      <c r="N63" s="1055">
        <f t="shared" si="18"/>
        <v>251934.462</v>
      </c>
      <c r="O63" s="1083">
        <f t="shared" si="19"/>
        <v>71500</v>
      </c>
      <c r="P63" s="1055">
        <f t="shared" si="20"/>
        <v>323434.462</v>
      </c>
      <c r="Q63" s="1055"/>
      <c r="R63" s="1068">
        <v>13.45</v>
      </c>
      <c r="S63" s="1084">
        <f t="shared" si="23"/>
        <v>334630.27029999997</v>
      </c>
      <c r="T63" s="1085">
        <f t="shared" si="24"/>
        <v>3.4615384615384492E-2</v>
      </c>
      <c r="U63" s="1074" t="s">
        <v>1100</v>
      </c>
      <c r="V63" s="1075" t="s">
        <v>1101</v>
      </c>
      <c r="W63" s="1076">
        <f t="shared" si="21"/>
        <v>323434.462</v>
      </c>
      <c r="X63" s="1078">
        <f t="shared" si="22"/>
        <v>0</v>
      </c>
      <c r="Y63" s="1057"/>
      <c r="AC63" s="1083"/>
      <c r="AD63" s="1090"/>
      <c r="AE63" s="1089"/>
    </row>
    <row r="64" spans="1:34" s="1051" customFormat="1" ht="14.85" customHeight="1" outlineLevel="1">
      <c r="A64" s="1057"/>
      <c r="B64" s="1051" t="s">
        <v>1117</v>
      </c>
      <c r="C64" s="1064" t="s">
        <v>1118</v>
      </c>
      <c r="D64" s="1065" t="s">
        <v>583</v>
      </c>
      <c r="E64" s="1064" t="s">
        <v>1119</v>
      </c>
      <c r="F64" s="1066">
        <v>42277</v>
      </c>
      <c r="G64" s="1086">
        <v>7</v>
      </c>
      <c r="H64" s="1087">
        <v>13</v>
      </c>
      <c r="I64" s="1087">
        <v>15</v>
      </c>
      <c r="J64" s="1086">
        <v>5.78</v>
      </c>
      <c r="K64" s="1082">
        <f t="shared" si="17"/>
        <v>13806.725999999999</v>
      </c>
      <c r="L64" s="1081">
        <v>6250</v>
      </c>
      <c r="M64" s="1081">
        <v>20056.725999999999</v>
      </c>
      <c r="N64" s="1055">
        <f t="shared" si="18"/>
        <v>96647.081999999995</v>
      </c>
      <c r="O64" s="1083">
        <f t="shared" si="19"/>
        <v>43750</v>
      </c>
      <c r="P64" s="1055">
        <f t="shared" si="20"/>
        <v>140397.08199999999</v>
      </c>
      <c r="Q64" s="1055"/>
      <c r="R64" s="1068">
        <v>5.78</v>
      </c>
      <c r="S64" s="1084">
        <f t="shared" si="23"/>
        <v>115927.87628</v>
      </c>
      <c r="T64" s="1085">
        <f t="shared" si="24"/>
        <v>-0.17428571428571427</v>
      </c>
      <c r="U64" s="1074" t="s">
        <v>1120</v>
      </c>
      <c r="V64" s="1075" t="s">
        <v>1520</v>
      </c>
      <c r="W64" s="1076">
        <f t="shared" si="21"/>
        <v>140397.08199999999</v>
      </c>
      <c r="X64" s="1078">
        <f t="shared" si="22"/>
        <v>0</v>
      </c>
      <c r="Y64" s="1057"/>
      <c r="AC64" s="1083"/>
      <c r="AD64" s="1090"/>
      <c r="AE64" s="1089"/>
    </row>
    <row r="65" spans="1:65" s="1051" customFormat="1" ht="14.85" customHeight="1" outlineLevel="1">
      <c r="A65" s="1057"/>
      <c r="B65" s="1051" t="s">
        <v>1158</v>
      </c>
      <c r="C65" s="1064" t="s">
        <v>1159</v>
      </c>
      <c r="D65" s="1065" t="s">
        <v>1098</v>
      </c>
      <c r="E65" s="1064" t="s">
        <v>1160</v>
      </c>
      <c r="F65" s="1066">
        <v>42179</v>
      </c>
      <c r="G65" s="1086">
        <v>12</v>
      </c>
      <c r="H65" s="1087">
        <v>13</v>
      </c>
      <c r="I65" s="1087">
        <v>15</v>
      </c>
      <c r="J65" s="1086">
        <v>13.9</v>
      </c>
      <c r="K65" s="1082">
        <f t="shared" si="17"/>
        <v>9547.7960000000003</v>
      </c>
      <c r="L65" s="1081">
        <v>5000</v>
      </c>
      <c r="M65" s="1081">
        <v>14547.796</v>
      </c>
      <c r="N65" s="1055">
        <f t="shared" si="18"/>
        <v>114573.552</v>
      </c>
      <c r="O65" s="1083">
        <f t="shared" si="19"/>
        <v>60000</v>
      </c>
      <c r="P65" s="1055">
        <f t="shared" si="20"/>
        <v>174573.552</v>
      </c>
      <c r="Q65" s="1055"/>
      <c r="R65" s="1068">
        <v>13.9</v>
      </c>
      <c r="S65" s="1084">
        <f t="shared" si="23"/>
        <v>202214.36440000002</v>
      </c>
      <c r="T65" s="1085">
        <f t="shared" si="24"/>
        <v>0.15833333333333344</v>
      </c>
      <c r="U65" s="1091" t="s">
        <v>1161</v>
      </c>
      <c r="V65" s="1075" t="s">
        <v>1521</v>
      </c>
      <c r="W65" s="1076">
        <f t="shared" si="21"/>
        <v>174573.552</v>
      </c>
      <c r="X65" s="1078">
        <f t="shared" si="22"/>
        <v>0</v>
      </c>
      <c r="Y65" s="1094"/>
      <c r="Z65" s="1093"/>
      <c r="AA65" s="1094"/>
      <c r="AB65" s="1095"/>
      <c r="AC65" s="1093"/>
      <c r="AD65" s="1090"/>
      <c r="AE65" s="1089"/>
      <c r="AF65" s="1091"/>
      <c r="AG65" s="1096"/>
      <c r="AH65" s="1096"/>
    </row>
    <row r="66" spans="1:65" s="1092" customFormat="1" ht="14.85" customHeight="1" outlineLevel="1">
      <c r="A66" s="1057"/>
      <c r="B66" s="1051" t="s">
        <v>1168</v>
      </c>
      <c r="C66" s="1064" t="s">
        <v>1169</v>
      </c>
      <c r="D66" s="1065" t="s">
        <v>568</v>
      </c>
      <c r="E66" s="1064" t="s">
        <v>1170</v>
      </c>
      <c r="F66" s="1066">
        <v>42171</v>
      </c>
      <c r="G66" s="1086">
        <v>14</v>
      </c>
      <c r="H66" s="1087">
        <v>13</v>
      </c>
      <c r="I66" s="1087">
        <v>15</v>
      </c>
      <c r="J66" s="1086">
        <v>19.010000000000002</v>
      </c>
      <c r="K66" s="1082">
        <f t="shared" si="17"/>
        <v>9126.6830000000009</v>
      </c>
      <c r="L66" s="1081">
        <v>5500</v>
      </c>
      <c r="M66" s="1081">
        <v>14626.683000000001</v>
      </c>
      <c r="N66" s="1055">
        <f t="shared" si="18"/>
        <v>127773.56200000001</v>
      </c>
      <c r="O66" s="1083">
        <f t="shared" si="19"/>
        <v>77000</v>
      </c>
      <c r="P66" s="1055">
        <f t="shared" si="20"/>
        <v>204773.56200000001</v>
      </c>
      <c r="Q66" s="1055"/>
      <c r="R66" s="1068">
        <v>19.010000000000002</v>
      </c>
      <c r="S66" s="1084">
        <f t="shared" si="23"/>
        <v>278053.24383000005</v>
      </c>
      <c r="T66" s="1085">
        <f t="shared" si="24"/>
        <v>0.3578571428571431</v>
      </c>
      <c r="U66" s="1074" t="s">
        <v>1171</v>
      </c>
      <c r="V66" s="1075" t="s">
        <v>1172</v>
      </c>
      <c r="W66" s="1076">
        <f t="shared" si="21"/>
        <v>204773.56200000001</v>
      </c>
      <c r="X66" s="1078">
        <f t="shared" si="22"/>
        <v>0</v>
      </c>
      <c r="Y66" s="1057"/>
      <c r="Z66" s="1051"/>
      <c r="AA66" s="1051"/>
      <c r="AB66" s="1051"/>
      <c r="AC66" s="1083"/>
      <c r="AD66" s="1090"/>
      <c r="AE66" s="1089"/>
      <c r="AF66" s="1051"/>
      <c r="AG66" s="1051"/>
      <c r="AH66" s="1051"/>
    </row>
    <row r="67" spans="1:65" s="1092" customFormat="1" ht="14.85" customHeight="1" outlineLevel="1">
      <c r="A67" s="1057"/>
      <c r="B67" s="1051" t="s">
        <v>1522</v>
      </c>
      <c r="C67" s="1064" t="s">
        <v>1173</v>
      </c>
      <c r="D67" s="1065" t="s">
        <v>1174</v>
      </c>
      <c r="E67" s="1064" t="s">
        <v>1175</v>
      </c>
      <c r="F67" s="1066">
        <v>42130</v>
      </c>
      <c r="G67" s="1086">
        <v>14</v>
      </c>
      <c r="H67" s="1087">
        <v>13</v>
      </c>
      <c r="I67" s="1087">
        <v>15</v>
      </c>
      <c r="J67" s="1086">
        <v>25.87</v>
      </c>
      <c r="K67" s="1082">
        <f t="shared" si="17"/>
        <v>17189.739000000001</v>
      </c>
      <c r="L67" s="1081">
        <v>5360</v>
      </c>
      <c r="M67" s="1081">
        <v>22549.739000000001</v>
      </c>
      <c r="N67" s="1055">
        <f t="shared" si="18"/>
        <v>240656.34600000002</v>
      </c>
      <c r="O67" s="1083">
        <f t="shared" si="19"/>
        <v>75040</v>
      </c>
      <c r="P67" s="1055">
        <f t="shared" si="20"/>
        <v>315696.34600000002</v>
      </c>
      <c r="Q67" s="1055"/>
      <c r="R67" s="1068">
        <v>25.87</v>
      </c>
      <c r="S67" s="1084">
        <f t="shared" si="23"/>
        <v>583361.74793000007</v>
      </c>
      <c r="T67" s="1085">
        <f t="shared" si="24"/>
        <v>0.84785714285714286</v>
      </c>
      <c r="U67" s="1074" t="s">
        <v>1176</v>
      </c>
      <c r="V67" s="1075" t="s">
        <v>1177</v>
      </c>
      <c r="W67" s="1076">
        <f t="shared" si="21"/>
        <v>315696.34600000002</v>
      </c>
      <c r="X67" s="1078">
        <f t="shared" si="22"/>
        <v>0</v>
      </c>
      <c r="Y67" s="1057"/>
      <c r="Z67" s="1051"/>
      <c r="AA67" s="1051"/>
      <c r="AB67" s="1051"/>
      <c r="AC67" s="1083"/>
      <c r="AD67" s="1090"/>
      <c r="AE67" s="1089"/>
      <c r="AF67" s="1051"/>
      <c r="AG67" s="1051"/>
      <c r="AH67" s="1051"/>
    </row>
    <row r="68" spans="1:65" s="1092" customFormat="1" ht="14.85" customHeight="1" outlineLevel="1">
      <c r="A68" s="1097"/>
      <c r="B68" s="1051" t="s">
        <v>1523</v>
      </c>
      <c r="C68" s="1064" t="s">
        <v>1524</v>
      </c>
      <c r="D68" s="1065" t="s">
        <v>1098</v>
      </c>
      <c r="E68" s="1064" t="s">
        <v>1525</v>
      </c>
      <c r="F68" s="1066">
        <v>42130</v>
      </c>
      <c r="G68" s="1086">
        <v>17</v>
      </c>
      <c r="H68" s="1087">
        <v>15</v>
      </c>
      <c r="I68" s="1087">
        <v>17</v>
      </c>
      <c r="J68" s="1086">
        <v>15.34</v>
      </c>
      <c r="K68" s="1082">
        <v>59535316.666666672</v>
      </c>
      <c r="L68" s="1081">
        <v>9375</v>
      </c>
      <c r="M68" s="1081">
        <v>68910.316666666695</v>
      </c>
      <c r="N68" s="1055">
        <v>1012100.38333333</v>
      </c>
      <c r="O68" s="1083">
        <f t="shared" si="19"/>
        <v>159375</v>
      </c>
      <c r="P68" s="1055">
        <f t="shared" si="20"/>
        <v>1171475.38333333</v>
      </c>
      <c r="Q68" s="1055"/>
      <c r="R68" s="1068">
        <v>15.34</v>
      </c>
      <c r="S68" s="1084">
        <f t="shared" si="23"/>
        <v>1057084.257666667</v>
      </c>
      <c r="T68" s="1085">
        <f t="shared" si="24"/>
        <v>-9.7647058823526645E-2</v>
      </c>
      <c r="U68" s="1074" t="s">
        <v>1526</v>
      </c>
      <c r="V68" s="1075" t="s">
        <v>1527</v>
      </c>
      <c r="W68" s="1076">
        <f t="shared" si="21"/>
        <v>1171475.38333333</v>
      </c>
      <c r="X68" s="1078">
        <f t="shared" si="22"/>
        <v>0</v>
      </c>
      <c r="Y68" s="1057"/>
      <c r="Z68" s="1051"/>
      <c r="AA68" s="1051"/>
      <c r="AB68" s="1051"/>
      <c r="AC68" s="1083"/>
      <c r="AD68" s="1090"/>
      <c r="AE68" s="1089"/>
      <c r="AF68" s="1051"/>
      <c r="AG68" s="1051"/>
      <c r="AH68" s="1051"/>
    </row>
    <row r="69" spans="1:65" s="1092" customFormat="1" ht="14.85" customHeight="1" outlineLevel="1">
      <c r="A69" s="1057"/>
      <c r="B69" s="1051" t="s">
        <v>1196</v>
      </c>
      <c r="C69" s="1064" t="s">
        <v>1197</v>
      </c>
      <c r="D69" s="1065" t="s">
        <v>583</v>
      </c>
      <c r="E69" s="1064" t="s">
        <v>1198</v>
      </c>
      <c r="F69" s="1066">
        <v>42122</v>
      </c>
      <c r="G69" s="1086">
        <v>8</v>
      </c>
      <c r="H69" s="1087">
        <v>10</v>
      </c>
      <c r="I69" s="1087">
        <v>12</v>
      </c>
      <c r="J69" s="1086">
        <v>8.23</v>
      </c>
      <c r="K69" s="1082">
        <f>+M69-L69</f>
        <v>6154.3289999999997</v>
      </c>
      <c r="L69" s="1081">
        <v>3000</v>
      </c>
      <c r="M69" s="1081">
        <v>9154.3289999999997</v>
      </c>
      <c r="N69" s="1055">
        <f>+G69*K69</f>
        <v>49234.631999999998</v>
      </c>
      <c r="O69" s="1083">
        <f t="shared" si="19"/>
        <v>24000</v>
      </c>
      <c r="P69" s="1055">
        <f t="shared" si="20"/>
        <v>73234.631999999998</v>
      </c>
      <c r="Q69" s="1055"/>
      <c r="R69" s="1068">
        <v>8.23</v>
      </c>
      <c r="S69" s="1084">
        <f t="shared" si="23"/>
        <v>75340.127670000002</v>
      </c>
      <c r="T69" s="1085">
        <f t="shared" si="24"/>
        <v>2.8750000000000053E-2</v>
      </c>
      <c r="U69" s="1091" t="s">
        <v>1199</v>
      </c>
      <c r="V69" s="1075" t="s">
        <v>1200</v>
      </c>
      <c r="W69" s="1076">
        <f t="shared" si="21"/>
        <v>73234.631999999998</v>
      </c>
      <c r="X69" s="1078">
        <f t="shared" si="22"/>
        <v>0</v>
      </c>
      <c r="AC69" s="1093"/>
      <c r="AD69" s="1090"/>
      <c r="AE69" s="1089"/>
    </row>
    <row r="70" spans="1:65" s="1092" customFormat="1" ht="14.85" customHeight="1" outlineLevel="1">
      <c r="A70" s="1097"/>
      <c r="B70" s="1051" t="s">
        <v>1254</v>
      </c>
      <c r="C70" s="1064" t="s">
        <v>1255</v>
      </c>
      <c r="D70" s="1065" t="s">
        <v>1098</v>
      </c>
      <c r="E70" s="1064" t="s">
        <v>1256</v>
      </c>
      <c r="F70" s="1066">
        <v>41991</v>
      </c>
      <c r="G70" s="1086">
        <v>24</v>
      </c>
      <c r="H70" s="1087">
        <v>15</v>
      </c>
      <c r="I70" s="1087">
        <v>18</v>
      </c>
      <c r="J70" s="1086">
        <v>50.14</v>
      </c>
      <c r="K70" s="1082">
        <f>+M70-L70</f>
        <v>65143.189000000006</v>
      </c>
      <c r="L70" s="1081">
        <v>12676.353999999999</v>
      </c>
      <c r="M70" s="1081">
        <v>77819.543000000005</v>
      </c>
      <c r="N70" s="1055">
        <f>+G70*K70</f>
        <v>1563436.5360000001</v>
      </c>
      <c r="O70" s="1083">
        <f t="shared" si="19"/>
        <v>304232.49599999998</v>
      </c>
      <c r="P70" s="1055">
        <f t="shared" si="20"/>
        <v>1867669.0320000001</v>
      </c>
      <c r="Q70" s="1055"/>
      <c r="R70" s="1086">
        <v>50.14</v>
      </c>
      <c r="S70" s="1114">
        <f t="shared" si="23"/>
        <v>3901871.8860200001</v>
      </c>
      <c r="T70" s="1085">
        <f t="shared" si="24"/>
        <v>1.0891666666666664</v>
      </c>
      <c r="U70" s="1075" t="s">
        <v>1257</v>
      </c>
      <c r="V70" s="1075" t="s">
        <v>1258</v>
      </c>
      <c r="W70" s="1076">
        <f t="shared" si="21"/>
        <v>1867669.0320000001</v>
      </c>
      <c r="X70" s="1078">
        <f t="shared" si="22"/>
        <v>0</v>
      </c>
      <c r="AC70" s="1093"/>
      <c r="AD70" s="1090"/>
      <c r="AE70" s="1089"/>
    </row>
    <row r="71" spans="1:65" s="1092" customFormat="1" ht="14.85" customHeight="1" outlineLevel="1">
      <c r="A71" s="1057"/>
      <c r="B71" s="1051"/>
      <c r="C71" s="1064"/>
      <c r="D71" s="1065"/>
      <c r="E71" s="1064"/>
      <c r="F71" s="1066"/>
      <c r="G71" s="1086"/>
      <c r="H71" s="1087"/>
      <c r="I71" s="1087"/>
      <c r="J71" s="1086"/>
      <c r="K71" s="1082"/>
      <c r="L71" s="1083"/>
      <c r="M71" s="1083"/>
      <c r="N71" s="1055"/>
      <c r="O71" s="1083"/>
      <c r="P71" s="1055"/>
      <c r="Q71" s="1055"/>
      <c r="R71" s="1068"/>
      <c r="S71" s="1084"/>
      <c r="T71" s="1085"/>
      <c r="U71" s="1091"/>
      <c r="V71" s="1075"/>
      <c r="W71" s="1076"/>
      <c r="X71" s="1078"/>
      <c r="AC71" s="1093"/>
      <c r="AD71" s="1090"/>
      <c r="AE71" s="1089"/>
    </row>
    <row r="72" spans="1:65" s="1092" customFormat="1" ht="14.85" customHeight="1" outlineLevel="1">
      <c r="A72" s="1057"/>
      <c r="B72" s="1098" t="s">
        <v>111</v>
      </c>
      <c r="C72" s="1099"/>
      <c r="D72" s="1099"/>
      <c r="E72" s="1099"/>
      <c r="F72" s="1099"/>
      <c r="G72" s="1099"/>
      <c r="H72" s="1099"/>
      <c r="I72" s="1099"/>
      <c r="J72" s="1099"/>
      <c r="K72" s="1099"/>
      <c r="L72" s="1099"/>
      <c r="M72" s="1099"/>
      <c r="N72" s="1100">
        <f>MAX(N49:N70)</f>
        <v>1563436.5360000001</v>
      </c>
      <c r="O72" s="1100"/>
      <c r="P72" s="1101">
        <f>MAX(P49:P70)</f>
        <v>1867669.0320000001</v>
      </c>
      <c r="Q72" s="1055"/>
      <c r="R72" s="1102">
        <f>MAX(R51:R69)</f>
        <v>25.87</v>
      </c>
      <c r="S72" s="1084"/>
      <c r="T72" s="1085"/>
      <c r="U72" s="1091"/>
      <c r="V72" s="1075"/>
      <c r="W72" s="1076"/>
      <c r="X72" s="1078"/>
      <c r="AC72" s="1093"/>
      <c r="AD72" s="1090"/>
      <c r="AE72" s="1089"/>
    </row>
    <row r="73" spans="1:65" s="1092" customFormat="1" ht="14.85" customHeight="1" outlineLevel="1">
      <c r="A73" s="1057"/>
      <c r="B73" s="1103" t="s">
        <v>115</v>
      </c>
      <c r="C73" s="1104"/>
      <c r="D73" s="1104"/>
      <c r="E73" s="1104"/>
      <c r="F73" s="1104"/>
      <c r="G73" s="1104"/>
      <c r="H73" s="1104"/>
      <c r="I73" s="1104"/>
      <c r="J73" s="1104"/>
      <c r="K73" s="1104"/>
      <c r="L73" s="1104"/>
      <c r="M73" s="1104"/>
      <c r="N73" s="1105">
        <f>_xlfn.QUARTILE.INC(N49:N70,3)</f>
        <v>249114.93300000002</v>
      </c>
      <c r="O73" s="1105"/>
      <c r="P73" s="1106">
        <f>_xlfn.QUARTILE.INC(P49:P70,3)</f>
        <v>321499.93300000002</v>
      </c>
      <c r="Q73" s="1055"/>
      <c r="R73" s="1107">
        <f>_xlfn.QUARTILE.INC(R51:R69,3)</f>
        <v>15.234999999999999</v>
      </c>
      <c r="S73" s="1084"/>
      <c r="T73" s="1085"/>
      <c r="U73" s="1091"/>
      <c r="V73" s="1075"/>
      <c r="W73" s="1076"/>
      <c r="X73" s="1078"/>
      <c r="AC73" s="1093"/>
      <c r="AD73" s="1090"/>
      <c r="AE73" s="1089"/>
    </row>
    <row r="74" spans="1:65" s="1092" customFormat="1" ht="14.85" customHeight="1" outlineLevel="1">
      <c r="A74" s="1057"/>
      <c r="B74" s="1103" t="s">
        <v>43</v>
      </c>
      <c r="C74" s="1104"/>
      <c r="D74" s="1104"/>
      <c r="E74" s="1104"/>
      <c r="F74" s="1104"/>
      <c r="G74" s="1104"/>
      <c r="H74" s="1104"/>
      <c r="I74" s="1104"/>
      <c r="J74" s="1104"/>
      <c r="K74" s="1104"/>
      <c r="L74" s="1104"/>
      <c r="M74" s="1104"/>
      <c r="N74" s="1105">
        <f>AVERAGE(N49:N70)</f>
        <v>284454.70512878773</v>
      </c>
      <c r="O74" s="1105"/>
      <c r="P74" s="1106">
        <f>AVERAGE(P49:P70)</f>
        <v>361738.90921969677</v>
      </c>
      <c r="Q74" s="1055"/>
      <c r="R74" s="1107">
        <f>AVERAGE(R51:R69)</f>
        <v>13.43363947368421</v>
      </c>
      <c r="S74" s="1084"/>
      <c r="T74" s="1085"/>
      <c r="U74" s="1091"/>
      <c r="V74" s="1075"/>
      <c r="W74" s="1076"/>
      <c r="X74" s="1078"/>
      <c r="AC74" s="1093"/>
      <c r="AD74" s="1090"/>
      <c r="AE74" s="1089"/>
    </row>
    <row r="75" spans="1:65" s="1092" customFormat="1" ht="14.85" customHeight="1" outlineLevel="1">
      <c r="A75" s="1057"/>
      <c r="B75" s="1103" t="s">
        <v>44</v>
      </c>
      <c r="C75" s="1104"/>
      <c r="D75" s="1104"/>
      <c r="E75" s="1104"/>
      <c r="F75" s="1104"/>
      <c r="G75" s="1104"/>
      <c r="H75" s="1104"/>
      <c r="I75" s="1104"/>
      <c r="J75" s="1104"/>
      <c r="K75" s="1104"/>
      <c r="L75" s="1104"/>
      <c r="M75" s="1104"/>
      <c r="N75" s="1105">
        <f>MEDIAN(N49:N70)</f>
        <v>197884.44</v>
      </c>
      <c r="O75" s="1105"/>
      <c r="P75" s="1106">
        <f>MEDIAN(P49:P70)</f>
        <v>267409.86249999999</v>
      </c>
      <c r="Q75" s="1055"/>
      <c r="R75" s="1107">
        <f>MEDIAN(R51:R69)</f>
        <v>13.14</v>
      </c>
      <c r="S75" s="1084"/>
      <c r="T75" s="1085"/>
      <c r="U75" s="1091"/>
      <c r="V75" s="1075"/>
      <c r="W75" s="1076"/>
      <c r="X75" s="1078"/>
      <c r="AC75" s="1093"/>
      <c r="AD75" s="1090"/>
      <c r="AE75" s="1089"/>
    </row>
    <row r="76" spans="1:65" s="1092" customFormat="1" ht="14.85" customHeight="1" outlineLevel="1">
      <c r="A76" s="1057"/>
      <c r="B76" s="1103" t="s">
        <v>114</v>
      </c>
      <c r="C76" s="1104"/>
      <c r="D76" s="1104"/>
      <c r="E76" s="1104"/>
      <c r="F76" s="1104"/>
      <c r="G76" s="1104"/>
      <c r="H76" s="1104"/>
      <c r="I76" s="1104"/>
      <c r="J76" s="1104"/>
      <c r="K76" s="1104"/>
      <c r="L76" s="1104"/>
      <c r="M76" s="1104"/>
      <c r="N76" s="1105">
        <f>_xlfn.QUARTILE.INC(N49:N70,1)</f>
        <v>108055.34699999999</v>
      </c>
      <c r="O76" s="1105"/>
      <c r="P76" s="1106">
        <f>_xlfn.QUARTILE.INC(P49:P70,1)</f>
        <v>179900.81699999998</v>
      </c>
      <c r="Q76" s="1055"/>
      <c r="R76" s="1107">
        <f>_xlfn.QUARTILE.INC(R51:R69,1)</f>
        <v>10.374575</v>
      </c>
      <c r="S76" s="1084"/>
      <c r="T76" s="1085"/>
      <c r="U76" s="1091"/>
      <c r="V76" s="1075"/>
      <c r="W76" s="1076"/>
      <c r="X76" s="1078"/>
      <c r="AC76" s="1093"/>
      <c r="AD76" s="1090"/>
      <c r="AE76" s="1089"/>
    </row>
    <row r="77" spans="1:65" s="1092" customFormat="1" ht="14.85" customHeight="1" outlineLevel="1">
      <c r="A77" s="1057"/>
      <c r="B77" s="1108" t="s">
        <v>112</v>
      </c>
      <c r="C77" s="1109"/>
      <c r="D77" s="1109"/>
      <c r="E77" s="1109"/>
      <c r="F77" s="1109"/>
      <c r="G77" s="1109"/>
      <c r="H77" s="1109"/>
      <c r="I77" s="1109"/>
      <c r="J77" s="1109"/>
      <c r="K77" s="1109"/>
      <c r="L77" s="1109"/>
      <c r="M77" s="1109"/>
      <c r="N77" s="1110">
        <f>MIN(N49:N70)</f>
        <v>47690.983999999997</v>
      </c>
      <c r="O77" s="1110"/>
      <c r="P77" s="1111">
        <f>MIN(P49:P70)</f>
        <v>52970.983999999997</v>
      </c>
      <c r="Q77" s="1055"/>
      <c r="R77" s="1112">
        <f>MIN(R51:R69)</f>
        <v>3.35</v>
      </c>
      <c r="S77" s="1084"/>
      <c r="T77" s="1085"/>
      <c r="U77" s="1091"/>
      <c r="V77" s="1075"/>
      <c r="W77" s="1076"/>
      <c r="X77" s="1078"/>
      <c r="AC77" s="1093"/>
      <c r="AD77" s="1090"/>
      <c r="AE77" s="1089"/>
    </row>
    <row r="78" spans="1:65" s="1092" customFormat="1" ht="14.85" customHeight="1" outlineLevel="1">
      <c r="A78" s="1057"/>
      <c r="B78" s="1051"/>
      <c r="C78" s="1064"/>
      <c r="D78" s="1065"/>
      <c r="E78" s="1064"/>
      <c r="F78" s="1066"/>
      <c r="G78" s="1086"/>
      <c r="H78" s="1087"/>
      <c r="I78" s="1087"/>
      <c r="J78" s="1086"/>
      <c r="K78" s="1082"/>
      <c r="L78" s="1083"/>
      <c r="M78" s="1083"/>
      <c r="N78" s="1055"/>
      <c r="O78" s="1083"/>
      <c r="P78" s="1055"/>
      <c r="Q78" s="1055"/>
      <c r="R78" s="1068"/>
      <c r="S78" s="1084"/>
      <c r="T78" s="1085"/>
      <c r="U78" s="1091"/>
      <c r="V78" s="1075"/>
      <c r="W78" s="1076"/>
      <c r="X78" s="1078"/>
      <c r="AC78" s="1093"/>
      <c r="AD78" s="1090"/>
      <c r="AE78" s="1089"/>
    </row>
    <row r="79" spans="1:65" s="1092" customFormat="1" ht="14.85" customHeight="1" outlineLevel="1">
      <c r="A79" s="1057"/>
      <c r="B79" s="1113" t="s">
        <v>1528</v>
      </c>
      <c r="C79" s="1064"/>
      <c r="D79" s="1065"/>
      <c r="E79" s="1064"/>
      <c r="F79" s="1066"/>
      <c r="G79" s="1086"/>
      <c r="H79" s="1087"/>
      <c r="I79" s="1087"/>
      <c r="J79" s="1086"/>
      <c r="K79" s="1082"/>
      <c r="L79" s="1083"/>
      <c r="M79" s="1083"/>
      <c r="N79" s="1055"/>
      <c r="O79" s="1083"/>
      <c r="P79" s="1055"/>
      <c r="Q79" s="1055"/>
      <c r="R79" s="1068"/>
      <c r="S79" s="1084"/>
      <c r="T79" s="1085"/>
      <c r="U79" s="1091"/>
      <c r="V79" s="1075"/>
      <c r="W79" s="1076"/>
      <c r="X79" s="1078"/>
      <c r="AC79" s="1093"/>
      <c r="AD79" s="1090"/>
      <c r="AE79" s="1089"/>
    </row>
    <row r="80" spans="1:65" s="1057" customFormat="1" ht="14.85" customHeight="1" outlineLevel="1">
      <c r="B80" s="1051" t="s">
        <v>1535</v>
      </c>
      <c r="C80" s="1064" t="s">
        <v>1536</v>
      </c>
      <c r="D80" s="1065" t="s">
        <v>1164</v>
      </c>
      <c r="E80" s="1064" t="s">
        <v>1537</v>
      </c>
      <c r="F80" s="1066">
        <v>42760</v>
      </c>
      <c r="G80" s="1067">
        <v>15</v>
      </c>
      <c r="H80" s="1068">
        <v>14</v>
      </c>
      <c r="I80" s="1068">
        <v>16</v>
      </c>
      <c r="J80" s="1067">
        <v>13.99</v>
      </c>
      <c r="K80" s="1082">
        <f t="shared" ref="K80:K98" si="25">+M80-L80</f>
        <v>23181.261999999999</v>
      </c>
      <c r="L80" s="1081">
        <f>6450000/1000</f>
        <v>6450</v>
      </c>
      <c r="M80" s="1081">
        <f>29631262/1000</f>
        <v>29631.261999999999</v>
      </c>
      <c r="N80" s="1055">
        <f t="shared" ref="N80:N98" si="26">+G80*K80</f>
        <v>347718.93</v>
      </c>
      <c r="O80" s="1083">
        <f>96750000/1000</f>
        <v>96750</v>
      </c>
      <c r="P80" s="1055">
        <f t="shared" ref="P80:P99" si="27">+N80+O80</f>
        <v>444468.93</v>
      </c>
      <c r="Q80" s="1055"/>
      <c r="R80" s="1068">
        <v>13.99</v>
      </c>
      <c r="S80" s="1084">
        <f>414541355.38/1000</f>
        <v>414541.35538000002</v>
      </c>
      <c r="T80" s="1085">
        <v>-6.7333333333333356E-2</v>
      </c>
      <c r="U80" s="1088" t="s">
        <v>1537</v>
      </c>
      <c r="V80" s="1075"/>
      <c r="W80" s="1076">
        <f t="shared" ref="W80:W99" si="28">+N80+O80</f>
        <v>444468.93</v>
      </c>
      <c r="X80" s="1078">
        <f t="shared" ref="X80:X99" si="29">+P80-W80</f>
        <v>0</v>
      </c>
      <c r="Y80" s="1089"/>
      <c r="AE80" s="1057" t="s">
        <v>1539</v>
      </c>
      <c r="AF80" s="1057" t="s">
        <v>1540</v>
      </c>
      <c r="AG80" s="1057" t="s">
        <v>1541</v>
      </c>
      <c r="AI80" s="1057">
        <v>6450000</v>
      </c>
      <c r="AJ80" s="1057">
        <v>6450000</v>
      </c>
      <c r="AK80" s="1057">
        <v>29631262</v>
      </c>
      <c r="AM80" s="1057">
        <f>AI80-AO80</f>
        <v>0</v>
      </c>
      <c r="AN80" s="1057">
        <f>AK80-AQ80</f>
        <v>0</v>
      </c>
      <c r="AO80" s="1057">
        <v>6450000</v>
      </c>
      <c r="AP80" s="1057">
        <f>AO80+AS80</f>
        <v>7417500</v>
      </c>
      <c r="AQ80" s="1057">
        <v>29631262</v>
      </c>
      <c r="AR80" s="1057">
        <f>AQ80+AS80</f>
        <v>30598762</v>
      </c>
      <c r="AS80" s="1057">
        <v>967500</v>
      </c>
      <c r="AT80" s="1057">
        <f>AU80*J80</f>
        <v>414541327.40000004</v>
      </c>
      <c r="AU80" s="1057">
        <v>29631260</v>
      </c>
      <c r="AV80" s="1057">
        <f>+J80*M80</f>
        <v>414541.35537999996</v>
      </c>
      <c r="AW80" s="1057">
        <v>42761</v>
      </c>
      <c r="AX80" s="1057">
        <f>+AW80+30</f>
        <v>42791</v>
      </c>
      <c r="AY80" s="1057">
        <f>AW80+90</f>
        <v>42851</v>
      </c>
      <c r="AZ80" s="1057">
        <v>29631260</v>
      </c>
      <c r="BA80" s="1057">
        <v>13.62</v>
      </c>
      <c r="BB80" s="1057">
        <f>BA80*AZ80</f>
        <v>403577761.19999999</v>
      </c>
      <c r="BC80" s="1057" t="s">
        <v>1542</v>
      </c>
      <c r="BD80" s="1057">
        <v>38910000</v>
      </c>
      <c r="BE80" s="1057">
        <v>0</v>
      </c>
      <c r="BF80" s="1057" t="e">
        <f ca="1">_xll.ciqfunctions.udf.CIQ(C80, "IQ_MARKETCAP", $BF$1)*1000000</f>
        <v>#NAME?</v>
      </c>
      <c r="BG80" s="1057">
        <v>123139750</v>
      </c>
      <c r="BH80" s="1057" t="e">
        <f ca="1">(BF80-BG80)/BF80</f>
        <v>#NAME?</v>
      </c>
      <c r="BJ80" s="1057" t="s">
        <v>1543</v>
      </c>
      <c r="BM80" s="1057" t="b">
        <f>IF(ABS(O80-P80)&lt;100,TRUE,FALSE)</f>
        <v>0</v>
      </c>
    </row>
    <row r="81" spans="1:34" s="1057" customFormat="1" ht="14.85" customHeight="1" outlineLevel="1">
      <c r="B81" s="1051" t="s">
        <v>1014</v>
      </c>
      <c r="C81" s="1064" t="s">
        <v>1015</v>
      </c>
      <c r="D81" s="1065" t="s">
        <v>569</v>
      </c>
      <c r="E81" s="1064" t="s">
        <v>1016</v>
      </c>
      <c r="F81" s="1066">
        <v>42586</v>
      </c>
      <c r="G81" s="1067">
        <v>10</v>
      </c>
      <c r="H81" s="1068">
        <v>11</v>
      </c>
      <c r="I81" s="1068">
        <v>13</v>
      </c>
      <c r="J81" s="1067">
        <v>13.23</v>
      </c>
      <c r="K81" s="1082">
        <f t="shared" si="25"/>
        <v>5431.6149999999998</v>
      </c>
      <c r="L81" s="1081">
        <v>3000</v>
      </c>
      <c r="M81" s="1081">
        <v>8431.6149999999998</v>
      </c>
      <c r="N81" s="1055">
        <f t="shared" si="26"/>
        <v>54316.149999999994</v>
      </c>
      <c r="O81" s="1083">
        <f t="shared" ref="O81:O99" si="30">+G81*L81</f>
        <v>30000</v>
      </c>
      <c r="P81" s="1055">
        <f t="shared" si="27"/>
        <v>84316.15</v>
      </c>
      <c r="Q81" s="1055"/>
      <c r="R81" s="1068">
        <v>13.23</v>
      </c>
      <c r="S81" s="1084">
        <f t="shared" ref="S81:S99" si="31">R81*M81</f>
        <v>111550.26645</v>
      </c>
      <c r="T81" s="1085">
        <f t="shared" ref="T81:T99" si="32">S81/P81-1</f>
        <v>0.32299999999999995</v>
      </c>
      <c r="U81" s="1088" t="s">
        <v>1017</v>
      </c>
      <c r="V81" s="1075" t="s">
        <v>1018</v>
      </c>
      <c r="W81" s="1076">
        <f t="shared" si="28"/>
        <v>84316.15</v>
      </c>
      <c r="X81" s="1078">
        <f t="shared" si="29"/>
        <v>0</v>
      </c>
      <c r="Y81" s="1089"/>
    </row>
    <row r="82" spans="1:34" s="1057" customFormat="1" ht="14.85" customHeight="1" outlineLevel="1">
      <c r="B82" s="1051" t="s">
        <v>1019</v>
      </c>
      <c r="C82" s="1064" t="s">
        <v>1020</v>
      </c>
      <c r="D82" s="1065" t="s">
        <v>569</v>
      </c>
      <c r="E82" s="1064" t="s">
        <v>1021</v>
      </c>
      <c r="F82" s="1066">
        <v>42577</v>
      </c>
      <c r="G82" s="1086">
        <v>12</v>
      </c>
      <c r="H82" s="1087">
        <v>0</v>
      </c>
      <c r="I82" s="1087">
        <v>0</v>
      </c>
      <c r="J82" s="1086">
        <v>10.06</v>
      </c>
      <c r="K82" s="1082">
        <f t="shared" si="25"/>
        <v>38620.332000000002</v>
      </c>
      <c r="L82" s="1081">
        <v>6250</v>
      </c>
      <c r="M82" s="1081">
        <v>44870.332000000002</v>
      </c>
      <c r="N82" s="1055">
        <f t="shared" si="26"/>
        <v>463443.98400000005</v>
      </c>
      <c r="O82" s="1083">
        <f t="shared" si="30"/>
        <v>75000</v>
      </c>
      <c r="P82" s="1055">
        <f t="shared" si="27"/>
        <v>538443.98400000005</v>
      </c>
      <c r="Q82" s="1055"/>
      <c r="R82" s="1068">
        <v>10.06</v>
      </c>
      <c r="S82" s="1084">
        <f t="shared" si="31"/>
        <v>451395.53992000007</v>
      </c>
      <c r="T82" s="1085">
        <f t="shared" si="32"/>
        <v>-0.16166666666666663</v>
      </c>
      <c r="U82" s="1088" t="s">
        <v>1022</v>
      </c>
      <c r="V82" s="1075" t="s">
        <v>1023</v>
      </c>
      <c r="W82" s="1076">
        <f t="shared" si="28"/>
        <v>538443.98400000005</v>
      </c>
      <c r="X82" s="1078">
        <f t="shared" si="29"/>
        <v>0</v>
      </c>
      <c r="Y82" s="1089"/>
    </row>
    <row r="83" spans="1:34" s="1057" customFormat="1" ht="14.85" customHeight="1" outlineLevel="1">
      <c r="B83" s="1115" t="s">
        <v>1053</v>
      </c>
      <c r="C83" s="1064" t="s">
        <v>1054</v>
      </c>
      <c r="D83" s="1065" t="s">
        <v>569</v>
      </c>
      <c r="E83" s="1064" t="s">
        <v>1055</v>
      </c>
      <c r="F83" s="1066">
        <v>42495</v>
      </c>
      <c r="G83" s="1086">
        <v>12</v>
      </c>
      <c r="H83" s="1087">
        <v>13</v>
      </c>
      <c r="I83" s="1087">
        <v>15</v>
      </c>
      <c r="J83" s="1086">
        <v>11.2</v>
      </c>
      <c r="K83" s="1082">
        <f t="shared" si="25"/>
        <v>6171.0910000000003</v>
      </c>
      <c r="L83" s="1081">
        <v>920</v>
      </c>
      <c r="M83" s="1081">
        <v>7091.0910000000003</v>
      </c>
      <c r="N83" s="1055">
        <f t="shared" si="26"/>
        <v>74053.092000000004</v>
      </c>
      <c r="O83" s="1083">
        <f t="shared" si="30"/>
        <v>11040</v>
      </c>
      <c r="P83" s="1055">
        <f t="shared" si="27"/>
        <v>85093.092000000004</v>
      </c>
      <c r="Q83" s="1055"/>
      <c r="R83" s="1068">
        <v>11.2</v>
      </c>
      <c r="S83" s="1084">
        <f t="shared" si="31"/>
        <v>79420.219199999992</v>
      </c>
      <c r="T83" s="1085">
        <f t="shared" si="32"/>
        <v>-6.6666666666666763E-2</v>
      </c>
      <c r="U83" s="1074" t="s">
        <v>1056</v>
      </c>
      <c r="V83" s="1075" t="s">
        <v>1544</v>
      </c>
      <c r="W83" s="1076">
        <f t="shared" si="28"/>
        <v>85093.092000000004</v>
      </c>
      <c r="X83" s="1078">
        <f t="shared" si="29"/>
        <v>0</v>
      </c>
      <c r="AC83" s="1083"/>
      <c r="AD83" s="1090"/>
      <c r="AE83" s="1089"/>
    </row>
    <row r="84" spans="1:34" s="1051" customFormat="1" ht="14.85" customHeight="1" outlineLevel="1">
      <c r="A84" s="1057"/>
      <c r="B84" s="1051" t="s">
        <v>1102</v>
      </c>
      <c r="C84" s="1064" t="s">
        <v>1103</v>
      </c>
      <c r="D84" s="1065" t="s">
        <v>569</v>
      </c>
      <c r="E84" s="1064" t="s">
        <v>1104</v>
      </c>
      <c r="F84" s="1066">
        <v>42291</v>
      </c>
      <c r="G84" s="1086">
        <v>6.5</v>
      </c>
      <c r="H84" s="1087">
        <v>6</v>
      </c>
      <c r="I84" s="1087">
        <v>7</v>
      </c>
      <c r="J84" s="1086">
        <v>3.13</v>
      </c>
      <c r="K84" s="1082">
        <f t="shared" si="25"/>
        <v>4630.143</v>
      </c>
      <c r="L84" s="1081">
        <v>4000</v>
      </c>
      <c r="M84" s="1081">
        <v>8630.143</v>
      </c>
      <c r="N84" s="1055">
        <f t="shared" si="26"/>
        <v>30095.929499999998</v>
      </c>
      <c r="O84" s="1083">
        <f t="shared" si="30"/>
        <v>26000</v>
      </c>
      <c r="P84" s="1055">
        <f t="shared" si="27"/>
        <v>56095.929499999998</v>
      </c>
      <c r="Q84" s="1055"/>
      <c r="R84" s="1068">
        <v>3.13</v>
      </c>
      <c r="S84" s="1084">
        <f t="shared" si="31"/>
        <v>27012.347589999998</v>
      </c>
      <c r="T84" s="1085">
        <f t="shared" si="32"/>
        <v>-0.51846153846153853</v>
      </c>
      <c r="U84" s="1074" t="s">
        <v>1105</v>
      </c>
      <c r="V84" s="1075" t="s">
        <v>1106</v>
      </c>
      <c r="W84" s="1076">
        <f t="shared" si="28"/>
        <v>56095.929499999998</v>
      </c>
      <c r="X84" s="1078">
        <f t="shared" si="29"/>
        <v>0</v>
      </c>
      <c r="Y84" s="1057"/>
      <c r="AC84" s="1083"/>
      <c r="AD84" s="1090"/>
      <c r="AE84" s="1089"/>
    </row>
    <row r="85" spans="1:34" s="1051" customFormat="1" ht="14.85" customHeight="1" outlineLevel="1">
      <c r="A85" s="1057"/>
      <c r="B85" s="1051" t="s">
        <v>1112</v>
      </c>
      <c r="C85" s="1064" t="s">
        <v>1113</v>
      </c>
      <c r="D85" s="1065" t="s">
        <v>569</v>
      </c>
      <c r="E85" s="1064" t="s">
        <v>1114</v>
      </c>
      <c r="F85" s="1066">
        <v>42283</v>
      </c>
      <c r="G85" s="1086">
        <v>11</v>
      </c>
      <c r="H85" s="1087">
        <v>14</v>
      </c>
      <c r="I85" s="1087">
        <v>16</v>
      </c>
      <c r="J85" s="1086">
        <v>14.67</v>
      </c>
      <c r="K85" s="1082">
        <f t="shared" si="25"/>
        <v>14407.503000000001</v>
      </c>
      <c r="L85" s="1081">
        <v>5000</v>
      </c>
      <c r="M85" s="1081">
        <v>19407.503000000001</v>
      </c>
      <c r="N85" s="1055">
        <f t="shared" si="26"/>
        <v>158482.533</v>
      </c>
      <c r="O85" s="1083">
        <f t="shared" si="30"/>
        <v>55000</v>
      </c>
      <c r="P85" s="1055">
        <f t="shared" si="27"/>
        <v>213482.533</v>
      </c>
      <c r="Q85" s="1055"/>
      <c r="R85" s="1068">
        <v>14.67</v>
      </c>
      <c r="S85" s="1084">
        <f t="shared" si="31"/>
        <v>284708.06901000004</v>
      </c>
      <c r="T85" s="1085">
        <f t="shared" si="32"/>
        <v>0.33363636363636373</v>
      </c>
      <c r="U85" s="1074" t="s">
        <v>1115</v>
      </c>
      <c r="V85" s="1075" t="s">
        <v>1116</v>
      </c>
      <c r="W85" s="1076">
        <f t="shared" si="28"/>
        <v>213482.533</v>
      </c>
      <c r="X85" s="1078">
        <f t="shared" si="29"/>
        <v>0</v>
      </c>
      <c r="Y85" s="1057"/>
      <c r="AC85" s="1083"/>
      <c r="AD85" s="1090"/>
      <c r="AE85" s="1089"/>
    </row>
    <row r="86" spans="1:34" s="1051" customFormat="1" ht="14.85" customHeight="1" outlineLevel="1">
      <c r="A86" s="1057"/>
      <c r="B86" s="1051" t="s">
        <v>1121</v>
      </c>
      <c r="C86" s="1064" t="s">
        <v>1122</v>
      </c>
      <c r="D86" s="1065" t="s">
        <v>569</v>
      </c>
      <c r="E86" s="1064" t="s">
        <v>1123</v>
      </c>
      <c r="F86" s="1066">
        <v>42277</v>
      </c>
      <c r="G86" s="1086">
        <v>11</v>
      </c>
      <c r="H86" s="1087">
        <v>14</v>
      </c>
      <c r="I86" s="1087">
        <v>16</v>
      </c>
      <c r="J86" s="1086">
        <v>17.88</v>
      </c>
      <c r="K86" s="1082">
        <f t="shared" si="25"/>
        <v>20181.25</v>
      </c>
      <c r="L86" s="1081">
        <v>7315.1509999999998</v>
      </c>
      <c r="M86" s="1081">
        <v>27496.401000000002</v>
      </c>
      <c r="N86" s="1055">
        <f t="shared" si="26"/>
        <v>221993.75</v>
      </c>
      <c r="O86" s="1083">
        <f t="shared" si="30"/>
        <v>80466.660999999993</v>
      </c>
      <c r="P86" s="1055">
        <f t="shared" si="27"/>
        <v>302460.41099999996</v>
      </c>
      <c r="Q86" s="1055"/>
      <c r="R86" s="1068">
        <v>17.88</v>
      </c>
      <c r="S86" s="1084">
        <f t="shared" si="31"/>
        <v>491635.64987999998</v>
      </c>
      <c r="T86" s="1085">
        <f t="shared" si="32"/>
        <v>0.62545454545454549</v>
      </c>
      <c r="U86" s="1074" t="s">
        <v>1124</v>
      </c>
      <c r="V86" s="1075" t="s">
        <v>1125</v>
      </c>
      <c r="W86" s="1076">
        <f t="shared" si="28"/>
        <v>302460.41099999996</v>
      </c>
      <c r="X86" s="1078">
        <f t="shared" si="29"/>
        <v>0</v>
      </c>
      <c r="Y86" s="1057"/>
      <c r="AC86" s="1083"/>
      <c r="AD86" s="1090"/>
      <c r="AE86" s="1089"/>
    </row>
    <row r="87" spans="1:34" s="1051" customFormat="1" ht="14.85" customHeight="1" outlineLevel="1">
      <c r="A87" s="1057"/>
      <c r="B87" s="1051" t="s">
        <v>1127</v>
      </c>
      <c r="C87" s="1064" t="s">
        <v>1128</v>
      </c>
      <c r="D87" s="1065" t="s">
        <v>569</v>
      </c>
      <c r="E87" s="1064" t="s">
        <v>1129</v>
      </c>
      <c r="F87" s="1066">
        <v>42227</v>
      </c>
      <c r="G87" s="1086">
        <v>20</v>
      </c>
      <c r="H87" s="1087">
        <v>16</v>
      </c>
      <c r="I87" s="1087">
        <v>18</v>
      </c>
      <c r="J87" s="1086">
        <v>52.72</v>
      </c>
      <c r="K87" s="1082">
        <f t="shared" si="25"/>
        <v>21808.456999999999</v>
      </c>
      <c r="L87" s="1081">
        <v>6000</v>
      </c>
      <c r="M87" s="1081">
        <v>27808.456999999999</v>
      </c>
      <c r="N87" s="1055">
        <f t="shared" si="26"/>
        <v>436169.13999999996</v>
      </c>
      <c r="O87" s="1083">
        <f t="shared" si="30"/>
        <v>120000</v>
      </c>
      <c r="P87" s="1055">
        <f t="shared" si="27"/>
        <v>556169.1399999999</v>
      </c>
      <c r="Q87" s="1055"/>
      <c r="R87" s="1068">
        <v>52.72</v>
      </c>
      <c r="S87" s="1084">
        <f t="shared" si="31"/>
        <v>1466061.85304</v>
      </c>
      <c r="T87" s="1085">
        <f t="shared" si="32"/>
        <v>1.6360000000000006</v>
      </c>
      <c r="U87" s="1091" t="s">
        <v>1130</v>
      </c>
      <c r="V87" s="1075" t="s">
        <v>1131</v>
      </c>
      <c r="W87" s="1076">
        <f t="shared" si="28"/>
        <v>556169.1399999999</v>
      </c>
      <c r="X87" s="1078">
        <f t="shared" si="29"/>
        <v>0</v>
      </c>
      <c r="Y87" s="1094"/>
      <c r="Z87" s="1093"/>
      <c r="AA87" s="1094"/>
      <c r="AB87" s="1094"/>
      <c r="AC87" s="1093"/>
      <c r="AD87" s="1090"/>
      <c r="AE87" s="1089"/>
      <c r="AF87" s="1091"/>
      <c r="AG87" s="1096"/>
      <c r="AH87" s="1096"/>
    </row>
    <row r="88" spans="1:34" s="1051" customFormat="1" ht="14.85" customHeight="1" outlineLevel="1">
      <c r="A88" s="1057"/>
      <c r="B88" s="1051" t="s">
        <v>1132</v>
      </c>
      <c r="C88" s="1064" t="s">
        <v>1133</v>
      </c>
      <c r="D88" s="1065" t="s">
        <v>569</v>
      </c>
      <c r="E88" s="1064" t="s">
        <v>1134</v>
      </c>
      <c r="F88" s="1066">
        <v>42221</v>
      </c>
      <c r="G88" s="1086">
        <v>16</v>
      </c>
      <c r="H88" s="1087">
        <v>14</v>
      </c>
      <c r="I88" s="1087">
        <v>16</v>
      </c>
      <c r="J88" s="1086">
        <v>22.59</v>
      </c>
      <c r="K88" s="1082">
        <f t="shared" si="25"/>
        <v>30679.538</v>
      </c>
      <c r="L88" s="1081">
        <v>10000</v>
      </c>
      <c r="M88" s="1081">
        <v>40679.538</v>
      </c>
      <c r="N88" s="1055">
        <f t="shared" si="26"/>
        <v>490872.60800000001</v>
      </c>
      <c r="O88" s="1083">
        <f t="shared" si="30"/>
        <v>160000</v>
      </c>
      <c r="P88" s="1055">
        <f t="shared" si="27"/>
        <v>650872.60800000001</v>
      </c>
      <c r="Q88" s="1055"/>
      <c r="R88" s="1068">
        <v>22.59</v>
      </c>
      <c r="S88" s="1084">
        <f t="shared" si="31"/>
        <v>918950.76341999997</v>
      </c>
      <c r="T88" s="1085">
        <f t="shared" si="32"/>
        <v>0.41187499999999999</v>
      </c>
      <c r="U88" s="1074" t="s">
        <v>1135</v>
      </c>
      <c r="V88" s="1075" t="s">
        <v>1136</v>
      </c>
      <c r="W88" s="1076">
        <f t="shared" si="28"/>
        <v>650872.60800000001</v>
      </c>
      <c r="X88" s="1078">
        <f t="shared" si="29"/>
        <v>0</v>
      </c>
      <c r="Y88" s="1057"/>
      <c r="AC88" s="1083"/>
      <c r="AD88" s="1090"/>
      <c r="AE88" s="1089"/>
    </row>
    <row r="89" spans="1:34" s="1051" customFormat="1" ht="14.85" customHeight="1" outlineLevel="1">
      <c r="A89" s="1097"/>
      <c r="B89" s="1051" t="s">
        <v>896</v>
      </c>
      <c r="C89" s="1064" t="s">
        <v>894</v>
      </c>
      <c r="D89" s="1065" t="s">
        <v>569</v>
      </c>
      <c r="E89" s="1064" t="s">
        <v>1142</v>
      </c>
      <c r="F89" s="1066">
        <v>42213</v>
      </c>
      <c r="G89" s="1086">
        <v>25</v>
      </c>
      <c r="H89" s="1087">
        <v>20</v>
      </c>
      <c r="I89" s="1087">
        <v>23</v>
      </c>
      <c r="J89" s="1086">
        <v>19.510000000000002</v>
      </c>
      <c r="K89" s="1082">
        <f t="shared" si="25"/>
        <v>70643.631999999998</v>
      </c>
      <c r="L89" s="1081">
        <v>8288</v>
      </c>
      <c r="M89" s="1081">
        <v>78931.631999999998</v>
      </c>
      <c r="N89" s="1055">
        <f t="shared" si="26"/>
        <v>1766090.8</v>
      </c>
      <c r="O89" s="1083">
        <f t="shared" si="30"/>
        <v>207200</v>
      </c>
      <c r="P89" s="1055">
        <f t="shared" si="27"/>
        <v>1973290.8</v>
      </c>
      <c r="Q89" s="1055"/>
      <c r="R89" s="1068">
        <v>19.510000000000002</v>
      </c>
      <c r="S89" s="1084">
        <f t="shared" si="31"/>
        <v>1539956.14032</v>
      </c>
      <c r="T89" s="1085">
        <f t="shared" si="32"/>
        <v>-0.21960000000000002</v>
      </c>
      <c r="U89" s="1074" t="s">
        <v>895</v>
      </c>
      <c r="V89" s="1075" t="s">
        <v>897</v>
      </c>
      <c r="W89" s="1076">
        <f t="shared" si="28"/>
        <v>1973290.8</v>
      </c>
      <c r="X89" s="1078">
        <f t="shared" si="29"/>
        <v>0</v>
      </c>
      <c r="Y89" s="1057"/>
      <c r="AC89" s="1083"/>
      <c r="AD89" s="1090"/>
      <c r="AE89" s="1089"/>
    </row>
    <row r="90" spans="1:34" s="1051" customFormat="1" ht="14.85" customHeight="1" outlineLevel="1">
      <c r="A90" s="1057"/>
      <c r="B90" s="1051" t="s">
        <v>1153</v>
      </c>
      <c r="C90" s="1064" t="s">
        <v>1154</v>
      </c>
      <c r="D90" s="1065" t="s">
        <v>569</v>
      </c>
      <c r="E90" s="1064" t="s">
        <v>1155</v>
      </c>
      <c r="F90" s="1066">
        <v>42180</v>
      </c>
      <c r="G90" s="1086">
        <v>18</v>
      </c>
      <c r="H90" s="1087">
        <v>15</v>
      </c>
      <c r="I90" s="1087">
        <v>17</v>
      </c>
      <c r="J90" s="1086">
        <v>38.200000000000003</v>
      </c>
      <c r="K90" s="1082">
        <f t="shared" si="25"/>
        <v>30403.502</v>
      </c>
      <c r="L90" s="1081">
        <v>7430.5550000000003</v>
      </c>
      <c r="M90" s="1081">
        <v>37834.057000000001</v>
      </c>
      <c r="N90" s="1055">
        <f t="shared" si="26"/>
        <v>547263.03599999996</v>
      </c>
      <c r="O90" s="1083">
        <f t="shared" si="30"/>
        <v>133749.99</v>
      </c>
      <c r="P90" s="1055">
        <f t="shared" si="27"/>
        <v>681013.02599999995</v>
      </c>
      <c r="Q90" s="1055"/>
      <c r="R90" s="1068">
        <v>38.200000000000003</v>
      </c>
      <c r="S90" s="1084">
        <f t="shared" si="31"/>
        <v>1445260.9774000002</v>
      </c>
      <c r="T90" s="1085">
        <f t="shared" si="32"/>
        <v>1.1222222222222227</v>
      </c>
      <c r="U90" s="1091" t="s">
        <v>1156</v>
      </c>
      <c r="V90" s="1075" t="s">
        <v>1157</v>
      </c>
      <c r="W90" s="1076">
        <f t="shared" si="28"/>
        <v>681013.02599999995</v>
      </c>
      <c r="X90" s="1078">
        <f t="shared" si="29"/>
        <v>0</v>
      </c>
      <c r="Y90" s="1094"/>
      <c r="Z90" s="1093"/>
      <c r="AA90" s="1094"/>
      <c r="AB90" s="1095"/>
      <c r="AC90" s="1093"/>
      <c r="AD90" s="1090"/>
      <c r="AE90" s="1089"/>
      <c r="AF90" s="1091"/>
      <c r="AG90" s="1096"/>
      <c r="AH90" s="1096"/>
    </row>
    <row r="91" spans="1:34" s="1051" customFormat="1" ht="14.85" customHeight="1" outlineLevel="1">
      <c r="A91" s="1057"/>
      <c r="B91" s="1051" t="s">
        <v>1162</v>
      </c>
      <c r="C91" s="1064" t="s">
        <v>1163</v>
      </c>
      <c r="D91" s="1065" t="s">
        <v>1259</v>
      </c>
      <c r="E91" s="1064" t="s">
        <v>1165</v>
      </c>
      <c r="F91" s="1066">
        <v>42179</v>
      </c>
      <c r="G91" s="1086">
        <v>5</v>
      </c>
      <c r="H91" s="1087">
        <v>0</v>
      </c>
      <c r="I91" s="1087">
        <v>0</v>
      </c>
      <c r="J91" s="1086">
        <v>4.1599000000000004</v>
      </c>
      <c r="K91" s="1082">
        <f t="shared" si="25"/>
        <v>3788.0600000000004</v>
      </c>
      <c r="L91" s="1081">
        <v>4000</v>
      </c>
      <c r="M91" s="1081">
        <v>7788.06</v>
      </c>
      <c r="N91" s="1055">
        <f t="shared" si="26"/>
        <v>18940.300000000003</v>
      </c>
      <c r="O91" s="1083">
        <f t="shared" si="30"/>
        <v>20000</v>
      </c>
      <c r="P91" s="1055">
        <f t="shared" si="27"/>
        <v>38940.300000000003</v>
      </c>
      <c r="Q91" s="1055"/>
      <c r="R91" s="1068">
        <v>4.1599000000000004</v>
      </c>
      <c r="S91" s="1084">
        <f t="shared" si="31"/>
        <v>32397.550794000006</v>
      </c>
      <c r="T91" s="1085">
        <f t="shared" si="32"/>
        <v>-0.16801999999999995</v>
      </c>
      <c r="U91" s="1074" t="s">
        <v>1166</v>
      </c>
      <c r="V91" s="1075" t="s">
        <v>1167</v>
      </c>
      <c r="W91" s="1076">
        <f t="shared" si="28"/>
        <v>38940.300000000003</v>
      </c>
      <c r="X91" s="1078">
        <f t="shared" si="29"/>
        <v>0</v>
      </c>
      <c r="Y91" s="1057"/>
      <c r="AC91" s="1083"/>
      <c r="AD91" s="1090"/>
      <c r="AE91" s="1089"/>
    </row>
    <row r="92" spans="1:34" s="1092" customFormat="1" ht="14.85" customHeight="1" outlineLevel="1">
      <c r="A92" s="1057"/>
      <c r="B92" s="1051" t="s">
        <v>1201</v>
      </c>
      <c r="C92" s="1064" t="s">
        <v>1202</v>
      </c>
      <c r="D92" s="1065" t="s">
        <v>569</v>
      </c>
      <c r="E92" s="1064" t="s">
        <v>1203</v>
      </c>
      <c r="F92" s="1066">
        <v>42109</v>
      </c>
      <c r="G92" s="1086">
        <v>11</v>
      </c>
      <c r="H92" s="1087">
        <v>12</v>
      </c>
      <c r="I92" s="1087">
        <v>14</v>
      </c>
      <c r="J92" s="1086">
        <v>12.5</v>
      </c>
      <c r="K92" s="1082">
        <f t="shared" si="25"/>
        <v>8371.7650000000012</v>
      </c>
      <c r="L92" s="1081">
        <v>5090.9089999999997</v>
      </c>
      <c r="M92" s="1081">
        <v>13462.674000000001</v>
      </c>
      <c r="N92" s="1055">
        <f t="shared" si="26"/>
        <v>92089.415000000008</v>
      </c>
      <c r="O92" s="1083">
        <f t="shared" si="30"/>
        <v>55999.998999999996</v>
      </c>
      <c r="P92" s="1055">
        <f t="shared" si="27"/>
        <v>148089.41399999999</v>
      </c>
      <c r="Q92" s="1055"/>
      <c r="R92" s="1068">
        <v>12.5</v>
      </c>
      <c r="S92" s="1084">
        <f t="shared" si="31"/>
        <v>168283.42500000002</v>
      </c>
      <c r="T92" s="1085">
        <f t="shared" si="32"/>
        <v>0.13636363636363646</v>
      </c>
      <c r="U92" s="1091" t="s">
        <v>1204</v>
      </c>
      <c r="V92" s="1075" t="s">
        <v>1205</v>
      </c>
      <c r="W92" s="1076">
        <f t="shared" si="28"/>
        <v>148089.41399999999</v>
      </c>
      <c r="X92" s="1078">
        <f t="shared" si="29"/>
        <v>0</v>
      </c>
      <c r="AC92" s="1093"/>
      <c r="AD92" s="1090"/>
      <c r="AE92" s="1089"/>
    </row>
    <row r="93" spans="1:34" s="1092" customFormat="1" ht="14.85" customHeight="1" outlineLevel="1">
      <c r="A93" s="1057"/>
      <c r="B93" s="1051" t="s">
        <v>1211</v>
      </c>
      <c r="C93" s="1064" t="s">
        <v>1212</v>
      </c>
      <c r="D93" s="1065" t="s">
        <v>1164</v>
      </c>
      <c r="E93" s="1064" t="s">
        <v>1213</v>
      </c>
      <c r="F93" s="1066">
        <v>42108</v>
      </c>
      <c r="G93" s="1086">
        <v>17</v>
      </c>
      <c r="H93" s="1087">
        <v>14</v>
      </c>
      <c r="I93" s="1087">
        <v>16</v>
      </c>
      <c r="J93" s="1086">
        <v>31.47</v>
      </c>
      <c r="K93" s="1082">
        <f t="shared" si="25"/>
        <v>51950.504000000001</v>
      </c>
      <c r="L93" s="1081">
        <v>7000</v>
      </c>
      <c r="M93" s="1081">
        <v>58950.504000000001</v>
      </c>
      <c r="N93" s="1055">
        <f t="shared" si="26"/>
        <v>883158.56799999997</v>
      </c>
      <c r="O93" s="1083">
        <f t="shared" si="30"/>
        <v>119000</v>
      </c>
      <c r="P93" s="1055">
        <f t="shared" si="27"/>
        <v>1002158.568</v>
      </c>
      <c r="Q93" s="1055"/>
      <c r="R93" s="1068">
        <v>31.47</v>
      </c>
      <c r="S93" s="1084">
        <f t="shared" si="31"/>
        <v>1855172.3608800001</v>
      </c>
      <c r="T93" s="1085">
        <f t="shared" si="32"/>
        <v>0.85117647058823542</v>
      </c>
      <c r="U93" s="1075" t="s">
        <v>1214</v>
      </c>
      <c r="V93" s="1075" t="s">
        <v>1545</v>
      </c>
      <c r="W93" s="1076">
        <f t="shared" si="28"/>
        <v>1002158.568</v>
      </c>
      <c r="X93" s="1078">
        <f t="shared" si="29"/>
        <v>0</v>
      </c>
      <c r="Y93" s="1051"/>
      <c r="Z93" s="1051"/>
      <c r="AA93" s="1051"/>
      <c r="AB93" s="1083"/>
      <c r="AC93" s="1090"/>
      <c r="AD93" s="1089"/>
      <c r="AE93" s="1051"/>
      <c r="AF93" s="1051"/>
      <c r="AG93" s="1051"/>
    </row>
    <row r="94" spans="1:34" s="1092" customFormat="1" ht="14.85" customHeight="1" outlineLevel="1">
      <c r="A94" s="1057"/>
      <c r="B94" s="1051" t="s">
        <v>1220</v>
      </c>
      <c r="C94" s="1064" t="s">
        <v>1221</v>
      </c>
      <c r="D94" s="1065" t="s">
        <v>569</v>
      </c>
      <c r="E94" s="1064" t="s">
        <v>1222</v>
      </c>
      <c r="F94" s="1066">
        <v>42053</v>
      </c>
      <c r="G94" s="1086">
        <v>6</v>
      </c>
      <c r="H94" s="1087">
        <v>13</v>
      </c>
      <c r="I94" s="1087">
        <v>15</v>
      </c>
      <c r="J94" s="1086">
        <v>5.75</v>
      </c>
      <c r="K94" s="1082">
        <f t="shared" si="25"/>
        <v>9210.49</v>
      </c>
      <c r="L94" s="1081">
        <v>6667</v>
      </c>
      <c r="M94" s="1081">
        <v>15877.49</v>
      </c>
      <c r="N94" s="1055">
        <f t="shared" si="26"/>
        <v>55262.94</v>
      </c>
      <c r="O94" s="1083">
        <f t="shared" si="30"/>
        <v>40002</v>
      </c>
      <c r="P94" s="1055">
        <f t="shared" si="27"/>
        <v>95264.94</v>
      </c>
      <c r="Q94" s="1055"/>
      <c r="R94" s="1068">
        <v>5.75</v>
      </c>
      <c r="S94" s="1084">
        <f t="shared" si="31"/>
        <v>91295.567500000005</v>
      </c>
      <c r="T94" s="1085">
        <f t="shared" si="32"/>
        <v>-4.166666666666663E-2</v>
      </c>
      <c r="U94" s="1075" t="s">
        <v>1223</v>
      </c>
      <c r="V94" s="1075" t="s">
        <v>1224</v>
      </c>
      <c r="W94" s="1076">
        <f t="shared" si="28"/>
        <v>95264.94</v>
      </c>
      <c r="X94" s="1078">
        <f t="shared" si="29"/>
        <v>0</v>
      </c>
      <c r="Y94" s="1051"/>
      <c r="Z94" s="1051"/>
      <c r="AA94" s="1051"/>
      <c r="AB94" s="1083"/>
      <c r="AC94" s="1090"/>
      <c r="AD94" s="1089"/>
      <c r="AE94" s="1051"/>
      <c r="AF94" s="1051"/>
      <c r="AG94" s="1051"/>
    </row>
    <row r="95" spans="1:34" s="1092" customFormat="1" ht="14.85" customHeight="1" outlineLevel="1">
      <c r="A95" s="1057"/>
      <c r="B95" s="1051" t="s">
        <v>1225</v>
      </c>
      <c r="C95" s="1064" t="s">
        <v>1226</v>
      </c>
      <c r="D95" s="1065" t="s">
        <v>569</v>
      </c>
      <c r="E95" s="1064" t="s">
        <v>1227</v>
      </c>
      <c r="F95" s="1066">
        <v>42048</v>
      </c>
      <c r="G95" s="1086">
        <v>12</v>
      </c>
      <c r="H95" s="1087">
        <v>14</v>
      </c>
      <c r="I95" s="1087">
        <v>16</v>
      </c>
      <c r="J95" s="1086">
        <v>9.75</v>
      </c>
      <c r="K95" s="1082">
        <f t="shared" si="25"/>
        <v>7905.3259999999991</v>
      </c>
      <c r="L95" s="1081">
        <v>5000</v>
      </c>
      <c r="M95" s="1081">
        <v>12905.325999999999</v>
      </c>
      <c r="N95" s="1055">
        <f t="shared" si="26"/>
        <v>94863.911999999982</v>
      </c>
      <c r="O95" s="1083">
        <f t="shared" si="30"/>
        <v>60000</v>
      </c>
      <c r="P95" s="1055">
        <f t="shared" si="27"/>
        <v>154863.91199999998</v>
      </c>
      <c r="Q95" s="1055"/>
      <c r="R95" s="1068">
        <v>9.75</v>
      </c>
      <c r="S95" s="1084">
        <f t="shared" si="31"/>
        <v>125826.92849999999</v>
      </c>
      <c r="T95" s="1085">
        <f t="shared" si="32"/>
        <v>-0.18749999999999989</v>
      </c>
      <c r="U95" s="1075" t="s">
        <v>1228</v>
      </c>
      <c r="V95" s="1075" t="s">
        <v>1229</v>
      </c>
      <c r="W95" s="1076">
        <f t="shared" si="28"/>
        <v>154863.91199999998</v>
      </c>
      <c r="X95" s="1078">
        <f t="shared" si="29"/>
        <v>0</v>
      </c>
      <c r="Y95" s="1051"/>
      <c r="Z95" s="1051"/>
      <c r="AA95" s="1051"/>
      <c r="AB95" s="1083"/>
      <c r="AC95" s="1090"/>
      <c r="AD95" s="1089"/>
      <c r="AE95" s="1051"/>
      <c r="AF95" s="1051"/>
      <c r="AG95" s="1051"/>
    </row>
    <row r="96" spans="1:34" s="1092" customFormat="1" ht="14.85" customHeight="1" outlineLevel="1">
      <c r="A96" s="1057"/>
      <c r="B96" s="1051" t="s">
        <v>960</v>
      </c>
      <c r="C96" s="1064" t="s">
        <v>1236</v>
      </c>
      <c r="D96" s="1065" t="s">
        <v>569</v>
      </c>
      <c r="E96" s="1064" t="s">
        <v>1237</v>
      </c>
      <c r="F96" s="1066">
        <v>42033</v>
      </c>
      <c r="G96" s="1086">
        <v>10</v>
      </c>
      <c r="H96" s="1087">
        <v>12</v>
      </c>
      <c r="I96" s="1087">
        <v>14</v>
      </c>
      <c r="J96" s="1086">
        <v>13.43</v>
      </c>
      <c r="K96" s="1082">
        <f t="shared" si="25"/>
        <v>8492.8060000000005</v>
      </c>
      <c r="L96" s="1081">
        <v>3600</v>
      </c>
      <c r="M96" s="1081">
        <v>12092.806</v>
      </c>
      <c r="N96" s="1055">
        <f t="shared" si="26"/>
        <v>84928.06</v>
      </c>
      <c r="O96" s="1083">
        <f t="shared" si="30"/>
        <v>36000</v>
      </c>
      <c r="P96" s="1055">
        <f t="shared" si="27"/>
        <v>120928.06</v>
      </c>
      <c r="Q96" s="1055"/>
      <c r="R96" s="1068">
        <v>13.43</v>
      </c>
      <c r="S96" s="1084">
        <f t="shared" si="31"/>
        <v>162406.38458000001</v>
      </c>
      <c r="T96" s="1085">
        <f t="shared" si="32"/>
        <v>0.34300000000000019</v>
      </c>
      <c r="U96" s="1075" t="s">
        <v>1238</v>
      </c>
      <c r="V96" s="1075" t="s">
        <v>1239</v>
      </c>
      <c r="W96" s="1076">
        <f t="shared" si="28"/>
        <v>120928.06</v>
      </c>
      <c r="X96" s="1078">
        <f t="shared" si="29"/>
        <v>0</v>
      </c>
      <c r="AB96" s="1093"/>
      <c r="AC96" s="1090"/>
      <c r="AD96" s="1089"/>
    </row>
    <row r="97" spans="1:33" s="1092" customFormat="1" ht="14.85" customHeight="1" outlineLevel="1">
      <c r="A97" s="1057"/>
      <c r="B97" s="1051" t="s">
        <v>1244</v>
      </c>
      <c r="C97" s="1064" t="s">
        <v>1245</v>
      </c>
      <c r="D97" s="1065" t="s">
        <v>569</v>
      </c>
      <c r="E97" s="1064" t="s">
        <v>1246</v>
      </c>
      <c r="F97" s="1066">
        <v>42030</v>
      </c>
      <c r="G97" s="1086">
        <v>11</v>
      </c>
      <c r="H97" s="1087">
        <v>10</v>
      </c>
      <c r="I97" s="1087">
        <v>12</v>
      </c>
      <c r="J97" s="1086">
        <v>11.04</v>
      </c>
      <c r="K97" s="1082">
        <f t="shared" si="25"/>
        <v>7316.1119999999992</v>
      </c>
      <c r="L97" s="1081">
        <v>4500</v>
      </c>
      <c r="M97" s="1081">
        <v>11816.111999999999</v>
      </c>
      <c r="N97" s="1055">
        <f t="shared" si="26"/>
        <v>80477.231999999989</v>
      </c>
      <c r="O97" s="1083">
        <f t="shared" si="30"/>
        <v>49500</v>
      </c>
      <c r="P97" s="1055">
        <f t="shared" si="27"/>
        <v>129977.23199999999</v>
      </c>
      <c r="Q97" s="1055"/>
      <c r="R97" s="1068">
        <v>11.04</v>
      </c>
      <c r="S97" s="1084">
        <f t="shared" si="31"/>
        <v>130449.87647999998</v>
      </c>
      <c r="T97" s="1085">
        <f t="shared" si="32"/>
        <v>3.6363636363634377E-3</v>
      </c>
      <c r="U97" s="1075" t="s">
        <v>1247</v>
      </c>
      <c r="V97" s="1075" t="s">
        <v>1248</v>
      </c>
      <c r="W97" s="1076">
        <f t="shared" si="28"/>
        <v>129977.23199999999</v>
      </c>
      <c r="X97" s="1078">
        <f t="shared" si="29"/>
        <v>0</v>
      </c>
      <c r="Y97" s="1051"/>
      <c r="Z97" s="1051"/>
      <c r="AA97" s="1051"/>
      <c r="AB97" s="1083"/>
      <c r="AC97" s="1090"/>
      <c r="AD97" s="1089"/>
      <c r="AE97" s="1051"/>
      <c r="AF97" s="1051"/>
      <c r="AG97" s="1051"/>
    </row>
    <row r="98" spans="1:33" s="1092" customFormat="1" ht="14.85" customHeight="1" outlineLevel="1">
      <c r="A98" s="1097"/>
      <c r="B98" s="1051" t="s">
        <v>1249</v>
      </c>
      <c r="C98" s="1064" t="s">
        <v>1250</v>
      </c>
      <c r="D98" s="1065" t="s">
        <v>569</v>
      </c>
      <c r="E98" s="1064" t="s">
        <v>1251</v>
      </c>
      <c r="F98" s="1066">
        <v>41991</v>
      </c>
      <c r="G98" s="1086">
        <v>19</v>
      </c>
      <c r="H98" s="1087">
        <v>15</v>
      </c>
      <c r="I98" s="1087">
        <v>17</v>
      </c>
      <c r="J98" s="1086">
        <v>29.13</v>
      </c>
      <c r="K98" s="1082">
        <f t="shared" si="25"/>
        <v>18499.571</v>
      </c>
      <c r="L98" s="1081">
        <v>8452.5</v>
      </c>
      <c r="M98" s="1081">
        <v>26952.071</v>
      </c>
      <c r="N98" s="1055">
        <f t="shared" si="26"/>
        <v>351491.84899999999</v>
      </c>
      <c r="O98" s="1083">
        <f t="shared" si="30"/>
        <v>160597.5</v>
      </c>
      <c r="P98" s="1055">
        <f t="shared" si="27"/>
        <v>512089.34899999999</v>
      </c>
      <c r="Q98" s="1055"/>
      <c r="R98" s="1068">
        <v>29.13</v>
      </c>
      <c r="S98" s="1084">
        <f t="shared" si="31"/>
        <v>785113.82822999998</v>
      </c>
      <c r="T98" s="1085">
        <f t="shared" si="32"/>
        <v>0.53315789473684205</v>
      </c>
      <c r="U98" s="1075" t="s">
        <v>1252</v>
      </c>
      <c r="V98" s="1075" t="s">
        <v>1253</v>
      </c>
      <c r="W98" s="1076">
        <f t="shared" si="28"/>
        <v>512089.34899999999</v>
      </c>
      <c r="X98" s="1078">
        <f t="shared" si="29"/>
        <v>0</v>
      </c>
      <c r="Y98" s="1051"/>
      <c r="Z98" s="1051"/>
      <c r="AA98" s="1051"/>
      <c r="AB98" s="1083"/>
      <c r="AC98" s="1090"/>
      <c r="AD98" s="1089"/>
      <c r="AE98" s="1051"/>
      <c r="AF98" s="1051"/>
      <c r="AG98" s="1051"/>
    </row>
    <row r="99" spans="1:33" s="1092" customFormat="1" ht="14.85" customHeight="1" outlineLevel="1">
      <c r="A99" s="1097"/>
      <c r="B99" s="1051" t="s">
        <v>797</v>
      </c>
      <c r="C99" s="1064" t="s">
        <v>1546</v>
      </c>
      <c r="D99" s="1065" t="s">
        <v>1531</v>
      </c>
      <c r="E99" s="1064" t="s">
        <v>1547</v>
      </c>
      <c r="F99" s="1066">
        <v>41443</v>
      </c>
      <c r="G99" s="1086">
        <v>17</v>
      </c>
      <c r="H99" s="1087">
        <v>14</v>
      </c>
      <c r="I99" s="1087">
        <v>16</v>
      </c>
      <c r="J99" s="1086">
        <v>33.99</v>
      </c>
      <c r="K99" s="1082">
        <v>16869488</v>
      </c>
      <c r="L99" s="1081">
        <v>5000</v>
      </c>
      <c r="M99" s="1081">
        <v>21869.488000000001</v>
      </c>
      <c r="N99" s="1055">
        <v>286781.29599999997</v>
      </c>
      <c r="O99" s="1083">
        <f t="shared" si="30"/>
        <v>85000</v>
      </c>
      <c r="P99" s="1055">
        <f t="shared" si="27"/>
        <v>371781.29599999997</v>
      </c>
      <c r="Q99" s="1055"/>
      <c r="R99" s="1068">
        <v>33.99</v>
      </c>
      <c r="S99" s="1084">
        <f t="shared" si="31"/>
        <v>743343.8971200001</v>
      </c>
      <c r="T99" s="1085">
        <f t="shared" si="32"/>
        <v>0.99941176470588267</v>
      </c>
      <c r="U99" s="1075" t="s">
        <v>1548</v>
      </c>
      <c r="V99" s="1075" t="s">
        <v>1549</v>
      </c>
      <c r="W99" s="1076">
        <f t="shared" si="28"/>
        <v>371781.29599999997</v>
      </c>
      <c r="X99" s="1078">
        <f t="shared" si="29"/>
        <v>0</v>
      </c>
      <c r="Y99" s="1051"/>
      <c r="Z99" s="1051"/>
      <c r="AA99" s="1051"/>
      <c r="AB99" s="1083"/>
      <c r="AC99" s="1090"/>
      <c r="AD99" s="1089"/>
      <c r="AE99" s="1051"/>
      <c r="AF99" s="1051"/>
      <c r="AG99" s="1051"/>
    </row>
    <row r="100" spans="1:33" s="1051" customFormat="1" ht="14.85" customHeight="1" outlineLevel="1">
      <c r="A100" s="1057"/>
      <c r="C100" s="1064"/>
      <c r="D100" s="1065"/>
      <c r="E100" s="1064"/>
      <c r="F100" s="1066"/>
      <c r="G100" s="1086"/>
      <c r="H100" s="1087"/>
      <c r="I100" s="1087"/>
      <c r="J100" s="1086"/>
      <c r="K100" s="1082"/>
      <c r="L100" s="1083"/>
      <c r="M100" s="1083"/>
      <c r="N100" s="1055"/>
      <c r="O100" s="1083"/>
      <c r="P100" s="1055"/>
      <c r="Q100" s="1055"/>
      <c r="R100" s="1068"/>
      <c r="S100" s="1114"/>
      <c r="T100" s="1116"/>
      <c r="U100" s="1075"/>
      <c r="V100" s="1075"/>
      <c r="W100" s="1083"/>
      <c r="X100" s="1057"/>
      <c r="AB100" s="1083"/>
      <c r="AC100" s="1064"/>
      <c r="AD100" s="1057"/>
    </row>
    <row r="101" spans="1:33" s="1092" customFormat="1" ht="14.85" customHeight="1" outlineLevel="1">
      <c r="A101" s="1057"/>
      <c r="B101" s="1098" t="s">
        <v>111</v>
      </c>
      <c r="C101" s="1099"/>
      <c r="D101" s="1099"/>
      <c r="E101" s="1099"/>
      <c r="F101" s="1099"/>
      <c r="G101" s="1099"/>
      <c r="H101" s="1099"/>
      <c r="I101" s="1099"/>
      <c r="J101" s="1099"/>
      <c r="K101" s="1099"/>
      <c r="L101" s="1099"/>
      <c r="M101" s="1099"/>
      <c r="N101" s="1100">
        <f>MAX(N80:N99)</f>
        <v>1766090.8</v>
      </c>
      <c r="O101" s="1100"/>
      <c r="P101" s="1101">
        <f>MAX(P80:P99)</f>
        <v>1973290.8</v>
      </c>
      <c r="Q101" s="1055"/>
      <c r="R101" s="1102">
        <f>MAX(R81:R97)</f>
        <v>52.72</v>
      </c>
      <c r="S101" s="1084"/>
      <c r="T101" s="1085"/>
      <c r="U101" s="1091"/>
      <c r="V101" s="1075"/>
      <c r="W101" s="1076"/>
      <c r="X101" s="1078"/>
      <c r="AC101" s="1093"/>
      <c r="AD101" s="1090"/>
      <c r="AE101" s="1089"/>
    </row>
    <row r="102" spans="1:33" s="1092" customFormat="1" ht="14.85" customHeight="1" outlineLevel="1">
      <c r="A102" s="1057"/>
      <c r="B102" s="1103" t="s">
        <v>115</v>
      </c>
      <c r="C102" s="1104"/>
      <c r="D102" s="1104"/>
      <c r="E102" s="1104"/>
      <c r="F102" s="1104"/>
      <c r="G102" s="1104"/>
      <c r="H102" s="1104"/>
      <c r="I102" s="1104"/>
      <c r="J102" s="1104"/>
      <c r="K102" s="1104"/>
      <c r="L102" s="1104"/>
      <c r="M102" s="1104"/>
      <c r="N102" s="1105">
        <f>_xlfn.QUARTILE.INC(N80:N99,3)</f>
        <v>442987.85099999997</v>
      </c>
      <c r="O102" s="1105"/>
      <c r="P102" s="1106">
        <f>_xlfn.QUARTILE.INC(P80:P99,3)</f>
        <v>542875.27300000004</v>
      </c>
      <c r="Q102" s="1055"/>
      <c r="R102" s="1107">
        <f>_xlfn.QUARTILE.INC(R81:R97,3)</f>
        <v>19.510000000000002</v>
      </c>
      <c r="S102" s="1084"/>
      <c r="T102" s="1085"/>
      <c r="U102" s="1091"/>
      <c r="V102" s="1075"/>
      <c r="W102" s="1076"/>
      <c r="X102" s="1078"/>
      <c r="AC102" s="1093"/>
      <c r="AD102" s="1090"/>
      <c r="AE102" s="1089"/>
    </row>
    <row r="103" spans="1:33" s="1092" customFormat="1" ht="14.85" customHeight="1" outlineLevel="1">
      <c r="A103" s="1057"/>
      <c r="B103" s="1103" t="s">
        <v>43</v>
      </c>
      <c r="C103" s="1104"/>
      <c r="D103" s="1104"/>
      <c r="E103" s="1104"/>
      <c r="F103" s="1104"/>
      <c r="G103" s="1104"/>
      <c r="H103" s="1104"/>
      <c r="I103" s="1104"/>
      <c r="J103" s="1104"/>
      <c r="K103" s="1104"/>
      <c r="L103" s="1104"/>
      <c r="M103" s="1104"/>
      <c r="N103" s="1105">
        <f>AVERAGE(N80:N99)</f>
        <v>326924.67622499994</v>
      </c>
      <c r="O103" s="1105"/>
      <c r="P103" s="1106">
        <f>AVERAGE(P80:P99)</f>
        <v>407989.98372499994</v>
      </c>
      <c r="Q103" s="1055"/>
      <c r="R103" s="1107">
        <f>AVERAGE(R81:R97)</f>
        <v>17.134699999999999</v>
      </c>
      <c r="S103" s="1084"/>
      <c r="T103" s="1085"/>
      <c r="U103" s="1091"/>
      <c r="V103" s="1075"/>
      <c r="W103" s="1076"/>
      <c r="X103" s="1078"/>
      <c r="AC103" s="1093"/>
      <c r="AD103" s="1090"/>
      <c r="AE103" s="1089"/>
    </row>
    <row r="104" spans="1:33" s="1092" customFormat="1" ht="14.85" customHeight="1" outlineLevel="1">
      <c r="A104" s="1057"/>
      <c r="B104" s="1103" t="s">
        <v>44</v>
      </c>
      <c r="C104" s="1104"/>
      <c r="D104" s="1104"/>
      <c r="E104" s="1104"/>
      <c r="F104" s="1104"/>
      <c r="G104" s="1104"/>
      <c r="H104" s="1104"/>
      <c r="I104" s="1104"/>
      <c r="J104" s="1104"/>
      <c r="K104" s="1104"/>
      <c r="L104" s="1104"/>
      <c r="M104" s="1104"/>
      <c r="N104" s="1105">
        <f>MEDIAN(N80:N99)</f>
        <v>190238.1415</v>
      </c>
      <c r="O104" s="1105"/>
      <c r="P104" s="1106">
        <f>MEDIAN(P80:P99)</f>
        <v>257971.47199999998</v>
      </c>
      <c r="Q104" s="1055"/>
      <c r="R104" s="1107">
        <f>MEDIAN(R81:R97)</f>
        <v>13.23</v>
      </c>
      <c r="S104" s="1084"/>
      <c r="T104" s="1085"/>
      <c r="U104" s="1091"/>
      <c r="V104" s="1075"/>
      <c r="W104" s="1076"/>
      <c r="X104" s="1078"/>
      <c r="AC104" s="1093"/>
      <c r="AD104" s="1090"/>
      <c r="AE104" s="1089"/>
    </row>
    <row r="105" spans="1:33" s="1092" customFormat="1" ht="14.85" customHeight="1" outlineLevel="1">
      <c r="A105" s="1057"/>
      <c r="B105" s="1103" t="s">
        <v>114</v>
      </c>
      <c r="C105" s="1104"/>
      <c r="D105" s="1104"/>
      <c r="E105" s="1104"/>
      <c r="F105" s="1104"/>
      <c r="G105" s="1104"/>
      <c r="H105" s="1104"/>
      <c r="I105" s="1104"/>
      <c r="J105" s="1104"/>
      <c r="K105" s="1104"/>
      <c r="L105" s="1104"/>
      <c r="M105" s="1104"/>
      <c r="N105" s="1105">
        <f>_xlfn.QUARTILE.INC(N80:N99,1)</f>
        <v>78871.196999999986</v>
      </c>
      <c r="O105" s="1105"/>
      <c r="P105" s="1106">
        <f>_xlfn.QUARTILE.INC(P80:P99,1)</f>
        <v>114512.28</v>
      </c>
      <c r="Q105" s="1055"/>
      <c r="R105" s="1107">
        <f>_xlfn.QUARTILE.INC(R81:R97,1)</f>
        <v>10.06</v>
      </c>
      <c r="S105" s="1084"/>
      <c r="T105" s="1085"/>
      <c r="U105" s="1091"/>
      <c r="V105" s="1075"/>
      <c r="W105" s="1076"/>
      <c r="X105" s="1078"/>
      <c r="AC105" s="1093"/>
      <c r="AD105" s="1090"/>
      <c r="AE105" s="1089"/>
    </row>
    <row r="106" spans="1:33" s="1092" customFormat="1" ht="14.85" customHeight="1" outlineLevel="1">
      <c r="A106" s="1057"/>
      <c r="B106" s="1108" t="s">
        <v>112</v>
      </c>
      <c r="C106" s="1109"/>
      <c r="D106" s="1109"/>
      <c r="E106" s="1109"/>
      <c r="F106" s="1109"/>
      <c r="G106" s="1109"/>
      <c r="H106" s="1109"/>
      <c r="I106" s="1109"/>
      <c r="J106" s="1109"/>
      <c r="K106" s="1109"/>
      <c r="L106" s="1109"/>
      <c r="M106" s="1109"/>
      <c r="N106" s="1110">
        <f>MIN(N80:N99)</f>
        <v>18940.300000000003</v>
      </c>
      <c r="O106" s="1110"/>
      <c r="P106" s="1111">
        <f>MIN(P80:P99)</f>
        <v>38940.300000000003</v>
      </c>
      <c r="Q106" s="1055"/>
      <c r="R106" s="1112">
        <f>MIN(R81:R97)</f>
        <v>3.13</v>
      </c>
      <c r="S106" s="1084"/>
      <c r="T106" s="1085"/>
      <c r="U106" s="1091"/>
      <c r="V106" s="1075"/>
      <c r="W106" s="1076"/>
      <c r="X106" s="1078"/>
      <c r="AC106" s="1093"/>
      <c r="AD106" s="1090"/>
      <c r="AE106" s="1089"/>
    </row>
    <row r="107" spans="1:33" s="1092" customFormat="1" ht="14.85" customHeight="1" outlineLevel="1">
      <c r="A107" s="1057"/>
      <c r="B107" s="1051"/>
      <c r="C107" s="1064"/>
      <c r="D107" s="1065"/>
      <c r="E107" s="1064"/>
      <c r="F107" s="1066"/>
      <c r="G107" s="1086"/>
      <c r="H107" s="1087"/>
      <c r="I107" s="1087"/>
      <c r="J107" s="1086"/>
      <c r="K107" s="1082"/>
      <c r="L107" s="1083"/>
      <c r="M107" s="1083"/>
      <c r="N107" s="1055"/>
      <c r="O107" s="1083"/>
      <c r="P107" s="1055"/>
      <c r="Q107" s="1055"/>
      <c r="R107" s="1068"/>
      <c r="S107" s="1084"/>
      <c r="T107" s="1085"/>
      <c r="U107" s="1091"/>
      <c r="V107" s="1075"/>
      <c r="W107" s="1076"/>
      <c r="X107" s="1078"/>
      <c r="AC107" s="1093"/>
      <c r="AD107" s="1090"/>
      <c r="AE107" s="1089"/>
    </row>
    <row r="108" spans="1:33" s="1092" customFormat="1" ht="14.85" customHeight="1" outlineLevel="1">
      <c r="A108" s="1057"/>
      <c r="B108" s="1113" t="s">
        <v>1550</v>
      </c>
      <c r="C108" s="1064"/>
      <c r="D108" s="1065"/>
      <c r="E108" s="1064"/>
      <c r="F108" s="1066"/>
      <c r="G108" s="1086"/>
      <c r="H108" s="1087"/>
      <c r="I108" s="1087"/>
      <c r="J108" s="1086"/>
      <c r="K108" s="1082"/>
      <c r="L108" s="1083"/>
      <c r="M108" s="1083"/>
      <c r="N108" s="1055"/>
      <c r="O108" s="1083"/>
      <c r="P108" s="1055"/>
      <c r="Q108" s="1055"/>
      <c r="R108" s="1068"/>
      <c r="S108" s="1084"/>
      <c r="T108" s="1085"/>
      <c r="U108" s="1075"/>
      <c r="V108" s="1075"/>
      <c r="W108" s="1078"/>
      <c r="X108" s="1057"/>
      <c r="Y108" s="1051"/>
      <c r="Z108" s="1051"/>
      <c r="AA108" s="1051"/>
      <c r="AB108" s="1083"/>
      <c r="AC108" s="1090"/>
      <c r="AD108" s="1089"/>
      <c r="AE108" s="1051"/>
      <c r="AF108" s="1051"/>
      <c r="AG108" s="1051"/>
    </row>
    <row r="109" spans="1:33" s="1057" customFormat="1" ht="14.85" customHeight="1" outlineLevel="1">
      <c r="B109" s="1051" t="s">
        <v>1551</v>
      </c>
      <c r="C109" s="1064" t="s">
        <v>1552</v>
      </c>
      <c r="D109" s="1065" t="s">
        <v>584</v>
      </c>
      <c r="E109" s="1064" t="s">
        <v>1553</v>
      </c>
      <c r="F109" s="1066">
        <v>42802</v>
      </c>
      <c r="G109" s="1067">
        <v>20</v>
      </c>
      <c r="H109" s="1068">
        <v>20</v>
      </c>
      <c r="I109" s="1068">
        <v>22</v>
      </c>
      <c r="J109" s="1068" t="s">
        <v>13</v>
      </c>
      <c r="K109" s="1082">
        <f t="shared" ref="K109:K120" si="33">+M109-L109</f>
        <v>21381.206999999999</v>
      </c>
      <c r="L109" s="1081">
        <v>174.286</v>
      </c>
      <c r="M109" s="1081">
        <v>21555.492999999999</v>
      </c>
      <c r="N109" s="1055">
        <f t="shared" ref="N109:N120" si="34">+G109*K109</f>
        <v>427624.13999999996</v>
      </c>
      <c r="O109" s="1083">
        <f t="shared" ref="O109:O120" si="35">+G109*L109</f>
        <v>3485.7200000000003</v>
      </c>
      <c r="P109" s="1055">
        <f t="shared" ref="P109:P120" si="36">+N109+O109</f>
        <v>431109.85999999993</v>
      </c>
      <c r="Q109" s="1055"/>
      <c r="R109" s="1068" t="s">
        <v>13</v>
      </c>
      <c r="S109" s="1084" t="s">
        <v>13</v>
      </c>
      <c r="T109" s="1085" t="str">
        <f>IFERROR(S109/P109-1,"n/a")</f>
        <v>n/a</v>
      </c>
      <c r="U109" s="1074" t="s">
        <v>1554</v>
      </c>
      <c r="V109" s="1075" t="s">
        <v>1555</v>
      </c>
      <c r="W109" s="1076">
        <f>+N109+O109</f>
        <v>431109.85999999993</v>
      </c>
      <c r="X109" s="1078"/>
      <c r="Z109" s="1117" t="s">
        <v>1556</v>
      </c>
    </row>
    <row r="110" spans="1:33" s="1057" customFormat="1" ht="14.85" customHeight="1" outlineLevel="1">
      <c r="B110" s="1051" t="s">
        <v>1004</v>
      </c>
      <c r="C110" s="1064" t="s">
        <v>1005</v>
      </c>
      <c r="D110" s="1065" t="s">
        <v>584</v>
      </c>
      <c r="E110" s="1064" t="s">
        <v>1006</v>
      </c>
      <c r="F110" s="1066">
        <v>42633</v>
      </c>
      <c r="G110" s="1067">
        <v>11</v>
      </c>
      <c r="H110" s="1068">
        <v>11</v>
      </c>
      <c r="I110" s="1068">
        <v>13</v>
      </c>
      <c r="J110" s="1067">
        <v>20.59</v>
      </c>
      <c r="K110" s="1082">
        <f t="shared" si="33"/>
        <v>11223.659</v>
      </c>
      <c r="L110" s="1081">
        <v>4100</v>
      </c>
      <c r="M110" s="1081">
        <v>15323.659</v>
      </c>
      <c r="N110" s="1055">
        <f t="shared" si="34"/>
        <v>123460.249</v>
      </c>
      <c r="O110" s="1083">
        <f t="shared" si="35"/>
        <v>45100</v>
      </c>
      <c r="P110" s="1055">
        <f t="shared" si="36"/>
        <v>168560.24900000001</v>
      </c>
      <c r="Q110" s="1055"/>
      <c r="R110" s="1068">
        <v>20.59</v>
      </c>
      <c r="S110" s="1084">
        <f>R110*M110</f>
        <v>315514.13880999997</v>
      </c>
      <c r="T110" s="1085">
        <f>S110/P110-1</f>
        <v>0.8718181818181816</v>
      </c>
      <c r="U110" s="1074" t="s">
        <v>1007</v>
      </c>
      <c r="V110" s="1075" t="s">
        <v>1008</v>
      </c>
      <c r="W110" s="1076">
        <f>+N110+O110</f>
        <v>168560.24900000001</v>
      </c>
      <c r="X110" s="1078">
        <f>+P110-W110</f>
        <v>0</v>
      </c>
    </row>
    <row r="111" spans="1:33" s="1057" customFormat="1" ht="14.85" customHeight="1" outlineLevel="1">
      <c r="B111" s="1051" t="s">
        <v>1557</v>
      </c>
      <c r="C111" s="1064" t="s">
        <v>1558</v>
      </c>
      <c r="D111" s="1065" t="s">
        <v>584</v>
      </c>
      <c r="E111" s="1064" t="s">
        <v>1559</v>
      </c>
      <c r="F111" s="1066">
        <v>42522</v>
      </c>
      <c r="G111" s="1067">
        <v>7</v>
      </c>
      <c r="H111" s="1068">
        <v>14</v>
      </c>
      <c r="I111" s="1068">
        <v>16</v>
      </c>
      <c r="J111" s="1067">
        <v>6.78</v>
      </c>
      <c r="K111" s="1082">
        <f t="shared" si="33"/>
        <v>12251.079</v>
      </c>
      <c r="L111" s="1081">
        <f>4000000/1000</f>
        <v>4000</v>
      </c>
      <c r="M111" s="1081">
        <f>16251079/1000</f>
        <v>16251.079</v>
      </c>
      <c r="N111" s="1055">
        <f t="shared" si="34"/>
        <v>85757.553</v>
      </c>
      <c r="O111" s="1083">
        <f t="shared" si="35"/>
        <v>28000</v>
      </c>
      <c r="P111" s="1055">
        <f t="shared" si="36"/>
        <v>113757.553</v>
      </c>
      <c r="Q111" s="1055"/>
      <c r="R111" s="1068">
        <v>6.78</v>
      </c>
      <c r="S111" s="1114">
        <v>110182315.62</v>
      </c>
      <c r="T111" s="1116">
        <v>-3.1428571428571361E-2</v>
      </c>
      <c r="U111" s="1074" t="s">
        <v>1559</v>
      </c>
      <c r="V111" s="1075" t="s">
        <v>1560</v>
      </c>
      <c r="W111" s="1076">
        <f>+N111+O111</f>
        <v>113757.553</v>
      </c>
      <c r="X111" s="1083"/>
    </row>
    <row r="112" spans="1:33" s="1057" customFormat="1" ht="14.85" customHeight="1" outlineLevel="1">
      <c r="B112" s="1051" t="s">
        <v>1036</v>
      </c>
      <c r="C112" s="1064" t="s">
        <v>1037</v>
      </c>
      <c r="D112" s="1065" t="s">
        <v>584</v>
      </c>
      <c r="E112" s="1064" t="s">
        <v>1038</v>
      </c>
      <c r="F112" s="1066">
        <v>42515</v>
      </c>
      <c r="G112" s="1086">
        <v>11</v>
      </c>
      <c r="H112" s="1087">
        <v>14</v>
      </c>
      <c r="I112" s="1087">
        <v>16</v>
      </c>
      <c r="J112" s="1086">
        <v>20.14</v>
      </c>
      <c r="K112" s="1082">
        <f t="shared" si="33"/>
        <v>15998.106</v>
      </c>
      <c r="L112" s="1081">
        <v>5500</v>
      </c>
      <c r="M112" s="1081">
        <v>21498.106</v>
      </c>
      <c r="N112" s="1055">
        <f t="shared" si="34"/>
        <v>175979.166</v>
      </c>
      <c r="O112" s="1083">
        <f t="shared" si="35"/>
        <v>60500</v>
      </c>
      <c r="P112" s="1055">
        <f t="shared" si="36"/>
        <v>236479.166</v>
      </c>
      <c r="Q112" s="1055"/>
      <c r="R112" s="1068">
        <v>20.14</v>
      </c>
      <c r="S112" s="1084">
        <f t="shared" ref="S112:S120" si="37">R112*M112</f>
        <v>432971.85483999999</v>
      </c>
      <c r="T112" s="1085">
        <f t="shared" ref="T112:T120" si="38">S112/P112-1</f>
        <v>0.83090909090909082</v>
      </c>
      <c r="U112" s="1088" t="s">
        <v>1039</v>
      </c>
      <c r="V112" s="1075" t="s">
        <v>1040</v>
      </c>
      <c r="W112" s="1076">
        <f t="shared" ref="W112:W120" si="39">+N112+O112</f>
        <v>236479.166</v>
      </c>
      <c r="X112" s="1078">
        <f t="shared" ref="X112:X120" si="40">+P112-W112</f>
        <v>0</v>
      </c>
      <c r="Y112" s="1089"/>
    </row>
    <row r="113" spans="1:34" s="1051" customFormat="1" ht="14.85" customHeight="1" outlineLevel="1">
      <c r="A113" s="1057"/>
      <c r="B113" s="1051" t="s">
        <v>1082</v>
      </c>
      <c r="C113" s="1064" t="s">
        <v>1083</v>
      </c>
      <c r="D113" s="1065" t="s">
        <v>584</v>
      </c>
      <c r="E113" s="1064" t="s">
        <v>1084</v>
      </c>
      <c r="F113" s="1066">
        <v>42327</v>
      </c>
      <c r="G113" s="1086">
        <v>9</v>
      </c>
      <c r="H113" s="1087">
        <v>11</v>
      </c>
      <c r="I113" s="1087">
        <v>13</v>
      </c>
      <c r="J113" s="1086">
        <v>9.11</v>
      </c>
      <c r="K113" s="1082">
        <f t="shared" si="33"/>
        <v>13470.476999999999</v>
      </c>
      <c r="L113" s="1081">
        <v>5666.6670000000004</v>
      </c>
      <c r="M113" s="1081">
        <v>19137.144</v>
      </c>
      <c r="N113" s="1055">
        <f t="shared" si="34"/>
        <v>121234.29299999999</v>
      </c>
      <c r="O113" s="1083">
        <f t="shared" si="35"/>
        <v>51000.003000000004</v>
      </c>
      <c r="P113" s="1055">
        <f t="shared" si="36"/>
        <v>172234.296</v>
      </c>
      <c r="Q113" s="1055"/>
      <c r="R113" s="1068">
        <v>9.11</v>
      </c>
      <c r="S113" s="1084">
        <f t="shared" si="37"/>
        <v>174339.38183999999</v>
      </c>
      <c r="T113" s="1085">
        <f t="shared" si="38"/>
        <v>1.2222222222222134E-2</v>
      </c>
      <c r="U113" s="1091" t="s">
        <v>1085</v>
      </c>
      <c r="V113" s="1075" t="s">
        <v>1086</v>
      </c>
      <c r="W113" s="1076">
        <f t="shared" si="39"/>
        <v>172234.296</v>
      </c>
      <c r="X113" s="1078">
        <f t="shared" si="40"/>
        <v>0</v>
      </c>
      <c r="Y113" s="1092"/>
      <c r="Z113" s="1092"/>
      <c r="AA113" s="1092"/>
      <c r="AB113" s="1092"/>
      <c r="AC113" s="1093"/>
      <c r="AD113" s="1090"/>
      <c r="AE113" s="1089"/>
      <c r="AF113" s="1092"/>
      <c r="AG113" s="1092"/>
      <c r="AH113" s="1092"/>
    </row>
    <row r="114" spans="1:34" s="1051" customFormat="1" ht="14.85" customHeight="1" outlineLevel="1">
      <c r="A114" s="1057"/>
      <c r="B114" s="1051" t="s">
        <v>1143</v>
      </c>
      <c r="C114" s="1064" t="s">
        <v>1144</v>
      </c>
      <c r="D114" s="1065" t="s">
        <v>584</v>
      </c>
      <c r="E114" s="1064" t="s">
        <v>1145</v>
      </c>
      <c r="F114" s="1066">
        <v>42208</v>
      </c>
      <c r="G114" s="1086">
        <v>15</v>
      </c>
      <c r="H114" s="1087">
        <v>14</v>
      </c>
      <c r="I114" s="1087">
        <v>16</v>
      </c>
      <c r="J114" s="1086">
        <v>24.9</v>
      </c>
      <c r="K114" s="1082">
        <f t="shared" si="33"/>
        <v>9688.7160000000003</v>
      </c>
      <c r="L114" s="1081">
        <v>4800</v>
      </c>
      <c r="M114" s="1081">
        <v>14488.716</v>
      </c>
      <c r="N114" s="1055">
        <f t="shared" si="34"/>
        <v>145330.74</v>
      </c>
      <c r="O114" s="1083">
        <f t="shared" si="35"/>
        <v>72000</v>
      </c>
      <c r="P114" s="1055">
        <f t="shared" si="36"/>
        <v>217330.74</v>
      </c>
      <c r="Q114" s="1055"/>
      <c r="R114" s="1068">
        <v>24.9</v>
      </c>
      <c r="S114" s="1084">
        <f t="shared" si="37"/>
        <v>360769.02840000001</v>
      </c>
      <c r="T114" s="1085">
        <f t="shared" si="38"/>
        <v>0.66000000000000014</v>
      </c>
      <c r="U114" s="1074" t="s">
        <v>1146</v>
      </c>
      <c r="V114" s="1075" t="s">
        <v>1147</v>
      </c>
      <c r="W114" s="1076">
        <f t="shared" si="39"/>
        <v>217330.74</v>
      </c>
      <c r="X114" s="1078">
        <f t="shared" si="40"/>
        <v>0</v>
      </c>
      <c r="Y114" s="1057"/>
      <c r="AC114" s="1083"/>
      <c r="AD114" s="1090"/>
      <c r="AE114" s="1089"/>
    </row>
    <row r="115" spans="1:34" s="1092" customFormat="1" ht="14.85" customHeight="1" outlineLevel="1">
      <c r="A115" s="1057"/>
      <c r="B115" s="1051" t="s">
        <v>1183</v>
      </c>
      <c r="C115" s="1064" t="s">
        <v>1184</v>
      </c>
      <c r="D115" s="1065" t="s">
        <v>584</v>
      </c>
      <c r="E115" s="1064" t="s">
        <v>1185</v>
      </c>
      <c r="F115" s="1066">
        <v>42129</v>
      </c>
      <c r="G115" s="1086">
        <v>10</v>
      </c>
      <c r="H115" s="1087">
        <v>13</v>
      </c>
      <c r="I115" s="1087">
        <v>15</v>
      </c>
      <c r="J115" s="1086">
        <v>8.4499999999999993</v>
      </c>
      <c r="K115" s="1082">
        <f t="shared" si="33"/>
        <v>9638.9889999999996</v>
      </c>
      <c r="L115" s="1081">
        <v>5500</v>
      </c>
      <c r="M115" s="1081">
        <v>15138.989</v>
      </c>
      <c r="N115" s="1055">
        <f t="shared" si="34"/>
        <v>96389.89</v>
      </c>
      <c r="O115" s="1083">
        <f t="shared" si="35"/>
        <v>55000</v>
      </c>
      <c r="P115" s="1055">
        <f t="shared" si="36"/>
        <v>151389.89000000001</v>
      </c>
      <c r="Q115" s="1055"/>
      <c r="R115" s="1068">
        <v>8.4499999999999993</v>
      </c>
      <c r="S115" s="1084">
        <f t="shared" si="37"/>
        <v>127924.45704999998</v>
      </c>
      <c r="T115" s="1085">
        <f t="shared" si="38"/>
        <v>-0.15500000000000014</v>
      </c>
      <c r="U115" s="1091" t="s">
        <v>1186</v>
      </c>
      <c r="V115" s="1075" t="s">
        <v>1187</v>
      </c>
      <c r="W115" s="1076">
        <f t="shared" si="39"/>
        <v>151389.89000000001</v>
      </c>
      <c r="X115" s="1078">
        <f t="shared" si="40"/>
        <v>0</v>
      </c>
      <c r="AC115" s="1118"/>
      <c r="AD115" s="1090"/>
      <c r="AE115" s="1089"/>
    </row>
    <row r="116" spans="1:34" s="1092" customFormat="1" ht="14.85" customHeight="1" outlineLevel="1">
      <c r="A116" s="1057"/>
      <c r="B116" s="1051" t="s">
        <v>1215</v>
      </c>
      <c r="C116" s="1064" t="s">
        <v>1216</v>
      </c>
      <c r="D116" s="1065" t="s">
        <v>584</v>
      </c>
      <c r="E116" s="1064" t="s">
        <v>1217</v>
      </c>
      <c r="F116" s="1066">
        <v>42108</v>
      </c>
      <c r="G116" s="1086">
        <v>19</v>
      </c>
      <c r="H116" s="1087">
        <v>18</v>
      </c>
      <c r="I116" s="1087">
        <v>20</v>
      </c>
      <c r="J116" s="1086">
        <v>19.93</v>
      </c>
      <c r="K116" s="1082">
        <f t="shared" si="33"/>
        <v>27716.631000000001</v>
      </c>
      <c r="L116" s="1081">
        <v>4000</v>
      </c>
      <c r="M116" s="1081">
        <v>31716.631000000001</v>
      </c>
      <c r="N116" s="1055">
        <f t="shared" si="34"/>
        <v>526615.98900000006</v>
      </c>
      <c r="O116" s="1083">
        <f t="shared" si="35"/>
        <v>76000</v>
      </c>
      <c r="P116" s="1055">
        <f t="shared" si="36"/>
        <v>602615.98900000006</v>
      </c>
      <c r="Q116" s="1055"/>
      <c r="R116" s="1068">
        <v>19.93</v>
      </c>
      <c r="S116" s="1084">
        <f t="shared" si="37"/>
        <v>632112.45582999999</v>
      </c>
      <c r="T116" s="1085">
        <f t="shared" si="38"/>
        <v>4.8947368421052406E-2</v>
      </c>
      <c r="U116" s="1075" t="s">
        <v>1218</v>
      </c>
      <c r="V116" s="1075" t="s">
        <v>1219</v>
      </c>
      <c r="W116" s="1076">
        <f t="shared" si="39"/>
        <v>602615.98900000006</v>
      </c>
      <c r="X116" s="1078">
        <f t="shared" si="40"/>
        <v>0</v>
      </c>
      <c r="Y116" s="1051"/>
      <c r="Z116" s="1051"/>
      <c r="AA116" s="1051"/>
      <c r="AB116" s="1083"/>
      <c r="AC116" s="1090"/>
      <c r="AD116" s="1089"/>
      <c r="AE116" s="1051"/>
      <c r="AF116" s="1051"/>
      <c r="AG116" s="1051"/>
    </row>
    <row r="117" spans="1:34" s="1092" customFormat="1" ht="14.85" customHeight="1" outlineLevel="1">
      <c r="A117" s="1057"/>
      <c r="B117" s="1051" t="s">
        <v>1230</v>
      </c>
      <c r="C117" s="1064" t="s">
        <v>1231</v>
      </c>
      <c r="D117" s="1065" t="s">
        <v>584</v>
      </c>
      <c r="E117" s="1064" t="s">
        <v>1232</v>
      </c>
      <c r="F117" s="1066">
        <v>42047</v>
      </c>
      <c r="G117" s="1086">
        <v>6</v>
      </c>
      <c r="H117" s="1087">
        <v>12</v>
      </c>
      <c r="I117" s="1087">
        <v>14</v>
      </c>
      <c r="J117" s="1086">
        <v>3.1</v>
      </c>
      <c r="K117" s="1082">
        <f t="shared" si="33"/>
        <v>5645.3540000000003</v>
      </c>
      <c r="L117" s="1081">
        <v>683.25</v>
      </c>
      <c r="M117" s="1081">
        <v>6328.6040000000003</v>
      </c>
      <c r="N117" s="1055">
        <f t="shared" si="34"/>
        <v>33872.124000000003</v>
      </c>
      <c r="O117" s="1083">
        <f t="shared" si="35"/>
        <v>4099.5</v>
      </c>
      <c r="P117" s="1055">
        <f t="shared" si="36"/>
        <v>37971.624000000003</v>
      </c>
      <c r="Q117" s="1055"/>
      <c r="R117" s="1068">
        <v>3.1</v>
      </c>
      <c r="S117" s="1084">
        <f t="shared" si="37"/>
        <v>19618.672400000003</v>
      </c>
      <c r="T117" s="1085">
        <f t="shared" si="38"/>
        <v>-0.48333333333333328</v>
      </c>
      <c r="U117" s="1075" t="s">
        <v>1233</v>
      </c>
      <c r="V117" s="1075" t="s">
        <v>1234</v>
      </c>
      <c r="W117" s="1076">
        <f t="shared" si="39"/>
        <v>37971.624000000003</v>
      </c>
      <c r="X117" s="1078">
        <f t="shared" si="40"/>
        <v>0</v>
      </c>
      <c r="AB117" s="1093"/>
      <c r="AC117" s="1090"/>
      <c r="AD117" s="1089"/>
    </row>
    <row r="118" spans="1:34" s="1092" customFormat="1" ht="14.85" customHeight="1" outlineLevel="1">
      <c r="A118" s="1057"/>
      <c r="B118" s="1051" t="s">
        <v>876</v>
      </c>
      <c r="C118" s="1064" t="s">
        <v>874</v>
      </c>
      <c r="D118" s="1065" t="s">
        <v>584</v>
      </c>
      <c r="E118" s="1064" t="s">
        <v>1235</v>
      </c>
      <c r="F118" s="1066">
        <v>42033</v>
      </c>
      <c r="G118" s="1086">
        <v>23</v>
      </c>
      <c r="H118" s="1087">
        <v>15</v>
      </c>
      <c r="I118" s="1087">
        <v>17</v>
      </c>
      <c r="J118" s="1086">
        <v>57.59</v>
      </c>
      <c r="K118" s="1082">
        <f t="shared" si="33"/>
        <v>16490.366999999998</v>
      </c>
      <c r="L118" s="1081">
        <v>7000</v>
      </c>
      <c r="M118" s="1081">
        <v>23490.366999999998</v>
      </c>
      <c r="N118" s="1055">
        <f t="shared" si="34"/>
        <v>379278.44099999999</v>
      </c>
      <c r="O118" s="1083">
        <f t="shared" si="35"/>
        <v>161000</v>
      </c>
      <c r="P118" s="1055">
        <f t="shared" si="36"/>
        <v>540278.44099999999</v>
      </c>
      <c r="Q118" s="1055"/>
      <c r="R118" s="1068">
        <v>57.59</v>
      </c>
      <c r="S118" s="1084">
        <f t="shared" si="37"/>
        <v>1352810.2355299999</v>
      </c>
      <c r="T118" s="1085">
        <f t="shared" si="38"/>
        <v>1.5039130434782608</v>
      </c>
      <c r="U118" s="1075" t="s">
        <v>875</v>
      </c>
      <c r="V118" s="1075" t="s">
        <v>877</v>
      </c>
      <c r="W118" s="1076">
        <f t="shared" si="39"/>
        <v>540278.44099999999</v>
      </c>
      <c r="X118" s="1078">
        <f t="shared" si="40"/>
        <v>0</v>
      </c>
      <c r="Y118" s="1051"/>
      <c r="Z118" s="1051"/>
      <c r="AA118" s="1051"/>
      <c r="AB118" s="1083"/>
      <c r="AC118" s="1090"/>
      <c r="AD118" s="1089"/>
      <c r="AE118" s="1051"/>
      <c r="AF118" s="1051"/>
      <c r="AG118" s="1051"/>
    </row>
    <row r="119" spans="1:34" s="1051" customFormat="1" ht="14.85" customHeight="1" outlineLevel="1">
      <c r="A119" s="1057"/>
      <c r="B119" s="1051" t="s">
        <v>1148</v>
      </c>
      <c r="C119" s="1064" t="s">
        <v>1149</v>
      </c>
      <c r="D119" s="1065" t="s">
        <v>1561</v>
      </c>
      <c r="E119" s="1064" t="s">
        <v>1150</v>
      </c>
      <c r="F119" s="1066">
        <v>42200</v>
      </c>
      <c r="G119" s="1086">
        <v>16</v>
      </c>
      <c r="H119" s="1087">
        <v>13</v>
      </c>
      <c r="I119" s="1087">
        <v>15</v>
      </c>
      <c r="J119" s="1086">
        <v>28.27</v>
      </c>
      <c r="K119" s="1082">
        <f t="shared" si="33"/>
        <v>16609.642</v>
      </c>
      <c r="L119" s="1081">
        <v>6365</v>
      </c>
      <c r="M119" s="1081">
        <v>22974.642</v>
      </c>
      <c r="N119" s="1055">
        <f t="shared" si="34"/>
        <v>265754.272</v>
      </c>
      <c r="O119" s="1083">
        <f t="shared" si="35"/>
        <v>101840</v>
      </c>
      <c r="P119" s="1055">
        <f t="shared" si="36"/>
        <v>367594.272</v>
      </c>
      <c r="Q119" s="1055"/>
      <c r="R119" s="1068">
        <v>28.27</v>
      </c>
      <c r="S119" s="1084">
        <f t="shared" si="37"/>
        <v>649493.12933999998</v>
      </c>
      <c r="T119" s="1085">
        <f t="shared" si="38"/>
        <v>0.76687499999999997</v>
      </c>
      <c r="U119" s="1091" t="s">
        <v>1151</v>
      </c>
      <c r="V119" s="1075" t="s">
        <v>1152</v>
      </c>
      <c r="W119" s="1076">
        <f t="shared" si="39"/>
        <v>367594.272</v>
      </c>
      <c r="X119" s="1078">
        <f t="shared" si="40"/>
        <v>0</v>
      </c>
      <c r="Y119" s="1094"/>
      <c r="Z119" s="1093"/>
      <c r="AA119" s="1094"/>
      <c r="AB119" s="1095"/>
      <c r="AC119" s="1093"/>
      <c r="AD119" s="1090"/>
      <c r="AE119" s="1089"/>
      <c r="AF119" s="1091"/>
      <c r="AG119" s="1096"/>
      <c r="AH119" s="1096"/>
    </row>
    <row r="120" spans="1:34" s="1092" customFormat="1" ht="14.85" customHeight="1" outlineLevel="1">
      <c r="A120" s="1057"/>
      <c r="B120" s="1051" t="s">
        <v>1178</v>
      </c>
      <c r="C120" s="1064" t="s">
        <v>1179</v>
      </c>
      <c r="D120" s="1065" t="s">
        <v>1561</v>
      </c>
      <c r="E120" s="1064" t="s">
        <v>1180</v>
      </c>
      <c r="F120" s="1066">
        <v>42130</v>
      </c>
      <c r="G120" s="1086">
        <v>12</v>
      </c>
      <c r="H120" s="1087">
        <v>12</v>
      </c>
      <c r="I120" s="1087">
        <v>14</v>
      </c>
      <c r="J120" s="1086">
        <v>19.079999999999998</v>
      </c>
      <c r="K120" s="1082">
        <f t="shared" si="33"/>
        <v>13907.935000000001</v>
      </c>
      <c r="L120" s="1081">
        <v>5800</v>
      </c>
      <c r="M120" s="1081">
        <v>19707.935000000001</v>
      </c>
      <c r="N120" s="1055">
        <f t="shared" si="34"/>
        <v>166895.22000000003</v>
      </c>
      <c r="O120" s="1083">
        <f t="shared" si="35"/>
        <v>69600</v>
      </c>
      <c r="P120" s="1055">
        <f t="shared" si="36"/>
        <v>236495.22000000003</v>
      </c>
      <c r="Q120" s="1055"/>
      <c r="R120" s="1068">
        <v>19.079999999999998</v>
      </c>
      <c r="S120" s="1084">
        <f t="shared" si="37"/>
        <v>376027.39980000001</v>
      </c>
      <c r="T120" s="1085">
        <f t="shared" si="38"/>
        <v>0.58999999999999986</v>
      </c>
      <c r="U120" s="1074" t="s">
        <v>1181</v>
      </c>
      <c r="V120" s="1075" t="s">
        <v>1182</v>
      </c>
      <c r="W120" s="1076">
        <f t="shared" si="39"/>
        <v>236495.22000000003</v>
      </c>
      <c r="X120" s="1078">
        <f t="shared" si="40"/>
        <v>0</v>
      </c>
      <c r="Y120" s="1057"/>
      <c r="Z120" s="1051"/>
      <c r="AA120" s="1051"/>
      <c r="AB120" s="1051"/>
      <c r="AC120" s="1083"/>
      <c r="AD120" s="1090"/>
      <c r="AE120" s="1089"/>
      <c r="AF120" s="1051"/>
      <c r="AG120" s="1051"/>
      <c r="AH120" s="1051"/>
    </row>
    <row r="121" spans="1:34" s="1051" customFormat="1" ht="14.85" customHeight="1" outlineLevel="1">
      <c r="F121" s="1119"/>
      <c r="G121" s="1119"/>
      <c r="H121" s="1119"/>
      <c r="I121" s="1119"/>
      <c r="J121" s="1119"/>
      <c r="K121" s="1119"/>
      <c r="L121" s="1119"/>
      <c r="M121" s="1119"/>
      <c r="N121" s="1119"/>
      <c r="O121" s="1119"/>
      <c r="P121" s="1119"/>
      <c r="Q121" s="1055"/>
      <c r="R121" s="1119"/>
    </row>
    <row r="122" spans="1:34" s="1051" customFormat="1" ht="14.85" customHeight="1" outlineLevel="1">
      <c r="B122" s="1098" t="s">
        <v>111</v>
      </c>
      <c r="C122" s="1099"/>
      <c r="D122" s="1099"/>
      <c r="E122" s="1099"/>
      <c r="F122" s="1099"/>
      <c r="G122" s="1099"/>
      <c r="H122" s="1099"/>
      <c r="I122" s="1099"/>
      <c r="J122" s="1099"/>
      <c r="K122" s="1099"/>
      <c r="L122" s="1099"/>
      <c r="M122" s="1099"/>
      <c r="N122" s="1100">
        <f>MAX(N109:N120)</f>
        <v>526615.98900000006</v>
      </c>
      <c r="O122" s="1100"/>
      <c r="P122" s="1101">
        <f>MAX(P109:P120)</f>
        <v>602615.98900000006</v>
      </c>
      <c r="Q122" s="1055"/>
      <c r="R122" s="1120">
        <f>MAX(R110:R120)</f>
        <v>57.59</v>
      </c>
    </row>
    <row r="123" spans="1:34" s="1051" customFormat="1" ht="14.85" customHeight="1" outlineLevel="1">
      <c r="B123" s="1103" t="s">
        <v>115</v>
      </c>
      <c r="C123" s="1104"/>
      <c r="D123" s="1104"/>
      <c r="E123" s="1104"/>
      <c r="F123" s="1104"/>
      <c r="G123" s="1104"/>
      <c r="H123" s="1104"/>
      <c r="I123" s="1104"/>
      <c r="J123" s="1104"/>
      <c r="K123" s="1104"/>
      <c r="L123" s="1104"/>
      <c r="M123" s="1104"/>
      <c r="N123" s="1105">
        <f>QUARTILE(N109:N120,3)</f>
        <v>294135.31425</v>
      </c>
      <c r="O123" s="1105"/>
      <c r="P123" s="1106">
        <f>QUARTILE(P109:P120,3)</f>
        <v>383473.16899999999</v>
      </c>
      <c r="Q123" s="1055"/>
      <c r="R123" s="1121">
        <f>QUARTILE(R110:R120,3)</f>
        <v>22.744999999999997</v>
      </c>
    </row>
    <row r="124" spans="1:34" s="1051" customFormat="1" ht="14.85" customHeight="1" outlineLevel="1">
      <c r="B124" s="1103" t="s">
        <v>43</v>
      </c>
      <c r="C124" s="1104"/>
      <c r="D124" s="1104"/>
      <c r="E124" s="1104"/>
      <c r="F124" s="1104"/>
      <c r="G124" s="1104"/>
      <c r="H124" s="1104"/>
      <c r="I124" s="1104"/>
      <c r="J124" s="1104"/>
      <c r="K124" s="1104"/>
      <c r="L124" s="1104"/>
      <c r="M124" s="1104"/>
      <c r="N124" s="1105">
        <f>AVERAGE(N109:N120)</f>
        <v>212349.33975000001</v>
      </c>
      <c r="O124" s="1105"/>
      <c r="P124" s="1106">
        <f>AVERAGE(P109:P120)</f>
        <v>272984.77499999997</v>
      </c>
      <c r="Q124" s="1055"/>
      <c r="R124" s="1121">
        <f>AVERAGE(R110:R120)</f>
        <v>19.812727272727273</v>
      </c>
    </row>
    <row r="125" spans="1:34" s="1051" customFormat="1" ht="14.85" customHeight="1" outlineLevel="1">
      <c r="B125" s="1103" t="s">
        <v>44</v>
      </c>
      <c r="C125" s="1104"/>
      <c r="D125" s="1104"/>
      <c r="E125" s="1104"/>
      <c r="F125" s="1104"/>
      <c r="G125" s="1104"/>
      <c r="H125" s="1104"/>
      <c r="I125" s="1104"/>
      <c r="J125" s="1104"/>
      <c r="K125" s="1104"/>
      <c r="L125" s="1104"/>
      <c r="M125" s="1104"/>
      <c r="N125" s="1105">
        <f>MEDIAN(N109:N120)</f>
        <v>156112.98000000001</v>
      </c>
      <c r="O125" s="1105"/>
      <c r="P125" s="1106">
        <f>MEDIAN(P109:P120)</f>
        <v>226904.95299999998</v>
      </c>
      <c r="Q125" s="1055"/>
      <c r="R125" s="1121">
        <f>MEDIAN(R110:R120)</f>
        <v>19.93</v>
      </c>
    </row>
    <row r="126" spans="1:34" s="1051" customFormat="1" ht="14.85" customHeight="1" outlineLevel="1">
      <c r="B126" s="1103" t="s">
        <v>114</v>
      </c>
      <c r="C126" s="1104"/>
      <c r="D126" s="1104"/>
      <c r="E126" s="1104"/>
      <c r="F126" s="1104"/>
      <c r="G126" s="1104"/>
      <c r="H126" s="1104"/>
      <c r="I126" s="1104"/>
      <c r="J126" s="1104"/>
      <c r="K126" s="1104"/>
      <c r="L126" s="1104"/>
      <c r="M126" s="1104"/>
      <c r="N126" s="1105">
        <f>QUARTILE(N109:N120,1)</f>
        <v>115023.19224999999</v>
      </c>
      <c r="O126" s="1105"/>
      <c r="P126" s="1106">
        <f>QUARTILE(P109:P120,1)</f>
        <v>164267.65925000003</v>
      </c>
      <c r="Q126" s="1055"/>
      <c r="R126" s="1121">
        <f>QUARTILE(R110:R120,1)</f>
        <v>8.7799999999999994</v>
      </c>
    </row>
    <row r="127" spans="1:34" s="1051" customFormat="1" ht="14.85" customHeight="1" outlineLevel="1">
      <c r="B127" s="1108" t="s">
        <v>112</v>
      </c>
      <c r="C127" s="1109"/>
      <c r="D127" s="1109"/>
      <c r="E127" s="1109"/>
      <c r="F127" s="1109"/>
      <c r="G127" s="1109"/>
      <c r="H127" s="1109"/>
      <c r="I127" s="1109"/>
      <c r="J127" s="1109"/>
      <c r="K127" s="1109"/>
      <c r="L127" s="1109"/>
      <c r="M127" s="1109"/>
      <c r="N127" s="1110">
        <f>MIN(N109:N120)</f>
        <v>33872.124000000003</v>
      </c>
      <c r="O127" s="1110"/>
      <c r="P127" s="1111">
        <f>MIN(P109:P120)</f>
        <v>37971.624000000003</v>
      </c>
      <c r="Q127" s="1055"/>
      <c r="R127" s="1122">
        <f>MIN(R110:R120)</f>
        <v>3.1</v>
      </c>
    </row>
    <row r="128" spans="1:34" s="1051" customFormat="1" ht="14.85" customHeight="1" outlineLevel="1">
      <c r="F128" s="1119"/>
      <c r="G128" s="1119"/>
      <c r="H128" s="1119"/>
      <c r="I128" s="1119"/>
      <c r="J128" s="1119"/>
      <c r="K128" s="1119"/>
      <c r="L128" s="1119"/>
      <c r="M128" s="1119"/>
      <c r="N128" s="1119"/>
      <c r="O128" s="1119"/>
      <c r="P128" s="1119"/>
      <c r="Q128" s="1055"/>
      <c r="R128" s="1119"/>
    </row>
    <row r="129" spans="2:18" s="1051" customFormat="1" ht="14.85" customHeight="1" outlineLevel="1">
      <c r="B129" s="1113" t="s">
        <v>1562</v>
      </c>
      <c r="F129" s="1119"/>
      <c r="G129" s="1119"/>
      <c r="H129" s="1119"/>
      <c r="I129" s="1119"/>
      <c r="J129" s="1119"/>
      <c r="K129" s="1119"/>
      <c r="L129" s="1119"/>
      <c r="M129" s="1119"/>
      <c r="N129" s="1119"/>
      <c r="O129" s="1119"/>
      <c r="P129" s="1119"/>
      <c r="Q129" s="1055"/>
      <c r="R129" s="1119"/>
    </row>
    <row r="130" spans="2:18" s="1051" customFormat="1" ht="14.85" customHeight="1">
      <c r="B130" s="1098" t="s">
        <v>111</v>
      </c>
      <c r="C130" s="1099"/>
      <c r="D130" s="1099"/>
      <c r="E130" s="1099"/>
      <c r="F130" s="1099"/>
      <c r="G130" s="1099"/>
      <c r="H130" s="1099"/>
      <c r="I130" s="1099"/>
      <c r="J130" s="1099"/>
      <c r="K130" s="1099"/>
      <c r="L130" s="1099"/>
      <c r="M130" s="1099"/>
      <c r="N130" s="1123">
        <f>MAX(N11:N19)</f>
        <v>1558841.55</v>
      </c>
      <c r="O130" s="1123"/>
      <c r="P130" s="1124">
        <f>MAX(P11:P19)</f>
        <v>1649841.55</v>
      </c>
      <c r="Q130" s="1055"/>
      <c r="R130" s="1125">
        <f>MAX(R11:R19)</f>
        <v>2396147.65478</v>
      </c>
    </row>
    <row r="131" spans="2:18" s="1051" customFormat="1" ht="14.85" customHeight="1">
      <c r="B131" s="1103" t="s">
        <v>115</v>
      </c>
      <c r="C131" s="1104"/>
      <c r="D131" s="1104"/>
      <c r="E131" s="1104"/>
      <c r="F131" s="1104"/>
      <c r="G131" s="1104"/>
      <c r="H131" s="1104"/>
      <c r="I131" s="1104"/>
      <c r="J131" s="1104"/>
      <c r="K131" s="1104"/>
      <c r="L131" s="1104"/>
      <c r="M131" s="1104"/>
      <c r="N131" s="1126">
        <f>QUARTILE(N11:N19,3)</f>
        <v>383102.17200000002</v>
      </c>
      <c r="O131" s="1126"/>
      <c r="P131" s="1127">
        <f>QUARTILE(P11:P19,3)</f>
        <v>473102.17200000002</v>
      </c>
      <c r="Q131" s="1055"/>
      <c r="R131" s="1128">
        <f>QUARTILE(R11:R19,3)</f>
        <v>811370.22498000006</v>
      </c>
    </row>
    <row r="132" spans="2:18" s="1051" customFormat="1" ht="14.85" customHeight="1">
      <c r="B132" s="1103" t="s">
        <v>43</v>
      </c>
      <c r="C132" s="1104"/>
      <c r="D132" s="1104"/>
      <c r="E132" s="1104"/>
      <c r="F132" s="1104"/>
      <c r="G132" s="1104"/>
      <c r="H132" s="1104"/>
      <c r="I132" s="1104"/>
      <c r="J132" s="1104"/>
      <c r="K132" s="1104"/>
      <c r="L132" s="1104"/>
      <c r="M132" s="1104"/>
      <c r="N132" s="1126">
        <f>AVERAGE(N11:N19)</f>
        <v>437432.04233333335</v>
      </c>
      <c r="O132" s="1126"/>
      <c r="P132" s="1127">
        <f>AVERAGE(P11:P19)</f>
        <v>498380.74544444442</v>
      </c>
      <c r="Q132" s="1055"/>
      <c r="R132" s="1128">
        <f>AVERAGE(R11:R19)</f>
        <v>636479.52348444448</v>
      </c>
    </row>
    <row r="133" spans="2:18" s="1051" customFormat="1" ht="14.85" customHeight="1">
      <c r="B133" s="1103" t="s">
        <v>44</v>
      </c>
      <c r="C133" s="1104"/>
      <c r="D133" s="1104"/>
      <c r="E133" s="1104"/>
      <c r="F133" s="1104"/>
      <c r="G133" s="1104"/>
      <c r="H133" s="1104"/>
      <c r="I133" s="1104"/>
      <c r="J133" s="1104"/>
      <c r="K133" s="1104"/>
      <c r="L133" s="1104"/>
      <c r="M133" s="1104"/>
      <c r="N133" s="1126">
        <f>MEDIAN(N11:N19)</f>
        <v>154237.644</v>
      </c>
      <c r="O133" s="1126"/>
      <c r="P133" s="1127">
        <f>MEDIAN(P11:P19)</f>
        <v>198237.644</v>
      </c>
      <c r="Q133" s="1055"/>
      <c r="R133" s="1128">
        <f>MEDIAN(R11:R19)</f>
        <v>268554.77220000001</v>
      </c>
    </row>
    <row r="134" spans="2:18" s="1051" customFormat="1" ht="14.85" customHeight="1">
      <c r="B134" s="1103" t="s">
        <v>114</v>
      </c>
      <c r="C134" s="1104"/>
      <c r="D134" s="1104"/>
      <c r="E134" s="1104"/>
      <c r="F134" s="1104"/>
      <c r="G134" s="1104"/>
      <c r="H134" s="1104"/>
      <c r="I134" s="1104"/>
      <c r="J134" s="1104"/>
      <c r="K134" s="1104"/>
      <c r="L134" s="1104"/>
      <c r="M134" s="1104"/>
      <c r="N134" s="1126">
        <f>QUARTILE(N11:N19,1)</f>
        <v>73793.01999999999</v>
      </c>
      <c r="O134" s="1126"/>
      <c r="P134" s="1127">
        <f>QUARTILE(P11:P19,1)</f>
        <v>105043.01999999999</v>
      </c>
      <c r="Q134" s="1055"/>
      <c r="R134" s="1128">
        <f>QUARTILE(R11:R19,1)</f>
        <v>105253.10604</v>
      </c>
    </row>
    <row r="135" spans="2:18" s="1051" customFormat="1" ht="14.85" customHeight="1">
      <c r="B135" s="1108" t="s">
        <v>112</v>
      </c>
      <c r="C135" s="1109"/>
      <c r="D135" s="1109"/>
      <c r="E135" s="1109"/>
      <c r="F135" s="1109"/>
      <c r="G135" s="1109"/>
      <c r="H135" s="1109"/>
      <c r="I135" s="1109"/>
      <c r="J135" s="1109"/>
      <c r="K135" s="1109"/>
      <c r="L135" s="1109"/>
      <c r="M135" s="1109"/>
      <c r="N135" s="1129">
        <f>MIN(N11:N19)</f>
        <v>31347.355</v>
      </c>
      <c r="O135" s="1129"/>
      <c r="P135" s="1130">
        <f>MIN(P11:P19)</f>
        <v>41422.354999999996</v>
      </c>
      <c r="Q135" s="1055"/>
      <c r="R135" s="1131">
        <f>MIN(R11:R19)</f>
        <v>15931.674999999999</v>
      </c>
    </row>
    <row r="136" spans="2:18" ht="14.85" customHeight="1">
      <c r="Q136" s="1040"/>
      <c r="R136" s="1132"/>
    </row>
    <row r="137" spans="2:18" ht="14.85" customHeight="1">
      <c r="B137" s="279" t="s">
        <v>116</v>
      </c>
    </row>
    <row r="138" spans="2:18" ht="14.85" customHeight="1">
      <c r="C138" s="1033" t="s">
        <v>1260</v>
      </c>
    </row>
    <row r="139" spans="2:18" ht="14.85" customHeight="1">
      <c r="C139" s="1033" t="s">
        <v>1261</v>
      </c>
    </row>
    <row r="140" spans="2:18" ht="14.85" customHeight="1">
      <c r="C140" s="1033" t="s">
        <v>1262</v>
      </c>
    </row>
    <row r="141" spans="2:18" ht="14.85" customHeight="1">
      <c r="C141" s="1033" t="s">
        <v>1263</v>
      </c>
    </row>
    <row r="142" spans="2:18" ht="14.85" customHeight="1">
      <c r="C142" s="1033" t="s">
        <v>1264</v>
      </c>
    </row>
    <row r="143" spans="2:18" ht="14.85" customHeight="1">
      <c r="C143" s="1033" t="s">
        <v>1265</v>
      </c>
    </row>
    <row r="144" spans="2:18" ht="14.85" customHeight="1">
      <c r="C144" s="1033" t="s">
        <v>1318</v>
      </c>
    </row>
    <row r="145" spans="3:3" ht="14.85" customHeight="1">
      <c r="C145" s="1033" t="s">
        <v>1266</v>
      </c>
    </row>
    <row r="146" spans="3:3" ht="14.85" customHeight="1">
      <c r="C146" s="1033" t="s">
        <v>1267</v>
      </c>
    </row>
    <row r="147" spans="3:3" ht="14.85" customHeight="1">
      <c r="C147" s="1033" t="s">
        <v>1268</v>
      </c>
    </row>
    <row r="148" spans="3:3" ht="14.85" customHeight="1">
      <c r="C148" s="1033" t="s">
        <v>1269</v>
      </c>
    </row>
    <row r="149" spans="3:3" ht="14.85" customHeight="1">
      <c r="C149" s="1033" t="s">
        <v>1270</v>
      </c>
    </row>
    <row r="150" spans="3:3" ht="14.85" customHeight="1">
      <c r="C150" s="1033" t="s">
        <v>1271</v>
      </c>
    </row>
    <row r="151" spans="3:3" ht="14.85" customHeight="1">
      <c r="C151" s="1033" t="s">
        <v>1272</v>
      </c>
    </row>
    <row r="152" spans="3:3" ht="14.85" customHeight="1">
      <c r="C152" s="1033" t="s">
        <v>1273</v>
      </c>
    </row>
    <row r="153" spans="3:3" ht="14.85" customHeight="1">
      <c r="C153" s="1033" t="s">
        <v>1274</v>
      </c>
    </row>
    <row r="154" spans="3:3" ht="14.85" customHeight="1">
      <c r="C154" s="1033" t="s">
        <v>1319</v>
      </c>
    </row>
    <row r="155" spans="3:3" ht="14.85" customHeight="1">
      <c r="C155" s="1033" t="s">
        <v>1320</v>
      </c>
    </row>
    <row r="156" spans="3:3" ht="14.85" customHeight="1">
      <c r="C156" s="1033" t="s">
        <v>1275</v>
      </c>
    </row>
    <row r="157" spans="3:3" ht="14.85" customHeight="1">
      <c r="C157" s="1033" t="s">
        <v>915</v>
      </c>
    </row>
    <row r="158" spans="3:3" ht="14.85" customHeight="1">
      <c r="C158" s="1033" t="s">
        <v>1276</v>
      </c>
    </row>
    <row r="159" spans="3:3" ht="14.85" customHeight="1">
      <c r="C159" s="1033" t="s">
        <v>1277</v>
      </c>
    </row>
    <row r="160" spans="3:3" ht="14.85" customHeight="1">
      <c r="C160" s="1033" t="s">
        <v>1279</v>
      </c>
    </row>
    <row r="161" spans="3:3" ht="14.85" customHeight="1">
      <c r="C161" s="1033" t="s">
        <v>1282</v>
      </c>
    </row>
    <row r="162" spans="3:3" ht="14.85" customHeight="1">
      <c r="C162" s="1033" t="s">
        <v>1284</v>
      </c>
    </row>
    <row r="163" spans="3:3" ht="14.85" customHeight="1">
      <c r="C163" s="1033" t="s">
        <v>1288</v>
      </c>
    </row>
    <row r="164" spans="3:3" ht="14.85" customHeight="1">
      <c r="C164" s="1033" t="s">
        <v>1292</v>
      </c>
    </row>
    <row r="165" spans="3:3" ht="14.85" customHeight="1">
      <c r="C165" s="1033" t="s">
        <v>1293</v>
      </c>
    </row>
    <row r="166" spans="3:3" ht="14.85" customHeight="1">
      <c r="C166" s="1033" t="s">
        <v>1294</v>
      </c>
    </row>
    <row r="167" spans="3:3" ht="14.85" customHeight="1">
      <c r="C167" s="1033" t="s">
        <v>1296</v>
      </c>
    </row>
    <row r="168" spans="3:3" ht="14.85" customHeight="1">
      <c r="C168" s="1033" t="s">
        <v>1300</v>
      </c>
    </row>
    <row r="169" spans="3:3" ht="14.85" customHeight="1">
      <c r="C169" s="1033" t="s">
        <v>1301</v>
      </c>
    </row>
    <row r="170" spans="3:3" ht="14.85" customHeight="1">
      <c r="C170" s="1033" t="s">
        <v>1302</v>
      </c>
    </row>
    <row r="171" spans="3:3" ht="14.85" customHeight="1">
      <c r="C171" s="1033" t="s">
        <v>1321</v>
      </c>
    </row>
    <row r="172" spans="3:3" ht="14.85" customHeight="1">
      <c r="C172" s="1033" t="s">
        <v>1303</v>
      </c>
    </row>
    <row r="173" spans="3:3" ht="14.85" customHeight="1">
      <c r="C173" s="1033" t="s">
        <v>1304</v>
      </c>
    </row>
    <row r="174" spans="3:3" ht="14.85" customHeight="1">
      <c r="C174" s="1033" t="s">
        <v>1305</v>
      </c>
    </row>
    <row r="175" spans="3:3" ht="14.85" customHeight="1">
      <c r="C175" s="1033" t="s">
        <v>1306</v>
      </c>
    </row>
    <row r="176" spans="3:3" ht="14.85" customHeight="1">
      <c r="C176" s="1033" t="s">
        <v>1307</v>
      </c>
    </row>
    <row r="177" spans="3:3" ht="14.85" customHeight="1">
      <c r="C177" s="1033" t="s">
        <v>1308</v>
      </c>
    </row>
    <row r="178" spans="3:3" ht="14.85" customHeight="1">
      <c r="C178" s="1033" t="s">
        <v>1309</v>
      </c>
    </row>
    <row r="179" spans="3:3" ht="14.85" customHeight="1">
      <c r="C179" s="1033" t="s">
        <v>1310</v>
      </c>
    </row>
    <row r="180" spans="3:3" ht="14.85" customHeight="1">
      <c r="C180" s="1033" t="s">
        <v>1311</v>
      </c>
    </row>
    <row r="181" spans="3:3" ht="14.85" customHeight="1">
      <c r="C181" s="1033" t="s">
        <v>1312</v>
      </c>
    </row>
    <row r="182" spans="3:3" ht="14.85" customHeight="1">
      <c r="C182" s="1033" t="s">
        <v>1313</v>
      </c>
    </row>
    <row r="183" spans="3:3" ht="14.85" customHeight="1">
      <c r="C183" s="1033" t="s">
        <v>1314</v>
      </c>
    </row>
    <row r="184" spans="3:3" ht="14.85" customHeight="1">
      <c r="C184" s="1033" t="s">
        <v>1315</v>
      </c>
    </row>
    <row r="185" spans="3:3" ht="14.85" customHeight="1">
      <c r="C185" s="1033" t="s">
        <v>1316</v>
      </c>
    </row>
    <row r="186" spans="3:3" ht="14.85" customHeight="1">
      <c r="C186" s="1033" t="s">
        <v>1317</v>
      </c>
    </row>
    <row r="187" spans="3:3" ht="14.85" customHeight="1"/>
    <row r="188" spans="3:3" ht="14.85" customHeight="1"/>
    <row r="189" spans="3:3" ht="14.85" customHeight="1"/>
    <row r="190" spans="3:3" ht="14.85" customHeight="1"/>
    <row r="191" spans="3:3" ht="14.85" customHeight="1"/>
    <row r="192" spans="3:3"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20">
    <mergeCell ref="F8:F9"/>
    <mergeCell ref="K8:K9"/>
    <mergeCell ref="O8:O9"/>
    <mergeCell ref="P8:P9"/>
    <mergeCell ref="R8:R9"/>
    <mergeCell ref="S8:S9"/>
    <mergeCell ref="T8:T9"/>
    <mergeCell ref="U8:U9"/>
    <mergeCell ref="G8:G9"/>
    <mergeCell ref="H8:I8"/>
    <mergeCell ref="J8:J9"/>
    <mergeCell ref="L8:L9"/>
    <mergeCell ref="M8:M9"/>
    <mergeCell ref="N8:N9"/>
    <mergeCell ref="AD8:AD9"/>
    <mergeCell ref="X8:X9"/>
    <mergeCell ref="Z8:Z9"/>
    <mergeCell ref="AA8:AA9"/>
    <mergeCell ref="AB8:AB9"/>
    <mergeCell ref="AC8:AC9"/>
  </mergeCells>
  <conditionalFormatting sqref="C4:E4">
    <cfRule type="cellIs" dxfId="83" priority="8" stopIfTrue="1" operator="equal">
      <formula>"input"</formula>
    </cfRule>
  </conditionalFormatting>
  <conditionalFormatting sqref="F4:G4">
    <cfRule type="cellIs" dxfId="82" priority="7" stopIfTrue="1" operator="equal">
      <formula>"input"</formula>
    </cfRule>
  </conditionalFormatting>
  <conditionalFormatting sqref="H4:I4">
    <cfRule type="cellIs" dxfId="81" priority="6" stopIfTrue="1" operator="equal">
      <formula>"input"</formula>
    </cfRule>
  </conditionalFormatting>
  <conditionalFormatting sqref="J4:K4">
    <cfRule type="cellIs" dxfId="80" priority="5" stopIfTrue="1" operator="equal">
      <formula>"input"</formula>
    </cfRule>
  </conditionalFormatting>
  <conditionalFormatting sqref="L4:M4">
    <cfRule type="cellIs" dxfId="79" priority="4" stopIfTrue="1" operator="equal">
      <formula>"input"</formula>
    </cfRule>
  </conditionalFormatting>
  <conditionalFormatting sqref="N4:O4">
    <cfRule type="cellIs" dxfId="78" priority="3" stopIfTrue="1" operator="equal">
      <formula>"input"</formula>
    </cfRule>
  </conditionalFormatting>
  <conditionalFormatting sqref="P4">
    <cfRule type="cellIs" dxfId="77" priority="2" stopIfTrue="1" operator="equal">
      <formula>"input"</formula>
    </cfRule>
  </conditionalFormatting>
  <conditionalFormatting sqref="B4">
    <cfRule type="cellIs" dxfId="76" priority="1" stopIfTrue="1" operator="equal">
      <formula>"input"</formula>
    </cfRule>
  </conditionalFormatting>
  <pageMargins left="0.5" right="0.5" top="0.5" bottom="0.5" header="0.5" footer="0.5"/>
  <pageSetup scale="78" fitToWidth="0" fitToHeight="0" orientation="landscape" r:id="rId1"/>
  <rowBreaks count="3" manualBreakCount="3">
    <brk id="46" max="16" man="1"/>
    <brk id="77" max="16" man="1"/>
    <brk id="107" max="16" man="1"/>
  </rowBreaks>
  <legacyDrawing r:id="rId2"/>
  <legacyDrawingHF r:id="rId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51"/>
  <dimension ref="B1:AQ764"/>
  <sheetViews>
    <sheetView showGridLines="0" view="pageBreakPreview" zoomScale="80" zoomScaleNormal="100" zoomScaleSheetLayoutView="80" workbookViewId="0"/>
  </sheetViews>
  <sheetFormatPr defaultRowHeight="14.25" outlineLevelCol="1"/>
  <cols>
    <col min="1" max="1" width="4.5" style="234" customWidth="1"/>
    <col min="2" max="2" width="45.5" style="234" customWidth="1"/>
    <col min="3" max="3" width="14.83203125" style="234" customWidth="1"/>
    <col min="4" max="4" width="2.83203125" style="234" customWidth="1"/>
    <col min="5" max="6" width="14.83203125" style="234" hidden="1" customWidth="1" outlineLevel="1"/>
    <col min="7" max="7" width="14.83203125" style="234" customWidth="1" collapsed="1"/>
    <col min="8" max="8" width="2.83203125" style="234" hidden="1" customWidth="1" outlineLevel="1"/>
    <col min="9" max="9" width="14.83203125" style="234" customWidth="1" collapsed="1"/>
    <col min="10" max="10" width="17.1640625" style="234" customWidth="1"/>
    <col min="11" max="11" width="2.83203125" style="234" customWidth="1"/>
    <col min="12" max="13" width="14.83203125" style="234" hidden="1" customWidth="1" outlineLevel="1"/>
    <col min="14" max="14" width="14.83203125" style="234" customWidth="1" collapsed="1"/>
    <col min="15" max="15" width="2.83203125" style="234" hidden="1" customWidth="1" outlineLevel="1"/>
    <col min="16" max="16" width="14.83203125" style="234" customWidth="1" collapsed="1"/>
    <col min="17" max="17" width="14.83203125" style="234" customWidth="1"/>
    <col min="18" max="18" width="4.5" style="234" customWidth="1"/>
    <col min="19" max="19" width="21.5" style="234" bestFit="1" customWidth="1"/>
    <col min="20" max="21" width="12.83203125" style="234" customWidth="1"/>
    <col min="22" max="22" width="5.83203125" style="234" customWidth="1"/>
    <col min="23" max="23" width="16.33203125" style="234" customWidth="1"/>
    <col min="24" max="26" width="12.83203125" style="234" customWidth="1"/>
    <col min="27" max="27" width="19.83203125" style="234" bestFit="1" customWidth="1"/>
    <col min="28" max="28" width="15.33203125" style="234" bestFit="1" customWidth="1"/>
    <col min="29" max="29" width="5.83203125" style="234" customWidth="1"/>
    <col min="30" max="30" width="17.83203125" style="234" bestFit="1" customWidth="1"/>
    <col min="31" max="31" width="10.6640625" style="234" bestFit="1" customWidth="1"/>
    <col min="32" max="32" width="9.33203125" style="234"/>
    <col min="33" max="39" width="14.83203125" style="234" customWidth="1"/>
    <col min="40" max="40" width="19.1640625" style="234" customWidth="1"/>
    <col min="41" max="41" width="9.33203125" style="234"/>
    <col min="42" max="42" width="14.5" style="234" customWidth="1"/>
    <col min="43" max="43" width="19.5" style="234" customWidth="1"/>
    <col min="44" max="16384" width="9.33203125" style="234"/>
  </cols>
  <sheetData>
    <row r="1" spans="2:43" ht="10.7" customHeight="1" thickBot="1"/>
    <row r="2" spans="2:43" ht="16.5" customHeight="1" thickTop="1">
      <c r="B2" s="223" t="str">
        <f>'MASTER PubCo Inputs'!$C$5</f>
        <v>Trucode Gene Repair, Inc.</v>
      </c>
      <c r="C2" s="223"/>
      <c r="D2" s="223"/>
      <c r="E2" s="223"/>
      <c r="F2" s="223"/>
      <c r="G2" s="223"/>
      <c r="H2" s="223"/>
      <c r="I2" s="223"/>
      <c r="J2" s="223"/>
      <c r="K2" s="223"/>
      <c r="L2" s="223"/>
      <c r="M2" s="223"/>
      <c r="N2" s="223"/>
      <c r="O2" s="223"/>
      <c r="P2" s="223"/>
      <c r="Q2" s="223"/>
      <c r="AO2" s="779" t="s">
        <v>87</v>
      </c>
      <c r="AP2" s="780">
        <f>'MASTER PubCo Inputs'!$C$6</f>
        <v>43496</v>
      </c>
    </row>
    <row r="3" spans="2:43" ht="15.75" customHeight="1">
      <c r="B3" s="232" t="e">
        <f>VLOOKUP(B4,Outline!$E$8:$G$65,COLUMNS(Outline!$E$8:$G$8),FALSE)</f>
        <v>#N/A</v>
      </c>
      <c r="C3" s="232"/>
      <c r="D3" s="232"/>
      <c r="E3" s="232"/>
      <c r="F3" s="232"/>
      <c r="G3" s="232"/>
      <c r="H3" s="232"/>
      <c r="I3" s="232"/>
      <c r="J3" s="232"/>
      <c r="K3" s="232"/>
      <c r="L3" s="232"/>
      <c r="M3" s="232"/>
      <c r="N3" s="232"/>
      <c r="O3" s="232"/>
      <c r="P3" s="232"/>
      <c r="Q3" s="232"/>
      <c r="AO3" s="619" t="s">
        <v>455</v>
      </c>
      <c r="AP3" s="781" t="s">
        <v>457</v>
      </c>
    </row>
    <row r="4" spans="2:43" ht="16.5" customHeight="1" thickBot="1">
      <c r="B4" s="225" t="s">
        <v>718</v>
      </c>
      <c r="C4" s="225"/>
      <c r="D4" s="631"/>
      <c r="E4" s="225"/>
      <c r="F4" s="225"/>
      <c r="G4" s="225"/>
      <c r="H4" s="225"/>
      <c r="I4" s="225"/>
      <c r="J4" s="233"/>
      <c r="K4" s="233"/>
      <c r="L4" s="233"/>
      <c r="M4" s="233"/>
      <c r="N4" s="233"/>
      <c r="O4" s="233"/>
      <c r="P4" s="233"/>
      <c r="Q4" s="233" t="str">
        <f>+'MASTER PubCo Inputs'!$C$24</f>
        <v>(in millions of USD)</v>
      </c>
      <c r="AO4" s="619" t="s">
        <v>456</v>
      </c>
      <c r="AP4" s="781" t="s">
        <v>458</v>
      </c>
    </row>
    <row r="5" spans="2:43" ht="14.85" customHeight="1" thickTop="1">
      <c r="B5" s="782"/>
      <c r="C5" s="782"/>
      <c r="AO5" s="384" t="s">
        <v>89</v>
      </c>
      <c r="AP5" s="783" t="s">
        <v>90</v>
      </c>
    </row>
    <row r="6" spans="2:43" ht="14.85" customHeight="1"/>
    <row r="7" spans="2:43" ht="14.85" customHeight="1">
      <c r="I7" s="784" t="s">
        <v>323</v>
      </c>
      <c r="J7" s="785"/>
      <c r="P7" s="784" t="s">
        <v>323</v>
      </c>
      <c r="Q7" s="785"/>
    </row>
    <row r="8" spans="2:43" ht="14.85" customHeight="1">
      <c r="E8" s="786" t="s">
        <v>691</v>
      </c>
      <c r="F8" s="787"/>
      <c r="G8" s="788" t="s">
        <v>690</v>
      </c>
      <c r="H8" s="789"/>
      <c r="I8" s="786" t="s">
        <v>690</v>
      </c>
      <c r="J8" s="787"/>
      <c r="L8" s="786" t="s">
        <v>324</v>
      </c>
      <c r="M8" s="787"/>
      <c r="N8" s="788" t="s">
        <v>690</v>
      </c>
      <c r="O8" s="789"/>
      <c r="P8" s="786" t="s">
        <v>324</v>
      </c>
      <c r="Q8" s="787"/>
      <c r="AG8" s="790" t="s">
        <v>91</v>
      </c>
      <c r="AH8" s="791"/>
      <c r="AI8" s="791"/>
      <c r="AJ8" s="791"/>
      <c r="AK8" s="791"/>
      <c r="AL8" s="791"/>
      <c r="AM8" s="791"/>
      <c r="AN8" s="792"/>
    </row>
    <row r="9" spans="2:43" s="270" customFormat="1" ht="14.85" customHeight="1">
      <c r="B9" s="793" t="s">
        <v>711</v>
      </c>
      <c r="C9" s="794" t="s">
        <v>148</v>
      </c>
      <c r="D9" s="271"/>
      <c r="E9" s="795" t="s">
        <v>345</v>
      </c>
      <c r="F9" s="796" t="s">
        <v>321</v>
      </c>
      <c r="G9" s="797" t="s">
        <v>322</v>
      </c>
      <c r="H9" s="798"/>
      <c r="I9" s="799">
        <f>J9-1</f>
        <v>2017</v>
      </c>
      <c r="J9" s="800">
        <f>YEAR($AP$2)-1</f>
        <v>2018</v>
      </c>
      <c r="K9" s="271"/>
      <c r="L9" s="795" t="str">
        <f>E9</f>
        <v>LTM-2</v>
      </c>
      <c r="M9" s="796" t="str">
        <f>F9</f>
        <v>LTM-1</v>
      </c>
      <c r="N9" s="801" t="str">
        <f>G9</f>
        <v>LTM</v>
      </c>
      <c r="O9" s="798"/>
      <c r="P9" s="799">
        <f>I9</f>
        <v>2017</v>
      </c>
      <c r="Q9" s="802">
        <f>J9</f>
        <v>2018</v>
      </c>
      <c r="AG9" s="803" t="s">
        <v>94</v>
      </c>
      <c r="AH9" s="804" t="s">
        <v>95</v>
      </c>
      <c r="AI9" s="804" t="s">
        <v>96</v>
      </c>
      <c r="AJ9" s="804" t="s">
        <v>97</v>
      </c>
      <c r="AK9" s="804" t="s">
        <v>98</v>
      </c>
      <c r="AL9" s="804" t="s">
        <v>99</v>
      </c>
      <c r="AM9" s="804" t="s">
        <v>100</v>
      </c>
      <c r="AN9" s="805" t="s">
        <v>101</v>
      </c>
      <c r="AP9" s="450" t="s">
        <v>108</v>
      </c>
    </row>
    <row r="10" spans="2:43" ht="14.85" customHeight="1"/>
    <row r="11" spans="2:43" ht="14.85" customHeight="1">
      <c r="C11" s="309"/>
      <c r="D11" s="255"/>
      <c r="E11" s="806" t="s">
        <v>537</v>
      </c>
      <c r="F11" s="807"/>
      <c r="G11" s="806" t="s">
        <v>537</v>
      </c>
      <c r="H11" s="807"/>
      <c r="I11" s="808"/>
      <c r="J11" s="809"/>
      <c r="L11" s="806" t="s">
        <v>596</v>
      </c>
      <c r="M11" s="807"/>
      <c r="N11" s="806" t="s">
        <v>596</v>
      </c>
      <c r="O11" s="807"/>
      <c r="P11" s="808"/>
      <c r="Q11" s="809"/>
      <c r="S11" s="810" t="s">
        <v>597</v>
      </c>
      <c r="T11" s="810"/>
      <c r="U11" s="810"/>
      <c r="V11" s="810"/>
      <c r="W11" s="810"/>
      <c r="X11" s="810"/>
      <c r="Z11" s="810" t="s">
        <v>598</v>
      </c>
      <c r="AA11" s="810"/>
      <c r="AB11" s="810"/>
      <c r="AC11" s="810"/>
      <c r="AD11" s="810"/>
      <c r="AE11" s="810"/>
      <c r="AP11" s="811"/>
    </row>
    <row r="12" spans="2:43" s="435" customFormat="1" ht="14.85" customHeight="1">
      <c r="B12" s="434"/>
      <c r="C12" s="812"/>
      <c r="D12" s="434"/>
      <c r="E12" s="812"/>
      <c r="F12" s="812"/>
      <c r="G12" s="812"/>
      <c r="H12" s="812"/>
      <c r="I12" s="812"/>
      <c r="J12" s="812"/>
      <c r="L12" s="812"/>
      <c r="M12" s="812"/>
      <c r="N12" s="812"/>
      <c r="O12" s="434"/>
      <c r="P12" s="434"/>
      <c r="Q12" s="434"/>
      <c r="S12" s="252" t="str">
        <f>+E9</f>
        <v>LTM-2</v>
      </c>
      <c r="T12" s="252" t="str">
        <f>+F9</f>
        <v>LTM-1</v>
      </c>
      <c r="U12" s="252" t="str">
        <f>+G9</f>
        <v>LTM</v>
      </c>
      <c r="V12" s="436"/>
      <c r="W12" s="252">
        <f>+I9</f>
        <v>2017</v>
      </c>
      <c r="X12" s="252">
        <f>+J9</f>
        <v>2018</v>
      </c>
      <c r="Z12" s="252" t="str">
        <f>+L9</f>
        <v>LTM-2</v>
      </c>
      <c r="AA12" s="252" t="str">
        <f>+M9</f>
        <v>LTM-1</v>
      </c>
      <c r="AB12" s="252" t="str">
        <f>+N9</f>
        <v>LTM</v>
      </c>
      <c r="AC12" s="436"/>
      <c r="AD12" s="252">
        <f>+P9</f>
        <v>2017</v>
      </c>
      <c r="AE12" s="252">
        <f>+Q9</f>
        <v>2018</v>
      </c>
      <c r="AG12" s="234"/>
      <c r="AH12" s="234"/>
      <c r="AI12" s="234"/>
      <c r="AJ12" s="234"/>
      <c r="AK12" s="234"/>
      <c r="AL12" s="234"/>
      <c r="AM12" s="234"/>
      <c r="AN12" s="234"/>
    </row>
    <row r="13" spans="2:43" ht="14.85" customHeight="1">
      <c r="B13" s="234" t="str">
        <f>'Comp.1'!B11</f>
        <v>Alnylam Pharmaceuticals, Inc.</v>
      </c>
      <c r="C13" s="465">
        <f>AG13</f>
        <v>8868.9653999999991</v>
      </c>
      <c r="E13" s="813" t="str">
        <f>IF(IF(ISERROR($AG13/S13),"n/a",$AG$13/S13)&lt;0,"n/a",IF(ISERROR($AG$13/S13),"n/a",$AG$13/S13))</f>
        <v>n/a</v>
      </c>
      <c r="F13" s="813" t="str">
        <f>IF(IF(ISERROR($AG13/T13),"n/a",$AG$13/T13)&lt;0,"n/a",IF(ISERROR($AG$13/T13),"n/a",$AG$13/T13))</f>
        <v>n/a</v>
      </c>
      <c r="G13" s="813" t="str">
        <f>IF(IF(ISERROR($AG13/U13),"n/a",$AG$13/U13)&lt;0,"n/a",IF(ISERROR($AG$13/U13),"n/a",$AG$13/U13))</f>
        <v>n/a</v>
      </c>
      <c r="H13" s="259"/>
      <c r="I13" s="813" t="str">
        <f>IF(IF(ISERROR($AG13/W13),"n/a",$AG$13/W13)&lt;0,"n/a",IF(ISERROR($AG$13/W13),"n/a",$AG$13/W13))</f>
        <v>n/a</v>
      </c>
      <c r="J13" s="813" t="str">
        <f>IF(IF(ISERROR($AG13/X13),"n/a",$AG$13/X13)&lt;0,"n/a",IF(ISERROR($AG$13/X13),"n/a",$AG$13/X13))</f>
        <v>n/a</v>
      </c>
      <c r="L13" s="813">
        <f>IF(IF(ISERROR($AG13/Z13),"n/a",$AG$13/Z13)&lt;0,"n/a",IF(ISERROR($AG$13/Z13),"n/a",$AG$13/Z13))</f>
        <v>8.7381724349930234</v>
      </c>
      <c r="M13" s="813">
        <f>IF(IF(ISERROR($AG13/AA13),"n/a",$AG$13/AA13)&lt;0,"n/a",IF(ISERROR($AG$13/AA13),"n/a",$AG$13/AA13))</f>
        <v>8.3761543583277831</v>
      </c>
      <c r="N13" s="813">
        <f>IF(IF(ISERROR($AG13/AB13),"n/a",$AG$13/AB13)&lt;0,"n/a",IF(ISERROR($AG$13/AB13),"n/a",$AG$13/AB13))</f>
        <v>6.0001700810286582</v>
      </c>
      <c r="P13" s="813">
        <f>IF(IF(ISERROR($AG13/AD13),"n/a",$AG$13/AD13)&lt;0,"n/a",IF(ISERROR($AG$13/AD13),"n/a",$AG$13/AD13))</f>
        <v>5.0208388552963568</v>
      </c>
      <c r="Q13" s="813" t="str">
        <f>IF(IF(ISERROR($AG13/AE13),"n/a",$AG$13/AE13)&lt;0,"n/a",IF(ISERROR($AG$13/AE13),"n/a",$AG$13/AE13))</f>
        <v>n/a</v>
      </c>
      <c r="S13" s="814">
        <f>'Capital IQ Sheet-GPC'!AU13</f>
        <v>-387.89499999999998</v>
      </c>
      <c r="T13" s="814">
        <f>'Capital IQ Sheet-GPC'!AV13</f>
        <v>-461.58100000000002</v>
      </c>
      <c r="U13" s="814">
        <f>'Capital IQ Sheet-GPC'!AW13</f>
        <v>-692.28300000000002</v>
      </c>
      <c r="V13" s="814"/>
      <c r="W13" s="814">
        <f>'Capital IQ Sheet-GPC'!AX13</f>
        <v>-490.87400000000002</v>
      </c>
      <c r="X13" s="814" t="str">
        <f>'Capital IQ Sheet-GPC'!AY13</f>
        <v>n/a</v>
      </c>
      <c r="Z13" s="814">
        <f>'Capital IQ Sheet-GPC'!AZ13</f>
        <v>1014.968</v>
      </c>
      <c r="AA13" s="814">
        <f>'Capital IQ Sheet-GPC'!BA13</f>
        <v>1058.835</v>
      </c>
      <c r="AB13" s="814">
        <f>'Capital IQ Sheet-GPC'!BB13</f>
        <v>1478.1189999999999</v>
      </c>
      <c r="AD13" s="814">
        <f>'Capital IQ Sheet-GPC'!BC13</f>
        <v>1766.431</v>
      </c>
      <c r="AE13" s="814" t="str">
        <f>'Capital IQ Sheet-GPC'!BD13</f>
        <v>n/a</v>
      </c>
      <c r="AG13" s="259">
        <f>'Beta Calc'!K11</f>
        <v>8868.9653999999991</v>
      </c>
      <c r="AH13" s="259">
        <f>'Beta Calc'!L11</f>
        <v>30</v>
      </c>
      <c r="AI13" s="259" t="str">
        <f>'Beta Calc'!M11</f>
        <v>n/a</v>
      </c>
      <c r="AJ13" s="259" t="str">
        <f>'Beta Calc'!N11</f>
        <v>n/a</v>
      </c>
      <c r="AK13" s="259">
        <f>SUM(AH13:AJ13)</f>
        <v>30</v>
      </c>
      <c r="AL13" s="259">
        <f>SUM(AG13:AJ13)</f>
        <v>8898.9653999999991</v>
      </c>
      <c r="AM13" s="259">
        <f>'Beta Calc'!Q11</f>
        <v>1236.8340000000001</v>
      </c>
      <c r="AN13" s="465">
        <f>IF(ISERROR(AL13-AM13), "n/a", AL13-AM13)</f>
        <v>7662.1313999999993</v>
      </c>
      <c r="AP13" s="815" t="str">
        <f>IF('MASTER PubCo Inputs'!C28="","",'MASTER PubCo Inputs'!C28)</f>
        <v>IQ2796659</v>
      </c>
      <c r="AQ13" s="816" t="str">
        <f>'Comp.1'!AL11</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4" spans="2:43" ht="14.85" customHeight="1">
      <c r="B14" s="234" t="str">
        <f>'Comp.1'!B12</f>
        <v>bluebird bio, Inc.</v>
      </c>
      <c r="C14" s="465">
        <f t="shared" ref="C14:C42" si="0">AG14</f>
        <v>7297.8752599999998</v>
      </c>
      <c r="E14" s="813" t="str">
        <f t="shared" ref="E14:E42" si="1">IF(IF(ISERROR($AG14/S14),"n/a",$AG$13/S14)&lt;0,"n/a",IF(ISERROR($AG$13/S14),"n/a",$AG$13/S14))</f>
        <v>n/a</v>
      </c>
      <c r="F14" s="813" t="str">
        <f t="shared" ref="F14:F42" si="2">IF(IF(ISERROR($AG14/T14),"n/a",$AG$13/T14)&lt;0,"n/a",IF(ISERROR($AG$13/T14),"n/a",$AG$13/T14))</f>
        <v>n/a</v>
      </c>
      <c r="G14" s="813" t="str">
        <f t="shared" ref="G14:G42" si="3">IF(IF(ISERROR($AG14/U14),"n/a",$AG$13/U14)&lt;0,"n/a",IF(ISERROR($AG$13/U14),"n/a",$AG$13/U14))</f>
        <v>n/a</v>
      </c>
      <c r="H14" s="259"/>
      <c r="I14" s="813" t="str">
        <f t="shared" ref="I14:I42" si="4">IF(IF(ISERROR($AG14/W14),"n/a",$AG$13/W14)&lt;0,"n/a",IF(ISERROR($AG$13/W14),"n/a",$AG$13/W14))</f>
        <v>n/a</v>
      </c>
      <c r="J14" s="813" t="str">
        <f t="shared" ref="J14:J42" si="5">IF(IF(ISERROR($AG14/X14),"n/a",$AG$13/X14)&lt;0,"n/a",IF(ISERROR($AG$13/X14),"n/a",$AG$13/X14))</f>
        <v>n/a</v>
      </c>
      <c r="L14" s="813">
        <f t="shared" ref="L14:L42" si="6">IF(IF(ISERROR($AG14/Z14),"n/a",$AG$13/Z14)&lt;0,"n/a",IF(ISERROR($AG$13/Z14),"n/a",$AG$13/Z14))</f>
        <v>12.770049516711708</v>
      </c>
      <c r="M14" s="813">
        <f t="shared" ref="M14:M42" si="7">IF(IF(ISERROR($AG14/AA14),"n/a",$AG$13/AA14)&lt;0,"n/a",IF(ISERROR($AG$13/AA14),"n/a",$AG$13/AA14))</f>
        <v>7.7708100634529549</v>
      </c>
      <c r="N14" s="813">
        <f t="shared" ref="N14:N42" si="8">IF(IF(ISERROR($AG14/AB14),"n/a",$AG$13/AB14)&lt;0,"n/a",IF(ISERROR($AG$13/AB14),"n/a",$AG$13/AB14))</f>
        <v>4.4327317709504745</v>
      </c>
      <c r="P14" s="813">
        <f t="shared" ref="P14:P42" si="9">IF(IF(ISERROR($AG14/AD14),"n/a",$AG$13/AD14)&lt;0,"n/a",IF(ISERROR($AG$13/AD14),"n/a",$AG$13/AD14))</f>
        <v>5.4630963292580157</v>
      </c>
      <c r="Q14" s="813" t="str">
        <f t="shared" ref="Q14:Q42" si="10">IF(IF(ISERROR($AG14/AE14),"n/a",$AG$13/AE14)&lt;0,"n/a",IF(ISERROR($AG$13/AE14),"n/a",$AG$13/AE14))</f>
        <v>n/a</v>
      </c>
      <c r="S14" s="814">
        <f>'Capital IQ Sheet-GPC'!AU14</f>
        <v>-239.41800000000001</v>
      </c>
      <c r="T14" s="814">
        <f>'Capital IQ Sheet-GPC'!AV14</f>
        <v>-289.779</v>
      </c>
      <c r="U14" s="814">
        <f>'Capital IQ Sheet-GPC'!AW14</f>
        <v>-523.83000000000004</v>
      </c>
      <c r="V14" s="814"/>
      <c r="W14" s="814">
        <f>'Capital IQ Sheet-GPC'!AX14</f>
        <v>-335.64299999999997</v>
      </c>
      <c r="X14" s="814" t="str">
        <f>'Capital IQ Sheet-GPC'!AY14</f>
        <v>n/a</v>
      </c>
      <c r="Z14" s="814">
        <f>'Capital IQ Sheet-GPC'!AZ14</f>
        <v>694.51300000000003</v>
      </c>
      <c r="AA14" s="814">
        <f>'Capital IQ Sheet-GPC'!BA14</f>
        <v>1141.318</v>
      </c>
      <c r="AB14" s="814">
        <f>'Capital IQ Sheet-GPC'!BB14</f>
        <v>2000.79</v>
      </c>
      <c r="AD14" s="814">
        <f>'Capital IQ Sheet-GPC'!BC14</f>
        <v>1623.432</v>
      </c>
      <c r="AE14" s="814" t="str">
        <f>'Capital IQ Sheet-GPC'!BD14</f>
        <v>n/a</v>
      </c>
      <c r="AG14" s="259">
        <f>'Beta Calc'!K12</f>
        <v>7297.8752599999998</v>
      </c>
      <c r="AH14" s="259">
        <f>'Beta Calc'!L12</f>
        <v>155.03399999999999</v>
      </c>
      <c r="AI14" s="259" t="str">
        <f>'Beta Calc'!M12</f>
        <v>n/a</v>
      </c>
      <c r="AJ14" s="259" t="str">
        <f>'Beta Calc'!N12</f>
        <v>n/a</v>
      </c>
      <c r="AK14" s="259">
        <f t="shared" ref="AK14:AK42" si="11">SUM(AH14:AJ14)</f>
        <v>155.03399999999999</v>
      </c>
      <c r="AL14" s="259">
        <f t="shared" ref="AL14:AL42" si="12">SUM(AG14:AJ14)</f>
        <v>7452.9092599999994</v>
      </c>
      <c r="AM14" s="259">
        <f>'Beta Calc'!Q12</f>
        <v>1695.2950000000001</v>
      </c>
      <c r="AN14" s="465">
        <f t="shared" ref="AN14:AN42" si="13">IF(ISERROR(AL14-AM14), "n/a", AL14-AM14)</f>
        <v>5757.6142599999994</v>
      </c>
      <c r="AP14" s="815" t="str">
        <f>IF('MASTER PubCo Inputs'!C29="","",'MASTER PubCo Inputs'!C29)</f>
        <v>IQ28921</v>
      </c>
      <c r="AQ14" s="816" t="str">
        <f>'Comp.1'!AL12</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5" spans="2:43" ht="14.85" customHeight="1">
      <c r="B15" s="234" t="str">
        <f>'Comp.1'!B13</f>
        <v>Ironwood Pharmaceuticals, Inc.</v>
      </c>
      <c r="C15" s="465">
        <f t="shared" si="0"/>
        <v>2104.44911</v>
      </c>
      <c r="E15" s="813" t="str">
        <f t="shared" si="1"/>
        <v>n/a</v>
      </c>
      <c r="F15" s="813" t="str">
        <f t="shared" si="2"/>
        <v>n/a</v>
      </c>
      <c r="G15" s="813" t="str">
        <f t="shared" si="3"/>
        <v>n/a</v>
      </c>
      <c r="H15" s="259"/>
      <c r="I15" s="813" t="str">
        <f t="shared" si="4"/>
        <v>n/a</v>
      </c>
      <c r="J15" s="813" t="str">
        <f t="shared" si="5"/>
        <v>n/a</v>
      </c>
      <c r="L15" s="813">
        <f t="shared" si="6"/>
        <v>149.16353392310538</v>
      </c>
      <c r="M15" s="813" t="str">
        <f t="shared" si="7"/>
        <v>n/a</v>
      </c>
      <c r="N15" s="813" t="str">
        <f t="shared" si="8"/>
        <v>n/a</v>
      </c>
      <c r="P15" s="813">
        <f t="shared" si="9"/>
        <v>900.5854386677496</v>
      </c>
      <c r="Q15" s="813" t="str">
        <f t="shared" si="10"/>
        <v>n/a</v>
      </c>
      <c r="S15" s="814">
        <f>'Capital IQ Sheet-GPC'!AU15</f>
        <v>-82.24</v>
      </c>
      <c r="T15" s="814">
        <f>'Capital IQ Sheet-GPC'!AV15</f>
        <v>-142.52699999999999</v>
      </c>
      <c r="U15" s="814">
        <f>'Capital IQ Sheet-GPC'!AW15</f>
        <v>-254.79</v>
      </c>
      <c r="V15" s="814"/>
      <c r="W15" s="814">
        <f>'Capital IQ Sheet-GPC'!AX15</f>
        <v>-116.937</v>
      </c>
      <c r="X15" s="814" t="str">
        <f>'Capital IQ Sheet-GPC'!AY15</f>
        <v>n/a</v>
      </c>
      <c r="Z15" s="814">
        <f>'Capital IQ Sheet-GPC'!AZ15</f>
        <v>59.457999999999998</v>
      </c>
      <c r="AA15" s="814">
        <f>'Capital IQ Sheet-GPC'!BA15</f>
        <v>-17.579000000000001</v>
      </c>
      <c r="AB15" s="814">
        <f>'Capital IQ Sheet-GPC'!BB15</f>
        <v>-197.29499999999999</v>
      </c>
      <c r="AD15" s="814">
        <f>'Capital IQ Sheet-GPC'!BC15</f>
        <v>9.8480000000000008</v>
      </c>
      <c r="AE15" s="814" t="str">
        <f>'Capital IQ Sheet-GPC'!BD15</f>
        <v>n/a</v>
      </c>
      <c r="AG15" s="259">
        <f>'Beta Calc'!K13</f>
        <v>2104.44911</v>
      </c>
      <c r="AH15" s="259">
        <f>'Beta Calc'!L13</f>
        <v>409.30599999999998</v>
      </c>
      <c r="AI15" s="259" t="str">
        <f>'Beta Calc'!M13</f>
        <v>n/a</v>
      </c>
      <c r="AJ15" s="259" t="str">
        <f>'Beta Calc'!N13</f>
        <v>n/a</v>
      </c>
      <c r="AK15" s="259">
        <f t="shared" si="11"/>
        <v>409.30599999999998</v>
      </c>
      <c r="AL15" s="259">
        <f t="shared" si="12"/>
        <v>2513.7551100000001</v>
      </c>
      <c r="AM15" s="259">
        <f>'Beta Calc'!Q13</f>
        <v>161.398</v>
      </c>
      <c r="AN15" s="465">
        <f t="shared" si="13"/>
        <v>2352.3571099999999</v>
      </c>
      <c r="AP15" s="815" t="str">
        <f>IF('MASTER PubCo Inputs'!C30="","",'MASTER PubCo Inputs'!C30)</f>
        <v>IQ31498</v>
      </c>
      <c r="AQ15" s="816" t="str">
        <f>'Comp.1'!AL13</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6" spans="2:43" ht="14.85" customHeight="1">
      <c r="B16" s="234" t="str">
        <f>'Comp.1'!B14</f>
        <v>Global Blood Therapeutics, Inc.</v>
      </c>
      <c r="C16" s="465">
        <f t="shared" si="0"/>
        <v>2660.4172400000002</v>
      </c>
      <c r="E16" s="813" t="str">
        <f t="shared" si="1"/>
        <v>n/a</v>
      </c>
      <c r="F16" s="813" t="str">
        <f t="shared" si="2"/>
        <v>n/a</v>
      </c>
      <c r="G16" s="813" t="str">
        <f t="shared" si="3"/>
        <v>n/a</v>
      </c>
      <c r="H16" s="259"/>
      <c r="I16" s="813" t="str">
        <f t="shared" si="4"/>
        <v>n/a</v>
      </c>
      <c r="J16" s="813" t="str">
        <f t="shared" si="5"/>
        <v>n/a</v>
      </c>
      <c r="L16" s="813">
        <f t="shared" si="6"/>
        <v>42.213067110899566</v>
      </c>
      <c r="M16" s="813">
        <f t="shared" si="7"/>
        <v>34.340296669725511</v>
      </c>
      <c r="N16" s="813">
        <f t="shared" si="8"/>
        <v>18.782182587499811</v>
      </c>
      <c r="P16" s="813">
        <f t="shared" si="9"/>
        <v>27.819492227199156</v>
      </c>
      <c r="Q16" s="813" t="str">
        <f t="shared" si="10"/>
        <v>n/a</v>
      </c>
      <c r="S16" s="814">
        <f>'Capital IQ Sheet-GPC'!AU16</f>
        <v>-70.846000000000004</v>
      </c>
      <c r="T16" s="814">
        <f>'Capital IQ Sheet-GPC'!AV16</f>
        <v>-102.979</v>
      </c>
      <c r="U16" s="814">
        <f>'Capital IQ Sheet-GPC'!AW16</f>
        <v>-166.24299999999999</v>
      </c>
      <c r="V16" s="814"/>
      <c r="W16" s="814">
        <f>'Capital IQ Sheet-GPC'!AX16</f>
        <v>-117.024</v>
      </c>
      <c r="X16" s="814" t="str">
        <f>'Capital IQ Sheet-GPC'!AY16</f>
        <v>n/a</v>
      </c>
      <c r="Z16" s="814">
        <f>'Capital IQ Sheet-GPC'!AZ16</f>
        <v>210.1</v>
      </c>
      <c r="AA16" s="814">
        <f>'Capital IQ Sheet-GPC'!BA16</f>
        <v>258.267</v>
      </c>
      <c r="AB16" s="814">
        <f>'Capital IQ Sheet-GPC'!BB16</f>
        <v>472.20100000000002</v>
      </c>
      <c r="AD16" s="814">
        <f>'Capital IQ Sheet-GPC'!BC16</f>
        <v>318.80399999999997</v>
      </c>
      <c r="AE16" s="814" t="str">
        <f>'Capital IQ Sheet-GPC'!BD16</f>
        <v>n/a</v>
      </c>
      <c r="AG16" s="259">
        <f>'Beta Calc'!K14</f>
        <v>2660.4172400000002</v>
      </c>
      <c r="AH16" s="259">
        <f>'Beta Calc'!L14</f>
        <v>0</v>
      </c>
      <c r="AI16" s="259" t="str">
        <f>'Beta Calc'!M14</f>
        <v>n/a</v>
      </c>
      <c r="AJ16" s="259" t="str">
        <f>'Beta Calc'!N14</f>
        <v>n/a</v>
      </c>
      <c r="AK16" s="259">
        <f t="shared" si="11"/>
        <v>0</v>
      </c>
      <c r="AL16" s="259">
        <f t="shared" si="12"/>
        <v>2660.4172400000002</v>
      </c>
      <c r="AM16" s="259">
        <f>'Beta Calc'!Q14</f>
        <v>383.22800000000001</v>
      </c>
      <c r="AN16" s="465">
        <f t="shared" si="13"/>
        <v>2277.1892400000002</v>
      </c>
      <c r="AP16" s="815" t="str">
        <f>IF('MASTER PubCo Inputs'!C31="","",'MASTER PubCo Inputs'!C31)</f>
        <v>IQ208736100</v>
      </c>
      <c r="AQ16" s="816" t="str">
        <f>'Comp.1'!AL14</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7" spans="2:43" ht="14.85" customHeight="1">
      <c r="B17" s="234" t="str">
        <f>'Comp.1'!B15</f>
        <v>Acceleron Pharma Inc.</v>
      </c>
      <c r="C17" s="465">
        <f t="shared" si="0"/>
        <v>2185.0571599999998</v>
      </c>
      <c r="E17" s="813" t="str">
        <f t="shared" si="1"/>
        <v>n/a</v>
      </c>
      <c r="F17" s="813" t="str">
        <f t="shared" si="2"/>
        <v>n/a</v>
      </c>
      <c r="G17" s="813" t="str">
        <f t="shared" si="3"/>
        <v>n/a</v>
      </c>
      <c r="H17" s="259"/>
      <c r="I17" s="813" t="str">
        <f t="shared" si="4"/>
        <v>n/a</v>
      </c>
      <c r="J17" s="813" t="str">
        <f t="shared" si="5"/>
        <v>n/a</v>
      </c>
      <c r="L17" s="813">
        <f t="shared" si="6"/>
        <v>38.636816861034994</v>
      </c>
      <c r="M17" s="813">
        <f t="shared" si="7"/>
        <v>24.736265587478137</v>
      </c>
      <c r="N17" s="813">
        <f t="shared" si="8"/>
        <v>27.792641455037725</v>
      </c>
      <c r="P17" s="813">
        <f t="shared" si="9"/>
        <v>24.284097947247798</v>
      </c>
      <c r="Q17" s="813" t="str">
        <f t="shared" si="10"/>
        <v>n/a</v>
      </c>
      <c r="S17" s="814">
        <f>'Capital IQ Sheet-GPC'!AU17</f>
        <v>-64.807000000000002</v>
      </c>
      <c r="T17" s="814">
        <f>'Capital IQ Sheet-GPC'!AV17</f>
        <v>-99.814999999999998</v>
      </c>
      <c r="U17" s="814">
        <f>'Capital IQ Sheet-GPC'!AW17</f>
        <v>-112.06399999999999</v>
      </c>
      <c r="V17" s="814"/>
      <c r="W17" s="814">
        <f>'Capital IQ Sheet-GPC'!AX17</f>
        <v>-108.45399999999999</v>
      </c>
      <c r="X17" s="814" t="str">
        <f>'Capital IQ Sheet-GPC'!AY17</f>
        <v>n/a</v>
      </c>
      <c r="Z17" s="814">
        <f>'Capital IQ Sheet-GPC'!AZ17</f>
        <v>229.547</v>
      </c>
      <c r="AA17" s="814">
        <f>'Capital IQ Sheet-GPC'!BA17</f>
        <v>358.541</v>
      </c>
      <c r="AB17" s="814">
        <f>'Capital IQ Sheet-GPC'!BB17</f>
        <v>319.11200000000002</v>
      </c>
      <c r="AD17" s="814">
        <f>'Capital IQ Sheet-GPC'!BC17</f>
        <v>365.21699999999998</v>
      </c>
      <c r="AE17" s="814" t="str">
        <f>'Capital IQ Sheet-GPC'!BD17</f>
        <v>n/a</v>
      </c>
      <c r="AG17" s="259">
        <f>'Beta Calc'!K15</f>
        <v>2185.0571599999998</v>
      </c>
      <c r="AH17" s="259">
        <f>'Beta Calc'!L15</f>
        <v>0</v>
      </c>
      <c r="AI17" s="259" t="str">
        <f>'Beta Calc'!M15</f>
        <v>n/a</v>
      </c>
      <c r="AJ17" s="259" t="str">
        <f>'Beta Calc'!N15</f>
        <v>n/a</v>
      </c>
      <c r="AK17" s="259">
        <f t="shared" si="11"/>
        <v>0</v>
      </c>
      <c r="AL17" s="259">
        <f t="shared" si="12"/>
        <v>2185.0571599999998</v>
      </c>
      <c r="AM17" s="259">
        <f>'Beta Calc'!Q15</f>
        <v>307.97199999999998</v>
      </c>
      <c r="AN17" s="465">
        <f t="shared" si="13"/>
        <v>1877.0851599999999</v>
      </c>
      <c r="AP17" s="815" t="str">
        <f>IF('MASTER PubCo Inputs'!C32="","",'MASTER PubCo Inputs'!C32)</f>
        <v>IQ9004482</v>
      </c>
      <c r="AQ17" s="816" t="str">
        <f>'Comp.1'!AL15</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8" spans="2:43" ht="14.85" customHeight="1">
      <c r="B18" s="234" t="str">
        <f>'Comp.1'!B16</f>
        <v>Spark Therapeutics, Inc.</v>
      </c>
      <c r="C18" s="465">
        <f t="shared" si="0"/>
        <v>1805.0671400000001</v>
      </c>
      <c r="E18" s="813" t="str">
        <f t="shared" si="1"/>
        <v>n/a</v>
      </c>
      <c r="F18" s="813" t="str">
        <f t="shared" si="2"/>
        <v>n/a</v>
      </c>
      <c r="G18" s="813" t="str">
        <f t="shared" si="3"/>
        <v>n/a</v>
      </c>
      <c r="H18" s="259"/>
      <c r="I18" s="813" t="str">
        <f t="shared" si="4"/>
        <v>n/a</v>
      </c>
      <c r="J18" s="813" t="str">
        <f t="shared" si="5"/>
        <v>n/a</v>
      </c>
      <c r="L18" s="813">
        <f t="shared" si="6"/>
        <v>24.668833456687249</v>
      </c>
      <c r="M18" s="813">
        <f t="shared" si="7"/>
        <v>15.54854131883631</v>
      </c>
      <c r="N18" s="813">
        <f t="shared" si="8"/>
        <v>16.129057331211637</v>
      </c>
      <c r="P18" s="813">
        <f t="shared" si="9"/>
        <v>17.267420863981471</v>
      </c>
      <c r="Q18" s="813" t="str">
        <f t="shared" si="10"/>
        <v>n/a</v>
      </c>
      <c r="S18" s="814">
        <f>'Capital IQ Sheet-GPC'!AU18</f>
        <v>-92.970100000000002</v>
      </c>
      <c r="T18" s="814">
        <f>'Capital IQ Sheet-GPC'!AV18</f>
        <v>-228.49829</v>
      </c>
      <c r="U18" s="814">
        <f>'Capital IQ Sheet-GPC'!AW18</f>
        <v>-75.38597</v>
      </c>
      <c r="V18" s="814"/>
      <c r="W18" s="814">
        <f>'Capital IQ Sheet-GPC'!AX18</f>
        <v>-253.48196999999999</v>
      </c>
      <c r="X18" s="814" t="str">
        <f>'Capital IQ Sheet-GPC'!AY18</f>
        <v>n/a</v>
      </c>
      <c r="Z18" s="814">
        <f>'Capital IQ Sheet-GPC'!AZ18</f>
        <v>359.52107000000001</v>
      </c>
      <c r="AA18" s="814">
        <f>'Capital IQ Sheet-GPC'!BA18</f>
        <v>570.40498000000002</v>
      </c>
      <c r="AB18" s="814">
        <f>'Capital IQ Sheet-GPC'!BB18</f>
        <v>549.875</v>
      </c>
      <c r="AD18" s="814">
        <f>'Capital IQ Sheet-GPC'!BC18</f>
        <v>513.62420999999995</v>
      </c>
      <c r="AE18" s="814" t="str">
        <f>'Capital IQ Sheet-GPC'!BD18</f>
        <v>n/a</v>
      </c>
      <c r="AG18" s="259">
        <f>'Beta Calc'!K16</f>
        <v>1805.0671400000001</v>
      </c>
      <c r="AH18" s="259">
        <f>'Beta Calc'!L16</f>
        <v>84.891000000000005</v>
      </c>
      <c r="AI18" s="259" t="str">
        <f>'Beta Calc'!M16</f>
        <v>n/a</v>
      </c>
      <c r="AJ18" s="259" t="str">
        <f>'Beta Calc'!N16</f>
        <v>n/a</v>
      </c>
      <c r="AK18" s="259">
        <f t="shared" si="11"/>
        <v>84.891000000000005</v>
      </c>
      <c r="AL18" s="259">
        <f t="shared" si="12"/>
        <v>1889.9581400000002</v>
      </c>
      <c r="AM18" s="259">
        <f>'Beta Calc'!Q16</f>
        <v>590.476</v>
      </c>
      <c r="AN18" s="465">
        <f t="shared" si="13"/>
        <v>1299.4821400000001</v>
      </c>
      <c r="AP18" s="815" t="str">
        <f>IF('MASTER PubCo Inputs'!C33="","",'MASTER PubCo Inputs'!C33)</f>
        <v>IQ249341857</v>
      </c>
      <c r="AQ18" s="816" t="str">
        <f>'Comp.1'!AL16</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9" spans="2:43" ht="14.85" customHeight="1">
      <c r="B19" s="234" t="str">
        <f>'Comp.1'!B17</f>
        <v>REGENXBIO Inc.</v>
      </c>
      <c r="C19" s="465">
        <f t="shared" si="0"/>
        <v>1575.5421799999999</v>
      </c>
      <c r="E19" s="813" t="str">
        <f t="shared" si="1"/>
        <v>n/a</v>
      </c>
      <c r="F19" s="813" t="str">
        <f t="shared" si="2"/>
        <v>n/a</v>
      </c>
      <c r="G19" s="813">
        <f t="shared" si="3"/>
        <v>111.37159253585151</v>
      </c>
      <c r="H19" s="259"/>
      <c r="I19" s="813" t="str">
        <f t="shared" si="4"/>
        <v>n/a</v>
      </c>
      <c r="J19" s="813" t="str">
        <f t="shared" si="5"/>
        <v>n/a</v>
      </c>
      <c r="L19" s="813">
        <f t="shared" si="6"/>
        <v>49.210243805000381</v>
      </c>
      <c r="M19" s="813">
        <f t="shared" si="7"/>
        <v>45.563420686253849</v>
      </c>
      <c r="N19" s="813">
        <f t="shared" si="8"/>
        <v>17.9512999512202</v>
      </c>
      <c r="P19" s="813">
        <f t="shared" si="9"/>
        <v>48.456612886482468</v>
      </c>
      <c r="Q19" s="813" t="str">
        <f t="shared" si="10"/>
        <v>n/a</v>
      </c>
      <c r="S19" s="814">
        <f>'Capital IQ Sheet-GPC'!AU19</f>
        <v>-48.534999999999997</v>
      </c>
      <c r="T19" s="814">
        <f>'Capital IQ Sheet-GPC'!AV19</f>
        <v>-76.78</v>
      </c>
      <c r="U19" s="814">
        <f>'Capital IQ Sheet-GPC'!AW19</f>
        <v>79.634</v>
      </c>
      <c r="V19" s="814"/>
      <c r="W19" s="814">
        <f>'Capital IQ Sheet-GPC'!AX19</f>
        <v>-73.168999999999997</v>
      </c>
      <c r="X19" s="814" t="str">
        <f>'Capital IQ Sheet-GPC'!AY19</f>
        <v>n/a</v>
      </c>
      <c r="Z19" s="814">
        <f>'Capital IQ Sheet-GPC'!AZ19</f>
        <v>180.226</v>
      </c>
      <c r="AA19" s="814">
        <f>'Capital IQ Sheet-GPC'!BA19</f>
        <v>194.65100000000001</v>
      </c>
      <c r="AB19" s="814">
        <f>'Capital IQ Sheet-GPC'!BB19</f>
        <v>494.05700000000002</v>
      </c>
      <c r="AD19" s="814">
        <f>'Capital IQ Sheet-GPC'!BC19</f>
        <v>183.029</v>
      </c>
      <c r="AE19" s="814" t="str">
        <f>'Capital IQ Sheet-GPC'!BD19</f>
        <v>n/a</v>
      </c>
      <c r="AG19" s="259">
        <f>'Beta Calc'!K17</f>
        <v>1575.5421799999999</v>
      </c>
      <c r="AH19" s="259">
        <f>'Beta Calc'!L17</f>
        <v>0</v>
      </c>
      <c r="AI19" s="259" t="str">
        <f>'Beta Calc'!M17</f>
        <v>n/a</v>
      </c>
      <c r="AJ19" s="259" t="str">
        <f>'Beta Calc'!N17</f>
        <v>n/a</v>
      </c>
      <c r="AK19" s="259">
        <f t="shared" si="11"/>
        <v>0</v>
      </c>
      <c r="AL19" s="259">
        <f t="shared" si="12"/>
        <v>1575.5421799999999</v>
      </c>
      <c r="AM19" s="259">
        <f>'Beta Calc'!Q17</f>
        <v>372.589</v>
      </c>
      <c r="AN19" s="465">
        <f t="shared" si="13"/>
        <v>1202.95318</v>
      </c>
      <c r="AP19" s="815" t="str">
        <f>IF('MASTER PubCo Inputs'!C34="","",'MASTER PubCo Inputs'!C34)</f>
        <v>IQ130641748</v>
      </c>
      <c r="AQ19" s="816" t="str">
        <f>'Comp.1'!AL17</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20" spans="2:43" ht="14.85" customHeight="1">
      <c r="B20" s="234" t="str">
        <f>'Comp.1'!B18</f>
        <v>uniQure N.V.</v>
      </c>
      <c r="C20" s="465">
        <f t="shared" si="0"/>
        <v>1275.6593700000001</v>
      </c>
      <c r="E20" s="813" t="str">
        <f t="shared" si="1"/>
        <v>n/a</v>
      </c>
      <c r="F20" s="813" t="str">
        <f t="shared" si="2"/>
        <v>n/a</v>
      </c>
      <c r="G20" s="813" t="str">
        <f t="shared" si="3"/>
        <v>n/a</v>
      </c>
      <c r="H20" s="259"/>
      <c r="I20" s="813" t="str">
        <f t="shared" si="4"/>
        <v>n/a</v>
      </c>
      <c r="J20" s="813" t="str">
        <f t="shared" si="5"/>
        <v>n/a</v>
      </c>
      <c r="L20" s="813">
        <f t="shared" si="6"/>
        <v>109.00879534425293</v>
      </c>
      <c r="M20" s="813">
        <f t="shared" si="7"/>
        <v>452.3366858774927</v>
      </c>
      <c r="N20" s="813">
        <f t="shared" si="8"/>
        <v>44.377666473190153</v>
      </c>
      <c r="P20" s="813">
        <f t="shared" si="9"/>
        <v>99.250947302454136</v>
      </c>
      <c r="Q20" s="813" t="str">
        <f t="shared" si="10"/>
        <v>n/a</v>
      </c>
      <c r="S20" s="814">
        <f>'Capital IQ Sheet-GPC'!AU20</f>
        <v>-76.24906</v>
      </c>
      <c r="T20" s="814">
        <f>'Capital IQ Sheet-GPC'!AV20</f>
        <v>-66.509</v>
      </c>
      <c r="U20" s="814">
        <f>'Capital IQ Sheet-GPC'!AW20</f>
        <v>-88.89</v>
      </c>
      <c r="V20" s="814"/>
      <c r="W20" s="814">
        <f>'Capital IQ Sheet-GPC'!AX20</f>
        <v>-79.260000000000005</v>
      </c>
      <c r="X20" s="814" t="str">
        <f>'Capital IQ Sheet-GPC'!AY20</f>
        <v>n/a</v>
      </c>
      <c r="Z20" s="814">
        <f>'Capital IQ Sheet-GPC'!AZ20</f>
        <v>81.36009</v>
      </c>
      <c r="AA20" s="814">
        <f>'Capital IQ Sheet-GPC'!BA20</f>
        <v>19.606999999999999</v>
      </c>
      <c r="AB20" s="814">
        <f>'Capital IQ Sheet-GPC'!BB20</f>
        <v>199.852</v>
      </c>
      <c r="AD20" s="814">
        <f>'Capital IQ Sheet-GPC'!BC20</f>
        <v>89.358999999999995</v>
      </c>
      <c r="AE20" s="814" t="str">
        <f>'Capital IQ Sheet-GPC'!BD20</f>
        <v>n/a</v>
      </c>
      <c r="AG20" s="259">
        <f>'Beta Calc'!K18</f>
        <v>1275.6593700000001</v>
      </c>
      <c r="AH20" s="259">
        <f>'Beta Calc'!L18</f>
        <v>20.707999999999998</v>
      </c>
      <c r="AI20" s="259" t="str">
        <f>'Beta Calc'!M18</f>
        <v>n/a</v>
      </c>
      <c r="AJ20" s="259" t="str">
        <f>'Beta Calc'!N18</f>
        <v>n/a</v>
      </c>
      <c r="AK20" s="259">
        <f t="shared" si="11"/>
        <v>20.707999999999998</v>
      </c>
      <c r="AL20" s="259">
        <f t="shared" si="12"/>
        <v>1296.3673700000002</v>
      </c>
      <c r="AM20" s="259">
        <f>'Beta Calc'!Q18</f>
        <v>239.54599999999999</v>
      </c>
      <c r="AN20" s="465">
        <f t="shared" si="13"/>
        <v>1056.8213700000001</v>
      </c>
      <c r="AP20" s="815" t="str">
        <f>IF('MASTER PubCo Inputs'!C35="","",'MASTER PubCo Inputs'!C35)</f>
        <v>IQ171029664</v>
      </c>
      <c r="AQ20" s="816" t="str">
        <f>'Comp.1'!AL18</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21" spans="2:43" ht="14.85" customHeight="1">
      <c r="B21" s="234" t="str">
        <f>'Comp.1'!B19</f>
        <v>Audentes Therapeutics, Inc.</v>
      </c>
      <c r="C21" s="465">
        <f t="shared" si="0"/>
        <v>1058.70937</v>
      </c>
      <c r="E21" s="813" t="str">
        <f t="shared" si="1"/>
        <v>n/a</v>
      </c>
      <c r="F21" s="813" t="str">
        <f t="shared" si="2"/>
        <v>n/a</v>
      </c>
      <c r="G21" s="813" t="str">
        <f t="shared" si="3"/>
        <v>n/a</v>
      </c>
      <c r="H21" s="259"/>
      <c r="I21" s="813" t="str">
        <f t="shared" si="4"/>
        <v>n/a</v>
      </c>
      <c r="J21" s="813" t="str">
        <f t="shared" si="5"/>
        <v>n/a</v>
      </c>
      <c r="L21" s="813">
        <f t="shared" si="6"/>
        <v>64.100182854995268</v>
      </c>
      <c r="M21" s="813">
        <f t="shared" si="7"/>
        <v>50.586722715916991</v>
      </c>
      <c r="N21" s="813">
        <f t="shared" si="8"/>
        <v>28.558436991837191</v>
      </c>
      <c r="P21" s="813">
        <f t="shared" si="9"/>
        <v>56.635240552242038</v>
      </c>
      <c r="Q21" s="813" t="str">
        <f t="shared" si="10"/>
        <v>n/a</v>
      </c>
      <c r="S21" s="814">
        <f>'Capital IQ Sheet-GPC'!AU21</f>
        <v>-49.951000000000001</v>
      </c>
      <c r="T21" s="814">
        <f>'Capital IQ Sheet-GPC'!AV21</f>
        <v>-85.539000000000001</v>
      </c>
      <c r="U21" s="814">
        <f>'Capital IQ Sheet-GPC'!AW21</f>
        <v>-117.604</v>
      </c>
      <c r="V21" s="814"/>
      <c r="W21" s="814">
        <f>'Capital IQ Sheet-GPC'!AX21</f>
        <v>-90.238</v>
      </c>
      <c r="X21" s="814" t="str">
        <f>'Capital IQ Sheet-GPC'!AY21</f>
        <v>n/a</v>
      </c>
      <c r="Z21" s="814">
        <f>'Capital IQ Sheet-GPC'!AZ21</f>
        <v>138.36099999999999</v>
      </c>
      <c r="AA21" s="814">
        <f>'Capital IQ Sheet-GPC'!BA21</f>
        <v>175.322</v>
      </c>
      <c r="AB21" s="814">
        <f>'Capital IQ Sheet-GPC'!BB21</f>
        <v>310.55500000000001</v>
      </c>
      <c r="AD21" s="814">
        <f>'Capital IQ Sheet-GPC'!BC21</f>
        <v>156.59800000000001</v>
      </c>
      <c r="AE21" s="814" t="str">
        <f>'Capital IQ Sheet-GPC'!BD21</f>
        <v>n/a</v>
      </c>
      <c r="AG21" s="259">
        <f>'Beta Calc'!K19</f>
        <v>1058.70937</v>
      </c>
      <c r="AH21" s="259">
        <f>'Beta Calc'!L19</f>
        <v>0</v>
      </c>
      <c r="AI21" s="259" t="str">
        <f>'Beta Calc'!M19</f>
        <v>n/a</v>
      </c>
      <c r="AJ21" s="259" t="str">
        <f>'Beta Calc'!N19</f>
        <v>n/a</v>
      </c>
      <c r="AK21" s="259">
        <f t="shared" si="11"/>
        <v>0</v>
      </c>
      <c r="AL21" s="259">
        <f t="shared" si="12"/>
        <v>1058.70937</v>
      </c>
      <c r="AM21" s="259">
        <f>'Beta Calc'!Q19</f>
        <v>280.68599999999998</v>
      </c>
      <c r="AN21" s="465">
        <f t="shared" si="13"/>
        <v>778.02337000000011</v>
      </c>
      <c r="AP21" s="815" t="str">
        <f>IF('MASTER PubCo Inputs'!C36="","",'MASTER PubCo Inputs'!C36)</f>
        <v>IQ243223852</v>
      </c>
      <c r="AQ21" s="816" t="str">
        <f>'Comp.1'!AL19</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22" spans="2:43" ht="14.85" customHeight="1">
      <c r="B22" s="234" t="str">
        <f>'Comp.1'!B20</f>
        <v>Sangamo Therapeutics, Inc.</v>
      </c>
      <c r="C22" s="465">
        <f t="shared" si="0"/>
        <v>1193.4655700000001</v>
      </c>
      <c r="E22" s="813" t="str">
        <f t="shared" si="1"/>
        <v>n/a</v>
      </c>
      <c r="F22" s="813" t="str">
        <f t="shared" si="2"/>
        <v>n/a</v>
      </c>
      <c r="G22" s="813" t="str">
        <f t="shared" si="3"/>
        <v>n/a</v>
      </c>
      <c r="H22" s="259"/>
      <c r="I22" s="813" t="str">
        <f t="shared" si="4"/>
        <v>n/a</v>
      </c>
      <c r="J22" s="813" t="str">
        <f t="shared" si="5"/>
        <v>n/a</v>
      </c>
      <c r="L22" s="813">
        <f t="shared" si="6"/>
        <v>61.660261686921203</v>
      </c>
      <c r="M22" s="813">
        <f t="shared" si="7"/>
        <v>47.516048046632235</v>
      </c>
      <c r="N22" s="813">
        <f t="shared" si="8"/>
        <v>23.345157486325562</v>
      </c>
      <c r="P22" s="813">
        <f t="shared" si="9"/>
        <v>47.200454497072904</v>
      </c>
      <c r="Q22" s="813" t="str">
        <f t="shared" si="10"/>
        <v>n/a</v>
      </c>
      <c r="S22" s="814">
        <f>'Capital IQ Sheet-GPC'!AU22</f>
        <v>-76.046999999999997</v>
      </c>
      <c r="T22" s="814">
        <f>'Capital IQ Sheet-GPC'!AV22</f>
        <v>-51.100999999999999</v>
      </c>
      <c r="U22" s="814">
        <f>'Capital IQ Sheet-GPC'!AW22</f>
        <v>-62.761000000000003</v>
      </c>
      <c r="V22" s="814"/>
      <c r="W22" s="814">
        <f>'Capital IQ Sheet-GPC'!AX22</f>
        <v>-54.567999999999998</v>
      </c>
      <c r="X22" s="814" t="str">
        <f>'Capital IQ Sheet-GPC'!AY22</f>
        <v>n/a</v>
      </c>
      <c r="Z22" s="814">
        <f>'Capital IQ Sheet-GPC'!AZ22</f>
        <v>143.83600000000001</v>
      </c>
      <c r="AA22" s="814">
        <f>'Capital IQ Sheet-GPC'!BA22</f>
        <v>186.65199999999999</v>
      </c>
      <c r="AB22" s="814">
        <f>'Capital IQ Sheet-GPC'!BB22</f>
        <v>379.90600000000001</v>
      </c>
      <c r="AD22" s="814">
        <f>'Capital IQ Sheet-GPC'!BC22</f>
        <v>187.9</v>
      </c>
      <c r="AE22" s="814" t="str">
        <f>'Capital IQ Sheet-GPC'!BD22</f>
        <v>n/a</v>
      </c>
      <c r="AG22" s="259">
        <f>'Beta Calc'!K20</f>
        <v>1193.4655700000001</v>
      </c>
      <c r="AH22" s="259">
        <f>'Beta Calc'!L20</f>
        <v>0</v>
      </c>
      <c r="AI22" s="259" t="str">
        <f>'Beta Calc'!M20</f>
        <v>n/a</v>
      </c>
      <c r="AJ22" s="259" t="str">
        <f>'Beta Calc'!N20</f>
        <v>n/a</v>
      </c>
      <c r="AK22" s="259">
        <f t="shared" si="11"/>
        <v>0</v>
      </c>
      <c r="AL22" s="259">
        <f t="shared" si="12"/>
        <v>1193.4655700000001</v>
      </c>
      <c r="AM22" s="259">
        <f>'Beta Calc'!Q20</f>
        <v>458.57</v>
      </c>
      <c r="AN22" s="465">
        <f t="shared" si="13"/>
        <v>734.89557000000013</v>
      </c>
      <c r="AP22" s="815" t="str">
        <f>IF('MASTER PubCo Inputs'!C37="","",'MASTER PubCo Inputs'!C37)</f>
        <v>IQ412674</v>
      </c>
      <c r="AQ22" s="816" t="str">
        <f>'Comp.1'!AL20</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3" spans="2:43" ht="14.85" customHeight="1">
      <c r="B23" s="234" t="str">
        <f>'Comp.1'!B21</f>
        <v>Homology Medicines, Inc.</v>
      </c>
      <c r="C23" s="465">
        <f t="shared" si="0"/>
        <v>756.27498000000003</v>
      </c>
      <c r="E23" s="813" t="str">
        <f t="shared" si="1"/>
        <v>n/a</v>
      </c>
      <c r="F23" s="813" t="str">
        <f t="shared" si="2"/>
        <v>n/a</v>
      </c>
      <c r="G23" s="813" t="str">
        <f t="shared" si="3"/>
        <v>n/a</v>
      </c>
      <c r="H23" s="259"/>
      <c r="I23" s="813" t="str">
        <f t="shared" si="4"/>
        <v>n/a</v>
      </c>
      <c r="J23" s="813" t="str">
        <f t="shared" si="5"/>
        <v>n/a</v>
      </c>
      <c r="L23" s="813" t="str">
        <f t="shared" si="6"/>
        <v>n/a</v>
      </c>
      <c r="M23" s="813">
        <f t="shared" si="7"/>
        <v>754.97969318881201</v>
      </c>
      <c r="N23" s="813">
        <f t="shared" si="8"/>
        <v>41.68526930180262</v>
      </c>
      <c r="P23" s="813">
        <f t="shared" si="9"/>
        <v>90.216009645592806</v>
      </c>
      <c r="Q23" s="813" t="str">
        <f t="shared" si="10"/>
        <v>n/a</v>
      </c>
      <c r="S23" s="814" t="str">
        <f>'Capital IQ Sheet-GPC'!AU23</f>
        <v>n/a</v>
      </c>
      <c r="T23" s="814">
        <f>'Capital IQ Sheet-GPC'!AV23</f>
        <v>-8.0468200000000003</v>
      </c>
      <c r="U23" s="814">
        <f>'Capital IQ Sheet-GPC'!AW23</f>
        <v>-50.119309999999999</v>
      </c>
      <c r="V23" s="814"/>
      <c r="W23" s="814">
        <f>'Capital IQ Sheet-GPC'!AX23</f>
        <v>-29.990860000000001</v>
      </c>
      <c r="X23" s="814" t="str">
        <f>'Capital IQ Sheet-GPC'!AY23</f>
        <v>n/a</v>
      </c>
      <c r="Z23" s="814" t="str">
        <f>'Capital IQ Sheet-GPC'!AZ23</f>
        <v>n/a</v>
      </c>
      <c r="AA23" s="814">
        <f>'Capital IQ Sheet-GPC'!BA23</f>
        <v>11.74729</v>
      </c>
      <c r="AB23" s="814">
        <f>'Capital IQ Sheet-GPC'!BB23</f>
        <v>212.76017999999999</v>
      </c>
      <c r="AD23" s="814">
        <f>'Capital IQ Sheet-GPC'!BC23</f>
        <v>98.308109999999999</v>
      </c>
      <c r="AE23" s="814" t="str">
        <f>'Capital IQ Sheet-GPC'!BD23</f>
        <v>n/a</v>
      </c>
      <c r="AG23" s="259">
        <f>'Beta Calc'!K21</f>
        <v>756.27498000000003</v>
      </c>
      <c r="AH23" s="259">
        <f>'Beta Calc'!L21</f>
        <v>0</v>
      </c>
      <c r="AI23" s="259" t="str">
        <f>'Beta Calc'!M21</f>
        <v>n/a</v>
      </c>
      <c r="AJ23" s="259" t="str">
        <f>'Beta Calc'!N21</f>
        <v>n/a</v>
      </c>
      <c r="AK23" s="259">
        <f t="shared" si="11"/>
        <v>0</v>
      </c>
      <c r="AL23" s="259">
        <f t="shared" si="12"/>
        <v>756.27498000000003</v>
      </c>
      <c r="AM23" s="259">
        <f>'Beta Calc'!Q21</f>
        <v>237.54401999999999</v>
      </c>
      <c r="AN23" s="465">
        <f t="shared" si="13"/>
        <v>518.7309600000001</v>
      </c>
      <c r="AP23" s="815" t="str">
        <f>IF('MASTER PubCo Inputs'!C38="","",'MASTER PubCo Inputs'!C38)</f>
        <v>IQ321461593</v>
      </c>
      <c r="AQ23" s="816" t="str">
        <f>'Comp.1'!AL21</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4" spans="2:43" ht="14.85" customHeight="1">
      <c r="B24" s="234" t="str">
        <f>'Comp.1'!B22</f>
        <v>Corbus Pharmaceuticals Holdings, Inc.</v>
      </c>
      <c r="C24" s="465">
        <f t="shared" si="0"/>
        <v>473.53946999999999</v>
      </c>
      <c r="E24" s="813" t="str">
        <f t="shared" si="1"/>
        <v>n/a</v>
      </c>
      <c r="F24" s="813" t="str">
        <f t="shared" si="2"/>
        <v>n/a</v>
      </c>
      <c r="G24" s="813" t="str">
        <f t="shared" si="3"/>
        <v>n/a</v>
      </c>
      <c r="H24" s="259"/>
      <c r="I24" s="813" t="str">
        <f t="shared" si="4"/>
        <v>n/a</v>
      </c>
      <c r="J24" s="813" t="str">
        <f t="shared" si="5"/>
        <v>n/a</v>
      </c>
      <c r="L24" s="813">
        <f t="shared" si="6"/>
        <v>666.12629785853335</v>
      </c>
      <c r="M24" s="813">
        <f t="shared" si="7"/>
        <v>277.32416316192678</v>
      </c>
      <c r="N24" s="813">
        <f t="shared" si="8"/>
        <v>206.87693911440275</v>
      </c>
      <c r="P24" s="813">
        <f t="shared" si="9"/>
        <v>153.48596382777384</v>
      </c>
      <c r="Q24" s="813" t="str">
        <f t="shared" si="10"/>
        <v>n/a</v>
      </c>
      <c r="S24" s="814">
        <f>'Capital IQ Sheet-GPC'!AU24</f>
        <v>-14.927</v>
      </c>
      <c r="T24" s="814">
        <f>'Capital IQ Sheet-GPC'!AV24</f>
        <v>-29.298200000000001</v>
      </c>
      <c r="U24" s="814">
        <f>'Capital IQ Sheet-GPC'!AW24</f>
        <v>-49.059640000000002</v>
      </c>
      <c r="V24" s="814"/>
      <c r="W24" s="814">
        <f>'Capital IQ Sheet-GPC'!AX24</f>
        <v>-32.421610000000001</v>
      </c>
      <c r="X24" s="814" t="str">
        <f>'Capital IQ Sheet-GPC'!AY24</f>
        <v>n/a</v>
      </c>
      <c r="Z24" s="814">
        <f>'Capital IQ Sheet-GPC'!AZ24</f>
        <v>13.31424</v>
      </c>
      <c r="AA24" s="814">
        <f>'Capital IQ Sheet-GPC'!BA24</f>
        <v>31.980499999999999</v>
      </c>
      <c r="AB24" s="814">
        <f>'Capital IQ Sheet-GPC'!BB24</f>
        <v>42.870730000000002</v>
      </c>
      <c r="AD24" s="814">
        <f>'Capital IQ Sheet-GPC'!BC24</f>
        <v>57.783560000000001</v>
      </c>
      <c r="AE24" s="814" t="str">
        <f>'Capital IQ Sheet-GPC'!BD24</f>
        <v>n/a</v>
      </c>
      <c r="AG24" s="259">
        <f>'Beta Calc'!K22</f>
        <v>473.53946999999999</v>
      </c>
      <c r="AH24" s="259">
        <f>'Beta Calc'!L22</f>
        <v>0</v>
      </c>
      <c r="AI24" s="259" t="str">
        <f>'Beta Calc'!M22</f>
        <v>n/a</v>
      </c>
      <c r="AJ24" s="259" t="str">
        <f>'Beta Calc'!N22</f>
        <v>n/a</v>
      </c>
      <c r="AK24" s="259">
        <f t="shared" si="11"/>
        <v>0</v>
      </c>
      <c r="AL24" s="259">
        <f t="shared" si="12"/>
        <v>473.53946999999999</v>
      </c>
      <c r="AM24" s="259">
        <f>'Beta Calc'!Q22</f>
        <v>55.659350000000003</v>
      </c>
      <c r="AN24" s="465">
        <f t="shared" si="13"/>
        <v>417.88011999999998</v>
      </c>
      <c r="AP24" s="815" t="str">
        <f>IF('MASTER PubCo Inputs'!C39="","",'MASTER PubCo Inputs'!C39)</f>
        <v>IQ254045988</v>
      </c>
      <c r="AQ24" s="816" t="str">
        <f>'Comp.1'!AL22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5" spans="2:43" ht="14.85" customHeight="1">
      <c r="B25" s="234" t="str">
        <f>'Comp.1'!B23</f>
        <v>GlycoMimetics, Inc.</v>
      </c>
      <c r="C25" s="465">
        <f t="shared" si="0"/>
        <v>483.13693999999998</v>
      </c>
      <c r="E25" s="813" t="str">
        <f t="shared" si="1"/>
        <v>n/a</v>
      </c>
      <c r="F25" s="813" t="str">
        <f t="shared" si="2"/>
        <v>n/a</v>
      </c>
      <c r="G25" s="813" t="str">
        <f t="shared" si="3"/>
        <v>n/a</v>
      </c>
      <c r="H25" s="259"/>
      <c r="I25" s="813" t="str">
        <f t="shared" si="4"/>
        <v>n/a</v>
      </c>
      <c r="J25" s="813" t="str">
        <f t="shared" si="5"/>
        <v>n/a</v>
      </c>
      <c r="L25" s="813">
        <f t="shared" si="6"/>
        <v>212.42354195662745</v>
      </c>
      <c r="M25" s="813">
        <f t="shared" si="7"/>
        <v>81.693082616539513</v>
      </c>
      <c r="N25" s="813">
        <f t="shared" si="8"/>
        <v>40.665477616728694</v>
      </c>
      <c r="P25" s="813">
        <f t="shared" si="9"/>
        <v>74.092393048270182</v>
      </c>
      <c r="Q25" s="813" t="str">
        <f t="shared" si="10"/>
        <v>n/a</v>
      </c>
      <c r="S25" s="814">
        <f>'Capital IQ Sheet-GPC'!AU25</f>
        <v>-32.362940000000002</v>
      </c>
      <c r="T25" s="814">
        <f>'Capital IQ Sheet-GPC'!AV25</f>
        <v>-32.35181</v>
      </c>
      <c r="U25" s="814">
        <f>'Capital IQ Sheet-GPC'!AW25</f>
        <v>-43.624580000000002</v>
      </c>
      <c r="V25" s="814"/>
      <c r="W25" s="814">
        <f>'Capital IQ Sheet-GPC'!AX25</f>
        <v>-33.28107</v>
      </c>
      <c r="X25" s="814" t="str">
        <f>'Capital IQ Sheet-GPC'!AY25</f>
        <v>n/a</v>
      </c>
      <c r="Z25" s="814">
        <f>'Capital IQ Sheet-GPC'!AZ25</f>
        <v>41.751330000000003</v>
      </c>
      <c r="AA25" s="814">
        <f>'Capital IQ Sheet-GPC'!BA25</f>
        <v>108.56446</v>
      </c>
      <c r="AB25" s="814">
        <f>'Capital IQ Sheet-GPC'!BB25</f>
        <v>218.09568999999999</v>
      </c>
      <c r="AD25" s="814">
        <f>'Capital IQ Sheet-GPC'!BC25</f>
        <v>119.70143</v>
      </c>
      <c r="AE25" s="814" t="str">
        <f>'Capital IQ Sheet-GPC'!BD25</f>
        <v>n/a</v>
      </c>
      <c r="AG25" s="259">
        <f>'Beta Calc'!K23</f>
        <v>483.13693999999998</v>
      </c>
      <c r="AH25" s="259">
        <f>'Beta Calc'!L23</f>
        <v>0</v>
      </c>
      <c r="AI25" s="259" t="str">
        <f>'Beta Calc'!M23</f>
        <v>n/a</v>
      </c>
      <c r="AJ25" s="259" t="str">
        <f>'Beta Calc'!N23</f>
        <v>n/a</v>
      </c>
      <c r="AK25" s="259">
        <f t="shared" si="11"/>
        <v>0</v>
      </c>
      <c r="AL25" s="259">
        <f t="shared" si="12"/>
        <v>483.13693999999998</v>
      </c>
      <c r="AM25" s="259">
        <f>'Beta Calc'!Q23</f>
        <v>219.82863</v>
      </c>
      <c r="AN25" s="465">
        <f t="shared" si="13"/>
        <v>263.30831000000001</v>
      </c>
      <c r="AP25" s="815" t="str">
        <f>IF('MASTER PubCo Inputs'!C40="","",'MASTER PubCo Inputs'!C40)</f>
        <v>IQ5703481</v>
      </c>
      <c r="AQ25" s="816" t="str">
        <f>'Comp.1'!AL23</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6" spans="2:43" ht="14.85" customHeight="1">
      <c r="B26" s="234" t="str">
        <f>'Comp.1'!B24</f>
        <v>LogicBio Therapeutics, Inc.</v>
      </c>
      <c r="C26" s="465">
        <f t="shared" si="0"/>
        <v>196.03698</v>
      </c>
      <c r="E26" s="813" t="str">
        <f t="shared" si="1"/>
        <v>n/a</v>
      </c>
      <c r="F26" s="813" t="str">
        <f t="shared" si="2"/>
        <v>n/a</v>
      </c>
      <c r="G26" s="813" t="str">
        <f t="shared" si="3"/>
        <v>n/a</v>
      </c>
      <c r="H26" s="259"/>
      <c r="I26" s="813" t="str">
        <f t="shared" si="4"/>
        <v>n/a</v>
      </c>
      <c r="J26" s="813" t="str">
        <f t="shared" si="5"/>
        <v>n/a</v>
      </c>
      <c r="L26" s="813" t="str">
        <f t="shared" si="6"/>
        <v>n/a</v>
      </c>
      <c r="M26" s="813">
        <f t="shared" si="7"/>
        <v>7997.2636609558158</v>
      </c>
      <c r="N26" s="813">
        <f t="shared" si="8"/>
        <v>613.89668443275423</v>
      </c>
      <c r="P26" s="813">
        <f t="shared" si="9"/>
        <v>362.54610636471403</v>
      </c>
      <c r="Q26" s="813" t="str">
        <f t="shared" si="10"/>
        <v>n/a</v>
      </c>
      <c r="S26" s="814" t="str">
        <f>'Capital IQ Sheet-GPC'!AU26</f>
        <v>n/a</v>
      </c>
      <c r="T26" s="814">
        <f>'Capital IQ Sheet-GPC'!AV26</f>
        <v>-3.4279999999999999</v>
      </c>
      <c r="U26" s="814">
        <f>'Capital IQ Sheet-GPC'!AW26</f>
        <v>-13.573</v>
      </c>
      <c r="V26" s="814"/>
      <c r="W26" s="814">
        <f>'Capital IQ Sheet-GPC'!AX26</f>
        <v>-5.7949999999999999</v>
      </c>
      <c r="X26" s="814" t="str">
        <f>'Capital IQ Sheet-GPC'!AY26</f>
        <v>n/a</v>
      </c>
      <c r="Z26" s="814" t="str">
        <f>'Capital IQ Sheet-GPC'!AZ26</f>
        <v>n/a</v>
      </c>
      <c r="AA26" s="814">
        <f>'Capital IQ Sheet-GPC'!BA26</f>
        <v>1.109</v>
      </c>
      <c r="AB26" s="814">
        <f>'Capital IQ Sheet-GPC'!BB26</f>
        <v>14.446999999999999</v>
      </c>
      <c r="AD26" s="814">
        <f>'Capital IQ Sheet-GPC'!BC26</f>
        <v>24.463000000000001</v>
      </c>
      <c r="AE26" s="814" t="str">
        <f>'Capital IQ Sheet-GPC'!BD26</f>
        <v>n/a</v>
      </c>
      <c r="AG26" s="259">
        <f>'Beta Calc'!K24</f>
        <v>196.03698</v>
      </c>
      <c r="AH26" s="259">
        <f>'Beta Calc'!L24</f>
        <v>0</v>
      </c>
      <c r="AI26" s="259">
        <f>'Beta Calc'!M24</f>
        <v>33.061999999999998</v>
      </c>
      <c r="AJ26" s="259" t="str">
        <f>'Beta Calc'!N24</f>
        <v>n/a</v>
      </c>
      <c r="AK26" s="259">
        <f t="shared" si="11"/>
        <v>33.061999999999998</v>
      </c>
      <c r="AL26" s="259">
        <f t="shared" si="12"/>
        <v>229.09897999999998</v>
      </c>
      <c r="AM26" s="259">
        <f>'Beta Calc'!Q24</f>
        <v>12.877000000000001</v>
      </c>
      <c r="AN26" s="465">
        <f t="shared" si="13"/>
        <v>216.22197999999997</v>
      </c>
      <c r="AP26" s="815" t="str">
        <f>IF('MASTER PubCo Inputs'!C41="","",'MASTER PubCo Inputs'!C41)</f>
        <v>IQ322758292</v>
      </c>
      <c r="AQ26" s="816" t="str">
        <f>'Comp.1'!AL24</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7" spans="2:43" ht="14.85" customHeight="1">
      <c r="B27" s="234" t="str">
        <f>'Comp.1'!B25</f>
        <v>Arbutus Biopharma Corporation</v>
      </c>
      <c r="C27" s="465">
        <f t="shared" si="0"/>
        <v>204.79499999999999</v>
      </c>
      <c r="E27" s="813" t="str">
        <f t="shared" si="1"/>
        <v>n/a</v>
      </c>
      <c r="F27" s="813" t="str">
        <f t="shared" si="2"/>
        <v>n/a</v>
      </c>
      <c r="G27" s="813" t="str">
        <f t="shared" si="3"/>
        <v>n/a</v>
      </c>
      <c r="H27" s="259"/>
      <c r="I27" s="813" t="str">
        <f t="shared" si="4"/>
        <v>n/a</v>
      </c>
      <c r="J27" s="813" t="str">
        <f t="shared" si="5"/>
        <v>n/a</v>
      </c>
      <c r="L27" s="813">
        <f t="shared" si="6"/>
        <v>21.287645724572457</v>
      </c>
      <c r="M27" s="813">
        <f t="shared" si="7"/>
        <v>52.983525996021292</v>
      </c>
      <c r="N27" s="813">
        <f t="shared" si="8"/>
        <v>41.198880486082722</v>
      </c>
      <c r="P27" s="813">
        <f t="shared" si="9"/>
        <v>48.604261452379248</v>
      </c>
      <c r="Q27" s="813" t="str">
        <f t="shared" si="10"/>
        <v>n/a</v>
      </c>
      <c r="S27" s="814">
        <f>'Capital IQ Sheet-GPC'!AU27</f>
        <v>-170.733</v>
      </c>
      <c r="T27" s="814">
        <f>'Capital IQ Sheet-GPC'!AV27</f>
        <v>-267.17700000000002</v>
      </c>
      <c r="U27" s="814">
        <f>'Capital IQ Sheet-GPC'!AW27</f>
        <v>-74.742000000000004</v>
      </c>
      <c r="V27" s="814"/>
      <c r="W27" s="814">
        <f>'Capital IQ Sheet-GPC'!AX27</f>
        <v>-84.412999999999997</v>
      </c>
      <c r="X27" s="814" t="str">
        <f>'Capital IQ Sheet-GPC'!AY27</f>
        <v>n/a</v>
      </c>
      <c r="Z27" s="814">
        <f>'Capital IQ Sheet-GPC'!AZ27</f>
        <v>416.625</v>
      </c>
      <c r="AA27" s="814">
        <f>'Capital IQ Sheet-GPC'!BA27</f>
        <v>167.39099999999999</v>
      </c>
      <c r="AB27" s="814">
        <f>'Capital IQ Sheet-GPC'!BB27</f>
        <v>215.27199999999999</v>
      </c>
      <c r="AD27" s="814">
        <f>'Capital IQ Sheet-GPC'!BC27</f>
        <v>182.47300000000001</v>
      </c>
      <c r="AE27" s="814" t="str">
        <f>'Capital IQ Sheet-GPC'!BD27</f>
        <v>n/a</v>
      </c>
      <c r="AG27" s="259">
        <f>'Beta Calc'!K25</f>
        <v>204.79499999999999</v>
      </c>
      <c r="AH27" s="259">
        <f>'Beta Calc'!L25</f>
        <v>0</v>
      </c>
      <c r="AI27" s="259">
        <f>'Beta Calc'!M25</f>
        <v>123.489</v>
      </c>
      <c r="AJ27" s="259" t="str">
        <f>'Beta Calc'!N25</f>
        <v>n/a</v>
      </c>
      <c r="AK27" s="259">
        <f t="shared" si="11"/>
        <v>123.489</v>
      </c>
      <c r="AL27" s="259">
        <f t="shared" si="12"/>
        <v>328.28399999999999</v>
      </c>
      <c r="AM27" s="259">
        <f>'Beta Calc'!Q25</f>
        <v>142.018</v>
      </c>
      <c r="AN27" s="465">
        <f t="shared" si="13"/>
        <v>186.26599999999999</v>
      </c>
      <c r="AP27" s="815" t="str">
        <f>IF('MASTER PubCo Inputs'!C42="","",'MASTER PubCo Inputs'!C42)</f>
        <v>IQ34160168</v>
      </c>
      <c r="AQ27" s="816" t="str">
        <f>'Comp.1'!AL25</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8" spans="2:43" ht="14.85" customHeight="1">
      <c r="B28" s="234" t="str">
        <f>'Comp.1'!B26</f>
        <v>Voyager Therapeutics, Inc.</v>
      </c>
      <c r="C28" s="465">
        <f t="shared" si="0"/>
        <v>341.52161000000001</v>
      </c>
      <c r="E28" s="813" t="str">
        <f t="shared" si="1"/>
        <v>n/a</v>
      </c>
      <c r="F28" s="813" t="str">
        <f t="shared" si="2"/>
        <v>n/a</v>
      </c>
      <c r="G28" s="813" t="str">
        <f t="shared" si="3"/>
        <v>n/a</v>
      </c>
      <c r="H28" s="259"/>
      <c r="I28" s="813" t="str">
        <f t="shared" si="4"/>
        <v>n/a</v>
      </c>
      <c r="J28" s="813" t="str">
        <f t="shared" si="5"/>
        <v>n/a</v>
      </c>
      <c r="L28" s="813">
        <f t="shared" si="6"/>
        <v>59.473762774603685</v>
      </c>
      <c r="M28" s="813">
        <f t="shared" si="7"/>
        <v>104.08850785155974</v>
      </c>
      <c r="N28" s="813">
        <f t="shared" si="8"/>
        <v>135.22237909373666</v>
      </c>
      <c r="P28" s="813">
        <f t="shared" si="9"/>
        <v>66.161128227316468</v>
      </c>
      <c r="Q28" s="813" t="str">
        <f t="shared" si="10"/>
        <v>n/a</v>
      </c>
      <c r="S28" s="814">
        <f>'Capital IQ Sheet-GPC'!AU28</f>
        <v>-32.802999999999997</v>
      </c>
      <c r="T28" s="814">
        <f>'Capital IQ Sheet-GPC'!AV28</f>
        <v>-73.542000000000002</v>
      </c>
      <c r="U28" s="814">
        <f>'Capital IQ Sheet-GPC'!AW28</f>
        <v>-77.585999999999999</v>
      </c>
      <c r="V28" s="814"/>
      <c r="W28" s="814">
        <f>'Capital IQ Sheet-GPC'!AX28</f>
        <v>-70.697999999999993</v>
      </c>
      <c r="X28" s="814" t="str">
        <f>'Capital IQ Sheet-GPC'!AY28</f>
        <v>n/a</v>
      </c>
      <c r="Z28" s="814">
        <f>'Capital IQ Sheet-GPC'!AZ28</f>
        <v>149.124</v>
      </c>
      <c r="AA28" s="814">
        <f>'Capital IQ Sheet-GPC'!BA28</f>
        <v>85.206000000000003</v>
      </c>
      <c r="AB28" s="814">
        <f>'Capital IQ Sheet-GPC'!BB28</f>
        <v>65.587999999999994</v>
      </c>
      <c r="AD28" s="814">
        <f>'Capital IQ Sheet-GPC'!BC28</f>
        <v>134.05099999999999</v>
      </c>
      <c r="AE28" s="814" t="str">
        <f>'Capital IQ Sheet-GPC'!BD28</f>
        <v>n/a</v>
      </c>
      <c r="AG28" s="259">
        <f>'Beta Calc'!K26</f>
        <v>341.52161000000001</v>
      </c>
      <c r="AH28" s="259">
        <f>'Beta Calc'!L26</f>
        <v>0</v>
      </c>
      <c r="AI28" s="259" t="str">
        <f>'Beta Calc'!M26</f>
        <v>n/a</v>
      </c>
      <c r="AJ28" s="259" t="str">
        <f>'Beta Calc'!N26</f>
        <v>n/a</v>
      </c>
      <c r="AK28" s="259">
        <f t="shared" si="11"/>
        <v>0</v>
      </c>
      <c r="AL28" s="259">
        <f t="shared" si="12"/>
        <v>341.52161000000001</v>
      </c>
      <c r="AM28" s="259">
        <f>'Beta Calc'!Q26</f>
        <v>179.601</v>
      </c>
      <c r="AN28" s="465">
        <f t="shared" si="13"/>
        <v>161.92061000000001</v>
      </c>
      <c r="AP28" s="815" t="str">
        <f>IF('MASTER PubCo Inputs'!C43="","",'MASTER PubCo Inputs'!C43)</f>
        <v>IQ256887902</v>
      </c>
      <c r="AQ28" s="816" t="str">
        <f>'Comp.1'!AL26</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9" spans="2:43" ht="14.85" customHeight="1">
      <c r="B29" s="234" t="e">
        <f>'Comp.1'!#REF!</f>
        <v>#REF!</v>
      </c>
      <c r="C29" s="465" t="e">
        <f t="shared" si="0"/>
        <v>#REF!</v>
      </c>
      <c r="E29" s="813" t="str">
        <f t="shared" si="1"/>
        <v>n/a</v>
      </c>
      <c r="F29" s="813" t="str">
        <f t="shared" si="2"/>
        <v>n/a</v>
      </c>
      <c r="G29" s="813" t="str">
        <f t="shared" si="3"/>
        <v>n/a</v>
      </c>
      <c r="H29" s="259"/>
      <c r="I29" s="813" t="str">
        <f t="shared" si="4"/>
        <v>n/a</v>
      </c>
      <c r="J29" s="813" t="str">
        <f t="shared" si="5"/>
        <v>n/a</v>
      </c>
      <c r="L29" s="813" t="str">
        <f t="shared" si="6"/>
        <v>n/a</v>
      </c>
      <c r="M29" s="813" t="str">
        <f t="shared" si="7"/>
        <v>n/a</v>
      </c>
      <c r="N29" s="813" t="str">
        <f t="shared" si="8"/>
        <v>n/a</v>
      </c>
      <c r="P29" s="813" t="str">
        <f t="shared" si="9"/>
        <v>n/a</v>
      </c>
      <c r="Q29" s="813" t="str">
        <f t="shared" si="10"/>
        <v>n/a</v>
      </c>
      <c r="S29" s="814" t="e">
        <f>'Capital IQ Sheet-GPC'!#REF!</f>
        <v>#REF!</v>
      </c>
      <c r="T29" s="814" t="e">
        <f>'Capital IQ Sheet-GPC'!#REF!</f>
        <v>#REF!</v>
      </c>
      <c r="U29" s="814" t="e">
        <f>'Capital IQ Sheet-GPC'!#REF!</f>
        <v>#REF!</v>
      </c>
      <c r="V29" s="814"/>
      <c r="W29" s="814" t="e">
        <f>'Capital IQ Sheet-GPC'!#REF!</f>
        <v>#REF!</v>
      </c>
      <c r="X29" s="814" t="e">
        <f>'Capital IQ Sheet-GPC'!#REF!</f>
        <v>#REF!</v>
      </c>
      <c r="Z29" s="814" t="e">
        <f>'Capital IQ Sheet-GPC'!#REF!</f>
        <v>#REF!</v>
      </c>
      <c r="AA29" s="814" t="e">
        <f>'Capital IQ Sheet-GPC'!#REF!</f>
        <v>#REF!</v>
      </c>
      <c r="AB29" s="814" t="e">
        <f>'Capital IQ Sheet-GPC'!#REF!</f>
        <v>#REF!</v>
      </c>
      <c r="AD29" s="814" t="e">
        <f>'Capital IQ Sheet-GPC'!#REF!</f>
        <v>#REF!</v>
      </c>
      <c r="AE29" s="814" t="e">
        <f>'Capital IQ Sheet-GPC'!#REF!</f>
        <v>#REF!</v>
      </c>
      <c r="AG29" s="259" t="e">
        <f>'Beta Calc'!#REF!</f>
        <v>#REF!</v>
      </c>
      <c r="AH29" s="259" t="e">
        <f>'Beta Calc'!#REF!</f>
        <v>#REF!</v>
      </c>
      <c r="AI29" s="259" t="e">
        <f>'Beta Calc'!#REF!</f>
        <v>#REF!</v>
      </c>
      <c r="AJ29" s="259" t="e">
        <f>'Beta Calc'!#REF!</f>
        <v>#REF!</v>
      </c>
      <c r="AK29" s="259" t="e">
        <f t="shared" si="11"/>
        <v>#REF!</v>
      </c>
      <c r="AL29" s="259" t="e">
        <f t="shared" si="12"/>
        <v>#REF!</v>
      </c>
      <c r="AM29" s="259" t="e">
        <f>'Beta Calc'!#REF!</f>
        <v>#REF!</v>
      </c>
      <c r="AN29" s="465" t="str">
        <f t="shared" si="13"/>
        <v>n/a</v>
      </c>
      <c r="AP29" s="815" t="str">
        <f>IF('MASTER PubCo Inputs'!C44="","",'MASTER PubCo Inputs'!C44)</f>
        <v>IQ30632</v>
      </c>
      <c r="AQ29" s="816" t="e">
        <f>'Comp.1'!#REF!</f>
        <v>#REF!</v>
      </c>
    </row>
    <row r="30" spans="2:43" ht="14.85" customHeight="1">
      <c r="B30" s="234" t="str">
        <f>'Comp.1'!B27</f>
        <v>La Jolla Pharmaceutical Company</v>
      </c>
      <c r="C30" s="465">
        <f t="shared" si="0"/>
        <v>158.45113000000001</v>
      </c>
      <c r="E30" s="813" t="str">
        <f t="shared" si="1"/>
        <v>n/a</v>
      </c>
      <c r="F30" s="813" t="str">
        <f t="shared" si="2"/>
        <v>n/a</v>
      </c>
      <c r="G30" s="813" t="str">
        <f t="shared" si="3"/>
        <v>n/a</v>
      </c>
      <c r="H30" s="259"/>
      <c r="I30" s="813" t="str">
        <f t="shared" si="4"/>
        <v>n/a</v>
      </c>
      <c r="J30" s="813" t="str">
        <f t="shared" si="5"/>
        <v>n/a</v>
      </c>
      <c r="L30" s="813">
        <f t="shared" si="6"/>
        <v>107.78350124567054</v>
      </c>
      <c r="M30" s="813">
        <f t="shared" si="7"/>
        <v>74.034520639425679</v>
      </c>
      <c r="N30" s="813">
        <f t="shared" si="8"/>
        <v>118.26233298663892</v>
      </c>
      <c r="P30" s="813">
        <f t="shared" si="9"/>
        <v>100.55288315457699</v>
      </c>
      <c r="Q30" s="813" t="str">
        <f t="shared" si="10"/>
        <v>n/a</v>
      </c>
      <c r="S30" s="814">
        <f>'Capital IQ Sheet-GPC'!AU29</f>
        <v>-65.131</v>
      </c>
      <c r="T30" s="814">
        <f>'Capital IQ Sheet-GPC'!AV29</f>
        <v>-101.14400000000001</v>
      </c>
      <c r="U30" s="814">
        <f>'Capital IQ Sheet-GPC'!AW29</f>
        <v>-192.59700000000001</v>
      </c>
      <c r="V30" s="814"/>
      <c r="W30" s="814">
        <f>'Capital IQ Sheet-GPC'!AX29</f>
        <v>-114.803</v>
      </c>
      <c r="X30" s="814" t="str">
        <f>'Capital IQ Sheet-GPC'!AY29</f>
        <v>n/a</v>
      </c>
      <c r="Z30" s="814">
        <f>'Capital IQ Sheet-GPC'!AZ29</f>
        <v>82.284999999999997</v>
      </c>
      <c r="AA30" s="814">
        <f>'Capital IQ Sheet-GPC'!BA29</f>
        <v>119.795</v>
      </c>
      <c r="AB30" s="814">
        <f>'Capital IQ Sheet-GPC'!BB29</f>
        <v>74.994</v>
      </c>
      <c r="AD30" s="814">
        <f>'Capital IQ Sheet-GPC'!BC29</f>
        <v>88.201999999999998</v>
      </c>
      <c r="AE30" s="814" t="str">
        <f>'Capital IQ Sheet-GPC'!BD29</f>
        <v>n/a</v>
      </c>
      <c r="AG30" s="259">
        <f>'Beta Calc'!K27</f>
        <v>158.45113000000001</v>
      </c>
      <c r="AH30" s="259">
        <f>'Beta Calc'!L27</f>
        <v>124.324</v>
      </c>
      <c r="AI30" s="259">
        <f>'Beta Calc'!M27</f>
        <v>6.6429999999999998</v>
      </c>
      <c r="AJ30" s="259" t="str">
        <f>'Beta Calc'!N27</f>
        <v>n/a</v>
      </c>
      <c r="AK30" s="259">
        <f t="shared" si="11"/>
        <v>130.96699999999998</v>
      </c>
      <c r="AL30" s="259">
        <f t="shared" si="12"/>
        <v>289.41812999999996</v>
      </c>
      <c r="AM30" s="259">
        <f>'Beta Calc'!Q27</f>
        <v>204.33699999999999</v>
      </c>
      <c r="AN30" s="465">
        <f t="shared" si="13"/>
        <v>85.081129999999973</v>
      </c>
      <c r="AP30" s="815" t="str">
        <f>IF('MASTER PubCo Inputs'!C45="","",'MASTER PubCo Inputs'!C45)</f>
        <v>IQ129263324</v>
      </c>
      <c r="AQ30" s="816" t="str">
        <f>'Comp.1'!AL27</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31" spans="2:43" ht="14.85" customHeight="1">
      <c r="B31" s="234" t="str">
        <f>'Comp.1'!B28</f>
        <v>Protagonist Therapeutics, Inc.</v>
      </c>
      <c r="C31" s="465">
        <f t="shared" si="0"/>
        <v>197.11606</v>
      </c>
      <c r="E31" s="813" t="str">
        <f t="shared" si="1"/>
        <v>n/a</v>
      </c>
      <c r="F31" s="813" t="str">
        <f t="shared" si="2"/>
        <v>n/a</v>
      </c>
      <c r="G31" s="813" t="str">
        <f t="shared" si="3"/>
        <v>n/a</v>
      </c>
      <c r="H31" s="259"/>
      <c r="I31" s="813" t="str">
        <f t="shared" si="4"/>
        <v>n/a</v>
      </c>
      <c r="J31" s="813" t="str">
        <f t="shared" si="5"/>
        <v>n/a</v>
      </c>
      <c r="L31" s="813">
        <f t="shared" si="6"/>
        <v>90.969345805895742</v>
      </c>
      <c r="M31" s="813">
        <f t="shared" si="7"/>
        <v>153.34679784217442</v>
      </c>
      <c r="N31" s="813">
        <f t="shared" si="8"/>
        <v>71.548148566449925</v>
      </c>
      <c r="P31" s="813">
        <f t="shared" si="9"/>
        <v>73.520835267590684</v>
      </c>
      <c r="Q31" s="813" t="str">
        <f t="shared" si="10"/>
        <v>n/a</v>
      </c>
      <c r="S31" s="814">
        <f>'Capital IQ Sheet-GPC'!AU30</f>
        <v>-31.422000000000001</v>
      </c>
      <c r="T31" s="814">
        <f>'Capital IQ Sheet-GPC'!AV30</f>
        <v>-45.152999999999999</v>
      </c>
      <c r="U31" s="814">
        <f>'Capital IQ Sheet-GPC'!AW30</f>
        <v>-28.111000000000001</v>
      </c>
      <c r="V31" s="814"/>
      <c r="W31" s="814">
        <f>'Capital IQ Sheet-GPC'!AX30</f>
        <v>-36.957000000000001</v>
      </c>
      <c r="X31" s="814" t="str">
        <f>'Capital IQ Sheet-GPC'!AY30</f>
        <v>n/a</v>
      </c>
      <c r="Z31" s="814">
        <f>'Capital IQ Sheet-GPC'!AZ30</f>
        <v>97.494</v>
      </c>
      <c r="AA31" s="814">
        <f>'Capital IQ Sheet-GPC'!BA30</f>
        <v>57.835999999999999</v>
      </c>
      <c r="AB31" s="814">
        <f>'Capital IQ Sheet-GPC'!BB30</f>
        <v>123.958</v>
      </c>
      <c r="AD31" s="814">
        <f>'Capital IQ Sheet-GPC'!BC30</f>
        <v>120.63200000000001</v>
      </c>
      <c r="AE31" s="814" t="str">
        <f>'Capital IQ Sheet-GPC'!BD30</f>
        <v>n/a</v>
      </c>
      <c r="AG31" s="259">
        <f>'Beta Calc'!K28</f>
        <v>197.11606</v>
      </c>
      <c r="AH31" s="259">
        <f>'Beta Calc'!L28</f>
        <v>0</v>
      </c>
      <c r="AI31" s="259" t="str">
        <f>'Beta Calc'!M28</f>
        <v>n/a</v>
      </c>
      <c r="AJ31" s="259" t="str">
        <f>'Beta Calc'!N28</f>
        <v>n/a</v>
      </c>
      <c r="AK31" s="259">
        <f t="shared" si="11"/>
        <v>0</v>
      </c>
      <c r="AL31" s="259">
        <f t="shared" si="12"/>
        <v>197.11606</v>
      </c>
      <c r="AM31" s="259">
        <f>'Beta Calc'!Q28</f>
        <v>138.517</v>
      </c>
      <c r="AN31" s="465">
        <f t="shared" si="13"/>
        <v>58.599060000000009</v>
      </c>
      <c r="AP31" s="815" t="str">
        <f>IF('MASTER PubCo Inputs'!C46="","",'MASTER PubCo Inputs'!C46)</f>
        <v>IQ1517644</v>
      </c>
      <c r="AQ31" s="816" t="str">
        <f>'Comp.1'!AL28</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32" spans="2:43" ht="14.85" customHeight="1">
      <c r="B32" s="234" t="str">
        <f>'Comp.1'!B29</f>
        <v>Fibrocell Science, Inc.</v>
      </c>
      <c r="C32" s="465">
        <f t="shared" si="0"/>
        <v>19.22391</v>
      </c>
      <c r="E32" s="813" t="str">
        <f t="shared" si="1"/>
        <v>n/a</v>
      </c>
      <c r="F32" s="813" t="str">
        <f t="shared" si="2"/>
        <v>n/a</v>
      </c>
      <c r="G32" s="813" t="str">
        <f t="shared" si="3"/>
        <v>n/a</v>
      </c>
      <c r="H32" s="259"/>
      <c r="I32" s="813" t="str">
        <f t="shared" si="4"/>
        <v>n/a</v>
      </c>
      <c r="J32" s="813" t="str">
        <f t="shared" si="5"/>
        <v>n/a</v>
      </c>
      <c r="L32" s="813">
        <f t="shared" si="6"/>
        <v>803.49387570211991</v>
      </c>
      <c r="M32" s="813" t="str">
        <f t="shared" si="7"/>
        <v>n/a</v>
      </c>
      <c r="N32" s="813">
        <f t="shared" si="8"/>
        <v>870.87248625294581</v>
      </c>
      <c r="P32" s="813">
        <f t="shared" si="9"/>
        <v>984.67474186743641</v>
      </c>
      <c r="Q32" s="813" t="str">
        <f t="shared" si="10"/>
        <v>n/a</v>
      </c>
      <c r="S32" s="814">
        <f>'Capital IQ Sheet-GPC'!AU31</f>
        <v>-29.449000000000002</v>
      </c>
      <c r="T32" s="814">
        <f>'Capital IQ Sheet-GPC'!AV31</f>
        <v>-22.634</v>
      </c>
      <c r="U32" s="814">
        <f>'Capital IQ Sheet-GPC'!AW31</f>
        <v>-5.7539999999999996</v>
      </c>
      <c r="V32" s="814"/>
      <c r="W32" s="814">
        <f>'Capital IQ Sheet-GPC'!AX31</f>
        <v>-16.239999999999998</v>
      </c>
      <c r="X32" s="814" t="str">
        <f>'Capital IQ Sheet-GPC'!AY31</f>
        <v>n/a</v>
      </c>
      <c r="Z32" s="814">
        <f>'Capital IQ Sheet-GPC'!AZ31</f>
        <v>11.038</v>
      </c>
      <c r="AA32" s="814">
        <f>'Capital IQ Sheet-GPC'!BA31</f>
        <v>-3.3260000000000001</v>
      </c>
      <c r="AB32" s="814">
        <f>'Capital IQ Sheet-GPC'!BB31</f>
        <v>10.183999999999999</v>
      </c>
      <c r="AD32" s="814">
        <f>'Capital IQ Sheet-GPC'!BC31</f>
        <v>9.0069999999999997</v>
      </c>
      <c r="AE32" s="814" t="str">
        <f>'Capital IQ Sheet-GPC'!BD31</f>
        <v>n/a</v>
      </c>
      <c r="AG32" s="259">
        <f>'Beta Calc'!K29</f>
        <v>19.22391</v>
      </c>
      <c r="AH32" s="259">
        <f>'Beta Calc'!L29</f>
        <v>0</v>
      </c>
      <c r="AI32" s="259">
        <f>'Beta Calc'!M29</f>
        <v>7.6230000000000002</v>
      </c>
      <c r="AJ32" s="259" t="str">
        <f>'Beta Calc'!N29</f>
        <v>n/a</v>
      </c>
      <c r="AK32" s="259">
        <f t="shared" si="11"/>
        <v>7.6230000000000002</v>
      </c>
      <c r="AL32" s="259">
        <f t="shared" si="12"/>
        <v>26.846910000000001</v>
      </c>
      <c r="AM32" s="259">
        <f>'Beta Calc'!Q29</f>
        <v>16.111000000000001</v>
      </c>
      <c r="AN32" s="465">
        <f t="shared" si="13"/>
        <v>10.735910000000001</v>
      </c>
      <c r="AP32" s="815" t="str">
        <f>IF('MASTER PubCo Inputs'!C47="","",'MASTER PubCo Inputs'!C47)</f>
        <v/>
      </c>
      <c r="AQ32" s="816" t="str">
        <f>'Comp.1'!AL29</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33" spans="2:43" ht="14.85" customHeight="1">
      <c r="B33" s="234" t="str">
        <f>'Comp.1'!B31</f>
        <v>CRISPR/Cas9</v>
      </c>
      <c r="C33" s="465">
        <f t="shared" si="0"/>
        <v>0</v>
      </c>
      <c r="E33" s="813" t="str">
        <f t="shared" si="1"/>
        <v>n/a</v>
      </c>
      <c r="F33" s="813" t="str">
        <f t="shared" si="2"/>
        <v>n/a</v>
      </c>
      <c r="G33" s="813" t="str">
        <f t="shared" si="3"/>
        <v>n/a</v>
      </c>
      <c r="H33" s="259"/>
      <c r="I33" s="813" t="str">
        <f t="shared" si="4"/>
        <v>n/a</v>
      </c>
      <c r="J33" s="813" t="str">
        <f t="shared" si="5"/>
        <v>n/a</v>
      </c>
      <c r="L33" s="813" t="str">
        <f t="shared" si="6"/>
        <v>n/a</v>
      </c>
      <c r="M33" s="813" t="str">
        <f t="shared" si="7"/>
        <v>n/a</v>
      </c>
      <c r="N33" s="813" t="str">
        <f t="shared" si="8"/>
        <v>n/a</v>
      </c>
      <c r="P33" s="813" t="str">
        <f t="shared" si="9"/>
        <v>n/a</v>
      </c>
      <c r="Q33" s="813" t="str">
        <f t="shared" si="10"/>
        <v>n/a</v>
      </c>
      <c r="S33" s="814" t="str">
        <f>'Capital IQ Sheet-GPC'!AU32</f>
        <v>(Invalid Identifier)</v>
      </c>
      <c r="T33" s="814" t="str">
        <f>'Capital IQ Sheet-GPC'!AV32</f>
        <v>(Invalid Identifier)</v>
      </c>
      <c r="U33" s="814" t="str">
        <f>'Capital IQ Sheet-GPC'!AW32</f>
        <v>(Invalid Identifier)</v>
      </c>
      <c r="V33" s="814"/>
      <c r="W33" s="814" t="str">
        <f>'Capital IQ Sheet-GPC'!AX32</f>
        <v>(Invalid Identifier)</v>
      </c>
      <c r="X33" s="814" t="str">
        <f>'Capital IQ Sheet-GPC'!AY32</f>
        <v>(Invalid Identifier)</v>
      </c>
      <c r="Z33" s="814" t="str">
        <f>'Capital IQ Sheet-GPC'!AZ32</f>
        <v>(Invalid Identifier)</v>
      </c>
      <c r="AA33" s="814" t="str">
        <f>'Capital IQ Sheet-GPC'!BA32</f>
        <v>(Invalid Identifier)</v>
      </c>
      <c r="AB33" s="814" t="str">
        <f>'Capital IQ Sheet-GPC'!BB32</f>
        <v>(Invalid Identifier)</v>
      </c>
      <c r="AD33" s="814" t="str">
        <f>'Capital IQ Sheet-GPC'!BC32</f>
        <v>(Invalid Identifier)</v>
      </c>
      <c r="AE33" s="814" t="str">
        <f>'Capital IQ Sheet-GPC'!BD32</f>
        <v>(Invalid Identifier)</v>
      </c>
      <c r="AG33" s="259">
        <f>'Beta Calc'!K31</f>
        <v>0</v>
      </c>
      <c r="AH33" s="259">
        <f>'Beta Calc'!L31</f>
        <v>0</v>
      </c>
      <c r="AI33" s="259">
        <f>'Beta Calc'!M31</f>
        <v>0</v>
      </c>
      <c r="AJ33" s="259">
        <f>'Beta Calc'!N31</f>
        <v>0</v>
      </c>
      <c r="AK33" s="259">
        <f t="shared" si="11"/>
        <v>0</v>
      </c>
      <c r="AL33" s="259">
        <f t="shared" si="12"/>
        <v>0</v>
      </c>
      <c r="AM33" s="259">
        <f>'Beta Calc'!Q31</f>
        <v>0</v>
      </c>
      <c r="AN33" s="465">
        <f t="shared" si="13"/>
        <v>0</v>
      </c>
      <c r="AP33" s="815" t="str">
        <f>IF('MASTER PubCo Inputs'!C48="","",'MASTER PubCo Inputs'!C48)</f>
        <v>IQ262549448</v>
      </c>
      <c r="AQ33" s="816">
        <f>'Comp.1'!AL31</f>
        <v>0</v>
      </c>
    </row>
    <row r="34" spans="2:43" ht="14.85" customHeight="1">
      <c r="B34" s="234" t="str">
        <f>'Comp.1'!B32</f>
        <v>CRISPR Therapeutics AG</v>
      </c>
      <c r="C34" s="465">
        <f t="shared" si="0"/>
        <v>1679.8645300000001</v>
      </c>
      <c r="E34" s="813" t="str">
        <f t="shared" si="1"/>
        <v>n/a</v>
      </c>
      <c r="F34" s="813" t="str">
        <f t="shared" si="2"/>
        <v>n/a</v>
      </c>
      <c r="G34" s="813" t="str">
        <f t="shared" si="3"/>
        <v>n/a</v>
      </c>
      <c r="H34" s="259"/>
      <c r="I34" s="813" t="str">
        <f t="shared" si="4"/>
        <v>n/a</v>
      </c>
      <c r="J34" s="813" t="str">
        <f t="shared" si="5"/>
        <v>n/a</v>
      </c>
      <c r="L34" s="813">
        <f t="shared" si="6"/>
        <v>72.086069591085305</v>
      </c>
      <c r="M34" s="813">
        <f t="shared" si="7"/>
        <v>49.558921087629493</v>
      </c>
      <c r="N34" s="813">
        <f t="shared" si="8"/>
        <v>21.252499077433296</v>
      </c>
      <c r="P34" s="813">
        <f t="shared" si="9"/>
        <v>47.217542271817365</v>
      </c>
      <c r="Q34" s="813" t="str">
        <f t="shared" si="10"/>
        <v>n/a</v>
      </c>
      <c r="S34" s="814">
        <f>'Capital IQ Sheet-GPC'!AU33</f>
        <v>-52.585999999999999</v>
      </c>
      <c r="T34" s="814">
        <f>'Capital IQ Sheet-GPC'!AV33</f>
        <v>-51.4</v>
      </c>
      <c r="U34" s="814">
        <f>'Capital IQ Sheet-GPC'!AW33</f>
        <v>-117.25</v>
      </c>
      <c r="V34" s="814"/>
      <c r="W34" s="814">
        <f>'Capital IQ Sheet-GPC'!AX33</f>
        <v>-68.356999999999999</v>
      </c>
      <c r="X34" s="814" t="str">
        <f>'Capital IQ Sheet-GPC'!AY33</f>
        <v>n/a</v>
      </c>
      <c r="Z34" s="814">
        <f>'Capital IQ Sheet-GPC'!AZ33</f>
        <v>123.033</v>
      </c>
      <c r="AA34" s="814">
        <f>'Capital IQ Sheet-GPC'!BA33</f>
        <v>178.958</v>
      </c>
      <c r="AB34" s="814">
        <f>'Capital IQ Sheet-GPC'!BB33</f>
        <v>417.31400000000002</v>
      </c>
      <c r="AD34" s="814">
        <f>'Capital IQ Sheet-GPC'!BC33</f>
        <v>187.83199999999999</v>
      </c>
      <c r="AE34" s="814" t="str">
        <f>'Capital IQ Sheet-GPC'!BD33</f>
        <v>n/a</v>
      </c>
      <c r="AG34" s="259">
        <f>'Beta Calc'!K32</f>
        <v>1679.8645300000001</v>
      </c>
      <c r="AH34" s="259">
        <f>'Beta Calc'!L32</f>
        <v>0</v>
      </c>
      <c r="AI34" s="259" t="str">
        <f>'Beta Calc'!M32</f>
        <v>n/a</v>
      </c>
      <c r="AJ34" s="259" t="str">
        <f>'Beta Calc'!N32</f>
        <v>n/a</v>
      </c>
      <c r="AK34" s="259">
        <f t="shared" si="11"/>
        <v>0</v>
      </c>
      <c r="AL34" s="259">
        <f t="shared" si="12"/>
        <v>1679.8645300000001</v>
      </c>
      <c r="AM34" s="259">
        <f>'Beta Calc'!Q32</f>
        <v>487.29500000000002</v>
      </c>
      <c r="AN34" s="465">
        <f t="shared" si="13"/>
        <v>1192.56953</v>
      </c>
      <c r="AP34" s="815" t="str">
        <f>IF('MASTER PubCo Inputs'!C49="","",'MASTER PubCo Inputs'!C49)</f>
        <v>IQ252050056</v>
      </c>
      <c r="AQ34" s="816" t="str">
        <f>'Comp.1'!AL32</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5" spans="2:43" ht="14.85" customHeight="1">
      <c r="B35" s="234" t="str">
        <f>'Comp.1'!B33</f>
        <v>Editas Medicine, Inc.</v>
      </c>
      <c r="C35" s="465">
        <f t="shared" si="0"/>
        <v>1032.0795800000001</v>
      </c>
      <c r="E35" s="813" t="str">
        <f t="shared" si="1"/>
        <v>n/a</v>
      </c>
      <c r="F35" s="813" t="str">
        <f t="shared" si="2"/>
        <v>n/a</v>
      </c>
      <c r="G35" s="813" t="str">
        <f t="shared" si="3"/>
        <v>n/a</v>
      </c>
      <c r="H35" s="259"/>
      <c r="I35" s="813" t="str">
        <f t="shared" si="4"/>
        <v>n/a</v>
      </c>
      <c r="J35" s="813" t="str">
        <f t="shared" si="5"/>
        <v>n/a</v>
      </c>
      <c r="L35" s="813">
        <f t="shared" si="6"/>
        <v>52.116428873636707</v>
      </c>
      <c r="M35" s="813">
        <f t="shared" si="7"/>
        <v>49.885061983935913</v>
      </c>
      <c r="N35" s="813">
        <f t="shared" si="8"/>
        <v>39.514390351482959</v>
      </c>
      <c r="P35" s="813">
        <f t="shared" si="9"/>
        <v>42.622863321799301</v>
      </c>
      <c r="Q35" s="813" t="str">
        <f t="shared" si="10"/>
        <v>n/a</v>
      </c>
      <c r="S35" s="814">
        <f>'Capital IQ Sheet-GPC'!AU34</f>
        <v>-70.44</v>
      </c>
      <c r="T35" s="814">
        <f>'Capital IQ Sheet-GPC'!AV34</f>
        <v>-123.511</v>
      </c>
      <c r="U35" s="814">
        <f>'Capital IQ Sheet-GPC'!AW34</f>
        <v>-121.08799999999999</v>
      </c>
      <c r="V35" s="814"/>
      <c r="W35" s="814">
        <f>'Capital IQ Sheet-GPC'!AX34</f>
        <v>-120.324</v>
      </c>
      <c r="X35" s="814" t="str">
        <f>'Capital IQ Sheet-GPC'!AY34</f>
        <v>n/a</v>
      </c>
      <c r="Z35" s="814">
        <f>'Capital IQ Sheet-GPC'!AZ34</f>
        <v>170.17599999999999</v>
      </c>
      <c r="AA35" s="814">
        <f>'Capital IQ Sheet-GPC'!BA34</f>
        <v>177.78800000000001</v>
      </c>
      <c r="AB35" s="814">
        <f>'Capital IQ Sheet-GPC'!BB34</f>
        <v>224.44900000000001</v>
      </c>
      <c r="AD35" s="814">
        <f>'Capital IQ Sheet-GPC'!BC34</f>
        <v>208.08</v>
      </c>
      <c r="AE35" s="814" t="str">
        <f>'Capital IQ Sheet-GPC'!BD34</f>
        <v>n/a</v>
      </c>
      <c r="AG35" s="259">
        <f>'Beta Calc'!K33</f>
        <v>1032.0795800000001</v>
      </c>
      <c r="AH35" s="259">
        <f>'Beta Calc'!L33</f>
        <v>32.694000000000003</v>
      </c>
      <c r="AI35" s="259" t="str">
        <f>'Beta Calc'!M33</f>
        <v>n/a</v>
      </c>
      <c r="AJ35" s="259" t="str">
        <f>'Beta Calc'!N33</f>
        <v>n/a</v>
      </c>
      <c r="AK35" s="259">
        <f t="shared" si="11"/>
        <v>32.694000000000003</v>
      </c>
      <c r="AL35" s="259">
        <f t="shared" si="12"/>
        <v>1064.77358</v>
      </c>
      <c r="AM35" s="259">
        <f>'Beta Calc'!Q33</f>
        <v>337.49200000000002</v>
      </c>
      <c r="AN35" s="465">
        <f t="shared" si="13"/>
        <v>727.28158000000008</v>
      </c>
      <c r="AP35" s="815" t="str">
        <f>IF('MASTER PubCo Inputs'!C50="","",'MASTER PubCo Inputs'!C50)</f>
        <v>IQ277799796</v>
      </c>
      <c r="AQ35" s="816" t="str">
        <f>'Comp.1'!AL33</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6" spans="2:43" ht="14.85" customHeight="1">
      <c r="B36" s="234" t="str">
        <f>'Comp.1'!B34</f>
        <v>Intellia Therapeutics, Inc.</v>
      </c>
      <c r="C36" s="465">
        <f t="shared" si="0"/>
        <v>613.94893999999999</v>
      </c>
      <c r="E36" s="813" t="str">
        <f t="shared" si="1"/>
        <v>n/a</v>
      </c>
      <c r="F36" s="813" t="str">
        <f t="shared" si="2"/>
        <v>n/a</v>
      </c>
      <c r="G36" s="813" t="str">
        <f t="shared" si="3"/>
        <v>n/a</v>
      </c>
      <c r="H36" s="259"/>
      <c r="I36" s="813" t="str">
        <f t="shared" si="4"/>
        <v>n/a</v>
      </c>
      <c r="J36" s="813" t="str">
        <f t="shared" si="5"/>
        <v>n/a</v>
      </c>
      <c r="L36" s="813">
        <f t="shared" si="6"/>
        <v>40.660199702921268</v>
      </c>
      <c r="M36" s="813">
        <f t="shared" si="7"/>
        <v>50.435693529033756</v>
      </c>
      <c r="N36" s="813">
        <f t="shared" si="8"/>
        <v>33.687717552322709</v>
      </c>
      <c r="P36" s="813">
        <f t="shared" si="9"/>
        <v>29.504504036966434</v>
      </c>
      <c r="Q36" s="813" t="str">
        <f t="shared" si="10"/>
        <v>n/a</v>
      </c>
      <c r="S36" s="814">
        <f>'Capital IQ Sheet-GPC'!AU35</f>
        <v>-26.315999999999999</v>
      </c>
      <c r="T36" s="814">
        <f>'Capital IQ Sheet-GPC'!AV35</f>
        <v>-54.143000000000001</v>
      </c>
      <c r="U36" s="814">
        <f>'Capital IQ Sheet-GPC'!AW35</f>
        <v>-90.24</v>
      </c>
      <c r="V36" s="814"/>
      <c r="W36" s="814">
        <f>'Capital IQ Sheet-GPC'!AX35</f>
        <v>-67.543000000000006</v>
      </c>
      <c r="X36" s="814" t="str">
        <f>'Capital IQ Sheet-GPC'!AY35</f>
        <v>n/a</v>
      </c>
      <c r="Z36" s="814">
        <f>'Capital IQ Sheet-GPC'!AZ35</f>
        <v>218.124</v>
      </c>
      <c r="AA36" s="814">
        <f>'Capital IQ Sheet-GPC'!BA35</f>
        <v>175.84700000000001</v>
      </c>
      <c r="AB36" s="814">
        <f>'Capital IQ Sheet-GPC'!BB35</f>
        <v>263.27</v>
      </c>
      <c r="AD36" s="814">
        <f>'Capital IQ Sheet-GPC'!BC35</f>
        <v>300.59699999999998</v>
      </c>
      <c r="AE36" s="814" t="str">
        <f>'Capital IQ Sheet-GPC'!BD35</f>
        <v>n/a</v>
      </c>
      <c r="AG36" s="259">
        <f>'Beta Calc'!K34</f>
        <v>613.94893999999999</v>
      </c>
      <c r="AH36" s="259">
        <f>'Beta Calc'!L34</f>
        <v>0</v>
      </c>
      <c r="AI36" s="259" t="str">
        <f>'Beta Calc'!M34</f>
        <v>n/a</v>
      </c>
      <c r="AJ36" s="259" t="str">
        <f>'Beta Calc'!N34</f>
        <v>n/a</v>
      </c>
      <c r="AK36" s="259">
        <f t="shared" si="11"/>
        <v>0</v>
      </c>
      <c r="AL36" s="259">
        <f t="shared" si="12"/>
        <v>613.94893999999999</v>
      </c>
      <c r="AM36" s="259">
        <f>'Beta Calc'!Q34</f>
        <v>293.24799999999999</v>
      </c>
      <c r="AN36" s="465">
        <f t="shared" si="13"/>
        <v>320.70094</v>
      </c>
      <c r="AP36" s="815" t="str">
        <f>IF('MASTER PubCo Inputs'!C51="","",'MASTER PubCo Inputs'!C51)</f>
        <v>IQ360935</v>
      </c>
      <c r="AQ36" s="816" t="str">
        <f>'Comp.1'!AL34</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7" spans="2:43" ht="14.85" customHeight="1">
      <c r="B37" s="234" t="str">
        <f>'Comp.1'!B35</f>
        <v>Abeona Therapeutics Inc.</v>
      </c>
      <c r="C37" s="465">
        <f t="shared" si="0"/>
        <v>325.54306000000003</v>
      </c>
      <c r="E37" s="813" t="str">
        <f t="shared" si="1"/>
        <v>n/a</v>
      </c>
      <c r="F37" s="813" t="str">
        <f t="shared" si="2"/>
        <v>n/a</v>
      </c>
      <c r="G37" s="813" t="str">
        <f t="shared" si="3"/>
        <v>n/a</v>
      </c>
      <c r="H37" s="259"/>
      <c r="I37" s="813" t="str">
        <f t="shared" si="4"/>
        <v>n/a</v>
      </c>
      <c r="J37" s="813" t="str">
        <f t="shared" si="5"/>
        <v>n/a</v>
      </c>
      <c r="L37" s="813">
        <f t="shared" si="6"/>
        <v>139.70174686933919</v>
      </c>
      <c r="M37" s="813">
        <f t="shared" si="7"/>
        <v>98.675627503337779</v>
      </c>
      <c r="N37" s="813">
        <f t="shared" si="8"/>
        <v>59.030020300176368</v>
      </c>
      <c r="P37" s="813">
        <f t="shared" si="9"/>
        <v>52.140327340709462</v>
      </c>
      <c r="Q37" s="813" t="str">
        <f t="shared" si="10"/>
        <v>n/a</v>
      </c>
      <c r="S37" s="814">
        <f>'Capital IQ Sheet-GPC'!AU36</f>
        <v>-17.210999999999999</v>
      </c>
      <c r="T37" s="814">
        <f>'Capital IQ Sheet-GPC'!AV36</f>
        <v>-25.870999999999999</v>
      </c>
      <c r="U37" s="814">
        <f>'Capital IQ Sheet-GPC'!AW36</f>
        <v>-45.031999999999996</v>
      </c>
      <c r="V37" s="814"/>
      <c r="W37" s="814">
        <f>'Capital IQ Sheet-GPC'!AX36</f>
        <v>-27.318999999999999</v>
      </c>
      <c r="X37" s="814" t="str">
        <f>'Capital IQ Sheet-GPC'!AY36</f>
        <v>n/a</v>
      </c>
      <c r="Z37" s="814">
        <f>'Capital IQ Sheet-GPC'!AZ36</f>
        <v>63.484999999999999</v>
      </c>
      <c r="AA37" s="814">
        <f>'Capital IQ Sheet-GPC'!BA36</f>
        <v>89.88</v>
      </c>
      <c r="AB37" s="814">
        <f>'Capital IQ Sheet-GPC'!BB36</f>
        <v>150.245</v>
      </c>
      <c r="AD37" s="814">
        <f>'Capital IQ Sheet-GPC'!BC36</f>
        <v>170.09800000000001</v>
      </c>
      <c r="AE37" s="814" t="str">
        <f>'Capital IQ Sheet-GPC'!BD36</f>
        <v>n/a</v>
      </c>
      <c r="AG37" s="259">
        <f>'Beta Calc'!K35</f>
        <v>325.54306000000003</v>
      </c>
      <c r="AH37" s="259">
        <f>'Beta Calc'!L35</f>
        <v>0</v>
      </c>
      <c r="AI37" s="259" t="str">
        <f>'Beta Calc'!M35</f>
        <v>n/a</v>
      </c>
      <c r="AJ37" s="259" t="str">
        <f>'Beta Calc'!N35</f>
        <v>n/a</v>
      </c>
      <c r="AK37" s="259">
        <f t="shared" si="11"/>
        <v>0</v>
      </c>
      <c r="AL37" s="259">
        <f t="shared" si="12"/>
        <v>325.54306000000003</v>
      </c>
      <c r="AM37" s="259">
        <f>'Beta Calc'!Q35</f>
        <v>112.224</v>
      </c>
      <c r="AN37" s="465">
        <f t="shared" si="13"/>
        <v>213.31906000000004</v>
      </c>
      <c r="AP37" s="815" t="str">
        <f>IF('MASTER PubCo Inputs'!C52="","",'MASTER PubCo Inputs'!C52)</f>
        <v/>
      </c>
      <c r="AQ37" s="816" t="str">
        <f>'Comp.1'!AL35</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8" spans="2:43" ht="14.85" customHeight="1">
      <c r="B38" s="234" t="e">
        <f>'Comp.1'!#REF!</f>
        <v>#REF!</v>
      </c>
      <c r="C38" s="465">
        <f t="shared" si="0"/>
        <v>0</v>
      </c>
      <c r="E38" s="813" t="str">
        <f t="shared" si="1"/>
        <v>n/a</v>
      </c>
      <c r="F38" s="813" t="str">
        <f t="shared" si="2"/>
        <v>n/a</v>
      </c>
      <c r="G38" s="813" t="str">
        <f t="shared" si="3"/>
        <v>n/a</v>
      </c>
      <c r="H38" s="259"/>
      <c r="I38" s="813" t="str">
        <f t="shared" si="4"/>
        <v>n/a</v>
      </c>
      <c r="J38" s="813" t="str">
        <f t="shared" si="5"/>
        <v>n/a</v>
      </c>
      <c r="L38" s="813" t="str">
        <f t="shared" si="6"/>
        <v>n/a</v>
      </c>
      <c r="M38" s="813" t="str">
        <f t="shared" si="7"/>
        <v>n/a</v>
      </c>
      <c r="N38" s="813" t="str">
        <f t="shared" si="8"/>
        <v>n/a</v>
      </c>
      <c r="P38" s="813" t="str">
        <f t="shared" si="9"/>
        <v>n/a</v>
      </c>
      <c r="Q38" s="813" t="str">
        <f t="shared" si="10"/>
        <v>n/a</v>
      </c>
      <c r="S38" s="814" t="str">
        <f>'Capital IQ Sheet-GPC'!AU37</f>
        <v>(Invalid Identifier)</v>
      </c>
      <c r="T38" s="814" t="str">
        <f>'Capital IQ Sheet-GPC'!AV37</f>
        <v>(Invalid Identifier)</v>
      </c>
      <c r="U38" s="814" t="str">
        <f>'Capital IQ Sheet-GPC'!AW37</f>
        <v>(Invalid Identifier)</v>
      </c>
      <c r="V38" s="814"/>
      <c r="W38" s="814" t="str">
        <f>'Capital IQ Sheet-GPC'!AX37</f>
        <v>(Invalid Identifier)</v>
      </c>
      <c r="X38" s="814" t="str">
        <f>'Capital IQ Sheet-GPC'!AY37</f>
        <v>(Invalid Identifier)</v>
      </c>
      <c r="Z38" s="814" t="str">
        <f>'Capital IQ Sheet-GPC'!AZ37</f>
        <v>(Invalid Identifier)</v>
      </c>
      <c r="AA38" s="814" t="str">
        <f>'Capital IQ Sheet-GPC'!BA37</f>
        <v>(Invalid Identifier)</v>
      </c>
      <c r="AB38" s="814" t="str">
        <f>'Capital IQ Sheet-GPC'!BB37</f>
        <v>(Invalid Identifier)</v>
      </c>
      <c r="AD38" s="814" t="str">
        <f>'Capital IQ Sheet-GPC'!BC37</f>
        <v>(Invalid Identifier)</v>
      </c>
      <c r="AE38" s="814" t="str">
        <f>'Capital IQ Sheet-GPC'!BD37</f>
        <v>(Invalid Identifier)</v>
      </c>
      <c r="AG38" s="259">
        <f>'Beta Calc'!K36</f>
        <v>0</v>
      </c>
      <c r="AH38" s="259">
        <f>'Beta Calc'!L36</f>
        <v>0</v>
      </c>
      <c r="AI38" s="259">
        <f>'Beta Calc'!M36</f>
        <v>0</v>
      </c>
      <c r="AJ38" s="259">
        <f>'Beta Calc'!N36</f>
        <v>0</v>
      </c>
      <c r="AK38" s="259">
        <f t="shared" si="11"/>
        <v>0</v>
      </c>
      <c r="AL38" s="259">
        <f t="shared" si="12"/>
        <v>0</v>
      </c>
      <c r="AM38" s="259">
        <f>'Beta Calc'!Q36</f>
        <v>0</v>
      </c>
      <c r="AN38" s="465">
        <f t="shared" si="13"/>
        <v>0</v>
      </c>
      <c r="AP38" s="815" t="str">
        <f>IF('MASTER PubCo Inputs'!C53="","",'MASTER PubCo Inputs'!C53)</f>
        <v/>
      </c>
      <c r="AQ38" s="816" t="e">
        <f>'Comp.1'!#REF!</f>
        <v>#REF!</v>
      </c>
    </row>
    <row r="39" spans="2:43" ht="14.85" customHeight="1">
      <c r="B39" s="234" t="e">
        <f>'Comp.1'!#REF!</f>
        <v>#REF!</v>
      </c>
      <c r="C39" s="465">
        <f t="shared" si="0"/>
        <v>0</v>
      </c>
      <c r="E39" s="813" t="str">
        <f t="shared" si="1"/>
        <v>n/a</v>
      </c>
      <c r="F39" s="813" t="str">
        <f t="shared" si="2"/>
        <v>n/a</v>
      </c>
      <c r="G39" s="813" t="str">
        <f t="shared" si="3"/>
        <v>n/a</v>
      </c>
      <c r="H39" s="259"/>
      <c r="I39" s="813" t="str">
        <f t="shared" si="4"/>
        <v>n/a</v>
      </c>
      <c r="J39" s="813" t="str">
        <f t="shared" si="5"/>
        <v>n/a</v>
      </c>
      <c r="L39" s="813" t="str">
        <f t="shared" si="6"/>
        <v>n/a</v>
      </c>
      <c r="M39" s="813" t="str">
        <f t="shared" si="7"/>
        <v>n/a</v>
      </c>
      <c r="N39" s="813" t="str">
        <f t="shared" si="8"/>
        <v>n/a</v>
      </c>
      <c r="P39" s="813" t="str">
        <f t="shared" si="9"/>
        <v>n/a</v>
      </c>
      <c r="Q39" s="813" t="str">
        <f t="shared" si="10"/>
        <v>n/a</v>
      </c>
      <c r="S39" s="814" t="str">
        <f>'Capital IQ Sheet-GPC'!AU38</f>
        <v>(Invalid Identifier)</v>
      </c>
      <c r="T39" s="814" t="str">
        <f>'Capital IQ Sheet-GPC'!AV38</f>
        <v>(Invalid Identifier)</v>
      </c>
      <c r="U39" s="814" t="str">
        <f>'Capital IQ Sheet-GPC'!AW38</f>
        <v>(Invalid Identifier)</v>
      </c>
      <c r="V39" s="814"/>
      <c r="W39" s="814" t="str">
        <f>'Capital IQ Sheet-GPC'!AX38</f>
        <v>(Invalid Identifier)</v>
      </c>
      <c r="X39" s="814" t="str">
        <f>'Capital IQ Sheet-GPC'!AY38</f>
        <v>(Invalid Identifier)</v>
      </c>
      <c r="Z39" s="814" t="str">
        <f>'Capital IQ Sheet-GPC'!AZ38</f>
        <v>(Invalid Identifier)</v>
      </c>
      <c r="AA39" s="814" t="str">
        <f>'Capital IQ Sheet-GPC'!BA38</f>
        <v>(Invalid Identifier)</v>
      </c>
      <c r="AB39" s="814" t="str">
        <f>'Capital IQ Sheet-GPC'!BB38</f>
        <v>(Invalid Identifier)</v>
      </c>
      <c r="AD39" s="814" t="str">
        <f>'Capital IQ Sheet-GPC'!BC38</f>
        <v>(Invalid Identifier)</v>
      </c>
      <c r="AE39" s="814" t="str">
        <f>'Capital IQ Sheet-GPC'!BD38</f>
        <v>(Invalid Identifier)</v>
      </c>
      <c r="AG39" s="259">
        <f>'Beta Calc'!K37</f>
        <v>0</v>
      </c>
      <c r="AH39" s="259">
        <f>'Beta Calc'!L37</f>
        <v>0</v>
      </c>
      <c r="AI39" s="259">
        <f>'Beta Calc'!M37</f>
        <v>0</v>
      </c>
      <c r="AJ39" s="259">
        <f>'Beta Calc'!N37</f>
        <v>0</v>
      </c>
      <c r="AK39" s="259">
        <f t="shared" si="11"/>
        <v>0</v>
      </c>
      <c r="AL39" s="259">
        <f t="shared" si="12"/>
        <v>0</v>
      </c>
      <c r="AM39" s="259">
        <f>'Beta Calc'!Q37</f>
        <v>0</v>
      </c>
      <c r="AN39" s="465">
        <f t="shared" si="13"/>
        <v>0</v>
      </c>
      <c r="AP39" s="815" t="str">
        <f>IF('MASTER PubCo Inputs'!C54="","",'MASTER PubCo Inputs'!C54)</f>
        <v/>
      </c>
      <c r="AQ39" s="816" t="e">
        <f>'Comp.1'!#REF!</f>
        <v>#REF!</v>
      </c>
    </row>
    <row r="40" spans="2:43" ht="14.85" customHeight="1">
      <c r="B40" s="234" t="e">
        <f>'Comp.1'!#REF!</f>
        <v>#REF!</v>
      </c>
      <c r="C40" s="465">
        <f t="shared" si="0"/>
        <v>0</v>
      </c>
      <c r="E40" s="813" t="str">
        <f t="shared" si="1"/>
        <v>n/a</v>
      </c>
      <c r="F40" s="813" t="str">
        <f t="shared" si="2"/>
        <v>n/a</v>
      </c>
      <c r="G40" s="813" t="str">
        <f t="shared" si="3"/>
        <v>n/a</v>
      </c>
      <c r="H40" s="259"/>
      <c r="I40" s="813" t="str">
        <f t="shared" si="4"/>
        <v>n/a</v>
      </c>
      <c r="J40" s="813" t="str">
        <f t="shared" si="5"/>
        <v>n/a</v>
      </c>
      <c r="L40" s="813" t="str">
        <f t="shared" si="6"/>
        <v>n/a</v>
      </c>
      <c r="M40" s="813" t="str">
        <f t="shared" si="7"/>
        <v>n/a</v>
      </c>
      <c r="N40" s="813" t="str">
        <f t="shared" si="8"/>
        <v>n/a</v>
      </c>
      <c r="P40" s="813" t="str">
        <f t="shared" si="9"/>
        <v>n/a</v>
      </c>
      <c r="Q40" s="813" t="str">
        <f t="shared" si="10"/>
        <v>n/a</v>
      </c>
      <c r="S40" s="814" t="str">
        <f>'Capital IQ Sheet-GPC'!AU39</f>
        <v>(Invalid Identifier)</v>
      </c>
      <c r="T40" s="814" t="str">
        <f>'Capital IQ Sheet-GPC'!AV39</f>
        <v>(Invalid Identifier)</v>
      </c>
      <c r="U40" s="814" t="str">
        <f>'Capital IQ Sheet-GPC'!AW39</f>
        <v>(Invalid Identifier)</v>
      </c>
      <c r="V40" s="814"/>
      <c r="W40" s="814" t="str">
        <f>'Capital IQ Sheet-GPC'!AX39</f>
        <v>(Invalid Identifier)</v>
      </c>
      <c r="X40" s="814" t="str">
        <f>'Capital IQ Sheet-GPC'!AY39</f>
        <v>(Invalid Identifier)</v>
      </c>
      <c r="Z40" s="814" t="str">
        <f>'Capital IQ Sheet-GPC'!AZ39</f>
        <v>(Invalid Identifier)</v>
      </c>
      <c r="AA40" s="814" t="str">
        <f>'Capital IQ Sheet-GPC'!BA39</f>
        <v>(Invalid Identifier)</v>
      </c>
      <c r="AB40" s="814" t="str">
        <f>'Capital IQ Sheet-GPC'!BB39</f>
        <v>(Invalid Identifier)</v>
      </c>
      <c r="AD40" s="814" t="str">
        <f>'Capital IQ Sheet-GPC'!BC39</f>
        <v>(Invalid Identifier)</v>
      </c>
      <c r="AE40" s="814" t="str">
        <f>'Capital IQ Sheet-GPC'!BD39</f>
        <v>(Invalid Identifier)</v>
      </c>
      <c r="AG40" s="259">
        <f>'Beta Calc'!K38</f>
        <v>0</v>
      </c>
      <c r="AH40" s="259">
        <f>'Beta Calc'!L38</f>
        <v>0</v>
      </c>
      <c r="AI40" s="259">
        <f>'Beta Calc'!M38</f>
        <v>0</v>
      </c>
      <c r="AJ40" s="259">
        <f>'Beta Calc'!N38</f>
        <v>0</v>
      </c>
      <c r="AK40" s="259">
        <f t="shared" si="11"/>
        <v>0</v>
      </c>
      <c r="AL40" s="259">
        <f t="shared" si="12"/>
        <v>0</v>
      </c>
      <c r="AM40" s="259">
        <f>'Beta Calc'!Q38</f>
        <v>0</v>
      </c>
      <c r="AN40" s="465">
        <f t="shared" si="13"/>
        <v>0</v>
      </c>
      <c r="AP40" s="815" t="str">
        <f>IF('MASTER PubCo Inputs'!C55="","",'MASTER PubCo Inputs'!C55)</f>
        <v/>
      </c>
      <c r="AQ40" s="816" t="e">
        <f>'Comp.1'!#REF!</f>
        <v>#REF!</v>
      </c>
    </row>
    <row r="41" spans="2:43" ht="14.85" customHeight="1">
      <c r="B41" s="234" t="e">
        <f>'Comp.1'!#REF!</f>
        <v>#REF!</v>
      </c>
      <c r="C41" s="465">
        <f t="shared" si="0"/>
        <v>0</v>
      </c>
      <c r="E41" s="813" t="str">
        <f t="shared" si="1"/>
        <v>n/a</v>
      </c>
      <c r="F41" s="813" t="str">
        <f t="shared" si="2"/>
        <v>n/a</v>
      </c>
      <c r="G41" s="813" t="str">
        <f t="shared" si="3"/>
        <v>n/a</v>
      </c>
      <c r="H41" s="259"/>
      <c r="I41" s="813" t="str">
        <f t="shared" si="4"/>
        <v>n/a</v>
      </c>
      <c r="J41" s="813" t="str">
        <f t="shared" si="5"/>
        <v>n/a</v>
      </c>
      <c r="L41" s="813" t="str">
        <f t="shared" si="6"/>
        <v>n/a</v>
      </c>
      <c r="M41" s="813" t="str">
        <f t="shared" si="7"/>
        <v>n/a</v>
      </c>
      <c r="N41" s="813" t="str">
        <f t="shared" si="8"/>
        <v>n/a</v>
      </c>
      <c r="P41" s="813" t="str">
        <f t="shared" si="9"/>
        <v>n/a</v>
      </c>
      <c r="Q41" s="813" t="str">
        <f t="shared" si="10"/>
        <v>n/a</v>
      </c>
      <c r="S41" s="814" t="str">
        <f>'Capital IQ Sheet-GPC'!AU40</f>
        <v>(Invalid Identifier)</v>
      </c>
      <c r="T41" s="814" t="str">
        <f>'Capital IQ Sheet-GPC'!AV40</f>
        <v>(Invalid Identifier)</v>
      </c>
      <c r="U41" s="814" t="str">
        <f>'Capital IQ Sheet-GPC'!AW40</f>
        <v>(Invalid Identifier)</v>
      </c>
      <c r="V41" s="814"/>
      <c r="W41" s="814" t="str">
        <f>'Capital IQ Sheet-GPC'!AX40</f>
        <v>(Invalid Identifier)</v>
      </c>
      <c r="X41" s="814" t="str">
        <f>'Capital IQ Sheet-GPC'!AY40</f>
        <v>(Invalid Identifier)</v>
      </c>
      <c r="Z41" s="814" t="str">
        <f>'Capital IQ Sheet-GPC'!AZ40</f>
        <v>(Invalid Identifier)</v>
      </c>
      <c r="AA41" s="814" t="str">
        <f>'Capital IQ Sheet-GPC'!BA40</f>
        <v>(Invalid Identifier)</v>
      </c>
      <c r="AB41" s="814" t="str">
        <f>'Capital IQ Sheet-GPC'!BB40</f>
        <v>(Invalid Identifier)</v>
      </c>
      <c r="AD41" s="814" t="str">
        <f>'Capital IQ Sheet-GPC'!BC40</f>
        <v>(Invalid Identifier)</v>
      </c>
      <c r="AE41" s="814" t="str">
        <f>'Capital IQ Sheet-GPC'!BD40</f>
        <v>(Invalid Identifier)</v>
      </c>
      <c r="AG41" s="259">
        <f>'Beta Calc'!K39</f>
        <v>0</v>
      </c>
      <c r="AH41" s="259">
        <f>'Beta Calc'!L39</f>
        <v>0</v>
      </c>
      <c r="AI41" s="259">
        <f>'Beta Calc'!M39</f>
        <v>0</v>
      </c>
      <c r="AJ41" s="259">
        <f>'Beta Calc'!N39</f>
        <v>0</v>
      </c>
      <c r="AK41" s="259">
        <f t="shared" si="11"/>
        <v>0</v>
      </c>
      <c r="AL41" s="259">
        <f t="shared" si="12"/>
        <v>0</v>
      </c>
      <c r="AM41" s="259">
        <f>'Beta Calc'!Q39</f>
        <v>0</v>
      </c>
      <c r="AN41" s="465">
        <f t="shared" si="13"/>
        <v>0</v>
      </c>
      <c r="AP41" s="815" t="str">
        <f>IF('MASTER PubCo Inputs'!C56="","",'MASTER PubCo Inputs'!C56)</f>
        <v/>
      </c>
      <c r="AQ41" s="816" t="e">
        <f>'Comp.1'!#REF!</f>
        <v>#REF!</v>
      </c>
    </row>
    <row r="42" spans="2:43" ht="14.85" customHeight="1">
      <c r="B42" s="234" t="e">
        <f>'Comp.1'!#REF!</f>
        <v>#REF!</v>
      </c>
      <c r="C42" s="465">
        <f t="shared" si="0"/>
        <v>0</v>
      </c>
      <c r="E42" s="813" t="str">
        <f t="shared" si="1"/>
        <v>n/a</v>
      </c>
      <c r="F42" s="813" t="str">
        <f t="shared" si="2"/>
        <v>n/a</v>
      </c>
      <c r="G42" s="813" t="str">
        <f t="shared" si="3"/>
        <v>n/a</v>
      </c>
      <c r="H42" s="259"/>
      <c r="I42" s="813" t="str">
        <f t="shared" si="4"/>
        <v>n/a</v>
      </c>
      <c r="J42" s="813" t="str">
        <f t="shared" si="5"/>
        <v>n/a</v>
      </c>
      <c r="L42" s="813" t="str">
        <f t="shared" si="6"/>
        <v>n/a</v>
      </c>
      <c r="M42" s="813" t="str">
        <f t="shared" si="7"/>
        <v>n/a</v>
      </c>
      <c r="N42" s="813" t="str">
        <f t="shared" si="8"/>
        <v>n/a</v>
      </c>
      <c r="P42" s="813" t="str">
        <f t="shared" si="9"/>
        <v>n/a</v>
      </c>
      <c r="Q42" s="813" t="str">
        <f t="shared" si="10"/>
        <v>n/a</v>
      </c>
      <c r="S42" s="814" t="str">
        <f>'Capital IQ Sheet-GPC'!AU42</f>
        <v>(Invalid Identifier)</v>
      </c>
      <c r="T42" s="814" t="str">
        <f>'Capital IQ Sheet-GPC'!AV42</f>
        <v>(Invalid Identifier)</v>
      </c>
      <c r="U42" s="814" t="str">
        <f>'Capital IQ Sheet-GPC'!AW42</f>
        <v>(Invalid Identifier)</v>
      </c>
      <c r="V42" s="814"/>
      <c r="W42" s="814" t="str">
        <f>'Capital IQ Sheet-GPC'!AX42</f>
        <v>(Invalid Identifier)</v>
      </c>
      <c r="X42" s="814" t="str">
        <f>'Capital IQ Sheet-GPC'!AY42</f>
        <v>(Invalid Identifier)</v>
      </c>
      <c r="Z42" s="814" t="str">
        <f>'Capital IQ Sheet-GPC'!AZ42</f>
        <v>(Invalid Identifier)</v>
      </c>
      <c r="AA42" s="814" t="str">
        <f>'Capital IQ Sheet-GPC'!BA42</f>
        <v>(Invalid Identifier)</v>
      </c>
      <c r="AB42" s="814" t="str">
        <f>'Capital IQ Sheet-GPC'!BB42</f>
        <v>(Invalid Identifier)</v>
      </c>
      <c r="AD42" s="814" t="str">
        <f>'Capital IQ Sheet-GPC'!BC42</f>
        <v>(Invalid Identifier)</v>
      </c>
      <c r="AE42" s="814" t="str">
        <f>'Capital IQ Sheet-GPC'!BD42</f>
        <v>(Invalid Identifier)</v>
      </c>
      <c r="AG42" s="259">
        <f>'Beta Calc'!K40</f>
        <v>0</v>
      </c>
      <c r="AH42" s="259">
        <f>'Beta Calc'!L40</f>
        <v>0</v>
      </c>
      <c r="AI42" s="259">
        <f>'Beta Calc'!M40</f>
        <v>0</v>
      </c>
      <c r="AJ42" s="259">
        <f>'Beta Calc'!N40</f>
        <v>0</v>
      </c>
      <c r="AK42" s="259">
        <f t="shared" si="11"/>
        <v>0</v>
      </c>
      <c r="AL42" s="259">
        <f t="shared" si="12"/>
        <v>0</v>
      </c>
      <c r="AM42" s="259">
        <f>'Beta Calc'!Q40</f>
        <v>0</v>
      </c>
      <c r="AN42" s="465">
        <f t="shared" si="13"/>
        <v>0</v>
      </c>
      <c r="AP42" s="815" t="str">
        <f>IF('MASTER PubCo Inputs'!C57="","",'MASTER PubCo Inputs'!C57)</f>
        <v/>
      </c>
      <c r="AQ42" s="816" t="e">
        <f>'Comp.1'!#REF!</f>
        <v>#REF!</v>
      </c>
    </row>
    <row r="43" spans="2:43" ht="14.85" customHeight="1">
      <c r="C43" s="259"/>
      <c r="E43" s="259"/>
      <c r="F43" s="259"/>
      <c r="G43" s="259"/>
      <c r="H43" s="259"/>
      <c r="I43" s="259"/>
      <c r="J43" s="259"/>
    </row>
    <row r="44" spans="2:43" ht="14.85" customHeight="1">
      <c r="B44" s="817" t="s">
        <v>111</v>
      </c>
      <c r="C44" s="818" t="e">
        <f>MAX(C13:C43)</f>
        <v>#REF!</v>
      </c>
      <c r="D44" s="819"/>
      <c r="E44" s="818">
        <f>MAX(E13:E43)</f>
        <v>0</v>
      </c>
      <c r="F44" s="818">
        <f>MAX(F13:F43)</f>
        <v>0</v>
      </c>
      <c r="G44" s="818">
        <f>MAX(G13:G43)</f>
        <v>111.37159253585151</v>
      </c>
      <c r="H44" s="819"/>
      <c r="I44" s="818">
        <f>MAX(I13:I43)</f>
        <v>0</v>
      </c>
      <c r="J44" s="818">
        <f>MAX(J13:J43)</f>
        <v>0</v>
      </c>
      <c r="K44" s="819"/>
      <c r="L44" s="818">
        <f>MAX(L13:L43)</f>
        <v>803.49387570211991</v>
      </c>
      <c r="M44" s="818">
        <f>MAX(M13:M43)</f>
        <v>7997.2636609558158</v>
      </c>
      <c r="N44" s="818">
        <f>MAX(N13:N43)</f>
        <v>870.87248625294581</v>
      </c>
      <c r="O44" s="819"/>
      <c r="P44" s="818">
        <f>MAX(P13:P43)</f>
        <v>984.67474186743641</v>
      </c>
      <c r="Q44" s="820">
        <f>MAX(Q13:Q43)</f>
        <v>0</v>
      </c>
      <c r="R44" s="434"/>
      <c r="S44" s="434"/>
    </row>
    <row r="45" spans="2:43" ht="14.85" customHeight="1">
      <c r="B45" s="821" t="s">
        <v>115</v>
      </c>
      <c r="C45" s="822" t="e">
        <f>QUARTILE(C13:C43,3)</f>
        <v>#REF!</v>
      </c>
      <c r="D45" s="823"/>
      <c r="E45" s="822" t="e">
        <f>QUARTILE(E13:E43,3)</f>
        <v>#NUM!</v>
      </c>
      <c r="F45" s="822" t="e">
        <f>QUARTILE(F13:F43,3)</f>
        <v>#NUM!</v>
      </c>
      <c r="G45" s="822">
        <f>QUARTILE(G13:G43,3)</f>
        <v>111.37159253585151</v>
      </c>
      <c r="H45" s="823"/>
      <c r="I45" s="822" t="e">
        <f>QUARTILE(I13:I43,3)</f>
        <v>#NUM!</v>
      </c>
      <c r="J45" s="822" t="e">
        <f>QUARTILE(J13:J43,3)</f>
        <v>#NUM!</v>
      </c>
      <c r="K45" s="823"/>
      <c r="L45" s="822">
        <f>QUARTILE(L13:L43,3)</f>
        <v>109.00879534425293</v>
      </c>
      <c r="M45" s="822">
        <f>QUARTILE(M13:M43,3)</f>
        <v>104.08850785155974</v>
      </c>
      <c r="N45" s="822">
        <f>QUARTILE(N13:N43,3)</f>
        <v>68.418616499881537</v>
      </c>
      <c r="O45" s="823"/>
      <c r="P45" s="822">
        <f>QUARTILE(P13:P43,3)</f>
        <v>94.733478474023471</v>
      </c>
      <c r="Q45" s="824" t="e">
        <f>QUARTILE(Q13:Q43,3)</f>
        <v>#NUM!</v>
      </c>
      <c r="R45" s="434"/>
      <c r="S45" s="434"/>
    </row>
    <row r="46" spans="2:43" ht="14.85" customHeight="1">
      <c r="B46" s="821" t="s">
        <v>113</v>
      </c>
      <c r="C46" s="822" t="e">
        <f>AVERAGE(C13:C43)</f>
        <v>#REF!</v>
      </c>
      <c r="D46" s="823"/>
      <c r="E46" s="822" t="e">
        <f>AVERAGE(E13:E43)</f>
        <v>#DIV/0!</v>
      </c>
      <c r="F46" s="822" t="e">
        <f>AVERAGE(F13:F43)</f>
        <v>#DIV/0!</v>
      </c>
      <c r="G46" s="822">
        <f>AVERAGE(G13:G43)</f>
        <v>111.37159253585151</v>
      </c>
      <c r="H46" s="823"/>
      <c r="I46" s="822" t="e">
        <f>AVERAGE(I13:I43)</f>
        <v>#DIV/0!</v>
      </c>
      <c r="J46" s="822" t="e">
        <f>AVERAGE(J13:J43)</f>
        <v>#DIV/0!</v>
      </c>
      <c r="K46" s="823"/>
      <c r="L46" s="822">
        <f>AVERAGE(L13:L43)</f>
        <v>134.5853510999813</v>
      </c>
      <c r="M46" s="822">
        <f>AVERAGE(M13:M43)</f>
        <v>496.71639055620619</v>
      </c>
      <c r="N46" s="822">
        <f>AVERAGE(N13:N43)</f>
        <v>112.77648042096634</v>
      </c>
      <c r="O46" s="823"/>
      <c r="P46" s="822">
        <f>AVERAGE(P13:P43)</f>
        <v>145.97057391112727</v>
      </c>
      <c r="Q46" s="824" t="e">
        <f>AVERAGE(Q13:Q43)</f>
        <v>#DIV/0!</v>
      </c>
      <c r="R46" s="434"/>
      <c r="S46" s="434"/>
    </row>
    <row r="47" spans="2:43" ht="14.85" customHeight="1">
      <c r="B47" s="821" t="s">
        <v>44</v>
      </c>
      <c r="C47" s="822" t="e">
        <f>MEDIAN(C13:C43)</f>
        <v>#REF!</v>
      </c>
      <c r="D47" s="823"/>
      <c r="E47" s="822" t="e">
        <f>MEDIAN(E13:E43)</f>
        <v>#NUM!</v>
      </c>
      <c r="F47" s="822" t="e">
        <f>MEDIAN(F13:F43)</f>
        <v>#NUM!</v>
      </c>
      <c r="G47" s="822">
        <f>MEDIAN(G13:G43)</f>
        <v>111.37159253585151</v>
      </c>
      <c r="H47" s="823"/>
      <c r="I47" s="822" t="e">
        <f>MEDIAN(I13:I43)</f>
        <v>#NUM!</v>
      </c>
      <c r="J47" s="822" t="e">
        <f>MEDIAN(J13:J43)</f>
        <v>#NUM!</v>
      </c>
      <c r="K47" s="823"/>
      <c r="L47" s="822">
        <f>MEDIAN(L13:L43)</f>
        <v>61.660261686921203</v>
      </c>
      <c r="M47" s="822">
        <f>MEDIAN(M13:M43)</f>
        <v>50.586722715916991</v>
      </c>
      <c r="N47" s="822">
        <f>MEDIAN(N13:N43)</f>
        <v>40.089933984105826</v>
      </c>
      <c r="O47" s="823"/>
      <c r="P47" s="822">
        <f>MEDIAN(P13:P43)</f>
        <v>52.140327340709462</v>
      </c>
      <c r="Q47" s="824" t="e">
        <f>MEDIAN(Q13:Q43)</f>
        <v>#NUM!</v>
      </c>
      <c r="R47" s="434"/>
      <c r="S47" s="434"/>
    </row>
    <row r="48" spans="2:43" ht="14.85" customHeight="1">
      <c r="B48" s="821" t="s">
        <v>114</v>
      </c>
      <c r="C48" s="822" t="e">
        <f>QUARTILE(C13:C43,1)</f>
        <v>#REF!</v>
      </c>
      <c r="D48" s="823"/>
      <c r="E48" s="822" t="e">
        <f>QUARTILE(E13:E43,1)</f>
        <v>#NUM!</v>
      </c>
      <c r="F48" s="822" t="e">
        <f>QUARTILE(F13:F43,1)</f>
        <v>#NUM!</v>
      </c>
      <c r="G48" s="822">
        <f>QUARTILE(G13:G43,1)</f>
        <v>111.37159253585151</v>
      </c>
      <c r="H48" s="823"/>
      <c r="I48" s="822" t="e">
        <f>QUARTILE(I13:I43,1)</f>
        <v>#NUM!</v>
      </c>
      <c r="J48" s="822" t="e">
        <f>QUARTILE(J13:J43,1)</f>
        <v>#NUM!</v>
      </c>
      <c r="K48" s="823"/>
      <c r="L48" s="822">
        <f>QUARTILE(L13:L43,1)</f>
        <v>40.660199702921268</v>
      </c>
      <c r="M48" s="822">
        <f>QUARTILE(M13:M43,1)</f>
        <v>45.563420686253849</v>
      </c>
      <c r="N48" s="822">
        <f>QUARTILE(N13:N43,1)</f>
        <v>21.775663679656361</v>
      </c>
      <c r="O48" s="823"/>
      <c r="P48" s="822">
        <f>QUARTILE(P13:P43,1)</f>
        <v>36.063683679382869</v>
      </c>
      <c r="Q48" s="824" t="e">
        <f>QUARTILE(Q13:Q43,1)</f>
        <v>#NUM!</v>
      </c>
      <c r="R48" s="434"/>
      <c r="S48" s="434"/>
    </row>
    <row r="49" spans="2:19" ht="14.85" customHeight="1">
      <c r="B49" s="754" t="s">
        <v>112</v>
      </c>
      <c r="C49" s="565" t="e">
        <f>MIN(C13:C43)</f>
        <v>#REF!</v>
      </c>
      <c r="D49" s="556"/>
      <c r="E49" s="565">
        <f>MIN(E13:E43)</f>
        <v>0</v>
      </c>
      <c r="F49" s="565">
        <f>MIN(F13:F43)</f>
        <v>0</v>
      </c>
      <c r="G49" s="565">
        <f>MIN(G13:G43)</f>
        <v>111.37159253585151</v>
      </c>
      <c r="H49" s="556"/>
      <c r="I49" s="565">
        <f>MIN(I13:I43)</f>
        <v>0</v>
      </c>
      <c r="J49" s="565">
        <f>MIN(J13:J43)</f>
        <v>0</v>
      </c>
      <c r="K49" s="556"/>
      <c r="L49" s="565">
        <f>MIN(L13:L43)</f>
        <v>8.7381724349930234</v>
      </c>
      <c r="M49" s="565">
        <f>MIN(M13:M43)</f>
        <v>7.7708100634529549</v>
      </c>
      <c r="N49" s="565">
        <f>MIN(N13:N43)</f>
        <v>4.4327317709504745</v>
      </c>
      <c r="O49" s="556"/>
      <c r="P49" s="565">
        <f>MIN(P13:P43)</f>
        <v>5.0208388552963568</v>
      </c>
      <c r="Q49" s="825">
        <f>MIN(Q13:Q43)</f>
        <v>0</v>
      </c>
      <c r="R49" s="434"/>
      <c r="S49" s="434"/>
    </row>
    <row r="50" spans="2:19" ht="14.85" customHeight="1">
      <c r="I50" s="259"/>
      <c r="J50" s="259"/>
      <c r="K50" s="259"/>
      <c r="L50" s="259"/>
      <c r="M50" s="259"/>
      <c r="N50" s="259"/>
      <c r="O50" s="259"/>
      <c r="P50" s="259"/>
      <c r="Q50" s="259"/>
    </row>
    <row r="51" spans="2:19" ht="14.85" customHeight="1">
      <c r="B51" s="279" t="s">
        <v>116</v>
      </c>
    </row>
    <row r="52" spans="2:19" ht="14.85" customHeight="1">
      <c r="B52" s="279"/>
      <c r="C52" s="259"/>
      <c r="E52" s="259"/>
      <c r="F52" s="259"/>
      <c r="G52" s="259"/>
      <c r="H52" s="259"/>
      <c r="I52" s="259"/>
      <c r="J52" s="259"/>
    </row>
    <row r="53" spans="2:19" ht="14.85" customHeight="1">
      <c r="C53" s="259"/>
      <c r="E53" s="259"/>
      <c r="F53" s="259"/>
      <c r="G53" s="259"/>
      <c r="H53" s="259"/>
      <c r="I53" s="259"/>
      <c r="J53" s="259"/>
    </row>
    <row r="54" spans="2:19" ht="14.85" customHeight="1"/>
    <row r="55" spans="2:19" s="435" customFormat="1" ht="14.85" customHeight="1"/>
    <row r="56" spans="2:19" ht="14.85" customHeight="1"/>
    <row r="57" spans="2:19" ht="14.85" customHeight="1"/>
    <row r="58" spans="2:19" ht="14.85" customHeight="1"/>
    <row r="59" spans="2:19" ht="14.85" customHeight="1"/>
    <row r="60" spans="2:19" ht="14.85" customHeight="1"/>
    <row r="61" spans="2:19" ht="14.85" customHeight="1"/>
    <row r="62" spans="2:19" ht="14.85" customHeight="1"/>
    <row r="63" spans="2:19" ht="14.85" customHeight="1"/>
    <row r="64" spans="2:19"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spans="2:2" ht="14.85" customHeight="1"/>
    <row r="82" spans="2:2" ht="14.85" customHeight="1"/>
    <row r="83" spans="2:2" ht="14.85" customHeight="1"/>
    <row r="84" spans="2:2" ht="14.85" customHeight="1"/>
    <row r="85" spans="2:2" ht="14.85" customHeight="1"/>
    <row r="86" spans="2:2" ht="14.85" customHeight="1">
      <c r="B86" s="279"/>
    </row>
    <row r="87" spans="2:2" ht="14.85" customHeight="1"/>
    <row r="88" spans="2:2" ht="14.85" customHeight="1"/>
    <row r="89" spans="2:2" ht="14.85" customHeight="1"/>
    <row r="90" spans="2:2" ht="14.85" customHeight="1"/>
    <row r="91" spans="2:2" ht="14.85" customHeight="1"/>
    <row r="92" spans="2:2" ht="14.85" customHeight="1"/>
    <row r="93" spans="2:2" ht="14.85" customHeight="1"/>
    <row r="94" spans="2:2" ht="14.85" customHeight="1"/>
    <row r="95" spans="2:2" ht="14.85" customHeight="1"/>
    <row r="96" spans="2:2"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I4">
    <cfRule type="cellIs" dxfId="75" priority="15" stopIfTrue="1" operator="equal">
      <formula>"input"</formula>
    </cfRule>
  </conditionalFormatting>
  <conditionalFormatting sqref="J4">
    <cfRule type="cellIs" dxfId="74" priority="13" stopIfTrue="1" operator="equal">
      <formula>"input"</formula>
    </cfRule>
  </conditionalFormatting>
  <conditionalFormatting sqref="J4">
    <cfRule type="cellIs" dxfId="73" priority="14" stopIfTrue="1" operator="equal">
      <formula>"input"</formula>
    </cfRule>
  </conditionalFormatting>
  <conditionalFormatting sqref="K4">
    <cfRule type="cellIs" dxfId="72" priority="11" stopIfTrue="1" operator="equal">
      <formula>"input"</formula>
    </cfRule>
  </conditionalFormatting>
  <conditionalFormatting sqref="K4">
    <cfRule type="cellIs" dxfId="71" priority="12" stopIfTrue="1" operator="equal">
      <formula>"input"</formula>
    </cfRule>
  </conditionalFormatting>
  <conditionalFormatting sqref="L4:P4">
    <cfRule type="cellIs" dxfId="70" priority="9" stopIfTrue="1" operator="equal">
      <formula>"input"</formula>
    </cfRule>
  </conditionalFormatting>
  <conditionalFormatting sqref="L4:P4">
    <cfRule type="cellIs" dxfId="69" priority="10" stopIfTrue="1" operator="equal">
      <formula>"input"</formula>
    </cfRule>
  </conditionalFormatting>
  <conditionalFormatting sqref="B13:C42">
    <cfRule type="cellIs" dxfId="68" priority="7" operator="equal">
      <formula>"(Invalid Identifier)"</formula>
    </cfRule>
  </conditionalFormatting>
  <conditionalFormatting sqref="Q4">
    <cfRule type="cellIs" dxfId="67" priority="2" stopIfTrue="1" operator="equal">
      <formula>"input"</formula>
    </cfRule>
  </conditionalFormatting>
  <conditionalFormatting sqref="Q4">
    <cfRule type="cellIs" dxfId="66" priority="3" stopIfTrue="1" operator="equal">
      <formula>"input"</formula>
    </cfRule>
  </conditionalFormatting>
  <conditionalFormatting sqref="B4">
    <cfRule type="cellIs" dxfId="65"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40">
    <pageSetUpPr fitToPage="1"/>
  </sheetPr>
  <dimension ref="B1:J764"/>
  <sheetViews>
    <sheetView showGridLines="0" view="pageBreakPreview" zoomScaleNormal="100" zoomScaleSheetLayoutView="100" workbookViewId="0"/>
  </sheetViews>
  <sheetFormatPr defaultRowHeight="14.25"/>
  <cols>
    <col min="1" max="1" width="2.83203125" style="234" customWidth="1"/>
    <col min="2" max="2" width="15" style="234" customWidth="1"/>
    <col min="3" max="5" width="12.5" style="234" customWidth="1"/>
    <col min="6" max="6" width="5" style="234" customWidth="1"/>
    <col min="7" max="10" width="12.5" style="234" customWidth="1"/>
    <col min="11" max="11" width="2.83203125" style="234" customWidth="1"/>
    <col min="12" max="16384" width="9.33203125" style="234"/>
  </cols>
  <sheetData>
    <row r="1" spans="2:10" ht="10.7" customHeight="1" thickBot="1"/>
    <row r="2" spans="2:10" ht="16.5" customHeight="1" thickTop="1">
      <c r="B2" s="223" t="str">
        <f>'MASTER PubCo Inputs'!$C$5</f>
        <v>Trucode Gene Repair, Inc.</v>
      </c>
      <c r="C2" s="223"/>
      <c r="D2" s="223"/>
      <c r="E2" s="223"/>
      <c r="F2" s="223"/>
      <c r="G2" s="223"/>
      <c r="H2" s="223"/>
      <c r="I2" s="223"/>
      <c r="J2" s="223"/>
    </row>
    <row r="3" spans="2:10" ht="15.75" customHeight="1">
      <c r="B3" s="232" t="e">
        <f>VLOOKUP(B4,Outline!$E$8:$G$65,COLUMNS(Outline!$E$8:$G$8),FALSE)</f>
        <v>#N/A</v>
      </c>
      <c r="C3" s="232"/>
      <c r="D3" s="232"/>
      <c r="E3" s="232"/>
      <c r="F3" s="232"/>
      <c r="G3" s="232"/>
      <c r="H3" s="232"/>
      <c r="I3" s="232"/>
      <c r="J3" s="232"/>
    </row>
    <row r="4" spans="2:10" ht="16.5" customHeight="1" thickBot="1">
      <c r="B4" s="225" t="s">
        <v>68</v>
      </c>
      <c r="C4" s="225"/>
      <c r="D4" s="225"/>
      <c r="E4" s="225"/>
      <c r="F4" s="225"/>
      <c r="G4" s="225"/>
      <c r="H4" s="225"/>
      <c r="I4" s="225"/>
      <c r="J4" s="233"/>
    </row>
    <row r="5" spans="2:10" ht="14.85" customHeight="1" thickTop="1"/>
    <row r="6" spans="2:10" ht="14.85" customHeight="1"/>
    <row r="7" spans="2:10" ht="14.85" customHeight="1">
      <c r="B7" s="760" t="s">
        <v>474</v>
      </c>
      <c r="C7" s="761"/>
      <c r="D7" s="761"/>
      <c r="E7" s="761"/>
      <c r="F7" s="761"/>
      <c r="G7" s="761"/>
      <c r="H7" s="761"/>
      <c r="I7" s="761"/>
      <c r="J7" s="762"/>
    </row>
    <row r="8" spans="2:10" ht="14.85" customHeight="1">
      <c r="B8" s="629" t="s">
        <v>49</v>
      </c>
      <c r="C8" s="763"/>
      <c r="D8" s="521"/>
      <c r="E8" s="763" t="s">
        <v>50</v>
      </c>
      <c r="F8" s="521"/>
      <c r="G8" s="521" t="s">
        <v>49</v>
      </c>
      <c r="H8" s="763"/>
      <c r="I8" s="521"/>
      <c r="J8" s="764" t="s">
        <v>50</v>
      </c>
    </row>
    <row r="9" spans="2:10" ht="14.85" customHeight="1">
      <c r="B9" s="765" t="s">
        <v>51</v>
      </c>
      <c r="G9" s="255" t="s">
        <v>52</v>
      </c>
      <c r="J9" s="348"/>
    </row>
    <row r="10" spans="2:10" ht="14.85" customHeight="1">
      <c r="B10" s="619" t="s">
        <v>53</v>
      </c>
      <c r="C10" s="766"/>
      <c r="D10" s="766"/>
      <c r="E10" s="767">
        <v>0.25800000000000001</v>
      </c>
      <c r="G10" s="234" t="s">
        <v>54</v>
      </c>
      <c r="J10" s="768">
        <v>0.221</v>
      </c>
    </row>
    <row r="11" spans="2:10" ht="14.85" customHeight="1">
      <c r="B11" s="619" t="s">
        <v>55</v>
      </c>
      <c r="C11" s="769"/>
      <c r="D11" s="769"/>
      <c r="E11" s="767">
        <v>0.33</v>
      </c>
      <c r="G11" s="234" t="s">
        <v>56</v>
      </c>
      <c r="J11" s="768">
        <v>0.27100000000000002</v>
      </c>
    </row>
    <row r="12" spans="2:10" ht="14.85" customHeight="1">
      <c r="B12" s="619" t="s">
        <v>57</v>
      </c>
      <c r="C12" s="769"/>
      <c r="D12" s="769"/>
      <c r="E12" s="767">
        <v>0.33500000000000002</v>
      </c>
      <c r="G12" s="234" t="s">
        <v>58</v>
      </c>
      <c r="J12" s="768">
        <v>0.222</v>
      </c>
    </row>
    <row r="13" spans="2:10" ht="14.85" customHeight="1">
      <c r="B13" s="619" t="s">
        <v>59</v>
      </c>
      <c r="C13" s="769"/>
      <c r="D13" s="769"/>
      <c r="E13" s="767">
        <v>0.35</v>
      </c>
      <c r="G13" s="234" t="s">
        <v>60</v>
      </c>
      <c r="J13" s="768">
        <v>0.2</v>
      </c>
    </row>
    <row r="14" spans="2:10" ht="14.85" customHeight="1">
      <c r="B14" s="619" t="s">
        <v>61</v>
      </c>
      <c r="C14" s="770"/>
      <c r="D14" s="770"/>
      <c r="E14" s="767">
        <v>0.35399999999999998</v>
      </c>
      <c r="G14" s="234" t="s">
        <v>62</v>
      </c>
      <c r="J14" s="768">
        <v>0.21</v>
      </c>
    </row>
    <row r="15" spans="2:10" ht="14.85" customHeight="1">
      <c r="B15" s="619" t="s">
        <v>63</v>
      </c>
      <c r="C15" s="770"/>
      <c r="D15" s="770"/>
      <c r="E15" s="767">
        <v>0.45</v>
      </c>
      <c r="G15" s="234" t="s">
        <v>62</v>
      </c>
      <c r="J15" s="768">
        <v>0.13</v>
      </c>
    </row>
    <row r="16" spans="2:10" ht="14.85" customHeight="1">
      <c r="B16" s="619" t="s">
        <v>64</v>
      </c>
      <c r="C16" s="770"/>
      <c r="D16" s="770"/>
      <c r="E16" s="767">
        <v>0.33800000000000002</v>
      </c>
      <c r="J16" s="771"/>
    </row>
    <row r="17" spans="2:10" ht="14.85" customHeight="1">
      <c r="B17" s="619" t="s">
        <v>65</v>
      </c>
      <c r="C17" s="770"/>
      <c r="D17" s="770"/>
      <c r="E17" s="772">
        <v>0.312</v>
      </c>
      <c r="J17" s="773"/>
    </row>
    <row r="18" spans="2:10" ht="14.85" customHeight="1" thickBot="1">
      <c r="B18" s="774" t="s">
        <v>66</v>
      </c>
      <c r="E18" s="775">
        <v>0.34100000000000003</v>
      </c>
      <c r="G18" s="776" t="s">
        <v>67</v>
      </c>
      <c r="J18" s="777">
        <v>0.20899999999999999</v>
      </c>
    </row>
    <row r="19" spans="2:10" ht="14.85" customHeight="1" thickTop="1">
      <c r="B19" s="384"/>
      <c r="C19" s="513"/>
      <c r="D19" s="513"/>
      <c r="E19" s="513"/>
      <c r="F19" s="513"/>
      <c r="G19" s="513"/>
      <c r="H19" s="513"/>
      <c r="I19" s="513"/>
      <c r="J19" s="778"/>
    </row>
    <row r="20" spans="2:10" ht="14.85" customHeight="1"/>
    <row r="21" spans="2:10" ht="14.85" customHeight="1"/>
    <row r="22" spans="2:10" ht="14.85" customHeight="1"/>
    <row r="23" spans="2:10" ht="14.85" customHeight="1"/>
    <row r="24" spans="2:10" ht="14.85" customHeight="1"/>
    <row r="25" spans="2:10" ht="14.85" customHeight="1"/>
    <row r="26" spans="2:10" ht="14.85" customHeight="1"/>
    <row r="27" spans="2:10" ht="14.85" customHeight="1"/>
    <row r="28" spans="2:10" ht="14.85" customHeight="1"/>
    <row r="29" spans="2:10" ht="14.85" customHeight="1"/>
    <row r="30" spans="2:10" ht="14.85" customHeight="1"/>
    <row r="31" spans="2:10" ht="14.85" customHeight="1"/>
    <row r="32" spans="2:10" ht="14.85" customHeight="1"/>
    <row r="33" ht="14.85" customHeight="1"/>
    <row r="34" ht="14.85" customHeight="1"/>
    <row r="35" ht="14.85" customHeight="1"/>
    <row r="36" ht="14.85" customHeight="1"/>
    <row r="37" ht="14.85" customHeight="1"/>
    <row r="38" ht="14.85" customHeight="1"/>
    <row r="39" ht="14.85" customHeight="1"/>
    <row r="40" ht="14.85" customHeight="1"/>
    <row r="41" ht="14.85" customHeight="1"/>
    <row r="42" ht="14.85" customHeight="1"/>
    <row r="43" ht="14.85" customHeight="1"/>
    <row r="44" ht="14.85" customHeight="1"/>
    <row r="45" ht="14.85" customHeight="1"/>
    <row r="46" ht="14.85" customHeight="1"/>
    <row r="47" ht="14.85" customHeight="1"/>
    <row r="48" ht="14.85" customHeight="1"/>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I4">
    <cfRule type="cellIs" dxfId="64" priority="3" stopIfTrue="1" operator="equal">
      <formula>"input"</formula>
    </cfRule>
  </conditionalFormatting>
  <conditionalFormatting sqref="J4">
    <cfRule type="cellIs" dxfId="63" priority="1" stopIfTrue="1" operator="equal">
      <formula>"input"</formula>
    </cfRule>
  </conditionalFormatting>
  <conditionalFormatting sqref="J4">
    <cfRule type="cellIs" dxfId="62" priority="2" stopIfTrue="1" operator="equal">
      <formula>"input"</formula>
    </cfRule>
  </conditionalFormatting>
  <pageMargins left="0.5" right="0.5" top="0.5" bottom="0.5" header="0.5" footer="0.5"/>
  <pageSetup orientation="landscape" r:id="rId1"/>
  <legacyDrawingHF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43"/>
  <dimension ref="B1:F764"/>
  <sheetViews>
    <sheetView showGridLines="0" view="pageBreakPreview" zoomScale="85" zoomScaleNormal="100" zoomScaleSheetLayoutView="85" workbookViewId="0"/>
  </sheetViews>
  <sheetFormatPr defaultRowHeight="14.25"/>
  <cols>
    <col min="1" max="1" width="2.83203125" style="234" customWidth="1"/>
    <col min="2" max="2" width="77.6640625" style="234" customWidth="1"/>
    <col min="3" max="4" width="20.83203125" style="234" customWidth="1"/>
    <col min="5" max="5" width="16" style="234" customWidth="1"/>
    <col min="6" max="6" width="19" style="234" customWidth="1"/>
    <col min="7" max="7" width="2.83203125" style="234" customWidth="1"/>
    <col min="8" max="16384" width="9.33203125" style="234"/>
  </cols>
  <sheetData>
    <row r="1" spans="2:6" ht="10.7" customHeight="1" thickBot="1"/>
    <row r="2" spans="2:6" ht="16.5" customHeight="1" thickTop="1">
      <c r="B2" s="223" t="str">
        <f>'MASTER PubCo Inputs'!$C$5</f>
        <v>Trucode Gene Repair, Inc.</v>
      </c>
      <c r="C2" s="223"/>
      <c r="D2" s="223"/>
      <c r="E2" s="223"/>
      <c r="F2" s="223"/>
    </row>
    <row r="3" spans="2:6" ht="15.75" customHeight="1">
      <c r="B3" s="232" t="e">
        <f>VLOOKUP(B4,Outline!$E$8:$G$65,COLUMNS(Outline!$E$8:$G$8),FALSE)</f>
        <v>#N/A</v>
      </c>
      <c r="C3" s="232"/>
      <c r="D3" s="232"/>
      <c r="E3" s="232"/>
      <c r="F3" s="232"/>
    </row>
    <row r="4" spans="2:6" ht="16.5" customHeight="1" thickBot="1">
      <c r="B4" s="225" t="s">
        <v>48</v>
      </c>
      <c r="C4" s="225"/>
      <c r="D4" s="225"/>
      <c r="E4" s="225"/>
      <c r="F4" s="225"/>
    </row>
    <row r="5" spans="2:6" ht="14.85" customHeight="1" thickTop="1">
      <c r="B5" s="413"/>
      <c r="C5" s="413"/>
      <c r="D5" s="413"/>
      <c r="E5" s="413"/>
      <c r="F5" s="413"/>
    </row>
    <row r="6" spans="2:6" ht="14.85" customHeight="1"/>
    <row r="7" spans="2:6" ht="14.85" customHeight="1">
      <c r="B7" s="745" t="s">
        <v>1</v>
      </c>
      <c r="C7" s="746"/>
      <c r="D7" s="746"/>
      <c r="E7" s="746"/>
      <c r="F7" s="747"/>
    </row>
    <row r="8" spans="2:6" ht="14.85" customHeight="1"/>
    <row r="9" spans="2:6" s="270" customFormat="1" ht="14.85" customHeight="1">
      <c r="B9" s="748" t="s">
        <v>2</v>
      </c>
      <c r="C9" s="749" t="s">
        <v>3</v>
      </c>
      <c r="D9" s="749" t="s">
        <v>4</v>
      </c>
      <c r="E9" s="749" t="s">
        <v>5</v>
      </c>
      <c r="F9" s="750" t="s">
        <v>6</v>
      </c>
    </row>
    <row r="10" spans="2:6" ht="14.85" customHeight="1"/>
    <row r="11" spans="2:6" ht="14.85" customHeight="1">
      <c r="B11" s="234" t="s">
        <v>7</v>
      </c>
      <c r="C11" s="245">
        <v>2008</v>
      </c>
      <c r="D11" s="245" t="s">
        <v>8</v>
      </c>
      <c r="E11" s="581">
        <v>457</v>
      </c>
      <c r="F11" s="261">
        <v>2.3E-2</v>
      </c>
    </row>
    <row r="12" spans="2:6" ht="14.85" customHeight="1">
      <c r="B12" s="234" t="s">
        <v>9</v>
      </c>
      <c r="C12" s="245">
        <v>1996</v>
      </c>
      <c r="D12" s="245">
        <v>1996</v>
      </c>
      <c r="E12" s="581">
        <v>116</v>
      </c>
      <c r="F12" s="261">
        <v>2.7E-2</v>
      </c>
    </row>
    <row r="13" spans="2:6" ht="14.85" customHeight="1">
      <c r="B13" s="234" t="s">
        <v>10</v>
      </c>
      <c r="C13" s="245">
        <v>2002</v>
      </c>
      <c r="D13" s="245" t="s">
        <v>11</v>
      </c>
      <c r="E13" s="581">
        <v>98</v>
      </c>
      <c r="F13" s="261">
        <v>0.1</v>
      </c>
    </row>
    <row r="14" spans="2:6" ht="14.85" customHeight="1">
      <c r="B14" s="234" t="s">
        <v>12</v>
      </c>
      <c r="C14" s="245" t="s">
        <v>13</v>
      </c>
      <c r="D14" s="245" t="s">
        <v>14</v>
      </c>
      <c r="E14" s="581">
        <v>40</v>
      </c>
      <c r="F14" s="261">
        <v>2.7E-2</v>
      </c>
    </row>
    <row r="15" spans="2:6" ht="14.85" customHeight="1">
      <c r="B15" s="234" t="s">
        <v>15</v>
      </c>
      <c r="C15" s="245">
        <v>1995</v>
      </c>
      <c r="D15" s="245" t="s">
        <v>16</v>
      </c>
      <c r="E15" s="581">
        <v>81</v>
      </c>
      <c r="F15" s="261">
        <v>0.06</v>
      </c>
    </row>
    <row r="16" spans="2:6" ht="14.85" customHeight="1">
      <c r="B16" s="234" t="s">
        <v>17</v>
      </c>
      <c r="C16" s="245">
        <v>1995</v>
      </c>
      <c r="D16" s="245" t="s">
        <v>18</v>
      </c>
      <c r="E16" s="581">
        <v>94</v>
      </c>
      <c r="F16" s="261">
        <v>9.5000000000000001E-2</v>
      </c>
    </row>
    <row r="17" spans="2:6" ht="14.85" customHeight="1">
      <c r="B17" s="234" t="s">
        <v>19</v>
      </c>
      <c r="C17" s="245">
        <v>1991</v>
      </c>
      <c r="D17" s="245" t="s">
        <v>20</v>
      </c>
      <c r="E17" s="581">
        <v>43</v>
      </c>
      <c r="F17" s="261">
        <v>1.2999999999999999E-2</v>
      </c>
    </row>
    <row r="18" spans="2:6" ht="14.85" customHeight="1">
      <c r="B18" s="234" t="s">
        <v>21</v>
      </c>
      <c r="C18" s="245">
        <v>1987</v>
      </c>
      <c r="D18" s="245" t="s">
        <v>13</v>
      </c>
      <c r="E18" s="581">
        <v>63</v>
      </c>
      <c r="F18" s="390" t="s">
        <v>22</v>
      </c>
    </row>
    <row r="19" spans="2:6" ht="14.85" customHeight="1">
      <c r="B19" s="234" t="s">
        <v>23</v>
      </c>
      <c r="C19" s="245">
        <v>1983</v>
      </c>
      <c r="D19" s="245" t="s">
        <v>24</v>
      </c>
      <c r="E19" s="581">
        <v>30</v>
      </c>
      <c r="F19" s="261">
        <v>5.1999999999999998E-2</v>
      </c>
    </row>
    <row r="20" spans="2:6" ht="14.85" customHeight="1"/>
    <row r="21" spans="2:6" ht="14.85" customHeight="1">
      <c r="B21" s="751" t="s">
        <v>25</v>
      </c>
      <c r="C21" s="752"/>
      <c r="D21" s="752"/>
      <c r="E21" s="752"/>
      <c r="F21" s="753">
        <f>AVERAGE(F11:F17,F19)</f>
        <v>4.9625000000000002E-2</v>
      </c>
    </row>
    <row r="22" spans="2:6" ht="14.85" customHeight="1">
      <c r="B22" s="754" t="s">
        <v>26</v>
      </c>
      <c r="C22" s="755"/>
      <c r="D22" s="755"/>
      <c r="E22" s="755"/>
      <c r="F22" s="756">
        <f>MEDIAN(F11:F17,F19)</f>
        <v>3.95E-2</v>
      </c>
    </row>
    <row r="23" spans="2:6" ht="14.85" customHeight="1"/>
    <row r="24" spans="2:6" ht="14.85" customHeight="1">
      <c r="B24" s="751" t="s">
        <v>27</v>
      </c>
      <c r="C24" s="752"/>
      <c r="D24" s="752"/>
      <c r="E24" s="752"/>
      <c r="F24" s="753">
        <f>AVERAGE(F11:F12,F14:F17,F19)</f>
        <v>4.2428571428571434E-2</v>
      </c>
    </row>
    <row r="25" spans="2:6" ht="14.85" customHeight="1">
      <c r="B25" s="754" t="s">
        <v>28</v>
      </c>
      <c r="C25" s="755"/>
      <c r="D25" s="755"/>
      <c r="E25" s="755"/>
      <c r="F25" s="756">
        <f>MEDIAN(F11:F12,F14:F17,F19)</f>
        <v>2.7E-2</v>
      </c>
    </row>
    <row r="26" spans="2:6" ht="14.85" customHeight="1"/>
    <row r="27" spans="2:6" ht="14.85" customHeight="1"/>
    <row r="28" spans="2:6" s="270" customFormat="1" ht="14.85" customHeight="1">
      <c r="B28" s="757" t="s">
        <v>29</v>
      </c>
      <c r="C28" s="758"/>
      <c r="D28" s="758"/>
      <c r="E28" s="758"/>
      <c r="F28" s="759" t="s">
        <v>30</v>
      </c>
    </row>
    <row r="29" spans="2:6" ht="14.85" customHeight="1"/>
    <row r="30" spans="2:6" ht="14.85" customHeight="1">
      <c r="B30" s="234" t="s">
        <v>31</v>
      </c>
      <c r="F30" s="261">
        <v>0</v>
      </c>
    </row>
    <row r="31" spans="2:6" ht="14.85" customHeight="1">
      <c r="B31" s="234" t="s">
        <v>32</v>
      </c>
      <c r="F31" s="261">
        <v>3.6999999999999998E-2</v>
      </c>
    </row>
    <row r="32" spans="2:6" ht="14.85" customHeight="1">
      <c r="B32" s="234" t="s">
        <v>33</v>
      </c>
      <c r="F32" s="261">
        <v>0.04</v>
      </c>
    </row>
    <row r="33" spans="2:6" ht="14.85" customHeight="1">
      <c r="B33" s="234" t="s">
        <v>34</v>
      </c>
      <c r="F33" s="261">
        <v>0</v>
      </c>
    </row>
    <row r="34" spans="2:6" ht="14.85" customHeight="1">
      <c r="B34" s="234" t="s">
        <v>35</v>
      </c>
      <c r="F34" s="261">
        <v>5.1999999999999998E-2</v>
      </c>
    </row>
    <row r="35" spans="2:6" ht="14.85" customHeight="1">
      <c r="B35" s="234" t="s">
        <v>36</v>
      </c>
      <c r="F35" s="261">
        <v>9.0999999999999998E-2</v>
      </c>
    </row>
    <row r="36" spans="2:6" ht="14.85" customHeight="1">
      <c r="B36" s="234" t="s">
        <v>37</v>
      </c>
      <c r="F36" s="261">
        <v>0</v>
      </c>
    </row>
    <row r="37" spans="2:6" ht="14.85" customHeight="1">
      <c r="B37" s="234" t="s">
        <v>38</v>
      </c>
      <c r="F37" s="261">
        <v>0.03</v>
      </c>
    </row>
    <row r="38" spans="2:6" ht="14.85" customHeight="1">
      <c r="B38" s="234" t="s">
        <v>39</v>
      </c>
      <c r="F38" s="261">
        <v>4.8000000000000001E-2</v>
      </c>
    </row>
    <row r="39" spans="2:6" ht="14.85" customHeight="1">
      <c r="B39" s="234" t="s">
        <v>40</v>
      </c>
      <c r="F39" s="261">
        <v>4.3999999999999997E-2</v>
      </c>
    </row>
    <row r="40" spans="2:6" ht="14.85" customHeight="1">
      <c r="B40" s="234" t="s">
        <v>41</v>
      </c>
      <c r="F40" s="261">
        <v>5.3999999999999999E-2</v>
      </c>
    </row>
    <row r="41" spans="2:6" ht="14.85" customHeight="1">
      <c r="B41" s="234" t="s">
        <v>42</v>
      </c>
      <c r="F41" s="261">
        <v>3.9E-2</v>
      </c>
    </row>
    <row r="42" spans="2:6" ht="14.85" customHeight="1"/>
    <row r="43" spans="2:6" ht="14.85" customHeight="1">
      <c r="B43" s="751" t="s">
        <v>43</v>
      </c>
      <c r="C43" s="752"/>
      <c r="D43" s="752"/>
      <c r="E43" s="752"/>
      <c r="F43" s="753">
        <f>AVERAGE(F30:F41)</f>
        <v>3.6249999999999998E-2</v>
      </c>
    </row>
    <row r="44" spans="2:6" ht="14.85" customHeight="1">
      <c r="B44" s="754" t="s">
        <v>44</v>
      </c>
      <c r="C44" s="755"/>
      <c r="D44" s="755"/>
      <c r="E44" s="755"/>
      <c r="F44" s="756">
        <f>MEDIAN(F30:F41)</f>
        <v>3.95E-2</v>
      </c>
    </row>
    <row r="45" spans="2:6" ht="14.85" customHeight="1"/>
    <row r="46" spans="2:6" ht="14.85" customHeight="1">
      <c r="B46" s="279" t="s">
        <v>45</v>
      </c>
    </row>
    <row r="47" spans="2:6" ht="14.85" customHeight="1">
      <c r="B47" s="279" t="s">
        <v>46</v>
      </c>
    </row>
    <row r="48" spans="2:6" ht="14.85" customHeight="1">
      <c r="B48" s="279" t="s">
        <v>47</v>
      </c>
    </row>
    <row r="49" ht="14.85" customHeight="1"/>
    <row r="50" ht="14.85" customHeight="1"/>
    <row r="51" ht="14.85" customHeight="1"/>
    <row r="52" ht="14.85" customHeight="1"/>
    <row r="53" ht="14.85" customHeight="1"/>
    <row r="54" ht="14.85" customHeight="1"/>
    <row r="55" ht="14.85" customHeight="1"/>
    <row r="56" ht="14.85" customHeight="1"/>
    <row r="57" ht="14.85" customHeight="1"/>
    <row r="58" ht="14.85" customHeight="1"/>
    <row r="59" ht="14.85" customHeight="1"/>
    <row r="60" ht="14.85" customHeight="1"/>
    <row r="61" ht="14.85" customHeight="1"/>
    <row r="62" ht="14.85" customHeight="1"/>
    <row r="63" ht="14.85" customHeight="1"/>
    <row r="6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F5">
    <cfRule type="cellIs" dxfId="61" priority="3" stopIfTrue="1" operator="equal">
      <formula>"input"</formula>
    </cfRule>
  </conditionalFormatting>
  <pageMargins left="0.5" right="0.5" top="0.5" bottom="0.5" header="0.5" footer="0.5"/>
  <pageSetup scale="79" fitToWidth="0" fitToHeight="0" orientation="landscape" r:id="rId1"/>
  <legacyDrawingHF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57"/>
  <dimension ref="B1:K764"/>
  <sheetViews>
    <sheetView showGridLines="0" view="pageBreakPreview" zoomScaleNormal="100" zoomScaleSheetLayoutView="100" workbookViewId="0"/>
  </sheetViews>
  <sheetFormatPr defaultRowHeight="14.25" outlineLevelRow="1"/>
  <cols>
    <col min="1" max="1" width="2.83203125" style="234" customWidth="1"/>
    <col min="2" max="2" width="47.5" style="234" customWidth="1"/>
    <col min="3" max="3" width="18.6640625" style="234" customWidth="1"/>
    <col min="4" max="4" width="2.83203125" style="234" customWidth="1"/>
    <col min="5" max="5" width="33.83203125" style="234" customWidth="1"/>
    <col min="6" max="6" width="2.83203125" style="234" customWidth="1"/>
    <col min="7" max="8" width="26" style="234" customWidth="1"/>
    <col min="9" max="9" width="2.83203125" style="234" customWidth="1"/>
    <col min="10" max="10" width="1.83203125" style="234" customWidth="1"/>
    <col min="11" max="16384" width="9.33203125" style="234"/>
  </cols>
  <sheetData>
    <row r="1" spans="2:11" ht="10.7" customHeight="1" thickBot="1"/>
    <row r="2" spans="2:11" ht="16.5" customHeight="1" thickTop="1">
      <c r="B2" s="223" t="str">
        <f>'MASTER PubCo Inputs'!$C$5</f>
        <v>Trucode Gene Repair, Inc.</v>
      </c>
      <c r="C2" s="223"/>
      <c r="D2" s="223"/>
      <c r="E2" s="223"/>
      <c r="F2" s="223"/>
      <c r="G2" s="223"/>
      <c r="H2" s="223"/>
    </row>
    <row r="3" spans="2:11" ht="15.75" customHeight="1">
      <c r="B3" s="232" t="e">
        <f>VLOOKUP(B4,Outline!$E$8:$G$65,COLUMNS(Outline!$E$8:$G$8),FALSE)</f>
        <v>#N/A</v>
      </c>
      <c r="C3" s="232"/>
      <c r="D3" s="232"/>
      <c r="E3" s="232"/>
      <c r="F3" s="232"/>
      <c r="G3" s="232"/>
      <c r="H3" s="232"/>
    </row>
    <row r="4" spans="2:11" ht="16.5" customHeight="1" thickBot="1">
      <c r="B4" s="225" t="s">
        <v>608</v>
      </c>
      <c r="C4" s="225"/>
      <c r="D4" s="225"/>
      <c r="E4" s="225"/>
      <c r="F4" s="225"/>
      <c r="G4" s="225"/>
      <c r="H4" s="225"/>
    </row>
    <row r="5" spans="2:11" ht="14.85" customHeight="1" thickTop="1"/>
    <row r="6" spans="2:11" ht="14.85" customHeight="1">
      <c r="B6" s="327" t="s">
        <v>708</v>
      </c>
      <c r="C6" s="327"/>
      <c r="G6" s="327" t="s">
        <v>708</v>
      </c>
    </row>
    <row r="7" spans="2:11" ht="14.85" customHeight="1">
      <c r="B7" s="1007" t="s">
        <v>2926</v>
      </c>
      <c r="C7" s="1007"/>
      <c r="D7" s="528"/>
      <c r="E7" s="528"/>
      <c r="F7" s="528"/>
      <c r="G7" s="1008" t="s">
        <v>2927</v>
      </c>
      <c r="H7" s="1008"/>
    </row>
    <row r="8" spans="2:11" s="270" customFormat="1" ht="14.85" customHeight="1">
      <c r="B8" s="1009" t="s">
        <v>709</v>
      </c>
      <c r="C8" s="1010"/>
      <c r="E8" s="1011" t="s">
        <v>692</v>
      </c>
      <c r="F8" s="1012"/>
      <c r="G8" s="1013" t="s">
        <v>692</v>
      </c>
      <c r="H8" s="1014"/>
      <c r="K8" s="1015"/>
    </row>
    <row r="9" spans="2:11" ht="14.85" customHeight="1">
      <c r="K9" s="1015"/>
    </row>
    <row r="10" spans="2:11" ht="14.85" customHeight="1" thickBot="1">
      <c r="B10" s="621" t="s">
        <v>693</v>
      </c>
      <c r="C10" s="621"/>
      <c r="D10" s="621"/>
      <c r="E10" s="1016"/>
      <c r="F10" s="324"/>
      <c r="G10" s="1017" t="s">
        <v>356</v>
      </c>
      <c r="H10" s="1017" t="s">
        <v>357</v>
      </c>
      <c r="K10" s="1015"/>
    </row>
    <row r="11" spans="2:11" ht="14.85" customHeight="1">
      <c r="B11" s="234" t="s">
        <v>694</v>
      </c>
      <c r="E11" s="260">
        <v>0.41499999999999998</v>
      </c>
      <c r="F11" s="260"/>
      <c r="G11" s="884">
        <f>Trans.1!AI30</f>
        <v>2.2054763333333334</v>
      </c>
      <c r="H11" s="884">
        <f>Trans.1!AJ30</f>
        <v>3.009598</v>
      </c>
      <c r="K11" s="1015"/>
    </row>
    <row r="12" spans="2:11" ht="14.85" customHeight="1">
      <c r="B12" s="234" t="s">
        <v>44</v>
      </c>
      <c r="E12" s="260">
        <v>0.28100000000000003</v>
      </c>
      <c r="F12" s="260"/>
      <c r="G12" s="884">
        <f>Trans.1!AI31</f>
        <v>0.83347400000000005</v>
      </c>
      <c r="H12" s="884">
        <f>Trans.1!AJ31</f>
        <v>3.6153849999999998</v>
      </c>
      <c r="K12" s="1015"/>
    </row>
    <row r="13" spans="2:11" ht="14.85" customHeight="1">
      <c r="E13" s="324"/>
      <c r="F13" s="324"/>
      <c r="G13" s="324"/>
      <c r="H13" s="324"/>
      <c r="K13" s="1015"/>
    </row>
    <row r="14" spans="2:11" ht="14.85" customHeight="1" thickBot="1">
      <c r="B14" s="1018" t="s">
        <v>695</v>
      </c>
      <c r="C14" s="1018"/>
      <c r="D14" s="621"/>
      <c r="E14" s="1016"/>
      <c r="F14" s="324"/>
      <c r="G14" s="324"/>
      <c r="H14" s="324"/>
      <c r="K14" s="1015"/>
    </row>
    <row r="15" spans="2:11" ht="14.85" customHeight="1">
      <c r="B15" s="234" t="s">
        <v>694</v>
      </c>
      <c r="E15" s="260">
        <v>0.43099999999999999</v>
      </c>
      <c r="F15" s="260"/>
      <c r="G15" s="260"/>
      <c r="H15" s="260"/>
      <c r="K15" s="1015"/>
    </row>
    <row r="16" spans="2:11" ht="14.85" customHeight="1">
      <c r="B16" s="234" t="s">
        <v>44</v>
      </c>
      <c r="E16" s="260">
        <v>0.28899999999999998</v>
      </c>
      <c r="F16" s="260"/>
      <c r="G16" s="260"/>
      <c r="H16" s="260"/>
      <c r="K16" s="1015"/>
    </row>
    <row r="17" spans="2:11" ht="14.85" customHeight="1">
      <c r="E17" s="324"/>
      <c r="F17" s="324"/>
      <c r="G17" s="324"/>
      <c r="H17" s="324"/>
      <c r="K17" s="1015"/>
    </row>
    <row r="18" spans="2:11" ht="14.85" customHeight="1">
      <c r="B18" s="1009" t="s">
        <v>696</v>
      </c>
      <c r="C18" s="1010"/>
      <c r="D18" s="270"/>
      <c r="E18" s="1011" t="s">
        <v>692</v>
      </c>
      <c r="F18" s="1012"/>
      <c r="G18" s="1012"/>
      <c r="H18" s="1012"/>
      <c r="K18" s="1015"/>
    </row>
    <row r="19" spans="2:11" ht="14.85" customHeight="1">
      <c r="K19" s="1015"/>
    </row>
    <row r="20" spans="2:11" ht="14.85" customHeight="1" thickBot="1">
      <c r="B20" s="621" t="s">
        <v>693</v>
      </c>
      <c r="C20" s="621"/>
      <c r="D20" s="621"/>
      <c r="E20" s="1016"/>
      <c r="F20" s="324"/>
      <c r="G20" s="324"/>
      <c r="H20" s="324"/>
      <c r="K20" s="1015"/>
    </row>
    <row r="21" spans="2:11" ht="14.85" customHeight="1">
      <c r="B21" s="234" t="s">
        <v>694</v>
      </c>
      <c r="E21" s="1019">
        <v>0.40600000000000003</v>
      </c>
      <c r="F21" s="1019"/>
      <c r="G21" s="1019"/>
      <c r="H21" s="1019"/>
      <c r="K21" s="1015"/>
    </row>
    <row r="22" spans="2:11" ht="14.85" customHeight="1">
      <c r="B22" s="234" t="s">
        <v>44</v>
      </c>
      <c r="E22" s="1019">
        <v>0.27800000000000002</v>
      </c>
      <c r="F22" s="1019"/>
      <c r="G22" s="1019"/>
      <c r="H22" s="1019"/>
    </row>
    <row r="23" spans="2:11" ht="14.85" customHeight="1">
      <c r="E23" s="1020"/>
      <c r="F23" s="1020"/>
      <c r="G23" s="1020"/>
      <c r="H23" s="1020"/>
    </row>
    <row r="24" spans="2:11" ht="14.85" customHeight="1" thickBot="1">
      <c r="B24" s="1018" t="s">
        <v>695</v>
      </c>
      <c r="C24" s="1018"/>
      <c r="D24" s="621"/>
      <c r="E24" s="1021"/>
      <c r="F24" s="1020"/>
      <c r="G24" s="1020"/>
      <c r="H24" s="1020"/>
    </row>
    <row r="25" spans="2:11" ht="14.85" customHeight="1">
      <c r="B25" s="234" t="s">
        <v>694</v>
      </c>
      <c r="E25" s="1019">
        <v>0.31644285714285714</v>
      </c>
      <c r="F25" s="1019"/>
      <c r="G25" s="1019"/>
      <c r="H25" s="1019"/>
    </row>
    <row r="26" spans="2:11" ht="14.85" customHeight="1">
      <c r="B26" s="234" t="s">
        <v>44</v>
      </c>
      <c r="E26" s="1019">
        <v>0.26500000000000001</v>
      </c>
      <c r="F26" s="1019"/>
      <c r="G26" s="1019"/>
      <c r="H26" s="1019"/>
    </row>
    <row r="27" spans="2:11" ht="14.85" customHeight="1">
      <c r="E27" s="1019"/>
      <c r="F27" s="1019"/>
      <c r="G27" s="1019"/>
      <c r="H27" s="1019"/>
    </row>
    <row r="28" spans="2:11" ht="14.85" customHeight="1">
      <c r="B28" s="1022" t="s">
        <v>697</v>
      </c>
      <c r="C28" s="1023"/>
      <c r="G28" s="1024" t="str">
        <f>'MASTER PubCo Inputs'!C5</f>
        <v>Trucode Gene Repair, Inc.</v>
      </c>
      <c r="H28" s="374" t="s">
        <v>692</v>
      </c>
    </row>
    <row r="29" spans="2:11" ht="14.85" customHeight="1">
      <c r="B29" s="1012"/>
      <c r="C29" s="1012"/>
      <c r="H29" s="1019"/>
    </row>
    <row r="30" spans="2:11" ht="14.85" customHeight="1">
      <c r="B30" s="234" t="s">
        <v>1346</v>
      </c>
      <c r="G30" s="282" t="s">
        <v>698</v>
      </c>
      <c r="H30" s="1019" t="s">
        <v>699</v>
      </c>
    </row>
    <row r="31" spans="2:11" ht="14.85" customHeight="1">
      <c r="B31" s="234" t="s">
        <v>1347</v>
      </c>
      <c r="G31" s="282" t="s">
        <v>111</v>
      </c>
      <c r="H31" s="1019" t="s">
        <v>700</v>
      </c>
    </row>
    <row r="32" spans="2:11" ht="14.85" customHeight="1">
      <c r="B32" s="234" t="s">
        <v>1348</v>
      </c>
      <c r="G32" s="282" t="s">
        <v>111</v>
      </c>
      <c r="H32" s="1019" t="s">
        <v>700</v>
      </c>
    </row>
    <row r="33" spans="2:8" ht="14.85" customHeight="1">
      <c r="B33" s="234" t="s">
        <v>1349</v>
      </c>
      <c r="G33" s="282" t="s">
        <v>698</v>
      </c>
      <c r="H33" s="1019" t="s">
        <v>699</v>
      </c>
    </row>
    <row r="34" spans="2:8" ht="14.85" customHeight="1">
      <c r="B34" s="234" t="s">
        <v>701</v>
      </c>
      <c r="G34" s="282" t="s">
        <v>698</v>
      </c>
      <c r="H34" s="1019" t="s">
        <v>699</v>
      </c>
    </row>
    <row r="35" spans="2:8" ht="14.85" customHeight="1">
      <c r="B35" s="234" t="s">
        <v>1350</v>
      </c>
      <c r="G35" s="282" t="s">
        <v>702</v>
      </c>
      <c r="H35" s="1019" t="s">
        <v>703</v>
      </c>
    </row>
    <row r="36" spans="2:8" ht="14.85" customHeight="1">
      <c r="B36" s="234" t="s">
        <v>1351</v>
      </c>
      <c r="G36" s="282" t="s">
        <v>112</v>
      </c>
      <c r="H36" s="1019" t="s">
        <v>703</v>
      </c>
    </row>
    <row r="37" spans="2:8" ht="14.85" customHeight="1">
      <c r="E37" s="1019"/>
      <c r="F37" s="1019"/>
      <c r="G37" s="1019"/>
      <c r="H37" s="1019"/>
    </row>
    <row r="38" spans="2:8" ht="14.85" hidden="1" customHeight="1" outlineLevel="1">
      <c r="B38" s="1025" t="s">
        <v>704</v>
      </c>
      <c r="C38" s="857"/>
      <c r="D38" s="1026"/>
      <c r="E38" s="1027"/>
      <c r="F38" s="1028" t="s">
        <v>288</v>
      </c>
      <c r="G38" s="1027"/>
      <c r="H38" s="1029">
        <v>0.18</v>
      </c>
    </row>
    <row r="39" spans="2:8" ht="14.85" customHeight="1" collapsed="1">
      <c r="B39" s="1025" t="s">
        <v>705</v>
      </c>
      <c r="C39" s="857"/>
      <c r="D39" s="1026"/>
      <c r="E39" s="1026"/>
      <c r="F39" s="1030" t="s">
        <v>288</v>
      </c>
      <c r="G39" s="1026"/>
      <c r="H39" s="1029">
        <v>0.25</v>
      </c>
    </row>
    <row r="40" spans="2:8" ht="14.85" hidden="1" customHeight="1" outlineLevel="1">
      <c r="B40" s="821" t="s">
        <v>706</v>
      </c>
      <c r="C40" s="823"/>
      <c r="D40" s="823"/>
      <c r="E40" s="823"/>
      <c r="F40" s="823"/>
      <c r="G40" s="862"/>
      <c r="H40" s="861">
        <v>0.15</v>
      </c>
    </row>
    <row r="41" spans="2:8" ht="14.85" customHeight="1" collapsed="1">
      <c r="B41" s="754" t="s">
        <v>1352</v>
      </c>
      <c r="C41" s="556"/>
      <c r="D41" s="556"/>
      <c r="E41" s="556"/>
      <c r="F41" s="556"/>
      <c r="G41" s="1031"/>
      <c r="H41" s="866">
        <v>0.2</v>
      </c>
    </row>
    <row r="42" spans="2:8" ht="14.85" customHeight="1">
      <c r="B42" s="255"/>
      <c r="C42" s="255"/>
    </row>
    <row r="43" spans="2:8" ht="14.85" customHeight="1">
      <c r="B43" s="279" t="s">
        <v>86</v>
      </c>
      <c r="C43" s="279"/>
    </row>
    <row r="44" spans="2:8" ht="14.85" customHeight="1">
      <c r="B44" s="234" t="s">
        <v>707</v>
      </c>
    </row>
    <row r="45" spans="2:8" ht="14.85" customHeight="1">
      <c r="B45" s="493" t="str">
        <f>"(2) Source: Capital IQ, refer to "&amp;Trans.1!B3&amp;"."</f>
        <v>(2) Source: Capital IQ, refer to Exhibit F.1.</v>
      </c>
      <c r="C45" s="493"/>
    </row>
    <row r="46" spans="2:8" ht="14.85" customHeight="1">
      <c r="B46" s="2235" t="s">
        <v>867</v>
      </c>
      <c r="C46" s="2235"/>
      <c r="D46" s="2235"/>
      <c r="E46" s="2235"/>
      <c r="F46" s="2235"/>
      <c r="G46" s="2235"/>
      <c r="H46" s="2235"/>
    </row>
    <row r="47" spans="2:8" ht="14.85" customHeight="1">
      <c r="B47" s="2235"/>
      <c r="C47" s="2235"/>
      <c r="D47" s="2235"/>
      <c r="E47" s="2235"/>
      <c r="F47" s="2235"/>
      <c r="G47" s="2235"/>
      <c r="H47" s="2235"/>
    </row>
    <row r="48" spans="2:8" ht="14.85" customHeight="1">
      <c r="B48" s="493"/>
      <c r="C48" s="493"/>
    </row>
    <row r="49" spans="2:3" ht="14.85" customHeight="1">
      <c r="B49" s="493"/>
      <c r="C49" s="493"/>
    </row>
    <row r="50" spans="2:3" ht="14.85" customHeight="1"/>
    <row r="51" spans="2:3" ht="14.85" customHeight="1"/>
    <row r="52" spans="2:3" ht="14.85" customHeight="1"/>
    <row r="53" spans="2:3" ht="14.85" customHeight="1"/>
    <row r="54" spans="2:3" ht="14.85" customHeight="1"/>
    <row r="55" spans="2:3" ht="14.85" customHeight="1"/>
    <row r="56" spans="2:3" ht="14.85" customHeight="1"/>
    <row r="57" spans="2:3" ht="14.85" customHeight="1"/>
    <row r="58" spans="2:3" ht="14.85" customHeight="1"/>
    <row r="59" spans="2:3" ht="14.85" customHeight="1"/>
    <row r="60" spans="2:3" ht="14.85" customHeight="1"/>
    <row r="61" spans="2:3" ht="14.85" customHeight="1"/>
    <row r="62" spans="2:3" ht="14.85" customHeight="1"/>
    <row r="63" spans="2:3" ht="14.85" customHeight="1"/>
    <row r="64" spans="2:3"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H47"/>
  </mergeCells>
  <conditionalFormatting sqref="D4:H4">
    <cfRule type="cellIs" dxfId="60" priority="3" stopIfTrue="1" operator="equal">
      <formula>"input"</formula>
    </cfRule>
  </conditionalFormatting>
  <conditionalFormatting sqref="B4:C4">
    <cfRule type="cellIs" dxfId="59" priority="1" stopIfTrue="1" operator="equal">
      <formula>"input"</formula>
    </cfRule>
  </conditionalFormatting>
  <pageMargins left="0.7" right="0.7" top="0.75" bottom="0.75" header="0.3" footer="0.3"/>
  <pageSetup scale="78" orientation="landscape" r:id="rId1"/>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26"/>
  <dimension ref="A1:U764"/>
  <sheetViews>
    <sheetView showGridLines="0" view="pageBreakPreview" zoomScaleNormal="100" zoomScaleSheetLayoutView="100" workbookViewId="0"/>
  </sheetViews>
  <sheetFormatPr defaultRowHeight="14.25"/>
  <cols>
    <col min="1" max="1" width="4.5" style="234" customWidth="1"/>
    <col min="2" max="2" width="23.5" style="234" customWidth="1"/>
    <col min="3" max="3" width="2.83203125" style="234" customWidth="1"/>
    <col min="4" max="4" width="15.5" style="234" customWidth="1"/>
    <col min="5" max="5" width="2.83203125" style="234" customWidth="1"/>
    <col min="6" max="6" width="15.5" style="234" customWidth="1"/>
    <col min="7" max="7" width="2.83203125" style="234" customWidth="1"/>
    <col min="8" max="8" width="15.5" style="234" customWidth="1"/>
    <col min="9" max="9" width="2.83203125" style="234" customWidth="1"/>
    <col min="10" max="10" width="19" style="234" bestFit="1" customWidth="1"/>
    <col min="11" max="11" width="2.83203125" style="234" customWidth="1"/>
    <col min="12" max="12" width="15.5" style="234" customWidth="1"/>
    <col min="13" max="13" width="2.83203125" style="234" customWidth="1"/>
    <col min="14" max="14" width="15.5" style="234" customWidth="1"/>
    <col min="15" max="15" width="2.83203125" style="234" customWidth="1"/>
    <col min="16" max="16" width="19.83203125" style="234" bestFit="1" customWidth="1"/>
    <col min="17" max="17" width="2.83203125" style="234" customWidth="1"/>
    <col min="18" max="18" width="15.5" style="234" customWidth="1"/>
    <col min="19" max="19" width="4.5" style="234" customWidth="1"/>
    <col min="20" max="20" width="12.33203125" style="234" customWidth="1"/>
    <col min="21" max="21" width="9.33203125" style="234" customWidth="1"/>
    <col min="22" max="16384" width="9.33203125" style="234"/>
  </cols>
  <sheetData>
    <row r="1" spans="2:18" ht="10.7" customHeight="1" thickBot="1"/>
    <row r="2" spans="2:18" ht="16.5" customHeight="1" thickTop="1">
      <c r="B2" s="223" t="str">
        <f>'MASTER PubCo Inputs'!$C$5</f>
        <v>Trucode Gene Repair, Inc.</v>
      </c>
      <c r="C2" s="223"/>
      <c r="D2" s="223"/>
      <c r="E2" s="223"/>
      <c r="F2" s="223"/>
      <c r="G2" s="223"/>
      <c r="H2" s="223"/>
      <c r="I2" s="223"/>
      <c r="J2" s="223"/>
      <c r="K2" s="223"/>
      <c r="L2" s="223"/>
      <c r="M2" s="223"/>
      <c r="N2" s="223"/>
      <c r="O2" s="223"/>
      <c r="P2" s="223"/>
      <c r="Q2" s="223"/>
      <c r="R2" s="223"/>
    </row>
    <row r="3" spans="2:18" ht="15.75" customHeight="1">
      <c r="B3" s="232" t="e">
        <f>VLOOKUP(B4,Outline!$E$8:$G$65,COLUMNS(Outline!$E$8:$G$8),FALSE)</f>
        <v>#N/A</v>
      </c>
      <c r="C3" s="232"/>
      <c r="D3" s="232"/>
      <c r="E3" s="232"/>
      <c r="F3" s="232"/>
      <c r="G3" s="232"/>
      <c r="H3" s="232"/>
      <c r="I3" s="232"/>
      <c r="J3" s="232"/>
      <c r="K3" s="232"/>
      <c r="L3" s="232"/>
      <c r="M3" s="232"/>
      <c r="N3" s="232"/>
      <c r="O3" s="232"/>
      <c r="P3" s="232"/>
      <c r="Q3" s="232"/>
      <c r="R3" s="232"/>
    </row>
    <row r="4" spans="2:18" ht="16.5" customHeight="1" thickBot="1">
      <c r="B4" s="225" t="s">
        <v>336</v>
      </c>
      <c r="C4" s="225"/>
      <c r="D4" s="225"/>
      <c r="E4" s="225"/>
      <c r="F4" s="225"/>
      <c r="G4" s="225"/>
      <c r="H4" s="225"/>
      <c r="I4" s="225"/>
      <c r="J4" s="225"/>
      <c r="K4" s="225"/>
      <c r="L4" s="233"/>
      <c r="M4" s="225"/>
      <c r="N4" s="233"/>
      <c r="O4" s="225"/>
      <c r="P4" s="225"/>
      <c r="Q4" s="225"/>
      <c r="R4" s="233" t="str">
        <f>+'MASTER PubCo Inputs'!$C$21</f>
        <v>(in thousands of USD)</v>
      </c>
    </row>
    <row r="5" spans="2:18" ht="14.85" customHeight="1" thickTop="1"/>
    <row r="6" spans="2:18" ht="14.85" customHeight="1">
      <c r="B6" s="790" t="s">
        <v>687</v>
      </c>
      <c r="C6" s="791"/>
      <c r="D6" s="791"/>
      <c r="E6" s="791"/>
      <c r="F6" s="791"/>
      <c r="G6" s="791"/>
      <c r="H6" s="791"/>
      <c r="I6" s="791"/>
      <c r="J6" s="791"/>
      <c r="K6" s="791"/>
      <c r="L6" s="791"/>
      <c r="M6" s="791"/>
      <c r="N6" s="791"/>
      <c r="O6" s="791"/>
      <c r="P6" s="791"/>
      <c r="Q6" s="791"/>
      <c r="R6" s="792"/>
    </row>
    <row r="7" spans="2:18" ht="14.85" customHeight="1"/>
    <row r="8" spans="2:18" ht="14.85" customHeight="1">
      <c r="B8" s="1369" t="s">
        <v>599</v>
      </c>
      <c r="D8" s="1370" t="s">
        <v>600</v>
      </c>
      <c r="E8" s="810"/>
      <c r="F8" s="1370"/>
      <c r="G8" s="810"/>
      <c r="H8" s="1370"/>
      <c r="I8" s="810"/>
      <c r="J8" s="1370"/>
      <c r="K8" s="810"/>
      <c r="L8" s="1370"/>
      <c r="M8" s="810"/>
      <c r="N8" s="1370"/>
      <c r="P8" s="1369"/>
      <c r="R8" s="1369"/>
    </row>
    <row r="9" spans="2:18" ht="14.85" customHeight="1">
      <c r="D9" s="363">
        <f>+'Comp.1'!V8</f>
        <v>2017</v>
      </c>
      <c r="E9" s="252"/>
      <c r="F9" s="363">
        <f>+'Comp.1'!W8</f>
        <v>2018</v>
      </c>
      <c r="G9" s="252"/>
      <c r="H9" s="363" t="str">
        <f>+'Comp.1'!T8</f>
        <v>LTM</v>
      </c>
      <c r="I9" s="252"/>
      <c r="J9" s="363" t="str">
        <f>"Est. "&amp;'Comp.1'!X8</f>
        <v>Est. 2019</v>
      </c>
      <c r="K9" s="252"/>
      <c r="L9" s="363" t="str">
        <f>"Est. "&amp;'Comp.1'!Y8</f>
        <v>Est. 2020</v>
      </c>
      <c r="M9" s="252"/>
      <c r="N9" s="363" t="str">
        <f>"Est. "&amp;'Comp.1'!Z8</f>
        <v>Est. 2021</v>
      </c>
    </row>
    <row r="10" spans="2:18" ht="14.85" customHeight="1">
      <c r="B10" s="407" t="e">
        <f>+'Comp.1'!#REF!</f>
        <v>#REF!</v>
      </c>
    </row>
    <row r="11" spans="2:18" ht="14.85" customHeight="1">
      <c r="B11" s="256" t="str">
        <f>+'Comp.1'!$B37</f>
        <v>High</v>
      </c>
      <c r="D11" s="813">
        <f>'Comp.1'!V37</f>
        <v>85.218117715099197</v>
      </c>
      <c r="F11" s="813">
        <f>'Comp.1'!W37</f>
        <v>82.283441570828288</v>
      </c>
      <c r="H11" s="813">
        <f>+'Comp.1'!T37</f>
        <v>86.200764274061996</v>
      </c>
      <c r="J11" s="813">
        <f>+'Comp.1'!X37</f>
        <v>90.051831914298944</v>
      </c>
      <c r="L11" s="813">
        <f>+'Comp.1'!Y37</f>
        <v>94.615187722477287</v>
      </c>
      <c r="N11" s="813">
        <f>+'Comp.1'!Z37</f>
        <v>44.169241851851851</v>
      </c>
    </row>
    <row r="12" spans="2:18" ht="14.85" customHeight="1">
      <c r="B12" s="256" t="str">
        <f>+'Comp.1'!$B38</f>
        <v>3rd Quartile</v>
      </c>
      <c r="D12" s="813">
        <f>'Comp.1'!V38</f>
        <v>47.005775474483599</v>
      </c>
      <c r="F12" s="813">
        <f>'Comp.1'!W38</f>
        <v>23.219037219795116</v>
      </c>
      <c r="H12" s="813">
        <f>+'Comp.1'!T38</f>
        <v>32.160506052438421</v>
      </c>
      <c r="J12" s="813">
        <f>+'Comp.1'!X38</f>
        <v>50.519446653414384</v>
      </c>
      <c r="L12" s="813">
        <f>+'Comp.1'!Y38</f>
        <v>25.246016019226804</v>
      </c>
      <c r="N12" s="813">
        <f>+'Comp.1'!Z38</f>
        <v>12.790761357717894</v>
      </c>
    </row>
    <row r="13" spans="2:18" ht="14.85" customHeight="1">
      <c r="B13" s="256" t="str">
        <f>+'Comp.1'!$B39</f>
        <v xml:space="preserve">Mean </v>
      </c>
      <c r="D13" s="813">
        <f>'Comp.1'!V39</f>
        <v>32.448389065907229</v>
      </c>
      <c r="F13" s="813">
        <f>'Comp.1'!W39</f>
        <v>20.686714670551847</v>
      </c>
      <c r="H13" s="813">
        <f>+'Comp.1'!T39</f>
        <v>27.328260118107838</v>
      </c>
      <c r="J13" s="813">
        <f>+'Comp.1'!X39</f>
        <v>33.333447952163482</v>
      </c>
      <c r="L13" s="813">
        <f>+'Comp.1'!Y39</f>
        <v>24.864476973885765</v>
      </c>
      <c r="N13" s="813">
        <f>+'Comp.1'!Z39</f>
        <v>10.946417483360644</v>
      </c>
    </row>
    <row r="14" spans="2:18" ht="14.85" customHeight="1">
      <c r="B14" s="256" t="str">
        <f>+'Comp.1'!$B40</f>
        <v>Median</v>
      </c>
      <c r="D14" s="813">
        <f>'Comp.1'!V40</f>
        <v>18.752635887421093</v>
      </c>
      <c r="F14" s="813">
        <f>'Comp.1'!W40</f>
        <v>12.870562379284348</v>
      </c>
      <c r="H14" s="813">
        <f>+'Comp.1'!T40</f>
        <v>18.261569090925263</v>
      </c>
      <c r="J14" s="813">
        <f>+'Comp.1'!X40</f>
        <v>23.886358747184097</v>
      </c>
      <c r="L14" s="813">
        <f>+'Comp.1'!Y40</f>
        <v>17.911758796762538</v>
      </c>
      <c r="N14" s="813">
        <f>+'Comp.1'!Z40</f>
        <v>9.0504385330022252</v>
      </c>
    </row>
    <row r="15" spans="2:18" ht="14.85" customHeight="1">
      <c r="B15" s="256" t="str">
        <f>+'Comp.1'!$B41</f>
        <v>1st Quartile</v>
      </c>
      <c r="D15" s="813">
        <f>'Comp.1'!V41</f>
        <v>13.20364066613714</v>
      </c>
      <c r="F15" s="813">
        <f>'Comp.1'!W41</f>
        <v>8.2246225160820483</v>
      </c>
      <c r="H15" s="813">
        <f>+'Comp.1'!T41</f>
        <v>10.540464214047674</v>
      </c>
      <c r="J15" s="813">
        <f>+'Comp.1'!X41</f>
        <v>10.496888583398796</v>
      </c>
      <c r="L15" s="813">
        <f>+'Comp.1'!Y41</f>
        <v>7.1079346248046056</v>
      </c>
      <c r="N15" s="813">
        <f>+'Comp.1'!Z41</f>
        <v>4.6653990963314076</v>
      </c>
    </row>
    <row r="16" spans="2:18" ht="14.85" customHeight="1">
      <c r="B16" s="256" t="str">
        <f>+'Comp.1'!$B42</f>
        <v>Low</v>
      </c>
      <c r="D16" s="813">
        <f>'Comp.1'!V42</f>
        <v>2.9207526292179642</v>
      </c>
      <c r="F16" s="813">
        <f>'Comp.1'!W42</f>
        <v>1.7107716112457305</v>
      </c>
      <c r="H16" s="813">
        <f>+'Comp.1'!T42</f>
        <v>1.4703432528729867</v>
      </c>
      <c r="J16" s="813">
        <f>+'Comp.1'!X42</f>
        <v>2.5771422288679746</v>
      </c>
      <c r="L16" s="813">
        <f>+'Comp.1'!Y42</f>
        <v>0.90284354055927907</v>
      </c>
      <c r="N16" s="813">
        <f>+'Comp.1'!Z42</f>
        <v>0.29299530000000007</v>
      </c>
    </row>
    <row r="17" spans="2:21" ht="14.85" customHeight="1">
      <c r="D17" s="252"/>
      <c r="F17" s="252"/>
      <c r="H17" s="252"/>
      <c r="J17" s="252"/>
      <c r="L17" s="252"/>
      <c r="N17" s="252"/>
    </row>
    <row r="18" spans="2:21" ht="14.85" customHeight="1">
      <c r="B18" s="407" t="str">
        <f>+'Comp.2'!B10</f>
        <v>EBITDA Analysis</v>
      </c>
      <c r="D18" s="252"/>
      <c r="F18" s="252"/>
      <c r="H18" s="252"/>
      <c r="J18" s="252"/>
      <c r="L18" s="252"/>
      <c r="N18" s="252"/>
    </row>
    <row r="19" spans="2:21" ht="14.85" customHeight="1">
      <c r="B19" s="256" t="str">
        <f t="shared" ref="B19:B24" si="0">+B11</f>
        <v>High</v>
      </c>
      <c r="D19" s="813">
        <f>'Comp.2'!S43</f>
        <v>-0.57729257407108669</v>
      </c>
      <c r="F19" s="813">
        <f>'Comp.2'!T43</f>
        <v>12.6173713457889</v>
      </c>
      <c r="H19" s="813">
        <f>'Comp.2'!Q43</f>
        <v>16.604825387184938</v>
      </c>
      <c r="J19" s="813">
        <f>+'Comp.2'!U43</f>
        <v>0</v>
      </c>
      <c r="L19" s="813">
        <f>+'Comp.2'!V43</f>
        <v>23.895402682054918</v>
      </c>
      <c r="N19" s="813">
        <f>+'Comp.2'!W43</f>
        <v>32.096595252861256</v>
      </c>
    </row>
    <row r="20" spans="2:21" ht="14.85" customHeight="1">
      <c r="B20" s="256" t="str">
        <f t="shared" si="0"/>
        <v>3rd Quartile</v>
      </c>
      <c r="D20" s="813">
        <f>'Comp.2'!S44</f>
        <v>-5.2419536408831657</v>
      </c>
      <c r="F20" s="813">
        <f>'Comp.2'!T44</f>
        <v>-4.0977221019377303</v>
      </c>
      <c r="H20" s="813">
        <f>'Comp.2'!Q44</f>
        <v>16.604825387184938</v>
      </c>
      <c r="J20" s="813" t="e">
        <f>+'Comp.2'!U44</f>
        <v>#NUM!</v>
      </c>
      <c r="L20" s="813">
        <f>+'Comp.2'!V44</f>
        <v>23.895402682054918</v>
      </c>
      <c r="N20" s="813">
        <f>+'Comp.2'!W44</f>
        <v>31.438570886957336</v>
      </c>
    </row>
    <row r="21" spans="2:21" ht="14.85" customHeight="1">
      <c r="B21" s="256" t="str">
        <f t="shared" si="0"/>
        <v xml:space="preserve">Mean </v>
      </c>
      <c r="D21" s="813">
        <f>'Comp.2'!S45</f>
        <v>-12.045706542205837</v>
      </c>
      <c r="F21" s="813">
        <f>'Comp.2'!T45</f>
        <v>-7.4464608820597835</v>
      </c>
      <c r="H21" s="813">
        <f>'Comp.2'!Q45</f>
        <v>16.604825387184938</v>
      </c>
      <c r="J21" s="813" t="e">
        <f>+'Comp.2'!U45</f>
        <v>#DIV/0!</v>
      </c>
      <c r="L21" s="813">
        <f>+'Comp.2'!V45</f>
        <v>23.895402682054918</v>
      </c>
      <c r="N21" s="813">
        <f>+'Comp.2'!W45</f>
        <v>30.78054652105342</v>
      </c>
    </row>
    <row r="22" spans="2:21" ht="14.85" customHeight="1">
      <c r="B22" s="256" t="str">
        <f t="shared" si="0"/>
        <v>Median</v>
      </c>
      <c r="D22" s="813">
        <f>'Comp.2'!S46</f>
        <v>-12.934597779563413</v>
      </c>
      <c r="F22" s="813">
        <f>'Comp.2'!T46</f>
        <v>-7.984843838826138</v>
      </c>
      <c r="H22" s="813">
        <f>'Comp.2'!Q46</f>
        <v>16.604825387184938</v>
      </c>
      <c r="J22" s="813" t="e">
        <f>+'Comp.2'!U46</f>
        <v>#NUM!</v>
      </c>
      <c r="L22" s="813">
        <f>+'Comp.2'!V46</f>
        <v>23.895402682054918</v>
      </c>
      <c r="N22" s="813">
        <f>+'Comp.2'!W46</f>
        <v>30.78054652105342</v>
      </c>
    </row>
    <row r="23" spans="2:21" ht="14.85" customHeight="1">
      <c r="B23" s="256" t="str">
        <f t="shared" si="0"/>
        <v>1st Quartile</v>
      </c>
      <c r="D23" s="813">
        <f>'Comp.2'!S47</f>
        <v>-17.672533139525861</v>
      </c>
      <c r="F23" s="813">
        <f>'Comp.2'!T47</f>
        <v>-10.379892351940255</v>
      </c>
      <c r="H23" s="813">
        <f>'Comp.2'!Q47</f>
        <v>16.604825387184938</v>
      </c>
      <c r="J23" s="813" t="e">
        <f>+'Comp.2'!U47</f>
        <v>#NUM!</v>
      </c>
      <c r="L23" s="813">
        <f>+'Comp.2'!V47</f>
        <v>23.895402682054918</v>
      </c>
      <c r="N23" s="813">
        <f>+'Comp.2'!W47</f>
        <v>30.122522155149504</v>
      </c>
    </row>
    <row r="24" spans="2:21" ht="14.85" customHeight="1">
      <c r="B24" s="256" t="str">
        <f t="shared" si="0"/>
        <v>Low</v>
      </c>
      <c r="D24" s="813">
        <f>'Comp.2'!S48</f>
        <v>-37.209082774049214</v>
      </c>
      <c r="F24" s="813">
        <f>'Comp.2'!T48</f>
        <v>-20.505042280435188</v>
      </c>
      <c r="H24" s="813">
        <f>'Comp.2'!Q48</f>
        <v>16.604825387184938</v>
      </c>
      <c r="J24" s="813">
        <f>+'Comp.2'!U48</f>
        <v>0</v>
      </c>
      <c r="L24" s="813">
        <f>+'Comp.2'!V48</f>
        <v>23.895402682054918</v>
      </c>
      <c r="N24" s="813">
        <f>+'Comp.2'!W48</f>
        <v>29.464497789245584</v>
      </c>
    </row>
    <row r="25" spans="2:21" ht="14.85" customHeight="1"/>
    <row r="26" spans="2:21" ht="14.85" customHeight="1"/>
    <row r="27" spans="2:21" ht="28.5">
      <c r="F27" s="1372" t="s">
        <v>2933</v>
      </c>
      <c r="G27" s="792"/>
      <c r="H27" s="792"/>
      <c r="J27" s="1374" t="s">
        <v>1500</v>
      </c>
      <c r="L27" s="1372" t="s">
        <v>328</v>
      </c>
      <c r="M27" s="792"/>
      <c r="N27" s="792"/>
      <c r="P27" s="1372" t="s">
        <v>2934</v>
      </c>
    </row>
    <row r="28" spans="2:21" s="270" customFormat="1" ht="14.85" customHeight="1">
      <c r="D28" s="1378" t="s">
        <v>329</v>
      </c>
      <c r="E28" s="271"/>
      <c r="F28" s="801" t="s">
        <v>112</v>
      </c>
      <c r="G28" s="271"/>
      <c r="H28" s="801" t="s">
        <v>111</v>
      </c>
      <c r="I28" s="271"/>
      <c r="J28" s="1379">
        <f>DCF!$F$69</f>
        <v>0.26</v>
      </c>
      <c r="K28" s="271"/>
      <c r="L28" s="1378" t="s">
        <v>112</v>
      </c>
      <c r="M28" s="271"/>
      <c r="N28" s="1378" t="s">
        <v>111</v>
      </c>
      <c r="O28" s="271"/>
      <c r="P28" s="1379"/>
      <c r="R28" s="1381" t="s">
        <v>70</v>
      </c>
    </row>
    <row r="29" spans="2:21" ht="14.85" customHeight="1"/>
    <row r="30" spans="2:21" ht="14.85" customHeight="1">
      <c r="B30" s="255" t="s">
        <v>322</v>
      </c>
      <c r="T30" s="1426" t="s">
        <v>647</v>
      </c>
      <c r="U30" s="589"/>
    </row>
    <row r="31" spans="2:21" ht="14.85" customHeight="1">
      <c r="B31" s="256" t="s">
        <v>160</v>
      </c>
      <c r="D31" s="268" t="e">
        <f>'Hist IS'!#REF!</f>
        <v>#REF!</v>
      </c>
      <c r="F31" s="1383">
        <v>0.67581966101694912</v>
      </c>
      <c r="H31" s="1383">
        <v>0.78</v>
      </c>
      <c r="J31" s="1384">
        <f>IF($T$31&lt;&gt;"Discount",1,1/((1+DCF!$F$62)^(0/12)))</f>
        <v>1</v>
      </c>
      <c r="L31" s="490" t="str">
        <f>IFERROR($D31*F31*$J31,"n/a")</f>
        <v>n/a</v>
      </c>
      <c r="N31" s="490" t="str">
        <f>IFERROR($D31*H31*$J31,"n/a")</f>
        <v>n/a</v>
      </c>
      <c r="P31" s="1385">
        <v>0</v>
      </c>
      <c r="R31" s="245" t="str">
        <f>'Hist IS'!$B$3</f>
        <v>Exhibit C.2</v>
      </c>
      <c r="T31" s="384" t="s">
        <v>50</v>
      </c>
      <c r="U31" s="594"/>
    </row>
    <row r="32" spans="2:21" ht="14.85" customHeight="1">
      <c r="B32" s="256" t="s">
        <v>173</v>
      </c>
      <c r="D32" s="268" t="e">
        <f>'Hist IS'!#REF!</f>
        <v>#REF!</v>
      </c>
      <c r="F32" s="1383">
        <v>0.67581966101694912</v>
      </c>
      <c r="H32" s="1383">
        <v>0.78</v>
      </c>
      <c r="J32" s="1384">
        <f>IF($T$31&lt;&gt;"Discount",1,$J$31)</f>
        <v>1</v>
      </c>
      <c r="L32" s="490" t="str">
        <f>IFERROR($D32*F32*$J32,"n/a")</f>
        <v>n/a</v>
      </c>
      <c r="N32" s="490" t="str">
        <f>IFERROR($D32*H32*$J32,"n/a")</f>
        <v>n/a</v>
      </c>
      <c r="P32" s="1385">
        <v>0</v>
      </c>
      <c r="R32" s="245" t="str">
        <f>'Hist IS'!$B$3</f>
        <v>Exhibit C.2</v>
      </c>
    </row>
    <row r="33" spans="2:18" ht="14.85" customHeight="1">
      <c r="J33" s="1384"/>
      <c r="P33" s="1385"/>
    </row>
    <row r="34" spans="2:18" ht="14.85" customHeight="1">
      <c r="B34" s="298" t="str">
        <f>+$J$9</f>
        <v>Est. 2019</v>
      </c>
      <c r="J34" s="1384"/>
      <c r="P34" s="1385"/>
    </row>
    <row r="35" spans="2:18" ht="14.85" customHeight="1">
      <c r="B35" s="256" t="s">
        <v>160</v>
      </c>
      <c r="D35" s="268">
        <f>DCF!$F$14</f>
        <v>3722</v>
      </c>
      <c r="F35" s="1383">
        <v>0.67581966101694912</v>
      </c>
      <c r="H35" s="1383">
        <v>0.78</v>
      </c>
      <c r="J35" s="1384">
        <f>IF($T$31&lt;&gt;"Discount",1,1/(1+DCF!$D$62)^(DCF!F$57))</f>
        <v>0.80938299653727386</v>
      </c>
      <c r="L35" s="490">
        <f>IFERROR($D35*F35*$J35,"n/a")</f>
        <v>2035.9226194367604</v>
      </c>
      <c r="N35" s="490">
        <f>IFERROR($D35*H35*$J35,"n/a")</f>
        <v>2349.7683402271523</v>
      </c>
      <c r="P35" s="1385">
        <v>0.5</v>
      </c>
      <c r="R35" s="245" t="e">
        <f>DCF!$B$3</f>
        <v>#N/A</v>
      </c>
    </row>
    <row r="36" spans="2:18" ht="14.85" customHeight="1">
      <c r="B36" s="256" t="s">
        <v>173</v>
      </c>
      <c r="D36" s="268">
        <f>DCF!$F$30</f>
        <v>-6328.3000000000011</v>
      </c>
      <c r="F36" s="1383" t="s">
        <v>13</v>
      </c>
      <c r="H36" s="1383" t="s">
        <v>13</v>
      </c>
      <c r="J36" s="1384">
        <f>IF($T$31&lt;&gt;"Discount",1,$J$35)</f>
        <v>0.80938299653727386</v>
      </c>
      <c r="L36" s="490" t="str">
        <f>IFERROR($D36*F36*$J36,"n/a")</f>
        <v>n/a</v>
      </c>
      <c r="N36" s="490" t="str">
        <f>IFERROR($D36*H36*$J36,"n/a")</f>
        <v>n/a</v>
      </c>
      <c r="P36" s="1385">
        <v>0</v>
      </c>
      <c r="R36" s="245" t="e">
        <f>DCF!$B$3</f>
        <v>#N/A</v>
      </c>
    </row>
    <row r="37" spans="2:18" ht="14.85" customHeight="1">
      <c r="J37" s="1384"/>
      <c r="P37" s="1385"/>
    </row>
    <row r="38" spans="2:18" ht="14.85" customHeight="1">
      <c r="B38" s="298" t="str">
        <f>+$L$9</f>
        <v>Est. 2020</v>
      </c>
      <c r="J38" s="1384"/>
      <c r="P38" s="1385"/>
    </row>
    <row r="39" spans="2:18" ht="14.85" customHeight="1">
      <c r="B39" s="256" t="s">
        <v>160</v>
      </c>
      <c r="D39" s="268">
        <f>DCF!$G$14</f>
        <v>8657.4</v>
      </c>
      <c r="F39" s="1383">
        <v>0.67581966101694912</v>
      </c>
      <c r="H39" s="1383">
        <v>0.78</v>
      </c>
      <c r="J39" s="1384">
        <f>IF($T$31&lt;&gt;"Discount",1,1/(1+DCF!$D$62)^(DCF!F$57+1))</f>
        <v>0.64236745756926494</v>
      </c>
      <c r="L39" s="490">
        <f>IFERROR($D39*F39*$J39,"n/a")</f>
        <v>3758.389943431976</v>
      </c>
      <c r="N39" s="490">
        <f>IFERROR($D39*H39*$J39,"n/a")</f>
        <v>4337.7609811849206</v>
      </c>
      <c r="P39" s="1385">
        <v>0.5</v>
      </c>
      <c r="R39" s="245" t="e">
        <f>DCF!$B$3</f>
        <v>#N/A</v>
      </c>
    </row>
    <row r="40" spans="2:18" ht="14.85" customHeight="1">
      <c r="B40" s="256" t="s">
        <v>173</v>
      </c>
      <c r="D40" s="268">
        <f>DCF!$G$30</f>
        <v>-4843.8</v>
      </c>
      <c r="F40" s="1383">
        <v>0.67581966101694912</v>
      </c>
      <c r="H40" s="1383">
        <v>0.78</v>
      </c>
      <c r="J40" s="1384">
        <f>IF($T$31&lt;&gt;"Discount",1,$J$39)</f>
        <v>0.64236745756926494</v>
      </c>
      <c r="L40" s="490">
        <f>IFERROR($D40*F40*$J40,"n/a")</f>
        <v>-2102.8125312444622</v>
      </c>
      <c r="N40" s="490">
        <f>IFERROR($D40*H40*$J40,"n/a")</f>
        <v>-2426.9696029597244</v>
      </c>
      <c r="P40" s="1385"/>
      <c r="R40" s="245" t="e">
        <f>DCF!$B$3</f>
        <v>#N/A</v>
      </c>
    </row>
    <row r="41" spans="2:18" ht="14.85" customHeight="1">
      <c r="J41" s="1384"/>
      <c r="P41" s="1385"/>
    </row>
    <row r="42" spans="2:18" ht="14.85" customHeight="1">
      <c r="B42" s="298" t="str">
        <f>+$N$9</f>
        <v>Est. 2021</v>
      </c>
      <c r="J42" s="1384"/>
      <c r="P42" s="1385"/>
    </row>
    <row r="43" spans="2:18" ht="14.85" customHeight="1">
      <c r="B43" s="256" t="s">
        <v>160</v>
      </c>
      <c r="D43" s="268">
        <f>DCF!$H$14</f>
        <v>19751.599999999999</v>
      </c>
      <c r="F43" s="1383">
        <v>0.67581966101694912</v>
      </c>
      <c r="H43" s="1383">
        <v>0.78</v>
      </c>
      <c r="J43" s="1384">
        <f>IF($T$31&lt;&gt;"Discount",1,1/(1+DCF!$D$62)^(DCF!F$57+2))</f>
        <v>0.50981544251528965</v>
      </c>
      <c r="L43" s="490">
        <f>IFERROR($D43*F43*$J43,"n/a")</f>
        <v>6805.2814352315736</v>
      </c>
      <c r="N43" s="490">
        <f>IFERROR($D43*H43*$J43,"n/a")</f>
        <v>7854.3431416202957</v>
      </c>
      <c r="P43" s="1385">
        <v>0</v>
      </c>
      <c r="R43" s="245" t="e">
        <f>DCF!$B$3</f>
        <v>#N/A</v>
      </c>
    </row>
    <row r="44" spans="2:18" ht="14.85" customHeight="1">
      <c r="B44" s="256" t="s">
        <v>173</v>
      </c>
      <c r="D44" s="268">
        <f>DCF!$H$30</f>
        <v>-753.20000000000255</v>
      </c>
      <c r="F44" s="1383">
        <v>0.67581966101694912</v>
      </c>
      <c r="H44" s="1383">
        <v>0.78</v>
      </c>
      <c r="J44" s="1384">
        <f>IF($T$31&lt;&gt;"Discount",1,$J$43)</f>
        <v>0.50981544251528965</v>
      </c>
      <c r="L44" s="490">
        <f>IFERROR($D44*F44*$J44,"n/a")</f>
        <v>-259.51001321495164</v>
      </c>
      <c r="N44" s="490">
        <f>IFERROR($D44*H44*$J44,"n/a")</f>
        <v>-299.51453321596364</v>
      </c>
      <c r="P44" s="1385">
        <v>0</v>
      </c>
      <c r="R44" s="245" t="e">
        <f>DCF!$B$3</f>
        <v>#N/A</v>
      </c>
    </row>
    <row r="45" spans="2:18" ht="14.85" customHeight="1">
      <c r="B45" s="269"/>
      <c r="C45" s="269"/>
      <c r="D45" s="269"/>
      <c r="E45" s="269"/>
      <c r="F45" s="269"/>
      <c r="G45" s="269"/>
      <c r="H45" s="269"/>
      <c r="I45" s="269"/>
      <c r="J45" s="269"/>
      <c r="K45" s="269"/>
      <c r="L45" s="269"/>
      <c r="M45" s="269"/>
      <c r="N45" s="269"/>
    </row>
    <row r="46" spans="2:18" ht="14.85" customHeight="1">
      <c r="B46" s="255" t="s">
        <v>330</v>
      </c>
      <c r="L46" s="309">
        <f>SUMPRODUCT(L31:L44,$P$31:$P$44)</f>
        <v>2897.1562814343683</v>
      </c>
      <c r="N46" s="309">
        <f>SUMPRODUCT(N31:N44,$P$31:$P$44)</f>
        <v>3343.7646607060365</v>
      </c>
    </row>
    <row r="47" spans="2:18" ht="14.85" customHeight="1"/>
    <row r="48" spans="2:18" ht="14.85" customHeight="1">
      <c r="B48" s="274" t="s">
        <v>335</v>
      </c>
      <c r="C48" s="1390"/>
      <c r="D48" s="1390"/>
      <c r="E48" s="1390"/>
      <c r="F48" s="1390"/>
      <c r="G48" s="1390"/>
      <c r="H48" s="1390"/>
      <c r="I48" s="1390"/>
      <c r="J48" s="1391"/>
      <c r="K48" s="1390"/>
      <c r="L48" s="1392">
        <f>MROUND(L46,1)</f>
        <v>2897</v>
      </c>
      <c r="M48" s="1390"/>
      <c r="N48" s="1393">
        <f>MROUND(N46,1)</f>
        <v>3344</v>
      </c>
    </row>
    <row r="49" spans="1:18" ht="14.85" customHeight="1"/>
    <row r="50" spans="1:18" ht="14.85" customHeight="1">
      <c r="B50" s="256" t="s">
        <v>147</v>
      </c>
      <c r="L50" s="265" t="e">
        <f>-'Hist BS'!#REF!</f>
        <v>#REF!</v>
      </c>
      <c r="M50" s="268"/>
      <c r="N50" s="297" t="e">
        <f>L50</f>
        <v>#REF!</v>
      </c>
      <c r="R50" s="266" t="str">
        <f>'Hist BS'!$B$3</f>
        <v>Exhibit C.3</v>
      </c>
    </row>
    <row r="51" spans="1:18" ht="14.85" customHeight="1">
      <c r="B51" s="256" t="s">
        <v>603</v>
      </c>
      <c r="L51" s="265" t="e">
        <f>'Hist BS'!#REF!</f>
        <v>#REF!</v>
      </c>
      <c r="M51" s="268"/>
      <c r="N51" s="297" t="e">
        <f>L51</f>
        <v>#REF!</v>
      </c>
      <c r="R51" s="266" t="str">
        <f>'Hist BS'!$B$3</f>
        <v>Exhibit C.3</v>
      </c>
    </row>
    <row r="52" spans="1:18" ht="14.85" customHeight="1">
      <c r="B52" s="269"/>
      <c r="C52" s="269"/>
      <c r="D52" s="269"/>
      <c r="E52" s="269"/>
      <c r="F52" s="269"/>
      <c r="G52" s="269"/>
      <c r="H52" s="269"/>
      <c r="I52" s="269"/>
      <c r="J52" s="269"/>
      <c r="K52" s="269"/>
      <c r="L52" s="269"/>
      <c r="M52" s="269"/>
      <c r="N52" s="269"/>
    </row>
    <row r="53" spans="1:18" ht="14.85" customHeight="1">
      <c r="B53" s="255" t="s">
        <v>331</v>
      </c>
      <c r="L53" s="309" t="e">
        <f>SUM(L48:L51)</f>
        <v>#REF!</v>
      </c>
      <c r="N53" s="309" t="e">
        <f>SUM(N48:N51)</f>
        <v>#REF!</v>
      </c>
    </row>
    <row r="54" spans="1:18" ht="14.85" customHeight="1"/>
    <row r="55" spans="1:18" ht="14.85" customHeight="1">
      <c r="B55" s="404" t="s">
        <v>86</v>
      </c>
    </row>
    <row r="56" spans="1:18" ht="14.85" customHeight="1">
      <c r="A56" s="280" t="s">
        <v>250</v>
      </c>
      <c r="B56" s="1324" t="s">
        <v>932</v>
      </c>
      <c r="C56" s="282"/>
      <c r="D56" s="282"/>
      <c r="E56" s="282"/>
      <c r="F56" s="282"/>
      <c r="G56" s="282"/>
      <c r="H56" s="282"/>
      <c r="I56" s="282"/>
      <c r="J56" s="282"/>
      <c r="K56" s="282"/>
      <c r="L56" s="282"/>
    </row>
    <row r="57" spans="1:18" ht="14.85" customHeight="1">
      <c r="A57" s="280" t="s">
        <v>249</v>
      </c>
      <c r="B57" s="1324" t="s">
        <v>1498</v>
      </c>
      <c r="C57" s="282"/>
      <c r="D57" s="282"/>
      <c r="E57" s="282"/>
      <c r="F57" s="282"/>
      <c r="G57" s="282"/>
      <c r="H57" s="282"/>
      <c r="I57" s="282"/>
      <c r="J57" s="282"/>
      <c r="K57" s="282"/>
      <c r="L57" s="282"/>
    </row>
    <row r="58" spans="1:18" ht="14.85" customHeight="1">
      <c r="A58" s="280" t="s">
        <v>288</v>
      </c>
      <c r="B58" s="1324" t="s">
        <v>933</v>
      </c>
      <c r="C58" s="282"/>
      <c r="D58" s="282"/>
      <c r="E58" s="282"/>
      <c r="F58" s="282"/>
      <c r="G58" s="282"/>
      <c r="H58" s="282"/>
      <c r="I58" s="282"/>
      <c r="J58" s="282"/>
      <c r="K58" s="282"/>
      <c r="L58" s="282"/>
    </row>
    <row r="59" spans="1:18" ht="14.85" customHeight="1"/>
    <row r="60" spans="1:18" ht="14.85" customHeight="1"/>
    <row r="61" spans="1:18" ht="14.85" customHeight="1"/>
    <row r="62" spans="1:18" ht="14.85" customHeight="1"/>
    <row r="63" spans="1:18" ht="14.85" customHeight="1"/>
    <row r="64" spans="1:18"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4:D4 N4 F4 H4 J4">
    <cfRule type="cellIs" dxfId="58" priority="16" stopIfTrue="1" operator="equal">
      <formula>"input"</formula>
    </cfRule>
  </conditionalFormatting>
  <conditionalFormatting sqref="L4">
    <cfRule type="cellIs" dxfId="57" priority="14" stopIfTrue="1" operator="equal">
      <formula>"input"</formula>
    </cfRule>
  </conditionalFormatting>
  <conditionalFormatting sqref="L4">
    <cfRule type="cellIs" dxfId="56" priority="15" stopIfTrue="1" operator="equal">
      <formula>"input"</formula>
    </cfRule>
  </conditionalFormatting>
  <conditionalFormatting sqref="R4">
    <cfRule type="cellIs" dxfId="55" priority="10" stopIfTrue="1" operator="equal">
      <formula>"input"</formula>
    </cfRule>
  </conditionalFormatting>
  <conditionalFormatting sqref="R4">
    <cfRule type="cellIs" dxfId="54" priority="11" stopIfTrue="1" operator="equal">
      <formula>"input"</formula>
    </cfRule>
  </conditionalFormatting>
  <conditionalFormatting sqref="E4">
    <cfRule type="cellIs" dxfId="53" priority="9" stopIfTrue="1" operator="equal">
      <formula>"input"</formula>
    </cfRule>
  </conditionalFormatting>
  <conditionalFormatting sqref="G4">
    <cfRule type="cellIs" dxfId="52" priority="8" stopIfTrue="1" operator="equal">
      <formula>"input"</formula>
    </cfRule>
  </conditionalFormatting>
  <conditionalFormatting sqref="K4">
    <cfRule type="cellIs" dxfId="51" priority="7" stopIfTrue="1" operator="equal">
      <formula>"input"</formula>
    </cfRule>
  </conditionalFormatting>
  <conditionalFormatting sqref="M4">
    <cfRule type="cellIs" dxfId="50" priority="6" stopIfTrue="1" operator="equal">
      <formula>"input"</formula>
    </cfRule>
  </conditionalFormatting>
  <conditionalFormatting sqref="Q4">
    <cfRule type="cellIs" dxfId="49" priority="5" stopIfTrue="1" operator="equal">
      <formula>"input"</formula>
    </cfRule>
  </conditionalFormatting>
  <conditionalFormatting sqref="I4">
    <cfRule type="cellIs" dxfId="48" priority="4" stopIfTrue="1" operator="equal">
      <formula>"input"</formula>
    </cfRule>
  </conditionalFormatting>
  <conditionalFormatting sqref="P4">
    <cfRule type="cellIs" dxfId="47" priority="3" stopIfTrue="1" operator="equal">
      <formula>"input"</formula>
    </cfRule>
  </conditionalFormatting>
  <conditionalFormatting sqref="O4">
    <cfRule type="cellIs" dxfId="46" priority="2" stopIfTrue="1" operator="equal">
      <formula>"input"</formula>
    </cfRule>
  </conditionalFormatting>
  <conditionalFormatting sqref="P31:P44">
    <cfRule type="expression" dxfId="45" priority="1">
      <formula>SUM($P$31:$P$44)&lt;&gt;1</formula>
    </cfRule>
  </conditionalFormatting>
  <dataValidations disablePrompts="1" count="1">
    <dataValidation type="list" allowBlank="1" showInputMessage="1" showErrorMessage="1" sqref="T31" xr:uid="{00000000-0002-0000-5400-000000000000}">
      <formula1>"Discount,No Discount"</formula1>
    </dataValidation>
  </dataValidations>
  <pageMargins left="0.5" right="0.5" top="0.5" bottom="0.5" header="0.5" footer="0.5"/>
  <pageSetup scale="72" fitToWidth="0" fitToHeight="0" orientation="landscape" r:id="rId1"/>
  <legacyDrawing r:id="rId2"/>
  <legacyDrawingHF r:id="rId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50"/>
  <dimension ref="B1:AI764"/>
  <sheetViews>
    <sheetView showGridLines="0" view="pageBreakPreview" zoomScaleNormal="100" zoomScaleSheetLayoutView="100" workbookViewId="0"/>
  </sheetViews>
  <sheetFormatPr defaultRowHeight="14.25" outlineLevelCol="1"/>
  <cols>
    <col min="1" max="1" width="4.5" style="234" customWidth="1"/>
    <col min="2" max="2" width="51.33203125" style="234" customWidth="1"/>
    <col min="3" max="3" width="11.83203125" style="234" customWidth="1"/>
    <col min="4" max="4" width="2.83203125" style="234" customWidth="1"/>
    <col min="5" max="6" width="15.1640625" style="234" hidden="1" customWidth="1" outlineLevel="1"/>
    <col min="7" max="7" width="11.83203125" style="234" customWidth="1" collapsed="1"/>
    <col min="8" max="8" width="2.83203125" style="234" customWidth="1"/>
    <col min="9" max="10" width="15.1640625" style="234" hidden="1" customWidth="1" outlineLevel="1"/>
    <col min="11" max="11" width="15.1640625" style="234" customWidth="1" collapsed="1"/>
    <col min="12" max="13" width="15.1640625" style="234" customWidth="1"/>
    <col min="14" max="14" width="2.83203125" style="234" customWidth="1"/>
    <col min="15" max="16" width="14.83203125" style="234" hidden="1" customWidth="1" outlineLevel="1"/>
    <col min="17" max="17" width="11.83203125" style="234" customWidth="1" collapsed="1"/>
    <col min="18" max="18" width="2.83203125" style="234" customWidth="1"/>
    <col min="19" max="20" width="14.83203125" style="234" hidden="1" customWidth="1" outlineLevel="1"/>
    <col min="21" max="21" width="9.83203125" style="234" customWidth="1" collapsed="1"/>
    <col min="22" max="23" width="9.83203125" style="234" customWidth="1"/>
    <col min="24" max="24" width="4.5" style="234" customWidth="1"/>
    <col min="25" max="32" width="12.83203125" style="234" customWidth="1"/>
    <col min="33" max="33" width="1.83203125" style="234" customWidth="1"/>
    <col min="34" max="34" width="15.33203125" style="234" bestFit="1" customWidth="1"/>
    <col min="35" max="35" width="14.33203125" style="234" bestFit="1" customWidth="1"/>
    <col min="36" max="36" width="1.83203125" style="234" customWidth="1"/>
    <col min="37" max="16384" width="9.33203125" style="234"/>
  </cols>
  <sheetData>
    <row r="1" spans="2:35" ht="10.7" customHeight="1" thickBot="1">
      <c r="Y1" s="1330"/>
      <c r="Z1" s="1331" t="s">
        <v>854</v>
      </c>
      <c r="AA1" s="1331" t="s">
        <v>855</v>
      </c>
      <c r="AB1" s="1332" t="s">
        <v>110</v>
      </c>
    </row>
    <row r="2" spans="2:35"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Y2" s="1333" t="str">
        <f>+C8</f>
        <v>Enterprise Value</v>
      </c>
      <c r="Z2" s="591" t="e">
        <f ca="1">SUM('GPC Linked'!H13:H42)</f>
        <v>#NAME?</v>
      </c>
      <c r="AA2" s="591">
        <f>+SUM('Capital IQ Sheet-GPC'!H13:H42)</f>
        <v>29371.167960000002</v>
      </c>
      <c r="AB2" s="348" t="e">
        <f ca="1">Z2=AA2</f>
        <v>#NAME?</v>
      </c>
      <c r="AH2" s="779" t="s">
        <v>87</v>
      </c>
      <c r="AI2" s="780">
        <f>'MASTER PubCo Inputs'!$C$6</f>
        <v>43496</v>
      </c>
    </row>
    <row r="3" spans="2:35" ht="15.75" customHeight="1">
      <c r="B3" s="232" t="e">
        <f>VLOOKUP(B4,Outline!$E$8:$G$65,COLUMNS(Outline!$E$8:$G$8),FALSE)</f>
        <v>#N/A</v>
      </c>
      <c r="C3" s="232"/>
      <c r="D3" s="232"/>
      <c r="E3" s="232"/>
      <c r="F3" s="232"/>
      <c r="G3" s="232"/>
      <c r="H3" s="232"/>
      <c r="I3" s="232"/>
      <c r="J3" s="232"/>
      <c r="K3" s="232"/>
      <c r="L3" s="232"/>
      <c r="M3" s="232"/>
      <c r="N3" s="232"/>
      <c r="O3" s="232"/>
      <c r="P3" s="232"/>
      <c r="Q3" s="232"/>
      <c r="R3" s="232"/>
      <c r="S3" s="232"/>
      <c r="T3" s="232"/>
      <c r="U3" s="232"/>
      <c r="V3" s="232"/>
      <c r="W3" s="232"/>
      <c r="Y3" s="1333" t="str">
        <f>+G8</f>
        <v>LTM</v>
      </c>
      <c r="Z3" s="591" t="e">
        <f ca="1">+SUM('GPC Linked'!Z13:Z42)</f>
        <v>#NAME?</v>
      </c>
      <c r="AA3" s="591">
        <f>+SUM('Capital IQ Sheet-GPC'!Z13:Z42)</f>
        <v>-2917.81889</v>
      </c>
      <c r="AB3" s="348" t="e">
        <f t="shared" ref="AB3:AB4" ca="1" si="0">Z3=AA3</f>
        <v>#NAME?</v>
      </c>
      <c r="AH3" s="619" t="s">
        <v>455</v>
      </c>
      <c r="AI3" s="781" t="s">
        <v>457</v>
      </c>
    </row>
    <row r="4" spans="2:35" ht="16.5" customHeight="1" thickBot="1">
      <c r="B4" s="225" t="s">
        <v>717</v>
      </c>
      <c r="C4" s="225"/>
      <c r="D4" s="631"/>
      <c r="E4" s="225"/>
      <c r="F4" s="225"/>
      <c r="G4" s="225"/>
      <c r="H4" s="225"/>
      <c r="I4" s="225"/>
      <c r="J4" s="233"/>
      <c r="K4" s="233"/>
      <c r="L4" s="233"/>
      <c r="M4" s="233"/>
      <c r="N4" s="233"/>
      <c r="O4" s="233"/>
      <c r="P4" s="233"/>
      <c r="Q4" s="233"/>
      <c r="R4" s="233"/>
      <c r="S4" s="233"/>
      <c r="T4" s="233"/>
      <c r="U4" s="233"/>
      <c r="V4" s="233"/>
      <c r="W4" s="233" t="str">
        <f>+'MASTER PubCo Inputs'!$C$24</f>
        <v>(in millions of USD)</v>
      </c>
      <c r="Y4" s="1334">
        <f>+K8</f>
        <v>2019</v>
      </c>
      <c r="Z4" s="1335" t="e">
        <f ca="1">+SUM('GPC Linked'!AC13:AC42)</f>
        <v>#NAME?</v>
      </c>
      <c r="AA4" s="1335">
        <f>+SUM('Capital IQ Sheet-GPC'!AC13:AC42)</f>
        <v>-3128.8929499999995</v>
      </c>
      <c r="AB4" s="594" t="e">
        <f t="shared" ca="1" si="0"/>
        <v>#NAME?</v>
      </c>
      <c r="AH4" s="619" t="s">
        <v>456</v>
      </c>
      <c r="AI4" s="781" t="s">
        <v>458</v>
      </c>
    </row>
    <row r="5" spans="2:35" ht="14.85" customHeight="1" thickTop="1">
      <c r="B5" s="782"/>
      <c r="C5" s="782"/>
      <c r="AH5" s="384" t="s">
        <v>89</v>
      </c>
      <c r="AI5" s="783" t="s">
        <v>90</v>
      </c>
    </row>
    <row r="6" spans="2:35" ht="14.85" customHeight="1">
      <c r="I6" s="784" t="s">
        <v>323</v>
      </c>
      <c r="J6" s="785"/>
      <c r="K6" s="784" t="s">
        <v>323</v>
      </c>
      <c r="L6" s="1407"/>
      <c r="M6" s="785"/>
      <c r="S6" s="784" t="s">
        <v>323</v>
      </c>
      <c r="T6" s="785"/>
      <c r="U6" s="784" t="s">
        <v>323</v>
      </c>
      <c r="V6" s="1407"/>
      <c r="W6" s="785"/>
      <c r="Y6" s="1258" t="s">
        <v>934</v>
      </c>
      <c r="Z6" s="1408">
        <v>50</v>
      </c>
      <c r="AA6" s="1258" t="s">
        <v>935</v>
      </c>
      <c r="AB6" s="1408">
        <v>0</v>
      </c>
    </row>
    <row r="7" spans="2:35" ht="14.85" customHeight="1">
      <c r="E7" s="786" t="s">
        <v>691</v>
      </c>
      <c r="F7" s="787"/>
      <c r="G7" s="788" t="s">
        <v>690</v>
      </c>
      <c r="H7" s="789"/>
      <c r="I7" s="786" t="s">
        <v>689</v>
      </c>
      <c r="J7" s="787"/>
      <c r="K7" s="786" t="s">
        <v>689</v>
      </c>
      <c r="L7" s="1409"/>
      <c r="M7" s="787"/>
      <c r="O7" s="885" t="s">
        <v>324</v>
      </c>
      <c r="P7" s="885"/>
      <c r="Q7" s="788" t="s">
        <v>324</v>
      </c>
      <c r="R7" s="789"/>
      <c r="S7" s="1410"/>
      <c r="T7" s="1411"/>
      <c r="U7" s="786" t="s">
        <v>324</v>
      </c>
      <c r="V7" s="1409"/>
      <c r="W7" s="787"/>
      <c r="Y7" s="790" t="s">
        <v>91</v>
      </c>
      <c r="Z7" s="791"/>
      <c r="AA7" s="791"/>
      <c r="AB7" s="791"/>
      <c r="AC7" s="791"/>
      <c r="AD7" s="791"/>
      <c r="AE7" s="791"/>
      <c r="AF7" s="792"/>
    </row>
    <row r="8" spans="2:35" s="270" customFormat="1" ht="14.85" customHeight="1">
      <c r="B8" s="793" t="s">
        <v>711</v>
      </c>
      <c r="C8" s="794" t="s">
        <v>146</v>
      </c>
      <c r="D8" s="271"/>
      <c r="E8" s="795" t="s">
        <v>345</v>
      </c>
      <c r="F8" s="796" t="s">
        <v>321</v>
      </c>
      <c r="G8" s="801" t="s">
        <v>322</v>
      </c>
      <c r="H8" s="798"/>
      <c r="I8" s="799">
        <f>J8-1</f>
        <v>2017</v>
      </c>
      <c r="J8" s="802">
        <f>K8-1</f>
        <v>2018</v>
      </c>
      <c r="K8" s="799">
        <f>YEAR($AI$2)</f>
        <v>2019</v>
      </c>
      <c r="L8" s="1412">
        <f>K8+1</f>
        <v>2020</v>
      </c>
      <c r="M8" s="802">
        <f>L8+1</f>
        <v>2021</v>
      </c>
      <c r="N8" s="271"/>
      <c r="O8" s="798" t="str">
        <f>E8</f>
        <v>LTM-2</v>
      </c>
      <c r="P8" s="798" t="str">
        <f>F8</f>
        <v>LTM-1</v>
      </c>
      <c r="Q8" s="801" t="str">
        <f>G8</f>
        <v>LTM</v>
      </c>
      <c r="R8" s="798"/>
      <c r="S8" s="795">
        <f>I8</f>
        <v>2017</v>
      </c>
      <c r="T8" s="796">
        <f>J8</f>
        <v>2018</v>
      </c>
      <c r="U8" s="799">
        <f>K8</f>
        <v>2019</v>
      </c>
      <c r="V8" s="1412">
        <f>L8</f>
        <v>2020</v>
      </c>
      <c r="W8" s="802">
        <f>M8</f>
        <v>2021</v>
      </c>
      <c r="Y8" s="803" t="s">
        <v>94</v>
      </c>
      <c r="Z8" s="804" t="s">
        <v>95</v>
      </c>
      <c r="AA8" s="804" t="s">
        <v>96</v>
      </c>
      <c r="AB8" s="804" t="s">
        <v>97</v>
      </c>
      <c r="AC8" s="804" t="s">
        <v>98</v>
      </c>
      <c r="AD8" s="804" t="s">
        <v>99</v>
      </c>
      <c r="AE8" s="804" t="s">
        <v>100</v>
      </c>
      <c r="AF8" s="805" t="s">
        <v>101</v>
      </c>
      <c r="AH8" s="450" t="s">
        <v>108</v>
      </c>
    </row>
    <row r="9" spans="2:35" ht="14.85" customHeight="1"/>
    <row r="10" spans="2:35" ht="14.85" customHeight="1">
      <c r="B10" s="407" t="s">
        <v>459</v>
      </c>
      <c r="C10" s="309"/>
      <c r="D10" s="255"/>
      <c r="E10" s="309"/>
      <c r="F10" s="309"/>
      <c r="G10" s="309"/>
      <c r="H10" s="309"/>
      <c r="I10" s="309"/>
      <c r="J10" s="309"/>
      <c r="K10" s="309"/>
      <c r="L10" s="309"/>
      <c r="M10" s="309"/>
      <c r="O10" s="255"/>
      <c r="P10" s="255"/>
      <c r="Q10" s="255"/>
      <c r="R10" s="255"/>
      <c r="S10" s="255"/>
      <c r="T10" s="255"/>
      <c r="U10" s="255"/>
      <c r="V10" s="255"/>
      <c r="W10" s="255"/>
      <c r="AH10" s="811"/>
    </row>
    <row r="11" spans="2:35" s="435" customFormat="1" ht="14.85" customHeight="1">
      <c r="B11" s="434"/>
      <c r="C11" s="812"/>
      <c r="D11" s="434"/>
      <c r="E11" s="812"/>
      <c r="F11" s="812"/>
      <c r="G11" s="812"/>
      <c r="H11" s="812"/>
      <c r="I11" s="812"/>
      <c r="J11" s="812"/>
      <c r="K11" s="812"/>
      <c r="L11" s="812"/>
      <c r="M11" s="812"/>
      <c r="O11" s="434"/>
      <c r="P11" s="434"/>
      <c r="Q11" s="434"/>
      <c r="R11" s="434"/>
      <c r="S11" s="434"/>
      <c r="T11" s="434"/>
      <c r="U11" s="434"/>
      <c r="V11" s="434"/>
      <c r="W11" s="434"/>
      <c r="Y11" s="234"/>
      <c r="Z11" s="234"/>
      <c r="AA11" s="234"/>
      <c r="AB11" s="234"/>
      <c r="AC11" s="234"/>
      <c r="AD11" s="234"/>
      <c r="AE11" s="234"/>
      <c r="AF11" s="234"/>
    </row>
    <row r="12" spans="2:35" ht="14.85" customHeight="1">
      <c r="B12" s="234" t="str">
        <f>'Comp.1'!B11</f>
        <v>Alnylam Pharmaceuticals, Inc.</v>
      </c>
      <c r="C12" s="465">
        <f>'Comp.1'!C11</f>
        <v>7662.1313999999993</v>
      </c>
      <c r="E12" s="465">
        <f>'Capital IQ Sheet-GPC'!X13</f>
        <v>-384.48500000000001</v>
      </c>
      <c r="F12" s="465">
        <f>'Capital IQ Sheet-GPC'!Y13</f>
        <v>-455.54700000000003</v>
      </c>
      <c r="G12" s="465">
        <f>'Capital IQ Sheet-GPC'!Z13</f>
        <v>-729.24300000000005</v>
      </c>
      <c r="H12" s="259"/>
      <c r="I12" s="465">
        <f>'Capital IQ Sheet-GPC'!AA13</f>
        <v>-486.721</v>
      </c>
      <c r="J12" s="465">
        <f>'Capital IQ Sheet-GPC'!AB13</f>
        <v>-736.43182999999999</v>
      </c>
      <c r="K12" s="465">
        <f>'Capital IQ Sheet-GPC'!AC13</f>
        <v>-713.37514999999996</v>
      </c>
      <c r="L12" s="465">
        <f>'Capital IQ Sheet-GPC'!AD13</f>
        <v>-495.17669000000001</v>
      </c>
      <c r="M12" s="465" t="str">
        <f>'Capital IQ Sheet-GPC'!AE13</f>
        <v>n/a</v>
      </c>
      <c r="O12" s="813">
        <f>IF(ISERROR($C12/E12), "n/a", $C12/E12)</f>
        <v>-19.928297332795815</v>
      </c>
      <c r="P12" s="813">
        <f>IF(ISERROR($C12/F12), "n/a", $C12/F12)</f>
        <v>-16.819628710100162</v>
      </c>
      <c r="Q12" s="813" t="str">
        <f>IFERROR(IF(($C12/G12)&gt;$Z$6, "NM", IF(($C12/G12)&lt;$AB$6, "NM", $C12/G12)),"n/a")</f>
        <v>NM</v>
      </c>
      <c r="S12" s="813">
        <f>IF(ISERROR($C12/I12), "n/a", $C12/I12)</f>
        <v>-15.742348080317059</v>
      </c>
      <c r="T12" s="813">
        <f>IF(ISERROR($C12/J12), "n/a", $C12/J12)</f>
        <v>-10.404400092266517</v>
      </c>
      <c r="U12" s="813" t="str">
        <f>IFERROR(IF(($C12/K12)&gt;$Z$6, "NM", IF(($C12/K12)&lt;$AB$6, "NM", $C12/K12)),"n/a")</f>
        <v>NM</v>
      </c>
      <c r="V12" s="813" t="str">
        <f>IFERROR(IF(($C12/L12)&gt;$Z$6, "NM", IF(($C12/L12)&lt;$AB$6, "NM", $C12/L12)),"n/a")</f>
        <v>NM</v>
      </c>
      <c r="W12" s="813" t="str">
        <f>IFERROR(IF(($C12/M12)&gt;$Z$6, "NM", IF(($C12/M12)&lt;$AB$6, "NM", $C12/M12)),"n/a")</f>
        <v>n/a</v>
      </c>
      <c r="Y12" s="259">
        <f>'Comp.1'!AB11</f>
        <v>8868.9653999999991</v>
      </c>
      <c r="Z12" s="259">
        <f>'Comp.1'!AC11</f>
        <v>30</v>
      </c>
      <c r="AA12" s="259" t="str">
        <f>'Comp.1'!AD11</f>
        <v>n/a</v>
      </c>
      <c r="AB12" s="259" t="str">
        <f>'Comp.1'!AE11</f>
        <v>n/a</v>
      </c>
      <c r="AC12" s="259">
        <f>SUM(Z12:AB12)</f>
        <v>30</v>
      </c>
      <c r="AD12" s="259">
        <f>SUM(Y12:AB12)</f>
        <v>8898.9653999999991</v>
      </c>
      <c r="AE12" s="259">
        <f>'Comp.1'!AH11</f>
        <v>1236.8340000000001</v>
      </c>
      <c r="AF12" s="465">
        <f>IF(ISERROR(AD12-AE12), "n/a", AD12-AE12)</f>
        <v>7662.1313999999993</v>
      </c>
      <c r="AH12" s="815" t="str">
        <f>IF('MASTER PubCo Inputs'!C28="","",'MASTER PubCo Inputs'!C28)</f>
        <v>IQ2796659</v>
      </c>
      <c r="AI12" s="234" t="str">
        <f>'Comp.1'!AL11</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3" spans="2:35" ht="14.85" customHeight="1">
      <c r="B13" s="234" t="str">
        <f>'Comp.1'!B12</f>
        <v>bluebird bio, Inc.</v>
      </c>
      <c r="C13" s="465">
        <f>'Comp.1'!C12</f>
        <v>5757.6142599999994</v>
      </c>
      <c r="E13" s="465">
        <f>'Capital IQ Sheet-GPC'!X14</f>
        <v>-203.64</v>
      </c>
      <c r="F13" s="465">
        <f>'Capital IQ Sheet-GPC'!Y14</f>
        <v>-293.33199999999999</v>
      </c>
      <c r="G13" s="465">
        <f>'Capital IQ Sheet-GPC'!Z14</f>
        <v>-519.26900000000001</v>
      </c>
      <c r="H13" s="259"/>
      <c r="I13" s="465">
        <f>'Capital IQ Sheet-GPC'!AA14</f>
        <v>-322.952</v>
      </c>
      <c r="J13" s="465">
        <f>'Capital IQ Sheet-GPC'!AB14</f>
        <v>-558.64622999999995</v>
      </c>
      <c r="K13" s="465">
        <f>'Capital IQ Sheet-GPC'!AC14</f>
        <v>-630.11746000000005</v>
      </c>
      <c r="L13" s="465">
        <f>'Capital IQ Sheet-GPC'!AD14</f>
        <v>-557.94974999999999</v>
      </c>
      <c r="M13" s="465">
        <f>'Capital IQ Sheet-GPC'!AE14</f>
        <v>-301.91000000000003</v>
      </c>
      <c r="O13" s="813">
        <f t="shared" ref="O13:O41" si="1">IF(ISERROR($C13/E13), "n/a", $C13/E13)</f>
        <v>-28.273493714397954</v>
      </c>
      <c r="P13" s="813">
        <f t="shared" ref="P13:P41" si="2">IF(ISERROR($C13/F13), "n/a", $C13/F13)</f>
        <v>-19.628319651452959</v>
      </c>
      <c r="Q13" s="813" t="str">
        <f t="shared" ref="Q13:Q41" si="3">IFERROR(IF(($C13/G13)&gt;$Z$6, "NM", IF(($C13/G13)&lt;$AB$6, "NM", $C13/G13)),"n/a")</f>
        <v>NM</v>
      </c>
      <c r="S13" s="813">
        <f t="shared" ref="S13:S41" si="4">IF(ISERROR($C13/I13), "n/a", $C13/I13)</f>
        <v>-17.828080519705711</v>
      </c>
      <c r="T13" s="813">
        <f t="shared" ref="T13:T41" si="5">IF(ISERROR($C13/J13), "n/a", $C13/J13)</f>
        <v>-10.306369130961468</v>
      </c>
      <c r="U13" s="813" t="str">
        <f t="shared" ref="U13:U41" si="6">IFERROR(IF(($C13/K13)&gt;$Z$6, "NM", IF(($C13/K13)&lt;$AB$6, "NM", $C13/K13)),"n/a")</f>
        <v>NM</v>
      </c>
      <c r="V13" s="813" t="str">
        <f t="shared" ref="V13:V41" si="7">IFERROR(IF(($C13/L13)&gt;$Z$6, "NM", IF(($C13/L13)&lt;$AB$6, "NM", $C13/L13)),"n/a")</f>
        <v>NM</v>
      </c>
      <c r="W13" s="813" t="str">
        <f t="shared" ref="W13:W41" si="8">IFERROR(IF(($C13/M13)&gt;$Z$6, "NM", IF(($C13/M13)&lt;$AB$6, "NM", $C13/M13)),"n/a")</f>
        <v>NM</v>
      </c>
      <c r="Y13" s="259">
        <f>'Comp.1'!AB12</f>
        <v>7297.8752599999998</v>
      </c>
      <c r="Z13" s="259">
        <f>'Comp.1'!AC12</f>
        <v>155.03399999999999</v>
      </c>
      <c r="AA13" s="259" t="str">
        <f>'Comp.1'!AD12</f>
        <v>n/a</v>
      </c>
      <c r="AB13" s="259" t="str">
        <f>'Comp.1'!AE12</f>
        <v>n/a</v>
      </c>
      <c r="AC13" s="259">
        <f t="shared" ref="AC13:AC41" si="9">SUM(Z13:AB13)</f>
        <v>155.03399999999999</v>
      </c>
      <c r="AD13" s="259">
        <f t="shared" ref="AD13:AD41" si="10">SUM(Y13:AB13)</f>
        <v>7452.9092599999994</v>
      </c>
      <c r="AE13" s="259">
        <f>'Comp.1'!AH12</f>
        <v>1695.2950000000001</v>
      </c>
      <c r="AF13" s="465">
        <f t="shared" ref="AF13:AF41" si="11">IF(ISERROR(AD13-AE13), "n/a", AD13-AE13)</f>
        <v>5757.6142599999994</v>
      </c>
      <c r="AH13" s="815" t="str">
        <f>IF('MASTER PubCo Inputs'!C29="","",'MASTER PubCo Inputs'!C29)</f>
        <v>IQ28921</v>
      </c>
      <c r="AI13" s="234" t="str">
        <f>'Comp.1'!AL12</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4" spans="2:35" ht="14.85" customHeight="1">
      <c r="B14" s="234" t="str">
        <f>'Comp.1'!B13</f>
        <v>Ironwood Pharmaceuticals, Inc.</v>
      </c>
      <c r="C14" s="465">
        <f>'Comp.1'!C13</f>
        <v>2352.3571099999999</v>
      </c>
      <c r="E14" s="465">
        <f>'Capital IQ Sheet-GPC'!X15</f>
        <v>-28.135000000000002</v>
      </c>
      <c r="F14" s="465">
        <f>'Capital IQ Sheet-GPC'!Y15</f>
        <v>-86.962999999999994</v>
      </c>
      <c r="G14" s="465">
        <f>'Capital IQ Sheet-GPC'!Z15</f>
        <v>-107.271</v>
      </c>
      <c r="H14" s="259"/>
      <c r="I14" s="465">
        <f>'Capital IQ Sheet-GPC'!AA15</f>
        <v>-94.078000000000003</v>
      </c>
      <c r="J14" s="465">
        <f>'Capital IQ Sheet-GPC'!AB15</f>
        <v>-114.72091</v>
      </c>
      <c r="K14" s="465">
        <f>'Capital IQ Sheet-GPC'!AC15</f>
        <v>39.312150000000003</v>
      </c>
      <c r="L14" s="465">
        <f>'Capital IQ Sheet-GPC'!AD15</f>
        <v>98.443920000000006</v>
      </c>
      <c r="M14" s="465">
        <f>'Capital IQ Sheet-GPC'!AE15</f>
        <v>79.837000000000003</v>
      </c>
      <c r="O14" s="813">
        <f t="shared" si="1"/>
        <v>-83.609636040518922</v>
      </c>
      <c r="P14" s="813">
        <f t="shared" si="2"/>
        <v>-27.05009153318078</v>
      </c>
      <c r="Q14" s="813" t="str">
        <f t="shared" si="3"/>
        <v>NM</v>
      </c>
      <c r="S14" s="813">
        <f t="shared" si="4"/>
        <v>-25.0043273666532</v>
      </c>
      <c r="T14" s="813">
        <f t="shared" si="5"/>
        <v>-20.505042280435188</v>
      </c>
      <c r="U14" s="813" t="str">
        <f t="shared" si="6"/>
        <v>NM</v>
      </c>
      <c r="V14" s="813">
        <f t="shared" si="7"/>
        <v>23.895402682054918</v>
      </c>
      <c r="W14" s="813">
        <f t="shared" si="8"/>
        <v>29.464497789245584</v>
      </c>
      <c r="Y14" s="259">
        <f>'Comp.1'!AB13</f>
        <v>2104.44911</v>
      </c>
      <c r="Z14" s="259">
        <f>'Comp.1'!AC13</f>
        <v>409.30599999999998</v>
      </c>
      <c r="AA14" s="259" t="str">
        <f>'Comp.1'!AD13</f>
        <v>n/a</v>
      </c>
      <c r="AB14" s="259" t="str">
        <f>'Comp.1'!AE13</f>
        <v>n/a</v>
      </c>
      <c r="AC14" s="259">
        <f t="shared" si="9"/>
        <v>409.30599999999998</v>
      </c>
      <c r="AD14" s="259">
        <f t="shared" si="10"/>
        <v>2513.7551100000001</v>
      </c>
      <c r="AE14" s="259">
        <f>'Comp.1'!AH13</f>
        <v>161.398</v>
      </c>
      <c r="AF14" s="465">
        <f t="shared" si="11"/>
        <v>2352.3571099999999</v>
      </c>
      <c r="AH14" s="815" t="str">
        <f>IF('MASTER PubCo Inputs'!C30="","",'MASTER PubCo Inputs'!C30)</f>
        <v>IQ31498</v>
      </c>
      <c r="AI14" s="234" t="str">
        <f>'Comp.1'!AL13</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5" spans="2:35" ht="14.85" customHeight="1">
      <c r="B15" s="234" t="str">
        <f>'Comp.1'!B14</f>
        <v>Global Blood Therapeutics, Inc.</v>
      </c>
      <c r="C15" s="465">
        <f>'Comp.1'!C14</f>
        <v>2277.1892400000002</v>
      </c>
      <c r="E15" s="465">
        <f>'Capital IQ Sheet-GPC'!X16</f>
        <v>-70.158000000000001</v>
      </c>
      <c r="F15" s="465">
        <f>'Capital IQ Sheet-GPC'!Y16</f>
        <v>-101.962</v>
      </c>
      <c r="G15" s="465">
        <f>'Capital IQ Sheet-GPC'!Z16</f>
        <v>-169.51400000000001</v>
      </c>
      <c r="H15" s="259"/>
      <c r="I15" s="465">
        <f>'Capital IQ Sheet-GPC'!AA16</f>
        <v>-117.687</v>
      </c>
      <c r="J15" s="465">
        <f>'Capital IQ Sheet-GPC'!AB16</f>
        <v>-174.34154000000001</v>
      </c>
      <c r="K15" s="465">
        <f>'Capital IQ Sheet-GPC'!AC16</f>
        <v>-222.47474</v>
      </c>
      <c r="L15" s="465">
        <f>'Capital IQ Sheet-GPC'!AD16</f>
        <v>-154.71686</v>
      </c>
      <c r="M15" s="465">
        <f>'Capital IQ Sheet-GPC'!AE16</f>
        <v>70.947999999999993</v>
      </c>
      <c r="O15" s="813">
        <f t="shared" si="1"/>
        <v>-32.458012486102795</v>
      </c>
      <c r="P15" s="813">
        <f t="shared" si="2"/>
        <v>-22.333705105823739</v>
      </c>
      <c r="Q15" s="813" t="str">
        <f t="shared" si="3"/>
        <v>NM</v>
      </c>
      <c r="S15" s="813">
        <f t="shared" si="4"/>
        <v>-19.349539371383418</v>
      </c>
      <c r="T15" s="813">
        <f t="shared" si="5"/>
        <v>-13.061656103301599</v>
      </c>
      <c r="U15" s="813" t="str">
        <f t="shared" si="6"/>
        <v>NM</v>
      </c>
      <c r="V15" s="813" t="str">
        <f t="shared" si="7"/>
        <v>NM</v>
      </c>
      <c r="W15" s="813">
        <f t="shared" si="8"/>
        <v>32.096595252861256</v>
      </c>
      <c r="Y15" s="259">
        <f>'Comp.1'!AB14</f>
        <v>2660.4172400000002</v>
      </c>
      <c r="Z15" s="259">
        <f>'Comp.1'!AC14</f>
        <v>0</v>
      </c>
      <c r="AA15" s="259" t="str">
        <f>'Comp.1'!AD14</f>
        <v>n/a</v>
      </c>
      <c r="AB15" s="259" t="str">
        <f>'Comp.1'!AE14</f>
        <v>n/a</v>
      </c>
      <c r="AC15" s="259">
        <f t="shared" si="9"/>
        <v>0</v>
      </c>
      <c r="AD15" s="259">
        <f t="shared" si="10"/>
        <v>2660.4172400000002</v>
      </c>
      <c r="AE15" s="259">
        <f>'Comp.1'!AH14</f>
        <v>383.22800000000001</v>
      </c>
      <c r="AF15" s="465">
        <f t="shared" si="11"/>
        <v>2277.1892400000002</v>
      </c>
      <c r="AH15" s="815" t="str">
        <f>IF('MASTER PubCo Inputs'!C31="","",'MASTER PubCo Inputs'!C31)</f>
        <v>IQ208736100</v>
      </c>
      <c r="AI15" s="234" t="str">
        <f>'Comp.1'!AL14</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6" spans="2:35" ht="14.85" customHeight="1">
      <c r="B16" s="234" t="str">
        <f>'Comp.1'!B15</f>
        <v>Acceleron Pharma Inc.</v>
      </c>
      <c r="C16" s="465">
        <f>'Comp.1'!C15</f>
        <v>1877.0851599999999</v>
      </c>
      <c r="E16" s="465">
        <f>'Capital IQ Sheet-GPC'!X17</f>
        <v>-60.771999999999998</v>
      </c>
      <c r="F16" s="465">
        <f>'Capital IQ Sheet-GPC'!Y17</f>
        <v>-100.792</v>
      </c>
      <c r="G16" s="465">
        <f>'Capital IQ Sheet-GPC'!Z17</f>
        <v>-112.575</v>
      </c>
      <c r="H16" s="259"/>
      <c r="I16" s="465">
        <f>'Capital IQ Sheet-GPC'!AA17</f>
        <v>-107.158</v>
      </c>
      <c r="J16" s="465">
        <f>'Capital IQ Sheet-GPC'!AB17</f>
        <v>-118.84413000000001</v>
      </c>
      <c r="K16" s="465">
        <f>'Capital IQ Sheet-GPC'!AC17</f>
        <v>-108.64972</v>
      </c>
      <c r="L16" s="465">
        <f>'Capital IQ Sheet-GPC'!AD17</f>
        <v>-67.478660000000005</v>
      </c>
      <c r="M16" s="465" t="str">
        <f>'Capital IQ Sheet-GPC'!AE17</f>
        <v>n/a</v>
      </c>
      <c r="O16" s="813">
        <f t="shared" si="1"/>
        <v>-30.887335615085892</v>
      </c>
      <c r="P16" s="813">
        <f t="shared" si="2"/>
        <v>-18.623354631319945</v>
      </c>
      <c r="Q16" s="813" t="str">
        <f t="shared" si="3"/>
        <v>NM</v>
      </c>
      <c r="S16" s="813">
        <f t="shared" si="4"/>
        <v>-17.51698575934601</v>
      </c>
      <c r="T16" s="813">
        <f t="shared" si="5"/>
        <v>-15.794513031480813</v>
      </c>
      <c r="U16" s="813" t="str">
        <f t="shared" si="6"/>
        <v>NM</v>
      </c>
      <c r="V16" s="813" t="str">
        <f t="shared" si="7"/>
        <v>NM</v>
      </c>
      <c r="W16" s="813" t="str">
        <f t="shared" si="8"/>
        <v>n/a</v>
      </c>
      <c r="Y16" s="259">
        <f>'Comp.1'!AB15</f>
        <v>2185.0571599999998</v>
      </c>
      <c r="Z16" s="259">
        <f>'Comp.1'!AC15</f>
        <v>0</v>
      </c>
      <c r="AA16" s="259" t="str">
        <f>'Comp.1'!AD15</f>
        <v>n/a</v>
      </c>
      <c r="AB16" s="259" t="str">
        <f>'Comp.1'!AE15</f>
        <v>n/a</v>
      </c>
      <c r="AC16" s="259">
        <f t="shared" si="9"/>
        <v>0</v>
      </c>
      <c r="AD16" s="259">
        <f t="shared" si="10"/>
        <v>2185.0571599999998</v>
      </c>
      <c r="AE16" s="259">
        <f>'Comp.1'!AH15</f>
        <v>307.97199999999998</v>
      </c>
      <c r="AF16" s="465">
        <f t="shared" si="11"/>
        <v>1877.0851599999999</v>
      </c>
      <c r="AH16" s="815" t="str">
        <f>IF('MASTER PubCo Inputs'!C32="","",'MASTER PubCo Inputs'!C32)</f>
        <v>IQ9004482</v>
      </c>
      <c r="AI16" s="234" t="str">
        <f>'Comp.1'!AL15</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7" spans="2:35" ht="14.85" customHeight="1">
      <c r="B17" s="234" t="str">
        <f>'Comp.1'!B16</f>
        <v>Spark Therapeutics, Inc.</v>
      </c>
      <c r="C17" s="465">
        <f>'Comp.1'!C16</f>
        <v>1299.4821400000001</v>
      </c>
      <c r="E17" s="465">
        <f>'Capital IQ Sheet-GPC'!X18</f>
        <v>-91.106719999999996</v>
      </c>
      <c r="F17" s="465">
        <f>'Capital IQ Sheet-GPC'!Y18</f>
        <v>-196.27388999999999</v>
      </c>
      <c r="G17" s="465">
        <f>'Capital IQ Sheet-GPC'!Z18</f>
        <v>-188.48722000000001</v>
      </c>
      <c r="H17" s="259"/>
      <c r="I17" s="465">
        <f>'Capital IQ Sheet-GPC'!AA18</f>
        <v>-229.35722000000001</v>
      </c>
      <c r="J17" s="465">
        <f>'Capital IQ Sheet-GPC'!AB18</f>
        <v>-188.35505000000001</v>
      </c>
      <c r="K17" s="465">
        <f>'Capital IQ Sheet-GPC'!AC18</f>
        <v>-201.4564</v>
      </c>
      <c r="L17" s="465">
        <f>'Capital IQ Sheet-GPC'!AD18</f>
        <v>-199.11368999999999</v>
      </c>
      <c r="M17" s="465" t="str">
        <f>'Capital IQ Sheet-GPC'!AE18</f>
        <v>n/a</v>
      </c>
      <c r="O17" s="813">
        <f t="shared" si="1"/>
        <v>-14.263296274961936</v>
      </c>
      <c r="P17" s="813">
        <f t="shared" si="2"/>
        <v>-6.6207590831363259</v>
      </c>
      <c r="Q17" s="813" t="str">
        <f t="shared" si="3"/>
        <v>NM</v>
      </c>
      <c r="S17" s="813">
        <f t="shared" si="4"/>
        <v>-5.6657564126387649</v>
      </c>
      <c r="T17" s="813">
        <f t="shared" si="5"/>
        <v>-6.89910963364136</v>
      </c>
      <c r="U17" s="813" t="str">
        <f t="shared" si="6"/>
        <v>NM</v>
      </c>
      <c r="V17" s="813" t="str">
        <f t="shared" si="7"/>
        <v>NM</v>
      </c>
      <c r="W17" s="813" t="str">
        <f t="shared" si="8"/>
        <v>n/a</v>
      </c>
      <c r="Y17" s="259">
        <f>'Comp.1'!AB16</f>
        <v>1805.0671400000001</v>
      </c>
      <c r="Z17" s="259">
        <f>'Comp.1'!AC16</f>
        <v>84.891000000000005</v>
      </c>
      <c r="AA17" s="259" t="str">
        <f>'Comp.1'!AD16</f>
        <v>n/a</v>
      </c>
      <c r="AB17" s="259" t="str">
        <f>'Comp.1'!AE16</f>
        <v>n/a</v>
      </c>
      <c r="AC17" s="259">
        <f t="shared" si="9"/>
        <v>84.891000000000005</v>
      </c>
      <c r="AD17" s="259">
        <f t="shared" si="10"/>
        <v>1889.9581400000002</v>
      </c>
      <c r="AE17" s="259">
        <f>'Comp.1'!AH16</f>
        <v>590.476</v>
      </c>
      <c r="AF17" s="465">
        <f t="shared" si="11"/>
        <v>1299.4821400000001</v>
      </c>
      <c r="AH17" s="815" t="str">
        <f>IF('MASTER PubCo Inputs'!C33="","",'MASTER PubCo Inputs'!C33)</f>
        <v>IQ249341857</v>
      </c>
      <c r="AI17" s="234" t="str">
        <f>'Comp.1'!AL16</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8" spans="2:35" ht="14.85" customHeight="1">
      <c r="B18" s="234" t="str">
        <f>'Comp.1'!B17</f>
        <v>REGENXBIO Inc.</v>
      </c>
      <c r="C18" s="465">
        <f>'Comp.1'!C17</f>
        <v>1202.95318</v>
      </c>
      <c r="E18" s="465">
        <f>'Capital IQ Sheet-GPC'!X19</f>
        <v>-50.069000000000003</v>
      </c>
      <c r="F18" s="465">
        <f>'Capital IQ Sheet-GPC'!Y19</f>
        <v>-77.513000000000005</v>
      </c>
      <c r="G18" s="465">
        <f>'Capital IQ Sheet-GPC'!Z19</f>
        <v>72.445999999999998</v>
      </c>
      <c r="H18" s="259"/>
      <c r="I18" s="465">
        <f>'Capital IQ Sheet-GPC'!AA19</f>
        <v>-73.198999999999998</v>
      </c>
      <c r="J18" s="465">
        <f>'Capital IQ Sheet-GPC'!AB19</f>
        <v>95.341030000000003</v>
      </c>
      <c r="K18" s="465">
        <f>'Capital IQ Sheet-GPC'!AC19</f>
        <v>-119.02536000000001</v>
      </c>
      <c r="L18" s="465">
        <f>'Capital IQ Sheet-GPC'!AD19</f>
        <v>-24.128019999999999</v>
      </c>
      <c r="M18" s="465" t="str">
        <f>'Capital IQ Sheet-GPC'!AE19</f>
        <v>n/a</v>
      </c>
      <c r="O18" s="813">
        <f t="shared" si="1"/>
        <v>-24.025907847170902</v>
      </c>
      <c r="P18" s="813">
        <f t="shared" si="2"/>
        <v>-15.519373266419825</v>
      </c>
      <c r="Q18" s="813">
        <f t="shared" si="3"/>
        <v>16.604825387184938</v>
      </c>
      <c r="S18" s="813">
        <f t="shared" si="4"/>
        <v>-16.434011120370496</v>
      </c>
      <c r="T18" s="813">
        <f t="shared" si="5"/>
        <v>12.6173713457889</v>
      </c>
      <c r="U18" s="813" t="str">
        <f t="shared" si="6"/>
        <v>NM</v>
      </c>
      <c r="V18" s="813" t="str">
        <f t="shared" si="7"/>
        <v>NM</v>
      </c>
      <c r="W18" s="813" t="str">
        <f t="shared" si="8"/>
        <v>n/a</v>
      </c>
      <c r="Y18" s="259">
        <f>'Comp.1'!AB17</f>
        <v>1575.5421799999999</v>
      </c>
      <c r="Z18" s="259">
        <f>'Comp.1'!AC17</f>
        <v>0</v>
      </c>
      <c r="AA18" s="259" t="str">
        <f>'Comp.1'!AD17</f>
        <v>n/a</v>
      </c>
      <c r="AB18" s="259" t="str">
        <f>'Comp.1'!AE17</f>
        <v>n/a</v>
      </c>
      <c r="AC18" s="259">
        <f t="shared" si="9"/>
        <v>0</v>
      </c>
      <c r="AD18" s="259">
        <f t="shared" si="10"/>
        <v>1575.5421799999999</v>
      </c>
      <c r="AE18" s="259">
        <f>'Comp.1'!AH17</f>
        <v>372.589</v>
      </c>
      <c r="AF18" s="465">
        <f t="shared" si="11"/>
        <v>1202.95318</v>
      </c>
      <c r="AH18" s="815" t="str">
        <f>IF('MASTER PubCo Inputs'!C34="","",'MASTER PubCo Inputs'!C34)</f>
        <v>IQ130641748</v>
      </c>
      <c r="AI18" s="234" t="str">
        <f>'Comp.1'!AL17</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19" spans="2:35" ht="14.85" customHeight="1">
      <c r="B19" s="234" t="str">
        <f>'Comp.1'!B18</f>
        <v>uniQure N.V.</v>
      </c>
      <c r="C19" s="465">
        <f>'Comp.1'!C18</f>
        <v>1056.8213700000001</v>
      </c>
      <c r="E19" s="465">
        <f>'Capital IQ Sheet-GPC'!X20</f>
        <v>-74.486549999999994</v>
      </c>
      <c r="F19" s="465">
        <f>'Capital IQ Sheet-GPC'!Y20</f>
        <v>-64.204999999999998</v>
      </c>
      <c r="G19" s="465">
        <f>'Capital IQ Sheet-GPC'!Z20</f>
        <v>-77.400999999999996</v>
      </c>
      <c r="H19" s="259"/>
      <c r="I19" s="465">
        <f>'Capital IQ Sheet-GPC'!AA20</f>
        <v>-69.48</v>
      </c>
      <c r="J19" s="465">
        <f>'Capital IQ Sheet-GPC'!AB20</f>
        <v>-87.844470000000001</v>
      </c>
      <c r="K19" s="465">
        <f>'Capital IQ Sheet-GPC'!AC20</f>
        <v>-104.42034</v>
      </c>
      <c r="L19" s="465">
        <f>'Capital IQ Sheet-GPC'!AD20</f>
        <v>-118.36126</v>
      </c>
      <c r="M19" s="465">
        <f>'Capital IQ Sheet-GPC'!AE20</f>
        <v>-132.78692000000001</v>
      </c>
      <c r="O19" s="813">
        <f t="shared" si="1"/>
        <v>-14.188083217708435</v>
      </c>
      <c r="P19" s="813">
        <f t="shared" si="2"/>
        <v>-16.460110116034578</v>
      </c>
      <c r="Q19" s="813" t="str">
        <f t="shared" si="3"/>
        <v>NM</v>
      </c>
      <c r="S19" s="813">
        <f t="shared" si="4"/>
        <v>-15.210439982728843</v>
      </c>
      <c r="T19" s="813">
        <f t="shared" si="5"/>
        <v>-12.030596462133587</v>
      </c>
      <c r="U19" s="813" t="str">
        <f t="shared" si="6"/>
        <v>NM</v>
      </c>
      <c r="V19" s="813" t="str">
        <f t="shared" si="7"/>
        <v>NM</v>
      </c>
      <c r="W19" s="813" t="str">
        <f t="shared" si="8"/>
        <v>NM</v>
      </c>
      <c r="Y19" s="259">
        <f>'Comp.1'!AB18</f>
        <v>1275.6593700000001</v>
      </c>
      <c r="Z19" s="259">
        <f>'Comp.1'!AC18</f>
        <v>20.707999999999998</v>
      </c>
      <c r="AA19" s="259" t="str">
        <f>'Comp.1'!AD18</f>
        <v>n/a</v>
      </c>
      <c r="AB19" s="259" t="str">
        <f>'Comp.1'!AE18</f>
        <v>n/a</v>
      </c>
      <c r="AC19" s="259">
        <f t="shared" si="9"/>
        <v>20.707999999999998</v>
      </c>
      <c r="AD19" s="259">
        <f t="shared" si="10"/>
        <v>1296.3673700000002</v>
      </c>
      <c r="AE19" s="259">
        <f>'Comp.1'!AH18</f>
        <v>239.54599999999999</v>
      </c>
      <c r="AF19" s="465">
        <f t="shared" si="11"/>
        <v>1056.8213700000001</v>
      </c>
      <c r="AH19" s="815" t="str">
        <f>IF('MASTER PubCo Inputs'!C35="","",'MASTER PubCo Inputs'!C35)</f>
        <v>IQ171029664</v>
      </c>
      <c r="AI19" s="234" t="str">
        <f>'Comp.1'!AL18</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20" spans="2:35" ht="14.85" customHeight="1">
      <c r="B20" s="234" t="str">
        <f>'Comp.1'!B19</f>
        <v>Audentes Therapeutics, Inc.</v>
      </c>
      <c r="C20" s="465">
        <f>'Comp.1'!C19</f>
        <v>778.02337000000011</v>
      </c>
      <c r="E20" s="465">
        <f>'Capital IQ Sheet-GPC'!X21</f>
        <v>-48.180999999999997</v>
      </c>
      <c r="F20" s="465">
        <f>'Capital IQ Sheet-GPC'!Y21</f>
        <v>-83.049000000000007</v>
      </c>
      <c r="G20" s="465">
        <f>'Capital IQ Sheet-GPC'!Z21</f>
        <v>-120.90900000000001</v>
      </c>
      <c r="H20" s="259"/>
      <c r="I20" s="465">
        <f>'Capital IQ Sheet-GPC'!AA21</f>
        <v>-89.481999999999999</v>
      </c>
      <c r="J20" s="465">
        <f>'Capital IQ Sheet-GPC'!AB21</f>
        <v>-130.90141</v>
      </c>
      <c r="K20" s="465">
        <f>'Capital IQ Sheet-GPC'!AC21</f>
        <v>-163.42577</v>
      </c>
      <c r="L20" s="465">
        <f>'Capital IQ Sheet-GPC'!AD21</f>
        <v>-187.82802000000001</v>
      </c>
      <c r="M20" s="465">
        <f>'Capital IQ Sheet-GPC'!AE21</f>
        <v>-137.482</v>
      </c>
      <c r="O20" s="813">
        <f t="shared" si="1"/>
        <v>-16.147929059172707</v>
      </c>
      <c r="P20" s="813">
        <f t="shared" si="2"/>
        <v>-9.368244891570038</v>
      </c>
      <c r="Q20" s="813" t="str">
        <f t="shared" si="3"/>
        <v>NM</v>
      </c>
      <c r="S20" s="813">
        <f t="shared" si="4"/>
        <v>-8.6947472117297355</v>
      </c>
      <c r="T20" s="813">
        <f t="shared" si="5"/>
        <v>-5.9435828078551642</v>
      </c>
      <c r="U20" s="813" t="str">
        <f t="shared" si="6"/>
        <v>NM</v>
      </c>
      <c r="V20" s="813" t="str">
        <f t="shared" si="7"/>
        <v>NM</v>
      </c>
      <c r="W20" s="813" t="str">
        <f t="shared" si="8"/>
        <v>NM</v>
      </c>
      <c r="Y20" s="259">
        <f>'Comp.1'!AB19</f>
        <v>1058.70937</v>
      </c>
      <c r="Z20" s="259">
        <f>'Comp.1'!AC19</f>
        <v>0</v>
      </c>
      <c r="AA20" s="259" t="str">
        <f>'Comp.1'!AD19</f>
        <v>n/a</v>
      </c>
      <c r="AB20" s="259" t="str">
        <f>'Comp.1'!AE19</f>
        <v>n/a</v>
      </c>
      <c r="AC20" s="259">
        <f t="shared" si="9"/>
        <v>0</v>
      </c>
      <c r="AD20" s="259">
        <f t="shared" si="10"/>
        <v>1058.70937</v>
      </c>
      <c r="AE20" s="259">
        <f>'Comp.1'!AH19</f>
        <v>280.68599999999998</v>
      </c>
      <c r="AF20" s="465">
        <f t="shared" si="11"/>
        <v>778.02337000000011</v>
      </c>
      <c r="AH20" s="815" t="str">
        <f>IF('MASTER PubCo Inputs'!C36="","",'MASTER PubCo Inputs'!C36)</f>
        <v>IQ243223852</v>
      </c>
      <c r="AI20" s="234" t="str">
        <f>'Comp.1'!AL19</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21" spans="2:35" ht="14.85" customHeight="1">
      <c r="B21" s="234" t="str">
        <f>'Comp.1'!B20</f>
        <v>Sangamo Therapeutics, Inc.</v>
      </c>
      <c r="C21" s="465">
        <f>'Comp.1'!C20</f>
        <v>734.89557000000013</v>
      </c>
      <c r="E21" s="465">
        <f>'Capital IQ Sheet-GPC'!X22</f>
        <v>-73.244</v>
      </c>
      <c r="F21" s="465">
        <f>'Capital IQ Sheet-GPC'!Y22</f>
        <v>-49.143000000000001</v>
      </c>
      <c r="G21" s="465">
        <f>'Capital IQ Sheet-GPC'!Z22</f>
        <v>-68.007999999999996</v>
      </c>
      <c r="H21" s="259"/>
      <c r="I21" s="465">
        <f>'Capital IQ Sheet-GPC'!AA22</f>
        <v>-54.863</v>
      </c>
      <c r="J21" s="465">
        <f>'Capital IQ Sheet-GPC'!AB22</f>
        <v>-71.490049999999997</v>
      </c>
      <c r="K21" s="465">
        <f>'Capital IQ Sheet-GPC'!AC22</f>
        <v>-109.67762</v>
      </c>
      <c r="L21" s="465" t="str">
        <f>'Capital IQ Sheet-GPC'!AD22</f>
        <v>n/a</v>
      </c>
      <c r="M21" s="465" t="str">
        <f>'Capital IQ Sheet-GPC'!AE22</f>
        <v>n/a</v>
      </c>
      <c r="O21" s="813">
        <f t="shared" si="1"/>
        <v>-10.033525886079408</v>
      </c>
      <c r="P21" s="813">
        <f t="shared" si="2"/>
        <v>-14.95422684817777</v>
      </c>
      <c r="Q21" s="813" t="str">
        <f t="shared" si="3"/>
        <v>NM</v>
      </c>
      <c r="S21" s="813">
        <f t="shared" si="4"/>
        <v>-13.395103621748722</v>
      </c>
      <c r="T21" s="813">
        <f t="shared" si="5"/>
        <v>-10.279690250601309</v>
      </c>
      <c r="U21" s="813" t="str">
        <f t="shared" si="6"/>
        <v>NM</v>
      </c>
      <c r="V21" s="813" t="str">
        <f t="shared" si="7"/>
        <v>n/a</v>
      </c>
      <c r="W21" s="813" t="str">
        <f t="shared" si="8"/>
        <v>n/a</v>
      </c>
      <c r="Y21" s="259">
        <f>'Comp.1'!AB20</f>
        <v>1193.4655700000001</v>
      </c>
      <c r="Z21" s="259">
        <f>'Comp.1'!AC20</f>
        <v>0</v>
      </c>
      <c r="AA21" s="259" t="str">
        <f>'Comp.1'!AD20</f>
        <v>n/a</v>
      </c>
      <c r="AB21" s="259" t="str">
        <f>'Comp.1'!AE20</f>
        <v>n/a</v>
      </c>
      <c r="AC21" s="259">
        <f t="shared" si="9"/>
        <v>0</v>
      </c>
      <c r="AD21" s="259">
        <f t="shared" si="10"/>
        <v>1193.4655700000001</v>
      </c>
      <c r="AE21" s="259">
        <f>'Comp.1'!AH20</f>
        <v>458.57</v>
      </c>
      <c r="AF21" s="465">
        <f t="shared" si="11"/>
        <v>734.89557000000013</v>
      </c>
      <c r="AH21" s="815" t="str">
        <f>IF('MASTER PubCo Inputs'!C37="","",'MASTER PubCo Inputs'!C37)</f>
        <v>IQ412674</v>
      </c>
      <c r="AI21" s="234" t="str">
        <f>'Comp.1'!AL20</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2" spans="2:35" ht="14.85" customHeight="1">
      <c r="B22" s="234" t="str">
        <f>'Comp.1'!B21</f>
        <v>Homology Medicines, Inc.</v>
      </c>
      <c r="C22" s="465">
        <f>'Comp.1'!C21</f>
        <v>518.7309600000001</v>
      </c>
      <c r="E22" s="465" t="str">
        <f>'Capital IQ Sheet-GPC'!X23</f>
        <v>n/a</v>
      </c>
      <c r="F22" s="465">
        <f>'Capital IQ Sheet-GPC'!Y23</f>
        <v>-9.7602200000000003</v>
      </c>
      <c r="G22" s="465">
        <f>'Capital IQ Sheet-GPC'!Z23</f>
        <v>-52.512770000000003</v>
      </c>
      <c r="H22" s="259"/>
      <c r="I22" s="465">
        <f>'Capital IQ Sheet-GPC'!AA23</f>
        <v>-28.973279999999999</v>
      </c>
      <c r="J22" s="465">
        <f>'Capital IQ Sheet-GPC'!AB23</f>
        <v>-58.696599999999997</v>
      </c>
      <c r="K22" s="465">
        <f>'Capital IQ Sheet-GPC'!AC23</f>
        <v>-83.923050000000003</v>
      </c>
      <c r="L22" s="465" t="str">
        <f>'Capital IQ Sheet-GPC'!AD23</f>
        <v>n/a</v>
      </c>
      <c r="M22" s="465" t="str">
        <f>'Capital IQ Sheet-GPC'!AE23</f>
        <v>n/a</v>
      </c>
      <c r="O22" s="813" t="str">
        <f t="shared" si="1"/>
        <v>n/a</v>
      </c>
      <c r="P22" s="813">
        <f t="shared" si="2"/>
        <v>-53.147465938267793</v>
      </c>
      <c r="Q22" s="813" t="str">
        <f t="shared" si="3"/>
        <v>NM</v>
      </c>
      <c r="S22" s="813">
        <f t="shared" si="4"/>
        <v>-17.903770646609569</v>
      </c>
      <c r="T22" s="813">
        <f t="shared" si="5"/>
        <v>-8.8374958685852345</v>
      </c>
      <c r="U22" s="813" t="str">
        <f t="shared" si="6"/>
        <v>NM</v>
      </c>
      <c r="V22" s="813" t="str">
        <f t="shared" si="7"/>
        <v>n/a</v>
      </c>
      <c r="W22" s="813" t="str">
        <f t="shared" si="8"/>
        <v>n/a</v>
      </c>
      <c r="Y22" s="259">
        <f>'Comp.1'!AB21</f>
        <v>756.27498000000003</v>
      </c>
      <c r="Z22" s="259">
        <f>'Comp.1'!AC21</f>
        <v>0</v>
      </c>
      <c r="AA22" s="259" t="str">
        <f>'Comp.1'!AD21</f>
        <v>n/a</v>
      </c>
      <c r="AB22" s="259" t="str">
        <f>'Comp.1'!AE21</f>
        <v>n/a</v>
      </c>
      <c r="AC22" s="259">
        <f t="shared" si="9"/>
        <v>0</v>
      </c>
      <c r="AD22" s="259">
        <f t="shared" si="10"/>
        <v>756.27498000000003</v>
      </c>
      <c r="AE22" s="259">
        <f>'Comp.1'!AH21</f>
        <v>237.54401999999999</v>
      </c>
      <c r="AF22" s="465">
        <f t="shared" si="11"/>
        <v>518.7309600000001</v>
      </c>
      <c r="AH22" s="815" t="str">
        <f>IF('MASTER PubCo Inputs'!C38="","",'MASTER PubCo Inputs'!C38)</f>
        <v>IQ321461593</v>
      </c>
      <c r="AI22" s="234" t="str">
        <f>'Comp.1'!AL21</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3" spans="2:35" ht="14.85" customHeight="1">
      <c r="B23" s="234" t="str">
        <f>'Comp.1'!B22</f>
        <v>Corbus Pharmaceuticals Holdings, Inc.</v>
      </c>
      <c r="C23" s="465">
        <f>'Comp.1'!C22</f>
        <v>417.88011999999998</v>
      </c>
      <c r="E23" s="465">
        <f>'Capital IQ Sheet-GPC'!X24</f>
        <v>-14.837999999999999</v>
      </c>
      <c r="F23" s="465">
        <f>'Capital IQ Sheet-GPC'!Y24</f>
        <v>-29.05226</v>
      </c>
      <c r="G23" s="465">
        <f>'Capital IQ Sheet-GPC'!Z24</f>
        <v>-49.615430000000003</v>
      </c>
      <c r="H23" s="259"/>
      <c r="I23" s="465">
        <f>'Capital IQ Sheet-GPC'!AA24</f>
        <v>-32.307160000000003</v>
      </c>
      <c r="J23" s="465">
        <f>'Capital IQ Sheet-GPC'!AB24</f>
        <v>-52.534999999999997</v>
      </c>
      <c r="K23" s="465">
        <f>'Capital IQ Sheet-GPC'!AC24</f>
        <v>-52.48</v>
      </c>
      <c r="L23" s="465">
        <f>'Capital IQ Sheet-GPC'!AD24</f>
        <v>-54.88</v>
      </c>
      <c r="M23" s="465">
        <f>'Capital IQ Sheet-GPC'!AE24</f>
        <v>-67.28</v>
      </c>
      <c r="O23" s="813">
        <f t="shared" si="1"/>
        <v>-28.162833265938804</v>
      </c>
      <c r="P23" s="813">
        <f t="shared" si="2"/>
        <v>-14.383738821007384</v>
      </c>
      <c r="Q23" s="813" t="str">
        <f t="shared" si="3"/>
        <v>NM</v>
      </c>
      <c r="S23" s="813">
        <f t="shared" si="4"/>
        <v>-12.934597779563413</v>
      </c>
      <c r="T23" s="813">
        <f t="shared" si="5"/>
        <v>-7.954318454363758</v>
      </c>
      <c r="U23" s="813" t="str">
        <f t="shared" si="6"/>
        <v>NM</v>
      </c>
      <c r="V23" s="813" t="str">
        <f t="shared" si="7"/>
        <v>NM</v>
      </c>
      <c r="W23" s="813" t="str">
        <f t="shared" si="8"/>
        <v>NM</v>
      </c>
      <c r="Y23" s="259">
        <f>'Comp.1'!AB22</f>
        <v>473.53946999999999</v>
      </c>
      <c r="Z23" s="259">
        <f>'Comp.1'!AC22</f>
        <v>0</v>
      </c>
      <c r="AA23" s="259" t="str">
        <f>'Comp.1'!AD22</f>
        <v>n/a</v>
      </c>
      <c r="AB23" s="259" t="str">
        <f>'Comp.1'!AE22</f>
        <v>n/a</v>
      </c>
      <c r="AC23" s="259">
        <f t="shared" si="9"/>
        <v>0</v>
      </c>
      <c r="AD23" s="259">
        <f t="shared" si="10"/>
        <v>473.53946999999999</v>
      </c>
      <c r="AE23" s="259">
        <f>'Comp.1'!AH22</f>
        <v>55.659350000000003</v>
      </c>
      <c r="AF23" s="465">
        <f t="shared" si="11"/>
        <v>417.88011999999998</v>
      </c>
      <c r="AH23" s="815" t="str">
        <f>IF('MASTER PubCo Inputs'!C39="","",'MASTER PubCo Inputs'!C39)</f>
        <v>IQ254045988</v>
      </c>
      <c r="AI23" s="234" t="str">
        <f>'Comp.1'!AL22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4" spans="2:35" ht="14.85" customHeight="1">
      <c r="B24" s="234" t="str">
        <f>'Comp.1'!B23</f>
        <v>GlycoMimetics, Inc.</v>
      </c>
      <c r="C24" s="465">
        <f>'Comp.1'!C23</f>
        <v>263.30831000000001</v>
      </c>
      <c r="E24" s="465">
        <f>'Capital IQ Sheet-GPC'!X25</f>
        <v>-32.253929999999997</v>
      </c>
      <c r="F24" s="465">
        <f>'Capital IQ Sheet-GPC'!Y25</f>
        <v>-32.509920000000001</v>
      </c>
      <c r="G24" s="465">
        <f>'Capital IQ Sheet-GPC'!Z25</f>
        <v>-45.804470000000002</v>
      </c>
      <c r="H24" s="259"/>
      <c r="I24" s="465">
        <f>'Capital IQ Sheet-GPC'!AA25</f>
        <v>-33.66874</v>
      </c>
      <c r="J24" s="465" t="str">
        <f>'Capital IQ Sheet-GPC'!AB25</f>
        <v>n/a</v>
      </c>
      <c r="K24" s="465" t="str">
        <f>'Capital IQ Sheet-GPC'!AC25</f>
        <v>n/a</v>
      </c>
      <c r="L24" s="465" t="str">
        <f>'Capital IQ Sheet-GPC'!AD25</f>
        <v>n/a</v>
      </c>
      <c r="M24" s="465" t="str">
        <f>'Capital IQ Sheet-GPC'!AE25</f>
        <v>n/a</v>
      </c>
      <c r="O24" s="813">
        <f t="shared" si="1"/>
        <v>-8.1636039391168769</v>
      </c>
      <c r="P24" s="813">
        <f t="shared" si="2"/>
        <v>-8.0993219915644215</v>
      </c>
      <c r="Q24" s="813" t="str">
        <f t="shared" si="3"/>
        <v>NM</v>
      </c>
      <c r="S24" s="813">
        <f t="shared" si="4"/>
        <v>-7.8205572884521368</v>
      </c>
      <c r="T24" s="813" t="str">
        <f t="shared" si="5"/>
        <v>n/a</v>
      </c>
      <c r="U24" s="813" t="str">
        <f t="shared" si="6"/>
        <v>n/a</v>
      </c>
      <c r="V24" s="813" t="str">
        <f t="shared" si="7"/>
        <v>n/a</v>
      </c>
      <c r="W24" s="813" t="str">
        <f t="shared" si="8"/>
        <v>n/a</v>
      </c>
      <c r="Y24" s="259">
        <f>'Comp.1'!AB23</f>
        <v>483.13693999999998</v>
      </c>
      <c r="Z24" s="259">
        <f>'Comp.1'!AC23</f>
        <v>0</v>
      </c>
      <c r="AA24" s="259" t="str">
        <f>'Comp.1'!AD23</f>
        <v>n/a</v>
      </c>
      <c r="AB24" s="259" t="str">
        <f>'Comp.1'!AE23</f>
        <v>n/a</v>
      </c>
      <c r="AC24" s="259">
        <f t="shared" si="9"/>
        <v>0</v>
      </c>
      <c r="AD24" s="259">
        <f t="shared" si="10"/>
        <v>483.13693999999998</v>
      </c>
      <c r="AE24" s="259">
        <f>'Comp.1'!AH23</f>
        <v>219.82863</v>
      </c>
      <c r="AF24" s="465">
        <f t="shared" si="11"/>
        <v>263.30831000000001</v>
      </c>
      <c r="AH24" s="815" t="str">
        <f>IF('MASTER PubCo Inputs'!C40="","",'MASTER PubCo Inputs'!C40)</f>
        <v>IQ5703481</v>
      </c>
      <c r="AI24" s="234" t="str">
        <f>'Comp.1'!AL23</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5" spans="2:35" ht="14.85" customHeight="1">
      <c r="B25" s="234" t="str">
        <f>'Comp.1'!B24</f>
        <v>LogicBio Therapeutics, Inc.</v>
      </c>
      <c r="C25" s="465">
        <f>'Comp.1'!C24</f>
        <v>216.22197999999997</v>
      </c>
      <c r="E25" s="465" t="str">
        <f>'Capital IQ Sheet-GPC'!X26</f>
        <v>n/a</v>
      </c>
      <c r="F25" s="465">
        <f>'Capital IQ Sheet-GPC'!Y26</f>
        <v>-3.387</v>
      </c>
      <c r="G25" s="465">
        <f>'Capital IQ Sheet-GPC'!Z26</f>
        <v>-13.587999999999999</v>
      </c>
      <c r="H25" s="259"/>
      <c r="I25" s="465">
        <f>'Capital IQ Sheet-GPC'!AA26</f>
        <v>-5.8109999999999999</v>
      </c>
      <c r="J25" s="465" t="str">
        <f>'Capital IQ Sheet-GPC'!AB26</f>
        <v>n/a</v>
      </c>
      <c r="K25" s="465" t="str">
        <f>'Capital IQ Sheet-GPC'!AC26</f>
        <v>n/a</v>
      </c>
      <c r="L25" s="465" t="str">
        <f>'Capital IQ Sheet-GPC'!AD26</f>
        <v>n/a</v>
      </c>
      <c r="M25" s="465" t="str">
        <f>'Capital IQ Sheet-GPC'!AE26</f>
        <v>n/a</v>
      </c>
      <c r="O25" s="813" t="str">
        <f t="shared" si="1"/>
        <v>n/a</v>
      </c>
      <c r="P25" s="813">
        <f t="shared" si="2"/>
        <v>-63.838789489223494</v>
      </c>
      <c r="Q25" s="813" t="str">
        <f t="shared" si="3"/>
        <v>NM</v>
      </c>
      <c r="S25" s="813">
        <f t="shared" si="4"/>
        <v>-37.209082774049214</v>
      </c>
      <c r="T25" s="813" t="str">
        <f t="shared" si="5"/>
        <v>n/a</v>
      </c>
      <c r="U25" s="813" t="str">
        <f t="shared" si="6"/>
        <v>n/a</v>
      </c>
      <c r="V25" s="813" t="str">
        <f t="shared" si="7"/>
        <v>n/a</v>
      </c>
      <c r="W25" s="813" t="str">
        <f t="shared" si="8"/>
        <v>n/a</v>
      </c>
      <c r="Y25" s="259">
        <f>'Comp.1'!AB24</f>
        <v>196.03698</v>
      </c>
      <c r="Z25" s="259">
        <f>'Comp.1'!AC24</f>
        <v>0</v>
      </c>
      <c r="AA25" s="259">
        <f>'Comp.1'!AD24</f>
        <v>33.061999999999998</v>
      </c>
      <c r="AB25" s="259" t="str">
        <f>'Comp.1'!AE24</f>
        <v>n/a</v>
      </c>
      <c r="AC25" s="259">
        <f t="shared" si="9"/>
        <v>33.061999999999998</v>
      </c>
      <c r="AD25" s="259">
        <f t="shared" si="10"/>
        <v>229.09897999999998</v>
      </c>
      <c r="AE25" s="259">
        <f>'Comp.1'!AH24</f>
        <v>12.877000000000001</v>
      </c>
      <c r="AF25" s="465">
        <f t="shared" si="11"/>
        <v>216.22197999999997</v>
      </c>
      <c r="AH25" s="815" t="str">
        <f>IF('MASTER PubCo Inputs'!C41="","",'MASTER PubCo Inputs'!C41)</f>
        <v>IQ322758292</v>
      </c>
      <c r="AI25" s="234" t="str">
        <f>'Comp.1'!AL24</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6" spans="2:35" ht="14.85" customHeight="1">
      <c r="B26" s="234" t="str">
        <f>'Comp.1'!B25</f>
        <v>Arbutus Biopharma Corporation</v>
      </c>
      <c r="C26" s="465">
        <f>'Comp.1'!C25</f>
        <v>186.26599999999999</v>
      </c>
      <c r="E26" s="465">
        <f>'Capital IQ Sheet-GPC'!X27</f>
        <v>-52.988</v>
      </c>
      <c r="F26" s="465">
        <f>'Capital IQ Sheet-GPC'!Y27</f>
        <v>-68.358000000000004</v>
      </c>
      <c r="G26" s="465">
        <f>'Capital IQ Sheet-GPC'!Z27</f>
        <v>-67.510000000000005</v>
      </c>
      <c r="H26" s="259"/>
      <c r="I26" s="465">
        <f>'Capital IQ Sheet-GPC'!AA27</f>
        <v>-64.105000000000004</v>
      </c>
      <c r="J26" s="465">
        <f>'Capital IQ Sheet-GPC'!AB27</f>
        <v>-57.268210000000003</v>
      </c>
      <c r="K26" s="465">
        <f>'Capital IQ Sheet-GPC'!AC27</f>
        <v>-46.178319999999999</v>
      </c>
      <c r="L26" s="465">
        <f>'Capital IQ Sheet-GPC'!AD27</f>
        <v>-32.718119999999999</v>
      </c>
      <c r="M26" s="465">
        <f>'Capital IQ Sheet-GPC'!AE27</f>
        <v>-19.70262</v>
      </c>
      <c r="O26" s="813">
        <f t="shared" si="1"/>
        <v>-3.5152487355627686</v>
      </c>
      <c r="P26" s="813">
        <f t="shared" si="2"/>
        <v>-2.7248602943327773</v>
      </c>
      <c r="Q26" s="813" t="str">
        <f t="shared" si="3"/>
        <v>NM</v>
      </c>
      <c r="S26" s="813">
        <f t="shared" si="4"/>
        <v>-2.9056391857109425</v>
      </c>
      <c r="T26" s="813">
        <f t="shared" si="5"/>
        <v>-3.2525200281272975</v>
      </c>
      <c r="U26" s="813" t="str">
        <f t="shared" si="6"/>
        <v>NM</v>
      </c>
      <c r="V26" s="813" t="str">
        <f t="shared" si="7"/>
        <v>NM</v>
      </c>
      <c r="W26" s="813" t="str">
        <f t="shared" si="8"/>
        <v>NM</v>
      </c>
      <c r="Y26" s="259">
        <f>'Comp.1'!AB25</f>
        <v>204.79499999999999</v>
      </c>
      <c r="Z26" s="259">
        <f>'Comp.1'!AC25</f>
        <v>0</v>
      </c>
      <c r="AA26" s="259">
        <f>'Comp.1'!AD25</f>
        <v>123.489</v>
      </c>
      <c r="AB26" s="259" t="str">
        <f>'Comp.1'!AE25</f>
        <v>n/a</v>
      </c>
      <c r="AC26" s="259">
        <f t="shared" si="9"/>
        <v>123.489</v>
      </c>
      <c r="AD26" s="259">
        <f t="shared" si="10"/>
        <v>328.28399999999999</v>
      </c>
      <c r="AE26" s="259">
        <f>'Comp.1'!AH25</f>
        <v>142.018</v>
      </c>
      <c r="AF26" s="465">
        <f t="shared" si="11"/>
        <v>186.26599999999999</v>
      </c>
      <c r="AH26" s="815" t="str">
        <f>IF('MASTER PubCo Inputs'!C42="","",'MASTER PubCo Inputs'!C42)</f>
        <v>IQ34160168</v>
      </c>
      <c r="AI26" s="234" t="str">
        <f>'Comp.1'!AL25</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7" spans="2:35" ht="14.85" customHeight="1">
      <c r="B27" s="234" t="str">
        <f>'Comp.1'!B26</f>
        <v>Voyager Therapeutics, Inc.</v>
      </c>
      <c r="C27" s="465">
        <f>'Comp.1'!C26</f>
        <v>161.92061000000001</v>
      </c>
      <c r="E27" s="465">
        <f>'Capital IQ Sheet-GPC'!X28</f>
        <v>-34.284999999999997</v>
      </c>
      <c r="F27" s="465">
        <f>'Capital IQ Sheet-GPC'!Y28</f>
        <v>-72.034000000000006</v>
      </c>
      <c r="G27" s="465">
        <f>'Capital IQ Sheet-GPC'!Z28</f>
        <v>-72.908000000000001</v>
      </c>
      <c r="H27" s="259"/>
      <c r="I27" s="465">
        <f>'Capital IQ Sheet-GPC'!AA28</f>
        <v>-70.268000000000001</v>
      </c>
      <c r="J27" s="465">
        <f>'Capital IQ Sheet-GPC'!AB28</f>
        <v>-91.533330000000007</v>
      </c>
      <c r="K27" s="465">
        <f>'Capital IQ Sheet-GPC'!AC28</f>
        <v>-114.46666999999999</v>
      </c>
      <c r="L27" s="465">
        <f>'Capital IQ Sheet-GPC'!AD28</f>
        <v>-111.3</v>
      </c>
      <c r="M27" s="465">
        <f>'Capital IQ Sheet-GPC'!AE28</f>
        <v>-86.4</v>
      </c>
      <c r="O27" s="813">
        <f t="shared" si="1"/>
        <v>-4.7227828496427016</v>
      </c>
      <c r="P27" s="813">
        <f t="shared" si="2"/>
        <v>-2.2478358830552239</v>
      </c>
      <c r="Q27" s="813" t="str">
        <f t="shared" si="3"/>
        <v>NM</v>
      </c>
      <c r="S27" s="813">
        <f t="shared" si="4"/>
        <v>-2.3043292821768091</v>
      </c>
      <c r="T27" s="813">
        <f t="shared" si="5"/>
        <v>-1.768979780370713</v>
      </c>
      <c r="U27" s="813" t="str">
        <f t="shared" si="6"/>
        <v>NM</v>
      </c>
      <c r="V27" s="813" t="str">
        <f t="shared" si="7"/>
        <v>NM</v>
      </c>
      <c r="W27" s="813" t="str">
        <f t="shared" si="8"/>
        <v>NM</v>
      </c>
      <c r="Y27" s="259">
        <f>'Comp.1'!AB26</f>
        <v>341.52161000000001</v>
      </c>
      <c r="Z27" s="259">
        <f>'Comp.1'!AC26</f>
        <v>0</v>
      </c>
      <c r="AA27" s="259" t="str">
        <f>'Comp.1'!AD26</f>
        <v>n/a</v>
      </c>
      <c r="AB27" s="259" t="str">
        <f>'Comp.1'!AE26</f>
        <v>n/a</v>
      </c>
      <c r="AC27" s="259">
        <f t="shared" si="9"/>
        <v>0</v>
      </c>
      <c r="AD27" s="259">
        <f t="shared" si="10"/>
        <v>341.52161000000001</v>
      </c>
      <c r="AE27" s="259">
        <f>'Comp.1'!AH26</f>
        <v>179.601</v>
      </c>
      <c r="AF27" s="465">
        <f t="shared" si="11"/>
        <v>161.92061000000001</v>
      </c>
      <c r="AH27" s="815" t="str">
        <f>IF('MASTER PubCo Inputs'!C43="","",'MASTER PubCo Inputs'!C43)</f>
        <v>IQ256887902</v>
      </c>
      <c r="AI27" s="234" t="str">
        <f>'Comp.1'!AL26</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8" spans="2:35" ht="14.85" customHeight="1">
      <c r="B28" s="234" t="e">
        <f>'Comp.1'!#REF!</f>
        <v>#REF!</v>
      </c>
      <c r="C28" s="465" t="e">
        <f>'Comp.1'!#REF!</f>
        <v>#REF!</v>
      </c>
      <c r="E28" s="465" t="e">
        <f>'Capital IQ Sheet-GPC'!#REF!</f>
        <v>#REF!</v>
      </c>
      <c r="F28" s="465" t="e">
        <f>'Capital IQ Sheet-GPC'!#REF!</f>
        <v>#REF!</v>
      </c>
      <c r="G28" s="465" t="e">
        <f>'Capital IQ Sheet-GPC'!#REF!</f>
        <v>#REF!</v>
      </c>
      <c r="H28" s="259"/>
      <c r="I28" s="465" t="e">
        <f>'Capital IQ Sheet-GPC'!#REF!</f>
        <v>#REF!</v>
      </c>
      <c r="J28" s="465" t="e">
        <f>'Capital IQ Sheet-GPC'!#REF!</f>
        <v>#REF!</v>
      </c>
      <c r="K28" s="465" t="e">
        <f>'Capital IQ Sheet-GPC'!#REF!</f>
        <v>#REF!</v>
      </c>
      <c r="L28" s="465" t="e">
        <f>'Capital IQ Sheet-GPC'!#REF!</f>
        <v>#REF!</v>
      </c>
      <c r="M28" s="465" t="e">
        <f>'Capital IQ Sheet-GPC'!#REF!</f>
        <v>#REF!</v>
      </c>
      <c r="O28" s="813" t="str">
        <f t="shared" si="1"/>
        <v>n/a</v>
      </c>
      <c r="P28" s="813" t="str">
        <f t="shared" si="2"/>
        <v>n/a</v>
      </c>
      <c r="Q28" s="813" t="str">
        <f t="shared" si="3"/>
        <v>n/a</v>
      </c>
      <c r="S28" s="813" t="str">
        <f t="shared" si="4"/>
        <v>n/a</v>
      </c>
      <c r="T28" s="813" t="str">
        <f t="shared" si="5"/>
        <v>n/a</v>
      </c>
      <c r="U28" s="813" t="str">
        <f t="shared" si="6"/>
        <v>n/a</v>
      </c>
      <c r="V28" s="813" t="str">
        <f t="shared" si="7"/>
        <v>n/a</v>
      </c>
      <c r="W28" s="813" t="str">
        <f t="shared" si="8"/>
        <v>n/a</v>
      </c>
      <c r="Y28" s="259" t="e">
        <f>'Comp.1'!#REF!</f>
        <v>#REF!</v>
      </c>
      <c r="Z28" s="259" t="e">
        <f>'Comp.1'!#REF!</f>
        <v>#REF!</v>
      </c>
      <c r="AA28" s="259" t="e">
        <f>'Comp.1'!#REF!</f>
        <v>#REF!</v>
      </c>
      <c r="AB28" s="259" t="e">
        <f>'Comp.1'!#REF!</f>
        <v>#REF!</v>
      </c>
      <c r="AC28" s="259" t="e">
        <f t="shared" si="9"/>
        <v>#REF!</v>
      </c>
      <c r="AD28" s="259" t="e">
        <f t="shared" si="10"/>
        <v>#REF!</v>
      </c>
      <c r="AE28" s="259" t="e">
        <f>'Comp.1'!#REF!</f>
        <v>#REF!</v>
      </c>
      <c r="AF28" s="465" t="str">
        <f t="shared" si="11"/>
        <v>n/a</v>
      </c>
      <c r="AH28" s="815" t="str">
        <f>IF('MASTER PubCo Inputs'!C44="","",'MASTER PubCo Inputs'!C44)</f>
        <v>IQ30632</v>
      </c>
      <c r="AI28" s="234" t="e">
        <f>'Comp.1'!#REF!</f>
        <v>#REF!</v>
      </c>
    </row>
    <row r="29" spans="2:35" ht="14.85" customHeight="1">
      <c r="B29" s="234" t="str">
        <f>'Comp.1'!B27</f>
        <v>La Jolla Pharmaceutical Company</v>
      </c>
      <c r="C29" s="465">
        <f>'Comp.1'!C27</f>
        <v>85.081129999999973</v>
      </c>
      <c r="E29" s="465">
        <f>'Capital IQ Sheet-GPC'!X29</f>
        <v>-64.656999999999996</v>
      </c>
      <c r="F29" s="465">
        <f>'Capital IQ Sheet-GPC'!Y29</f>
        <v>-100.386</v>
      </c>
      <c r="G29" s="465">
        <f>'Capital IQ Sheet-GPC'!Z29</f>
        <v>-185.857</v>
      </c>
      <c r="H29" s="259"/>
      <c r="I29" s="465">
        <f>'Capital IQ Sheet-GPC'!AA29</f>
        <v>-114.15900000000001</v>
      </c>
      <c r="J29" s="465" t="str">
        <f>'Capital IQ Sheet-GPC'!AB29</f>
        <v>n/a</v>
      </c>
      <c r="K29" s="465" t="str">
        <f>'Capital IQ Sheet-GPC'!AC29</f>
        <v>n/a</v>
      </c>
      <c r="L29" s="465" t="str">
        <f>'Capital IQ Sheet-GPC'!AD29</f>
        <v>n/a</v>
      </c>
      <c r="M29" s="465" t="str">
        <f>'Capital IQ Sheet-GPC'!AE29</f>
        <v>n/a</v>
      </c>
      <c r="O29" s="813">
        <f t="shared" si="1"/>
        <v>-1.315884281670971</v>
      </c>
      <c r="P29" s="813">
        <f t="shared" si="2"/>
        <v>-0.84753979638595001</v>
      </c>
      <c r="Q29" s="813" t="str">
        <f t="shared" si="3"/>
        <v>NM</v>
      </c>
      <c r="S29" s="813">
        <f t="shared" si="4"/>
        <v>-0.74528622360041674</v>
      </c>
      <c r="T29" s="813" t="str">
        <f t="shared" si="5"/>
        <v>n/a</v>
      </c>
      <c r="U29" s="813" t="str">
        <f t="shared" si="6"/>
        <v>n/a</v>
      </c>
      <c r="V29" s="813" t="str">
        <f t="shared" si="7"/>
        <v>n/a</v>
      </c>
      <c r="W29" s="813" t="str">
        <f t="shared" si="8"/>
        <v>n/a</v>
      </c>
      <c r="Y29" s="259">
        <f>'Comp.1'!AB27</f>
        <v>158.45113000000001</v>
      </c>
      <c r="Z29" s="259">
        <f>'Comp.1'!AC27</f>
        <v>124.324</v>
      </c>
      <c r="AA29" s="259">
        <f>'Comp.1'!AD27</f>
        <v>6.6429999999999998</v>
      </c>
      <c r="AB29" s="259" t="str">
        <f>'Comp.1'!AE27</f>
        <v>n/a</v>
      </c>
      <c r="AC29" s="259">
        <f t="shared" si="9"/>
        <v>130.96699999999998</v>
      </c>
      <c r="AD29" s="259">
        <f t="shared" si="10"/>
        <v>289.41812999999996</v>
      </c>
      <c r="AE29" s="259">
        <f>'Comp.1'!AH27</f>
        <v>204.33699999999999</v>
      </c>
      <c r="AF29" s="465">
        <f t="shared" si="11"/>
        <v>85.081129999999973</v>
      </c>
      <c r="AH29" s="815" t="str">
        <f>IF('MASTER PubCo Inputs'!C45="","",'MASTER PubCo Inputs'!C45)</f>
        <v>IQ129263324</v>
      </c>
      <c r="AI29" s="234" t="str">
        <f>'Comp.1'!AL27</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30" spans="2:35" ht="14.85" customHeight="1">
      <c r="B30" s="234" t="str">
        <f>'Comp.1'!B28</f>
        <v>Protagonist Therapeutics, Inc.</v>
      </c>
      <c r="C30" s="465">
        <f>'Comp.1'!C28</f>
        <v>58.599060000000009</v>
      </c>
      <c r="E30" s="465">
        <f>'Capital IQ Sheet-GPC'!X30</f>
        <v>-25.940999999999999</v>
      </c>
      <c r="F30" s="465">
        <f>'Capital IQ Sheet-GPC'!Y30</f>
        <v>-45.417000000000002</v>
      </c>
      <c r="G30" s="465">
        <f>'Capital IQ Sheet-GPC'!Z30</f>
        <v>-29.853999999999999</v>
      </c>
      <c r="H30" s="259"/>
      <c r="I30" s="465">
        <f>'Capital IQ Sheet-GPC'!AA30</f>
        <v>-37.491</v>
      </c>
      <c r="J30" s="465" t="str">
        <f>'Capital IQ Sheet-GPC'!AB30</f>
        <v>n/a</v>
      </c>
      <c r="K30" s="465" t="str">
        <f>'Capital IQ Sheet-GPC'!AC30</f>
        <v>n/a</v>
      </c>
      <c r="L30" s="465" t="str">
        <f>'Capital IQ Sheet-GPC'!AD30</f>
        <v>n/a</v>
      </c>
      <c r="M30" s="465" t="str">
        <f>'Capital IQ Sheet-GPC'!AE30</f>
        <v>n/a</v>
      </c>
      <c r="O30" s="813">
        <f t="shared" si="1"/>
        <v>-2.2589360471839948</v>
      </c>
      <c r="P30" s="813">
        <f t="shared" si="2"/>
        <v>-1.2902450624215605</v>
      </c>
      <c r="Q30" s="813" t="str">
        <f t="shared" si="3"/>
        <v>NM</v>
      </c>
      <c r="S30" s="813">
        <f t="shared" si="4"/>
        <v>-1.5630167240137636</v>
      </c>
      <c r="T30" s="813" t="str">
        <f t="shared" si="5"/>
        <v>n/a</v>
      </c>
      <c r="U30" s="813" t="str">
        <f t="shared" si="6"/>
        <v>n/a</v>
      </c>
      <c r="V30" s="813" t="str">
        <f t="shared" si="7"/>
        <v>n/a</v>
      </c>
      <c r="W30" s="813" t="str">
        <f t="shared" si="8"/>
        <v>n/a</v>
      </c>
      <c r="Y30" s="259">
        <f>'Comp.1'!AB28</f>
        <v>197.11606</v>
      </c>
      <c r="Z30" s="259">
        <f>'Comp.1'!AC28</f>
        <v>0</v>
      </c>
      <c r="AA30" s="259" t="str">
        <f>'Comp.1'!AD28</f>
        <v>n/a</v>
      </c>
      <c r="AB30" s="259" t="str">
        <f>'Comp.1'!AE28</f>
        <v>n/a</v>
      </c>
      <c r="AC30" s="259">
        <f t="shared" si="9"/>
        <v>0</v>
      </c>
      <c r="AD30" s="259">
        <f t="shared" si="10"/>
        <v>197.11606</v>
      </c>
      <c r="AE30" s="259">
        <f>'Comp.1'!AH28</f>
        <v>138.517</v>
      </c>
      <c r="AF30" s="465">
        <f t="shared" si="11"/>
        <v>58.599060000000009</v>
      </c>
      <c r="AH30" s="815" t="str">
        <f>IF('MASTER PubCo Inputs'!C46="","",'MASTER PubCo Inputs'!C46)</f>
        <v>IQ1517644</v>
      </c>
      <c r="AI30" s="234" t="str">
        <f>'Comp.1'!AL28</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31" spans="2:35" ht="14.85" customHeight="1">
      <c r="B31" s="234" t="str">
        <f>'Comp.1'!B29</f>
        <v>Fibrocell Science, Inc.</v>
      </c>
      <c r="C31" s="465">
        <f>'Comp.1'!C29</f>
        <v>10.735910000000001</v>
      </c>
      <c r="E31" s="465">
        <f>'Capital IQ Sheet-GPC'!X31</f>
        <v>-33.804000000000002</v>
      </c>
      <c r="F31" s="465">
        <f>'Capital IQ Sheet-GPC'!Y31</f>
        <v>-17.645</v>
      </c>
      <c r="G31" s="465">
        <f>'Capital IQ Sheet-GPC'!Z31</f>
        <v>-13.8</v>
      </c>
      <c r="H31" s="259"/>
      <c r="I31" s="465">
        <f>'Capital IQ Sheet-GPC'!AA31</f>
        <v>-18.597000000000001</v>
      </c>
      <c r="J31" s="465">
        <f>'Capital IQ Sheet-GPC'!AB31</f>
        <v>-26.2</v>
      </c>
      <c r="K31" s="465">
        <f>'Capital IQ Sheet-GPC'!AC31</f>
        <v>-27.7</v>
      </c>
      <c r="L31" s="465">
        <f>'Capital IQ Sheet-GPC'!AD31</f>
        <v>-32.799999999999997</v>
      </c>
      <c r="M31" s="465" t="str">
        <f>'Capital IQ Sheet-GPC'!AE31</f>
        <v>n/a</v>
      </c>
      <c r="O31" s="813">
        <f t="shared" si="1"/>
        <v>-0.31759288841557209</v>
      </c>
      <c r="P31" s="813">
        <f t="shared" si="2"/>
        <v>-0.6084392179087561</v>
      </c>
      <c r="Q31" s="813" t="str">
        <f t="shared" si="3"/>
        <v>NM</v>
      </c>
      <c r="S31" s="813">
        <f t="shared" si="4"/>
        <v>-0.57729257407108669</v>
      </c>
      <c r="T31" s="813">
        <f t="shared" si="5"/>
        <v>-0.40976755725190844</v>
      </c>
      <c r="U31" s="813" t="str">
        <f t="shared" si="6"/>
        <v>NM</v>
      </c>
      <c r="V31" s="813" t="str">
        <f t="shared" si="7"/>
        <v>NM</v>
      </c>
      <c r="W31" s="813" t="str">
        <f t="shared" si="8"/>
        <v>n/a</v>
      </c>
      <c r="Y31" s="259">
        <f>'Comp.1'!AB29</f>
        <v>19.22391</v>
      </c>
      <c r="Z31" s="259">
        <f>'Comp.1'!AC29</f>
        <v>0</v>
      </c>
      <c r="AA31" s="259">
        <f>'Comp.1'!AD29</f>
        <v>7.6230000000000002</v>
      </c>
      <c r="AB31" s="259" t="str">
        <f>'Comp.1'!AE29</f>
        <v>n/a</v>
      </c>
      <c r="AC31" s="259">
        <f t="shared" si="9"/>
        <v>7.6230000000000002</v>
      </c>
      <c r="AD31" s="259">
        <f t="shared" si="10"/>
        <v>26.846910000000001</v>
      </c>
      <c r="AE31" s="259">
        <f>'Comp.1'!AH29</f>
        <v>16.111000000000001</v>
      </c>
      <c r="AF31" s="465">
        <f t="shared" si="11"/>
        <v>10.735910000000001</v>
      </c>
      <c r="AH31" s="815" t="str">
        <f>IF('MASTER PubCo Inputs'!C47="","",'MASTER PubCo Inputs'!C47)</f>
        <v/>
      </c>
      <c r="AI31" s="234" t="str">
        <f>'Comp.1'!AL29</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32" spans="2:35" ht="14.85" customHeight="1">
      <c r="B32" s="234" t="str">
        <f>'Comp.1'!B31</f>
        <v>CRISPR/Cas9</v>
      </c>
      <c r="C32" s="465">
        <f>'Comp.1'!C31</f>
        <v>0</v>
      </c>
      <c r="E32" s="465" t="str">
        <f>'Capital IQ Sheet-GPC'!X32</f>
        <v>(Invalid Identifier)</v>
      </c>
      <c r="F32" s="465" t="str">
        <f>'Capital IQ Sheet-GPC'!Y32</f>
        <v>(Invalid Identifier)</v>
      </c>
      <c r="G32" s="465" t="str">
        <f>'Capital IQ Sheet-GPC'!Z32</f>
        <v>(Invalid Identifier)</v>
      </c>
      <c r="H32" s="259"/>
      <c r="I32" s="465" t="str">
        <f>'Capital IQ Sheet-GPC'!AA32</f>
        <v>(Invalid Identifier)</v>
      </c>
      <c r="J32" s="465" t="str">
        <f>'Capital IQ Sheet-GPC'!AB32</f>
        <v>(Invalid Identifier)</v>
      </c>
      <c r="K32" s="465" t="str">
        <f>'Capital IQ Sheet-GPC'!AC32</f>
        <v>(Invalid Identifier)</v>
      </c>
      <c r="L32" s="465" t="str">
        <f>'Capital IQ Sheet-GPC'!AD32</f>
        <v>(Invalid Identifier)</v>
      </c>
      <c r="M32" s="465" t="str">
        <f>'Capital IQ Sheet-GPC'!AE32</f>
        <v>(Invalid Identifier)</v>
      </c>
      <c r="O32" s="813" t="str">
        <f t="shared" si="1"/>
        <v>n/a</v>
      </c>
      <c r="P32" s="813" t="str">
        <f t="shared" si="2"/>
        <v>n/a</v>
      </c>
      <c r="Q32" s="813" t="str">
        <f t="shared" si="3"/>
        <v>n/a</v>
      </c>
      <c r="S32" s="813" t="str">
        <f t="shared" si="4"/>
        <v>n/a</v>
      </c>
      <c r="T32" s="813" t="str">
        <f t="shared" si="5"/>
        <v>n/a</v>
      </c>
      <c r="U32" s="813" t="str">
        <f t="shared" si="6"/>
        <v>n/a</v>
      </c>
      <c r="V32" s="813" t="str">
        <f t="shared" si="7"/>
        <v>n/a</v>
      </c>
      <c r="W32" s="813" t="str">
        <f t="shared" si="8"/>
        <v>n/a</v>
      </c>
      <c r="Y32" s="259">
        <f>'Comp.1'!AB31</f>
        <v>0</v>
      </c>
      <c r="Z32" s="259">
        <f>'Comp.1'!AC31</f>
        <v>0</v>
      </c>
      <c r="AA32" s="259">
        <f>'Comp.1'!AD31</f>
        <v>0</v>
      </c>
      <c r="AB32" s="259">
        <f>'Comp.1'!AE31</f>
        <v>0</v>
      </c>
      <c r="AC32" s="259">
        <f t="shared" si="9"/>
        <v>0</v>
      </c>
      <c r="AD32" s="259">
        <f t="shared" si="10"/>
        <v>0</v>
      </c>
      <c r="AE32" s="259">
        <f>'Comp.1'!AH31</f>
        <v>0</v>
      </c>
      <c r="AF32" s="465">
        <f t="shared" si="11"/>
        <v>0</v>
      </c>
      <c r="AH32" s="815" t="str">
        <f>IF('MASTER PubCo Inputs'!C48="","",'MASTER PubCo Inputs'!C48)</f>
        <v>IQ262549448</v>
      </c>
      <c r="AI32" s="234">
        <f>'Comp.1'!AL31</f>
        <v>0</v>
      </c>
    </row>
    <row r="33" spans="2:35" ht="14.85" customHeight="1">
      <c r="B33" s="234" t="str">
        <f>'Comp.1'!B32</f>
        <v>CRISPR Therapeutics AG</v>
      </c>
      <c r="C33" s="465">
        <f>'Comp.1'!C32</f>
        <v>1192.56953</v>
      </c>
      <c r="E33" s="465">
        <f>'Capital IQ Sheet-GPC'!X33</f>
        <v>-54.414000000000001</v>
      </c>
      <c r="F33" s="465">
        <f>'Capital IQ Sheet-GPC'!Y33</f>
        <v>-86.3</v>
      </c>
      <c r="G33" s="465">
        <f>'Capital IQ Sheet-GPC'!Z33</f>
        <v>-109.363</v>
      </c>
      <c r="H33" s="259"/>
      <c r="I33" s="465">
        <f>'Capital IQ Sheet-GPC'!AA33</f>
        <v>-61.624000000000002</v>
      </c>
      <c r="J33" s="465">
        <f>'Capital IQ Sheet-GPC'!AB33</f>
        <v>-154.72200000000001</v>
      </c>
      <c r="K33" s="465">
        <f>'Capital IQ Sheet-GPC'!AC33</f>
        <v>-222.28899999999999</v>
      </c>
      <c r="L33" s="465">
        <f>'Capital IQ Sheet-GPC'!AD33</f>
        <v>-291.02600000000001</v>
      </c>
      <c r="M33" s="465" t="str">
        <f>'Capital IQ Sheet-GPC'!AE33</f>
        <v>n/a</v>
      </c>
      <c r="O33" s="813">
        <f t="shared" si="1"/>
        <v>-21.916593707501747</v>
      </c>
      <c r="P33" s="813">
        <f t="shared" si="2"/>
        <v>-13.818882155272306</v>
      </c>
      <c r="Q33" s="813" t="str">
        <f t="shared" si="3"/>
        <v>NM</v>
      </c>
      <c r="S33" s="813">
        <f t="shared" si="4"/>
        <v>-19.352355088926391</v>
      </c>
      <c r="T33" s="813">
        <f t="shared" si="5"/>
        <v>-7.7078213182352862</v>
      </c>
      <c r="U33" s="813" t="str">
        <f t="shared" si="6"/>
        <v>NM</v>
      </c>
      <c r="V33" s="813" t="str">
        <f t="shared" si="7"/>
        <v>NM</v>
      </c>
      <c r="W33" s="813" t="str">
        <f t="shared" si="8"/>
        <v>n/a</v>
      </c>
      <c r="Y33" s="259">
        <f>'Comp.1'!AB32</f>
        <v>1679.8645300000001</v>
      </c>
      <c r="Z33" s="259">
        <f>'Comp.1'!AC32</f>
        <v>0</v>
      </c>
      <c r="AA33" s="259" t="str">
        <f>'Comp.1'!AD32</f>
        <v>n/a</v>
      </c>
      <c r="AB33" s="259" t="str">
        <f>'Comp.1'!AE32</f>
        <v>n/a</v>
      </c>
      <c r="AC33" s="259">
        <f t="shared" si="9"/>
        <v>0</v>
      </c>
      <c r="AD33" s="259">
        <f t="shared" si="10"/>
        <v>1679.8645300000001</v>
      </c>
      <c r="AE33" s="259">
        <f>'Comp.1'!AH32</f>
        <v>487.29500000000002</v>
      </c>
      <c r="AF33" s="465">
        <f t="shared" si="11"/>
        <v>1192.56953</v>
      </c>
      <c r="AH33" s="815" t="str">
        <f>IF('MASTER PubCo Inputs'!C49="","",'MASTER PubCo Inputs'!C49)</f>
        <v>IQ252050056</v>
      </c>
      <c r="AI33" s="234" t="str">
        <f>'Comp.1'!AL32</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4" spans="2:35" ht="14.85" customHeight="1">
      <c r="B34" s="234" t="str">
        <f>'Comp.1'!B33</f>
        <v>Editas Medicine, Inc.</v>
      </c>
      <c r="C34" s="465">
        <f>'Comp.1'!C33</f>
        <v>727.28158000000008</v>
      </c>
      <c r="E34" s="465">
        <f>'Capital IQ Sheet-GPC'!X34</f>
        <v>-69.715000000000003</v>
      </c>
      <c r="F34" s="465">
        <f>'Capital IQ Sheet-GPC'!Y34</f>
        <v>-120.021</v>
      </c>
      <c r="G34" s="465">
        <f>'Capital IQ Sheet-GPC'!Z34</f>
        <v>-120.825</v>
      </c>
      <c r="H34" s="259"/>
      <c r="I34" s="465">
        <f>'Capital IQ Sheet-GPC'!AA34</f>
        <v>-117.25</v>
      </c>
      <c r="J34" s="465">
        <f>'Capital IQ Sheet-GPC'!AB34</f>
        <v>-90.735879999999995</v>
      </c>
      <c r="K34" s="465">
        <f>'Capital IQ Sheet-GPC'!AC34</f>
        <v>-120.5455</v>
      </c>
      <c r="L34" s="465">
        <f>'Capital IQ Sheet-GPC'!AD34</f>
        <v>-149.44750999999999</v>
      </c>
      <c r="M34" s="465" t="str">
        <f>'Capital IQ Sheet-GPC'!AE34</f>
        <v>n/a</v>
      </c>
      <c r="O34" s="813">
        <f t="shared" si="1"/>
        <v>-10.432210858495303</v>
      </c>
      <c r="P34" s="813">
        <f t="shared" si="2"/>
        <v>-6.0596193999383443</v>
      </c>
      <c r="Q34" s="813" t="str">
        <f t="shared" si="3"/>
        <v>NM</v>
      </c>
      <c r="S34" s="813">
        <f t="shared" si="4"/>
        <v>-6.2028279744136467</v>
      </c>
      <c r="T34" s="813">
        <f t="shared" si="5"/>
        <v>-8.0153692232885181</v>
      </c>
      <c r="U34" s="813" t="str">
        <f t="shared" si="6"/>
        <v>NM</v>
      </c>
      <c r="V34" s="813" t="str">
        <f t="shared" si="7"/>
        <v>NM</v>
      </c>
      <c r="W34" s="813" t="str">
        <f t="shared" si="8"/>
        <v>n/a</v>
      </c>
      <c r="Y34" s="259">
        <f>'Comp.1'!AB33</f>
        <v>1032.0795800000001</v>
      </c>
      <c r="Z34" s="259">
        <f>'Comp.1'!AC33</f>
        <v>32.694000000000003</v>
      </c>
      <c r="AA34" s="259" t="str">
        <f>'Comp.1'!AD33</f>
        <v>n/a</v>
      </c>
      <c r="AB34" s="259" t="str">
        <f>'Comp.1'!AE33</f>
        <v>n/a</v>
      </c>
      <c r="AC34" s="259">
        <f t="shared" si="9"/>
        <v>32.694000000000003</v>
      </c>
      <c r="AD34" s="259">
        <f t="shared" si="10"/>
        <v>1064.77358</v>
      </c>
      <c r="AE34" s="259">
        <f>'Comp.1'!AH33</f>
        <v>337.49200000000002</v>
      </c>
      <c r="AF34" s="465">
        <f t="shared" si="11"/>
        <v>727.28158000000008</v>
      </c>
      <c r="AH34" s="815" t="str">
        <f>IF('MASTER PubCo Inputs'!C50="","",'MASTER PubCo Inputs'!C50)</f>
        <v>IQ277799796</v>
      </c>
      <c r="AI34" s="234" t="str">
        <f>'Comp.1'!AL33</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5" spans="2:35" ht="14.85" customHeight="1">
      <c r="B35" s="234" t="str">
        <f>'Comp.1'!B34</f>
        <v>Intellia Therapeutics, Inc.</v>
      </c>
      <c r="C35" s="465">
        <f>'Comp.1'!C34</f>
        <v>320.70094</v>
      </c>
      <c r="E35" s="465">
        <f>'Capital IQ Sheet-GPC'!X35</f>
        <v>-25.997</v>
      </c>
      <c r="F35" s="465">
        <f>'Capital IQ Sheet-GPC'!Y35</f>
        <v>-53.095999999999997</v>
      </c>
      <c r="G35" s="465">
        <f>'Capital IQ Sheet-GPC'!Z35</f>
        <v>-90.769000000000005</v>
      </c>
      <c r="H35" s="259"/>
      <c r="I35" s="465">
        <f>'Capital IQ Sheet-GPC'!AA35</f>
        <v>-66.561000000000007</v>
      </c>
      <c r="J35" s="465">
        <f>'Capital IQ Sheet-GPC'!AB35</f>
        <v>-92.090999999999994</v>
      </c>
      <c r="K35" s="465">
        <f>'Capital IQ Sheet-GPC'!AC35</f>
        <v>-128</v>
      </c>
      <c r="L35" s="465">
        <f>'Capital IQ Sheet-GPC'!AD35</f>
        <v>-132</v>
      </c>
      <c r="M35" s="465" t="str">
        <f>'Capital IQ Sheet-GPC'!AE35</f>
        <v>n/a</v>
      </c>
      <c r="O35" s="813">
        <f t="shared" si="1"/>
        <v>-12.336074931722891</v>
      </c>
      <c r="P35" s="813">
        <f t="shared" si="2"/>
        <v>-6.0400207171915028</v>
      </c>
      <c r="Q35" s="813" t="str">
        <f t="shared" si="3"/>
        <v>NM</v>
      </c>
      <c r="S35" s="813">
        <f t="shared" si="4"/>
        <v>-4.8181508691275665</v>
      </c>
      <c r="T35" s="813">
        <f t="shared" si="5"/>
        <v>-3.4824351999652521</v>
      </c>
      <c r="U35" s="813" t="str">
        <f t="shared" si="6"/>
        <v>NM</v>
      </c>
      <c r="V35" s="813" t="str">
        <f t="shared" si="7"/>
        <v>NM</v>
      </c>
      <c r="W35" s="813" t="str">
        <f t="shared" si="8"/>
        <v>n/a</v>
      </c>
      <c r="Y35" s="259">
        <f>'Comp.1'!AB34</f>
        <v>613.94893999999999</v>
      </c>
      <c r="Z35" s="259">
        <f>'Comp.1'!AC34</f>
        <v>0</v>
      </c>
      <c r="AA35" s="259" t="str">
        <f>'Comp.1'!AD34</f>
        <v>n/a</v>
      </c>
      <c r="AB35" s="259" t="str">
        <f>'Comp.1'!AE34</f>
        <v>n/a</v>
      </c>
      <c r="AC35" s="259">
        <f t="shared" si="9"/>
        <v>0</v>
      </c>
      <c r="AD35" s="259">
        <f t="shared" si="10"/>
        <v>613.94893999999999</v>
      </c>
      <c r="AE35" s="259">
        <f>'Comp.1'!AH34</f>
        <v>293.24799999999999</v>
      </c>
      <c r="AF35" s="465">
        <f t="shared" si="11"/>
        <v>320.70094</v>
      </c>
      <c r="AH35" s="815" t="str">
        <f>IF('MASTER PubCo Inputs'!C51="","",'MASTER PubCo Inputs'!C51)</f>
        <v>IQ360935</v>
      </c>
      <c r="AI35" s="234" t="str">
        <f>'Comp.1'!AL34</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6" spans="2:35" ht="14.85" customHeight="1">
      <c r="B36" s="234" t="str">
        <f>'Comp.1'!B35</f>
        <v>Abeona Therapeutics Inc.</v>
      </c>
      <c r="C36" s="465">
        <f>'Comp.1'!C35</f>
        <v>213.31906000000004</v>
      </c>
      <c r="E36" s="465">
        <f>'Capital IQ Sheet-GPC'!X36</f>
        <v>-23.574999999999999</v>
      </c>
      <c r="F36" s="465">
        <f>'Capital IQ Sheet-GPC'!Y36</f>
        <v>-24.074999999999999</v>
      </c>
      <c r="G36" s="465">
        <f>'Capital IQ Sheet-GPC'!Z36</f>
        <v>-45.180999999999997</v>
      </c>
      <c r="H36" s="259"/>
      <c r="I36" s="465">
        <f>'Capital IQ Sheet-GPC'!AA36</f>
        <v>-27.094999999999999</v>
      </c>
      <c r="J36" s="465" t="str">
        <f>'Capital IQ Sheet-GPC'!AB36</f>
        <v>n/a</v>
      </c>
      <c r="K36" s="465" t="str">
        <f>'Capital IQ Sheet-GPC'!AC36</f>
        <v>n/a</v>
      </c>
      <c r="L36" s="465" t="str">
        <f>'Capital IQ Sheet-GPC'!AD36</f>
        <v>n/a</v>
      </c>
      <c r="M36" s="465" t="str">
        <f>'Capital IQ Sheet-GPC'!AE36</f>
        <v>n/a</v>
      </c>
      <c r="O36" s="813">
        <f t="shared" si="1"/>
        <v>-9.0485285259809132</v>
      </c>
      <c r="P36" s="813">
        <f t="shared" si="2"/>
        <v>-8.8606047767393576</v>
      </c>
      <c r="Q36" s="813" t="str">
        <f t="shared" si="3"/>
        <v>NM</v>
      </c>
      <c r="S36" s="813">
        <f t="shared" si="4"/>
        <v>-7.8730046133973071</v>
      </c>
      <c r="T36" s="813" t="str">
        <f t="shared" si="5"/>
        <v>n/a</v>
      </c>
      <c r="U36" s="813" t="str">
        <f t="shared" si="6"/>
        <v>n/a</v>
      </c>
      <c r="V36" s="813" t="str">
        <f t="shared" si="7"/>
        <v>n/a</v>
      </c>
      <c r="W36" s="813" t="str">
        <f t="shared" si="8"/>
        <v>n/a</v>
      </c>
      <c r="Y36" s="259">
        <f>'Comp.1'!AB35</f>
        <v>325.54306000000003</v>
      </c>
      <c r="Z36" s="259">
        <f>'Comp.1'!AC35</f>
        <v>0</v>
      </c>
      <c r="AA36" s="259" t="str">
        <f>'Comp.1'!AD35</f>
        <v>n/a</v>
      </c>
      <c r="AB36" s="259" t="str">
        <f>'Comp.1'!AE35</f>
        <v>n/a</v>
      </c>
      <c r="AC36" s="259">
        <f t="shared" si="9"/>
        <v>0</v>
      </c>
      <c r="AD36" s="259">
        <f t="shared" si="10"/>
        <v>325.54306000000003</v>
      </c>
      <c r="AE36" s="259">
        <f>'Comp.1'!AH35</f>
        <v>112.224</v>
      </c>
      <c r="AF36" s="465">
        <f t="shared" si="11"/>
        <v>213.31906000000004</v>
      </c>
      <c r="AH36" s="815" t="str">
        <f>IF('MASTER PubCo Inputs'!C52="","",'MASTER PubCo Inputs'!C52)</f>
        <v/>
      </c>
      <c r="AI36" s="234" t="str">
        <f>'Comp.1'!AL35</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7" spans="2:35" ht="14.85" customHeight="1">
      <c r="B37" s="234" t="e">
        <f>'Comp.1'!#REF!</f>
        <v>#REF!</v>
      </c>
      <c r="C37" s="465" t="e">
        <f>'Comp.1'!#REF!</f>
        <v>#REF!</v>
      </c>
      <c r="E37" s="465" t="str">
        <f>'Capital IQ Sheet-GPC'!X37</f>
        <v>(Invalid Identifier)</v>
      </c>
      <c r="F37" s="465" t="str">
        <f>'Capital IQ Sheet-GPC'!Y37</f>
        <v>(Invalid Identifier)</v>
      </c>
      <c r="G37" s="465" t="str">
        <f>'Capital IQ Sheet-GPC'!Z37</f>
        <v>(Invalid Identifier)</v>
      </c>
      <c r="H37" s="259"/>
      <c r="I37" s="465" t="str">
        <f>'Capital IQ Sheet-GPC'!AA37</f>
        <v>(Invalid Identifier)</v>
      </c>
      <c r="J37" s="465" t="str">
        <f>'Capital IQ Sheet-GPC'!AB37</f>
        <v>(Invalid Identifier)</v>
      </c>
      <c r="K37" s="465" t="str">
        <f>'Capital IQ Sheet-GPC'!AC37</f>
        <v>(Invalid Identifier)</v>
      </c>
      <c r="L37" s="465" t="str">
        <f>'Capital IQ Sheet-GPC'!AD37</f>
        <v>(Invalid Identifier)</v>
      </c>
      <c r="M37" s="465" t="str">
        <f>'Capital IQ Sheet-GPC'!AE37</f>
        <v>(Invalid Identifier)</v>
      </c>
      <c r="O37" s="813" t="str">
        <f t="shared" si="1"/>
        <v>n/a</v>
      </c>
      <c r="P37" s="813" t="str">
        <f t="shared" si="2"/>
        <v>n/a</v>
      </c>
      <c r="Q37" s="813" t="str">
        <f t="shared" si="3"/>
        <v>n/a</v>
      </c>
      <c r="S37" s="813" t="str">
        <f t="shared" si="4"/>
        <v>n/a</v>
      </c>
      <c r="T37" s="813" t="str">
        <f t="shared" si="5"/>
        <v>n/a</v>
      </c>
      <c r="U37" s="813" t="str">
        <f t="shared" si="6"/>
        <v>n/a</v>
      </c>
      <c r="V37" s="813" t="str">
        <f t="shared" si="7"/>
        <v>n/a</v>
      </c>
      <c r="W37" s="813" t="str">
        <f t="shared" si="8"/>
        <v>n/a</v>
      </c>
      <c r="Y37" s="259" t="e">
        <f>'Comp.1'!#REF!</f>
        <v>#REF!</v>
      </c>
      <c r="Z37" s="259" t="e">
        <f>'Comp.1'!#REF!</f>
        <v>#REF!</v>
      </c>
      <c r="AA37" s="259" t="e">
        <f>'Comp.1'!#REF!</f>
        <v>#REF!</v>
      </c>
      <c r="AB37" s="259" t="e">
        <f>'Comp.1'!#REF!</f>
        <v>#REF!</v>
      </c>
      <c r="AC37" s="259" t="e">
        <f t="shared" si="9"/>
        <v>#REF!</v>
      </c>
      <c r="AD37" s="259" t="e">
        <f t="shared" si="10"/>
        <v>#REF!</v>
      </c>
      <c r="AE37" s="259" t="e">
        <f>'Comp.1'!#REF!</f>
        <v>#REF!</v>
      </c>
      <c r="AF37" s="465" t="str">
        <f t="shared" si="11"/>
        <v>n/a</v>
      </c>
      <c r="AH37" s="815" t="str">
        <f>IF('MASTER PubCo Inputs'!C53="","",'MASTER PubCo Inputs'!C53)</f>
        <v/>
      </c>
      <c r="AI37" s="234" t="e">
        <f>'Comp.1'!#REF!</f>
        <v>#REF!</v>
      </c>
    </row>
    <row r="38" spans="2:35" ht="14.85" customHeight="1">
      <c r="B38" s="234" t="e">
        <f>'Comp.1'!#REF!</f>
        <v>#REF!</v>
      </c>
      <c r="C38" s="465" t="e">
        <f>'Comp.1'!#REF!</f>
        <v>#REF!</v>
      </c>
      <c r="E38" s="465" t="str">
        <f>'Capital IQ Sheet-GPC'!X38</f>
        <v>(Invalid Identifier)</v>
      </c>
      <c r="F38" s="465" t="str">
        <f>'Capital IQ Sheet-GPC'!Y38</f>
        <v>(Invalid Identifier)</v>
      </c>
      <c r="G38" s="465" t="str">
        <f>'Capital IQ Sheet-GPC'!Z38</f>
        <v>(Invalid Identifier)</v>
      </c>
      <c r="H38" s="259"/>
      <c r="I38" s="465" t="str">
        <f>'Capital IQ Sheet-GPC'!AA38</f>
        <v>(Invalid Identifier)</v>
      </c>
      <c r="J38" s="465" t="str">
        <f>'Capital IQ Sheet-GPC'!AB38</f>
        <v>(Invalid Identifier)</v>
      </c>
      <c r="K38" s="465" t="str">
        <f>'Capital IQ Sheet-GPC'!AC38</f>
        <v>(Invalid Identifier)</v>
      </c>
      <c r="L38" s="465" t="str">
        <f>'Capital IQ Sheet-GPC'!AD38</f>
        <v>(Invalid Identifier)</v>
      </c>
      <c r="M38" s="465" t="str">
        <f>'Capital IQ Sheet-GPC'!AE38</f>
        <v>(Invalid Identifier)</v>
      </c>
      <c r="O38" s="813" t="str">
        <f t="shared" si="1"/>
        <v>n/a</v>
      </c>
      <c r="P38" s="813" t="str">
        <f t="shared" si="2"/>
        <v>n/a</v>
      </c>
      <c r="Q38" s="813" t="str">
        <f t="shared" si="3"/>
        <v>n/a</v>
      </c>
      <c r="S38" s="813" t="str">
        <f t="shared" si="4"/>
        <v>n/a</v>
      </c>
      <c r="T38" s="813" t="str">
        <f t="shared" si="5"/>
        <v>n/a</v>
      </c>
      <c r="U38" s="813" t="str">
        <f t="shared" si="6"/>
        <v>n/a</v>
      </c>
      <c r="V38" s="813" t="str">
        <f t="shared" si="7"/>
        <v>n/a</v>
      </c>
      <c r="W38" s="813" t="str">
        <f t="shared" si="8"/>
        <v>n/a</v>
      </c>
      <c r="Y38" s="259" t="e">
        <f>'Comp.1'!#REF!</f>
        <v>#REF!</v>
      </c>
      <c r="Z38" s="259" t="e">
        <f>'Comp.1'!#REF!</f>
        <v>#REF!</v>
      </c>
      <c r="AA38" s="259" t="e">
        <f>'Comp.1'!#REF!</f>
        <v>#REF!</v>
      </c>
      <c r="AB38" s="259" t="e">
        <f>'Comp.1'!#REF!</f>
        <v>#REF!</v>
      </c>
      <c r="AC38" s="259" t="e">
        <f t="shared" si="9"/>
        <v>#REF!</v>
      </c>
      <c r="AD38" s="259" t="e">
        <f t="shared" si="10"/>
        <v>#REF!</v>
      </c>
      <c r="AE38" s="259" t="e">
        <f>'Comp.1'!#REF!</f>
        <v>#REF!</v>
      </c>
      <c r="AF38" s="465" t="str">
        <f t="shared" si="11"/>
        <v>n/a</v>
      </c>
      <c r="AH38" s="815" t="str">
        <f>IF('MASTER PubCo Inputs'!C54="","",'MASTER PubCo Inputs'!C54)</f>
        <v/>
      </c>
      <c r="AI38" s="234" t="e">
        <f>'Comp.1'!#REF!</f>
        <v>#REF!</v>
      </c>
    </row>
    <row r="39" spans="2:35" ht="14.85" customHeight="1">
      <c r="B39" s="234" t="e">
        <f>'Comp.1'!#REF!</f>
        <v>#REF!</v>
      </c>
      <c r="C39" s="465" t="e">
        <f>'Comp.1'!#REF!</f>
        <v>#REF!</v>
      </c>
      <c r="E39" s="465" t="str">
        <f>'Capital IQ Sheet-GPC'!X39</f>
        <v>(Invalid Identifier)</v>
      </c>
      <c r="F39" s="465" t="str">
        <f>'Capital IQ Sheet-GPC'!Y39</f>
        <v>(Invalid Identifier)</v>
      </c>
      <c r="G39" s="465" t="str">
        <f>'Capital IQ Sheet-GPC'!Z39</f>
        <v>(Invalid Identifier)</v>
      </c>
      <c r="H39" s="259"/>
      <c r="I39" s="465" t="str">
        <f>'Capital IQ Sheet-GPC'!AA39</f>
        <v>(Invalid Identifier)</v>
      </c>
      <c r="J39" s="465" t="str">
        <f>'Capital IQ Sheet-GPC'!AB39</f>
        <v>(Invalid Identifier)</v>
      </c>
      <c r="K39" s="465" t="str">
        <f>'Capital IQ Sheet-GPC'!AC39</f>
        <v>(Invalid Identifier)</v>
      </c>
      <c r="L39" s="465" t="str">
        <f>'Capital IQ Sheet-GPC'!AD39</f>
        <v>(Invalid Identifier)</v>
      </c>
      <c r="M39" s="465" t="str">
        <f>'Capital IQ Sheet-GPC'!AE39</f>
        <v>(Invalid Identifier)</v>
      </c>
      <c r="O39" s="813" t="str">
        <f t="shared" si="1"/>
        <v>n/a</v>
      </c>
      <c r="P39" s="813" t="str">
        <f t="shared" si="2"/>
        <v>n/a</v>
      </c>
      <c r="Q39" s="813" t="str">
        <f t="shared" si="3"/>
        <v>n/a</v>
      </c>
      <c r="S39" s="813" t="str">
        <f t="shared" si="4"/>
        <v>n/a</v>
      </c>
      <c r="T39" s="813" t="str">
        <f t="shared" si="5"/>
        <v>n/a</v>
      </c>
      <c r="U39" s="813" t="str">
        <f t="shared" si="6"/>
        <v>n/a</v>
      </c>
      <c r="V39" s="813" t="str">
        <f t="shared" si="7"/>
        <v>n/a</v>
      </c>
      <c r="W39" s="813" t="str">
        <f t="shared" si="8"/>
        <v>n/a</v>
      </c>
      <c r="Y39" s="259" t="e">
        <f>'Comp.1'!#REF!</f>
        <v>#REF!</v>
      </c>
      <c r="Z39" s="259" t="e">
        <f>'Comp.1'!#REF!</f>
        <v>#REF!</v>
      </c>
      <c r="AA39" s="259" t="e">
        <f>'Comp.1'!#REF!</f>
        <v>#REF!</v>
      </c>
      <c r="AB39" s="259" t="e">
        <f>'Comp.1'!#REF!</f>
        <v>#REF!</v>
      </c>
      <c r="AC39" s="259" t="e">
        <f t="shared" si="9"/>
        <v>#REF!</v>
      </c>
      <c r="AD39" s="259" t="e">
        <f t="shared" si="10"/>
        <v>#REF!</v>
      </c>
      <c r="AE39" s="259" t="e">
        <f>'Comp.1'!#REF!</f>
        <v>#REF!</v>
      </c>
      <c r="AF39" s="465" t="str">
        <f t="shared" si="11"/>
        <v>n/a</v>
      </c>
      <c r="AH39" s="815" t="str">
        <f>IF('MASTER PubCo Inputs'!C55="","",'MASTER PubCo Inputs'!C55)</f>
        <v/>
      </c>
      <c r="AI39" s="234" t="e">
        <f>'Comp.1'!#REF!</f>
        <v>#REF!</v>
      </c>
    </row>
    <row r="40" spans="2:35" ht="14.85" customHeight="1">
      <c r="B40" s="234" t="e">
        <f>'Comp.1'!#REF!</f>
        <v>#REF!</v>
      </c>
      <c r="C40" s="465" t="e">
        <f>'Comp.1'!#REF!</f>
        <v>#REF!</v>
      </c>
      <c r="E40" s="465" t="str">
        <f>'Capital IQ Sheet-GPC'!X40</f>
        <v>(Invalid Identifier)</v>
      </c>
      <c r="F40" s="465" t="str">
        <f>'Capital IQ Sheet-GPC'!Y40</f>
        <v>(Invalid Identifier)</v>
      </c>
      <c r="G40" s="465" t="str">
        <f>'Capital IQ Sheet-GPC'!Z40</f>
        <v>(Invalid Identifier)</v>
      </c>
      <c r="H40" s="259"/>
      <c r="I40" s="465" t="str">
        <f>'Capital IQ Sheet-GPC'!AA40</f>
        <v>(Invalid Identifier)</v>
      </c>
      <c r="J40" s="465" t="str">
        <f>'Capital IQ Sheet-GPC'!AB40</f>
        <v>(Invalid Identifier)</v>
      </c>
      <c r="K40" s="465" t="str">
        <f>'Capital IQ Sheet-GPC'!AC40</f>
        <v>(Invalid Identifier)</v>
      </c>
      <c r="L40" s="465" t="str">
        <f>'Capital IQ Sheet-GPC'!AD40</f>
        <v>(Invalid Identifier)</v>
      </c>
      <c r="M40" s="465" t="str">
        <f>'Capital IQ Sheet-GPC'!AE40</f>
        <v>(Invalid Identifier)</v>
      </c>
      <c r="O40" s="813" t="str">
        <f t="shared" si="1"/>
        <v>n/a</v>
      </c>
      <c r="P40" s="813" t="str">
        <f t="shared" si="2"/>
        <v>n/a</v>
      </c>
      <c r="Q40" s="813" t="str">
        <f t="shared" si="3"/>
        <v>n/a</v>
      </c>
      <c r="S40" s="813" t="str">
        <f t="shared" si="4"/>
        <v>n/a</v>
      </c>
      <c r="T40" s="813" t="str">
        <f t="shared" si="5"/>
        <v>n/a</v>
      </c>
      <c r="U40" s="813" t="str">
        <f t="shared" si="6"/>
        <v>n/a</v>
      </c>
      <c r="V40" s="813" t="str">
        <f t="shared" si="7"/>
        <v>n/a</v>
      </c>
      <c r="W40" s="813" t="str">
        <f t="shared" si="8"/>
        <v>n/a</v>
      </c>
      <c r="Y40" s="259" t="e">
        <f>'Comp.1'!#REF!</f>
        <v>#REF!</v>
      </c>
      <c r="Z40" s="259" t="e">
        <f>'Comp.1'!#REF!</f>
        <v>#REF!</v>
      </c>
      <c r="AA40" s="259" t="e">
        <f>'Comp.1'!#REF!</f>
        <v>#REF!</v>
      </c>
      <c r="AB40" s="259" t="e">
        <f>'Comp.1'!#REF!</f>
        <v>#REF!</v>
      </c>
      <c r="AC40" s="259" t="e">
        <f t="shared" si="9"/>
        <v>#REF!</v>
      </c>
      <c r="AD40" s="259" t="e">
        <f t="shared" si="10"/>
        <v>#REF!</v>
      </c>
      <c r="AE40" s="259" t="e">
        <f>'Comp.1'!#REF!</f>
        <v>#REF!</v>
      </c>
      <c r="AF40" s="465" t="str">
        <f t="shared" si="11"/>
        <v>n/a</v>
      </c>
      <c r="AH40" s="815" t="str">
        <f>IF('MASTER PubCo Inputs'!C56="","",'MASTER PubCo Inputs'!C56)</f>
        <v/>
      </c>
      <c r="AI40" s="234" t="e">
        <f>'Comp.1'!#REF!</f>
        <v>#REF!</v>
      </c>
    </row>
    <row r="41" spans="2:35" ht="14.85" customHeight="1">
      <c r="B41" s="234" t="e">
        <f>'Comp.1'!#REF!</f>
        <v>#REF!</v>
      </c>
      <c r="C41" s="465" t="e">
        <f>'Comp.1'!#REF!</f>
        <v>#REF!</v>
      </c>
      <c r="E41" s="465" t="str">
        <f>'Capital IQ Sheet-GPC'!X42</f>
        <v>(Invalid Identifier)</v>
      </c>
      <c r="F41" s="465" t="str">
        <f>'Capital IQ Sheet-GPC'!Y42</f>
        <v>(Invalid Identifier)</v>
      </c>
      <c r="G41" s="465" t="str">
        <f>'Capital IQ Sheet-GPC'!Z42</f>
        <v>(Invalid Identifier)</v>
      </c>
      <c r="H41" s="259"/>
      <c r="I41" s="465" t="str">
        <f>'Capital IQ Sheet-GPC'!AA42</f>
        <v>(Invalid Identifier)</v>
      </c>
      <c r="J41" s="465" t="str">
        <f>'Capital IQ Sheet-GPC'!AB42</f>
        <v>(Invalid Identifier)</v>
      </c>
      <c r="K41" s="465" t="str">
        <f>'Capital IQ Sheet-GPC'!AC42</f>
        <v>(Invalid Identifier)</v>
      </c>
      <c r="L41" s="465" t="str">
        <f>'Capital IQ Sheet-GPC'!AD42</f>
        <v>(Invalid Identifier)</v>
      </c>
      <c r="M41" s="465" t="str">
        <f>'Capital IQ Sheet-GPC'!AE42</f>
        <v>(Invalid Identifier)</v>
      </c>
      <c r="O41" s="813" t="str">
        <f t="shared" si="1"/>
        <v>n/a</v>
      </c>
      <c r="P41" s="813" t="str">
        <f t="shared" si="2"/>
        <v>n/a</v>
      </c>
      <c r="Q41" s="813" t="str">
        <f t="shared" si="3"/>
        <v>n/a</v>
      </c>
      <c r="S41" s="813" t="str">
        <f t="shared" si="4"/>
        <v>n/a</v>
      </c>
      <c r="T41" s="813" t="str">
        <f t="shared" si="5"/>
        <v>n/a</v>
      </c>
      <c r="U41" s="813" t="str">
        <f t="shared" si="6"/>
        <v>n/a</v>
      </c>
      <c r="V41" s="813" t="str">
        <f t="shared" si="7"/>
        <v>n/a</v>
      </c>
      <c r="W41" s="813" t="str">
        <f t="shared" si="8"/>
        <v>n/a</v>
      </c>
      <c r="Y41" s="259" t="e">
        <f>'Comp.1'!#REF!</f>
        <v>#REF!</v>
      </c>
      <c r="Z41" s="259" t="e">
        <f>'Comp.1'!#REF!</f>
        <v>#REF!</v>
      </c>
      <c r="AA41" s="259" t="e">
        <f>'Comp.1'!#REF!</f>
        <v>#REF!</v>
      </c>
      <c r="AB41" s="259" t="e">
        <f>'Comp.1'!#REF!</f>
        <v>#REF!</v>
      </c>
      <c r="AC41" s="259" t="e">
        <f t="shared" si="9"/>
        <v>#REF!</v>
      </c>
      <c r="AD41" s="259" t="e">
        <f t="shared" si="10"/>
        <v>#REF!</v>
      </c>
      <c r="AE41" s="259" t="e">
        <f>'Comp.1'!#REF!</f>
        <v>#REF!</v>
      </c>
      <c r="AF41" s="465" t="str">
        <f t="shared" si="11"/>
        <v>n/a</v>
      </c>
      <c r="AH41" s="815" t="str">
        <f>IF('MASTER PubCo Inputs'!C57="","",'MASTER PubCo Inputs'!C57)</f>
        <v/>
      </c>
      <c r="AI41" s="234" t="e">
        <f>'Comp.1'!#REF!</f>
        <v>#REF!</v>
      </c>
    </row>
    <row r="42" spans="2:35" ht="14.85" customHeight="1">
      <c r="C42" s="259"/>
      <c r="E42" s="259"/>
      <c r="F42" s="259"/>
      <c r="G42" s="259"/>
      <c r="H42" s="259"/>
      <c r="I42" s="259"/>
      <c r="J42" s="259"/>
      <c r="K42" s="259"/>
      <c r="L42" s="259"/>
      <c r="M42" s="259"/>
    </row>
    <row r="43" spans="2:35" ht="14.85" customHeight="1">
      <c r="B43" s="558" t="s">
        <v>111</v>
      </c>
      <c r="C43" s="1357" t="e">
        <f>MAX(C12:C42)</f>
        <v>#REF!</v>
      </c>
      <c r="D43" s="559"/>
      <c r="E43" s="1357" t="e">
        <f>MAX(E12:E42)</f>
        <v>#REF!</v>
      </c>
      <c r="F43" s="1357" t="e">
        <f>MAX(F12:F42)</f>
        <v>#REF!</v>
      </c>
      <c r="G43" s="1357" t="e">
        <f>MAX(G12:G42)</f>
        <v>#REF!</v>
      </c>
      <c r="H43" s="1357"/>
      <c r="I43" s="1357" t="e">
        <f>MAX(I12:I42)</f>
        <v>#REF!</v>
      </c>
      <c r="J43" s="1357" t="e">
        <f>MAX(J12:J42)</f>
        <v>#REF!</v>
      </c>
      <c r="K43" s="1357" t="e">
        <f>MAX(K12:K42)</f>
        <v>#REF!</v>
      </c>
      <c r="L43" s="1357" t="e">
        <f>MAX(L12:L42)</f>
        <v>#REF!</v>
      </c>
      <c r="M43" s="1357" t="e">
        <f>MAX(M12:M42)</f>
        <v>#REF!</v>
      </c>
      <c r="N43" s="1413"/>
      <c r="O43" s="1361">
        <f>MAX(O12:O42)</f>
        <v>-0.31759288841557209</v>
      </c>
      <c r="P43" s="1361">
        <f>MAX(P12:P42)</f>
        <v>-0.6084392179087561</v>
      </c>
      <c r="Q43" s="1361">
        <f>MAX(Q12:Q42)</f>
        <v>16.604825387184938</v>
      </c>
      <c r="R43" s="1413"/>
      <c r="S43" s="1361">
        <f>MAX(S12:S42)</f>
        <v>-0.57729257407108669</v>
      </c>
      <c r="T43" s="1361">
        <f>MAX(T12:T42)</f>
        <v>12.6173713457889</v>
      </c>
      <c r="U43" s="1361">
        <f>MAX(U12:U42)</f>
        <v>0</v>
      </c>
      <c r="V43" s="1361">
        <f>MAX(V12:V42)</f>
        <v>23.895402682054918</v>
      </c>
      <c r="W43" s="1414">
        <f>MAX(W12:W42)</f>
        <v>32.096595252861256</v>
      </c>
      <c r="X43" s="434"/>
      <c r="Y43" s="434"/>
    </row>
    <row r="44" spans="2:35" ht="14.85" customHeight="1">
      <c r="B44" s="1365" t="s">
        <v>115</v>
      </c>
      <c r="C44" s="822" t="e">
        <f>QUARTILE(C12:C42,3)</f>
        <v>#REF!</v>
      </c>
      <c r="D44" s="823"/>
      <c r="E44" s="822" t="e">
        <f>QUARTILE(E12:E42,3)</f>
        <v>#REF!</v>
      </c>
      <c r="F44" s="822" t="e">
        <f>QUARTILE(F12:F42,3)</f>
        <v>#REF!</v>
      </c>
      <c r="G44" s="822" t="e">
        <f>QUARTILE(G12:G42,3)</f>
        <v>#REF!</v>
      </c>
      <c r="H44" s="822"/>
      <c r="I44" s="822" t="e">
        <f>QUARTILE(I12:I42,3)</f>
        <v>#REF!</v>
      </c>
      <c r="J44" s="822" t="e">
        <f>QUARTILE(J12:J42,3)</f>
        <v>#REF!</v>
      </c>
      <c r="K44" s="822" t="e">
        <f>QUARTILE(K12:K42,3)</f>
        <v>#REF!</v>
      </c>
      <c r="L44" s="822" t="e">
        <f>QUARTILE(L12:L42,3)</f>
        <v>#REF!</v>
      </c>
      <c r="M44" s="822" t="e">
        <f>QUARTILE(M12:M42,3)</f>
        <v>#REF!</v>
      </c>
      <c r="N44" s="1415"/>
      <c r="O44" s="1366">
        <f>QUARTILE(O12:O42,3)</f>
        <v>-8.1636039391168769</v>
      </c>
      <c r="P44" s="1366">
        <f>QUARTILE(P12:P42,3)</f>
        <v>-6.049820058564924</v>
      </c>
      <c r="Q44" s="1366">
        <f>QUARTILE(Q12:Q42,3)</f>
        <v>16.604825387184938</v>
      </c>
      <c r="R44" s="1415"/>
      <c r="S44" s="1366">
        <f>QUARTILE(S12:S42,3)</f>
        <v>-5.2419536408831657</v>
      </c>
      <c r="T44" s="1366">
        <f>QUARTILE(T12:T42,3)</f>
        <v>-4.0977221019377303</v>
      </c>
      <c r="U44" s="1366" t="e">
        <f>QUARTILE(U12:U42,3)</f>
        <v>#NUM!</v>
      </c>
      <c r="V44" s="1366">
        <f>QUARTILE(V12:V42,3)</f>
        <v>23.895402682054918</v>
      </c>
      <c r="W44" s="1416">
        <f>QUARTILE(W12:W42,3)</f>
        <v>31.438570886957336</v>
      </c>
      <c r="X44" s="434"/>
      <c r="Y44" s="434"/>
    </row>
    <row r="45" spans="2:35" ht="14.85" customHeight="1">
      <c r="B45" s="1365" t="s">
        <v>113</v>
      </c>
      <c r="C45" s="822" t="e">
        <f>AVERAGE(C12:C42)</f>
        <v>#REF!</v>
      </c>
      <c r="D45" s="823"/>
      <c r="E45" s="822" t="e">
        <f>AVERAGE(E12:E42)</f>
        <v>#REF!</v>
      </c>
      <c r="F45" s="822" t="e">
        <f>AVERAGE(F12:F42)</f>
        <v>#REF!</v>
      </c>
      <c r="G45" s="822" t="e">
        <f>AVERAGE(G12:G42)</f>
        <v>#REF!</v>
      </c>
      <c r="H45" s="822"/>
      <c r="I45" s="822" t="e">
        <f>AVERAGE(I12:I42)</f>
        <v>#REF!</v>
      </c>
      <c r="J45" s="822" t="e">
        <f>AVERAGE(J12:J42)</f>
        <v>#REF!</v>
      </c>
      <c r="K45" s="822" t="e">
        <f>AVERAGE(K12:K42)</f>
        <v>#REF!</v>
      </c>
      <c r="L45" s="822" t="e">
        <f>AVERAGE(L12:L42)</f>
        <v>#REF!</v>
      </c>
      <c r="M45" s="822" t="e">
        <f>AVERAGE(M12:M42)</f>
        <v>#REF!</v>
      </c>
      <c r="N45" s="1415"/>
      <c r="O45" s="1366">
        <f>AVERAGE(O12:O42)</f>
        <v>-17.905038452629871</v>
      </c>
      <c r="P45" s="1366">
        <f>AVERAGE(P12:P42)</f>
        <v>-15.188920755674999</v>
      </c>
      <c r="Q45" s="1366">
        <f>AVERAGE(Q12:Q42)</f>
        <v>16.604825387184938</v>
      </c>
      <c r="R45" s="1415"/>
      <c r="S45" s="1366">
        <f>AVERAGE(S12:S42)</f>
        <v>-12.045706542205837</v>
      </c>
      <c r="T45" s="1366">
        <f>AVERAGE(T12:T42)</f>
        <v>-7.4464608820597835</v>
      </c>
      <c r="U45" s="1366" t="e">
        <f>AVERAGE(U12:U42)</f>
        <v>#DIV/0!</v>
      </c>
      <c r="V45" s="1366">
        <f>AVERAGE(V12:V42)</f>
        <v>23.895402682054918</v>
      </c>
      <c r="W45" s="1416">
        <f>AVERAGE(W12:W42)</f>
        <v>30.78054652105342</v>
      </c>
      <c r="X45" s="434"/>
      <c r="Y45" s="434"/>
    </row>
    <row r="46" spans="2:35" ht="14.85" customHeight="1">
      <c r="B46" s="1365" t="s">
        <v>44</v>
      </c>
      <c r="C46" s="822" t="e">
        <f>MEDIAN(C12:C42)</f>
        <v>#REF!</v>
      </c>
      <c r="D46" s="823"/>
      <c r="E46" s="822" t="e">
        <f>MEDIAN(E12:E42)</f>
        <v>#REF!</v>
      </c>
      <c r="F46" s="822" t="e">
        <f>MEDIAN(F12:F42)</f>
        <v>#REF!</v>
      </c>
      <c r="G46" s="822" t="e">
        <f>MEDIAN(G12:G42)</f>
        <v>#REF!</v>
      </c>
      <c r="H46" s="822"/>
      <c r="I46" s="822" t="e">
        <f>MEDIAN(I12:I42)</f>
        <v>#REF!</v>
      </c>
      <c r="J46" s="822" t="e">
        <f>MEDIAN(J12:J42)</f>
        <v>#REF!</v>
      </c>
      <c r="K46" s="822" t="e">
        <f>MEDIAN(K12:K42)</f>
        <v>#REF!</v>
      </c>
      <c r="L46" s="822" t="e">
        <f>MEDIAN(L12:L42)</f>
        <v>#REF!</v>
      </c>
      <c r="M46" s="822" t="e">
        <f>MEDIAN(M12:M42)</f>
        <v>#REF!</v>
      </c>
      <c r="N46" s="1415"/>
      <c r="O46" s="1366">
        <f>MEDIAN(O12:O42)</f>
        <v>-14.188083217708435</v>
      </c>
      <c r="P46" s="1366">
        <f>MEDIAN(P12:P42)</f>
        <v>-13.818882155272306</v>
      </c>
      <c r="Q46" s="1366">
        <f>MEDIAN(Q12:Q42)</f>
        <v>16.604825387184938</v>
      </c>
      <c r="R46" s="1415"/>
      <c r="S46" s="1366">
        <f>MEDIAN(S12:S42)</f>
        <v>-12.934597779563413</v>
      </c>
      <c r="T46" s="1366">
        <f>MEDIAN(T12:T42)</f>
        <v>-7.984843838826138</v>
      </c>
      <c r="U46" s="1366" t="e">
        <f>MEDIAN(U12:U42)</f>
        <v>#NUM!</v>
      </c>
      <c r="V46" s="1366">
        <f>MEDIAN(V12:V42)</f>
        <v>23.895402682054918</v>
      </c>
      <c r="W46" s="1416">
        <f>MEDIAN(W12:W42)</f>
        <v>30.78054652105342</v>
      </c>
      <c r="X46" s="434"/>
      <c r="Y46" s="434"/>
    </row>
    <row r="47" spans="2:35" ht="14.85" customHeight="1">
      <c r="B47" s="1365" t="s">
        <v>114</v>
      </c>
      <c r="C47" s="822" t="e">
        <f>QUARTILE(C12:C42,1)</f>
        <v>#REF!</v>
      </c>
      <c r="D47" s="823"/>
      <c r="E47" s="822" t="e">
        <f>QUARTILE(E12:E42,1)</f>
        <v>#REF!</v>
      </c>
      <c r="F47" s="822" t="e">
        <f>QUARTILE(F12:F42,1)</f>
        <v>#REF!</v>
      </c>
      <c r="G47" s="822" t="e">
        <f>QUARTILE(G12:G42,1)</f>
        <v>#REF!</v>
      </c>
      <c r="H47" s="822"/>
      <c r="I47" s="822" t="e">
        <f>QUARTILE(I12:I42,1)</f>
        <v>#REF!</v>
      </c>
      <c r="J47" s="822" t="e">
        <f>QUARTILE(J12:J42,1)</f>
        <v>#REF!</v>
      </c>
      <c r="K47" s="822" t="e">
        <f>QUARTILE(K12:K42,1)</f>
        <v>#REF!</v>
      </c>
      <c r="L47" s="822" t="e">
        <f>QUARTILE(L12:L42,1)</f>
        <v>#REF!</v>
      </c>
      <c r="M47" s="822" t="e">
        <f>QUARTILE(M12:M42,1)</f>
        <v>#REF!</v>
      </c>
      <c r="N47" s="1415"/>
      <c r="O47" s="1366">
        <f>QUARTILE(O12:O42,1)</f>
        <v>-24.025907847170902</v>
      </c>
      <c r="P47" s="1366">
        <f>QUARTILE(P12:P42,1)</f>
        <v>-17.721491670710051</v>
      </c>
      <c r="Q47" s="1366">
        <f>QUARTILE(Q12:Q42,1)</f>
        <v>16.604825387184938</v>
      </c>
      <c r="R47" s="1415"/>
      <c r="S47" s="1366">
        <f>QUARTILE(S12:S42,1)</f>
        <v>-17.672533139525861</v>
      </c>
      <c r="T47" s="1366">
        <f>QUARTILE(T12:T42,1)</f>
        <v>-10.379892351940255</v>
      </c>
      <c r="U47" s="1366" t="e">
        <f>QUARTILE(U12:U42,1)</f>
        <v>#NUM!</v>
      </c>
      <c r="V47" s="1366">
        <f>QUARTILE(V12:V42,1)</f>
        <v>23.895402682054918</v>
      </c>
      <c r="W47" s="1416">
        <f>QUARTILE(W12:W42,1)</f>
        <v>30.122522155149504</v>
      </c>
      <c r="X47" s="434"/>
      <c r="Y47" s="434"/>
    </row>
    <row r="48" spans="2:35" ht="14.85" customHeight="1">
      <c r="B48" s="754" t="s">
        <v>112</v>
      </c>
      <c r="C48" s="565" t="e">
        <f>MIN(C12:C42)</f>
        <v>#REF!</v>
      </c>
      <c r="D48" s="556"/>
      <c r="E48" s="565" t="e">
        <f>MIN(E12:E42)</f>
        <v>#REF!</v>
      </c>
      <c r="F48" s="565" t="e">
        <f>MIN(F12:F42)</f>
        <v>#REF!</v>
      </c>
      <c r="G48" s="565" t="e">
        <f>MIN(G12:G42)</f>
        <v>#REF!</v>
      </c>
      <c r="H48" s="565"/>
      <c r="I48" s="565" t="e">
        <f>MIN(I12:I42)</f>
        <v>#REF!</v>
      </c>
      <c r="J48" s="565" t="e">
        <f>MIN(J12:J42)</f>
        <v>#REF!</v>
      </c>
      <c r="K48" s="565" t="e">
        <f>MIN(K12:K42)</f>
        <v>#REF!</v>
      </c>
      <c r="L48" s="565" t="e">
        <f>MIN(L12:L42)</f>
        <v>#REF!</v>
      </c>
      <c r="M48" s="565" t="e">
        <f>MIN(M12:M42)</f>
        <v>#REF!</v>
      </c>
      <c r="N48" s="1417"/>
      <c r="O48" s="1368">
        <f>MIN(O12:O42)</f>
        <v>-83.609636040518922</v>
      </c>
      <c r="P48" s="1368">
        <f>MIN(P12:P42)</f>
        <v>-63.838789489223494</v>
      </c>
      <c r="Q48" s="1368">
        <f>MIN(Q12:Q42)</f>
        <v>16.604825387184938</v>
      </c>
      <c r="R48" s="1417"/>
      <c r="S48" s="1368">
        <f>MIN(S12:S42)</f>
        <v>-37.209082774049214</v>
      </c>
      <c r="T48" s="1368">
        <f>MIN(T12:T42)</f>
        <v>-20.505042280435188</v>
      </c>
      <c r="U48" s="1368">
        <f>MIN(U12:U42)</f>
        <v>0</v>
      </c>
      <c r="V48" s="1368">
        <f>MIN(V12:V42)</f>
        <v>23.895402682054918</v>
      </c>
      <c r="W48" s="1418">
        <f>MIN(W12:W42)</f>
        <v>29.464497789245584</v>
      </c>
      <c r="X48" s="434"/>
      <c r="Y48" s="434"/>
    </row>
    <row r="49" spans="2:2" ht="14.85" customHeight="1"/>
    <row r="50" spans="2:2" ht="14.85" customHeight="1">
      <c r="B50" s="279" t="s">
        <v>116</v>
      </c>
    </row>
    <row r="51" spans="2:2" ht="14.85" customHeight="1">
      <c r="B51" s="279"/>
    </row>
    <row r="52" spans="2:2" ht="14.85" customHeight="1"/>
    <row r="53" spans="2:2" ht="14.85" customHeight="1"/>
    <row r="54" spans="2:2" ht="14.85" customHeight="1"/>
    <row r="55" spans="2:2" ht="14.85" customHeight="1"/>
    <row r="56" spans="2:2" ht="14.85" customHeight="1"/>
    <row r="57" spans="2:2" ht="14.85" customHeight="1"/>
    <row r="58" spans="2:2" ht="14.85" customHeight="1"/>
    <row r="59" spans="2:2" ht="14.85" customHeight="1"/>
    <row r="60" spans="2:2" ht="14.85" customHeight="1"/>
    <row r="61" spans="2:2" ht="14.85" customHeight="1"/>
    <row r="62" spans="2:2" ht="14.85" customHeight="1"/>
    <row r="63" spans="2:2" ht="14.85" customHeight="1"/>
    <row r="64" spans="2:2"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B12:C41">
    <cfRule type="cellIs" dxfId="44" priority="15" operator="equal">
      <formula>"(Invalid Identifier)"</formula>
    </cfRule>
  </conditionalFormatting>
  <conditionalFormatting sqref="C4:I4">
    <cfRule type="cellIs" dxfId="43" priority="14" stopIfTrue="1" operator="equal">
      <formula>"input"</formula>
    </cfRule>
  </conditionalFormatting>
  <conditionalFormatting sqref="J4">
    <cfRule type="cellIs" dxfId="42" priority="12" stopIfTrue="1" operator="equal">
      <formula>"input"</formula>
    </cfRule>
  </conditionalFormatting>
  <conditionalFormatting sqref="J4">
    <cfRule type="cellIs" dxfId="41" priority="13" stopIfTrue="1" operator="equal">
      <formula>"input"</formula>
    </cfRule>
  </conditionalFormatting>
  <conditionalFormatting sqref="K4:M4">
    <cfRule type="cellIs" dxfId="40" priority="10" stopIfTrue="1" operator="equal">
      <formula>"input"</formula>
    </cfRule>
  </conditionalFormatting>
  <conditionalFormatting sqref="K4:M4">
    <cfRule type="cellIs" dxfId="39" priority="11" stopIfTrue="1" operator="equal">
      <formula>"input"</formula>
    </cfRule>
  </conditionalFormatting>
  <conditionalFormatting sqref="N4">
    <cfRule type="cellIs" dxfId="38" priority="8" stopIfTrue="1" operator="equal">
      <formula>"input"</formula>
    </cfRule>
  </conditionalFormatting>
  <conditionalFormatting sqref="N4">
    <cfRule type="cellIs" dxfId="37" priority="9" stopIfTrue="1" operator="equal">
      <formula>"input"</formula>
    </cfRule>
  </conditionalFormatting>
  <conditionalFormatting sqref="O4:V4">
    <cfRule type="cellIs" dxfId="36" priority="6" stopIfTrue="1" operator="equal">
      <formula>"input"</formula>
    </cfRule>
  </conditionalFormatting>
  <conditionalFormatting sqref="O4:V4">
    <cfRule type="cellIs" dxfId="35" priority="7" stopIfTrue="1" operator="equal">
      <formula>"input"</formula>
    </cfRule>
  </conditionalFormatting>
  <conditionalFormatting sqref="W4">
    <cfRule type="cellIs" dxfId="34" priority="2" stopIfTrue="1" operator="equal">
      <formula>"input"</formula>
    </cfRule>
  </conditionalFormatting>
  <conditionalFormatting sqref="W4">
    <cfRule type="cellIs" dxfId="33" priority="3" stopIfTrue="1" operator="equal">
      <formula>"input"</formula>
    </cfRule>
  </conditionalFormatting>
  <conditionalFormatting sqref="B4">
    <cfRule type="cellIs" dxfId="32"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29"/>
  <dimension ref="B1:AC764"/>
  <sheetViews>
    <sheetView showGridLines="0" view="pageBreakPreview" zoomScale="70" zoomScaleNormal="100" zoomScaleSheetLayoutView="70" workbookViewId="0"/>
  </sheetViews>
  <sheetFormatPr defaultRowHeight="14.25"/>
  <cols>
    <col min="1" max="1" width="4.5" style="234" customWidth="1"/>
    <col min="2" max="2" width="72.6640625" style="234" bestFit="1" customWidth="1"/>
    <col min="3" max="3" width="2.83203125" style="234" customWidth="1"/>
    <col min="4" max="7" width="15.83203125" style="234" customWidth="1"/>
    <col min="8" max="8" width="2.83203125" style="234" customWidth="1"/>
    <col min="9" max="11" width="15.83203125" style="234" customWidth="1"/>
    <col min="12" max="12" width="2.83203125" style="234" customWidth="1"/>
    <col min="13" max="15" width="11.83203125" style="234" customWidth="1"/>
    <col min="16" max="16" width="2.83203125" style="234" customWidth="1"/>
    <col min="17" max="19" width="11.83203125" style="234" customWidth="1"/>
    <col min="20" max="20" width="2.83203125" style="234" customWidth="1"/>
    <col min="21" max="23" width="11.83203125" style="234" customWidth="1"/>
    <col min="24" max="24" width="4.5" style="234" customWidth="1"/>
    <col min="25" max="25" width="2.83203125" style="234" customWidth="1"/>
    <col min="26" max="26" width="15.33203125" style="234" bestFit="1" customWidth="1"/>
    <col min="27" max="27" width="14.33203125" style="234" bestFit="1" customWidth="1"/>
    <col min="28" max="28" width="15.33203125" style="234" bestFit="1" customWidth="1"/>
    <col min="29" max="29" width="9.5" style="234" bestFit="1" customWidth="1"/>
    <col min="30" max="33" width="9.33203125" style="234"/>
    <col min="34" max="34" width="8.83203125" style="234" customWidth="1"/>
    <col min="35" max="16384" width="9.33203125" style="234"/>
  </cols>
  <sheetData>
    <row r="1" spans="2:29" ht="10.7" customHeight="1" thickBot="1"/>
    <row r="2" spans="2:29"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c r="Z2" s="779" t="s">
        <v>87</v>
      </c>
      <c r="AA2" s="780">
        <f>+'Comp.1'!$AL$2</f>
        <v>43496</v>
      </c>
    </row>
    <row r="3" spans="2:29" ht="15.75" customHeight="1">
      <c r="B3" s="232" t="e">
        <f>VLOOKUP(B4,Outline!$E$8:$G$65,COLUMNS(Outline!$E$8:$G$8),FALSE)</f>
        <v>#N/A</v>
      </c>
      <c r="C3" s="232"/>
      <c r="D3" s="232"/>
      <c r="E3" s="232"/>
      <c r="F3" s="232"/>
      <c r="G3" s="232"/>
      <c r="H3" s="232"/>
      <c r="I3" s="232"/>
      <c r="J3" s="232"/>
      <c r="K3" s="232"/>
      <c r="L3" s="232"/>
      <c r="M3" s="232"/>
      <c r="N3" s="232"/>
      <c r="O3" s="232"/>
      <c r="P3" s="232"/>
      <c r="Q3" s="232"/>
      <c r="R3" s="232"/>
      <c r="S3" s="232"/>
      <c r="T3" s="232"/>
      <c r="U3" s="232"/>
      <c r="V3" s="232"/>
      <c r="W3" s="232"/>
      <c r="Z3" s="619" t="s">
        <v>455</v>
      </c>
      <c r="AA3" s="889" t="str">
        <f>+'Comp.1'!$AL$3</f>
        <v>F</v>
      </c>
    </row>
    <row r="4" spans="2:29" ht="16.5" customHeight="1" thickBot="1">
      <c r="B4" s="225" t="s">
        <v>719</v>
      </c>
      <c r="C4" s="225"/>
      <c r="D4" s="225"/>
      <c r="E4" s="225"/>
      <c r="F4" s="225"/>
      <c r="G4" s="225"/>
      <c r="H4" s="225"/>
      <c r="I4" s="225"/>
      <c r="J4" s="233"/>
      <c r="K4" s="233" t="str">
        <f>+'MASTER PubCo Inputs'!$C$24</f>
        <v>(in millions of USD)</v>
      </c>
      <c r="L4" s="225"/>
      <c r="M4" s="233"/>
      <c r="N4" s="233"/>
      <c r="O4" s="233"/>
      <c r="P4" s="233"/>
      <c r="Q4" s="233"/>
      <c r="R4" s="233"/>
      <c r="S4" s="233"/>
      <c r="T4" s="233"/>
      <c r="U4" s="233"/>
      <c r="V4" s="233"/>
      <c r="W4" s="233" t="str">
        <f>+'MASTER PubCo Inputs'!$C$24</f>
        <v>(in millions of USD)</v>
      </c>
      <c r="Z4" s="619" t="s">
        <v>456</v>
      </c>
      <c r="AA4" s="889" t="str">
        <f>+'Comp.1'!$AL$4</f>
        <v>USD</v>
      </c>
    </row>
    <row r="5" spans="2:29" ht="14.85" customHeight="1" thickTop="1">
      <c r="Z5" s="384" t="s">
        <v>89</v>
      </c>
      <c r="AA5" s="890" t="str">
        <f>+'Comp.1'!$AL$5</f>
        <v>H</v>
      </c>
    </row>
    <row r="6" spans="2:29" ht="14.85" customHeight="1">
      <c r="D6" s="503" t="s">
        <v>322</v>
      </c>
      <c r="E6" s="1398"/>
      <c r="F6" s="1398"/>
      <c r="G6" s="1399"/>
    </row>
    <row r="7" spans="2:29" ht="14.85" customHeight="1">
      <c r="D7" s="500" t="s">
        <v>339</v>
      </c>
      <c r="E7" s="501"/>
      <c r="F7" s="502"/>
      <c r="G7" s="1372"/>
      <c r="I7" s="500" t="s">
        <v>678</v>
      </c>
      <c r="J7" s="501"/>
      <c r="K7" s="502"/>
      <c r="M7" s="2236" t="s">
        <v>836</v>
      </c>
      <c r="N7" s="2237"/>
      <c r="O7" s="2238"/>
      <c r="Q7" s="500" t="s">
        <v>214</v>
      </c>
      <c r="R7" s="501"/>
      <c r="S7" s="502"/>
      <c r="U7" s="500" t="s">
        <v>346</v>
      </c>
      <c r="V7" s="501"/>
      <c r="W7" s="502"/>
      <c r="Z7" s="1258" t="s">
        <v>934</v>
      </c>
      <c r="AA7" s="1259">
        <v>1</v>
      </c>
      <c r="AB7" s="1258" t="s">
        <v>935</v>
      </c>
      <c r="AC7" s="1259">
        <v>-1</v>
      </c>
    </row>
    <row r="8" spans="2:29" s="270" customFormat="1" ht="14.85" customHeight="1">
      <c r="B8" s="1400" t="s">
        <v>711</v>
      </c>
      <c r="D8" s="795" t="s">
        <v>337</v>
      </c>
      <c r="E8" s="1401" t="s">
        <v>173</v>
      </c>
      <c r="F8" s="1401" t="s">
        <v>174</v>
      </c>
      <c r="G8" s="1402" t="s">
        <v>338</v>
      </c>
      <c r="H8" s="271"/>
      <c r="I8" s="795" t="s">
        <v>345</v>
      </c>
      <c r="J8" s="1401" t="s">
        <v>321</v>
      </c>
      <c r="K8" s="1402" t="s">
        <v>322</v>
      </c>
      <c r="L8" s="271"/>
      <c r="M8" s="795" t="s">
        <v>345</v>
      </c>
      <c r="N8" s="1401" t="s">
        <v>321</v>
      </c>
      <c r="O8" s="796" t="s">
        <v>322</v>
      </c>
      <c r="P8" s="271"/>
      <c r="Q8" s="1343" t="s">
        <v>345</v>
      </c>
      <c r="R8" s="1345" t="s">
        <v>321</v>
      </c>
      <c r="S8" s="794" t="s">
        <v>322</v>
      </c>
      <c r="T8" s="271"/>
      <c r="U8" s="1343" t="s">
        <v>345</v>
      </c>
      <c r="V8" s="1345" t="s">
        <v>321</v>
      </c>
      <c r="W8" s="794" t="s">
        <v>322</v>
      </c>
      <c r="X8" s="234"/>
      <c r="Z8" s="450" t="s">
        <v>108</v>
      </c>
    </row>
    <row r="9" spans="2:29" ht="14.85" customHeight="1"/>
    <row r="10" spans="2:29" ht="14.85" customHeight="1">
      <c r="B10" s="234" t="str">
        <f>'Comp.1'!B11</f>
        <v>Alnylam Pharmaceuticals, Inc.</v>
      </c>
      <c r="D10" s="390">
        <f>'Capital IQ Sheet-GPC'!AF13</f>
        <v>0.99850700000000003</v>
      </c>
      <c r="E10" s="390" t="str">
        <f>'Capital IQ Sheet-GPC'!AG13</f>
        <v>n/a</v>
      </c>
      <c r="F10" s="390" t="str">
        <f>'Capital IQ Sheet-GPC'!AH13</f>
        <v>n/a</v>
      </c>
      <c r="G10" s="390" t="str">
        <f>'Capital IQ Sheet-GPC'!AI13</f>
        <v>n/a</v>
      </c>
      <c r="I10" s="465">
        <f>'Capital IQ Sheet-GPC'!AJ13</f>
        <v>-47.332999999999998</v>
      </c>
      <c r="J10" s="465">
        <f>'Capital IQ Sheet-GPC'!AK13</f>
        <v>-55.970999999999997</v>
      </c>
      <c r="K10" s="465">
        <f>'Capital IQ Sheet-GPC'!AL13</f>
        <v>-16.216999999999999</v>
      </c>
      <c r="M10" s="390" t="str">
        <f>IFERROR(IF(I10/'Comp.1'!H11&gt;$AA$7,"NM",IF((I10/'Comp.1'!H11)&lt;$AC$7,"NM",I10/'Comp.1'!H11)),"n/a")</f>
        <v>NM</v>
      </c>
      <c r="N10" s="390">
        <f>IFERROR(IF(J10/'Comp.1'!I11&gt;$AA$7,"NM",IF((J10/'Comp.1'!I11)&lt;$AC$7,"NM",J10/'Comp.1'!I11)),"n/a")</f>
        <v>-0.80601077157915957</v>
      </c>
      <c r="O10" s="390">
        <f>IFERROR(IF(K10/'Comp.1'!J11&gt;$AA$7,"NM",IF((K10/'Comp.1'!J11)&lt;$AC$7,"NM",K10/'Comp.1'!J11)),"n/a")</f>
        <v>-0.17665769779627227</v>
      </c>
      <c r="P10" s="259"/>
      <c r="Q10" s="465">
        <f>'Capital IQ Sheet-GPC'!AM13</f>
        <v>-47.777000000000001</v>
      </c>
      <c r="R10" s="465">
        <f>'Capital IQ Sheet-GPC'!AN13</f>
        <v>-103.36</v>
      </c>
      <c r="S10" s="465">
        <f>'Capital IQ Sheet-GPC'!AO13</f>
        <v>-110.102</v>
      </c>
      <c r="U10" s="390" t="str">
        <f>IFERROR(IF(Q10/'Comp.1'!H11&gt;$AA$7,"NM",IF((Q10/'Comp.1'!H11)&lt;$AC$7,"NM",Q10/'Comp.1'!H11)),"n/a")</f>
        <v>NM</v>
      </c>
      <c r="V10" s="390" t="str">
        <f>IFERROR(IF(R10/'Comp.1'!I11&gt;$AA$7,"NM",IF((R10/'Comp.1'!I11)&lt;$AC$7,"NM",R10/'Comp.1'!I11)),"n/a")</f>
        <v>NM</v>
      </c>
      <c r="W10" s="390" t="str">
        <f>IFERROR(IF(S10/'Comp.1'!J11&gt;$AA$7,"NM",IF((S10/'Comp.1'!J11)&lt;$AC$7,"NM",S10/'Comp.1'!J11)),"n/a")</f>
        <v>NM</v>
      </c>
      <c r="Z10" s="815" t="str">
        <f>IF('MASTER PubCo Inputs'!B28="","",'MASTER PubCo Inputs'!B28)</f>
        <v>NasdaqGS:ALNY</v>
      </c>
      <c r="AA10" s="234" t="str">
        <f>'Comp.2'!AI12</f>
        <v>Alnylam Pharmaceuticals, Inc., a biopharmaceutical company, focuses on discovering, developing, and commercializing RNA interference (RNAi) therapeutics. The company’s pipeline of investigational RNAi therapeutics focus on genetic medicines, cardio-metabolic diseases, hepatic infectious diseases, and central nervous system/ocular diseases. It provides ONPATTRO (patisiran), a lipid complex injection for the treatment of the polyneuropathy of hereditary transthyretin-mediated amyloidosis in adults. The company’s development programs include Vutrisiran, an investigational RNAi therapeutic targeting transthyretin that is in Phase III trials for the treatment of transthyretin-mediated amyloidosis; Givosiran that is in Phase III trials to treat acute hepatic porphyrias; and Lumasiran, an investigational RNAi therapeutic, which is in Phase III clinical trials for glycolate oxidase to treat primary hyperoxaluria type 1. It is also developing Inclisiran, an investigational RNAi therapeutic targeting proprotein convertase subtilisin/kexin type 9 that is in Phase III clinical trials for the treatment of hypercholesterolemia; and Fitusiran, an investigational RNAi therapeutic that is in Phase III clinical trials for treating hemophilia A and B with or without inhibitors. In addition, the company engages in the development of Cemdisiran for complement-mediated diseases; ALN-AAT02 to treat alpha-1 anti-trypsin deficiency-associated liver disease; ALN-HBV02 for treating chronic hepatitis B virus infection; and other earlier-stage programs. Alnylam Pharmaceuticals, Inc. has strategic alliances primarily with Sanofi Genzyme; The Medicines Company; Ionis Pharmaceuticals, Inc.; and Regeneron Pharmaceuticals, Inc. The company was founded in 2002 and is headquartered in Cambridge, Massachusetts.</v>
      </c>
    </row>
    <row r="11" spans="2:29" ht="14.85" customHeight="1">
      <c r="B11" s="234" t="str">
        <f>'Comp.1'!B12</f>
        <v>bluebird bio, Inc.</v>
      </c>
      <c r="D11" s="390" t="str">
        <f>'Capital IQ Sheet-GPC'!AF14</f>
        <v>n/a</v>
      </c>
      <c r="E11" s="390" t="str">
        <f>'Capital IQ Sheet-GPC'!AG14</f>
        <v>n/a</v>
      </c>
      <c r="F11" s="390" t="str">
        <f>'Capital IQ Sheet-GPC'!AH14</f>
        <v>n/a</v>
      </c>
      <c r="G11" s="390" t="str">
        <f>'Capital IQ Sheet-GPC'!AI14</f>
        <v>n/a</v>
      </c>
      <c r="I11" s="465">
        <f>'Capital IQ Sheet-GPC'!AJ14</f>
        <v>-59.716000000000001</v>
      </c>
      <c r="J11" s="465">
        <f>'Capital IQ Sheet-GPC'!AK14</f>
        <v>-46.052999999999997</v>
      </c>
      <c r="K11" s="465">
        <f>'Capital IQ Sheet-GPC'!AL14</f>
        <v>-100.27200000000001</v>
      </c>
      <c r="M11" s="390" t="str">
        <f>IFERROR(IF(I11/'Comp.1'!H12&gt;$AA$7,"NM",IF((I11/'Comp.1'!H12)&lt;$AC$7,"NM",I11/'Comp.1'!H12)),"n/a")</f>
        <v>NM</v>
      </c>
      <c r="N11" s="390" t="str">
        <f>IFERROR(IF(J11/'Comp.1'!I12&gt;$AA$7,"NM",IF((J11/'Comp.1'!I12)&lt;$AC$7,"NM",J11/'Comp.1'!I12)),"n/a")</f>
        <v>NM</v>
      </c>
      <c r="O11" s="390" t="str">
        <f>IFERROR(IF(K11/'Comp.1'!J12&gt;$AA$7,"NM",IF((K11/'Comp.1'!J12)&lt;$AC$7,"NM",K11/'Comp.1'!J12)),"n/a")</f>
        <v>NM</v>
      </c>
      <c r="P11" s="259"/>
      <c r="Q11" s="465">
        <f>'Capital IQ Sheet-GPC'!AM14</f>
        <v>-18.442</v>
      </c>
      <c r="R11" s="465">
        <f>'Capital IQ Sheet-GPC'!AN14</f>
        <v>-56.432000000000002</v>
      </c>
      <c r="S11" s="465">
        <f>'Capital IQ Sheet-GPC'!AO14</f>
        <v>-61.677999999999997</v>
      </c>
      <c r="U11" s="390" t="str">
        <f>IFERROR(IF(Q11/'Comp.1'!H12&gt;$AA$7,"NM",IF((Q11/'Comp.1'!H12)&lt;$AC$7,"NM",Q11/'Comp.1'!H12)),"n/a")</f>
        <v>NM</v>
      </c>
      <c r="V11" s="390" t="str">
        <f>IFERROR(IF(R11/'Comp.1'!I12&gt;$AA$7,"NM",IF((R11/'Comp.1'!I12)&lt;$AC$7,"NM",R11/'Comp.1'!I12)),"n/a")</f>
        <v>NM</v>
      </c>
      <c r="W11" s="390" t="str">
        <f>IFERROR(IF(S11/'Comp.1'!J12&gt;$AA$7,"NM",IF((S11/'Comp.1'!J12)&lt;$AC$7,"NM",S11/'Comp.1'!J12)),"n/a")</f>
        <v>NM</v>
      </c>
      <c r="Z11" s="815" t="str">
        <f>IF('MASTER PubCo Inputs'!B29="","",'MASTER PubCo Inputs'!B29)</f>
        <v>NasdaqGS:BLUE</v>
      </c>
      <c r="AA11" s="234" t="str">
        <f>'Comp.2'!AI13</f>
        <v>bluebird bio, Inc., a clinical-stage biotechnology company, focuses on developing transformative gene therapies for severe genetic diseases and cancer. Its product candidates in severe genetic diseases include LentiGlobin, which is in various clinical studies for the treatment of transfusion-dependent ß-thalassemia and severe sickle cell disease; and Lenti-D that is in Phase II/III clinical trials for the treatment of cerebral adrenoleukodystrophy, a rare hereditary neurological disorder. The company’s product candidates in oncology include bb2121 and bb21217, which are chimeric antigen receptor T (CAR T) cell product candidates for the treatment of multiple myeloma. It has a strategic collaboration with Celgene Corporation to discover, develop, and commercialize disease-altering gene therapies in oncology; and Regeneron Pharmaceuticals, Inc. to discover, develop, and commercialize various immune cell therapies for cancer. The company also has collaborations with Medigene AG to discover T cell receptor (TCR) product candidates in the field of cancer; Gritstone Oncology, Inc. to discover TCR product candidates in the field of cancer; and TC BioPharm Limited to research and develop gamma delta CAR T cells directed at hematologic and solid tumor targets. The company was formerly known as Genetix Pharmaceuticals, Inc., and changed its name to bluebird bio, Inc. in September 2010. bluebird bio, Inc. was founded in 1992 and is headquartered in Cambridge, Massachusetts.</v>
      </c>
    </row>
    <row r="12" spans="2:29" ht="14.85" customHeight="1">
      <c r="B12" s="234" t="str">
        <f>'Comp.1'!B13</f>
        <v>Ironwood Pharmaceuticals, Inc.</v>
      </c>
      <c r="D12" s="390">
        <f>'Capital IQ Sheet-GPC'!AF15</f>
        <v>0.409943</v>
      </c>
      <c r="E12" s="390">
        <f>'Capital IQ Sheet-GPC'!AG15</f>
        <v>-0.345862</v>
      </c>
      <c r="F12" s="390">
        <f>'Capital IQ Sheet-GPC'!AH15</f>
        <v>-0.40465499999999999</v>
      </c>
      <c r="G12" s="390">
        <f>'Capital IQ Sheet-GPC'!AI15</f>
        <v>-0.821492</v>
      </c>
      <c r="I12" s="465">
        <f>'Capital IQ Sheet-GPC'!AJ15</f>
        <v>-20.443999999999999</v>
      </c>
      <c r="J12" s="465">
        <f>'Capital IQ Sheet-GPC'!AK15</f>
        <v>28.558</v>
      </c>
      <c r="K12" s="465">
        <f>'Capital IQ Sheet-GPC'!AL15</f>
        <v>13.93</v>
      </c>
      <c r="M12" s="390">
        <f>IFERROR(IF(I12/'Comp.1'!H13&gt;$AA$7,"NM",IF((I12/'Comp.1'!H13)&lt;$AC$7,"NM",I12/'Comp.1'!H13)),"n/a")</f>
        <v>-8.5252601071704084E-2</v>
      </c>
      <c r="N12" s="390">
        <f>IFERROR(IF(J12/'Comp.1'!I13&gt;$AA$7,"NM",IF((J12/'Comp.1'!I13)&lt;$AC$7,"NM",J12/'Comp.1'!I13)),"n/a")</f>
        <v>9.7960051727627284E-2</v>
      </c>
      <c r="O12" s="390">
        <f>IFERROR(IF(K12/'Comp.1'!J13&gt;$AA$7,"NM",IF((K12/'Comp.1'!J13)&lt;$AC$7,"NM",K12/'Comp.1'!J13)),"n/a")</f>
        <v>4.4913027357289102E-2</v>
      </c>
      <c r="P12" s="259"/>
      <c r="Q12" s="465">
        <f>'Capital IQ Sheet-GPC'!AM15</f>
        <v>-3.8010000000000002</v>
      </c>
      <c r="R12" s="465">
        <f>'Capital IQ Sheet-GPC'!AN15</f>
        <v>-4.407</v>
      </c>
      <c r="S12" s="465">
        <f>'Capital IQ Sheet-GPC'!AO15</f>
        <v>-6.3220000000000001</v>
      </c>
      <c r="U12" s="390">
        <f>IFERROR(IF(Q12/'Comp.1'!H13&gt;$AA$7,"NM",IF((Q12/'Comp.1'!H13)&lt;$AC$7,"NM",Q12/'Comp.1'!H13)),"n/a")</f>
        <v>-1.5850378432476386E-2</v>
      </c>
      <c r="V12" s="390">
        <f>IFERROR(IF(R12/'Comp.1'!I13&gt;$AA$7,"NM",IF((R12/'Comp.1'!I13)&lt;$AC$7,"NM",R12/'Comp.1'!I13)),"n/a")</f>
        <v>-1.5116953146706824E-2</v>
      </c>
      <c r="W12" s="390">
        <f>IFERROR(IF(S12/'Comp.1'!J13&gt;$AA$7,"NM",IF((S12/'Comp.1'!J13)&lt;$AC$7,"NM",S12/'Comp.1'!J13)),"n/a")</f>
        <v>-2.0383356708742403E-2</v>
      </c>
      <c r="Z12" s="815" t="str">
        <f>IF('MASTER PubCo Inputs'!B30="","",'MASTER PubCo Inputs'!B30)</f>
        <v>NasdaqGS:IRWD</v>
      </c>
      <c r="AA12" s="234" t="str">
        <f>'Comp.2'!AI14</f>
        <v>Ironwood Pharmaceuticals, Inc., a commercial biotechnology company, engages in the research, development, and commercialization of human therapeutic products. The company markets linaclotide, a guanylate cyclase type-C agonist for the treatment of adults suffering from irritable bowel syndrome with constipation (IBS-C) or chronic idiopathic constipation (CIC) under the LINZESS name in the United States and CONSTELLA name in the European Union; MD-7246, an oral, intestinal, non-opioid, pain-relieving agent for patients suffering from IBS with diarrhea; and IW 3718, a gastric retentive formulation of a bile acid sequestrant, which is in Phase III clinical trials for the treatment of GERD. The company pipeline products also include olinciguat, an oral and once-daily vascular sGC stimulator, which is in Phase II trials for the treatment of patients suffering from sickle cell diseases; praliciguat, an oral, once daily systemic sGC stimulator that is in Phase II trials for the treatment of heart failure and for diabetic nephropathy; IW 6463, a central nervous system penetrant oral sGC stimulator in clinical development for serious neurodegenerative diseases; and two organ targeted programs for the treatment of liver and lung. Ironwood Pharmaceuticals, Inc. has collaboration agreements with Allergan plc and AstraZeneca AB to develop and commercialize linaclotide for the treatment of IBS-C, CIC, and other gastrointestinal (GI) conditions in North America, China, Hong Kong, Macau, and Japan, as well as a license agreement with Astellas Pharma Inc. to develop and commercialize linaclotide for the treatment of IBS-C, CIC, and other GI conditions in Japan. The company was formerly known as Microbia, Inc. and changed its name to Ironwood Pharmaceuticals, Inc. in April 2008. Ironwood Pharmaceuticals, Inc. was founded in 1998 and is headquartered in Cambridge, Massachusetts.</v>
      </c>
    </row>
    <row r="13" spans="2:29" ht="14.85" customHeight="1">
      <c r="B13" s="234" t="str">
        <f>'Comp.1'!B14</f>
        <v>Global Blood Therapeutics, Inc.</v>
      </c>
      <c r="D13" s="390" t="str">
        <f>'Capital IQ Sheet-GPC'!AF16</f>
        <v>n/a</v>
      </c>
      <c r="E13" s="390" t="str">
        <f>'Capital IQ Sheet-GPC'!AG16</f>
        <v>n/a</v>
      </c>
      <c r="F13" s="390" t="str">
        <f>'Capital IQ Sheet-GPC'!AH16</f>
        <v>n/a</v>
      </c>
      <c r="G13" s="390" t="str">
        <f>'Capital IQ Sheet-GPC'!AI16</f>
        <v>n/a</v>
      </c>
      <c r="I13" s="465">
        <f>'Capital IQ Sheet-GPC'!AJ16</f>
        <v>-9.7279999999999998</v>
      </c>
      <c r="J13" s="465">
        <f>'Capital IQ Sheet-GPC'!AK16</f>
        <v>-5.9420000000000002</v>
      </c>
      <c r="K13" s="465">
        <f>'Capital IQ Sheet-GPC'!AL16</f>
        <v>-17.975999999999999</v>
      </c>
      <c r="M13" s="390" t="str">
        <f>IFERROR(IF(I13/'Comp.1'!H14&gt;$AA$7,"NM",IF((I13/'Comp.1'!H14)&lt;$AC$7,"NM",I13/'Comp.1'!H14)),"n/a")</f>
        <v>n/a</v>
      </c>
      <c r="N13" s="390" t="str">
        <f>IFERROR(IF(J13/'Comp.1'!I14&gt;$AA$7,"NM",IF((J13/'Comp.1'!I14)&lt;$AC$7,"NM",J13/'Comp.1'!I14)),"n/a")</f>
        <v>n/a</v>
      </c>
      <c r="O13" s="390" t="str">
        <f>IFERROR(IF(K13/'Comp.1'!J14&gt;$AA$7,"NM",IF((K13/'Comp.1'!J14)&lt;$AC$7,"NM",K13/'Comp.1'!J14)),"n/a")</f>
        <v>n/a</v>
      </c>
      <c r="P13" s="259"/>
      <c r="Q13" s="465">
        <f>'Capital IQ Sheet-GPC'!AM16</f>
        <v>-1.3240000000000001</v>
      </c>
      <c r="R13" s="465">
        <f>'Capital IQ Sheet-GPC'!AN16</f>
        <v>-2.0190000000000001</v>
      </c>
      <c r="S13" s="465">
        <f>'Capital IQ Sheet-GPC'!AO16</f>
        <v>-6.274</v>
      </c>
      <c r="U13" s="390" t="str">
        <f>IFERROR(IF(Q13/'Comp.1'!H14&gt;$AA$7,"NM",IF((Q13/'Comp.1'!H14)&lt;$AC$7,"NM",Q13/'Comp.1'!H14)),"n/a")</f>
        <v>n/a</v>
      </c>
      <c r="V13" s="390" t="str">
        <f>IFERROR(IF(R13/'Comp.1'!I14&gt;$AA$7,"NM",IF((R13/'Comp.1'!I14)&lt;$AC$7,"NM",R13/'Comp.1'!I14)),"n/a")</f>
        <v>n/a</v>
      </c>
      <c r="W13" s="390" t="str">
        <f>IFERROR(IF(S13/'Comp.1'!J14&gt;$AA$7,"NM",IF((S13/'Comp.1'!J14)&lt;$AC$7,"NM",S13/'Comp.1'!J14)),"n/a")</f>
        <v>n/a</v>
      </c>
      <c r="Z13" s="815" t="str">
        <f>IF('MASTER PubCo Inputs'!B31="","",'MASTER PubCo Inputs'!B31)</f>
        <v>NasdaqGS:GBT</v>
      </c>
      <c r="AA13" s="234" t="str">
        <f>'Comp.2'!AI15</f>
        <v>Global Blood Therapeutics, Inc., a clinical-stage biopharmaceutical company, engages in the discovery, development, and delivery of treatments for underserved patient communities. It is developing its lead product candidate, voxelotor, an oral, once-daily therapy for sickle cell disease (SCD). The company is evaluating voxelotor in SCD in a Phase III clinical trial in adult and adolescent patients with SCD. It is also evaluating the safety and pharmacokinetics of single and multiple doses of voxelotor in a Phase IIa clinical trial of adolescent and pediatric patients with SCD. Global Blood Therapeutics, Inc. was founded in 2011 and is headquartered in South San Francisco, California.</v>
      </c>
    </row>
    <row r="14" spans="2:29" ht="14.85" customHeight="1">
      <c r="B14" s="234" t="str">
        <f>'Comp.1'!B15</f>
        <v>Acceleron Pharma Inc.</v>
      </c>
      <c r="D14" s="390">
        <f>'Capital IQ Sheet-GPC'!AF17</f>
        <v>-0.97283799999999998</v>
      </c>
      <c r="E14" s="390" t="str">
        <f>'Capital IQ Sheet-GPC'!AG17</f>
        <v>n/a</v>
      </c>
      <c r="F14" s="390" t="str">
        <f>'Capital IQ Sheet-GPC'!AH17</f>
        <v>n/a</v>
      </c>
      <c r="G14" s="390" t="str">
        <f>'Capital IQ Sheet-GPC'!AI17</f>
        <v>n/a</v>
      </c>
      <c r="I14" s="465">
        <f>'Capital IQ Sheet-GPC'!AJ17</f>
        <v>-9.4969999999999999</v>
      </c>
      <c r="J14" s="465">
        <f>'Capital IQ Sheet-GPC'!AK17</f>
        <v>-9.6709999999999994</v>
      </c>
      <c r="K14" s="465">
        <f>'Capital IQ Sheet-GPC'!AL17</f>
        <v>-4.33</v>
      </c>
      <c r="M14" s="390">
        <f>IFERROR(IF(I14/'Comp.1'!H15&gt;$AA$7,"NM",IF((I14/'Comp.1'!H15)&lt;$AC$7,"NM",I14/'Comp.1'!H15)),"n/a")</f>
        <v>-0.33671334869703956</v>
      </c>
      <c r="N14" s="390">
        <f>IFERROR(IF(J14/'Comp.1'!I15&gt;$AA$7,"NM",IF((J14/'Comp.1'!I15)&lt;$AC$7,"NM",J14/'Comp.1'!I15)),"n/a")</f>
        <v>-0.73571700266260931</v>
      </c>
      <c r="O14" s="390">
        <f>IFERROR(IF(K14/'Comp.1'!J15&gt;$AA$7,"NM",IF((K14/'Comp.1'!J15)&lt;$AC$7,"NM",K14/'Comp.1'!J15)),"n/a")</f>
        <v>-0.31195965417867433</v>
      </c>
      <c r="P14" s="259"/>
      <c r="Q14" s="465">
        <f>'Capital IQ Sheet-GPC'!AM17</f>
        <v>-2.5459999999999998</v>
      </c>
      <c r="R14" s="465">
        <f>'Capital IQ Sheet-GPC'!AN17</f>
        <v>-4.7729999999999997</v>
      </c>
      <c r="S14" s="465">
        <f>'Capital IQ Sheet-GPC'!AO17</f>
        <v>-2.6579999999999999</v>
      </c>
      <c r="U14" s="390">
        <f>IFERROR(IF(Q14/'Comp.1'!H15&gt;$AA$7,"NM",IF((Q14/'Comp.1'!H15)&lt;$AC$7,"NM",Q14/'Comp.1'!H15)),"n/a")</f>
        <v>-9.0267683034922885E-2</v>
      </c>
      <c r="V14" s="390">
        <f>IFERROR(IF(R14/'Comp.1'!I15&gt;$AA$7,"NM",IF((R14/'Comp.1'!I15)&lt;$AC$7,"NM",R14/'Comp.1'!I15)),"n/a")</f>
        <v>-0.3631038417649296</v>
      </c>
      <c r="W14" s="390">
        <f>IFERROR(IF(S14/'Comp.1'!J15&gt;$AA$7,"NM",IF((S14/'Comp.1'!J15)&lt;$AC$7,"NM",S14/'Comp.1'!J15)),"n/a")</f>
        <v>-0.19149855907780977</v>
      </c>
      <c r="Z14" s="815" t="str">
        <f>IF('MASTER PubCo Inputs'!B32="","",'MASTER PubCo Inputs'!B32)</f>
        <v>NasdaqGM:XLRN</v>
      </c>
      <c r="AA14" s="234" t="str">
        <f>'Comp.2'!AI16</f>
        <v>Acceleron Pharma Inc., a clinical stage biopharmaceutical company, focuses on the discovery, development, and commercialization of therapeutics to treat serious and rare diseases. Its therapeutic candidates include luspatercept, which completed Phase III clinical trials for the treatment of myelodysplastic syndromes, beta-thalassemia, and myelofibrosis; Phase II clinical trials for the treatment of patients with transfusion-dependent beta-thalassemia. The company is also developing and sotatercept for the treatment of patients with pulmonary hypertension. In addition, the company is developing ACE-083, a neuromuscular candidate that is in Phase II clinical trials for the treatment of patients with facioscapulohumeral dystrophy and Charcot-Marie-Tooth disease; and ACE-2494, which is in Phase I clinical trials for the treatment of systemic muscle disorders. It has a collaboration, license, and option agreement with Celgene Corporation. The company was formerly known as Phoenix Pharma, Inc. Acceleron Pharma Inc. was founded in 2003 and is headquartered in Cambridge, Massachusetts.</v>
      </c>
    </row>
    <row r="15" spans="2:29" ht="14.85" customHeight="1">
      <c r="B15" s="234" t="str">
        <f>'Comp.1'!B16</f>
        <v>Spark Therapeutics, Inc.</v>
      </c>
      <c r="D15" s="390">
        <f>'Capital IQ Sheet-GPC'!AF18</f>
        <v>0.90133300000000005</v>
      </c>
      <c r="E15" s="390" t="str">
        <f>'Capital IQ Sheet-GPC'!AG18</f>
        <v>n/a</v>
      </c>
      <c r="F15" s="390" t="str">
        <f>'Capital IQ Sheet-GPC'!AH18</f>
        <v>n/a</v>
      </c>
      <c r="G15" s="390">
        <f>'Capital IQ Sheet-GPC'!AI18</f>
        <v>-1.2782340000000001</v>
      </c>
      <c r="I15" s="465">
        <f>'Capital IQ Sheet-GPC'!AJ18</f>
        <v>-21.251919999999998</v>
      </c>
      <c r="J15" s="465">
        <f>'Capital IQ Sheet-GPC'!AK18</f>
        <v>-20.216439999999999</v>
      </c>
      <c r="K15" s="465">
        <f>'Capital IQ Sheet-GPC'!AL18</f>
        <v>-11.263</v>
      </c>
      <c r="M15" s="390" t="str">
        <f>IFERROR(IF(I15/'Comp.1'!H16&gt;$AA$7,"NM",IF((I15/'Comp.1'!H16)&lt;$AC$7,"NM",I15/'Comp.1'!H16)),"n/a")</f>
        <v>NM</v>
      </c>
      <c r="N15" s="390">
        <f>IFERROR(IF(J15/'Comp.1'!I16&gt;$AA$7,"NM",IF((J15/'Comp.1'!I16)&lt;$AC$7,"NM",J15/'Comp.1'!I16)),"n/a")</f>
        <v>-0.96453447291218075</v>
      </c>
      <c r="O15" s="390">
        <f>IFERROR(IF(K15/'Comp.1'!J16&gt;$AA$7,"NM",IF((K15/'Comp.1'!J16)&lt;$AC$7,"NM",K15/'Comp.1'!J16)),"n/a")</f>
        <v>-0.19097391780881379</v>
      </c>
      <c r="P15" s="259"/>
      <c r="Q15" s="465">
        <f>'Capital IQ Sheet-GPC'!AM18</f>
        <v>-8.9101400000000002</v>
      </c>
      <c r="R15" s="465">
        <f>'Capital IQ Sheet-GPC'!AN18</f>
        <v>-9.96129</v>
      </c>
      <c r="S15" s="465">
        <f>'Capital IQ Sheet-GPC'!AO18</f>
        <v>-15.678710000000001</v>
      </c>
      <c r="U15" s="390">
        <f>IFERROR(IF(Q15/'Comp.1'!H16&gt;$AA$7,"NM",IF((Q15/'Comp.1'!H16)&lt;$AC$7,"NM",Q15/'Comp.1'!H16)),"n/a")</f>
        <v>-0.42272547851202974</v>
      </c>
      <c r="V15" s="390">
        <f>IFERROR(IF(R15/'Comp.1'!I16&gt;$AA$7,"NM",IF((R15/'Comp.1'!I16)&lt;$AC$7,"NM",R15/'Comp.1'!I16)),"n/a")</f>
        <v>-0.47525714713744743</v>
      </c>
      <c r="W15" s="390">
        <f>IFERROR(IF(S15/'Comp.1'!J16&gt;$AA$7,"NM",IF((S15/'Comp.1'!J16)&lt;$AC$7,"NM",S15/'Comp.1'!J16)),"n/a")</f>
        <v>-0.26584610449154106</v>
      </c>
      <c r="Z15" s="815" t="str">
        <f>IF('MASTER PubCo Inputs'!B33="","",'MASTER PubCo Inputs'!B33)</f>
        <v>NasdaqGS:ONCE</v>
      </c>
      <c r="AA15" s="234" t="str">
        <f>'Comp.2'!AI17</f>
        <v>Spark Therapeutics, Inc. focuses on the development of gene therapy products for patients suffering from debilitating genetic diseases. Its products include LUXTURNA (voretigene neparvovec), which is in Phase III clinical trial for the treatment of genetic blinding conditions caused by mutations in the RPE65 gene; and SPK-CHM that is in Phase I/II clinical trial for the treatment of choroideremia. The company’s products also comprise SPK-7001 that is in Phase 1/2 trial for choroideremia; SPK-9001, which is in Phase 1/2 trial for hemophilia B; and SPK-8011 that is in Phase 1/2 trial hemophilia A. In addition, its product candidates and development programs include SPK-FVIII program to treat hemophilia A; SPK-TPP1 program for the treatment of CLN2 disease; RhoNova for the treatment of rhodopsin-linked autosomal dominant retinitis pigmentosa;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v>
      </c>
    </row>
    <row r="16" spans="2:29" ht="14.85" customHeight="1">
      <c r="B16" s="234" t="str">
        <f>'Comp.1'!B17</f>
        <v>REGENXBIO Inc.</v>
      </c>
      <c r="D16" s="390">
        <f>'Capital IQ Sheet-GPC'!AF19</f>
        <v>0.55426399999999998</v>
      </c>
      <c r="E16" s="390">
        <f>'Capital IQ Sheet-GPC'!AG19</f>
        <v>0.40299699999999999</v>
      </c>
      <c r="F16" s="390">
        <f>'Capital IQ Sheet-GPC'!AH19</f>
        <v>0.38411699999999999</v>
      </c>
      <c r="G16" s="390">
        <f>'Capital IQ Sheet-GPC'!AI19</f>
        <v>0.44298199999999999</v>
      </c>
      <c r="I16" s="465">
        <f>'Capital IQ Sheet-GPC'!AJ19</f>
        <v>-9.532</v>
      </c>
      <c r="J16" s="465">
        <f>'Capital IQ Sheet-GPC'!AK19</f>
        <v>-7.9</v>
      </c>
      <c r="K16" s="465">
        <f>'Capital IQ Sheet-GPC'!AL19</f>
        <v>-5.3520000000000003</v>
      </c>
      <c r="M16" s="390" t="str">
        <f>IFERROR(IF(I16/'Comp.1'!H17&gt;$AA$7,"NM",IF((I16/'Comp.1'!H17)&lt;$AC$7,"NM",I16/'Comp.1'!H17)),"n/a")</f>
        <v>NM</v>
      </c>
      <c r="N16" s="390">
        <f>IFERROR(IF(J16/'Comp.1'!I17&gt;$AA$7,"NM",IF((J16/'Comp.1'!I17)&lt;$AC$7,"NM",J16/'Comp.1'!I17)),"n/a")</f>
        <v>-0.78614787541048869</v>
      </c>
      <c r="O16" s="390">
        <f>IFERROR(IF(K16/'Comp.1'!J17&gt;$AA$7,"NM",IF((K16/'Comp.1'!J17)&lt;$AC$7,"NM",K16/'Comp.1'!J17)),"n/a")</f>
        <v>-2.9771705754083042E-2</v>
      </c>
      <c r="P16" s="259"/>
      <c r="Q16" s="465">
        <f>'Capital IQ Sheet-GPC'!AM19</f>
        <v>-3.8420000000000001</v>
      </c>
      <c r="R16" s="465">
        <f>'Capital IQ Sheet-GPC'!AN19</f>
        <v>-9.4939999999999998</v>
      </c>
      <c r="S16" s="465">
        <f>'Capital IQ Sheet-GPC'!AO19</f>
        <v>-10.49</v>
      </c>
      <c r="U16" s="390">
        <f>IFERROR(IF(Q16/'Comp.1'!H17&gt;$AA$7,"NM",IF((Q16/'Comp.1'!H17)&lt;$AC$7,"NM",Q16/'Comp.1'!H17)),"n/a")</f>
        <v>-0.52336193979021928</v>
      </c>
      <c r="V16" s="390">
        <f>IFERROR(IF(R16/'Comp.1'!I17&gt;$AA$7,"NM",IF((R16/'Comp.1'!I17)&lt;$AC$7,"NM",R16/'Comp.1'!I17)),"n/a")</f>
        <v>-0.94477062394268085</v>
      </c>
      <c r="W16" s="390">
        <f>IFERROR(IF(S16/'Comp.1'!J17&gt;$AA$7,"NM",IF((S16/'Comp.1'!J17)&lt;$AC$7,"NM",S16/'Comp.1'!J17)),"n/a")</f>
        <v>-5.835298829602599E-2</v>
      </c>
      <c r="Z16" s="815" t="str">
        <f>IF('MASTER PubCo Inputs'!B34="","",'MASTER PubCo Inputs'!B34)</f>
        <v>NasdaqGS:RGNX</v>
      </c>
      <c r="AA16" s="234" t="str">
        <f>'Comp.2'!AI18</f>
        <v>REGENXBIO Inc., a clinical-stage biotechnology company, provides gene therapy product candidates to deliver genes to cells to address genetic defects or to enable cells in the body to produce therapeutic proteins or antibodies that are intended to impact disease. Its gene therapy product candidates are based on NAV Technology Platform, a proprietary adeno-associated virus (AAV) gene delivery platform. The company’s lead product candidate is RGX-314, which is in Phase I/IIa clinical trials for the treatment of wet age-related macular degeneration. It is also developing RGX-121 that is in Phase I/II clinical trials to treat mucopolysaccharidosis type II; RGX-111 for treating mucopolysaccharidosis type I; RGX-181 for the treatment of late infantile neuronal ceroid lipofuscinosis type II disease; and RGX-501, which is in Phase I/II clinical trials to treat homozygous familial hypercholesterolemia. REGENXBIO Inc. also licenses its NAV Technology Platform to other biotechnology and pharmaceutical companies. The company was formerly known as REGENX Biosciences, LLC and changed its name to REGENXBIO Inc. in September 2014. REGENXBIO Inc. was founded in 2008 and is headquartered in Rockville, Maryland.</v>
      </c>
    </row>
    <row r="17" spans="2:27" ht="14.85" customHeight="1">
      <c r="B17" s="234" t="str">
        <f>'Comp.1'!B18</f>
        <v>uniQure N.V.</v>
      </c>
      <c r="D17" s="390" t="str">
        <f>'Capital IQ Sheet-GPC'!AF20</f>
        <v>n/a</v>
      </c>
      <c r="E17" s="390" t="str">
        <f>'Capital IQ Sheet-GPC'!AG20</f>
        <v>n/a</v>
      </c>
      <c r="F17" s="390" t="str">
        <f>'Capital IQ Sheet-GPC'!AH20</f>
        <v>n/a</v>
      </c>
      <c r="G17" s="390" t="str">
        <f>'Capital IQ Sheet-GPC'!AI20</f>
        <v>n/a</v>
      </c>
      <c r="I17" s="465">
        <f>'Capital IQ Sheet-GPC'!AJ20</f>
        <v>-11.94515</v>
      </c>
      <c r="J17" s="465">
        <f>'Capital IQ Sheet-GPC'!AK20</f>
        <v>-15.760999999999999</v>
      </c>
      <c r="K17" s="465">
        <f>'Capital IQ Sheet-GPC'!AL20</f>
        <v>-18.366</v>
      </c>
      <c r="M17" s="390">
        <f>IFERROR(IF(I17/'Comp.1'!H18&gt;$AA$7,"NM",IF((I17/'Comp.1'!H18)&lt;$AC$7,"NM",I17/'Comp.1'!H18)),"n/a")</f>
        <v>-0.59891499725490294</v>
      </c>
      <c r="N17" s="390">
        <f>IFERROR(IF(J17/'Comp.1'!I18&gt;$AA$7,"NM",IF((J17/'Comp.1'!I18)&lt;$AC$7,"NM",J17/'Comp.1'!I18)),"n/a")</f>
        <v>-0.80192327261626128</v>
      </c>
      <c r="O17" s="390" t="str">
        <f>IFERROR(IF(K17/'Comp.1'!J18&gt;$AA$7,"NM",IF((K17/'Comp.1'!J18)&lt;$AC$7,"NM",K17/'Comp.1'!J18)),"n/a")</f>
        <v>NM</v>
      </c>
      <c r="P17" s="259"/>
      <c r="Q17" s="465">
        <f>'Capital IQ Sheet-GPC'!AM20</f>
        <v>-14.944039999999999</v>
      </c>
      <c r="R17" s="465">
        <f>'Capital IQ Sheet-GPC'!AN20</f>
        <v>-7.4980000000000002</v>
      </c>
      <c r="S17" s="465">
        <f>'Capital IQ Sheet-GPC'!AO20</f>
        <v>-3.0219999999999998</v>
      </c>
      <c r="U17" s="390">
        <f>IFERROR(IF(Q17/'Comp.1'!H18&gt;$AA$7,"NM",IF((Q17/'Comp.1'!H18)&lt;$AC$7,"NM",Q17/'Comp.1'!H18)),"n/a")</f>
        <v>-0.74927562027912242</v>
      </c>
      <c r="V17" s="390">
        <f>IFERROR(IF(R17/'Comp.1'!I18&gt;$AA$7,"NM",IF((R17/'Comp.1'!I18)&lt;$AC$7,"NM",R17/'Comp.1'!I18)),"n/a")</f>
        <v>-0.38149994911977209</v>
      </c>
      <c r="W17" s="390">
        <f>IFERROR(IF(S17/'Comp.1'!J18&gt;$AA$7,"NM",IF((S17/'Comp.1'!J18)&lt;$AC$7,"NM",S17/'Comp.1'!J18)),"n/a")</f>
        <v>-0.24649265905383358</v>
      </c>
      <c r="Z17" s="815" t="str">
        <f>IF('MASTER PubCo Inputs'!B35="","",'MASTER PubCo Inputs'!B35)</f>
        <v>NasdaqGS:QURE</v>
      </c>
      <c r="AA17" s="234" t="str">
        <f>'Comp.2'!AI19</f>
        <v>uniQure N.V., a gene therapy company, engages in the discovery, development, and commercialization of gene therapies in the Netherlands. The company develops AMT-060, which is in Phase I/II clinical trial to treat hemophilia B; AMT-061, a gene therapy that is in Phase III clinical trial for the treatment of hemophilia; and AMT-126, a gene therapy for the treatment of congestive heart failure and AMT-130 to treat huntington’s disease. The company has collaboration and license agreements with Bristol-Myers Squibb Company, 4D Molecular Therapeutics, Synpromics. uniQure N.V. was founded in 1998 and is headquartered in Amsterdam, the Netherlands.</v>
      </c>
    </row>
    <row r="18" spans="2:27" ht="14.85" customHeight="1">
      <c r="B18" s="234" t="str">
        <f>'Comp.1'!B19</f>
        <v>Audentes Therapeutics, Inc.</v>
      </c>
      <c r="D18" s="390" t="str">
        <f>'Capital IQ Sheet-GPC'!AF21</f>
        <v>n/a</v>
      </c>
      <c r="E18" s="390" t="str">
        <f>'Capital IQ Sheet-GPC'!AG21</f>
        <v>n/a</v>
      </c>
      <c r="F18" s="390" t="str">
        <f>'Capital IQ Sheet-GPC'!AH21</f>
        <v>n/a</v>
      </c>
      <c r="G18" s="390" t="str">
        <f>'Capital IQ Sheet-GPC'!AI21</f>
        <v>n/a</v>
      </c>
      <c r="I18" s="465">
        <f>'Capital IQ Sheet-GPC'!AJ21</f>
        <v>-4.056</v>
      </c>
      <c r="J18" s="465">
        <f>'Capital IQ Sheet-GPC'!AK21</f>
        <v>-8.8490000000000002</v>
      </c>
      <c r="K18" s="465">
        <f>'Capital IQ Sheet-GPC'!AL21</f>
        <v>-14.603999999999999</v>
      </c>
      <c r="M18" s="390" t="str">
        <f>IFERROR(IF(I18/'Comp.1'!H19&gt;$AA$7,"NM",IF((I18/'Comp.1'!H19)&lt;$AC$7,"NM",I18/'Comp.1'!H19)),"n/a")</f>
        <v>n/a</v>
      </c>
      <c r="N18" s="390" t="str">
        <f>IFERROR(IF(J18/'Comp.1'!I19&gt;$AA$7,"NM",IF((J18/'Comp.1'!I19)&lt;$AC$7,"NM",J18/'Comp.1'!I19)),"n/a")</f>
        <v>n/a</v>
      </c>
      <c r="O18" s="390" t="str">
        <f>IFERROR(IF(K18/'Comp.1'!J19&gt;$AA$7,"NM",IF((K18/'Comp.1'!J19)&lt;$AC$7,"NM",K18/'Comp.1'!J19)),"n/a")</f>
        <v>n/a</v>
      </c>
      <c r="P18" s="259"/>
      <c r="Q18" s="465">
        <f>'Capital IQ Sheet-GPC'!AM21</f>
        <v>-15.183</v>
      </c>
      <c r="R18" s="465">
        <f>'Capital IQ Sheet-GPC'!AN21</f>
        <v>-7.3250000000000002</v>
      </c>
      <c r="S18" s="465">
        <f>'Capital IQ Sheet-GPC'!AO21</f>
        <v>-10.593999999999999</v>
      </c>
      <c r="U18" s="390" t="str">
        <f>IFERROR(IF(Q18/'Comp.1'!H19&gt;$AA$7,"NM",IF((Q18/'Comp.1'!H19)&lt;$AC$7,"NM",Q18/'Comp.1'!H19)),"n/a")</f>
        <v>n/a</v>
      </c>
      <c r="V18" s="390" t="str">
        <f>IFERROR(IF(R18/'Comp.1'!I19&gt;$AA$7,"NM",IF((R18/'Comp.1'!I19)&lt;$AC$7,"NM",R18/'Comp.1'!I19)),"n/a")</f>
        <v>n/a</v>
      </c>
      <c r="W18" s="390" t="str">
        <f>IFERROR(IF(S18/'Comp.1'!J19&gt;$AA$7,"NM",IF((S18/'Comp.1'!J19)&lt;$AC$7,"NM",S18/'Comp.1'!J19)),"n/a")</f>
        <v>n/a</v>
      </c>
      <c r="Z18" s="815" t="str">
        <f>IF('MASTER PubCo Inputs'!B36="","",'MASTER PubCo Inputs'!B36)</f>
        <v>NasdaqGM:BOLD</v>
      </c>
      <c r="AA18" s="234" t="str">
        <f>'Comp.2'!AI20</f>
        <v>Audentes Therapeutics, Inc., a clinical stage biotechnology company, focuses on developing and commercializing gene therapy products for patients suffering from diseases caused by single gene defects. The company is developing AT132, which is in Phase I/II clinical studies for the treatment of X-linked myotubular myopathy (XLMTM); AT342 that is in Phase I/II clinical studies to treat crigler-najjar syndrome; AT982, which is in preclinical studies for the treatment of pompe disease; and AT307 that is in preclinical studies to treat CASQ2 subtype of catecholaminergic polymorphic ventricular tachycardia. Audentes Therapeutics, Inc. has a collaborative development agreement with Genethon to research, develop, manufacture, and commercialize products for the treatment of XLMTM; and license and collaboration agreement with the University of Pennsylvania to research, develop, sell, and import licensed products for the treatment of crigler-najjar. The company was founded in 2012 and is headquartered in San Francisco, California.</v>
      </c>
    </row>
    <row r="19" spans="2:27" ht="14.85" customHeight="1">
      <c r="B19" s="234" t="str">
        <f>'Comp.1'!B20</f>
        <v>Sangamo Therapeutics, Inc.</v>
      </c>
      <c r="D19" s="390">
        <f>'Capital IQ Sheet-GPC'!AF22</f>
        <v>-0.42857699999999999</v>
      </c>
      <c r="E19" s="390">
        <f>'Capital IQ Sheet-GPC'!AG22</f>
        <v>-0.962032</v>
      </c>
      <c r="F19" s="390">
        <f>'Capital IQ Sheet-GPC'!AH22</f>
        <v>-0.99224800000000002</v>
      </c>
      <c r="G19" s="390">
        <f>'Capital IQ Sheet-GPC'!AI22</f>
        <v>-0.88780899999999996</v>
      </c>
      <c r="I19" s="465">
        <f>'Capital IQ Sheet-GPC'!AJ22</f>
        <v>-10.603999999999999</v>
      </c>
      <c r="J19" s="465">
        <f>'Capital IQ Sheet-GPC'!AK22</f>
        <v>-37.307000000000002</v>
      </c>
      <c r="K19" s="465">
        <f>'Capital IQ Sheet-GPC'!AL22</f>
        <v>-64.491</v>
      </c>
      <c r="M19" s="390">
        <f>IFERROR(IF(I19/'Comp.1'!H20&gt;$AA$7,"NM",IF((I19/'Comp.1'!H20)&lt;$AC$7,"NM",I19/'Comp.1'!H20)),"n/a")</f>
        <v>-0.54135184807024705</v>
      </c>
      <c r="N19" s="390" t="str">
        <f>IFERROR(IF(J19/'Comp.1'!I20&gt;$AA$7,"NM",IF((J19/'Comp.1'!I20)&lt;$AC$7,"NM",J19/'Comp.1'!I20)),"n/a")</f>
        <v>NM</v>
      </c>
      <c r="O19" s="390">
        <f>IFERROR(IF(K19/'Comp.1'!J20&gt;$AA$7,"NM",IF((K19/'Comp.1'!J20)&lt;$AC$7,"NM",K19/'Comp.1'!J20)),"n/a")</f>
        <v>-0.91228144627397734</v>
      </c>
      <c r="P19" s="259"/>
      <c r="Q19" s="465">
        <f>'Capital IQ Sheet-GPC'!AM22</f>
        <v>1.8180000000000001</v>
      </c>
      <c r="R19" s="465">
        <f>'Capital IQ Sheet-GPC'!AN22</f>
        <v>-3.0960000000000001</v>
      </c>
      <c r="S19" s="465">
        <f>'Capital IQ Sheet-GPC'!AO22</f>
        <v>-15.906000000000001</v>
      </c>
      <c r="U19" s="390">
        <f>IFERROR(IF(Q19/'Comp.1'!H20&gt;$AA$7,"NM",IF((Q19/'Comp.1'!H20)&lt;$AC$7,"NM",Q19/'Comp.1'!H20)),"n/a")</f>
        <v>9.2811925668776801E-2</v>
      </c>
      <c r="V19" s="390">
        <f>IFERROR(IF(R19/'Comp.1'!I20&gt;$AA$7,"NM",IF((R19/'Comp.1'!I20)&lt;$AC$7,"NM",R19/'Comp.1'!I20)),"n/a")</f>
        <v>-9.5520177711958545E-2</v>
      </c>
      <c r="W19" s="390">
        <f>IFERROR(IF(S19/'Comp.1'!J20&gt;$AA$7,"NM",IF((S19/'Comp.1'!J20)&lt;$AC$7,"NM",S19/'Comp.1'!J20)),"n/a")</f>
        <v>-0.22500424376167039</v>
      </c>
      <c r="Z19" s="815" t="str">
        <f>IF('MASTER PubCo Inputs'!B37="","",'MASTER PubCo Inputs'!B37)</f>
        <v>NasdaqGS:SGMO</v>
      </c>
      <c r="AA19" s="234" t="str">
        <f>'Comp.2'!AI21</f>
        <v>Sangamo Therapeutics, Inc. focuses on translating science into genomic therapies that transform patients' lives using platform technologies in genome editing, gene therapy, gene regulation, and cell therapy. The company’s zinc finger DNA-binding protein (ZFP) technology enables specific genome editing and gene regulation. The ZFPs could be engineered to make ZFP nucleases (ZFNs), proteins that could be used to modify DNA sequences by adding or knocking out specific genes; and ZFP transcription factors (ZFP TFs), proteins that can be used to turn genes on or off. Its therapeutic products include SB-728-T, a ZFN-mediated autologous T-cell product for human immunodeficiency virus and acquired immunodeficiency syndrome (HIV/AIDS), which is in Phase II and I clinical trials; and SB-728-HSPC that is in Phase I/II clinical trials for HIV/AIDS. The company also engages in Phase I/II studies of in vivo genome editing applications of ZFP Therapeutics for Hemophilia B, Hemophilia A, and Mucopolysaccharidosis I (MPS) and MPS II, which are lysosomal storage disorder (LSD); preclinical programs in other LSDs; and research stage programs in central nervous system disorders and cancer immunotherapies. It has collaborative partnerships with Biogen Inc. to develop therapeutic genome editing products in hemoglobinopathies; and Shire International GmbH to develop preclinical development program in Huntington’s disease, as well as license agreements with Sigma-Aldrich Corporation to develop laboratory research reagents and Dow AgroSciences, LLC to modify the protein expression of plant cells and plants. The company also has a research collaboration and license agreement with Pfizer Inc; and collaboration with Kite for developing ex vivo cell therapies in oncology. The company was formerly known as Sangamo BioSciences, Inc. and changed its name to Sangamo Therapeutics, Inc. in January 2017. Sangamo Therapeutics, Inc. was founded in 1995 and is headquartered in Richmond, California.</v>
      </c>
    </row>
    <row r="20" spans="2:27" ht="14.85" customHeight="1">
      <c r="B20" s="234" t="str">
        <f>'Comp.1'!B21</f>
        <v>Homology Medicines, Inc.</v>
      </c>
      <c r="D20" s="390" t="str">
        <f>'Capital IQ Sheet-GPC'!AF23</f>
        <v>n/a</v>
      </c>
      <c r="E20" s="390" t="str">
        <f>'Capital IQ Sheet-GPC'!AG23</f>
        <v>n/a</v>
      </c>
      <c r="F20" s="390" t="str">
        <f>'Capital IQ Sheet-GPC'!AH23</f>
        <v>n/a</v>
      </c>
      <c r="G20" s="390" t="str">
        <f>'Capital IQ Sheet-GPC'!AI23</f>
        <v>n/a</v>
      </c>
      <c r="I20" s="465" t="str">
        <f>'Capital IQ Sheet-GPC'!AJ23</f>
        <v>n/a</v>
      </c>
      <c r="J20" s="465">
        <f>'Capital IQ Sheet-GPC'!AK23</f>
        <v>-1.5363500000000001</v>
      </c>
      <c r="K20" s="465">
        <f>'Capital IQ Sheet-GPC'!AL23</f>
        <v>-10.25165</v>
      </c>
      <c r="M20" s="390" t="str">
        <f>IFERROR(IF(I20/'Comp.1'!H21&gt;$AA$7,"NM",IF((I20/'Comp.1'!H21)&lt;$AC$7,"NM",I20/'Comp.1'!H21)),"n/a")</f>
        <v>n/a</v>
      </c>
      <c r="N20" s="390" t="str">
        <f>IFERROR(IF(J20/'Comp.1'!I21&gt;$AA$7,"NM",IF((J20/'Comp.1'!I21)&lt;$AC$7,"NM",J20/'Comp.1'!I21)),"n/a")</f>
        <v>n/a</v>
      </c>
      <c r="O20" s="390" t="str">
        <f>IFERROR(IF(K20/'Comp.1'!J21&gt;$AA$7,"NM",IF((K20/'Comp.1'!J21)&lt;$AC$7,"NM",K20/'Comp.1'!J21)),"n/a")</f>
        <v>NM</v>
      </c>
      <c r="P20" s="259"/>
      <c r="Q20" s="465" t="str">
        <f>'Capital IQ Sheet-GPC'!AM23</f>
        <v>n/a</v>
      </c>
      <c r="R20" s="465">
        <f>'Capital IQ Sheet-GPC'!AN23</f>
        <v>-1.98933</v>
      </c>
      <c r="S20" s="465">
        <f>'Capital IQ Sheet-GPC'!AO23</f>
        <v>-9.3455200000000005</v>
      </c>
      <c r="U20" s="390" t="str">
        <f>IFERROR(IF(Q20/'Comp.1'!H21&gt;$AA$7,"NM",IF((Q20/'Comp.1'!H21)&lt;$AC$7,"NM",Q20/'Comp.1'!H21)),"n/a")</f>
        <v>n/a</v>
      </c>
      <c r="V20" s="390" t="str">
        <f>IFERROR(IF(R20/'Comp.1'!I21&gt;$AA$7,"NM",IF((R20/'Comp.1'!I21)&lt;$AC$7,"NM",R20/'Comp.1'!I21)),"n/a")</f>
        <v>n/a</v>
      </c>
      <c r="W20" s="390" t="str">
        <f>IFERROR(IF(S20/'Comp.1'!J21&gt;$AA$7,"NM",IF((S20/'Comp.1'!J21)&lt;$AC$7,"NM",S20/'Comp.1'!J21)),"n/a")</f>
        <v>NM</v>
      </c>
      <c r="Z20" s="815" t="str">
        <f>IF('MASTER PubCo Inputs'!B38="","",'MASTER PubCo Inputs'!B38)</f>
        <v>NasdaqGS:FIXX</v>
      </c>
      <c r="AA20" s="234" t="str">
        <f>'Comp.2'!AI22</f>
        <v>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v>
      </c>
    </row>
    <row r="21" spans="2:27" ht="14.85" customHeight="1">
      <c r="B21" s="234" t="str">
        <f>'Comp.1'!B22</f>
        <v>Corbus Pharmaceuticals Holdings, Inc.</v>
      </c>
      <c r="D21" s="390" t="str">
        <f>'Capital IQ Sheet-GPC'!AF24</f>
        <v>n/a</v>
      </c>
      <c r="E21" s="390" t="str">
        <f>'Capital IQ Sheet-GPC'!AG24</f>
        <v>n/a</v>
      </c>
      <c r="F21" s="390" t="str">
        <f>'Capital IQ Sheet-GPC'!AH24</f>
        <v>n/a</v>
      </c>
      <c r="G21" s="390" t="str">
        <f>'Capital IQ Sheet-GPC'!AI24</f>
        <v>n/a</v>
      </c>
      <c r="I21" s="465">
        <f>'Capital IQ Sheet-GPC'!AJ24</f>
        <v>-6.1114100000000002</v>
      </c>
      <c r="J21" s="465">
        <f>'Capital IQ Sheet-GPC'!AK24</f>
        <v>-4.9152500000000003</v>
      </c>
      <c r="K21" s="465">
        <f>'Capital IQ Sheet-GPC'!AL24</f>
        <v>-14.12842</v>
      </c>
      <c r="M21" s="390" t="str">
        <f>IFERROR(IF(I21/'Comp.1'!H22&gt;$AA$7,"NM",IF((I21/'Comp.1'!H22)&lt;$AC$7,"NM",I21/'Comp.1'!H22)),"n/a")</f>
        <v>NM</v>
      </c>
      <c r="N21" s="390" t="str">
        <f>IFERROR(IF(J21/'Comp.1'!I22&gt;$AA$7,"NM",IF((J21/'Comp.1'!I22)&lt;$AC$7,"NM",J21/'Comp.1'!I22)),"n/a")</f>
        <v>NM</v>
      </c>
      <c r="O21" s="390" t="str">
        <f>IFERROR(IF(K21/'Comp.1'!J22&gt;$AA$7,"NM",IF((K21/'Comp.1'!J22)&lt;$AC$7,"NM",K21/'Comp.1'!J22)),"n/a")</f>
        <v>NM</v>
      </c>
      <c r="P21" s="259"/>
      <c r="Q21" s="465">
        <f>'Capital IQ Sheet-GPC'!AM24</f>
        <v>-0.35002</v>
      </c>
      <c r="R21" s="465">
        <f>'Capital IQ Sheet-GPC'!AN24</f>
        <v>-0.22325999999999999</v>
      </c>
      <c r="S21" s="465">
        <f>'Capital IQ Sheet-GPC'!AO24</f>
        <v>-2.6308500000000001</v>
      </c>
      <c r="U21" s="390">
        <f>IFERROR(IF(Q21/'Comp.1'!H22&gt;$AA$7,"NM",IF((Q21/'Comp.1'!H22)&lt;$AC$7,"NM",Q21/'Comp.1'!H22)),"n/a")</f>
        <v>-0.18421620483671483</v>
      </c>
      <c r="V21" s="390">
        <f>IFERROR(IF(R21/'Comp.1'!I22&gt;$AA$7,"NM",IF((R21/'Comp.1'!I22)&lt;$AC$7,"NM",R21/'Comp.1'!I22)),"n/a")</f>
        <v>-7.9286330689982129E-2</v>
      </c>
      <c r="W21" s="390">
        <f>IFERROR(IF(S21/'Comp.1'!J22&gt;$AA$7,"NM",IF((S21/'Comp.1'!J22)&lt;$AC$7,"NM",S21/'Comp.1'!J22)),"n/a")</f>
        <v>-0.90876589394708762</v>
      </c>
      <c r="Z21" s="815" t="str">
        <f>IF('MASTER PubCo Inputs'!B39="","",'MASTER PubCo Inputs'!B39)</f>
        <v>NasdaqGM:CRBP</v>
      </c>
      <c r="AA21" s="234" t="str">
        <f>'Comp.2'!AI23</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2" spans="2:27" ht="14.85" customHeight="1">
      <c r="B22" s="234" t="str">
        <f>'Comp.1'!B23</f>
        <v>GlycoMimetics, Inc.</v>
      </c>
      <c r="D22" s="390" t="str">
        <f>'Capital IQ Sheet-GPC'!AF25</f>
        <v>n/a</v>
      </c>
      <c r="E22" s="390" t="str">
        <f>'Capital IQ Sheet-GPC'!AG25</f>
        <v>n/a</v>
      </c>
      <c r="F22" s="390" t="str">
        <f>'Capital IQ Sheet-GPC'!AH25</f>
        <v>n/a</v>
      </c>
      <c r="G22" s="390" t="str">
        <f>'Capital IQ Sheet-GPC'!AI25</f>
        <v>n/a</v>
      </c>
      <c r="I22" s="465">
        <f>'Capital IQ Sheet-GPC'!AJ25</f>
        <v>-4.1782399999999997</v>
      </c>
      <c r="J22" s="465">
        <f>'Capital IQ Sheet-GPC'!AK25</f>
        <v>-5.5151500000000002</v>
      </c>
      <c r="K22" s="465">
        <f>'Capital IQ Sheet-GPC'!AL25</f>
        <v>-3.8290600000000001</v>
      </c>
      <c r="M22" s="390" t="str">
        <f>IFERROR(IF(I22/'Comp.1'!H23&gt;$AA$7,"NM",IF((I22/'Comp.1'!H23)&lt;$AC$7,"NM",I22/'Comp.1'!H23)),"n/a")</f>
        <v>NM</v>
      </c>
      <c r="N22" s="390" t="str">
        <f>IFERROR(IF(J22/'Comp.1'!I23&gt;$AA$7,"NM",IF((J22/'Comp.1'!I23)&lt;$AC$7,"NM",J22/'Comp.1'!I23)),"n/a")</f>
        <v>n/a</v>
      </c>
      <c r="O22" s="390" t="str">
        <f>IFERROR(IF(K22/'Comp.1'!J23&gt;$AA$7,"NM",IF((K22/'Comp.1'!J23)&lt;$AC$7,"NM",K22/'Comp.1'!J23)),"n/a")</f>
        <v>n/a</v>
      </c>
      <c r="P22" s="259"/>
      <c r="Q22" s="465">
        <f>'Capital IQ Sheet-GPC'!AM25</f>
        <v>-0.26885999999999999</v>
      </c>
      <c r="R22" s="465">
        <f>'Capital IQ Sheet-GPC'!AN25</f>
        <v>-0.69843</v>
      </c>
      <c r="S22" s="465">
        <f>'Capital IQ Sheet-GPC'!AO25</f>
        <v>-0.10285999999999999</v>
      </c>
      <c r="U22" s="390" t="str">
        <f>IFERROR(IF(Q22/'Comp.1'!H23&gt;$AA$7,"NM",IF((Q22/'Comp.1'!H23)&lt;$AC$7,"NM",Q22/'Comp.1'!H23)),"n/a")</f>
        <v>NM</v>
      </c>
      <c r="V22" s="390" t="str">
        <f>IFERROR(IF(R22/'Comp.1'!I23&gt;$AA$7,"NM",IF((R22/'Comp.1'!I23)&lt;$AC$7,"NM",R22/'Comp.1'!I23)),"n/a")</f>
        <v>n/a</v>
      </c>
      <c r="W22" s="390" t="str">
        <f>IFERROR(IF(S22/'Comp.1'!J23&gt;$AA$7,"NM",IF((S22/'Comp.1'!J23)&lt;$AC$7,"NM",S22/'Comp.1'!J23)),"n/a")</f>
        <v>n/a</v>
      </c>
      <c r="Z22" s="815" t="str">
        <f>IF('MASTER PubCo Inputs'!B40="","",'MASTER PubCo Inputs'!B40)</f>
        <v>NasdaqGM:GLYC</v>
      </c>
      <c r="AA22" s="234" t="str">
        <f>'Comp.2'!AI24</f>
        <v>GlycoMimetics, Inc., a clinical stage biotechnology company, focuses on the discovery and development of novel glycomimetic drugs to address unmet medical needs resulting from diseases in the United States. Its advanced drug candidate, rivipansel, is a pan-selectin antagonist, which is developed for the treatment of vaso-occlusive crisis in sickle cell disease and has evaluated in a Phase 3 clinical trial, conducted by its strategic collaboration with Pfizer Inc. The company’s drug candidate, GMI-1271, an E-selectin antagonist, is evaluated in a Phase 1/2 clinical trial as a potential treatment for acute myeloid leukemia and is in a Phase 1 clinical trial for the treatment of multiple myeloma. It is also developing a Phase 1 clinical trial drug candidate, GMI-1359, a combined CXCR4 and E-selectin antagonist. It has a cooperative research and development agreement with the National Cancer Institute. GlycoMimetics, Inc. was incorporated in 2003 and is headquartered in Rockville, Maryland.</v>
      </c>
    </row>
    <row r="23" spans="2:27" ht="14.85" customHeight="1">
      <c r="B23" s="234" t="str">
        <f>'Comp.1'!B24</f>
        <v>LogicBio Therapeutics, Inc.</v>
      </c>
      <c r="D23" s="390" t="str">
        <f>'Capital IQ Sheet-GPC'!AF26</f>
        <v>n/a</v>
      </c>
      <c r="E23" s="390" t="str">
        <f>'Capital IQ Sheet-GPC'!AG26</f>
        <v>n/a</v>
      </c>
      <c r="F23" s="390" t="str">
        <f>'Capital IQ Sheet-GPC'!AH26</f>
        <v>n/a</v>
      </c>
      <c r="G23" s="390" t="str">
        <f>'Capital IQ Sheet-GPC'!AI26</f>
        <v>n/a</v>
      </c>
      <c r="I23" s="465" t="str">
        <f>'Capital IQ Sheet-GPC'!AJ26</f>
        <v>n/a</v>
      </c>
      <c r="J23" s="465">
        <f>'Capital IQ Sheet-GPC'!AK26</f>
        <v>-0.83399999999999996</v>
      </c>
      <c r="K23" s="465">
        <f>'Capital IQ Sheet-GPC'!AL26</f>
        <v>-0.82299999999999995</v>
      </c>
      <c r="M23" s="390" t="str">
        <f>IFERROR(IF(I23/'Comp.1'!H24&gt;$AA$7,"NM",IF((I23/'Comp.1'!H24)&lt;$AC$7,"NM",I23/'Comp.1'!H24)),"n/a")</f>
        <v>n/a</v>
      </c>
      <c r="N23" s="390" t="str">
        <f>IFERROR(IF(J23/'Comp.1'!I24&gt;$AA$7,"NM",IF((J23/'Comp.1'!I24)&lt;$AC$7,"NM",J23/'Comp.1'!I24)),"n/a")</f>
        <v>n/a</v>
      </c>
      <c r="O23" s="390" t="str">
        <f>IFERROR(IF(K23/'Comp.1'!J24&gt;$AA$7,"NM",IF((K23/'Comp.1'!J24)&lt;$AC$7,"NM",K23/'Comp.1'!J24)),"n/a")</f>
        <v>n/a</v>
      </c>
      <c r="P23" s="259"/>
      <c r="Q23" s="465" t="str">
        <f>'Capital IQ Sheet-GPC'!AM26</f>
        <v>n/a</v>
      </c>
      <c r="R23" s="465">
        <f>'Capital IQ Sheet-GPC'!AN26</f>
        <v>-0.23200000000000001</v>
      </c>
      <c r="S23" s="465">
        <f>'Capital IQ Sheet-GPC'!AO26</f>
        <v>-0.36199999999999999</v>
      </c>
      <c r="U23" s="390" t="str">
        <f>IFERROR(IF(Q23/'Comp.1'!H24&gt;$AA$7,"NM",IF((Q23/'Comp.1'!H24)&lt;$AC$7,"NM",Q23/'Comp.1'!H24)),"n/a")</f>
        <v>n/a</v>
      </c>
      <c r="V23" s="390" t="str">
        <f>IFERROR(IF(R23/'Comp.1'!I24&gt;$AA$7,"NM",IF((R23/'Comp.1'!I24)&lt;$AC$7,"NM",R23/'Comp.1'!I24)),"n/a")</f>
        <v>n/a</v>
      </c>
      <c r="W23" s="390" t="str">
        <f>IFERROR(IF(S23/'Comp.1'!J24&gt;$AA$7,"NM",IF((S23/'Comp.1'!J24)&lt;$AC$7,"NM",S23/'Comp.1'!J24)),"n/a")</f>
        <v>n/a</v>
      </c>
      <c r="Z23" s="815" t="str">
        <f>IF('MASTER PubCo Inputs'!B41="","",'MASTER PubCo Inputs'!B41)</f>
        <v>NasdaqGM:LOGC</v>
      </c>
      <c r="AA23" s="234" t="str">
        <f>'Comp.2'!AI25</f>
        <v>LogicBio Therapeutics, Inc., a genome editing company, focuses on developing medicines to treat rare diseases in patients with unmet medical need using GeneRide technology platform. The GeneRide technology is designed to integrate corrective genes into a patient’s genome to provide a therapeutic effect. Its lead product candidate is LB-001 that is been developed for the treatment of Methylmalonic Acidemia, a life-threatening disease that presents at birth. LogicBio Therapeutics, Inc. has a partnership with Children's Medical Research Institute (CMRI) of Australia to develop new viral vectors. The company was founded in 2014 and is based in Cambridge, Massachusetts.</v>
      </c>
    </row>
    <row r="24" spans="2:27" ht="14.85" customHeight="1">
      <c r="B24" s="234" t="str">
        <f>'Comp.1'!B25</f>
        <v>Arbutus Biopharma Corporation</v>
      </c>
      <c r="D24" s="390" t="str">
        <f>'Capital IQ Sheet-GPC'!AF27</f>
        <v>n/a</v>
      </c>
      <c r="E24" s="390" t="str">
        <f>'Capital IQ Sheet-GPC'!AG27</f>
        <v>n/a</v>
      </c>
      <c r="F24" s="390" t="str">
        <f>'Capital IQ Sheet-GPC'!AH27</f>
        <v>n/a</v>
      </c>
      <c r="G24" s="390" t="str">
        <f>'Capital IQ Sheet-GPC'!AI27</f>
        <v>n/a</v>
      </c>
      <c r="I24" s="465">
        <f>'Capital IQ Sheet-GPC'!AJ27</f>
        <v>-6.2619999999999996</v>
      </c>
      <c r="J24" s="465">
        <f>'Capital IQ Sheet-GPC'!AK27</f>
        <v>-5.601</v>
      </c>
      <c r="K24" s="465">
        <f>'Capital IQ Sheet-GPC'!AL27</f>
        <v>-10.661</v>
      </c>
      <c r="M24" s="390">
        <f>IFERROR(IF(I24/'Comp.1'!H25&gt;$AA$7,"NM",IF((I24/'Comp.1'!H25)&lt;$AC$7,"NM",I24/'Comp.1'!H25)),"n/a")</f>
        <v>-0.43570832173671026</v>
      </c>
      <c r="N24" s="390">
        <f>IFERROR(IF(J24/'Comp.1'!I25&gt;$AA$7,"NM",IF((J24/'Comp.1'!I25)&lt;$AC$7,"NM",J24/'Comp.1'!I25)),"n/a")</f>
        <v>-0.70267218667670306</v>
      </c>
      <c r="O24" s="390" t="str">
        <f>IFERROR(IF(K24/'Comp.1'!J25&gt;$AA$7,"NM",IF((K24/'Comp.1'!J25)&lt;$AC$7,"NM",K24/'Comp.1'!J25)),"n/a")</f>
        <v>NM</v>
      </c>
      <c r="P24" s="259"/>
      <c r="Q24" s="465">
        <f>'Capital IQ Sheet-GPC'!AM27</f>
        <v>-2.5710000000000002</v>
      </c>
      <c r="R24" s="465">
        <f>'Capital IQ Sheet-GPC'!AN27</f>
        <v>-9.6750000000000007</v>
      </c>
      <c r="S24" s="465">
        <f>'Capital IQ Sheet-GPC'!AO27</f>
        <v>-1.099</v>
      </c>
      <c r="U24" s="390">
        <f>IFERROR(IF(Q24/'Comp.1'!H25&gt;$AA$7,"NM",IF((Q24/'Comp.1'!H25)&lt;$AC$7,"NM",Q24/'Comp.1'!H25)),"n/a")</f>
        <v>-0.17888950737545228</v>
      </c>
      <c r="V24" s="390" t="str">
        <f>IFERROR(IF(R24/'Comp.1'!I25&gt;$AA$7,"NM",IF((R24/'Comp.1'!I25)&lt;$AC$7,"NM",R24/'Comp.1'!I25)),"n/a")</f>
        <v>NM</v>
      </c>
      <c r="W24" s="390">
        <f>IFERROR(IF(S24/'Comp.1'!J25&gt;$AA$7,"NM",IF((S24/'Comp.1'!J25)&lt;$AC$7,"NM",S24/'Comp.1'!J25)),"n/a")</f>
        <v>-0.16159388325246288</v>
      </c>
      <c r="Z24" s="815" t="str">
        <f>IF('MASTER PubCo Inputs'!B42="","",'MASTER PubCo Inputs'!B42)</f>
        <v>NasdaqGS:ABUS</v>
      </c>
      <c r="AA24" s="234" t="str">
        <f>'Comp.2'!AI26</f>
        <v>Arbutus Biopharma Corporation, a biopharmaceutical company, engages in the discovery, development, and commercialization of a cure for patients suffering from chronic Hepatitis B virus (HBV) infection in Canada and the United States. It also develops a pipeline of products based on RNA interference therapeutics (RNAi). The company’s lead candidate is ARB-1467, which is in a Phase II trial to block production of HBV surface antigen expression in patients chronically infected with HBV. Its product candidates also include AB-423, a core protein inhibitor in Phase I clinical trial as an oral therapeutic for the treatment of chronic HBV infection; and AB-452, an HBV RNA Destabilizer, which is in preclinical study. In addition, the company has various research programs for the discovery and development of proprietary HBV candidates comprising N-Acetylgalactosamine conjugate technology, cccDNA targeting agents, and checkpoint inhibition. Further, its partnered programs consist of Patisiran (ALN-TTR02), an RNAi therapeutic targeting transthyretin (TTR) that has been completed Phase III clinical trial for the treatment of TTR-mediated amyloidosis in patients with FAP; Marqibo for the treatment of adult patients with Philadelphia chromosome-negative acute lymphoblastic leukemia in second or greater relapse or whose disease has progressed following two or more lines of anti-leukemia therapy; and RNA-based neoantigen immunotherapy products. The company has strategic alliance, licensing, and research collaboration agreements with Acuitas Therapeutics Inc.; Spectrum Pharmaceuticals, Inc.; Marina Biotech Inc.; U.S. National Institutes of Health; and The Baruch S. Blumberg Institute and Drexel University. The company was formerly known as Tekmira Pharmaceuticals Corporation and changed its name to Arbutus Biopharma Corporation in July 2015. Arbutus Biopharma Corporation is headquartered in Burnaby, Canada.</v>
      </c>
    </row>
    <row r="25" spans="2:27" ht="14.85" customHeight="1">
      <c r="B25" s="234" t="str">
        <f>'Comp.1'!B26</f>
        <v>Voyager Therapeutics, Inc.</v>
      </c>
      <c r="D25" s="390" t="str">
        <f>'Capital IQ Sheet-GPC'!AF28</f>
        <v>n/a</v>
      </c>
      <c r="E25" s="390" t="str">
        <f>'Capital IQ Sheet-GPC'!AG28</f>
        <v>n/a</v>
      </c>
      <c r="F25" s="390" t="str">
        <f>'Capital IQ Sheet-GPC'!AH28</f>
        <v>n/a</v>
      </c>
      <c r="G25" s="390" t="str">
        <f>'Capital IQ Sheet-GPC'!AI28</f>
        <v>n/a</v>
      </c>
      <c r="I25" s="465">
        <f>'Capital IQ Sheet-GPC'!AJ28</f>
        <v>-17.518999999999998</v>
      </c>
      <c r="J25" s="465">
        <f>'Capital IQ Sheet-GPC'!AK28</f>
        <v>-18.337</v>
      </c>
      <c r="K25" s="465">
        <f>'Capital IQ Sheet-GPC'!AL28</f>
        <v>-27.161999999999999</v>
      </c>
      <c r="M25" s="390" t="str">
        <f>IFERROR(IF(I25/'Comp.1'!H26&gt;$AA$7,"NM",IF((I25/'Comp.1'!H26)&lt;$AC$7,"NM",I25/'Comp.1'!H26)),"n/a")</f>
        <v>NM</v>
      </c>
      <c r="N25" s="390" t="str">
        <f>IFERROR(IF(J25/'Comp.1'!I26&gt;$AA$7,"NM",IF((J25/'Comp.1'!I26)&lt;$AC$7,"NM",J25/'Comp.1'!I26)),"n/a")</f>
        <v>NM</v>
      </c>
      <c r="O25" s="390" t="str">
        <f>IFERROR(IF(K25/'Comp.1'!J26&gt;$AA$7,"NM",IF((K25/'Comp.1'!J26)&lt;$AC$7,"NM",K25/'Comp.1'!J26)),"n/a")</f>
        <v>NM</v>
      </c>
      <c r="P25" s="259"/>
      <c r="Q25" s="465">
        <f>'Capital IQ Sheet-GPC'!AM28</f>
        <v>-1.2809999999999999</v>
      </c>
      <c r="R25" s="465">
        <f>'Capital IQ Sheet-GPC'!AN28</f>
        <v>-7.6929999999999996</v>
      </c>
      <c r="S25" s="465">
        <f>'Capital IQ Sheet-GPC'!AO28</f>
        <v>-3.9430000000000001</v>
      </c>
      <c r="U25" s="390">
        <f>IFERROR(IF(Q25/'Comp.1'!H26&gt;$AA$7,"NM",IF((Q25/'Comp.1'!H26)&lt;$AC$7,"NM",Q25/'Comp.1'!H26)),"n/a")</f>
        <v>-7.6272700208395341E-2</v>
      </c>
      <c r="V25" s="390" t="str">
        <f>IFERROR(IF(R25/'Comp.1'!I26&gt;$AA$7,"NM",IF((R25/'Comp.1'!I26)&lt;$AC$7,"NM",R25/'Comp.1'!I26)),"n/a")</f>
        <v>NM</v>
      </c>
      <c r="W25" s="390">
        <f>IFERROR(IF(S25/'Comp.1'!J26&gt;$AA$7,"NM",IF((S25/'Comp.1'!J26)&lt;$AC$7,"NM",S25/'Comp.1'!J26)),"n/a")</f>
        <v>-0.32979257276681168</v>
      </c>
      <c r="Z25" s="815" t="str">
        <f>IF('MASTER PubCo Inputs'!B43="","",'MASTER PubCo Inputs'!B43)</f>
        <v>NasdaqGS:VYGR</v>
      </c>
      <c r="AA25" s="234" t="str">
        <f>'Comp.2'!AI27</f>
        <v>Voyager Therapeutics, Inc., a clinical-stage gene therapy company, focuses on the development of treatments for patients suffering from severe neurological diseases. The company’s lead clinical candidate is the VY-AADC, which is in open-label Phase 1b clinical trials for the treatment of advanced Parkinson’s disease. Its preclinical programs comprise VY-SOD101 for a monogenic form of amyotrophic lateral sclerosis; VY-HTT01 for Huntington’s disease; VY-FXN01 for Friedreich's ataxia; Tau program, for tauopathies, including Alzheimer’s disease, PSP, and FTD; and VY-NAV01 for severe chronic pain. The company has strategic collaboration agreement with AbbVie Inc.; Sanofi Genzyme; the University of Massachusetts; and MRI Interventions, Inc., as well as has collaborations with Brammer Bio and Fujifilm Diosynth Biotechnologies to support the development of its gene therapy programs. It also has a collaboration and license agreement with Neurocrine Biosciences, Inc. for the research, development, and commercialization of adeno-associated virus-based gene therapy products. Voyager Therapeutics, Inc. was founded in 2013 and is headquartered in Cambridge, Massachusetts.</v>
      </c>
    </row>
    <row r="26" spans="2:27" ht="14.85" customHeight="1">
      <c r="B26" s="234" t="e">
        <f>'Comp.1'!#REF!</f>
        <v>#REF!</v>
      </c>
      <c r="D26" s="390" t="e">
        <f>'Capital IQ Sheet-GPC'!#REF!</f>
        <v>#REF!</v>
      </c>
      <c r="E26" s="390" t="e">
        <f>'Capital IQ Sheet-GPC'!#REF!</f>
        <v>#REF!</v>
      </c>
      <c r="F26" s="390" t="e">
        <f>'Capital IQ Sheet-GPC'!#REF!</f>
        <v>#REF!</v>
      </c>
      <c r="G26" s="390" t="e">
        <f>'Capital IQ Sheet-GPC'!#REF!</f>
        <v>#REF!</v>
      </c>
      <c r="I26" s="465" t="e">
        <f>'Capital IQ Sheet-GPC'!#REF!</f>
        <v>#REF!</v>
      </c>
      <c r="J26" s="465" t="e">
        <f>'Capital IQ Sheet-GPC'!#REF!</f>
        <v>#REF!</v>
      </c>
      <c r="K26" s="465" t="e">
        <f>'Capital IQ Sheet-GPC'!#REF!</f>
        <v>#REF!</v>
      </c>
      <c r="M26" s="390" t="str">
        <f>IFERROR(IF(I26/'Comp.1'!#REF!&gt;$AA$7,"NM",IF((I26/'Comp.1'!#REF!)&lt;$AC$7,"NM",I26/'Comp.1'!#REF!)),"n/a")</f>
        <v>n/a</v>
      </c>
      <c r="N26" s="390" t="str">
        <f>IFERROR(IF(J26/'Comp.1'!#REF!&gt;$AA$7,"NM",IF((J26/'Comp.1'!#REF!)&lt;$AC$7,"NM",J26/'Comp.1'!#REF!)),"n/a")</f>
        <v>n/a</v>
      </c>
      <c r="O26" s="390" t="str">
        <f>IFERROR(IF(K26/'Comp.1'!#REF!&gt;$AA$7,"NM",IF((K26/'Comp.1'!#REF!)&lt;$AC$7,"NM",K26/'Comp.1'!#REF!)),"n/a")</f>
        <v>n/a</v>
      </c>
      <c r="P26" s="259"/>
      <c r="Q26" s="465" t="e">
        <f>'Capital IQ Sheet-GPC'!#REF!</f>
        <v>#REF!</v>
      </c>
      <c r="R26" s="465" t="e">
        <f>'Capital IQ Sheet-GPC'!#REF!</f>
        <v>#REF!</v>
      </c>
      <c r="S26" s="465" t="e">
        <f>'Capital IQ Sheet-GPC'!#REF!</f>
        <v>#REF!</v>
      </c>
      <c r="U26" s="390" t="str">
        <f>IFERROR(IF(Q26/'Comp.1'!#REF!&gt;$AA$7,"NM",IF((Q26/'Comp.1'!#REF!)&lt;$AC$7,"NM",Q26/'Comp.1'!#REF!)),"n/a")</f>
        <v>n/a</v>
      </c>
      <c r="V26" s="390" t="str">
        <f>IFERROR(IF(R26/'Comp.1'!#REF!&gt;$AA$7,"NM",IF((R26/'Comp.1'!#REF!)&lt;$AC$7,"NM",R26/'Comp.1'!#REF!)),"n/a")</f>
        <v>n/a</v>
      </c>
      <c r="W26" s="390" t="str">
        <f>IFERROR(IF(S26/'Comp.1'!#REF!&gt;$AA$7,"NM",IF((S26/'Comp.1'!#REF!)&lt;$AC$7,"NM",S26/'Comp.1'!#REF!)),"n/a")</f>
        <v>n/a</v>
      </c>
      <c r="Z26" s="815" t="str">
        <f>IF('MASTER PubCo Inputs'!B44="","",'MASTER PubCo Inputs'!B44)</f>
        <v>NasdaqCM:LJPC</v>
      </c>
      <c r="AA26" s="234" t="e">
        <f>'Comp.2'!AI28</f>
        <v>#REF!</v>
      </c>
    </row>
    <row r="27" spans="2:27" ht="14.85" customHeight="1">
      <c r="B27" s="234" t="str">
        <f>'Comp.1'!B27</f>
        <v>La Jolla Pharmaceutical Company</v>
      </c>
      <c r="D27" s="390" t="str">
        <f>'Capital IQ Sheet-GPC'!AF29</f>
        <v>n/a</v>
      </c>
      <c r="E27" s="390" t="str">
        <f>'Capital IQ Sheet-GPC'!AG29</f>
        <v>n/a</v>
      </c>
      <c r="F27" s="390" t="str">
        <f>'Capital IQ Sheet-GPC'!AH29</f>
        <v>n/a</v>
      </c>
      <c r="G27" s="390" t="str">
        <f>'Capital IQ Sheet-GPC'!AI29</f>
        <v>n/a</v>
      </c>
      <c r="I27" s="465">
        <f>'Capital IQ Sheet-GPC'!AJ29</f>
        <v>-5.5350000000000001</v>
      </c>
      <c r="J27" s="465">
        <f>'Capital IQ Sheet-GPC'!AK29</f>
        <v>-7.5789999999999997</v>
      </c>
      <c r="K27" s="465">
        <f>'Capital IQ Sheet-GPC'!AL29</f>
        <v>-15.372</v>
      </c>
      <c r="M27" s="390" t="str">
        <f>IFERROR(IF(I27/'Comp.1'!H27&gt;$AA$7,"NM",IF((I27/'Comp.1'!H27)&lt;$AC$7,"NM",I27/'Comp.1'!H27)),"n/a")</f>
        <v>NM</v>
      </c>
      <c r="N27" s="390" t="str">
        <f>IFERROR(IF(J27/'Comp.1'!I27&gt;$AA$7,"NM",IF((J27/'Comp.1'!I27)&lt;$AC$7,"NM",J27/'Comp.1'!I27)),"n/a")</f>
        <v>NM</v>
      </c>
      <c r="O27" s="390" t="str">
        <f>IFERROR(IF(K27/'Comp.1'!J27&gt;$AA$7,"NM",IF((K27/'Comp.1'!J27)&lt;$AC$7,"NM",K27/'Comp.1'!J27)),"n/a")</f>
        <v>NM</v>
      </c>
      <c r="P27" s="259"/>
      <c r="Q27" s="465">
        <f>'Capital IQ Sheet-GPC'!AM29</f>
        <v>-1.554</v>
      </c>
      <c r="R27" s="465">
        <f>'Capital IQ Sheet-GPC'!AN29</f>
        <v>-5.0869999999999997</v>
      </c>
      <c r="S27" s="465">
        <f>'Capital IQ Sheet-GPC'!AO29</f>
        <v>-7.1580000000000004</v>
      </c>
      <c r="U27" s="390" t="str">
        <f>IFERROR(IF(Q27/'Comp.1'!H27&gt;$AA$7,"NM",IF((Q27/'Comp.1'!H27)&lt;$AC$7,"NM",Q27/'Comp.1'!H27)),"n/a")</f>
        <v>NM</v>
      </c>
      <c r="V27" s="390" t="str">
        <f>IFERROR(IF(R27/'Comp.1'!I27&gt;$AA$7,"NM",IF((R27/'Comp.1'!I27)&lt;$AC$7,"NM",R27/'Comp.1'!I27)),"n/a")</f>
        <v>NM</v>
      </c>
      <c r="W27" s="390" t="str">
        <f>IFERROR(IF(S27/'Comp.1'!J27&gt;$AA$7,"NM",IF((S27/'Comp.1'!J27)&lt;$AC$7,"NM",S27/'Comp.1'!J27)),"n/a")</f>
        <v>NM</v>
      </c>
      <c r="Z27" s="815" t="str">
        <f>IF('MASTER PubCo Inputs'!B45="","",'MASTER PubCo Inputs'!B45)</f>
        <v>NasdaqGM:PTGX</v>
      </c>
      <c r="AA27" s="234" t="str">
        <f>'Comp.2'!AI29</f>
        <v>La Jolla Pharmaceutical Company, a biopharmaceutical company, focuses on the discovery, development, and commercialization of therapeutics for life-threatening diseases. It offers GIAPREZA, an injection for intravenous infusion indicated to increase blood pressure in adults with septic or other distributive shock. The company is developing LJPC-401, a formulation of synthetic human hepcidin for the treatment of conditions characterized by iron overload, such as hereditary hemochromatosis, beta thalassemia, sickle cell disease, and myelodysplastic syndrome. La Jolla Pharmaceutical Company was founded in 1989 and is headquartered in San Diego, California.</v>
      </c>
    </row>
    <row r="28" spans="2:27" ht="14.85" customHeight="1">
      <c r="B28" s="234" t="str">
        <f>'Comp.1'!B28</f>
        <v>Protagonist Therapeutics, Inc.</v>
      </c>
      <c r="D28" s="390">
        <f>'Capital IQ Sheet-GPC'!AF30</f>
        <v>1</v>
      </c>
      <c r="E28" s="390">
        <f>'Capital IQ Sheet-GPC'!AG30</f>
        <v>-0.74908399999999997</v>
      </c>
      <c r="F28" s="390">
        <f>'Capital IQ Sheet-GPC'!AH30</f>
        <v>-0.76203100000000001</v>
      </c>
      <c r="G28" s="390">
        <f>'Capital IQ Sheet-GPC'!AI30</f>
        <v>-0.705349</v>
      </c>
      <c r="I28" s="465">
        <f>'Capital IQ Sheet-GPC'!AJ30</f>
        <v>-1.627</v>
      </c>
      <c r="J28" s="465">
        <f>'Capital IQ Sheet-GPC'!AK30</f>
        <v>-48.128999999999998</v>
      </c>
      <c r="K28" s="465">
        <f>'Capital IQ Sheet-GPC'!AL30</f>
        <v>-15.116</v>
      </c>
      <c r="M28" s="390" t="str">
        <f>IFERROR(IF(I28/'Comp.1'!H28&gt;$AA$7,"NM",IF((I28/'Comp.1'!H28)&lt;$AC$7,"NM",I28/'Comp.1'!H28)),"n/a")</f>
        <v>n/a</v>
      </c>
      <c r="N28" s="390" t="str">
        <f>IFERROR(IF(J28/'Comp.1'!I28&gt;$AA$7,"NM",IF((J28/'Comp.1'!I28)&lt;$AC$7,"NM",J28/'Comp.1'!I28)),"n/a")</f>
        <v>NM</v>
      </c>
      <c r="O28" s="390">
        <f>IFERROR(IF(K28/'Comp.1'!J28&gt;$AA$7,"NM",IF((K28/'Comp.1'!J28)&lt;$AC$7,"NM",K28/'Comp.1'!J28)),"n/a")</f>
        <v>-0.37928438801625936</v>
      </c>
      <c r="P28" s="259"/>
      <c r="Q28" s="465">
        <f>'Capital IQ Sheet-GPC'!AM30</f>
        <v>-0.51500000000000001</v>
      </c>
      <c r="R28" s="465">
        <f>'Capital IQ Sheet-GPC'!AN30</f>
        <v>-0.66200000000000003</v>
      </c>
      <c r="S28" s="465">
        <f>'Capital IQ Sheet-GPC'!AO30</f>
        <v>-0.48</v>
      </c>
      <c r="U28" s="390" t="str">
        <f>IFERROR(IF(Q28/'Comp.1'!H28&gt;$AA$7,"NM",IF((Q28/'Comp.1'!H28)&lt;$AC$7,"NM",Q28/'Comp.1'!H28)),"n/a")</f>
        <v>n/a</v>
      </c>
      <c r="V28" s="390">
        <f>IFERROR(IF(R28/'Comp.1'!I28&gt;$AA$7,"NM",IF((R28/'Comp.1'!I28)&lt;$AC$7,"NM",R28/'Comp.1'!I28)),"n/a")</f>
        <v>-7.5390046691720766E-2</v>
      </c>
      <c r="W28" s="390">
        <f>IFERROR(IF(S28/'Comp.1'!J28&gt;$AA$7,"NM",IF((S28/'Comp.1'!J28)&lt;$AC$7,"NM",S28/'Comp.1'!J28)),"n/a")</f>
        <v>-1.204396045566317E-2</v>
      </c>
      <c r="Z28" s="815" t="str">
        <f>IF('MASTER PubCo Inputs'!B46="","",'MASTER PubCo Inputs'!B46)</f>
        <v>NasdaqCM:FCSC</v>
      </c>
      <c r="AA28" s="234" t="str">
        <f>'Comp.2'!AI30</f>
        <v>Protagonist Therapeutics, Inc., a clinical-stage biopharmaceutical company, focuses on discovering and developing peptide-based drugs to address various unmet medical needs. The company’s lead product candidates include PTG-100, an oral alpha-4-beta-7 integrin- antagonist that is in Phase II b clinical trial for the treatment of ulcerative colitis, as well as for treating chronic pouchitis, a gastrointestinal (GI) condition that occurs in post-surgical inflammatory bowel disease (IBD) patients; PTG-200, an oral interleukin-23 receptor antagonist, which is in Phase I clinical trial for the treatment of IBD; and PTG-300, an injectable hepcidin mimetic, which has completed Phase I study for use in the treatment of beta-thalassemia, as well as for treating other diseases, such as hereditary hemochromatosis, polycythemia vera, siderophilic infections, and liver fibrosis. It is also developing an oral peptide targeting a GI condition other than IBD. The company was founded in 2006 and is headquartered in Newark, California.</v>
      </c>
    </row>
    <row r="29" spans="2:27" ht="14.85" customHeight="1">
      <c r="B29" s="234" t="str">
        <f>'Comp.1'!B29</f>
        <v>Fibrocell Science, Inc.</v>
      </c>
      <c r="D29" s="390" t="str">
        <f>'Capital IQ Sheet-GPC'!AF31</f>
        <v>n/a</v>
      </c>
      <c r="E29" s="390" t="str">
        <f>'Capital IQ Sheet-GPC'!AG31</f>
        <v>n/a</v>
      </c>
      <c r="F29" s="390" t="str">
        <f>'Capital IQ Sheet-GPC'!AH31</f>
        <v>n/a</v>
      </c>
      <c r="G29" s="390" t="str">
        <f>'Capital IQ Sheet-GPC'!AI31</f>
        <v>n/a</v>
      </c>
      <c r="I29" s="465">
        <f>'Capital IQ Sheet-GPC'!AJ31</f>
        <v>-2.089</v>
      </c>
      <c r="J29" s="465">
        <f>'Capital IQ Sheet-GPC'!AK31</f>
        <v>-3.202</v>
      </c>
      <c r="K29" s="465">
        <f>'Capital IQ Sheet-GPC'!AL31</f>
        <v>-1.5169999999999999</v>
      </c>
      <c r="M29" s="390" t="str">
        <f>IFERROR(IF(I29/'Comp.1'!H29&gt;$AA$7,"NM",IF((I29/'Comp.1'!H29)&lt;$AC$7,"NM",I29/'Comp.1'!H29)),"n/a")</f>
        <v>NM</v>
      </c>
      <c r="N29" s="390" t="str">
        <f>IFERROR(IF(J29/'Comp.1'!I29&gt;$AA$7,"NM",IF((J29/'Comp.1'!I29)&lt;$AC$7,"NM",J29/'Comp.1'!I29)),"n/a")</f>
        <v>NM</v>
      </c>
      <c r="O29" s="390" t="str">
        <f>IFERROR(IF(K29/'Comp.1'!J29&gt;$AA$7,"NM",IF((K29/'Comp.1'!J29)&lt;$AC$7,"NM",K29/'Comp.1'!J29)),"n/a")</f>
        <v>n/a</v>
      </c>
      <c r="P29" s="259"/>
      <c r="Q29" s="465">
        <f>'Capital IQ Sheet-GPC'!AM31</f>
        <v>-0.25</v>
      </c>
      <c r="R29" s="465">
        <f>'Capital IQ Sheet-GPC'!AN31</f>
        <v>-0.41399999999999998</v>
      </c>
      <c r="S29" s="465">
        <f>'Capital IQ Sheet-GPC'!AO31</f>
        <v>-0.24</v>
      </c>
      <c r="U29" s="390">
        <f>IFERROR(IF(Q29/'Comp.1'!H29&gt;$AA$7,"NM",IF((Q29/'Comp.1'!H29)&lt;$AC$7,"NM",Q29/'Comp.1'!H29)),"n/a")</f>
        <v>-0.625</v>
      </c>
      <c r="V29" s="390" t="str">
        <f>IFERROR(IF(R29/'Comp.1'!I29&gt;$AA$7,"NM",IF((R29/'Comp.1'!I29)&lt;$AC$7,"NM",R29/'Comp.1'!I29)),"n/a")</f>
        <v>NM</v>
      </c>
      <c r="W29" s="390" t="str">
        <f>IFERROR(IF(S29/'Comp.1'!J29&gt;$AA$7,"NM",IF((S29/'Comp.1'!J29)&lt;$AC$7,"NM",S29/'Comp.1'!J29)),"n/a")</f>
        <v>n/a</v>
      </c>
      <c r="Z29" s="815" t="str">
        <f>IF('MASTER PubCo Inputs'!B47="","",'MASTER PubCo Inputs'!B47)</f>
        <v>(Invalid Identifier)</v>
      </c>
      <c r="AA29" s="234" t="str">
        <f>'Comp.2'!AI31</f>
        <v>Fibrocell Science, Inc., an autologous cell and gene therapy company, focuses on discovering and developing therapies for diseases affecting the skin and connective tissues in the United States. The company’s gene therapy product candidates include FCX-007 that is in Phase I/II clinical trials to treat recessive dystrophic epidermolysis bullosa; FCX-013, a gene therapy for localized scleroderma; and gene-therapy program that is in research phase to arthritis and related conditions. It has collaboration agreement with Intrexon Corporation for the development of FCX-007, FCX-013, and products for the treatment of chronic inflammation and degenerative diseases of human joints. The company was formerly known as Isolagen, Inc. and changed its name to Fibrocell Science, Inc. in September 2009. Fibrocell Science, Inc. was incorporated in 1992 and is based in Exton, Pennsylvania.</v>
      </c>
    </row>
    <row r="30" spans="2:27" ht="14.85" customHeight="1">
      <c r="B30" s="234" t="str">
        <f>'Comp.1'!B31</f>
        <v>CRISPR/Cas9</v>
      </c>
      <c r="D30" s="390" t="str">
        <f>'Capital IQ Sheet-GPC'!AF32</f>
        <v>n/a</v>
      </c>
      <c r="E30" s="390" t="str">
        <f>'Capital IQ Sheet-GPC'!AG32</f>
        <v>n/a</v>
      </c>
      <c r="F30" s="390" t="str">
        <f>'Capital IQ Sheet-GPC'!AH32</f>
        <v>n/a</v>
      </c>
      <c r="G30" s="390" t="str">
        <f>'Capital IQ Sheet-GPC'!AI32</f>
        <v>n/a</v>
      </c>
      <c r="I30" s="465" t="str">
        <f>'Capital IQ Sheet-GPC'!AJ32</f>
        <v>(Invalid Identifier)</v>
      </c>
      <c r="J30" s="465" t="str">
        <f>'Capital IQ Sheet-GPC'!AK32</f>
        <v>(Invalid Identifier)</v>
      </c>
      <c r="K30" s="465" t="str">
        <f>'Capital IQ Sheet-GPC'!AL32</f>
        <v>(Invalid Identifier)</v>
      </c>
      <c r="M30" s="390" t="str">
        <f>IFERROR(IF(I30/'Comp.1'!H31&gt;$AA$7,"NM",IF((I30/'Comp.1'!H31)&lt;$AC$7,"NM",I30/'Comp.1'!H31)),"n/a")</f>
        <v>n/a</v>
      </c>
      <c r="N30" s="390" t="str">
        <f>IFERROR(IF(J30/'Comp.1'!I31&gt;$AA$7,"NM",IF((J30/'Comp.1'!I31)&lt;$AC$7,"NM",J30/'Comp.1'!I31)),"n/a")</f>
        <v>n/a</v>
      </c>
      <c r="O30" s="390" t="str">
        <f>IFERROR(IF(K30/'Comp.1'!J31&gt;$AA$7,"NM",IF((K30/'Comp.1'!J31)&lt;$AC$7,"NM",K30/'Comp.1'!J31)),"n/a")</f>
        <v>n/a</v>
      </c>
      <c r="P30" s="259"/>
      <c r="Q30" s="465" t="str">
        <f>'Capital IQ Sheet-GPC'!AM32</f>
        <v>(Invalid Identifier)</v>
      </c>
      <c r="R30" s="465" t="str">
        <f>'Capital IQ Sheet-GPC'!AN32</f>
        <v>(Invalid Identifier)</v>
      </c>
      <c r="S30" s="465" t="str">
        <f>'Capital IQ Sheet-GPC'!AO32</f>
        <v>(Invalid Identifier)</v>
      </c>
      <c r="U30" s="390" t="str">
        <f>IFERROR(IF(Q30/'Comp.1'!H31&gt;$AA$7,"NM",IF((Q30/'Comp.1'!H31)&lt;$AC$7,"NM",Q30/'Comp.1'!H31)),"n/a")</f>
        <v>n/a</v>
      </c>
      <c r="V30" s="390" t="str">
        <f>IFERROR(IF(R30/'Comp.1'!I31&gt;$AA$7,"NM",IF((R30/'Comp.1'!I31)&lt;$AC$7,"NM",R30/'Comp.1'!I31)),"n/a")</f>
        <v>n/a</v>
      </c>
      <c r="W30" s="390" t="str">
        <f>IFERROR(IF(S30/'Comp.1'!J31&gt;$AA$7,"NM",IF((S30/'Comp.1'!J31)&lt;$AC$7,"NM",S30/'Comp.1'!J31)),"n/a")</f>
        <v>n/a</v>
      </c>
      <c r="Z30" s="815" t="str">
        <f>IF('MASTER PubCo Inputs'!B48="","",'MASTER PubCo Inputs'!B48)</f>
        <v>NasdaqGM:CRSP</v>
      </c>
      <c r="AA30" s="234">
        <f>'Comp.2'!AI32</f>
        <v>0</v>
      </c>
    </row>
    <row r="31" spans="2:27" ht="14.85" customHeight="1">
      <c r="B31" s="234" t="str">
        <f>'Comp.1'!B32</f>
        <v>CRISPR Therapeutics AG</v>
      </c>
      <c r="D31" s="390">
        <f>'Capital IQ Sheet-GPC'!AF33</f>
        <v>-1.971698</v>
      </c>
      <c r="E31" s="390" t="str">
        <f>'Capital IQ Sheet-GPC'!AG33</f>
        <v>n/a</v>
      </c>
      <c r="F31" s="390" t="str">
        <f>'Capital IQ Sheet-GPC'!AH33</f>
        <v>n/a</v>
      </c>
      <c r="G31" s="390" t="str">
        <f>'Capital IQ Sheet-GPC'!AI33</f>
        <v>n/a</v>
      </c>
      <c r="I31" s="465">
        <f>'Capital IQ Sheet-GPC'!AJ33</f>
        <v>-75.058999999999997</v>
      </c>
      <c r="J31" s="465">
        <f>'Capital IQ Sheet-GPC'!AK33</f>
        <v>-7.05</v>
      </c>
      <c r="K31" s="465">
        <f>'Capital IQ Sheet-GPC'!AL33</f>
        <v>-22.885000000000002</v>
      </c>
      <c r="M31" s="390" t="str">
        <f>IFERROR(IF(I31/'Comp.1'!H32&gt;$AA$7,"NM",IF((I31/'Comp.1'!H32)&lt;$AC$7,"NM",I31/'Comp.1'!H32)),"n/a")</f>
        <v>NM</v>
      </c>
      <c r="N31" s="390">
        <f>IFERROR(IF(J31/'Comp.1'!I32&gt;$AA$7,"NM",IF((J31/'Comp.1'!I32)&lt;$AC$7,"NM",J31/'Comp.1'!I32)),"n/a")</f>
        <v>-0.63997821350762529</v>
      </c>
      <c r="O31" s="390">
        <f>IFERROR(IF(K31/'Comp.1'!J32&gt;$AA$7,"NM",IF((K31/'Comp.1'!J32)&lt;$AC$7,"NM",K31/'Comp.1'!J32)),"n/a")</f>
        <v>-0.64767645893473702</v>
      </c>
      <c r="P31" s="259"/>
      <c r="Q31" s="465">
        <f>'Capital IQ Sheet-GPC'!AM33</f>
        <v>-3.2909999999999999</v>
      </c>
      <c r="R31" s="465">
        <f>'Capital IQ Sheet-GPC'!AN33</f>
        <v>-7.8369999999999997</v>
      </c>
      <c r="S31" s="465">
        <f>'Capital IQ Sheet-GPC'!AO33</f>
        <v>-1.978</v>
      </c>
      <c r="U31" s="390" t="str">
        <f>IFERROR(IF(Q31/'Comp.1'!H32&gt;$AA$7,"NM",IF((Q31/'Comp.1'!H32)&lt;$AC$7,"NM",Q31/'Comp.1'!H32)),"n/a")</f>
        <v>NM</v>
      </c>
      <c r="V31" s="390">
        <f>IFERROR(IF(R31/'Comp.1'!I32&gt;$AA$7,"NM",IF((R31/'Comp.1'!I32)&lt;$AC$7,"NM",R31/'Comp.1'!I32)),"n/a")</f>
        <v>-0.71141975308641969</v>
      </c>
      <c r="W31" s="390">
        <f>IFERROR(IF(S31/'Comp.1'!J32&gt;$AA$7,"NM",IF((S31/'Comp.1'!J32)&lt;$AC$7,"NM",S31/'Comp.1'!J32)),"n/a")</f>
        <v>-5.5980075847625509E-2</v>
      </c>
      <c r="Z31" s="815" t="str">
        <f>IF('MASTER PubCo Inputs'!B49="","",'MASTER PubCo Inputs'!B49)</f>
        <v>NasdaqGS:EDIT</v>
      </c>
      <c r="AA31" s="234" t="str">
        <f>'Comp.2'!AI33</f>
        <v>CRISPR Therapeutics AG, a gene editing company, focuses on developing transformative gene-based medicines for the treatment of serious human diseases using its regularly interspaced short palindromic repeats associated protein-9 (CRISPR/Cas9) gene-editing platform in Switzerland. Its lead product candidate is CTX001, which targets sickle cell disease and beta-thalassemia with an ex vivo approach whereby cells are harvested from a patient, treated with a CRISPR/Cas9-based therapeutic and reintroduced into the patient. The company is also developing CTX101, a donor-derived gene-edited allogeneic CAR-T therapy targeting CD19-positive malignancies. In addition, it is developing earlier stage allogeneic CAR-T programs targeting B-Cell maturation antigen and CD70; hemoglobinopathies to treat other diseases, including Hurler Syndrome and severe combined immunodeficiency disease; programs that are in preclinical development for indications, including glycogen storage disease Ia and hemophilia; and programs targeting diseases of organ systems outside the liver, such as Duchenne muscular dystrophy and cystic fibrosis. It has a collaboration agreements with Vertex Pharmaceuticals, Incorporated Vertex Pharmaceuticals (Europe) Limited to develop, manufacture, commercialize, sell, and use therapeutics; and StrideBio, Inc. to develop adeno-associated viral capsids with enhanced properties for in vivo gene editing programs. The company also has research collaboration agreements with Neon Therapeutics for developing neoantigen-based therapeutic vaccines and T cell therapies; Massachusetts General Hospital Cancer Center to develop T cell therapies for cancer; ViaCyte, Inc. for designing allogeneic cell therapies derived from gene edited human stem cells for use in the treatment of diabetes type 1, diabetes type 2, and insulin dependent diabetes; and ProBioGen AG to develop novel in vivo delivery modalities for CRISPR/Cas9. CRISPR Therapeutics AG is headquartered in Zug, Switzerland.</v>
      </c>
    </row>
    <row r="32" spans="2:27" ht="14.85" customHeight="1">
      <c r="B32" s="234" t="str">
        <f>'Comp.1'!B33</f>
        <v>Editas Medicine, Inc.</v>
      </c>
      <c r="D32" s="390">
        <f>'Capital IQ Sheet-GPC'!AF34</f>
        <v>-2.3197890000000001</v>
      </c>
      <c r="E32" s="390" t="str">
        <f>'Capital IQ Sheet-GPC'!AG34</f>
        <v>n/a</v>
      </c>
      <c r="F32" s="390" t="str">
        <f>'Capital IQ Sheet-GPC'!AH34</f>
        <v>n/a</v>
      </c>
      <c r="G32" s="390" t="str">
        <f>'Capital IQ Sheet-GPC'!AI34</f>
        <v>n/a</v>
      </c>
      <c r="I32" s="465">
        <f>'Capital IQ Sheet-GPC'!AJ34</f>
        <v>-10.182</v>
      </c>
      <c r="J32" s="465">
        <f>'Capital IQ Sheet-GPC'!AK34</f>
        <v>-26.771000000000001</v>
      </c>
      <c r="K32" s="465">
        <f>'Capital IQ Sheet-GPC'!AL34</f>
        <v>-21.024999999999999</v>
      </c>
      <c r="M32" s="390" t="str">
        <f>IFERROR(IF(I32/'Comp.1'!H33&gt;$AA$7,"NM",IF((I32/'Comp.1'!H33)&lt;$AC$7,"NM",I32/'Comp.1'!H33)),"n/a")</f>
        <v>NM</v>
      </c>
      <c r="N32" s="390" t="str">
        <f>IFERROR(IF(J32/'Comp.1'!I33&gt;$AA$7,"NM",IF((J32/'Comp.1'!I33)&lt;$AC$7,"NM",J32/'Comp.1'!I33)),"n/a")</f>
        <v>NM</v>
      </c>
      <c r="O32" s="390">
        <f>IFERROR(IF(K32/'Comp.1'!J33&gt;$AA$7,"NM",IF((K32/'Comp.1'!J33)&lt;$AC$7,"NM",K32/'Comp.1'!J33)),"n/a")</f>
        <v>-0.71307444463286418</v>
      </c>
      <c r="P32" s="259"/>
      <c r="Q32" s="465">
        <f>'Capital IQ Sheet-GPC'!AM34</f>
        <v>-3.218</v>
      </c>
      <c r="R32" s="465">
        <f>'Capital IQ Sheet-GPC'!AN34</f>
        <v>-2.4460000000000002</v>
      </c>
      <c r="S32" s="465">
        <f>'Capital IQ Sheet-GPC'!AO34</f>
        <v>-3.6280000000000001</v>
      </c>
      <c r="U32" s="390">
        <f>IFERROR(IF(Q32/'Comp.1'!H33&gt;$AA$7,"NM",IF((Q32/'Comp.1'!H33)&lt;$AC$7,"NM",Q32/'Comp.1'!H33)),"n/a")</f>
        <v>-0.5411131663023373</v>
      </c>
      <c r="V32" s="390">
        <f>IFERROR(IF(R32/'Comp.1'!I33&gt;$AA$7,"NM",IF((R32/'Comp.1'!I33)&lt;$AC$7,"NM",R32/'Comp.1'!I33)),"n/a")</f>
        <v>-0.22319554703896344</v>
      </c>
      <c r="W32" s="390">
        <f>IFERROR(IF(S32/'Comp.1'!J33&gt;$AA$7,"NM",IF((S32/'Comp.1'!J33)&lt;$AC$7,"NM",S32/'Comp.1'!J33)),"n/a")</f>
        <v>-0.12304561641512635</v>
      </c>
      <c r="Z32" s="815" t="str">
        <f>IF('MASTER PubCo Inputs'!B50="","",'MASTER PubCo Inputs'!B50)</f>
        <v>NasdaqGM:NTLA</v>
      </c>
      <c r="AA32" s="234" t="str">
        <f>'Comp.2'!AI34</f>
        <v>Editas Medicine, Inc. operates as a clinical stage genome editing company. The company focuses on developing transformative genomic medicines to treat a range of serious diseases. It develops a proprietary genome editing platform based on CRISPR technology to target genetically addressable diseases and therapeutic areas. The company develops EDIT-101 for Leber Congenital Amaurosis type 10, a genetic form of vision loss that leads to blindness in childhood. It also develops other therapies for eye diseases, such as Usher Syndrome 2A, which is a form of retinitis pigmentosa that also includes hearing loss; Retinitis Pigmentosa, a progressive form of retinal degeneration; and Herpes Simplex Virus 1 that causes lifelong infections leading to ocular and oral disease. In addition, the company develops hematopoietic stem cells for treating sickle cell disease and beta thalassemia. It has a research collaboration with Juno Therapeutics, Inc. to develop engineered T cells for cancer; and strategic alliance and option agreement with Allergan Pharmaceuticals International Limited to discover, develop, and commercialize new gene editing medicines for a range of ocular disorders. The company was formerly known as Gengine, Inc. and changed its name to Editas Medicine, Inc. in November 2013. Editas Medicine, Inc. was founded in 2013 and is headquartered in Cambridge, Massachusetts.</v>
      </c>
    </row>
    <row r="33" spans="2:27" ht="14.85" customHeight="1">
      <c r="B33" s="234" t="str">
        <f>'Comp.1'!B34</f>
        <v>Intellia Therapeutics, Inc.</v>
      </c>
      <c r="D33" s="390">
        <f>'Capital IQ Sheet-GPC'!AF35</f>
        <v>-2.0924299999999998</v>
      </c>
      <c r="E33" s="390" t="str">
        <f>'Capital IQ Sheet-GPC'!AG35</f>
        <v>n/a</v>
      </c>
      <c r="F33" s="390" t="str">
        <f>'Capital IQ Sheet-GPC'!AH35</f>
        <v>n/a</v>
      </c>
      <c r="G33" s="390" t="str">
        <f>'Capital IQ Sheet-GPC'!AI35</f>
        <v>n/a</v>
      </c>
      <c r="I33" s="465">
        <f>'Capital IQ Sheet-GPC'!AJ35</f>
        <v>-20.548999999999999</v>
      </c>
      <c r="J33" s="465">
        <f>'Capital IQ Sheet-GPC'!AK35</f>
        <v>-18.997</v>
      </c>
      <c r="K33" s="465">
        <f>'Capital IQ Sheet-GPC'!AL35</f>
        <v>-20.334</v>
      </c>
      <c r="M33" s="390" t="str">
        <f>IFERROR(IF(I33/'Comp.1'!H34&gt;$AA$7,"NM",IF((I33/'Comp.1'!H34)&lt;$AC$7,"NM",I33/'Comp.1'!H34)),"n/a")</f>
        <v>NM</v>
      </c>
      <c r="N33" s="390">
        <f>IFERROR(IF(J33/'Comp.1'!I34&gt;$AA$7,"NM",IF((J33/'Comp.1'!I34)&lt;$AC$7,"NM",J33/'Comp.1'!I34)),"n/a")</f>
        <v>-0.75757696602328917</v>
      </c>
      <c r="O33" s="390">
        <f>IFERROR(IF(K33/'Comp.1'!J34&gt;$AA$7,"NM",IF((K33/'Comp.1'!J34)&lt;$AC$7,"NM",K33/'Comp.1'!J34)),"n/a")</f>
        <v>-0.69584559578399829</v>
      </c>
      <c r="P33" s="259"/>
      <c r="Q33" s="465">
        <f>'Capital IQ Sheet-GPC'!AM35</f>
        <v>-3.609</v>
      </c>
      <c r="R33" s="465">
        <f>'Capital IQ Sheet-GPC'!AN35</f>
        <v>-11.099</v>
      </c>
      <c r="S33" s="465">
        <f>'Capital IQ Sheet-GPC'!AO35</f>
        <v>-7.1630000000000003</v>
      </c>
      <c r="U33" s="390">
        <f>IFERROR(IF(Q33/'Comp.1'!H34&gt;$AA$7,"NM",IF((Q33/'Comp.1'!H34)&lt;$AC$7,"NM",Q33/'Comp.1'!H34)),"n/a")</f>
        <v>-0.2876843363889996</v>
      </c>
      <c r="V33" s="390">
        <f>IFERROR(IF(R33/'Comp.1'!I34&gt;$AA$7,"NM",IF((R33/'Comp.1'!I34)&lt;$AC$7,"NM",R33/'Comp.1'!I34)),"n/a")</f>
        <v>-0.4426144520657202</v>
      </c>
      <c r="W33" s="390">
        <f>IFERROR(IF(S33/'Comp.1'!J34&gt;$AA$7,"NM",IF((S33/'Comp.1'!J34)&lt;$AC$7,"NM",S33/'Comp.1'!J34)),"n/a")</f>
        <v>-0.24512353706111834</v>
      </c>
      <c r="Z33" s="815" t="str">
        <f>IF('MASTER PubCo Inputs'!B51="","",'MASTER PubCo Inputs'!B51)</f>
        <v>NasdaqCM:ABEO</v>
      </c>
      <c r="AA33" s="234" t="str">
        <f>'Comp.2'!AI35</f>
        <v>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programs. Its ex vivo pipeline includes proprietary programs focused on developing engineered cell therapies to treat various oncological and autoimmune diseases; and partnered programs focused on chimeric antigen receptor T cells and hematopoietic stem cells. Intellia Therapeutics, Inc. has collaboration agreement with Novartis Institutes for BioMedical Research, Inc.; Regeneron Pharmaceuticals, Inc.; and Caribou Biosciences, Inc. The company was formerly known as AZRN, Inc. and changed its name to Intellia Therapeutics, Inc. in July 2014. Intellia Therapeutics, Inc. was founded in 2014 and is headquartered in Cambridge, Massachusetts.</v>
      </c>
    </row>
    <row r="34" spans="2:27" ht="14.85" customHeight="1">
      <c r="B34" s="234" t="str">
        <f>'Comp.1'!B35</f>
        <v>Abeona Therapeutics Inc.</v>
      </c>
      <c r="D34" s="390">
        <f>'Capital IQ Sheet-GPC'!AF36</f>
        <v>-2.3598569999999999</v>
      </c>
      <c r="E34" s="390" t="str">
        <f>'Capital IQ Sheet-GPC'!AG36</f>
        <v>n/a</v>
      </c>
      <c r="F34" s="390" t="str">
        <f>'Capital IQ Sheet-GPC'!AH36</f>
        <v>n/a</v>
      </c>
      <c r="G34" s="390" t="str">
        <f>'Capital IQ Sheet-GPC'!AI36</f>
        <v>n/a</v>
      </c>
      <c r="I34" s="465">
        <f>'Capital IQ Sheet-GPC'!AJ36</f>
        <v>-5.7530000000000001</v>
      </c>
      <c r="J34" s="465">
        <f>'Capital IQ Sheet-GPC'!AK36</f>
        <v>-0.76600000000000001</v>
      </c>
      <c r="K34" s="465">
        <f>'Capital IQ Sheet-GPC'!AL36</f>
        <v>-8.0039999999999996</v>
      </c>
      <c r="M34" s="390" t="str">
        <f>IFERROR(IF(I34/'Comp.1'!H35&gt;$AA$7,"NM",IF((I34/'Comp.1'!H35)&lt;$AC$7,"NM",I34/'Comp.1'!H35)),"n/a")</f>
        <v>NM</v>
      </c>
      <c r="N34" s="390">
        <f>IFERROR(IF(J34/'Comp.1'!I35&gt;$AA$7,"NM",IF((J34/'Comp.1'!I35)&lt;$AC$7,"NM",J34/'Comp.1'!I35)),"n/a")</f>
        <v>-0.87243735763097952</v>
      </c>
      <c r="O34" s="390" t="str">
        <f>IFERROR(IF(K34/'Comp.1'!J35&gt;$AA$7,"NM",IF((K34/'Comp.1'!J35)&lt;$AC$7,"NM",K34/'Comp.1'!J35)),"n/a")</f>
        <v>NM</v>
      </c>
      <c r="P34" s="259"/>
      <c r="Q34" s="465">
        <f>'Capital IQ Sheet-GPC'!AM36</f>
        <v>-0.76800000000000002</v>
      </c>
      <c r="R34" s="465">
        <f>'Capital IQ Sheet-GPC'!AN36</f>
        <v>-0.17399999999999999</v>
      </c>
      <c r="S34" s="465">
        <f>'Capital IQ Sheet-GPC'!AO36</f>
        <v>-9.2840000000000007</v>
      </c>
      <c r="U34" s="390">
        <f>IFERROR(IF(Q34/'Comp.1'!H35&gt;$AA$7,"NM",IF((Q34/'Comp.1'!H35)&lt;$AC$7,"NM",Q34/'Comp.1'!H35)),"n/a")</f>
        <v>-0.90566037735849059</v>
      </c>
      <c r="V34" s="390">
        <f>IFERROR(IF(R34/'Comp.1'!I35&gt;$AA$7,"NM",IF((R34/'Comp.1'!I35)&lt;$AC$7,"NM",R34/'Comp.1'!I35)),"n/a")</f>
        <v>-0.19817767653758542</v>
      </c>
      <c r="W34" s="390" t="str">
        <f>IFERROR(IF(S34/'Comp.1'!J35&gt;$AA$7,"NM",IF((S34/'Comp.1'!J35)&lt;$AC$7,"NM",S34/'Comp.1'!J35)),"n/a")</f>
        <v>NM</v>
      </c>
      <c r="Z34" s="815" t="str">
        <f>IF('MASTER PubCo Inputs'!B52="","",'MASTER PubCo Inputs'!B52)</f>
        <v/>
      </c>
      <c r="AA34" s="234" t="str">
        <f>'Comp.2'!AI36</f>
        <v>Abeona Therapeutics Inc., a clinical-stage biopharmaceutical company, focuses on developing and delivering gene therapy products for severe and life-threatening rare diseases. The company’s lead programs are EB-101 (gene-corrected skin grafts) for recessive dystrophic epidermolysis bullosa (RDEB); ABO-102, which are AAV based gene therapies for Sanfilippo syndrome type A; and ABO-101, an adeno-associated virus (AAV) based gene therapies for Sanfilippo syndrome type B. It is also developing ABO-201 gene therapy for juvenile Batten disease; ABO-202 gene therapy for treatment of infantile Batten disease; EB-201 for for epidermolysis bullosa (EB); ABO-301 for Fanconi anemia disorder; and ABO-302 using a novel CRISPR/Cas9-based gene editing approach to gene therapy program for rare blood diseases. Further, it is involved in marketing MuGard, a mucoadhesive oral wound rinse for the management of mucositis, stomatitis, aphthous ulcers, and traumatic ulcers. Abeona Therapeutics Inc. has collaborations with EB Research Partnership and Epidermolysis Bullosa Medical Research Foundation that focus on gene therapy treatments for EB; and Brammer Bio for commercial translation of ABO-102. Abeona Therapeutics Inc. also has a license agreement with REGENXBIO Inc. to NAV AAV9 vector for the treatment of Sanfilippo syndrome type A (MPS IIIA), Sanfilippo syndrome type B (MPS IIIB), Infantile Batten, and Juvenile Batten diseases. The company was formerly known as PlasmaTech Biopharmaceuticals, Inc. and changed its name to Abeona Therapeutics Inc. in June 2015. Abeona Therapeutics Inc. was incorporated in 1989 and is based in Dallas, Texas.</v>
      </c>
    </row>
    <row r="35" spans="2:27" ht="14.85" customHeight="1">
      <c r="B35" s="234" t="e">
        <f>'Comp.1'!#REF!</f>
        <v>#REF!</v>
      </c>
      <c r="D35" s="390" t="str">
        <f>'Capital IQ Sheet-GPC'!AF37</f>
        <v>n/a</v>
      </c>
      <c r="E35" s="390" t="str">
        <f>'Capital IQ Sheet-GPC'!AG37</f>
        <v>n/a</v>
      </c>
      <c r="F35" s="390" t="str">
        <f>'Capital IQ Sheet-GPC'!AH37</f>
        <v>n/a</v>
      </c>
      <c r="G35" s="390" t="str">
        <f>'Capital IQ Sheet-GPC'!AI37</f>
        <v>n/a</v>
      </c>
      <c r="I35" s="465" t="str">
        <f>'Capital IQ Sheet-GPC'!AJ37</f>
        <v>(Invalid Identifier)</v>
      </c>
      <c r="J35" s="465" t="str">
        <f>'Capital IQ Sheet-GPC'!AK37</f>
        <v>(Invalid Identifier)</v>
      </c>
      <c r="K35" s="465" t="str">
        <f>'Capital IQ Sheet-GPC'!AL37</f>
        <v>(Invalid Identifier)</v>
      </c>
      <c r="M35" s="390" t="str">
        <f>IFERROR(IF(I35/'Comp.1'!#REF!&gt;$AA$7,"NM",IF((I35/'Comp.1'!#REF!)&lt;$AC$7,"NM",I35/'Comp.1'!#REF!)),"n/a")</f>
        <v>n/a</v>
      </c>
      <c r="N35" s="390" t="str">
        <f>IFERROR(IF(J35/'Comp.1'!#REF!&gt;$AA$7,"NM",IF((J35/'Comp.1'!#REF!)&lt;$AC$7,"NM",J35/'Comp.1'!#REF!)),"n/a")</f>
        <v>n/a</v>
      </c>
      <c r="O35" s="390" t="str">
        <f>IFERROR(IF(K35/'Comp.1'!#REF!&gt;$AA$7,"NM",IF((K35/'Comp.1'!#REF!)&lt;$AC$7,"NM",K35/'Comp.1'!#REF!)),"n/a")</f>
        <v>n/a</v>
      </c>
      <c r="P35" s="259"/>
      <c r="Q35" s="465" t="str">
        <f>'Capital IQ Sheet-GPC'!AM37</f>
        <v>(Invalid Identifier)</v>
      </c>
      <c r="R35" s="465" t="str">
        <f>'Capital IQ Sheet-GPC'!AN37</f>
        <v>(Invalid Identifier)</v>
      </c>
      <c r="S35" s="465" t="str">
        <f>'Capital IQ Sheet-GPC'!AO37</f>
        <v>(Invalid Identifier)</v>
      </c>
      <c r="U35" s="390" t="str">
        <f>IFERROR(IF(Q35/'Comp.1'!#REF!&gt;$AA$7,"NM",IF((Q35/'Comp.1'!#REF!)&lt;$AC$7,"NM",Q35/'Comp.1'!#REF!)),"n/a")</f>
        <v>n/a</v>
      </c>
      <c r="V35" s="390" t="str">
        <f>IFERROR(IF(R35/'Comp.1'!#REF!&gt;$AA$7,"NM",IF((R35/'Comp.1'!#REF!)&lt;$AC$7,"NM",R35/'Comp.1'!#REF!)),"n/a")</f>
        <v>n/a</v>
      </c>
      <c r="W35" s="390" t="str">
        <f>IFERROR(IF(S35/'Comp.1'!#REF!&gt;$AA$7,"NM",IF((S35/'Comp.1'!#REF!)&lt;$AC$7,"NM",S35/'Comp.1'!#REF!)),"n/a")</f>
        <v>n/a</v>
      </c>
      <c r="Z35" s="815" t="str">
        <f>IF('MASTER PubCo Inputs'!B53="","",'MASTER PubCo Inputs'!B53)</f>
        <v/>
      </c>
      <c r="AA35" s="234" t="e">
        <f>'Comp.2'!AI37</f>
        <v>#REF!</v>
      </c>
    </row>
    <row r="36" spans="2:27" ht="14.85" customHeight="1">
      <c r="B36" s="234" t="e">
        <f>'Comp.1'!#REF!</f>
        <v>#REF!</v>
      </c>
      <c r="D36" s="390" t="str">
        <f>'Capital IQ Sheet-GPC'!AF38</f>
        <v>n/a</v>
      </c>
      <c r="E36" s="390" t="str">
        <f>'Capital IQ Sheet-GPC'!AG38</f>
        <v>n/a</v>
      </c>
      <c r="F36" s="390" t="str">
        <f>'Capital IQ Sheet-GPC'!AH38</f>
        <v>n/a</v>
      </c>
      <c r="G36" s="390" t="str">
        <f>'Capital IQ Sheet-GPC'!AI38</f>
        <v>n/a</v>
      </c>
      <c r="I36" s="465" t="str">
        <f>'Capital IQ Sheet-GPC'!AJ38</f>
        <v>(Invalid Identifier)</v>
      </c>
      <c r="J36" s="465" t="str">
        <f>'Capital IQ Sheet-GPC'!AK38</f>
        <v>(Invalid Identifier)</v>
      </c>
      <c r="K36" s="465" t="str">
        <f>'Capital IQ Sheet-GPC'!AL38</f>
        <v>(Invalid Identifier)</v>
      </c>
      <c r="M36" s="390" t="str">
        <f>IFERROR(IF(I36/'Comp.1'!#REF!&gt;$AA$7,"NM",IF((I36/'Comp.1'!#REF!)&lt;$AC$7,"NM",I36/'Comp.1'!#REF!)),"n/a")</f>
        <v>n/a</v>
      </c>
      <c r="N36" s="390" t="str">
        <f>IFERROR(IF(J36/'Comp.1'!#REF!&gt;$AA$7,"NM",IF((J36/'Comp.1'!#REF!)&lt;$AC$7,"NM",J36/'Comp.1'!#REF!)),"n/a")</f>
        <v>n/a</v>
      </c>
      <c r="O36" s="390" t="str">
        <f>IFERROR(IF(K36/'Comp.1'!#REF!&gt;$AA$7,"NM",IF((K36/'Comp.1'!#REF!)&lt;$AC$7,"NM",K36/'Comp.1'!#REF!)),"n/a")</f>
        <v>n/a</v>
      </c>
      <c r="P36" s="259"/>
      <c r="Q36" s="465" t="str">
        <f>'Capital IQ Sheet-GPC'!AM38</f>
        <v>(Invalid Identifier)</v>
      </c>
      <c r="R36" s="465" t="str">
        <f>'Capital IQ Sheet-GPC'!AN38</f>
        <v>(Invalid Identifier)</v>
      </c>
      <c r="S36" s="465" t="str">
        <f>'Capital IQ Sheet-GPC'!AO38</f>
        <v>(Invalid Identifier)</v>
      </c>
      <c r="U36" s="390" t="str">
        <f>IFERROR(IF(Q36/'Comp.1'!#REF!&gt;$AA$7,"NM",IF((Q36/'Comp.1'!#REF!)&lt;$AC$7,"NM",Q36/'Comp.1'!#REF!)),"n/a")</f>
        <v>n/a</v>
      </c>
      <c r="V36" s="390" t="str">
        <f>IFERROR(IF(R36/'Comp.1'!#REF!&gt;$AA$7,"NM",IF((R36/'Comp.1'!#REF!)&lt;$AC$7,"NM",R36/'Comp.1'!#REF!)),"n/a")</f>
        <v>n/a</v>
      </c>
      <c r="W36" s="390" t="str">
        <f>IFERROR(IF(S36/'Comp.1'!#REF!&gt;$AA$7,"NM",IF((S36/'Comp.1'!#REF!)&lt;$AC$7,"NM",S36/'Comp.1'!#REF!)),"n/a")</f>
        <v>n/a</v>
      </c>
      <c r="Z36" s="815" t="str">
        <f>IF('MASTER PubCo Inputs'!B54="","",'MASTER PubCo Inputs'!B54)</f>
        <v/>
      </c>
      <c r="AA36" s="234" t="e">
        <f>'Comp.2'!AI38</f>
        <v>#REF!</v>
      </c>
    </row>
    <row r="37" spans="2:27" ht="14.85" customHeight="1">
      <c r="B37" s="234" t="e">
        <f>'Comp.1'!#REF!</f>
        <v>#REF!</v>
      </c>
      <c r="D37" s="390" t="str">
        <f>'Capital IQ Sheet-GPC'!AF39</f>
        <v>n/a</v>
      </c>
      <c r="E37" s="390" t="str">
        <f>'Capital IQ Sheet-GPC'!AG39</f>
        <v>n/a</v>
      </c>
      <c r="F37" s="390" t="str">
        <f>'Capital IQ Sheet-GPC'!AH39</f>
        <v>n/a</v>
      </c>
      <c r="G37" s="390" t="str">
        <f>'Capital IQ Sheet-GPC'!AI39</f>
        <v>n/a</v>
      </c>
      <c r="I37" s="465" t="str">
        <f>'Capital IQ Sheet-GPC'!AJ39</f>
        <v>(Invalid Identifier)</v>
      </c>
      <c r="J37" s="465" t="str">
        <f>'Capital IQ Sheet-GPC'!AK39</f>
        <v>(Invalid Identifier)</v>
      </c>
      <c r="K37" s="465" t="str">
        <f>'Capital IQ Sheet-GPC'!AL39</f>
        <v>(Invalid Identifier)</v>
      </c>
      <c r="M37" s="390" t="str">
        <f>IFERROR(IF(I37/'Comp.1'!#REF!&gt;$AA$7,"NM",IF((I37/'Comp.1'!#REF!)&lt;$AC$7,"NM",I37/'Comp.1'!#REF!)),"n/a")</f>
        <v>n/a</v>
      </c>
      <c r="N37" s="390" t="str">
        <f>IFERROR(IF(J37/'Comp.1'!#REF!&gt;$AA$7,"NM",IF((J37/'Comp.1'!#REF!)&lt;$AC$7,"NM",J37/'Comp.1'!#REF!)),"n/a")</f>
        <v>n/a</v>
      </c>
      <c r="O37" s="390" t="str">
        <f>IFERROR(IF(K37/'Comp.1'!#REF!&gt;$AA$7,"NM",IF((K37/'Comp.1'!#REF!)&lt;$AC$7,"NM",K37/'Comp.1'!#REF!)),"n/a")</f>
        <v>n/a</v>
      </c>
      <c r="P37" s="259"/>
      <c r="Q37" s="465" t="str">
        <f>'Capital IQ Sheet-GPC'!AM39</f>
        <v>(Invalid Identifier)</v>
      </c>
      <c r="R37" s="465" t="str">
        <f>'Capital IQ Sheet-GPC'!AN39</f>
        <v>(Invalid Identifier)</v>
      </c>
      <c r="S37" s="465" t="str">
        <f>'Capital IQ Sheet-GPC'!AO39</f>
        <v>(Invalid Identifier)</v>
      </c>
      <c r="U37" s="390" t="str">
        <f>IFERROR(IF(Q37/'Comp.1'!#REF!&gt;$AA$7,"NM",IF((Q37/'Comp.1'!#REF!)&lt;$AC$7,"NM",Q37/'Comp.1'!#REF!)),"n/a")</f>
        <v>n/a</v>
      </c>
      <c r="V37" s="390" t="str">
        <f>IFERROR(IF(R37/'Comp.1'!#REF!&gt;$AA$7,"NM",IF((R37/'Comp.1'!#REF!)&lt;$AC$7,"NM",R37/'Comp.1'!#REF!)),"n/a")</f>
        <v>n/a</v>
      </c>
      <c r="W37" s="390" t="str">
        <f>IFERROR(IF(S37/'Comp.1'!#REF!&gt;$AA$7,"NM",IF((S37/'Comp.1'!#REF!)&lt;$AC$7,"NM",S37/'Comp.1'!#REF!)),"n/a")</f>
        <v>n/a</v>
      </c>
      <c r="Z37" s="815" t="str">
        <f>IF('MASTER PubCo Inputs'!B55="","",'MASTER PubCo Inputs'!B55)</f>
        <v/>
      </c>
      <c r="AA37" s="234" t="e">
        <f>'Comp.2'!AI39</f>
        <v>#REF!</v>
      </c>
    </row>
    <row r="38" spans="2:27" ht="14.85" customHeight="1">
      <c r="B38" s="234" t="e">
        <f>'Comp.1'!#REF!</f>
        <v>#REF!</v>
      </c>
      <c r="D38" s="390" t="str">
        <f>'Capital IQ Sheet-GPC'!AF40</f>
        <v>n/a</v>
      </c>
      <c r="E38" s="390" t="str">
        <f>'Capital IQ Sheet-GPC'!AG40</f>
        <v>n/a</v>
      </c>
      <c r="F38" s="390" t="str">
        <f>'Capital IQ Sheet-GPC'!AH40</f>
        <v>n/a</v>
      </c>
      <c r="G38" s="390" t="str">
        <f>'Capital IQ Sheet-GPC'!AI40</f>
        <v>n/a</v>
      </c>
      <c r="I38" s="465" t="str">
        <f>'Capital IQ Sheet-GPC'!AJ40</f>
        <v>(Invalid Identifier)</v>
      </c>
      <c r="J38" s="465" t="str">
        <f>'Capital IQ Sheet-GPC'!AK40</f>
        <v>(Invalid Identifier)</v>
      </c>
      <c r="K38" s="465" t="str">
        <f>'Capital IQ Sheet-GPC'!AL40</f>
        <v>(Invalid Identifier)</v>
      </c>
      <c r="M38" s="390" t="str">
        <f>IFERROR(IF(I38/'Comp.1'!#REF!&gt;$AA$7,"NM",IF((I38/'Comp.1'!#REF!)&lt;$AC$7,"NM",I38/'Comp.1'!#REF!)),"n/a")</f>
        <v>n/a</v>
      </c>
      <c r="N38" s="390" t="str">
        <f>IFERROR(IF(J38/'Comp.1'!#REF!&gt;$AA$7,"NM",IF((J38/'Comp.1'!#REF!)&lt;$AC$7,"NM",J38/'Comp.1'!#REF!)),"n/a")</f>
        <v>n/a</v>
      </c>
      <c r="O38" s="390" t="str">
        <f>IFERROR(IF(K38/'Comp.1'!#REF!&gt;$AA$7,"NM",IF((K38/'Comp.1'!#REF!)&lt;$AC$7,"NM",K38/'Comp.1'!#REF!)),"n/a")</f>
        <v>n/a</v>
      </c>
      <c r="P38" s="259"/>
      <c r="Q38" s="465" t="str">
        <f>'Capital IQ Sheet-GPC'!AM40</f>
        <v>(Invalid Identifier)</v>
      </c>
      <c r="R38" s="465" t="str">
        <f>'Capital IQ Sheet-GPC'!AN40</f>
        <v>(Invalid Identifier)</v>
      </c>
      <c r="S38" s="465" t="str">
        <f>'Capital IQ Sheet-GPC'!AO40</f>
        <v>(Invalid Identifier)</v>
      </c>
      <c r="U38" s="390" t="str">
        <f>IFERROR(IF(Q38/'Comp.1'!#REF!&gt;$AA$7,"NM",IF((Q38/'Comp.1'!#REF!)&lt;$AC$7,"NM",Q38/'Comp.1'!#REF!)),"n/a")</f>
        <v>n/a</v>
      </c>
      <c r="V38" s="390" t="str">
        <f>IFERROR(IF(R38/'Comp.1'!#REF!&gt;$AA$7,"NM",IF((R38/'Comp.1'!#REF!)&lt;$AC$7,"NM",R38/'Comp.1'!#REF!)),"n/a")</f>
        <v>n/a</v>
      </c>
      <c r="W38" s="390" t="str">
        <f>IFERROR(IF(S38/'Comp.1'!#REF!&gt;$AA$7,"NM",IF((S38/'Comp.1'!#REF!)&lt;$AC$7,"NM",S38/'Comp.1'!#REF!)),"n/a")</f>
        <v>n/a</v>
      </c>
      <c r="Z38" s="815" t="str">
        <f>IF('MASTER PubCo Inputs'!B56="","",'MASTER PubCo Inputs'!B56)</f>
        <v/>
      </c>
      <c r="AA38" s="234" t="e">
        <f>'Comp.2'!AI40</f>
        <v>#REF!</v>
      </c>
    </row>
    <row r="39" spans="2:27" ht="14.85" customHeight="1">
      <c r="B39" s="234" t="e">
        <f>'Comp.1'!#REF!</f>
        <v>#REF!</v>
      </c>
      <c r="D39" s="390" t="str">
        <f>'Capital IQ Sheet-GPC'!AF42</f>
        <v>n/a</v>
      </c>
      <c r="E39" s="390" t="str">
        <f>'Capital IQ Sheet-GPC'!AG42</f>
        <v>n/a</v>
      </c>
      <c r="F39" s="390" t="str">
        <f>'Capital IQ Sheet-GPC'!AH42</f>
        <v>n/a</v>
      </c>
      <c r="G39" s="390" t="str">
        <f>'Capital IQ Sheet-GPC'!AI42</f>
        <v>n/a</v>
      </c>
      <c r="I39" s="465" t="str">
        <f>'Capital IQ Sheet-GPC'!AJ42</f>
        <v>(Invalid Identifier)</v>
      </c>
      <c r="J39" s="465" t="str">
        <f>'Capital IQ Sheet-GPC'!AK42</f>
        <v>(Invalid Identifier)</v>
      </c>
      <c r="K39" s="465" t="str">
        <f>'Capital IQ Sheet-GPC'!AL42</f>
        <v>(Invalid Identifier)</v>
      </c>
      <c r="M39" s="390" t="str">
        <f>IFERROR(IF(I39/'Comp.1'!#REF!&gt;$AA$7,"NM",IF((I39/'Comp.1'!#REF!)&lt;$AC$7,"NM",I39/'Comp.1'!#REF!)),"n/a")</f>
        <v>n/a</v>
      </c>
      <c r="N39" s="390" t="str">
        <f>IFERROR(IF(J39/'Comp.1'!#REF!&gt;$AA$7,"NM",IF((J39/'Comp.1'!#REF!)&lt;$AC$7,"NM",J39/'Comp.1'!#REF!)),"n/a")</f>
        <v>n/a</v>
      </c>
      <c r="O39" s="390" t="str">
        <f>IFERROR(IF(K39/'Comp.1'!#REF!&gt;$AA$7,"NM",IF((K39/'Comp.1'!#REF!)&lt;$AC$7,"NM",K39/'Comp.1'!#REF!)),"n/a")</f>
        <v>n/a</v>
      </c>
      <c r="P39" s="259"/>
      <c r="Q39" s="465" t="str">
        <f>'Capital IQ Sheet-GPC'!AM42</f>
        <v>(Invalid Identifier)</v>
      </c>
      <c r="R39" s="465" t="str">
        <f>'Capital IQ Sheet-GPC'!AN42</f>
        <v>(Invalid Identifier)</v>
      </c>
      <c r="S39" s="465" t="str">
        <f>'Capital IQ Sheet-GPC'!AO42</f>
        <v>(Invalid Identifier)</v>
      </c>
      <c r="U39" s="390" t="str">
        <f>IFERROR(IF(Q39/'Comp.1'!#REF!&gt;$AA$7,"NM",IF((Q39/'Comp.1'!#REF!)&lt;$AC$7,"NM",Q39/'Comp.1'!#REF!)),"n/a")</f>
        <v>n/a</v>
      </c>
      <c r="V39" s="390" t="str">
        <f>IFERROR(IF(R39/'Comp.1'!#REF!&gt;$AA$7,"NM",IF((R39/'Comp.1'!#REF!)&lt;$AC$7,"NM",R39/'Comp.1'!#REF!)),"n/a")</f>
        <v>n/a</v>
      </c>
      <c r="W39" s="390" t="str">
        <f>IFERROR(IF(S39/'Comp.1'!#REF!&gt;$AA$7,"NM",IF((S39/'Comp.1'!#REF!)&lt;$AC$7,"NM",S39/'Comp.1'!#REF!)),"n/a")</f>
        <v>n/a</v>
      </c>
      <c r="Z39" s="815" t="str">
        <f>IF('MASTER PubCo Inputs'!B57="","",'MASTER PubCo Inputs'!B57)</f>
        <v/>
      </c>
      <c r="AA39" s="234" t="e">
        <f>'Comp.2'!AI41</f>
        <v>#REF!</v>
      </c>
    </row>
    <row r="40" spans="2:27" ht="14.85" customHeight="1">
      <c r="I40" s="259"/>
      <c r="J40" s="259"/>
      <c r="K40" s="259"/>
      <c r="M40" s="259"/>
      <c r="N40" s="259"/>
      <c r="O40" s="259"/>
      <c r="P40" s="259"/>
    </row>
    <row r="41" spans="2:27" ht="14.85" customHeight="1">
      <c r="B41" s="817" t="s">
        <v>111</v>
      </c>
      <c r="C41" s="819"/>
      <c r="D41" s="904" t="e">
        <f>MAX(D10:D40)</f>
        <v>#REF!</v>
      </c>
      <c r="E41" s="904" t="e">
        <f>MAX(E10:E40)</f>
        <v>#REF!</v>
      </c>
      <c r="F41" s="904" t="e">
        <f>MAX(F10:F40)</f>
        <v>#REF!</v>
      </c>
      <c r="G41" s="904" t="e">
        <f>MAX(G10:G40)</f>
        <v>#REF!</v>
      </c>
      <c r="H41" s="819"/>
      <c r="I41" s="818" t="e">
        <f>MAX(I10:I40)</f>
        <v>#REF!</v>
      </c>
      <c r="J41" s="818" t="e">
        <f>MAX(J10:J40)</f>
        <v>#REF!</v>
      </c>
      <c r="K41" s="820" t="e">
        <f>MAX(K10:K40)</f>
        <v>#REF!</v>
      </c>
      <c r="L41" s="819"/>
      <c r="M41" s="904">
        <f>MAX(M10:M40)</f>
        <v>-8.5252601071704084E-2</v>
      </c>
      <c r="N41" s="904">
        <f>MAX(N10:N40)</f>
        <v>9.7960051727627284E-2</v>
      </c>
      <c r="O41" s="904">
        <f>MAX(O10:O40)</f>
        <v>4.4913027357289102E-2</v>
      </c>
      <c r="P41" s="818"/>
      <c r="Q41" s="818" t="e">
        <f>MAX(Q10:Q40)</f>
        <v>#REF!</v>
      </c>
      <c r="R41" s="818" t="e">
        <f>MAX(R10:R40)</f>
        <v>#REF!</v>
      </c>
      <c r="S41" s="818" t="e">
        <f>MAX(S10:S40)</f>
        <v>#REF!</v>
      </c>
      <c r="T41" s="819"/>
      <c r="U41" s="904">
        <f>MAX(U10:U40)</f>
        <v>9.2811925668776801E-2</v>
      </c>
      <c r="V41" s="904">
        <f>MAX(V10:V40)</f>
        <v>-1.5116953146706824E-2</v>
      </c>
      <c r="W41" s="1227">
        <f>MAX(W10:W40)</f>
        <v>-1.204396045566317E-2</v>
      </c>
    </row>
    <row r="42" spans="2:27" ht="14.85" customHeight="1">
      <c r="B42" s="821" t="s">
        <v>115</v>
      </c>
      <c r="C42" s="823"/>
      <c r="D42" s="860" t="e">
        <f>QUARTILE(D10:D40,3)</f>
        <v>#REF!</v>
      </c>
      <c r="E42" s="860" t="e">
        <f>QUARTILE(E10:E40,3)</f>
        <v>#REF!</v>
      </c>
      <c r="F42" s="860" t="e">
        <f>QUARTILE(F10:F40,3)</f>
        <v>#REF!</v>
      </c>
      <c r="G42" s="860" t="e">
        <f>QUARTILE(G10:G40,3)</f>
        <v>#REF!</v>
      </c>
      <c r="H42" s="823"/>
      <c r="I42" s="822" t="e">
        <f>QUARTILE(I10:I40,3)</f>
        <v>#REF!</v>
      </c>
      <c r="J42" s="822" t="e">
        <f>QUARTILE(J10:J40,3)</f>
        <v>#REF!</v>
      </c>
      <c r="K42" s="824" t="e">
        <f>QUARTILE(K10:K40,3)</f>
        <v>#REF!</v>
      </c>
      <c r="L42" s="823"/>
      <c r="M42" s="860">
        <f>QUARTILE(M10:M40,3)</f>
        <v>-0.33671334869703956</v>
      </c>
      <c r="N42" s="860">
        <f>QUARTILE(N10:N40,3)</f>
        <v>-0.71093339067317962</v>
      </c>
      <c r="O42" s="860">
        <f>QUARTILE(O10:O40,3)</f>
        <v>-0.18023675279940765</v>
      </c>
      <c r="P42" s="822"/>
      <c r="Q42" s="822" t="e">
        <f>QUARTILE(Q10:Q40,3)</f>
        <v>#REF!</v>
      </c>
      <c r="R42" s="822" t="e">
        <f>QUARTILE(R10:R40,3)</f>
        <v>#REF!</v>
      </c>
      <c r="S42" s="822" t="e">
        <f>QUARTILE(S10:S40,3)</f>
        <v>#REF!</v>
      </c>
      <c r="T42" s="823"/>
      <c r="U42" s="860">
        <f>QUARTILE(U10:U40,3)</f>
        <v>-9.0267683034922885E-2</v>
      </c>
      <c r="V42" s="860">
        <f>QUARTILE(V10:V40,3)</f>
        <v>-9.1461715956464434E-2</v>
      </c>
      <c r="W42" s="861">
        <f>QUARTILE(W10:W40,3)</f>
        <v>-5.835298829602599E-2</v>
      </c>
    </row>
    <row r="43" spans="2:27" ht="14.85" customHeight="1">
      <c r="B43" s="821" t="s">
        <v>113</v>
      </c>
      <c r="C43" s="823"/>
      <c r="D43" s="860" t="e">
        <f>AVERAGE(D10:D40)</f>
        <v>#REF!</v>
      </c>
      <c r="E43" s="860" t="e">
        <f>AVERAGE(E10:E40)</f>
        <v>#REF!</v>
      </c>
      <c r="F43" s="860" t="e">
        <f>AVERAGE(F10:F40)</f>
        <v>#REF!</v>
      </c>
      <c r="G43" s="860" t="e">
        <f>AVERAGE(G10:G40)</f>
        <v>#REF!</v>
      </c>
      <c r="H43" s="823"/>
      <c r="I43" s="822" t="e">
        <f>AVERAGE(I10:I40)</f>
        <v>#REF!</v>
      </c>
      <c r="J43" s="822" t="e">
        <f>AVERAGE(J10:J40)</f>
        <v>#REF!</v>
      </c>
      <c r="K43" s="824" t="e">
        <f>AVERAGE(K10:K40)</f>
        <v>#REF!</v>
      </c>
      <c r="L43" s="823"/>
      <c r="M43" s="860">
        <f>AVERAGE(M10:M40)</f>
        <v>-0.39958822336612076</v>
      </c>
      <c r="N43" s="860">
        <f>AVERAGE(N10:N40)</f>
        <v>-0.69690380672916696</v>
      </c>
      <c r="O43" s="860">
        <f>AVERAGE(O10:O40)</f>
        <v>-0.40126122818223903</v>
      </c>
      <c r="P43" s="822"/>
      <c r="Q43" s="822" t="e">
        <f>AVERAGE(Q10:Q40)</f>
        <v>#REF!</v>
      </c>
      <c r="R43" s="822" t="e">
        <f>AVERAGE(R10:R40)</f>
        <v>#REF!</v>
      </c>
      <c r="S43" s="822" t="e">
        <f>AVERAGE(S10:S40)</f>
        <v>#REF!</v>
      </c>
      <c r="T43" s="823"/>
      <c r="U43" s="860">
        <f>AVERAGE(U10:U40)</f>
        <v>-0.34673118975772177</v>
      </c>
      <c r="V43" s="860">
        <f>AVERAGE(V10:V40)</f>
        <v>-0.33377937491115728</v>
      </c>
      <c r="W43" s="861">
        <f>AVERAGE(W10:W40)</f>
        <v>-0.21876334239503992</v>
      </c>
    </row>
    <row r="44" spans="2:27" ht="14.85" customHeight="1">
      <c r="B44" s="821" t="s">
        <v>44</v>
      </c>
      <c r="C44" s="823"/>
      <c r="D44" s="860" t="e">
        <f>MEDIAN(D10:D40)</f>
        <v>#REF!</v>
      </c>
      <c r="E44" s="860" t="e">
        <f>MEDIAN(E10:E40)</f>
        <v>#REF!</v>
      </c>
      <c r="F44" s="860" t="e">
        <f>MEDIAN(F10:F40)</f>
        <v>#REF!</v>
      </c>
      <c r="G44" s="860" t="e">
        <f>MEDIAN(G10:G40)</f>
        <v>#REF!</v>
      </c>
      <c r="H44" s="823"/>
      <c r="I44" s="822" t="e">
        <f>MEDIAN(I10:I40)</f>
        <v>#REF!</v>
      </c>
      <c r="J44" s="822" t="e">
        <f>MEDIAN(J10:J40)</f>
        <v>#REF!</v>
      </c>
      <c r="K44" s="824" t="e">
        <f>MEDIAN(K10:K40)</f>
        <v>#REF!</v>
      </c>
      <c r="L44" s="823"/>
      <c r="M44" s="860">
        <f>MEDIAN(M10:M40)</f>
        <v>-0.43570832173671026</v>
      </c>
      <c r="N44" s="860">
        <f>MEDIAN(N10:N40)</f>
        <v>-0.77186242071688893</v>
      </c>
      <c r="O44" s="860">
        <f>MEDIAN(O10:O40)</f>
        <v>-0.34562202109746687</v>
      </c>
      <c r="P44" s="822"/>
      <c r="Q44" s="822" t="e">
        <f>MEDIAN(Q10:Q40)</f>
        <v>#REF!</v>
      </c>
      <c r="R44" s="822" t="e">
        <f>MEDIAN(R10:R40)</f>
        <v>#REF!</v>
      </c>
      <c r="S44" s="822" t="e">
        <f>MEDIAN(S10:S40)</f>
        <v>#REF!</v>
      </c>
      <c r="T44" s="823"/>
      <c r="U44" s="860">
        <f>MEDIAN(U10:U40)</f>
        <v>-0.2876843363889996</v>
      </c>
      <c r="V44" s="860">
        <f>MEDIAN(V10:V40)</f>
        <v>-0.29314969440194649</v>
      </c>
      <c r="W44" s="861">
        <f>MEDIAN(W10:W40)</f>
        <v>-0.19149855907780977</v>
      </c>
    </row>
    <row r="45" spans="2:27" ht="14.85" customHeight="1">
      <c r="B45" s="821" t="s">
        <v>114</v>
      </c>
      <c r="C45" s="823"/>
      <c r="D45" s="860" t="e">
        <f>QUARTILE(D10:D40,1)</f>
        <v>#REF!</v>
      </c>
      <c r="E45" s="860" t="e">
        <f>QUARTILE(E10:E40,1)</f>
        <v>#REF!</v>
      </c>
      <c r="F45" s="860" t="e">
        <f>QUARTILE(F10:F40,1)</f>
        <v>#REF!</v>
      </c>
      <c r="G45" s="860" t="e">
        <f>QUARTILE(G10:G40,1)</f>
        <v>#REF!</v>
      </c>
      <c r="H45" s="823"/>
      <c r="I45" s="822" t="e">
        <f>QUARTILE(I10:I40,1)</f>
        <v>#REF!</v>
      </c>
      <c r="J45" s="822" t="e">
        <f>QUARTILE(J10:J40,1)</f>
        <v>#REF!</v>
      </c>
      <c r="K45" s="824" t="e">
        <f>QUARTILE(K10:K40,1)</f>
        <v>#REF!</v>
      </c>
      <c r="L45" s="823"/>
      <c r="M45" s="860">
        <f>QUARTILE(M10:M40,1)</f>
        <v>-0.54135184807024705</v>
      </c>
      <c r="N45" s="860">
        <f>QUARTILE(N10:N40,1)</f>
        <v>-0.804988896838435</v>
      </c>
      <c r="O45" s="860">
        <f>QUARTILE(O10:O40,1)</f>
        <v>-0.68380331157168295</v>
      </c>
      <c r="P45" s="822"/>
      <c r="Q45" s="822" t="e">
        <f>QUARTILE(Q10:Q40,1)</f>
        <v>#REF!</v>
      </c>
      <c r="R45" s="822" t="e">
        <f>QUARTILE(R10:R40,1)</f>
        <v>#REF!</v>
      </c>
      <c r="S45" s="822" t="e">
        <f>QUARTILE(S10:S40,1)</f>
        <v>#REF!</v>
      </c>
      <c r="T45" s="823"/>
      <c r="U45" s="860">
        <f>QUARTILE(U10:U40,1)</f>
        <v>-0.5411131663023373</v>
      </c>
      <c r="V45" s="860">
        <f>QUARTILE(V10:V40,1)</f>
        <v>-0.45077512583365198</v>
      </c>
      <c r="W45" s="861">
        <f>QUARTILE(W10:W40,1)</f>
        <v>-0.24649265905383358</v>
      </c>
    </row>
    <row r="46" spans="2:27" ht="14.85" customHeight="1">
      <c r="B46" s="754" t="s">
        <v>112</v>
      </c>
      <c r="C46" s="556"/>
      <c r="D46" s="865" t="e">
        <f>MIN(D10:D40)</f>
        <v>#REF!</v>
      </c>
      <c r="E46" s="865" t="e">
        <f>MIN(E10:E40)</f>
        <v>#REF!</v>
      </c>
      <c r="F46" s="865" t="e">
        <f>MIN(F10:F40)</f>
        <v>#REF!</v>
      </c>
      <c r="G46" s="865" t="e">
        <f>MIN(G10:G40)</f>
        <v>#REF!</v>
      </c>
      <c r="H46" s="556"/>
      <c r="I46" s="565" t="e">
        <f>MIN(I10:I40)</f>
        <v>#REF!</v>
      </c>
      <c r="J46" s="565" t="e">
        <f>MIN(J10:J40)</f>
        <v>#REF!</v>
      </c>
      <c r="K46" s="825" t="e">
        <f>MIN(K10:K40)</f>
        <v>#REF!</v>
      </c>
      <c r="L46" s="556"/>
      <c r="M46" s="865">
        <f>MIN(M10:M40)</f>
        <v>-0.59891499725490294</v>
      </c>
      <c r="N46" s="865">
        <f>MIN(N10:N40)</f>
        <v>-0.96453447291218075</v>
      </c>
      <c r="O46" s="865">
        <f>MIN(O10:O40)</f>
        <v>-0.91228144627397734</v>
      </c>
      <c r="P46" s="565"/>
      <c r="Q46" s="565" t="e">
        <f>MIN(Q10:Q40)</f>
        <v>#REF!</v>
      </c>
      <c r="R46" s="565" t="e">
        <f>MIN(R10:R40)</f>
        <v>#REF!</v>
      </c>
      <c r="S46" s="565" t="e">
        <f>MIN(S10:S40)</f>
        <v>#REF!</v>
      </c>
      <c r="T46" s="556"/>
      <c r="U46" s="865">
        <f>MIN(U10:U40)</f>
        <v>-0.90566037735849059</v>
      </c>
      <c r="V46" s="865">
        <f>MIN(V10:V40)</f>
        <v>-0.94477062394268085</v>
      </c>
      <c r="W46" s="866">
        <f>MIN(W10:W40)</f>
        <v>-0.90876589394708762</v>
      </c>
    </row>
    <row r="47" spans="2:27" ht="14.85" customHeight="1"/>
    <row r="48" spans="2:27" ht="14.85" customHeight="1">
      <c r="B48" s="279" t="s">
        <v>116</v>
      </c>
    </row>
    <row r="49" spans="2:24" ht="14.85" customHeight="1">
      <c r="B49" s="279"/>
    </row>
    <row r="50" spans="2:24" ht="14.85" customHeight="1"/>
    <row r="51" spans="2:24" ht="14.85" customHeight="1"/>
    <row r="52" spans="2:24" ht="14.85" customHeight="1"/>
    <row r="53" spans="2:24" ht="14.85" customHeight="1"/>
    <row r="54" spans="2:24" ht="14.85" customHeight="1"/>
    <row r="55" spans="2:24" s="270" customFormat="1" ht="14.85" customHeight="1">
      <c r="B55" s="1403" t="s">
        <v>344</v>
      </c>
      <c r="C55" s="1404"/>
      <c r="D55" s="1405" t="s">
        <v>340</v>
      </c>
      <c r="E55" s="1405" t="s">
        <v>341</v>
      </c>
      <c r="F55" s="1405" t="s">
        <v>342</v>
      </c>
      <c r="G55" s="1406" t="s">
        <v>343</v>
      </c>
      <c r="X55" s="234"/>
    </row>
    <row r="56" spans="2:24" ht="14.85" customHeight="1"/>
    <row r="57" spans="2:24" ht="14.85" customHeight="1"/>
    <row r="58" spans="2:24" ht="14.85" customHeight="1"/>
    <row r="59" spans="2:24" ht="14.85" customHeight="1"/>
    <row r="60" spans="2:24" ht="14.85" customHeight="1"/>
    <row r="61" spans="2:24" ht="14.85" customHeight="1"/>
    <row r="62" spans="2:24" ht="14.85" customHeight="1"/>
    <row r="63" spans="2:24" ht="14.85" customHeight="1"/>
    <row r="64" spans="2:24"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M7:O7"/>
  </mergeCells>
  <conditionalFormatting sqref="B10:B39">
    <cfRule type="cellIs" dxfId="31" priority="21" operator="equal">
      <formula>"(Invalid Identifier)"</formula>
    </cfRule>
  </conditionalFormatting>
  <conditionalFormatting sqref="C4:I4 M4:W4">
    <cfRule type="cellIs" dxfId="30" priority="20" stopIfTrue="1" operator="equal">
      <formula>"input"</formula>
    </cfRule>
  </conditionalFormatting>
  <conditionalFormatting sqref="J4">
    <cfRule type="cellIs" dxfId="29" priority="18" stopIfTrue="1" operator="equal">
      <formula>"input"</formula>
    </cfRule>
  </conditionalFormatting>
  <conditionalFormatting sqref="J4">
    <cfRule type="cellIs" dxfId="28" priority="19" stopIfTrue="1" operator="equal">
      <formula>"input"</formula>
    </cfRule>
  </conditionalFormatting>
  <conditionalFormatting sqref="L4">
    <cfRule type="cellIs" dxfId="27" priority="9" stopIfTrue="1" operator="equal">
      <formula>"input"</formula>
    </cfRule>
  </conditionalFormatting>
  <conditionalFormatting sqref="B4">
    <cfRule type="cellIs" dxfId="26" priority="2" stopIfTrue="1" operator="equal">
      <formula>"input"</formula>
    </cfRule>
  </conditionalFormatting>
  <conditionalFormatting sqref="K4">
    <cfRule type="cellIs" dxfId="25"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32"/>
  <dimension ref="A1:U764"/>
  <sheetViews>
    <sheetView showGridLines="0" view="pageBreakPreview" zoomScaleNormal="100" zoomScaleSheetLayoutView="100" workbookViewId="0"/>
  </sheetViews>
  <sheetFormatPr defaultRowHeight="14.25"/>
  <cols>
    <col min="1" max="1" width="4.5" style="234" customWidth="1"/>
    <col min="2" max="2" width="36.5" style="234" customWidth="1"/>
    <col min="3" max="3" width="2.83203125" style="234" customWidth="1"/>
    <col min="4" max="4" width="15.1640625" style="234" customWidth="1"/>
    <col min="5" max="5" width="2.83203125" style="234" customWidth="1"/>
    <col min="6" max="6" width="15.1640625" style="234" customWidth="1"/>
    <col min="7" max="7" width="2.83203125" style="234" customWidth="1"/>
    <col min="8" max="8" width="15.1640625" style="234" customWidth="1"/>
    <col min="9" max="9" width="2.83203125" style="234" customWidth="1"/>
    <col min="10" max="10" width="15.1640625" style="234" customWidth="1"/>
    <col min="11" max="11" width="2.83203125" style="234" customWidth="1"/>
    <col min="12" max="12" width="15.1640625" style="234" customWidth="1"/>
    <col min="13" max="13" width="2.83203125" style="234" customWidth="1"/>
    <col min="14" max="14" width="15.1640625" style="234" customWidth="1"/>
    <col min="15" max="15" width="2.83203125" style="234" customWidth="1"/>
    <col min="16" max="16" width="15.1640625" style="234" customWidth="1"/>
    <col min="17" max="17" width="2.83203125" style="234" customWidth="1"/>
    <col min="18" max="18" width="15.83203125" style="234" customWidth="1"/>
    <col min="19" max="19" width="4.5" style="234" customWidth="1"/>
    <col min="20" max="16384" width="9.33203125" style="234"/>
  </cols>
  <sheetData>
    <row r="1" spans="2:20" ht="10.7" customHeight="1" thickBot="1"/>
    <row r="2" spans="2:20" ht="16.5" customHeight="1" thickTop="1">
      <c r="B2" s="223" t="str">
        <f>'MASTER PubCo Inputs'!$C$5</f>
        <v>Trucode Gene Repair, Inc.</v>
      </c>
      <c r="C2" s="223"/>
      <c r="D2" s="223"/>
      <c r="E2" s="223"/>
      <c r="F2" s="223"/>
      <c r="G2" s="223"/>
      <c r="H2" s="223"/>
      <c r="I2" s="223"/>
      <c r="J2" s="223"/>
      <c r="K2" s="223"/>
      <c r="L2" s="223"/>
      <c r="M2" s="223"/>
      <c r="N2" s="223"/>
      <c r="O2" s="223"/>
      <c r="P2" s="223"/>
      <c r="Q2" s="223"/>
      <c r="R2" s="223"/>
    </row>
    <row r="3" spans="2:20" ht="15.75" customHeight="1">
      <c r="B3" s="232" t="e">
        <f>VLOOKUP(B4,Outline!$E$8:$G$65,COLUMNS(Outline!$E$8:$G$8),FALSE)</f>
        <v>#N/A</v>
      </c>
      <c r="C3" s="232"/>
      <c r="D3" s="232"/>
      <c r="E3" s="232"/>
      <c r="F3" s="232"/>
      <c r="G3" s="232"/>
      <c r="H3" s="232"/>
      <c r="I3" s="232"/>
      <c r="J3" s="232"/>
      <c r="K3" s="232"/>
      <c r="L3" s="232"/>
      <c r="M3" s="232"/>
      <c r="N3" s="232"/>
      <c r="O3" s="232"/>
      <c r="P3" s="232"/>
      <c r="Q3" s="232"/>
      <c r="R3" s="232"/>
    </row>
    <row r="4" spans="2:20" ht="16.5" customHeight="1" thickBot="1">
      <c r="B4" s="225" t="s">
        <v>359</v>
      </c>
      <c r="C4" s="225"/>
      <c r="D4" s="225"/>
      <c r="E4" s="225"/>
      <c r="F4" s="225"/>
      <c r="G4" s="225"/>
      <c r="H4" s="225"/>
      <c r="I4" s="225"/>
      <c r="J4" s="225"/>
      <c r="K4" s="225"/>
      <c r="L4" s="233"/>
      <c r="M4" s="225"/>
      <c r="N4" s="233"/>
      <c r="O4" s="233"/>
      <c r="P4" s="233"/>
      <c r="Q4" s="225"/>
      <c r="R4" s="233" t="str">
        <f>+'MASTER PubCo Inputs'!$C$21</f>
        <v>(in thousands of USD)</v>
      </c>
    </row>
    <row r="5" spans="2:20" ht="14.85" customHeight="1" thickTop="1"/>
    <row r="6" spans="2:20" ht="14.85" customHeight="1"/>
    <row r="7" spans="2:20" ht="14.85" customHeight="1">
      <c r="B7" s="790" t="s">
        <v>687</v>
      </c>
      <c r="C7" s="791"/>
      <c r="D7" s="791"/>
      <c r="E7" s="791"/>
      <c r="F7" s="791"/>
      <c r="G7" s="791"/>
      <c r="H7" s="791"/>
      <c r="I7" s="791"/>
      <c r="J7" s="791"/>
      <c r="K7" s="791"/>
      <c r="L7" s="792"/>
      <c r="N7" s="790" t="s">
        <v>2930</v>
      </c>
      <c r="O7" s="791"/>
      <c r="P7" s="791"/>
      <c r="Q7" s="791"/>
      <c r="R7" s="792"/>
    </row>
    <row r="8" spans="2:20" ht="14.85" customHeight="1"/>
    <row r="9" spans="2:20" ht="14.85" customHeight="1">
      <c r="B9" s="1369" t="s">
        <v>602</v>
      </c>
      <c r="D9" s="1370" t="s">
        <v>715</v>
      </c>
      <c r="E9" s="1370"/>
      <c r="F9" s="1370"/>
      <c r="G9" s="1370"/>
      <c r="H9" s="1370"/>
      <c r="I9" s="1370"/>
      <c r="J9" s="1370"/>
      <c r="K9" s="1370"/>
      <c r="L9" s="1370"/>
    </row>
    <row r="10" spans="2:20" ht="14.85" customHeight="1">
      <c r="D10" s="1371" t="str">
        <f>+Trans.1!U7</f>
        <v>Revenue</v>
      </c>
      <c r="E10" s="1371"/>
      <c r="F10" s="1371" t="str">
        <f>+Trans.1!V7</f>
        <v>EBITDA</v>
      </c>
      <c r="G10" s="1371"/>
      <c r="H10" s="1371" t="str">
        <f>+Trans.1!W7</f>
        <v>EBIT</v>
      </c>
      <c r="I10" s="1371"/>
      <c r="J10" s="1371" t="str">
        <f>+Trans.1!X7</f>
        <v>Price/Book Value</v>
      </c>
      <c r="K10" s="1371"/>
      <c r="L10" s="1371" t="str">
        <f>+Trans.1!Y7</f>
        <v>Price/Net Income</v>
      </c>
      <c r="M10" s="271"/>
      <c r="N10" s="1371" t="str">
        <f>'Control Premium Summary'!B14</f>
        <v>Business Services</v>
      </c>
      <c r="O10" s="271"/>
      <c r="P10" s="1371" t="str">
        <f>Trans.1!AI7</f>
        <v>1 Week</v>
      </c>
      <c r="Q10" s="271"/>
      <c r="R10" s="1371" t="str">
        <f>Trans.1!AJ7</f>
        <v>1 Month</v>
      </c>
      <c r="S10" s="271"/>
      <c r="T10" s="271"/>
    </row>
    <row r="11" spans="2:20" ht="14.85" customHeight="1">
      <c r="D11" s="245"/>
      <c r="E11" s="245"/>
      <c r="F11" s="245"/>
      <c r="G11" s="245"/>
      <c r="H11" s="245"/>
      <c r="I11" s="245"/>
      <c r="J11" s="245"/>
      <c r="K11" s="245"/>
      <c r="L11" s="245"/>
      <c r="P11" s="245"/>
      <c r="Q11" s="245"/>
      <c r="R11" s="245"/>
    </row>
    <row r="12" spans="2:20" ht="14.85" customHeight="1">
      <c r="B12" s="256" t="str">
        <f>+'Comp.1'!$B37</f>
        <v>High</v>
      </c>
      <c r="D12" s="813">
        <f>+Trans.1!U28</f>
        <v>8.1128170371709132</v>
      </c>
      <c r="E12" s="813"/>
      <c r="F12" s="813">
        <f>+Trans.1!V28</f>
        <v>0</v>
      </c>
      <c r="G12" s="813"/>
      <c r="H12" s="813">
        <f>+Trans.1!W28</f>
        <v>0</v>
      </c>
      <c r="I12" s="813"/>
      <c r="J12" s="813">
        <f>+Trans.1!X28</f>
        <v>27.005870000000002</v>
      </c>
      <c r="K12" s="813"/>
      <c r="L12" s="813">
        <f>+Trans.1!Y28</f>
        <v>0</v>
      </c>
      <c r="M12" s="252"/>
      <c r="N12" s="252"/>
      <c r="O12" s="252"/>
      <c r="P12" s="835">
        <f>Trans.1!AI28</f>
        <v>5.2444930000000003</v>
      </c>
      <c r="Q12" s="835"/>
      <c r="R12" s="835">
        <f>Trans.1!AJ28</f>
        <v>4.8213549999999996</v>
      </c>
    </row>
    <row r="13" spans="2:20" ht="14.85" customHeight="1">
      <c r="B13" s="256" t="str">
        <f>+'Comp.1'!$B38</f>
        <v>3rd Quartile</v>
      </c>
      <c r="D13" s="813">
        <f>+Trans.1!U29</f>
        <v>8.1128170371709132</v>
      </c>
      <c r="E13" s="813"/>
      <c r="F13" s="813" t="e">
        <f>+Trans.1!V29</f>
        <v>#NUM!</v>
      </c>
      <c r="G13" s="813"/>
      <c r="H13" s="813" t="e">
        <f>+Trans.1!W29</f>
        <v>#NUM!</v>
      </c>
      <c r="I13" s="813"/>
      <c r="J13" s="813">
        <f>+Trans.1!X29</f>
        <v>14.17614</v>
      </c>
      <c r="K13" s="813"/>
      <c r="L13" s="813" t="e">
        <f>+Trans.1!Y29</f>
        <v>#NUM!</v>
      </c>
      <c r="M13" s="252"/>
      <c r="N13" s="252"/>
      <c r="O13" s="252"/>
      <c r="P13" s="835">
        <f>Trans.1!AI29</f>
        <v>3.0389835000000005</v>
      </c>
      <c r="Q13" s="835"/>
      <c r="R13" s="835">
        <f>Trans.1!AJ29</f>
        <v>4.2183700000000002</v>
      </c>
    </row>
    <row r="14" spans="2:20" ht="14.85" customHeight="1">
      <c r="B14" s="256" t="str">
        <f>+'Comp.1'!$B39</f>
        <v xml:space="preserve">Mean </v>
      </c>
      <c r="D14" s="813">
        <f>+Trans.1!U30</f>
        <v>8.1128170371709132</v>
      </c>
      <c r="E14" s="813"/>
      <c r="F14" s="813" t="e">
        <f>+Trans.1!V30</f>
        <v>#DIV/0!</v>
      </c>
      <c r="G14" s="813"/>
      <c r="H14" s="813" t="e">
        <f>+Trans.1!W30</f>
        <v>#DIV/0!</v>
      </c>
      <c r="I14" s="813"/>
      <c r="J14" s="813">
        <f>+Trans.1!X30</f>
        <v>11.802476</v>
      </c>
      <c r="K14" s="813"/>
      <c r="L14" s="813" t="e">
        <f>+Trans.1!Y30</f>
        <v>#DIV/0!</v>
      </c>
      <c r="M14" s="252"/>
      <c r="N14" s="835">
        <f>'Control Premium Summary'!E15</f>
        <v>0.43099999999999999</v>
      </c>
      <c r="O14" s="252"/>
      <c r="P14" s="835">
        <f>Trans.1!AI30</f>
        <v>2.2054763333333334</v>
      </c>
      <c r="Q14" s="835"/>
      <c r="R14" s="835">
        <f>Trans.1!AJ30</f>
        <v>3.009598</v>
      </c>
    </row>
    <row r="15" spans="2:20" ht="14.85" customHeight="1">
      <c r="B15" s="256" t="str">
        <f>+'Comp.1'!$B40</f>
        <v>Median</v>
      </c>
      <c r="D15" s="813">
        <f>+Trans.1!U31</f>
        <v>8.1128170371709132</v>
      </c>
      <c r="E15" s="813"/>
      <c r="F15" s="813" t="e">
        <f>+Trans.1!V31</f>
        <v>#NUM!</v>
      </c>
      <c r="G15" s="813"/>
      <c r="H15" s="813" t="e">
        <f>+Trans.1!W31</f>
        <v>#NUM!</v>
      </c>
      <c r="I15" s="813"/>
      <c r="J15" s="813">
        <f>+Trans.1!X31</f>
        <v>7.4343399999999997</v>
      </c>
      <c r="K15" s="813"/>
      <c r="L15" s="813" t="e">
        <f>+Trans.1!Y31</f>
        <v>#NUM!</v>
      </c>
      <c r="M15" s="252"/>
      <c r="N15" s="835">
        <f>'Control Premium Summary'!E16</f>
        <v>0.28899999999999998</v>
      </c>
      <c r="O15" s="252"/>
      <c r="P15" s="835">
        <f>Trans.1!AI31</f>
        <v>0.83347400000000005</v>
      </c>
      <c r="Q15" s="835"/>
      <c r="R15" s="835">
        <f>Trans.1!AJ31</f>
        <v>3.6153849999999998</v>
      </c>
    </row>
    <row r="16" spans="2:20" ht="14.85" customHeight="1">
      <c r="B16" s="256" t="str">
        <f>+'Comp.1'!$B41</f>
        <v>1st Quartile</v>
      </c>
      <c r="D16" s="813">
        <f>+Trans.1!U32</f>
        <v>8.1128170371709132</v>
      </c>
      <c r="E16" s="813"/>
      <c r="F16" s="813" t="e">
        <f>+Trans.1!V32</f>
        <v>#NUM!</v>
      </c>
      <c r="G16" s="813"/>
      <c r="H16" s="813" t="e">
        <f>+Trans.1!W32</f>
        <v>#NUM!</v>
      </c>
      <c r="I16" s="813"/>
      <c r="J16" s="813">
        <f>+Trans.1!X32</f>
        <v>5.2804200000000003</v>
      </c>
      <c r="K16" s="813"/>
      <c r="L16" s="813" t="e">
        <f>+Trans.1!Y32</f>
        <v>#NUM!</v>
      </c>
      <c r="M16" s="252"/>
      <c r="N16" s="252"/>
      <c r="O16" s="252"/>
      <c r="P16" s="835">
        <f>Trans.1!AI32</f>
        <v>0.68596800000000002</v>
      </c>
      <c r="Q16" s="835"/>
      <c r="R16" s="835">
        <f>Trans.1!AJ32</f>
        <v>2.1037195</v>
      </c>
    </row>
    <row r="17" spans="2:21" ht="14.85" customHeight="1">
      <c r="B17" s="256" t="str">
        <f>+'Comp.1'!$B42</f>
        <v>Low</v>
      </c>
      <c r="D17" s="813">
        <f>+Trans.1!U33</f>
        <v>8.1128170371709132</v>
      </c>
      <c r="E17" s="813"/>
      <c r="F17" s="813">
        <f>+Trans.1!V33</f>
        <v>0</v>
      </c>
      <c r="G17" s="813"/>
      <c r="H17" s="813">
        <f>+Trans.1!W33</f>
        <v>0</v>
      </c>
      <c r="I17" s="813"/>
      <c r="J17" s="813">
        <f>+Trans.1!X33</f>
        <v>5.1156100000000002</v>
      </c>
      <c r="K17" s="813"/>
      <c r="L17" s="813">
        <f>+Trans.1!Y33</f>
        <v>0</v>
      </c>
      <c r="M17" s="252"/>
      <c r="N17" s="252"/>
      <c r="O17" s="252"/>
      <c r="P17" s="835">
        <f>Trans.1!AI33</f>
        <v>0.538462</v>
      </c>
      <c r="Q17" s="835"/>
      <c r="R17" s="835">
        <f>Trans.1!AJ33</f>
        <v>0.59205399999999997</v>
      </c>
    </row>
    <row r="18" spans="2:21" ht="14.85" customHeight="1">
      <c r="D18" s="252"/>
      <c r="E18" s="252"/>
      <c r="F18" s="252"/>
      <c r="G18" s="252"/>
      <c r="H18" s="252"/>
      <c r="I18" s="252"/>
      <c r="J18" s="252"/>
      <c r="K18" s="252"/>
      <c r="L18" s="252"/>
      <c r="M18" s="252"/>
      <c r="N18" s="252"/>
      <c r="O18" s="252"/>
      <c r="P18" s="252"/>
      <c r="Q18" s="252"/>
      <c r="R18" s="252"/>
    </row>
    <row r="19" spans="2:21" ht="14.85" customHeight="1">
      <c r="F19" s="1372" t="s">
        <v>2931</v>
      </c>
      <c r="G19" s="1373"/>
      <c r="H19" s="792"/>
      <c r="J19" s="1374" t="s">
        <v>1499</v>
      </c>
      <c r="L19" s="1372" t="s">
        <v>714</v>
      </c>
      <c r="M19" s="1373"/>
      <c r="N19" s="792"/>
      <c r="O19" s="252"/>
      <c r="P19" s="1372" t="s">
        <v>2932</v>
      </c>
    </row>
    <row r="20" spans="2:21" s="270" customFormat="1" ht="14.85" customHeight="1">
      <c r="D20" s="1375" t="s">
        <v>329</v>
      </c>
      <c r="E20" s="271"/>
      <c r="F20" s="801" t="s">
        <v>112</v>
      </c>
      <c r="G20" s="1376"/>
      <c r="H20" s="801" t="s">
        <v>111</v>
      </c>
      <c r="I20" s="1376"/>
      <c r="J20" s="1377">
        <f>'GCM SUMM'!J28</f>
        <v>0.26</v>
      </c>
      <c r="K20" s="1376"/>
      <c r="L20" s="1378" t="s">
        <v>112</v>
      </c>
      <c r="M20" s="1376"/>
      <c r="N20" s="1378" t="s">
        <v>111</v>
      </c>
      <c r="O20" s="271"/>
      <c r="P20" s="1379"/>
      <c r="Q20" s="1380"/>
      <c r="R20" s="1381" t="s">
        <v>70</v>
      </c>
    </row>
    <row r="21" spans="2:21" ht="14.85" customHeight="1">
      <c r="O21" s="252"/>
    </row>
    <row r="22" spans="2:21" ht="14.85" customHeight="1">
      <c r="B22" s="255" t="s">
        <v>322</v>
      </c>
      <c r="O22" s="252"/>
      <c r="T22" s="1382" t="s">
        <v>647</v>
      </c>
      <c r="U22" s="589"/>
    </row>
    <row r="23" spans="2:21" ht="14.85" customHeight="1">
      <c r="B23" s="256" t="s">
        <v>160</v>
      </c>
      <c r="D23" s="265" t="e">
        <f>'Hist IS'!#REF!</f>
        <v>#REF!</v>
      </c>
      <c r="E23" s="268"/>
      <c r="F23" s="1383">
        <v>0.67581966101694912</v>
      </c>
      <c r="G23" s="268"/>
      <c r="H23" s="1383">
        <v>0.78</v>
      </c>
      <c r="I23" s="268"/>
      <c r="J23" s="1384">
        <f>IF($T$23&lt;&gt;"Discount",1,1/((1+DCF!$F$62)^(0/12)))</f>
        <v>1</v>
      </c>
      <c r="K23" s="268"/>
      <c r="L23" s="490" t="str">
        <f>IFERROR($D23*F23*$J23,"n/a")</f>
        <v>n/a</v>
      </c>
      <c r="N23" s="490" t="str">
        <f>IFERROR($D23*H23*$J23,"n/a")</f>
        <v>n/a</v>
      </c>
      <c r="O23" s="252"/>
      <c r="P23" s="1385">
        <v>0</v>
      </c>
      <c r="R23" s="245" t="str">
        <f>'Hist IS'!$B$3</f>
        <v>Exhibit C.2</v>
      </c>
      <c r="T23" s="384" t="s">
        <v>50</v>
      </c>
      <c r="U23" s="594"/>
    </row>
    <row r="24" spans="2:21" ht="14.85" customHeight="1">
      <c r="B24" s="256" t="s">
        <v>173</v>
      </c>
      <c r="D24" s="265" t="e">
        <f>'Hist IS'!#REF!</f>
        <v>#REF!</v>
      </c>
      <c r="E24" s="268"/>
      <c r="F24" s="1383">
        <v>0.67581966101694912</v>
      </c>
      <c r="G24" s="268"/>
      <c r="H24" s="1383">
        <v>0.78</v>
      </c>
      <c r="I24" s="268"/>
      <c r="J24" s="1384">
        <f>IF($T$23&lt;&gt;"Discount",1,$J$23)</f>
        <v>1</v>
      </c>
      <c r="K24" s="268"/>
      <c r="L24" s="490" t="str">
        <f>IFERROR($D24*F24*$J24,"n/a")</f>
        <v>n/a</v>
      </c>
      <c r="N24" s="490" t="str">
        <f>IFERROR($D24*H24*$J24,"n/a")</f>
        <v>n/a</v>
      </c>
      <c r="O24" s="252"/>
      <c r="P24" s="1385">
        <v>0</v>
      </c>
      <c r="R24" s="245" t="str">
        <f>'Hist IS'!$B$3</f>
        <v>Exhibit C.2</v>
      </c>
    </row>
    <row r="25" spans="2:21" ht="14.85" customHeight="1">
      <c r="D25" s="265"/>
      <c r="J25" s="1384"/>
      <c r="O25" s="252"/>
      <c r="P25" s="1385"/>
    </row>
    <row r="26" spans="2:21" ht="14.85" customHeight="1">
      <c r="B26" s="255" t="s">
        <v>325</v>
      </c>
      <c r="D26" s="265"/>
      <c r="J26" s="1384"/>
      <c r="O26" s="252"/>
      <c r="P26" s="1385"/>
    </row>
    <row r="27" spans="2:21" ht="14.85" customHeight="1">
      <c r="B27" s="256" t="s">
        <v>160</v>
      </c>
      <c r="D27" s="265">
        <f>DCF!$F$14</f>
        <v>3722</v>
      </c>
      <c r="E27" s="268"/>
      <c r="F27" s="1383">
        <v>0.67581966101694912</v>
      </c>
      <c r="G27" s="268"/>
      <c r="H27" s="1383">
        <v>0.78</v>
      </c>
      <c r="I27" s="268"/>
      <c r="J27" s="1384">
        <f>IF($T$23&lt;&gt;"Discount",1,1/(1+DCF!$D$62)^(DCF!F$57))</f>
        <v>0.80938299653727386</v>
      </c>
      <c r="K27" s="268"/>
      <c r="L27" s="490">
        <f>IFERROR($D27*F27*$J27,"n/a")</f>
        <v>2035.9226194367604</v>
      </c>
      <c r="N27" s="490">
        <f>IFERROR($D27*H27*$J27,"n/a")</f>
        <v>2349.7683402271523</v>
      </c>
      <c r="O27" s="252"/>
      <c r="P27" s="1385">
        <v>0.5</v>
      </c>
      <c r="R27" s="245" t="e">
        <f>DCF!$B$3</f>
        <v>#N/A</v>
      </c>
    </row>
    <row r="28" spans="2:21" ht="14.85" customHeight="1">
      <c r="B28" s="256" t="s">
        <v>173</v>
      </c>
      <c r="D28" s="265">
        <f>DCF!$F$30</f>
        <v>-6328.3000000000011</v>
      </c>
      <c r="E28" s="268"/>
      <c r="F28" s="1383" t="s">
        <v>13</v>
      </c>
      <c r="G28" s="268"/>
      <c r="H28" s="1383" t="s">
        <v>13</v>
      </c>
      <c r="I28" s="268"/>
      <c r="J28" s="1384">
        <f>IF($T$23&lt;&gt;"Discount",1,$J$27)</f>
        <v>0.80938299653727386</v>
      </c>
      <c r="K28" s="268"/>
      <c r="L28" s="490" t="str">
        <f>IFERROR($D28*F28*$J28,"n/a")</f>
        <v>n/a</v>
      </c>
      <c r="N28" s="490" t="str">
        <f>IFERROR($D28*H28*$J28,"n/a")</f>
        <v>n/a</v>
      </c>
      <c r="O28" s="252"/>
      <c r="P28" s="1385">
        <v>0</v>
      </c>
      <c r="R28" s="245" t="e">
        <f>DCF!$B$3</f>
        <v>#N/A</v>
      </c>
    </row>
    <row r="29" spans="2:21" ht="14.85" customHeight="1">
      <c r="D29" s="265"/>
      <c r="J29" s="1384"/>
      <c r="O29" s="252"/>
      <c r="P29" s="1385"/>
    </row>
    <row r="30" spans="2:21" ht="14.85" customHeight="1">
      <c r="B30" s="255" t="s">
        <v>326</v>
      </c>
      <c r="D30" s="265"/>
      <c r="J30" s="1384"/>
      <c r="O30" s="252"/>
      <c r="P30" s="1385"/>
    </row>
    <row r="31" spans="2:21" ht="14.85" customHeight="1">
      <c r="B31" s="256" t="s">
        <v>160</v>
      </c>
      <c r="D31" s="265">
        <f>DCF!$G$14</f>
        <v>8657.4</v>
      </c>
      <c r="E31" s="268"/>
      <c r="F31" s="1383">
        <v>0.67581966101694912</v>
      </c>
      <c r="G31" s="268"/>
      <c r="H31" s="1383">
        <v>0.78</v>
      </c>
      <c r="I31" s="268"/>
      <c r="J31" s="1384">
        <f>IF($T$23&lt;&gt;"Discount",1,1/(1+DCF!$D$62)^(DCF!F$57+1))</f>
        <v>0.64236745756926494</v>
      </c>
      <c r="K31" s="268"/>
      <c r="L31" s="490">
        <f>IFERROR($D31*F31*$J31,"n/a")</f>
        <v>3758.389943431976</v>
      </c>
      <c r="N31" s="490">
        <f>IFERROR($D31*H31*$J31,"n/a")</f>
        <v>4337.7609811849206</v>
      </c>
      <c r="O31" s="252"/>
      <c r="P31" s="1385">
        <v>0.5</v>
      </c>
      <c r="R31" s="245" t="e">
        <f>DCF!$B$3</f>
        <v>#N/A</v>
      </c>
    </row>
    <row r="32" spans="2:21" ht="14.85" customHeight="1">
      <c r="B32" s="256" t="s">
        <v>173</v>
      </c>
      <c r="D32" s="265">
        <f>DCF!$G$30</f>
        <v>-4843.8</v>
      </c>
      <c r="E32" s="268"/>
      <c r="F32" s="1383">
        <v>0.67581966101694912</v>
      </c>
      <c r="G32" s="268"/>
      <c r="H32" s="1383">
        <v>0.78</v>
      </c>
      <c r="I32" s="268"/>
      <c r="J32" s="1384">
        <f>IF($T$23&lt;&gt;"Discount",1,$J$31)</f>
        <v>0.64236745756926494</v>
      </c>
      <c r="K32" s="268"/>
      <c r="L32" s="490">
        <f>IFERROR($D32*F32*$J32,"n/a")</f>
        <v>-2102.8125312444622</v>
      </c>
      <c r="N32" s="490">
        <f>IFERROR($D32*H32*$J32,"n/a")</f>
        <v>-2426.9696029597244</v>
      </c>
      <c r="O32" s="252"/>
      <c r="P32" s="1385"/>
      <c r="R32" s="245" t="e">
        <f>DCF!$B$3</f>
        <v>#N/A</v>
      </c>
    </row>
    <row r="33" spans="2:18" ht="14.85" customHeight="1">
      <c r="D33" s="265"/>
      <c r="J33" s="1384"/>
      <c r="O33" s="252"/>
      <c r="P33" s="1385"/>
    </row>
    <row r="34" spans="2:18" ht="14.85" customHeight="1">
      <c r="B34" s="255" t="s">
        <v>327</v>
      </c>
      <c r="D34" s="265"/>
      <c r="J34" s="1384"/>
      <c r="O34" s="252"/>
      <c r="P34" s="1385"/>
    </row>
    <row r="35" spans="2:18" ht="14.85" customHeight="1">
      <c r="B35" s="256" t="s">
        <v>160</v>
      </c>
      <c r="D35" s="265">
        <f>DCF!$H$14</f>
        <v>19751.599999999999</v>
      </c>
      <c r="E35" s="268"/>
      <c r="F35" s="1383">
        <v>0.67581966101694912</v>
      </c>
      <c r="G35" s="268"/>
      <c r="H35" s="1383">
        <v>0.78</v>
      </c>
      <c r="I35" s="268"/>
      <c r="J35" s="1384">
        <f>IF($T$23&lt;&gt;"Discount",1,1/(1+DCF!$D$62)^(DCF!F$57+2))</f>
        <v>0.50981544251528965</v>
      </c>
      <c r="K35" s="268"/>
      <c r="L35" s="490">
        <f>IFERROR($D35*F35*$J35,"n/a")</f>
        <v>6805.2814352315736</v>
      </c>
      <c r="N35" s="490">
        <f>IFERROR($D35*H35*$J35,"n/a")</f>
        <v>7854.3431416202957</v>
      </c>
      <c r="O35" s="252"/>
      <c r="P35" s="1385">
        <v>0</v>
      </c>
      <c r="R35" s="245" t="e">
        <f>DCF!$B$3</f>
        <v>#N/A</v>
      </c>
    </row>
    <row r="36" spans="2:18" ht="14.85" customHeight="1">
      <c r="B36" s="256" t="s">
        <v>173</v>
      </c>
      <c r="D36" s="265">
        <f>DCF!$H$30</f>
        <v>-753.20000000000255</v>
      </c>
      <c r="E36" s="268"/>
      <c r="F36" s="1383">
        <v>0.67581966101694912</v>
      </c>
      <c r="G36" s="268"/>
      <c r="H36" s="1383">
        <v>0.78</v>
      </c>
      <c r="I36" s="268"/>
      <c r="J36" s="1384">
        <f>IF($T$23&lt;&gt;"Discount",1,$J$35)</f>
        <v>0.50981544251528965</v>
      </c>
      <c r="K36" s="268"/>
      <c r="L36" s="490">
        <f>IFERROR($D36*F36*$J36,"n/a")</f>
        <v>-259.51001321495164</v>
      </c>
      <c r="N36" s="490">
        <f>IFERROR($D36*H36*$J36,"n/a")</f>
        <v>-299.51453321596364</v>
      </c>
      <c r="O36" s="252"/>
      <c r="P36" s="1385">
        <v>0</v>
      </c>
      <c r="R36" s="245" t="e">
        <f>DCF!$B$3</f>
        <v>#N/A</v>
      </c>
    </row>
    <row r="37" spans="2:18" ht="14.85" customHeight="1">
      <c r="O37" s="252"/>
    </row>
    <row r="38" spans="2:18" ht="14.85" customHeight="1">
      <c r="B38" s="1386" t="s">
        <v>360</v>
      </c>
      <c r="C38" s="1387"/>
      <c r="D38" s="1387"/>
      <c r="E38" s="1387"/>
      <c r="F38" s="1387"/>
      <c r="G38" s="1387"/>
      <c r="H38" s="1387"/>
      <c r="I38" s="1387"/>
      <c r="J38" s="1387"/>
      <c r="K38" s="1387"/>
      <c r="L38" s="1388">
        <f>SUMPRODUCT(L23:L36,$P$23:$P$36)</f>
        <v>2897.1562814343683</v>
      </c>
      <c r="M38" s="1387"/>
      <c r="N38" s="1388">
        <f>SUMPRODUCT(N23:N36,$P$23:$P$36)</f>
        <v>3343.7646607060365</v>
      </c>
      <c r="O38" s="252"/>
    </row>
    <row r="39" spans="2:18" ht="14.85" customHeight="1">
      <c r="O39" s="252"/>
    </row>
    <row r="40" spans="2:18" ht="14.85" customHeight="1">
      <c r="B40" s="256" t="str">
        <f>'GCM SUMM'!B50</f>
        <v>Less: Total Debt</v>
      </c>
      <c r="L40" s="265" t="e">
        <f>-'Hist BS'!#REF!</f>
        <v>#REF!</v>
      </c>
      <c r="M40" s="268"/>
      <c r="N40" s="259" t="e">
        <f>L40</f>
        <v>#REF!</v>
      </c>
      <c r="O40" s="252"/>
      <c r="R40" s="266" t="str">
        <f>'Hist BS'!$B$3</f>
        <v>Exhibit C.3</v>
      </c>
    </row>
    <row r="41" spans="2:18" ht="14.85" customHeight="1">
      <c r="B41" s="269"/>
      <c r="C41" s="269"/>
      <c r="D41" s="269"/>
      <c r="E41" s="269"/>
      <c r="F41" s="269"/>
      <c r="G41" s="269"/>
      <c r="H41" s="269"/>
      <c r="I41" s="269"/>
      <c r="J41" s="269"/>
      <c r="K41" s="269"/>
      <c r="L41" s="269"/>
      <c r="M41" s="269"/>
      <c r="N41" s="269"/>
      <c r="O41" s="252"/>
    </row>
    <row r="42" spans="2:18" ht="14.85" customHeight="1">
      <c r="B42" s="255" t="s">
        <v>604</v>
      </c>
      <c r="L42" s="309" t="e">
        <f>SUM(L38:L40)</f>
        <v>#REF!</v>
      </c>
      <c r="N42" s="309" t="e">
        <f>SUM(N38:N40)</f>
        <v>#REF!</v>
      </c>
      <c r="O42" s="252"/>
    </row>
    <row r="43" spans="2:18" ht="14.85" customHeight="1">
      <c r="O43" s="252"/>
    </row>
    <row r="44" spans="2:18" ht="14.85" customHeight="1">
      <c r="B44" s="256" t="s">
        <v>605</v>
      </c>
      <c r="D44" s="1389">
        <f>'Control Premium Summary'!H39</f>
        <v>0.25</v>
      </c>
      <c r="O44" s="252"/>
    </row>
    <row r="45" spans="2:18" ht="14.85" customHeight="1">
      <c r="B45" s="256" t="s">
        <v>606</v>
      </c>
      <c r="D45" s="261">
        <f>1-(1/(1+D44))</f>
        <v>0.19999999999999996</v>
      </c>
      <c r="L45" s="490" t="e">
        <f>+L42*(1-$D$45)</f>
        <v>#REF!</v>
      </c>
      <c r="N45" s="490" t="e">
        <f>+N42*(1-$D$45)</f>
        <v>#REF!</v>
      </c>
      <c r="O45" s="252"/>
    </row>
    <row r="46" spans="2:18" ht="14.85" customHeight="1">
      <c r="B46" s="269"/>
      <c r="C46" s="269"/>
      <c r="D46" s="269"/>
      <c r="E46" s="269"/>
      <c r="F46" s="269"/>
      <c r="G46" s="269"/>
      <c r="H46" s="269"/>
      <c r="I46" s="269"/>
      <c r="J46" s="269"/>
      <c r="K46" s="269"/>
      <c r="L46" s="269"/>
      <c r="M46" s="269"/>
      <c r="N46" s="269"/>
      <c r="O46" s="252"/>
    </row>
    <row r="47" spans="2:18" ht="14.85" customHeight="1">
      <c r="B47" s="255" t="s">
        <v>607</v>
      </c>
      <c r="L47" s="309" t="e">
        <f>L45</f>
        <v>#REF!</v>
      </c>
      <c r="N47" s="309" t="e">
        <f>N45</f>
        <v>#REF!</v>
      </c>
      <c r="O47" s="252"/>
    </row>
    <row r="48" spans="2:18" ht="14.85" customHeight="1">
      <c r="O48" s="252"/>
    </row>
    <row r="49" spans="1:18" ht="14.85" customHeight="1">
      <c r="B49" s="256" t="s">
        <v>332</v>
      </c>
      <c r="D49" s="1298"/>
      <c r="E49" s="1298"/>
      <c r="G49" s="1298"/>
      <c r="I49" s="1298"/>
      <c r="K49" s="1298"/>
      <c r="L49" s="259" t="e">
        <f>-L40</f>
        <v>#REF!</v>
      </c>
      <c r="M49" s="268"/>
      <c r="N49" s="259" t="e">
        <f>-N40</f>
        <v>#REF!</v>
      </c>
      <c r="O49" s="252"/>
      <c r="R49" s="266" t="str">
        <f>'Hist BS'!$B$3</f>
        <v>Exhibit C.3</v>
      </c>
    </row>
    <row r="50" spans="1:18" ht="14.85" customHeight="1">
      <c r="B50" s="269"/>
      <c r="C50" s="269"/>
      <c r="D50" s="269"/>
      <c r="E50" s="269"/>
      <c r="F50" s="269"/>
      <c r="G50" s="269"/>
      <c r="H50" s="269"/>
      <c r="I50" s="269"/>
      <c r="J50" s="269"/>
      <c r="K50" s="269"/>
      <c r="L50" s="269"/>
      <c r="M50" s="269"/>
      <c r="N50" s="269"/>
      <c r="O50" s="252"/>
    </row>
    <row r="51" spans="1:18" ht="14.85" customHeight="1">
      <c r="B51" s="255" t="s">
        <v>333</v>
      </c>
      <c r="L51" s="309" t="e">
        <f>SUM(L47:L49)</f>
        <v>#REF!</v>
      </c>
      <c r="N51" s="309" t="e">
        <f>SUM(N47:N49)</f>
        <v>#REF!</v>
      </c>
      <c r="O51" s="252"/>
    </row>
    <row r="52" spans="1:18" ht="14.85" customHeight="1">
      <c r="O52" s="252"/>
    </row>
    <row r="53" spans="1:18" ht="14.85" customHeight="1">
      <c r="B53" s="274" t="s">
        <v>335</v>
      </c>
      <c r="C53" s="1390"/>
      <c r="D53" s="1390"/>
      <c r="E53" s="1391"/>
      <c r="F53" s="1390"/>
      <c r="G53" s="1391"/>
      <c r="H53" s="1390"/>
      <c r="I53" s="1391"/>
      <c r="J53" s="1391"/>
      <c r="K53" s="1391"/>
      <c r="L53" s="1392" t="e">
        <f>MROUND(L51,1)</f>
        <v>#REF!</v>
      </c>
      <c r="M53" s="1391"/>
      <c r="N53" s="1393" t="e">
        <f>MROUND(N51,1)</f>
        <v>#REF!</v>
      </c>
      <c r="O53" s="252"/>
    </row>
    <row r="54" spans="1:18" ht="14.85" customHeight="1">
      <c r="O54" s="252"/>
    </row>
    <row r="55" spans="1:18" ht="14.85" customHeight="1">
      <c r="B55" s="1394" t="s">
        <v>86</v>
      </c>
      <c r="O55" s="252"/>
    </row>
    <row r="56" spans="1:18" ht="14.85" customHeight="1">
      <c r="A56" s="280" t="s">
        <v>250</v>
      </c>
      <c r="B56" s="1395" t="e">
        <f>"Refer to "&amp;'Control Premium Summary'!B3&amp;"."</f>
        <v>#N/A</v>
      </c>
      <c r="O56" s="252"/>
    </row>
    <row r="57" spans="1:18" ht="14.85" customHeight="1">
      <c r="A57" s="280" t="s">
        <v>249</v>
      </c>
      <c r="B57" s="1324" t="s">
        <v>936</v>
      </c>
      <c r="C57" s="282"/>
      <c r="D57" s="282"/>
      <c r="E57" s="282"/>
      <c r="F57" s="282"/>
      <c r="G57" s="282"/>
      <c r="H57" s="282"/>
      <c r="I57" s="282"/>
      <c r="J57" s="282"/>
      <c r="K57" s="282"/>
      <c r="L57" s="282"/>
      <c r="M57" s="282"/>
      <c r="O57" s="252"/>
    </row>
    <row r="58" spans="1:18" ht="14.85" customHeight="1">
      <c r="A58" s="280" t="s">
        <v>288</v>
      </c>
      <c r="B58" s="1324" t="s">
        <v>1498</v>
      </c>
      <c r="C58" s="282"/>
      <c r="D58" s="282"/>
      <c r="E58" s="282"/>
      <c r="F58" s="282"/>
      <c r="G58" s="282"/>
      <c r="H58" s="282"/>
      <c r="I58" s="282"/>
      <c r="J58" s="282"/>
      <c r="K58" s="282"/>
      <c r="L58" s="282"/>
      <c r="M58" s="282"/>
      <c r="O58" s="252"/>
    </row>
    <row r="59" spans="1:18" ht="14.85" customHeight="1">
      <c r="A59" s="280" t="s">
        <v>289</v>
      </c>
      <c r="B59" s="1324" t="s">
        <v>933</v>
      </c>
      <c r="O59" s="252"/>
    </row>
    <row r="60" spans="1:18" ht="14.85" customHeight="1">
      <c r="O60" s="252"/>
    </row>
    <row r="61" spans="1:18" ht="14.85" customHeight="1">
      <c r="O61" s="252"/>
    </row>
    <row r="62" spans="1:18" ht="14.85" customHeight="1">
      <c r="O62" s="252"/>
    </row>
    <row r="63" spans="1:18" ht="14.85" customHeight="1">
      <c r="O63" s="252"/>
    </row>
    <row r="64" spans="1:18" ht="14.85" customHeight="1">
      <c r="O64" s="252"/>
    </row>
    <row r="65" spans="15:15" ht="14.85" customHeight="1">
      <c r="O65" s="252"/>
    </row>
    <row r="66" spans="15:15" ht="14.85" customHeight="1"/>
    <row r="67" spans="15:15" ht="14.85" customHeight="1"/>
    <row r="68" spans="15:15" ht="14.85" customHeight="1"/>
    <row r="69" spans="15:15" ht="14.85" customHeight="1"/>
    <row r="70" spans="15:15" ht="14.85" customHeight="1"/>
    <row r="71" spans="15:15" ht="14.85" customHeight="1"/>
    <row r="72" spans="15:15" ht="14.85" customHeight="1"/>
    <row r="73" spans="15:15" ht="14.85" customHeight="1"/>
    <row r="74" spans="15:15" ht="14.85" customHeight="1"/>
    <row r="75" spans="15:15" ht="14.85" customHeight="1"/>
    <row r="76" spans="15:15" ht="14.85" customHeight="1"/>
    <row r="77" spans="15:15" ht="14.85" customHeight="1"/>
    <row r="78" spans="15:15" ht="14.85" customHeight="1"/>
    <row r="79" spans="15:15" ht="14.85" customHeight="1"/>
    <row r="80" spans="15:15"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conditionalFormatting sqref="C4:F4 N4:P4 H4 J4">
    <cfRule type="cellIs" dxfId="24" priority="14" stopIfTrue="1" operator="equal">
      <formula>"input"</formula>
    </cfRule>
  </conditionalFormatting>
  <conditionalFormatting sqref="L4">
    <cfRule type="cellIs" dxfId="23" priority="18" stopIfTrue="1" operator="equal">
      <formula>"input"</formula>
    </cfRule>
  </conditionalFormatting>
  <conditionalFormatting sqref="L4">
    <cfRule type="cellIs" dxfId="22" priority="19" stopIfTrue="1" operator="equal">
      <formula>"input"</formula>
    </cfRule>
  </conditionalFormatting>
  <conditionalFormatting sqref="G4">
    <cfRule type="cellIs" dxfId="21" priority="11" stopIfTrue="1" operator="equal">
      <formula>"input"</formula>
    </cfRule>
  </conditionalFormatting>
  <conditionalFormatting sqref="K4">
    <cfRule type="cellIs" dxfId="20" priority="10" stopIfTrue="1" operator="equal">
      <formula>"input"</formula>
    </cfRule>
  </conditionalFormatting>
  <conditionalFormatting sqref="M4">
    <cfRule type="cellIs" dxfId="19" priority="9" stopIfTrue="1" operator="equal">
      <formula>"input"</formula>
    </cfRule>
  </conditionalFormatting>
  <conditionalFormatting sqref="Q4">
    <cfRule type="cellIs" dxfId="18" priority="8" stopIfTrue="1" operator="equal">
      <formula>"input"</formula>
    </cfRule>
  </conditionalFormatting>
  <conditionalFormatting sqref="I4">
    <cfRule type="cellIs" dxfId="17" priority="5" stopIfTrue="1" operator="equal">
      <formula>"input"</formula>
    </cfRule>
  </conditionalFormatting>
  <conditionalFormatting sqref="P23:P36">
    <cfRule type="expression" dxfId="16" priority="4">
      <formula>SUM($P$23:$P$36)&lt;&gt;1</formula>
    </cfRule>
  </conditionalFormatting>
  <conditionalFormatting sqref="R4">
    <cfRule type="cellIs" dxfId="15" priority="2" stopIfTrue="1" operator="equal">
      <formula>"input"</formula>
    </cfRule>
  </conditionalFormatting>
  <conditionalFormatting sqref="R4">
    <cfRule type="cellIs" dxfId="14" priority="3" stopIfTrue="1" operator="equal">
      <formula>"input"</formula>
    </cfRule>
  </conditionalFormatting>
  <conditionalFormatting sqref="B4">
    <cfRule type="cellIs" dxfId="13" priority="1" stopIfTrue="1" operator="equal">
      <formula>"input"</formula>
    </cfRule>
  </conditionalFormatting>
  <dataValidations disablePrompts="1" count="1">
    <dataValidation type="list" allowBlank="1" showInputMessage="1" showErrorMessage="1" sqref="T23" xr:uid="{00000000-0002-0000-5700-000000000000}">
      <formula1>"Discount,No Discount"</formula1>
    </dataValidation>
  </dataValidations>
  <pageMargins left="0.5" right="0.5" top="0.5" bottom="0.5" header="0.5" footer="0.5"/>
  <pageSetup scale="80" fitToWidth="0" fitToHeight="0" orientation="landscape" r:id="rId1"/>
  <legacyDrawingHF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47"/>
  <dimension ref="B2:E47"/>
  <sheetViews>
    <sheetView showGridLines="0" workbookViewId="0"/>
  </sheetViews>
  <sheetFormatPr defaultRowHeight="12.75"/>
  <cols>
    <col min="1" max="1" width="2.83203125" style="8" customWidth="1"/>
    <col min="2" max="2" width="18.1640625" style="8" bestFit="1" customWidth="1"/>
    <col min="3" max="3" width="23.1640625" style="8" bestFit="1" customWidth="1"/>
    <col min="4" max="4" width="18.33203125" style="8" bestFit="1" customWidth="1"/>
    <col min="5" max="5" width="20.5" style="8" bestFit="1" customWidth="1"/>
    <col min="6" max="16384" width="9.33203125" style="8"/>
  </cols>
  <sheetData>
    <row r="2" spans="2:5">
      <c r="B2" s="1" t="s">
        <v>506</v>
      </c>
      <c r="C2" s="1" t="s">
        <v>368</v>
      </c>
      <c r="D2" s="1" t="s">
        <v>522</v>
      </c>
      <c r="E2" s="1" t="s">
        <v>523</v>
      </c>
    </row>
    <row r="3" spans="2:5">
      <c r="B3" s="8" t="s">
        <v>519</v>
      </c>
      <c r="C3" s="8" t="s">
        <v>521</v>
      </c>
      <c r="D3" s="8" t="s">
        <v>524</v>
      </c>
      <c r="E3" s="8" t="s">
        <v>526</v>
      </c>
    </row>
    <row r="4" spans="2:5">
      <c r="B4" s="8" t="s">
        <v>475</v>
      </c>
      <c r="C4" s="8" t="s">
        <v>370</v>
      </c>
      <c r="D4" s="8" t="s">
        <v>525</v>
      </c>
      <c r="E4" s="8" t="s">
        <v>527</v>
      </c>
    </row>
    <row r="5" spans="2:5">
      <c r="B5" s="8" t="s">
        <v>236</v>
      </c>
      <c r="C5" s="8" t="s">
        <v>13</v>
      </c>
      <c r="E5" s="8" t="s">
        <v>528</v>
      </c>
    </row>
    <row r="6" spans="2:5">
      <c r="B6" s="8" t="s">
        <v>476</v>
      </c>
    </row>
    <row r="7" spans="2:5">
      <c r="B7" s="8" t="s">
        <v>477</v>
      </c>
    </row>
    <row r="8" spans="2:5">
      <c r="B8" s="8" t="s">
        <v>479</v>
      </c>
    </row>
    <row r="9" spans="2:5">
      <c r="B9" s="8" t="s">
        <v>478</v>
      </c>
    </row>
    <row r="10" spans="2:5">
      <c r="B10" s="8" t="s">
        <v>507</v>
      </c>
    </row>
    <row r="11" spans="2:5">
      <c r="B11" s="46" t="s">
        <v>514</v>
      </c>
    </row>
    <row r="12" spans="2:5">
      <c r="B12" s="46" t="s">
        <v>515</v>
      </c>
    </row>
    <row r="13" spans="2:5">
      <c r="B13" s="46" t="s">
        <v>516</v>
      </c>
    </row>
    <row r="14" spans="2:5">
      <c r="B14" s="46" t="s">
        <v>517</v>
      </c>
    </row>
    <row r="15" spans="2:5">
      <c r="B15" s="8" t="s">
        <v>644</v>
      </c>
    </row>
    <row r="16" spans="2:5">
      <c r="B16" s="8" t="s">
        <v>480</v>
      </c>
    </row>
    <row r="17" spans="2:2">
      <c r="B17" s="8" t="s">
        <v>481</v>
      </c>
    </row>
    <row r="18" spans="2:2">
      <c r="B18" s="8" t="s">
        <v>482</v>
      </c>
    </row>
    <row r="19" spans="2:2">
      <c r="B19" s="8" t="s">
        <v>483</v>
      </c>
    </row>
    <row r="20" spans="2:2">
      <c r="B20" s="8" t="s">
        <v>484</v>
      </c>
    </row>
    <row r="21" spans="2:2">
      <c r="B21" s="8" t="s">
        <v>485</v>
      </c>
    </row>
    <row r="22" spans="2:2">
      <c r="B22" s="8" t="s">
        <v>486</v>
      </c>
    </row>
    <row r="23" spans="2:2">
      <c r="B23" s="8" t="s">
        <v>487</v>
      </c>
    </row>
    <row r="24" spans="2:2">
      <c r="B24" s="8" t="s">
        <v>488</v>
      </c>
    </row>
    <row r="25" spans="2:2">
      <c r="B25" s="8" t="s">
        <v>489</v>
      </c>
    </row>
    <row r="26" spans="2:2">
      <c r="B26" s="8" t="s">
        <v>490</v>
      </c>
    </row>
    <row r="27" spans="2:2">
      <c r="B27" s="8" t="s">
        <v>491</v>
      </c>
    </row>
    <row r="28" spans="2:2">
      <c r="B28" s="8" t="s">
        <v>492</v>
      </c>
    </row>
    <row r="29" spans="2:2">
      <c r="B29" s="8" t="s">
        <v>493</v>
      </c>
    </row>
    <row r="30" spans="2:2">
      <c r="B30" s="8" t="s">
        <v>494</v>
      </c>
    </row>
    <row r="31" spans="2:2">
      <c r="B31" s="8" t="s">
        <v>495</v>
      </c>
    </row>
    <row r="32" spans="2:2">
      <c r="B32" s="8" t="s">
        <v>496</v>
      </c>
    </row>
    <row r="33" spans="2:2">
      <c r="B33" s="8" t="s">
        <v>497</v>
      </c>
    </row>
    <row r="34" spans="2:2">
      <c r="B34" s="8" t="s">
        <v>498</v>
      </c>
    </row>
    <row r="35" spans="2:2">
      <c r="B35" s="8" t="s">
        <v>503</v>
      </c>
    </row>
    <row r="36" spans="2:2">
      <c r="B36" s="8" t="s">
        <v>504</v>
      </c>
    </row>
    <row r="37" spans="2:2">
      <c r="B37" s="8" t="s">
        <v>508</v>
      </c>
    </row>
    <row r="38" spans="2:2">
      <c r="B38" s="8" t="s">
        <v>499</v>
      </c>
    </row>
    <row r="39" spans="2:2">
      <c r="B39" s="8" t="s">
        <v>509</v>
      </c>
    </row>
    <row r="40" spans="2:2">
      <c r="B40" s="8" t="s">
        <v>510</v>
      </c>
    </row>
    <row r="41" spans="2:2">
      <c r="B41" s="8" t="s">
        <v>511</v>
      </c>
    </row>
    <row r="42" spans="2:2">
      <c r="B42" s="8" t="s">
        <v>500</v>
      </c>
    </row>
    <row r="43" spans="2:2">
      <c r="B43" s="8" t="s">
        <v>505</v>
      </c>
    </row>
    <row r="44" spans="2:2">
      <c r="B44" s="8" t="s">
        <v>512</v>
      </c>
    </row>
    <row r="45" spans="2:2">
      <c r="B45" s="8" t="s">
        <v>513</v>
      </c>
    </row>
    <row r="46" spans="2:2">
      <c r="B46" s="8" t="s">
        <v>501</v>
      </c>
    </row>
    <row r="47" spans="2:2">
      <c r="B47" s="8" t="s">
        <v>502</v>
      </c>
    </row>
  </sheetData>
  <sortState xmlns:xlrd2="http://schemas.microsoft.com/office/spreadsheetml/2017/richdata2" ref="B3:B46">
    <sortCondition ref="B3:B46"/>
  </sortState>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
  <dimension ref="A5:H24"/>
  <sheetViews>
    <sheetView showGridLines="0" workbookViewId="0"/>
  </sheetViews>
  <sheetFormatPr defaultRowHeight="12.75"/>
  <cols>
    <col min="1" max="1" width="9.33203125" style="8"/>
    <col min="2" max="2" width="5.33203125" style="8" customWidth="1"/>
    <col min="3" max="3" width="34.5" style="8" bestFit="1" customWidth="1"/>
    <col min="4" max="4" width="9.33203125" style="40"/>
    <col min="5" max="16384" width="9.33203125" style="8"/>
  </cols>
  <sheetData>
    <row r="5" spans="1:5">
      <c r="B5" s="8" t="s">
        <v>538</v>
      </c>
    </row>
    <row r="7" spans="1:5">
      <c r="A7" s="8" t="s">
        <v>152</v>
      </c>
      <c r="B7" s="58">
        <v>1</v>
      </c>
      <c r="C7" s="8" t="s">
        <v>539</v>
      </c>
      <c r="D7" s="40" t="s">
        <v>591</v>
      </c>
    </row>
    <row r="8" spans="1:5">
      <c r="A8" s="8" t="s">
        <v>152</v>
      </c>
      <c r="B8" s="58">
        <f t="shared" ref="B8:B13" si="0">+B7+1</f>
        <v>2</v>
      </c>
      <c r="C8" s="8" t="s">
        <v>540</v>
      </c>
      <c r="D8" s="40" t="s">
        <v>591</v>
      </c>
    </row>
    <row r="9" spans="1:5">
      <c r="A9" s="8" t="s">
        <v>152</v>
      </c>
      <c r="B9" s="58">
        <f t="shared" si="0"/>
        <v>3</v>
      </c>
      <c r="C9" s="8" t="s">
        <v>541</v>
      </c>
      <c r="D9" s="40" t="s">
        <v>591</v>
      </c>
    </row>
    <row r="10" spans="1:5">
      <c r="A10" s="8" t="s">
        <v>152</v>
      </c>
      <c r="B10" s="58">
        <f t="shared" si="0"/>
        <v>4</v>
      </c>
      <c r="C10" s="8" t="s">
        <v>559</v>
      </c>
      <c r="D10" s="40" t="s">
        <v>591</v>
      </c>
    </row>
    <row r="11" spans="1:5">
      <c r="A11" s="8" t="s">
        <v>553</v>
      </c>
      <c r="B11" s="58">
        <f t="shared" si="0"/>
        <v>5</v>
      </c>
      <c r="C11" s="8" t="s">
        <v>554</v>
      </c>
      <c r="D11" s="40" t="s">
        <v>591</v>
      </c>
    </row>
    <row r="12" spans="1:5">
      <c r="A12" s="8" t="s">
        <v>553</v>
      </c>
      <c r="B12" s="58">
        <f t="shared" si="0"/>
        <v>6</v>
      </c>
      <c r="C12" s="8" t="s">
        <v>555</v>
      </c>
      <c r="D12" s="40" t="s">
        <v>591</v>
      </c>
    </row>
    <row r="13" spans="1:5">
      <c r="A13" s="8" t="s">
        <v>556</v>
      </c>
      <c r="B13" s="58">
        <f t="shared" si="0"/>
        <v>7</v>
      </c>
      <c r="C13" s="8" t="s">
        <v>557</v>
      </c>
      <c r="D13" s="40" t="s">
        <v>591</v>
      </c>
      <c r="E13" s="8" t="s">
        <v>601</v>
      </c>
    </row>
    <row r="14" spans="1:5">
      <c r="A14" s="8" t="s">
        <v>558</v>
      </c>
      <c r="B14" s="58">
        <f t="shared" ref="B14:B22" si="1">+B13+1</f>
        <v>8</v>
      </c>
      <c r="C14" s="8" t="s">
        <v>554</v>
      </c>
      <c r="D14" s="40" t="s">
        <v>591</v>
      </c>
    </row>
    <row r="15" spans="1:5">
      <c r="A15" s="8" t="s">
        <v>558</v>
      </c>
      <c r="B15" s="58">
        <f t="shared" si="1"/>
        <v>9</v>
      </c>
      <c r="C15" s="8" t="s">
        <v>555</v>
      </c>
      <c r="D15" s="40" t="s">
        <v>591</v>
      </c>
    </row>
    <row r="16" spans="1:5">
      <c r="A16" s="8" t="s">
        <v>560</v>
      </c>
      <c r="B16" s="58">
        <f t="shared" si="1"/>
        <v>10</v>
      </c>
      <c r="C16" s="8" t="s">
        <v>561</v>
      </c>
    </row>
    <row r="17" spans="1:8">
      <c r="A17" s="8" t="s">
        <v>74</v>
      </c>
      <c r="B17" s="58">
        <f t="shared" si="1"/>
        <v>11</v>
      </c>
      <c r="C17" s="8" t="s">
        <v>562</v>
      </c>
    </row>
    <row r="18" spans="1:8">
      <c r="A18" s="8" t="s">
        <v>558</v>
      </c>
      <c r="B18" s="58">
        <f t="shared" si="1"/>
        <v>12</v>
      </c>
      <c r="C18" s="8" t="s">
        <v>609</v>
      </c>
      <c r="E18" s="8" t="s">
        <v>610</v>
      </c>
    </row>
    <row r="19" spans="1:8">
      <c r="B19" s="58">
        <f t="shared" si="1"/>
        <v>13</v>
      </c>
      <c r="C19" s="8" t="s">
        <v>635</v>
      </c>
      <c r="D19" s="40" t="s">
        <v>637</v>
      </c>
      <c r="G19" s="1" t="s">
        <v>591</v>
      </c>
    </row>
    <row r="20" spans="1:8">
      <c r="B20" s="58">
        <f t="shared" si="1"/>
        <v>14</v>
      </c>
      <c r="C20" s="8" t="s">
        <v>636</v>
      </c>
      <c r="D20" s="40" t="s">
        <v>637</v>
      </c>
      <c r="G20" s="1" t="s">
        <v>591</v>
      </c>
    </row>
    <row r="21" spans="1:8">
      <c r="B21" s="58">
        <f t="shared" si="1"/>
        <v>15</v>
      </c>
      <c r="C21" s="8" t="s">
        <v>638</v>
      </c>
      <c r="D21" s="40" t="s">
        <v>637</v>
      </c>
      <c r="G21" s="1" t="s">
        <v>591</v>
      </c>
      <c r="H21" s="8" t="s">
        <v>641</v>
      </c>
    </row>
    <row r="22" spans="1:8">
      <c r="B22" s="58">
        <f t="shared" si="1"/>
        <v>16</v>
      </c>
      <c r="C22" s="8" t="s">
        <v>639</v>
      </c>
      <c r="D22" s="40" t="s">
        <v>637</v>
      </c>
    </row>
    <row r="23" spans="1:8">
      <c r="C23" s="8" t="s">
        <v>640</v>
      </c>
      <c r="D23" s="40" t="s">
        <v>637</v>
      </c>
      <c r="G23" s="1" t="s">
        <v>591</v>
      </c>
      <c r="H23" s="8" t="s">
        <v>642</v>
      </c>
    </row>
    <row r="24" spans="1:8">
      <c r="C24" s="8" t="s">
        <v>643</v>
      </c>
      <c r="D24" s="40" t="s">
        <v>637</v>
      </c>
      <c r="G24" s="1" t="s">
        <v>591</v>
      </c>
    </row>
  </sheetData>
  <pageMargins left="0.7" right="0.7" top="0.75" bottom="0.75" header="0.3" footer="0.3"/>
  <pageSetup orientation="portrait" r:id="rId1"/>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17"/>
  <dimension ref="A1:AT764"/>
  <sheetViews>
    <sheetView showGridLines="0" view="pageBreakPreview" zoomScale="85" zoomScaleNormal="100" zoomScaleSheetLayoutView="85" workbookViewId="0"/>
  </sheetViews>
  <sheetFormatPr defaultRowHeight="14.25" outlineLevelRow="1"/>
  <cols>
    <col min="1" max="1" width="4.5" style="234" customWidth="1"/>
    <col min="2" max="2" width="40.6640625" style="234" customWidth="1"/>
    <col min="3" max="3" width="2.83203125" style="234" customWidth="1"/>
    <col min="4" max="4" width="13.6640625" style="234" customWidth="1"/>
    <col min="5" max="5" width="3.5" style="234" customWidth="1"/>
    <col min="6" max="15" width="16.33203125" style="234" customWidth="1"/>
    <col min="16" max="16" width="4.5" style="234" customWidth="1"/>
    <col min="17" max="17" width="10.83203125" style="234" bestFit="1" customWidth="1"/>
    <col min="18" max="46" width="9.6640625" style="234" bestFit="1" customWidth="1"/>
    <col min="47" max="16384" width="9.33203125" style="234"/>
  </cols>
  <sheetData>
    <row r="1" spans="2:15" ht="10.7" customHeight="1" thickBot="1"/>
    <row r="2" spans="2:15" ht="16.5" customHeight="1" thickTop="1">
      <c r="B2" s="223" t="str">
        <f>'MASTER PubCo Inputs'!$C$5</f>
        <v>Trucode Gene Repair, Inc.</v>
      </c>
      <c r="C2" s="223"/>
      <c r="D2" s="223"/>
      <c r="E2" s="223"/>
      <c r="F2" s="223"/>
      <c r="G2" s="223"/>
      <c r="H2" s="223"/>
      <c r="I2" s="223"/>
      <c r="J2" s="223"/>
      <c r="K2" s="223"/>
      <c r="L2" s="223"/>
      <c r="M2" s="223"/>
      <c r="N2" s="223"/>
      <c r="O2" s="223"/>
    </row>
    <row r="3" spans="2:15" ht="15.75" customHeight="1">
      <c r="B3" s="232" t="e">
        <f>VLOOKUP(B4,Outline!$E$8:$G$65,COLUMNS(Outline!$E$8:$G$8),FALSE)</f>
        <v>#N/A</v>
      </c>
      <c r="C3" s="232"/>
      <c r="D3" s="232"/>
      <c r="E3" s="232"/>
      <c r="F3" s="232"/>
      <c r="G3" s="232"/>
      <c r="H3" s="232"/>
      <c r="I3" s="232"/>
      <c r="J3" s="232"/>
      <c r="K3" s="232"/>
      <c r="L3" s="232"/>
      <c r="M3" s="232"/>
      <c r="N3" s="232"/>
      <c r="O3" s="232"/>
    </row>
    <row r="4" spans="2:15" ht="16.5" customHeight="1" thickBot="1">
      <c r="B4" s="225" t="s">
        <v>145</v>
      </c>
      <c r="C4" s="225"/>
      <c r="D4" s="225"/>
      <c r="E4" s="225"/>
      <c r="F4" s="225"/>
      <c r="G4" s="225"/>
      <c r="H4" s="225"/>
      <c r="I4" s="225"/>
      <c r="J4" s="225"/>
      <c r="K4" s="225"/>
      <c r="L4" s="225"/>
      <c r="M4" s="225"/>
      <c r="N4" s="225"/>
      <c r="O4" s="233" t="str">
        <f>+'MASTER PubCo Inputs'!$C$21</f>
        <v>(in thousands of USD)</v>
      </c>
    </row>
    <row r="5" spans="2:15" ht="14.85" customHeight="1" thickTop="1"/>
    <row r="6" spans="2:15" ht="14.85" customHeight="1"/>
    <row r="7" spans="2:15" ht="14.85" customHeight="1">
      <c r="F7" s="500" t="s">
        <v>159</v>
      </c>
      <c r="G7" s="501"/>
      <c r="H7" s="501"/>
      <c r="I7" s="501"/>
      <c r="J7" s="501"/>
      <c r="K7" s="501"/>
      <c r="L7" s="501"/>
      <c r="M7" s="501"/>
      <c r="N7" s="501"/>
      <c r="O7" s="502"/>
    </row>
    <row r="8" spans="2:15" ht="14.85" customHeight="1">
      <c r="F8" s="503" t="s">
        <v>158</v>
      </c>
      <c r="G8" s="504"/>
      <c r="H8" s="504"/>
      <c r="I8" s="504"/>
      <c r="J8" s="504"/>
      <c r="K8" s="504"/>
      <c r="L8" s="504"/>
      <c r="M8" s="504"/>
      <c r="N8" s="504"/>
      <c r="O8" s="505"/>
    </row>
    <row r="9" spans="2:15" ht="14.85" customHeight="1">
      <c r="F9" s="506">
        <f>'Hist IS'!E9+1</f>
        <v>2019</v>
      </c>
      <c r="G9" s="507">
        <f>F9+1</f>
        <v>2020</v>
      </c>
      <c r="H9" s="507">
        <f t="shared" ref="H9:O9" si="0">G9+1</f>
        <v>2021</v>
      </c>
      <c r="I9" s="507">
        <f t="shared" si="0"/>
        <v>2022</v>
      </c>
      <c r="J9" s="507">
        <f t="shared" si="0"/>
        <v>2023</v>
      </c>
      <c r="K9" s="507">
        <f t="shared" si="0"/>
        <v>2024</v>
      </c>
      <c r="L9" s="507">
        <f t="shared" si="0"/>
        <v>2025</v>
      </c>
      <c r="M9" s="507">
        <f t="shared" si="0"/>
        <v>2026</v>
      </c>
      <c r="N9" s="507">
        <f t="shared" si="0"/>
        <v>2027</v>
      </c>
      <c r="O9" s="508">
        <f t="shared" si="0"/>
        <v>2028</v>
      </c>
    </row>
    <row r="10" spans="2:15" ht="14.85" customHeight="1"/>
    <row r="11" spans="2:15" ht="14.85" customHeight="1" outlineLevel="1">
      <c r="B11" s="255" t="s">
        <v>160</v>
      </c>
    </row>
    <row r="12" spans="2:15" ht="14.85" customHeight="1" outlineLevel="1">
      <c r="B12" s="256" t="s">
        <v>160</v>
      </c>
      <c r="F12" s="509">
        <v>3722</v>
      </c>
      <c r="G12" s="509">
        <v>8657.4</v>
      </c>
      <c r="H12" s="509">
        <v>19751.599999999999</v>
      </c>
      <c r="I12" s="509">
        <v>34969.599999999999</v>
      </c>
      <c r="J12" s="510">
        <f t="shared" ref="J12:O12" si="1">I12*(1+J15)</f>
        <v>54202.879999999997</v>
      </c>
      <c r="K12" s="510">
        <f t="shared" si="1"/>
        <v>75884.031999999992</v>
      </c>
      <c r="L12" s="510">
        <f t="shared" si="1"/>
        <v>98649.241599999994</v>
      </c>
      <c r="M12" s="510">
        <f t="shared" si="1"/>
        <v>118379.08991999998</v>
      </c>
      <c r="N12" s="510">
        <f t="shared" si="1"/>
        <v>130216.998912</v>
      </c>
      <c r="O12" s="510">
        <f t="shared" si="1"/>
        <v>136727.84885760001</v>
      </c>
    </row>
    <row r="13" spans="2:15" ht="14.85" customHeight="1" outlineLevel="1">
      <c r="B13" s="269"/>
      <c r="C13" s="269"/>
      <c r="D13" s="269"/>
      <c r="E13" s="269"/>
      <c r="F13" s="269"/>
      <c r="G13" s="269"/>
      <c r="H13" s="269"/>
      <c r="I13" s="269"/>
      <c r="J13" s="269"/>
      <c r="K13" s="269"/>
      <c r="L13" s="269"/>
      <c r="M13" s="269"/>
      <c r="N13" s="269"/>
      <c r="O13" s="269"/>
    </row>
    <row r="14" spans="2:15" ht="14.85" customHeight="1">
      <c r="B14" s="255" t="s">
        <v>724</v>
      </c>
      <c r="F14" s="309">
        <f t="shared" ref="F14:N14" si="2">SUM(F12)</f>
        <v>3722</v>
      </c>
      <c r="G14" s="309">
        <f t="shared" si="2"/>
        <v>8657.4</v>
      </c>
      <c r="H14" s="309">
        <f t="shared" si="2"/>
        <v>19751.599999999999</v>
      </c>
      <c r="I14" s="309">
        <f t="shared" si="2"/>
        <v>34969.599999999999</v>
      </c>
      <c r="J14" s="309">
        <f t="shared" si="2"/>
        <v>54202.879999999997</v>
      </c>
      <c r="K14" s="309">
        <f t="shared" si="2"/>
        <v>75884.031999999992</v>
      </c>
      <c r="L14" s="309">
        <f t="shared" si="2"/>
        <v>98649.241599999994</v>
      </c>
      <c r="M14" s="309">
        <f t="shared" si="2"/>
        <v>118379.08991999998</v>
      </c>
      <c r="N14" s="309">
        <f t="shared" si="2"/>
        <v>130216.998912</v>
      </c>
      <c r="O14" s="309">
        <f>N14*(1+O15)</f>
        <v>136727.84885760001</v>
      </c>
    </row>
    <row r="15" spans="2:15" ht="14.85" customHeight="1">
      <c r="B15" s="317" t="s">
        <v>162</v>
      </c>
      <c r="F15" s="511" t="s">
        <v>13</v>
      </c>
      <c r="G15" s="511">
        <f>G14/F14-1</f>
        <v>1.3260075228371844</v>
      </c>
      <c r="H15" s="511">
        <f t="shared" ref="H15:I15" si="3">H14/G14-1</f>
        <v>1.281470187354171</v>
      </c>
      <c r="I15" s="511">
        <f t="shared" si="3"/>
        <v>0.77046922780939275</v>
      </c>
      <c r="J15" s="512">
        <v>0.55000000000000004</v>
      </c>
      <c r="K15" s="512">
        <v>0.4</v>
      </c>
      <c r="L15" s="512">
        <v>0.3</v>
      </c>
      <c r="M15" s="512">
        <v>0.2</v>
      </c>
      <c r="N15" s="512">
        <v>0.1</v>
      </c>
      <c r="O15" s="512">
        <v>0.05</v>
      </c>
    </row>
    <row r="16" spans="2:15" ht="14.85" customHeight="1"/>
    <row r="17" spans="2:15" ht="14.85" customHeight="1">
      <c r="B17" s="256" t="s">
        <v>163</v>
      </c>
      <c r="F17" s="452">
        <v>-1396.1</v>
      </c>
      <c r="G17" s="452">
        <v>-3103.8</v>
      </c>
      <c r="H17" s="452">
        <v>-7209.6</v>
      </c>
      <c r="I17" s="452">
        <v>-11888.5</v>
      </c>
      <c r="J17" s="297">
        <f>I17*(1+J15)</f>
        <v>-18427.174999999999</v>
      </c>
      <c r="K17" s="297">
        <f t="shared" ref="K17:O17" si="4">J17*(1+K15)</f>
        <v>-25798.044999999998</v>
      </c>
      <c r="L17" s="297">
        <f t="shared" si="4"/>
        <v>-33537.458500000001</v>
      </c>
      <c r="M17" s="297">
        <f t="shared" si="4"/>
        <v>-40244.950199999999</v>
      </c>
      <c r="N17" s="297">
        <f t="shared" si="4"/>
        <v>-44269.445220000001</v>
      </c>
      <c r="O17" s="297">
        <f t="shared" si="4"/>
        <v>-46482.917481000004</v>
      </c>
    </row>
    <row r="18" spans="2:15" ht="14.85" customHeight="1">
      <c r="B18" s="269"/>
      <c r="C18" s="269"/>
      <c r="D18" s="269"/>
      <c r="E18" s="269"/>
      <c r="F18" s="269"/>
      <c r="G18" s="269"/>
      <c r="H18" s="269"/>
      <c r="I18" s="269"/>
      <c r="J18" s="269"/>
      <c r="K18" s="269"/>
      <c r="L18" s="269"/>
      <c r="M18" s="269"/>
      <c r="N18" s="269"/>
      <c r="O18" s="269"/>
    </row>
    <row r="19" spans="2:15" ht="14.85" customHeight="1">
      <c r="B19" s="255" t="s">
        <v>164</v>
      </c>
      <c r="F19" s="309">
        <f t="shared" ref="F19:N19" si="5">F14+F17</f>
        <v>2325.9</v>
      </c>
      <c r="G19" s="309">
        <f t="shared" si="5"/>
        <v>5553.5999999999995</v>
      </c>
      <c r="H19" s="309">
        <f t="shared" si="5"/>
        <v>12541.999999999998</v>
      </c>
      <c r="I19" s="309">
        <f t="shared" si="5"/>
        <v>23081.1</v>
      </c>
      <c r="J19" s="309">
        <f t="shared" si="5"/>
        <v>35775.705000000002</v>
      </c>
      <c r="K19" s="309">
        <f t="shared" si="5"/>
        <v>50085.986999999994</v>
      </c>
      <c r="L19" s="309">
        <f t="shared" si="5"/>
        <v>65111.783099999993</v>
      </c>
      <c r="M19" s="309">
        <f t="shared" si="5"/>
        <v>78134.139719999977</v>
      </c>
      <c r="N19" s="309">
        <f t="shared" si="5"/>
        <v>85947.553691999987</v>
      </c>
      <c r="O19" s="309">
        <f>O14+O17</f>
        <v>90244.931376599998</v>
      </c>
    </row>
    <row r="20" spans="2:15" ht="14.85" customHeight="1">
      <c r="B20" s="317" t="s">
        <v>165</v>
      </c>
      <c r="F20" s="511">
        <f>F19/F$14</f>
        <v>0.6249059645351962</v>
      </c>
      <c r="G20" s="511">
        <f t="shared" ref="G20:O20" si="6">G19/G$14</f>
        <v>0.64148589645852094</v>
      </c>
      <c r="H20" s="511">
        <f t="shared" si="6"/>
        <v>0.63498653273658834</v>
      </c>
      <c r="I20" s="511">
        <f t="shared" si="6"/>
        <v>0.66003328605417277</v>
      </c>
      <c r="J20" s="512">
        <f t="shared" si="6"/>
        <v>0.66003328605417289</v>
      </c>
      <c r="K20" s="512">
        <f t="shared" si="6"/>
        <v>0.66003328605417277</v>
      </c>
      <c r="L20" s="512">
        <f t="shared" si="6"/>
        <v>0.66003328605417277</v>
      </c>
      <c r="M20" s="512">
        <f t="shared" si="6"/>
        <v>0.66003328605417266</v>
      </c>
      <c r="N20" s="512">
        <f t="shared" si="6"/>
        <v>0.66003328605417266</v>
      </c>
      <c r="O20" s="512">
        <f t="shared" si="6"/>
        <v>0.66003328605417266</v>
      </c>
    </row>
    <row r="21" spans="2:15" ht="14.85" customHeight="1"/>
    <row r="22" spans="2:15" ht="14.85" customHeight="1">
      <c r="B22" s="255" t="s">
        <v>166</v>
      </c>
    </row>
    <row r="23" spans="2:15" ht="14.85" customHeight="1">
      <c r="B23" s="256" t="s">
        <v>167</v>
      </c>
      <c r="F23" s="452">
        <v>-7182.5</v>
      </c>
      <c r="G23" s="452">
        <v>-8960.7999999999993</v>
      </c>
      <c r="H23" s="452">
        <v>-11089.1</v>
      </c>
      <c r="I23" s="452">
        <v>-13882.3</v>
      </c>
      <c r="J23" s="452"/>
      <c r="K23" s="452"/>
      <c r="L23" s="452"/>
      <c r="M23" s="452"/>
      <c r="N23" s="452"/>
      <c r="O23" s="452"/>
    </row>
    <row r="24" spans="2:15" ht="14.85" customHeight="1">
      <c r="B24" s="256" t="s">
        <v>168</v>
      </c>
      <c r="F24" s="452">
        <v>-90.2</v>
      </c>
      <c r="G24" s="452">
        <v>-158.6</v>
      </c>
      <c r="H24" s="452">
        <v>-242.6</v>
      </c>
      <c r="I24" s="452">
        <v>-501.6</v>
      </c>
      <c r="J24" s="452"/>
      <c r="K24" s="452"/>
      <c r="L24" s="452"/>
      <c r="M24" s="452"/>
      <c r="N24" s="452"/>
      <c r="O24" s="452"/>
    </row>
    <row r="25" spans="2:15" ht="14.85" customHeight="1">
      <c r="B25" s="256" t="s">
        <v>169</v>
      </c>
      <c r="F25" s="452">
        <v>-1381.5</v>
      </c>
      <c r="G25" s="452">
        <v>-1278</v>
      </c>
      <c r="H25" s="452">
        <v>-1963.5</v>
      </c>
      <c r="I25" s="452">
        <v>-2757</v>
      </c>
      <c r="J25" s="452"/>
      <c r="K25" s="452"/>
      <c r="L25" s="452"/>
      <c r="M25" s="452"/>
      <c r="N25" s="452"/>
      <c r="O25" s="452"/>
    </row>
    <row r="26" spans="2:15" ht="14.85" customHeight="1">
      <c r="B26" s="256" t="s">
        <v>171</v>
      </c>
      <c r="F26" s="452">
        <v>0</v>
      </c>
      <c r="G26" s="452">
        <v>0</v>
      </c>
      <c r="H26" s="452">
        <v>0</v>
      </c>
      <c r="I26" s="452">
        <v>0</v>
      </c>
      <c r="J26" s="452"/>
      <c r="K26" s="452"/>
      <c r="L26" s="452"/>
      <c r="M26" s="452"/>
      <c r="N26" s="452"/>
      <c r="O26" s="452"/>
    </row>
    <row r="27" spans="2:15" ht="14.85" customHeight="1">
      <c r="B27" s="269"/>
      <c r="C27" s="269"/>
      <c r="D27" s="269"/>
      <c r="E27" s="269"/>
      <c r="F27" s="513"/>
      <c r="G27" s="269"/>
      <c r="H27" s="269"/>
      <c r="I27" s="269"/>
      <c r="J27" s="269"/>
      <c r="K27" s="269"/>
      <c r="L27" s="269"/>
      <c r="M27" s="269"/>
      <c r="N27" s="269"/>
      <c r="O27" s="269"/>
    </row>
    <row r="28" spans="2:15" ht="14.85" customHeight="1">
      <c r="B28" s="298" t="s">
        <v>161</v>
      </c>
      <c r="F28" s="309">
        <f>SUM(F23:F26)</f>
        <v>-8654.2000000000007</v>
      </c>
      <c r="G28" s="309">
        <f t="shared" ref="G28:I28" si="7">SUM(G23:G26)</f>
        <v>-10397.4</v>
      </c>
      <c r="H28" s="309">
        <f t="shared" si="7"/>
        <v>-13295.2</v>
      </c>
      <c r="I28" s="309">
        <f t="shared" si="7"/>
        <v>-17140.900000000001</v>
      </c>
      <c r="J28" s="309">
        <f>J30-J19</f>
        <v>-26019.186600000001</v>
      </c>
      <c r="K28" s="309">
        <f t="shared" ref="K28:O28" si="8">K30-K19</f>
        <v>-35668.020919999995</v>
      </c>
      <c r="L28" s="309">
        <f t="shared" si="8"/>
        <v>-45381.934779999996</v>
      </c>
      <c r="M28" s="309">
        <f t="shared" si="8"/>
        <v>-54458.321735999984</v>
      </c>
      <c r="N28" s="309">
        <f t="shared" si="8"/>
        <v>-59904.153909599991</v>
      </c>
      <c r="O28" s="309">
        <f t="shared" si="8"/>
        <v>-62899.36160507999</v>
      </c>
    </row>
    <row r="29" spans="2:15" ht="14.85" customHeight="1"/>
    <row r="30" spans="2:15" ht="14.85" customHeight="1">
      <c r="B30" s="255" t="s">
        <v>173</v>
      </c>
      <c r="F30" s="514">
        <f>F19+F28</f>
        <v>-6328.3000000000011</v>
      </c>
      <c r="G30" s="514">
        <f t="shared" ref="G30:I30" si="9">G19+G28</f>
        <v>-4843.8</v>
      </c>
      <c r="H30" s="514">
        <f t="shared" si="9"/>
        <v>-753.20000000000255</v>
      </c>
      <c r="I30" s="514">
        <f t="shared" si="9"/>
        <v>5940.1999999999971</v>
      </c>
      <c r="J30" s="515">
        <f>J14*J31</f>
        <v>9756.518399999999</v>
      </c>
      <c r="K30" s="515">
        <f t="shared" ref="K30:O30" si="10">K14*K31</f>
        <v>14417.966079999998</v>
      </c>
      <c r="L30" s="515">
        <f t="shared" si="10"/>
        <v>19729.848320000001</v>
      </c>
      <c r="M30" s="515">
        <f t="shared" si="10"/>
        <v>23675.817983999998</v>
      </c>
      <c r="N30" s="515">
        <f t="shared" si="10"/>
        <v>26043.3997824</v>
      </c>
      <c r="O30" s="515">
        <f t="shared" si="10"/>
        <v>27345.569771520004</v>
      </c>
    </row>
    <row r="31" spans="2:15" ht="14.85" customHeight="1">
      <c r="B31" s="317" t="s">
        <v>165</v>
      </c>
      <c r="F31" s="511">
        <f t="shared" ref="F31:I31" si="11">F30/F$14</f>
        <v>-1.7002418054809245</v>
      </c>
      <c r="G31" s="511">
        <f t="shared" si="11"/>
        <v>-0.55949823272576071</v>
      </c>
      <c r="H31" s="511">
        <f t="shared" si="11"/>
        <v>-3.8133619554871635E-2</v>
      </c>
      <c r="I31" s="511">
        <f t="shared" si="11"/>
        <v>0.16986754209370417</v>
      </c>
      <c r="J31" s="512">
        <v>0.18</v>
      </c>
      <c r="K31" s="512">
        <v>0.19</v>
      </c>
      <c r="L31" s="512">
        <v>0.2</v>
      </c>
      <c r="M31" s="512">
        <f>L31</f>
        <v>0.2</v>
      </c>
      <c r="N31" s="512">
        <f>M31</f>
        <v>0.2</v>
      </c>
      <c r="O31" s="512">
        <f>N31</f>
        <v>0.2</v>
      </c>
    </row>
    <row r="32" spans="2:15" ht="14.85" customHeight="1"/>
    <row r="33" spans="2:15" ht="14.85" customHeight="1">
      <c r="B33" s="256" t="s">
        <v>172</v>
      </c>
      <c r="F33" s="452" t="e">
        <f>-F52</f>
        <v>#REF!</v>
      </c>
      <c r="G33" s="452" t="e">
        <f t="shared" ref="G33:O33" si="12">-G52</f>
        <v>#REF!</v>
      </c>
      <c r="H33" s="452" t="e">
        <f t="shared" si="12"/>
        <v>#REF!</v>
      </c>
      <c r="I33" s="452" t="e">
        <f t="shared" si="12"/>
        <v>#REF!</v>
      </c>
      <c r="J33" s="452" t="e">
        <f t="shared" si="12"/>
        <v>#REF!</v>
      </c>
      <c r="K33" s="452">
        <f t="shared" si="12"/>
        <v>-7409.6733558501419</v>
      </c>
      <c r="L33" s="452">
        <f t="shared" si="12"/>
        <v>-10856.334954881842</v>
      </c>
      <c r="M33" s="452">
        <f t="shared" si="12"/>
        <v>-14633.739395910083</v>
      </c>
      <c r="N33" s="452">
        <f t="shared" si="12"/>
        <v>-18281.687325421553</v>
      </c>
      <c r="O33" s="452">
        <f t="shared" si="12"/>
        <v>-21442.369850255858</v>
      </c>
    </row>
    <row r="34" spans="2:15" ht="14.85" customHeight="1">
      <c r="B34" s="269"/>
      <c r="C34" s="269"/>
      <c r="D34" s="269"/>
      <c r="E34" s="269"/>
      <c r="F34" s="269"/>
      <c r="G34" s="269"/>
      <c r="H34" s="269"/>
      <c r="I34" s="269"/>
      <c r="J34" s="269"/>
      <c r="K34" s="269"/>
      <c r="L34" s="269"/>
      <c r="M34" s="269"/>
      <c r="N34" s="269"/>
      <c r="O34" s="269"/>
    </row>
    <row r="35" spans="2:15" ht="14.85" customHeight="1">
      <c r="B35" s="255" t="s">
        <v>174</v>
      </c>
      <c r="F35" s="309" t="e">
        <f>F30+F33</f>
        <v>#REF!</v>
      </c>
      <c r="G35" s="309" t="e">
        <f t="shared" ref="G35:O35" si="13">G30+G33</f>
        <v>#REF!</v>
      </c>
      <c r="H35" s="309" t="e">
        <f t="shared" si="13"/>
        <v>#REF!</v>
      </c>
      <c r="I35" s="309" t="e">
        <f t="shared" si="13"/>
        <v>#REF!</v>
      </c>
      <c r="J35" s="309" t="e">
        <f t="shared" si="13"/>
        <v>#REF!</v>
      </c>
      <c r="K35" s="309">
        <f t="shared" si="13"/>
        <v>7008.2927241498564</v>
      </c>
      <c r="L35" s="309">
        <f t="shared" si="13"/>
        <v>8873.5133651181586</v>
      </c>
      <c r="M35" s="309">
        <f t="shared" si="13"/>
        <v>9042.0785880899148</v>
      </c>
      <c r="N35" s="309">
        <f t="shared" si="13"/>
        <v>7761.7124569784464</v>
      </c>
      <c r="O35" s="309">
        <f t="shared" si="13"/>
        <v>5903.1999212641458</v>
      </c>
    </row>
    <row r="36" spans="2:15" ht="14.85" customHeight="1">
      <c r="B36" s="317" t="s">
        <v>165</v>
      </c>
      <c r="F36" s="511" t="e">
        <f t="shared" ref="F36:O36" si="14">F35/F$14</f>
        <v>#REF!</v>
      </c>
      <c r="G36" s="511" t="e">
        <f t="shared" si="14"/>
        <v>#REF!</v>
      </c>
      <c r="H36" s="511" t="e">
        <f t="shared" si="14"/>
        <v>#REF!</v>
      </c>
      <c r="I36" s="511" t="e">
        <f t="shared" si="14"/>
        <v>#REF!</v>
      </c>
      <c r="J36" s="511" t="e">
        <f t="shared" si="14"/>
        <v>#REF!</v>
      </c>
      <c r="K36" s="511">
        <f t="shared" si="14"/>
        <v>9.2355302419221172E-2</v>
      </c>
      <c r="L36" s="511">
        <f t="shared" si="14"/>
        <v>8.9950142760328727E-2</v>
      </c>
      <c r="M36" s="511">
        <f t="shared" si="14"/>
        <v>7.6382396538109118E-2</v>
      </c>
      <c r="N36" s="511">
        <f t="shared" si="14"/>
        <v>5.96059847933047E-2</v>
      </c>
      <c r="O36" s="511">
        <f t="shared" si="14"/>
        <v>4.3174817497584117E-2</v>
      </c>
    </row>
    <row r="37" spans="2:15" ht="14.85" customHeight="1"/>
    <row r="38" spans="2:15" ht="14.85" customHeight="1">
      <c r="B38" s="255" t="s">
        <v>175</v>
      </c>
    </row>
    <row r="39" spans="2:15" ht="14.85" customHeight="1">
      <c r="B39" s="256" t="s">
        <v>176</v>
      </c>
      <c r="D39" s="297"/>
      <c r="E39" s="516" t="s">
        <v>250</v>
      </c>
      <c r="F39" s="517">
        <v>2553</v>
      </c>
      <c r="G39" s="259" t="e">
        <f>F43</f>
        <v>#REF!</v>
      </c>
      <c r="H39" s="259" t="e">
        <f t="shared" ref="H39:O39" si="15">G43</f>
        <v>#REF!</v>
      </c>
      <c r="I39" s="259" t="e">
        <f t="shared" si="15"/>
        <v>#REF!</v>
      </c>
      <c r="J39" s="259" t="e">
        <f t="shared" si="15"/>
        <v>#REF!</v>
      </c>
      <c r="K39" s="259" t="e">
        <f t="shared" si="15"/>
        <v>#REF!</v>
      </c>
      <c r="L39" s="259" t="e">
        <f t="shared" si="15"/>
        <v>#REF!</v>
      </c>
      <c r="M39" s="259" t="e">
        <f t="shared" si="15"/>
        <v>#REF!</v>
      </c>
      <c r="N39" s="259" t="e">
        <f t="shared" si="15"/>
        <v>#REF!</v>
      </c>
      <c r="O39" s="259" t="e">
        <f t="shared" si="15"/>
        <v>#REF!</v>
      </c>
    </row>
    <row r="40" spans="2:15" ht="14.85" customHeight="1">
      <c r="B40" s="357" t="s">
        <v>177</v>
      </c>
      <c r="F40" s="259" t="e">
        <f>IF(F35&gt;0,0,-F35)</f>
        <v>#REF!</v>
      </c>
      <c r="G40" s="259" t="e">
        <f t="shared" ref="G40:O40" si="16">IF(G35&gt;0,0,-G35)</f>
        <v>#REF!</v>
      </c>
      <c r="H40" s="259" t="e">
        <f t="shared" si="16"/>
        <v>#REF!</v>
      </c>
      <c r="I40" s="259" t="e">
        <f t="shared" si="16"/>
        <v>#REF!</v>
      </c>
      <c r="J40" s="259" t="e">
        <f t="shared" si="16"/>
        <v>#REF!</v>
      </c>
      <c r="K40" s="259">
        <f t="shared" si="16"/>
        <v>0</v>
      </c>
      <c r="L40" s="259">
        <f t="shared" si="16"/>
        <v>0</v>
      </c>
      <c r="M40" s="259">
        <f t="shared" si="16"/>
        <v>0</v>
      </c>
      <c r="N40" s="259">
        <f t="shared" si="16"/>
        <v>0</v>
      </c>
      <c r="O40" s="259">
        <f t="shared" si="16"/>
        <v>0</v>
      </c>
    </row>
    <row r="41" spans="2:15" ht="14.85" customHeight="1">
      <c r="B41" s="357" t="s">
        <v>178</v>
      </c>
      <c r="F41" s="259" t="e">
        <f>IF(F35&gt;0,-MAX(MIN(SUM(F39:F40),F35),0),0)</f>
        <v>#REF!</v>
      </c>
      <c r="G41" s="259" t="e">
        <f t="shared" ref="G41:O41" si="17">IF(G35&gt;0,-MAX(MIN(SUM(G39:G40),G35),0),0)</f>
        <v>#REF!</v>
      </c>
      <c r="H41" s="259" t="e">
        <f t="shared" si="17"/>
        <v>#REF!</v>
      </c>
      <c r="I41" s="259" t="e">
        <f t="shared" si="17"/>
        <v>#REF!</v>
      </c>
      <c r="J41" s="259" t="e">
        <f t="shared" si="17"/>
        <v>#REF!</v>
      </c>
      <c r="K41" s="259" t="e">
        <f t="shared" si="17"/>
        <v>#REF!</v>
      </c>
      <c r="L41" s="259" t="e">
        <f t="shared" si="17"/>
        <v>#REF!</v>
      </c>
      <c r="M41" s="259" t="e">
        <f t="shared" si="17"/>
        <v>#REF!</v>
      </c>
      <c r="N41" s="259" t="e">
        <f t="shared" si="17"/>
        <v>#REF!</v>
      </c>
      <c r="O41" s="259" t="e">
        <f t="shared" si="17"/>
        <v>#REF!</v>
      </c>
    </row>
    <row r="42" spans="2:15" ht="14.85" customHeight="1">
      <c r="B42" s="269"/>
      <c r="C42" s="269"/>
      <c r="D42" s="269"/>
      <c r="E42" s="269"/>
      <c r="F42" s="269"/>
      <c r="G42" s="269"/>
      <c r="H42" s="269"/>
      <c r="I42" s="269"/>
      <c r="J42" s="269"/>
      <c r="K42" s="269"/>
      <c r="L42" s="269"/>
      <c r="M42" s="269"/>
      <c r="N42" s="269"/>
      <c r="O42" s="269"/>
    </row>
    <row r="43" spans="2:15" ht="14.85" customHeight="1">
      <c r="B43" s="256" t="s">
        <v>179</v>
      </c>
      <c r="F43" s="259" t="e">
        <f>SUM(F39:F41)</f>
        <v>#REF!</v>
      </c>
      <c r="G43" s="259" t="e">
        <f t="shared" ref="G43:O43" si="18">SUM(G39:G41)</f>
        <v>#REF!</v>
      </c>
      <c r="H43" s="259" t="e">
        <f t="shared" si="18"/>
        <v>#REF!</v>
      </c>
      <c r="I43" s="259" t="e">
        <f t="shared" si="18"/>
        <v>#REF!</v>
      </c>
      <c r="J43" s="259" t="e">
        <f t="shared" si="18"/>
        <v>#REF!</v>
      </c>
      <c r="K43" s="259" t="e">
        <f t="shared" si="18"/>
        <v>#REF!</v>
      </c>
      <c r="L43" s="259" t="e">
        <f t="shared" si="18"/>
        <v>#REF!</v>
      </c>
      <c r="M43" s="259" t="e">
        <f t="shared" si="18"/>
        <v>#REF!</v>
      </c>
      <c r="N43" s="259" t="e">
        <f t="shared" si="18"/>
        <v>#REF!</v>
      </c>
      <c r="O43" s="259" t="e">
        <f t="shared" si="18"/>
        <v>#REF!</v>
      </c>
    </row>
    <row r="44" spans="2:15" ht="14.85" customHeight="1"/>
    <row r="45" spans="2:15" ht="14.85" customHeight="1">
      <c r="B45" s="255" t="s">
        <v>180</v>
      </c>
      <c r="F45" s="309" t="e">
        <f>F35+SUM(F40:F41)</f>
        <v>#REF!</v>
      </c>
      <c r="G45" s="309" t="e">
        <f t="shared" ref="G45:O45" si="19">G35+SUM(G40:G41)</f>
        <v>#REF!</v>
      </c>
      <c r="H45" s="309" t="e">
        <f t="shared" si="19"/>
        <v>#REF!</v>
      </c>
      <c r="I45" s="309" t="e">
        <f t="shared" si="19"/>
        <v>#REF!</v>
      </c>
      <c r="J45" s="309" t="e">
        <f t="shared" si="19"/>
        <v>#REF!</v>
      </c>
      <c r="K45" s="309" t="e">
        <f t="shared" si="19"/>
        <v>#REF!</v>
      </c>
      <c r="L45" s="309" t="e">
        <f t="shared" si="19"/>
        <v>#REF!</v>
      </c>
      <c r="M45" s="309" t="e">
        <f t="shared" si="19"/>
        <v>#REF!</v>
      </c>
      <c r="N45" s="309" t="e">
        <f t="shared" si="19"/>
        <v>#REF!</v>
      </c>
      <c r="O45" s="309" t="e">
        <f t="shared" si="19"/>
        <v>#REF!</v>
      </c>
    </row>
    <row r="46" spans="2:15" ht="14.85" customHeight="1"/>
    <row r="47" spans="2:15" ht="14.85" customHeight="1">
      <c r="B47" s="256" t="s">
        <v>181</v>
      </c>
      <c r="D47" s="321">
        <f>+'MASTER PubCo Inputs'!C9</f>
        <v>0.4</v>
      </c>
      <c r="E47" s="516" t="s">
        <v>249</v>
      </c>
      <c r="F47" s="259" t="e">
        <f>-$D47*F45</f>
        <v>#REF!</v>
      </c>
      <c r="G47" s="259" t="e">
        <f t="shared" ref="G47:O47" si="20">-$D47*G45</f>
        <v>#REF!</v>
      </c>
      <c r="H47" s="259" t="e">
        <f t="shared" si="20"/>
        <v>#REF!</v>
      </c>
      <c r="I47" s="259" t="e">
        <f t="shared" si="20"/>
        <v>#REF!</v>
      </c>
      <c r="J47" s="259" t="e">
        <f t="shared" si="20"/>
        <v>#REF!</v>
      </c>
      <c r="K47" s="259" t="e">
        <f t="shared" si="20"/>
        <v>#REF!</v>
      </c>
      <c r="L47" s="259" t="e">
        <f t="shared" si="20"/>
        <v>#REF!</v>
      </c>
      <c r="M47" s="259" t="e">
        <f t="shared" si="20"/>
        <v>#REF!</v>
      </c>
      <c r="N47" s="259" t="e">
        <f t="shared" si="20"/>
        <v>#REF!</v>
      </c>
      <c r="O47" s="259" t="e">
        <f t="shared" si="20"/>
        <v>#REF!</v>
      </c>
    </row>
    <row r="48" spans="2:15" ht="14.85" customHeight="1"/>
    <row r="49" spans="2:15" ht="14.85" customHeight="1">
      <c r="B49" s="255" t="s">
        <v>182</v>
      </c>
      <c r="F49" s="309" t="e">
        <f>F35+F47</f>
        <v>#REF!</v>
      </c>
      <c r="G49" s="309" t="e">
        <f t="shared" ref="G49:O49" si="21">G35+G47</f>
        <v>#REF!</v>
      </c>
      <c r="H49" s="309" t="e">
        <f t="shared" si="21"/>
        <v>#REF!</v>
      </c>
      <c r="I49" s="309" t="e">
        <f t="shared" si="21"/>
        <v>#REF!</v>
      </c>
      <c r="J49" s="309" t="e">
        <f t="shared" si="21"/>
        <v>#REF!</v>
      </c>
      <c r="K49" s="309" t="e">
        <f t="shared" si="21"/>
        <v>#REF!</v>
      </c>
      <c r="L49" s="309" t="e">
        <f t="shared" si="21"/>
        <v>#REF!</v>
      </c>
      <c r="M49" s="309" t="e">
        <f t="shared" si="21"/>
        <v>#REF!</v>
      </c>
      <c r="N49" s="309" t="e">
        <f t="shared" si="21"/>
        <v>#REF!</v>
      </c>
      <c r="O49" s="309" t="e">
        <f t="shared" si="21"/>
        <v>#REF!</v>
      </c>
    </row>
    <row r="50" spans="2:15" ht="14.85" customHeight="1">
      <c r="D50" s="323"/>
    </row>
    <row r="51" spans="2:15" ht="14.85" customHeight="1">
      <c r="B51" s="256" t="s">
        <v>183</v>
      </c>
      <c r="D51" s="518">
        <f>'Comp.5'!W44</f>
        <v>-0.19149855907780977</v>
      </c>
      <c r="E51" s="516" t="s">
        <v>288</v>
      </c>
      <c r="F51" s="452">
        <f>-$D$51*F14</f>
        <v>712.75763688760799</v>
      </c>
      <c r="G51" s="452">
        <f t="shared" ref="G51:O51" si="22">-$D$51*G14</f>
        <v>1657.8796253602302</v>
      </c>
      <c r="H51" s="452">
        <f t="shared" si="22"/>
        <v>3782.4029394812674</v>
      </c>
      <c r="I51" s="452">
        <f t="shared" si="22"/>
        <v>6696.6280115273767</v>
      </c>
      <c r="J51" s="452">
        <f t="shared" si="22"/>
        <v>10379.773417867433</v>
      </c>
      <c r="K51" s="452">
        <f t="shared" si="22"/>
        <v>14531.682785014405</v>
      </c>
      <c r="L51" s="452">
        <f t="shared" si="22"/>
        <v>18891.187620518729</v>
      </c>
      <c r="M51" s="452">
        <f t="shared" si="22"/>
        <v>22669.425144622473</v>
      </c>
      <c r="N51" s="452">
        <f t="shared" si="22"/>
        <v>24936.367659084721</v>
      </c>
      <c r="O51" s="452">
        <f t="shared" si="22"/>
        <v>26183.18604203896</v>
      </c>
    </row>
    <row r="52" spans="2:15" ht="14.85" customHeight="1">
      <c r="B52" s="256" t="s">
        <v>184</v>
      </c>
      <c r="F52" s="452" t="e">
        <f>F107</f>
        <v>#REF!</v>
      </c>
      <c r="G52" s="452" t="e">
        <f t="shared" ref="G52:O52" si="23">G107</f>
        <v>#REF!</v>
      </c>
      <c r="H52" s="452" t="e">
        <f t="shared" si="23"/>
        <v>#REF!</v>
      </c>
      <c r="I52" s="452" t="e">
        <f t="shared" si="23"/>
        <v>#REF!</v>
      </c>
      <c r="J52" s="452" t="e">
        <f t="shared" si="23"/>
        <v>#REF!</v>
      </c>
      <c r="K52" s="452">
        <f t="shared" si="23"/>
        <v>7409.6733558501419</v>
      </c>
      <c r="L52" s="452">
        <f t="shared" si="23"/>
        <v>10856.334954881842</v>
      </c>
      <c r="M52" s="452">
        <f t="shared" si="23"/>
        <v>14633.739395910083</v>
      </c>
      <c r="N52" s="452">
        <f t="shared" si="23"/>
        <v>18281.687325421553</v>
      </c>
      <c r="O52" s="452">
        <f t="shared" si="23"/>
        <v>21442.369850255858</v>
      </c>
    </row>
    <row r="53" spans="2:15" ht="14.85" customHeight="1">
      <c r="B53" s="256" t="s">
        <v>202</v>
      </c>
      <c r="D53" s="321">
        <f>'Comp.5'!O44</f>
        <v>-0.34562202109746687</v>
      </c>
      <c r="E53" s="516" t="s">
        <v>289</v>
      </c>
      <c r="F53" s="452">
        <f>-(F12-'Hist IS'!E13)*DCF!$D$53</f>
        <v>1190.2956208516109</v>
      </c>
      <c r="G53" s="452">
        <f>-(G12-F12)*$D$53</f>
        <v>1705.7829229244378</v>
      </c>
      <c r="H53" s="452">
        <f t="shared" ref="H53:O53" si="24">-(H12-G12)*$D$53</f>
        <v>3834.3998264595166</v>
      </c>
      <c r="I53" s="452">
        <f t="shared" si="24"/>
        <v>5259.6759170612504</v>
      </c>
      <c r="J53" s="452">
        <f t="shared" si="24"/>
        <v>6647.445105933487</v>
      </c>
      <c r="K53" s="452">
        <f t="shared" si="24"/>
        <v>7493.4835739613845</v>
      </c>
      <c r="L53" s="452">
        <f t="shared" si="24"/>
        <v>7868.1577526594556</v>
      </c>
      <c r="M53" s="452">
        <f t="shared" si="24"/>
        <v>6819.0700523048581</v>
      </c>
      <c r="N53" s="452">
        <f t="shared" si="24"/>
        <v>4091.442031382921</v>
      </c>
      <c r="O53" s="452">
        <f t="shared" si="24"/>
        <v>2250.2931172606091</v>
      </c>
    </row>
    <row r="54" spans="2:15" ht="14.85" customHeight="1">
      <c r="B54" s="269"/>
      <c r="C54" s="269"/>
      <c r="D54" s="269"/>
      <c r="E54" s="269"/>
      <c r="F54" s="519" t="s">
        <v>684</v>
      </c>
      <c r="G54" s="519"/>
      <c r="H54" s="519"/>
      <c r="I54" s="519"/>
      <c r="J54" s="269"/>
      <c r="K54" s="269"/>
      <c r="L54" s="269"/>
      <c r="M54" s="269"/>
      <c r="N54" s="269"/>
      <c r="O54" s="269"/>
    </row>
    <row r="55" spans="2:15" ht="14.85" customHeight="1">
      <c r="B55" s="255" t="s">
        <v>185</v>
      </c>
      <c r="F55" s="309" t="e">
        <f>SUM(F49:F53)</f>
        <v>#REF!</v>
      </c>
      <c r="G55" s="309" t="e">
        <f t="shared" ref="G55:O55" si="25">SUM(G49:G53)</f>
        <v>#REF!</v>
      </c>
      <c r="H55" s="309" t="e">
        <f t="shared" si="25"/>
        <v>#REF!</v>
      </c>
      <c r="I55" s="309" t="e">
        <f t="shared" si="25"/>
        <v>#REF!</v>
      </c>
      <c r="J55" s="309" t="e">
        <f t="shared" si="25"/>
        <v>#REF!</v>
      </c>
      <c r="K55" s="309" t="e">
        <f t="shared" si="25"/>
        <v>#REF!</v>
      </c>
      <c r="L55" s="309" t="e">
        <f t="shared" si="25"/>
        <v>#REF!</v>
      </c>
      <c r="M55" s="309" t="e">
        <f t="shared" si="25"/>
        <v>#REF!</v>
      </c>
      <c r="N55" s="309" t="e">
        <f t="shared" si="25"/>
        <v>#REF!</v>
      </c>
      <c r="O55" s="309" t="e">
        <f t="shared" si="25"/>
        <v>#REF!</v>
      </c>
    </row>
    <row r="56" spans="2:15" ht="14.85" customHeight="1"/>
    <row r="57" spans="2:15" ht="14.85" customHeight="1">
      <c r="B57" s="256" t="s">
        <v>188</v>
      </c>
      <c r="F57" s="520">
        <f>YEARFRAC('MASTER PubCo Inputs'!$C$6,DATE(F9,12,31),3)</f>
        <v>0.91506849315068495</v>
      </c>
      <c r="G57" s="324">
        <v>1</v>
      </c>
      <c r="H57" s="324">
        <v>1</v>
      </c>
      <c r="I57" s="324">
        <v>1</v>
      </c>
      <c r="J57" s="324">
        <v>1</v>
      </c>
      <c r="K57" s="324">
        <v>1</v>
      </c>
      <c r="L57" s="324">
        <v>1</v>
      </c>
      <c r="M57" s="324">
        <v>1</v>
      </c>
      <c r="N57" s="324">
        <v>1</v>
      </c>
      <c r="O57" s="324">
        <v>1</v>
      </c>
    </row>
    <row r="58" spans="2:15" ht="14.85" customHeight="1"/>
    <row r="59" spans="2:15" ht="14.85" customHeight="1">
      <c r="B59" s="255" t="s">
        <v>189</v>
      </c>
      <c r="F59" s="309" t="e">
        <f>F55*F57</f>
        <v>#REF!</v>
      </c>
      <c r="G59" s="309" t="e">
        <f t="shared" ref="G59:O59" si="26">G55*G57</f>
        <v>#REF!</v>
      </c>
      <c r="H59" s="309" t="e">
        <f t="shared" si="26"/>
        <v>#REF!</v>
      </c>
      <c r="I59" s="309" t="e">
        <f t="shared" si="26"/>
        <v>#REF!</v>
      </c>
      <c r="J59" s="309" t="e">
        <f t="shared" si="26"/>
        <v>#REF!</v>
      </c>
      <c r="K59" s="309" t="e">
        <f t="shared" si="26"/>
        <v>#REF!</v>
      </c>
      <c r="L59" s="309" t="e">
        <f t="shared" si="26"/>
        <v>#REF!</v>
      </c>
      <c r="M59" s="309" t="e">
        <f t="shared" si="26"/>
        <v>#REF!</v>
      </c>
      <c r="N59" s="309" t="e">
        <f t="shared" si="26"/>
        <v>#REF!</v>
      </c>
      <c r="O59" s="309" t="e">
        <f t="shared" si="26"/>
        <v>#REF!</v>
      </c>
    </row>
    <row r="60" spans="2:15" ht="14.85" customHeight="1"/>
    <row r="61" spans="2:15" ht="14.85" customHeight="1">
      <c r="B61" s="256" t="s">
        <v>186</v>
      </c>
      <c r="F61" s="324">
        <f>F57/2</f>
        <v>0.45753424657534247</v>
      </c>
      <c r="G61" s="324">
        <f>F61*2+0.5</f>
        <v>1.4150684931506849</v>
      </c>
      <c r="H61" s="324">
        <f>G61+1</f>
        <v>2.4150684931506849</v>
      </c>
      <c r="I61" s="324">
        <f t="shared" ref="I61:O61" si="27">H61+1</f>
        <v>3.4150684931506849</v>
      </c>
      <c r="J61" s="324">
        <f t="shared" si="27"/>
        <v>4.4150684931506845</v>
      </c>
      <c r="K61" s="324">
        <f t="shared" si="27"/>
        <v>5.4150684931506845</v>
      </c>
      <c r="L61" s="324">
        <f t="shared" si="27"/>
        <v>6.4150684931506845</v>
      </c>
      <c r="M61" s="324">
        <f t="shared" si="27"/>
        <v>7.4150684931506845</v>
      </c>
      <c r="N61" s="324">
        <f t="shared" si="27"/>
        <v>8.4150684931506845</v>
      </c>
      <c r="O61" s="324">
        <f t="shared" si="27"/>
        <v>9.4150684931506845</v>
      </c>
    </row>
    <row r="62" spans="2:15" ht="14.85" customHeight="1">
      <c r="B62" s="256" t="s">
        <v>187</v>
      </c>
      <c r="D62" s="518">
        <f>F69</f>
        <v>0.26</v>
      </c>
      <c r="F62" s="324">
        <f>1/(1+$D62)^F61</f>
        <v>0.89965715499698773</v>
      </c>
      <c r="G62" s="324">
        <f t="shared" ref="G62:O62" si="28">1/(1+$D62)^G61</f>
        <v>0.72105568279117094</v>
      </c>
      <c r="H62" s="324">
        <f t="shared" si="28"/>
        <v>0.57226641491362784</v>
      </c>
      <c r="I62" s="324">
        <f t="shared" si="28"/>
        <v>0.454179694375895</v>
      </c>
      <c r="J62" s="324">
        <f t="shared" si="28"/>
        <v>0.360460074901504</v>
      </c>
      <c r="K62" s="324">
        <f t="shared" si="28"/>
        <v>0.28607942452500318</v>
      </c>
      <c r="L62" s="324">
        <f t="shared" si="28"/>
        <v>0.22704716232143107</v>
      </c>
      <c r="M62" s="324">
        <f t="shared" si="28"/>
        <v>0.18019616057256438</v>
      </c>
      <c r="N62" s="324">
        <f t="shared" si="28"/>
        <v>0.14301282585124156</v>
      </c>
      <c r="O62" s="324">
        <f t="shared" si="28"/>
        <v>0.11350224273908061</v>
      </c>
    </row>
    <row r="63" spans="2:15" ht="14.85" customHeight="1"/>
    <row r="64" spans="2:15" ht="14.85" customHeight="1">
      <c r="B64" s="521" t="s">
        <v>190</v>
      </c>
      <c r="C64" s="522"/>
      <c r="D64" s="522"/>
      <c r="E64" s="522"/>
      <c r="F64" s="523" t="e">
        <f>F59*F62</f>
        <v>#REF!</v>
      </c>
      <c r="G64" s="523" t="e">
        <f t="shared" ref="G64:O64" si="29">G59*G62</f>
        <v>#REF!</v>
      </c>
      <c r="H64" s="523" t="e">
        <f t="shared" si="29"/>
        <v>#REF!</v>
      </c>
      <c r="I64" s="523" t="e">
        <f t="shared" si="29"/>
        <v>#REF!</v>
      </c>
      <c r="J64" s="523" t="e">
        <f t="shared" si="29"/>
        <v>#REF!</v>
      </c>
      <c r="K64" s="523" t="e">
        <f t="shared" si="29"/>
        <v>#REF!</v>
      </c>
      <c r="L64" s="523" t="e">
        <f t="shared" si="29"/>
        <v>#REF!</v>
      </c>
      <c r="M64" s="523" t="e">
        <f t="shared" si="29"/>
        <v>#REF!</v>
      </c>
      <c r="N64" s="523" t="e">
        <f t="shared" si="29"/>
        <v>#REF!</v>
      </c>
      <c r="O64" s="523" t="e">
        <f t="shared" si="29"/>
        <v>#REF!</v>
      </c>
    </row>
    <row r="65" spans="2:17" ht="14.85" customHeight="1">
      <c r="M65" s="318" t="str">
        <f>IF(M67=F68,"",CHECK)</f>
        <v/>
      </c>
    </row>
    <row r="66" spans="2:17" ht="14.85" customHeight="1">
      <c r="B66" s="524" t="s">
        <v>192</v>
      </c>
      <c r="C66" s="525"/>
      <c r="D66" s="525"/>
      <c r="E66" s="525"/>
      <c r="F66" s="526"/>
      <c r="H66" s="527">
        <v>0.01</v>
      </c>
      <c r="K66" s="528" t="s">
        <v>193</v>
      </c>
      <c r="L66" s="528"/>
      <c r="M66" s="528"/>
      <c r="N66" s="528"/>
      <c r="O66" s="528"/>
    </row>
    <row r="67" spans="2:17" ht="14.85" customHeight="1">
      <c r="B67" s="529" t="s">
        <v>194</v>
      </c>
      <c r="C67" s="530"/>
      <c r="D67" s="530"/>
      <c r="E67" s="530"/>
      <c r="F67" s="531" t="e">
        <f>O59</f>
        <v>#REF!</v>
      </c>
      <c r="H67" s="527">
        <v>5.0000000000000001E-3</v>
      </c>
      <c r="J67" s="532" t="e">
        <f>F79</f>
        <v>#REF!</v>
      </c>
      <c r="K67" s="533">
        <f>L67-$H$67</f>
        <v>4.0000000000000008E-2</v>
      </c>
      <c r="L67" s="534">
        <f>M67-$H$67</f>
        <v>4.5000000000000005E-2</v>
      </c>
      <c r="M67" s="535">
        <v>0.05</v>
      </c>
      <c r="N67" s="534">
        <f>M67+$H$67</f>
        <v>5.5E-2</v>
      </c>
      <c r="O67" s="536">
        <f>N67+$H$67</f>
        <v>0.06</v>
      </c>
      <c r="Q67" s="234" t="str">
        <f>IF(O15=M67,"","CHECK")</f>
        <v/>
      </c>
    </row>
    <row r="68" spans="2:17" ht="14.85" customHeight="1">
      <c r="B68" s="529" t="s">
        <v>193</v>
      </c>
      <c r="C68" s="530"/>
      <c r="D68" s="530"/>
      <c r="E68" s="530"/>
      <c r="F68" s="537">
        <f>M67</f>
        <v>0.05</v>
      </c>
      <c r="G68" s="538" t="str">
        <f>IF(F68=M67,"","CHECK")</f>
        <v/>
      </c>
      <c r="H68" s="2239" t="s">
        <v>191</v>
      </c>
      <c r="J68" s="539">
        <f>J69-$H$66</f>
        <v>0.18999999999999997</v>
      </c>
      <c r="K68" s="540" t="e">
        <f t="dataTable" ref="K68:O72" dt2D="1" dtr="1" r1="F68" r2="F69"/>
        <v>#REF!</v>
      </c>
      <c r="L68" s="541" t="e">
        <v>#REF!</v>
      </c>
      <c r="M68" s="541" t="e">
        <v>#REF!</v>
      </c>
      <c r="N68" s="541" t="e">
        <v>#REF!</v>
      </c>
      <c r="O68" s="542" t="e">
        <v>#REF!</v>
      </c>
    </row>
    <row r="69" spans="2:17" ht="14.85" customHeight="1">
      <c r="B69" s="529" t="s">
        <v>197</v>
      </c>
      <c r="C69" s="530"/>
      <c r="D69" s="530"/>
      <c r="E69" s="530"/>
      <c r="F69" s="543">
        <f>'WACC CAPM'!H14</f>
        <v>0.26</v>
      </c>
      <c r="G69" s="538" t="str">
        <f>IF(F69=J70,"","CHECK")</f>
        <v>CHECK</v>
      </c>
      <c r="H69" s="2239"/>
      <c r="J69" s="544">
        <f>J70-$H$66</f>
        <v>0.19999999999999998</v>
      </c>
      <c r="K69" s="545" t="e">
        <v>#REF!</v>
      </c>
      <c r="L69" s="540" t="e">
        <v>#REF!</v>
      </c>
      <c r="M69" s="541" t="e">
        <v>#REF!</v>
      </c>
      <c r="N69" s="542" t="e">
        <v>#REF!</v>
      </c>
      <c r="O69" s="546" t="e">
        <v>#REF!</v>
      </c>
    </row>
    <row r="70" spans="2:17" ht="14.85" customHeight="1">
      <c r="B70" s="529" t="s">
        <v>195</v>
      </c>
      <c r="C70" s="530"/>
      <c r="D70" s="530"/>
      <c r="E70" s="530"/>
      <c r="F70" s="547">
        <f>(1+F68)/(F69-F68)</f>
        <v>5</v>
      </c>
      <c r="G70" s="516" t="s">
        <v>290</v>
      </c>
      <c r="H70" s="2239"/>
      <c r="I70" s="318" t="e">
        <f>IF(J70=F69,"",CHECK)</f>
        <v>#NAME?</v>
      </c>
      <c r="J70" s="548">
        <v>0.21</v>
      </c>
      <c r="K70" s="545" t="e">
        <v>#REF!</v>
      </c>
      <c r="L70" s="545" t="e">
        <v>#REF!</v>
      </c>
      <c r="M70" s="259" t="e">
        <v>#REF!</v>
      </c>
      <c r="N70" s="546" t="e">
        <v>#REF!</v>
      </c>
      <c r="O70" s="546" t="e">
        <v>#REF!</v>
      </c>
    </row>
    <row r="71" spans="2:17" ht="14.85" customHeight="1">
      <c r="B71" s="529" t="s">
        <v>196</v>
      </c>
      <c r="C71" s="530"/>
      <c r="D71" s="549"/>
      <c r="E71" s="530"/>
      <c r="F71" s="531" t="e">
        <f>F67*F70</f>
        <v>#REF!</v>
      </c>
      <c r="H71" s="2239"/>
      <c r="J71" s="544">
        <f>J70+$H$66</f>
        <v>0.22</v>
      </c>
      <c r="K71" s="545" t="e">
        <v>#REF!</v>
      </c>
      <c r="L71" s="550" t="e">
        <v>#REF!</v>
      </c>
      <c r="M71" s="551" t="e">
        <v>#REF!</v>
      </c>
      <c r="N71" s="552" t="e">
        <v>#REF!</v>
      </c>
      <c r="O71" s="546" t="e">
        <v>#REF!</v>
      </c>
    </row>
    <row r="72" spans="2:17" ht="14.85" customHeight="1">
      <c r="B72" s="529" t="s">
        <v>198</v>
      </c>
      <c r="C72" s="530"/>
      <c r="D72" s="530"/>
      <c r="E72" s="530"/>
      <c r="F72" s="553">
        <f>O62</f>
        <v>0.11350224273908061</v>
      </c>
      <c r="H72" s="2239"/>
      <c r="J72" s="554">
        <f>J71+$H$66</f>
        <v>0.23</v>
      </c>
      <c r="K72" s="550" t="e">
        <v>#REF!</v>
      </c>
      <c r="L72" s="551" t="e">
        <v>#REF!</v>
      </c>
      <c r="M72" s="551" t="e">
        <v>#REF!</v>
      </c>
      <c r="N72" s="551" t="e">
        <v>#REF!</v>
      </c>
      <c r="O72" s="552" t="e">
        <v>#REF!</v>
      </c>
    </row>
    <row r="73" spans="2:17" ht="14.85" customHeight="1">
      <c r="B73" s="555" t="s">
        <v>199</v>
      </c>
      <c r="C73" s="556"/>
      <c r="D73" s="556"/>
      <c r="E73" s="556"/>
      <c r="F73" s="557" t="e">
        <f>F71*F72</f>
        <v>#REF!</v>
      </c>
    </row>
    <row r="74" spans="2:17" ht="14.85" customHeight="1">
      <c r="H74" s="558" t="s">
        <v>204</v>
      </c>
      <c r="I74" s="559"/>
      <c r="J74" s="559"/>
      <c r="K74" s="560" t="s">
        <v>112</v>
      </c>
      <c r="L74" s="561"/>
      <c r="M74" s="560" t="s">
        <v>111</v>
      </c>
      <c r="N74" s="559"/>
      <c r="O74" s="562" t="s">
        <v>320</v>
      </c>
    </row>
    <row r="75" spans="2:17" ht="14.85" customHeight="1">
      <c r="B75" s="563" t="s">
        <v>201</v>
      </c>
      <c r="C75" s="525"/>
      <c r="D75" s="525"/>
      <c r="E75" s="525"/>
      <c r="F75" s="564"/>
      <c r="H75" s="555" t="s">
        <v>203</v>
      </c>
      <c r="I75" s="556"/>
      <c r="J75" s="556"/>
      <c r="K75" s="565" t="e">
        <f>ROUND(MIN(L69:N71),-1)</f>
        <v>#REF!</v>
      </c>
      <c r="L75" s="556"/>
      <c r="M75" s="565" t="e">
        <f>ROUND(MAX(L69:N71),-1)</f>
        <v>#REF!</v>
      </c>
      <c r="N75" s="556"/>
      <c r="O75" s="557" t="e">
        <f>ROUND(AVERAGE(K75:M75),-1)</f>
        <v>#REF!</v>
      </c>
      <c r="Q75" s="526"/>
    </row>
    <row r="76" spans="2:17" ht="14.85" customHeight="1">
      <c r="B76" s="529" t="s">
        <v>200</v>
      </c>
      <c r="C76" s="530"/>
      <c r="D76" s="530"/>
      <c r="E76" s="530"/>
      <c r="F76" s="531" t="e">
        <f>SUM(F64:O64)</f>
        <v>#REF!</v>
      </c>
      <c r="Q76" s="566" t="e">
        <f>F76/$F$79</f>
        <v>#REF!</v>
      </c>
    </row>
    <row r="77" spans="2:17" ht="14.85" customHeight="1">
      <c r="B77" s="529" t="s">
        <v>196</v>
      </c>
      <c r="C77" s="530"/>
      <c r="D77" s="530"/>
      <c r="E77" s="530"/>
      <c r="F77" s="531" t="e">
        <f>F73</f>
        <v>#REF!</v>
      </c>
      <c r="Q77" s="566" t="e">
        <f>F77/$F$79</f>
        <v>#REF!</v>
      </c>
    </row>
    <row r="78" spans="2:17" ht="14.85" customHeight="1">
      <c r="B78" s="567"/>
      <c r="C78" s="530"/>
      <c r="D78" s="530"/>
      <c r="E78" s="530"/>
      <c r="F78" s="568"/>
      <c r="Q78" s="568"/>
    </row>
    <row r="79" spans="2:17" ht="14.85" customHeight="1">
      <c r="B79" s="569" t="s">
        <v>725</v>
      </c>
      <c r="C79" s="570"/>
      <c r="D79" s="570"/>
      <c r="E79" s="570"/>
      <c r="F79" s="571" t="e">
        <f>SUM(F76:F77)</f>
        <v>#REF!</v>
      </c>
      <c r="Q79" s="572" t="e">
        <f>SUM(Q76:Q77)</f>
        <v>#REF!</v>
      </c>
    </row>
    <row r="80" spans="2:17" ht="14.85" customHeight="1"/>
    <row r="81" spans="1:19" ht="14.85" customHeight="1">
      <c r="B81" s="404" t="s">
        <v>86</v>
      </c>
      <c r="J81" s="573"/>
    </row>
    <row r="82" spans="1:19" ht="14.85" customHeight="1">
      <c r="A82" s="574" t="s">
        <v>250</v>
      </c>
      <c r="B82" s="281" t="s">
        <v>940</v>
      </c>
    </row>
    <row r="83" spans="1:19" ht="14.85" customHeight="1">
      <c r="A83" s="574" t="s">
        <v>249</v>
      </c>
      <c r="B83" s="281" t="s">
        <v>941</v>
      </c>
    </row>
    <row r="84" spans="1:19" ht="14.85" customHeight="1">
      <c r="A84" s="574" t="s">
        <v>288</v>
      </c>
      <c r="B84" s="281" t="s">
        <v>942</v>
      </c>
      <c r="C84" s="282"/>
      <c r="D84" s="282"/>
      <c r="E84" s="282"/>
      <c r="F84" s="282"/>
      <c r="G84" s="282"/>
      <c r="H84" s="282"/>
      <c r="I84" s="282"/>
      <c r="J84" s="282"/>
    </row>
    <row r="85" spans="1:19" ht="14.85" customHeight="1">
      <c r="A85" s="574" t="s">
        <v>289</v>
      </c>
      <c r="B85" s="281" t="s">
        <v>943</v>
      </c>
    </row>
    <row r="86" spans="1:19" ht="14.85" customHeight="1">
      <c r="B86" s="281" t="s">
        <v>845</v>
      </c>
    </row>
    <row r="87" spans="1:19" ht="14.85" customHeight="1">
      <c r="A87" s="574" t="s">
        <v>290</v>
      </c>
      <c r="B87" s="281" t="s">
        <v>944</v>
      </c>
    </row>
    <row r="88" spans="1:19" ht="14.85" customHeight="1"/>
    <row r="89" spans="1:19" ht="14.85" customHeight="1"/>
    <row r="90" spans="1:19" ht="14.85" customHeight="1">
      <c r="B90" s="363" t="s">
        <v>1759</v>
      </c>
      <c r="D90" s="575">
        <v>5</v>
      </c>
    </row>
    <row r="91" spans="1:19" ht="14.85" customHeight="1"/>
    <row r="92" spans="1:19" ht="14.85" customHeight="1"/>
    <row r="93" spans="1:19" ht="14.85" customHeight="1">
      <c r="D93" s="576" t="s">
        <v>677</v>
      </c>
      <c r="E93" s="577"/>
      <c r="F93" s="578">
        <f>F9</f>
        <v>2019</v>
      </c>
      <c r="G93" s="578">
        <f t="shared" ref="G93:O93" si="30">G9</f>
        <v>2020</v>
      </c>
      <c r="H93" s="578">
        <f t="shared" si="30"/>
        <v>2021</v>
      </c>
      <c r="I93" s="578">
        <f t="shared" si="30"/>
        <v>2022</v>
      </c>
      <c r="J93" s="578">
        <f t="shared" si="30"/>
        <v>2023</v>
      </c>
      <c r="K93" s="578">
        <f t="shared" si="30"/>
        <v>2024</v>
      </c>
      <c r="L93" s="578">
        <f t="shared" si="30"/>
        <v>2025</v>
      </c>
      <c r="M93" s="578">
        <f t="shared" si="30"/>
        <v>2026</v>
      </c>
      <c r="N93" s="578">
        <f t="shared" si="30"/>
        <v>2027</v>
      </c>
      <c r="O93" s="578">
        <f t="shared" si="30"/>
        <v>2028</v>
      </c>
      <c r="P93" s="255"/>
      <c r="S93" s="234" t="s">
        <v>1812</v>
      </c>
    </row>
    <row r="94" spans="1:19" ht="14.85" customHeight="1">
      <c r="B94" s="363" t="s">
        <v>1760</v>
      </c>
      <c r="D94" s="579" t="e">
        <f>'Hist BS'!#REF!</f>
        <v>#REF!</v>
      </c>
      <c r="E94" s="245"/>
      <c r="F94" s="580" t="e">
        <f>IF(COUNT(F$92:$F93)&gt;$D$90,0,$D$94/$D$90)</f>
        <v>#REF!</v>
      </c>
      <c r="G94" s="580" t="e">
        <f>IF(COUNT($F$92:G93)&gt;$D$90,0,$D$94/$D$90)</f>
        <v>#REF!</v>
      </c>
      <c r="H94" s="580" t="e">
        <f>IF(COUNT($F$92:H93)&gt;$D$90,0,$D$94/$D$90)</f>
        <v>#REF!</v>
      </c>
      <c r="I94" s="580" t="e">
        <f>IF(COUNT($F$92:I93)&gt;$D$90,0,$D$94/$D$90)</f>
        <v>#REF!</v>
      </c>
      <c r="J94" s="580" t="e">
        <f>IF(COUNT($F$92:J93)&gt;$D$90,0,$D$94/$D$90)</f>
        <v>#REF!</v>
      </c>
      <c r="K94" s="581">
        <f>IF(COUNT($F$92:K93)&gt;$D$90,0,$D$94/$D$90)</f>
        <v>0</v>
      </c>
      <c r="L94" s="581">
        <f>IF(COUNT($F$92:L93)&gt;$D$90,0,$D$94/$D$90)</f>
        <v>0</v>
      </c>
      <c r="M94" s="581">
        <f>IF(COUNT($F$92:M93)&gt;$D$90,0,$D$94/$D$90)</f>
        <v>0</v>
      </c>
      <c r="N94" s="581">
        <f>IF(COUNT($F$92:N93)&gt;$D$90,0,$D$94/$D$90)</f>
        <v>0</v>
      </c>
      <c r="O94" s="581">
        <f>IF(COUNT($F$92:O93)&gt;$D$90,0,$D$94/$D$90)</f>
        <v>0</v>
      </c>
      <c r="P94" s="255"/>
      <c r="S94" s="234" t="s">
        <v>1813</v>
      </c>
    </row>
    <row r="95" spans="1:19" ht="14.85" customHeight="1">
      <c r="B95" s="363"/>
    </row>
    <row r="96" spans="1:19" ht="14.85" customHeight="1">
      <c r="B96" s="234">
        <f t="array" ref="B96:B105">TRANSPOSE(F9:O9)</f>
        <v>2019</v>
      </c>
      <c r="D96" s="582">
        <f t="array" ref="D96:D105">TRANSPOSE(F51:O51)</f>
        <v>712.75763688760799</v>
      </c>
      <c r="F96" s="581">
        <f>IF($B96&gt;F$93,0,IF(SUM($D96-SUM($E96:E96))&lt;=0,0,$D96/$D$90))</f>
        <v>142.55152737752161</v>
      </c>
      <c r="G96" s="581">
        <f>IF($B96&gt;G$93,0,IF(SUM($D96-SUM($E96:F96))&lt;=0,0,$D96/$D$90))</f>
        <v>142.55152737752161</v>
      </c>
      <c r="H96" s="581">
        <f>IF($B96&gt;H$93,0,IF(SUM($D96-SUM($E96:G96))&lt;=0,0,$D96/$D$90))</f>
        <v>142.55152737752161</v>
      </c>
      <c r="I96" s="581">
        <f>IF($B96&gt;I$93,0,IF(SUM($D96-SUM($E96:H96))&lt;=0,0,$D96/$D$90))</f>
        <v>142.55152737752161</v>
      </c>
      <c r="J96" s="581">
        <f>IF($B96&gt;J$93,0,IF(SUM($D96-SUM($E96:I96))&lt;=0,0,$D96/$D$90))</f>
        <v>142.55152737752161</v>
      </c>
      <c r="K96" s="581">
        <f>IF($B96&gt;K$93,0,IF(SUM($D96-SUM($E96:J96))&lt;=0,0,$D96/$D$90))</f>
        <v>0</v>
      </c>
      <c r="L96" s="581">
        <f>IF($B96&gt;L$93,0,IF(SUM($D96-SUM($E96:K96))&lt;=0,0,$D96/$D$90))</f>
        <v>0</v>
      </c>
      <c r="M96" s="581">
        <f>IF($B96&gt;M$93,0,IF(SUM($D96-SUM($E96:L96))&lt;=0,0,$D96/$D$90))</f>
        <v>0</v>
      </c>
      <c r="N96" s="581">
        <f>IF($B96&gt;N$93,0,IF(SUM($D96-SUM($E96:M96))&lt;=0,0,$D96/$D$90))</f>
        <v>0</v>
      </c>
      <c r="O96" s="581">
        <f>IF($B96&gt;O$93,0,IF(SUM($D96-SUM($E96:N96))&lt;=0,0,$D96/$D$90))</f>
        <v>0</v>
      </c>
    </row>
    <row r="97" spans="2:15" ht="14.85" customHeight="1">
      <c r="B97" s="234">
        <v>2020</v>
      </c>
      <c r="D97" s="582">
        <v>1657.8796253602302</v>
      </c>
      <c r="F97" s="581">
        <f>IF($B97&gt;F$93,0,IF(SUM($D97-SUM($E97:E97))&lt;=0,0,$D97/$D$90))</f>
        <v>0</v>
      </c>
      <c r="G97" s="581">
        <f>IF($B97&gt;G$93,0,IF(SUM($D97-SUM($E97:F97))&lt;=0,0,$D97/$D$90))</f>
        <v>331.57592507204606</v>
      </c>
      <c r="H97" s="581">
        <f>IF($B97&gt;H$93,0,IF(SUM($D97-SUM($E97:G97))&lt;=0,0,$D97/$D$90))</f>
        <v>331.57592507204606</v>
      </c>
      <c r="I97" s="581">
        <f>IF($B97&gt;I$93,0,IF(SUM($D97-SUM($E97:H97))&lt;=0,0,$D97/$D$90))</f>
        <v>331.57592507204606</v>
      </c>
      <c r="J97" s="581">
        <f>IF($B97&gt;J$93,0,IF(SUM($D97-SUM($E97:I97))&lt;=0,0,$D97/$D$90))</f>
        <v>331.57592507204606</v>
      </c>
      <c r="K97" s="581">
        <f>IF($B97&gt;K$93,0,IF(SUM($D97-SUM($E97:J97))&lt;=0,0,$D97/$D$90))</f>
        <v>331.57592507204606</v>
      </c>
      <c r="L97" s="581">
        <f>IF($B97&gt;L$93,0,IF(SUM($D97-SUM($E97:K97))&lt;=0,0,$D97/$D$90))</f>
        <v>0</v>
      </c>
      <c r="M97" s="581">
        <f>IF($B97&gt;M$93,0,IF(SUM($D97-SUM($E97:L97))&lt;=0,0,$D97/$D$90))</f>
        <v>0</v>
      </c>
      <c r="N97" s="581">
        <f>IF($B97&gt;N$93,0,IF(SUM($D97-SUM($E97:M97))&lt;=0,0,$D97/$D$90))</f>
        <v>0</v>
      </c>
      <c r="O97" s="581">
        <f>IF($B97&gt;O$93,0,IF(SUM($D97-SUM($E97:N97))&lt;=0,0,$D97/$D$90))</f>
        <v>0</v>
      </c>
    </row>
    <row r="98" spans="2:15" ht="14.85" customHeight="1">
      <c r="B98" s="234">
        <v>2021</v>
      </c>
      <c r="D98" s="582">
        <v>3782.4029394812674</v>
      </c>
      <c r="F98" s="581">
        <f>IF($B98&gt;F$93,0,IF(SUM($D98-SUM($E98:E98))&lt;=0,0,$D98/$D$90))</f>
        <v>0</v>
      </c>
      <c r="G98" s="581">
        <f>IF($B98&gt;G$93,0,IF(SUM($D98-SUM($E98:F98))&lt;=0,0,$D98/$D$90))</f>
        <v>0</v>
      </c>
      <c r="H98" s="581">
        <f>IF($B98&gt;H$93,0,IF(SUM($D98-SUM($E98:G98))&lt;=0,0,$D98/$D$90))</f>
        <v>756.4805878962535</v>
      </c>
      <c r="I98" s="581">
        <f>IF($B98&gt;I$93,0,IF(SUM($D98-SUM($E98:H98))&lt;=0,0,$D98/$D$90))</f>
        <v>756.4805878962535</v>
      </c>
      <c r="J98" s="581">
        <f>IF($B98&gt;J$93,0,IF(SUM($D98-SUM($E98:I98))&lt;=0,0,$D98/$D$90))</f>
        <v>756.4805878962535</v>
      </c>
      <c r="K98" s="581">
        <f>IF($B98&gt;K$93,0,IF(SUM($D98-SUM($E98:J98))&lt;=0,0,$D98/$D$90))</f>
        <v>756.4805878962535</v>
      </c>
      <c r="L98" s="581">
        <f>IF($B98&gt;L$93,0,IF(SUM($D98-SUM($E98:K98))&lt;=0,0,$D98/$D$90))</f>
        <v>756.4805878962535</v>
      </c>
      <c r="M98" s="581">
        <f>IF($B98&gt;M$93,0,IF(SUM($D98-SUM($E98:L98))&lt;=0,0,$D98/$D$90))</f>
        <v>0</v>
      </c>
      <c r="N98" s="581">
        <f>IF($B98&gt;N$93,0,IF(SUM($D98-SUM($E98:M98))&lt;=0,0,$D98/$D$90))</f>
        <v>0</v>
      </c>
      <c r="O98" s="581">
        <f>IF($B98&gt;O$93,0,IF(SUM($D98-SUM($E98:N98))&lt;=0,0,$D98/$D$90))</f>
        <v>0</v>
      </c>
    </row>
    <row r="99" spans="2:15" ht="14.85" customHeight="1">
      <c r="B99" s="234">
        <v>2022</v>
      </c>
      <c r="D99" s="582">
        <v>6696.6280115273767</v>
      </c>
      <c r="F99" s="581">
        <f>IF($B99&gt;F$93,0,IF(SUM($D99-SUM($E99:E99))&lt;=0,0,$D99/$D$90))</f>
        <v>0</v>
      </c>
      <c r="G99" s="581">
        <f>IF($B99&gt;G$93,0,IF(SUM($D99-SUM($E99:F99))&lt;=0,0,$D99/$D$90))</f>
        <v>0</v>
      </c>
      <c r="H99" s="581">
        <f>IF($B99&gt;H$93,0,IF(SUM($D99-SUM($E99:G99))&lt;=0,0,$D99/$D$90))</f>
        <v>0</v>
      </c>
      <c r="I99" s="581">
        <f>IF($B99&gt;I$93,0,IF(SUM($D99-SUM($E99:H99))&lt;=0,0,$D99/$D$90))</f>
        <v>1339.3256023054753</v>
      </c>
      <c r="J99" s="581">
        <f>IF($B99&gt;J$93,0,IF(SUM($D99-SUM($E99:I99))&lt;=0,0,$D99/$D$90))</f>
        <v>1339.3256023054753</v>
      </c>
      <c r="K99" s="581">
        <f>IF($B99&gt;K$93,0,IF(SUM($D99-SUM($E99:J99))&lt;=0,0,$D99/$D$90))</f>
        <v>1339.3256023054753</v>
      </c>
      <c r="L99" s="581">
        <f>IF($B99&gt;L$93,0,IF(SUM($D99-SUM($E99:K99))&lt;=0,0,$D99/$D$90))</f>
        <v>1339.3256023054753</v>
      </c>
      <c r="M99" s="581">
        <f>IF($B99&gt;M$93,0,IF(SUM($D99-SUM($E99:L99))&lt;=0,0,$D99/$D$90))</f>
        <v>1339.3256023054753</v>
      </c>
      <c r="N99" s="581">
        <f>IF($B99&gt;N$93,0,IF(SUM($D99-SUM($E99:M99))&lt;=0,0,$D99/$D$90))</f>
        <v>0</v>
      </c>
      <c r="O99" s="581">
        <f>IF($B99&gt;O$93,0,IF(SUM($D99-SUM($E99:N99))&lt;=0,0,$D99/$D$90))</f>
        <v>0</v>
      </c>
    </row>
    <row r="100" spans="2:15" ht="14.85" customHeight="1">
      <c r="B100" s="234">
        <v>2023</v>
      </c>
      <c r="D100" s="582">
        <v>10379.773417867433</v>
      </c>
      <c r="F100" s="581">
        <f>IF($B100&gt;F$93,0,IF(SUM($D100-SUM($E100:E100))&lt;=0,0,$D100/$D$90))</f>
        <v>0</v>
      </c>
      <c r="G100" s="581">
        <f>IF($B100&gt;G$93,0,IF(SUM($D100-SUM($E100:F100))&lt;=0,0,$D100/$D$90))</f>
        <v>0</v>
      </c>
      <c r="H100" s="581">
        <f>IF($B100&gt;H$93,0,IF(SUM($D100-SUM($E100:G100))&lt;=0,0,$D100/$D$90))</f>
        <v>0</v>
      </c>
      <c r="I100" s="581">
        <f>IF($B100&gt;I$93,0,IF(SUM($D100-SUM($E100:H100))&lt;=0,0,$D100/$D$90))</f>
        <v>0</v>
      </c>
      <c r="J100" s="581">
        <f>IF($B100&gt;J$93,0,IF(SUM($D100-SUM($E100:I100))&lt;=0,0,$D100/$D$90))</f>
        <v>2075.9546835734864</v>
      </c>
      <c r="K100" s="581">
        <f>IF($B100&gt;K$93,0,IF(SUM($D100-SUM($E100:J100))&lt;=0,0,$D100/$D$90))</f>
        <v>2075.9546835734864</v>
      </c>
      <c r="L100" s="581">
        <f>IF($B100&gt;L$93,0,IF(SUM($D100-SUM($E100:K100))&lt;=0,0,$D100/$D$90))</f>
        <v>2075.9546835734864</v>
      </c>
      <c r="M100" s="581">
        <f>IF($B100&gt;M$93,0,IF(SUM($D100-SUM($E100:L100))&lt;=0,0,$D100/$D$90))</f>
        <v>2075.9546835734864</v>
      </c>
      <c r="N100" s="581">
        <f>IF($B100&gt;N$93,0,IF(SUM($D100-SUM($E100:M100))&lt;=0,0,$D100/$D$90))</f>
        <v>2075.9546835734864</v>
      </c>
      <c r="O100" s="581">
        <f>IF($B100&gt;O$93,0,IF(SUM($D100-SUM($E100:N100))&lt;=0,0,$D100/$D$90))</f>
        <v>0</v>
      </c>
    </row>
    <row r="101" spans="2:15" ht="14.85" customHeight="1">
      <c r="B101" s="234">
        <v>2024</v>
      </c>
      <c r="D101" s="582">
        <v>14531.682785014405</v>
      </c>
      <c r="F101" s="581">
        <f>IF($B101&gt;F$93,0,IF(SUM($D101-SUM($E101:E101))&lt;=0,0,$D101/$D$90))</f>
        <v>0</v>
      </c>
      <c r="G101" s="581">
        <f>IF($B101&gt;G$93,0,IF(SUM($D101-SUM($E101:F101))&lt;=0,0,$D101/$D$90))</f>
        <v>0</v>
      </c>
      <c r="H101" s="581">
        <f>IF($B101&gt;H$93,0,IF(SUM($D101-SUM($E101:G101))&lt;=0,0,$D101/$D$90))</f>
        <v>0</v>
      </c>
      <c r="I101" s="581">
        <f>IF($B101&gt;I$93,0,IF(SUM($D101-SUM($E101:H101))&lt;=0,0,$D101/$D$90))</f>
        <v>0</v>
      </c>
      <c r="J101" s="581">
        <f>IF($B101&gt;J$93,0,IF(SUM($D101-SUM($E101:I101))&lt;=0,0,$D101/$D$90))</f>
        <v>0</v>
      </c>
      <c r="K101" s="581">
        <f>IF($B101&gt;K$93,0,IF(SUM($D101-SUM($E101:J101))&lt;=0,0,$D101/$D$90))</f>
        <v>2906.3365570028809</v>
      </c>
      <c r="L101" s="581">
        <f>IF($B101&gt;L$93,0,IF(SUM($D101-SUM($E101:K101))&lt;=0,0,$D101/$D$90))</f>
        <v>2906.3365570028809</v>
      </c>
      <c r="M101" s="581">
        <f>IF($B101&gt;M$93,0,IF(SUM($D101-SUM($E101:L101))&lt;=0,0,$D101/$D$90))</f>
        <v>2906.3365570028809</v>
      </c>
      <c r="N101" s="581">
        <f>IF($B101&gt;N$93,0,IF(SUM($D101-SUM($E101:M101))&lt;=0,0,$D101/$D$90))</f>
        <v>2906.3365570028809</v>
      </c>
      <c r="O101" s="581">
        <f>IF($B101&gt;O$93,0,IF(SUM($D101-SUM($E101:N101))&lt;=0,0,$D101/$D$90))</f>
        <v>2906.3365570028809</v>
      </c>
    </row>
    <row r="102" spans="2:15" ht="14.85" customHeight="1">
      <c r="B102" s="234">
        <v>2025</v>
      </c>
      <c r="D102" s="582">
        <v>18891.187620518729</v>
      </c>
      <c r="F102" s="581">
        <f>IF($B102&gt;F$93,0,IF(SUM($D102-SUM($E102:E102))&lt;=0,0,$D102/$D$90))</f>
        <v>0</v>
      </c>
      <c r="G102" s="581">
        <f>IF($B102&gt;G$93,0,IF(SUM($D102-SUM($E102:F102))&lt;=0,0,$D102/$D$90))</f>
        <v>0</v>
      </c>
      <c r="H102" s="581">
        <f>IF($B102&gt;H$93,0,IF(SUM($D102-SUM($E102:G102))&lt;=0,0,$D102/$D$90))</f>
        <v>0</v>
      </c>
      <c r="I102" s="581">
        <f>IF($B102&gt;I$93,0,IF(SUM($D102-SUM($E102:H102))&lt;=0,0,$D102/$D$90))</f>
        <v>0</v>
      </c>
      <c r="J102" s="581">
        <f>IF($B102&gt;J$93,0,IF(SUM($D102-SUM($E102:I102))&lt;=0,0,$D102/$D$90))</f>
        <v>0</v>
      </c>
      <c r="K102" s="581">
        <f>IF($B102&gt;K$93,0,IF(SUM($D102-SUM($E102:J102))&lt;=0,0,$D102/$D$90))</f>
        <v>0</v>
      </c>
      <c r="L102" s="581">
        <f>IF($B102&gt;L$93,0,IF(SUM($D102-SUM($E102:K102))&lt;=0,0,$D102/$D$90))</f>
        <v>3778.2375241037457</v>
      </c>
      <c r="M102" s="581">
        <f>IF($B102&gt;M$93,0,IF(SUM($D102-SUM($E102:L102))&lt;=0,0,$D102/$D$90))</f>
        <v>3778.2375241037457</v>
      </c>
      <c r="N102" s="581">
        <f>IF($B102&gt;N$93,0,IF(SUM($D102-SUM($E102:M102))&lt;=0,0,$D102/$D$90))</f>
        <v>3778.2375241037457</v>
      </c>
      <c r="O102" s="581">
        <f>IF($B102&gt;O$93,0,IF(SUM($D102-SUM($E102:N102))&lt;=0,0,$D102/$D$90))</f>
        <v>3778.2375241037457</v>
      </c>
    </row>
    <row r="103" spans="2:15" ht="14.85" customHeight="1">
      <c r="B103" s="234">
        <v>2026</v>
      </c>
      <c r="D103" s="582">
        <v>22669.425144622473</v>
      </c>
      <c r="F103" s="581">
        <f>IF($B103&gt;F$93,0,IF(SUM($D103-SUM($E103:E103))&lt;=0,0,$D103/$D$90))</f>
        <v>0</v>
      </c>
      <c r="G103" s="581">
        <f>IF($B103&gt;G$93,0,IF(SUM($D103-SUM($E103:F103))&lt;=0,0,$D103/$D$90))</f>
        <v>0</v>
      </c>
      <c r="H103" s="581">
        <f>IF($B103&gt;H$93,0,IF(SUM($D103-SUM($E103:G103))&lt;=0,0,$D103/$D$90))</f>
        <v>0</v>
      </c>
      <c r="I103" s="581">
        <f>IF($B103&gt;I$93,0,IF(SUM($D103-SUM($E103:H103))&lt;=0,0,$D103/$D$90))</f>
        <v>0</v>
      </c>
      <c r="J103" s="581">
        <f>IF($B103&gt;J$93,0,IF(SUM($D103-SUM($E103:I103))&lt;=0,0,$D103/$D$90))</f>
        <v>0</v>
      </c>
      <c r="K103" s="581">
        <f>IF($B103&gt;K$93,0,IF(SUM($D103-SUM($E103:J103))&lt;=0,0,$D103/$D$90))</f>
        <v>0</v>
      </c>
      <c r="L103" s="581">
        <f>IF($B103&gt;L$93,0,IF(SUM($D103-SUM($E103:K103))&lt;=0,0,$D103/$D$90))</f>
        <v>0</v>
      </c>
      <c r="M103" s="581">
        <f>IF($B103&gt;M$93,0,IF(SUM($D103-SUM($E103:L103))&lt;=0,0,$D103/$D$90))</f>
        <v>4533.8850289244947</v>
      </c>
      <c r="N103" s="581">
        <f>IF($B103&gt;N$93,0,IF(SUM($D103-SUM($E103:M103))&lt;=0,0,$D103/$D$90))</f>
        <v>4533.8850289244947</v>
      </c>
      <c r="O103" s="581">
        <f>IF($B103&gt;O$93,0,IF(SUM($D103-SUM($E103:N103))&lt;=0,0,$D103/$D$90))</f>
        <v>4533.8850289244947</v>
      </c>
    </row>
    <row r="104" spans="2:15" ht="14.85" customHeight="1">
      <c r="B104" s="234">
        <v>2027</v>
      </c>
      <c r="D104" s="582">
        <v>24936.367659084721</v>
      </c>
      <c r="F104" s="581">
        <f>IF($B104&gt;F$93,0,IF(SUM($D104-SUM($E104:E104))&lt;=0,0,$D104/$D$90))</f>
        <v>0</v>
      </c>
      <c r="G104" s="581">
        <f>IF($B104&gt;G$93,0,IF(SUM($D104-SUM($E104:F104))&lt;=0,0,$D104/$D$90))</f>
        <v>0</v>
      </c>
      <c r="H104" s="581">
        <f>IF($B104&gt;H$93,0,IF(SUM($D104-SUM($E104:G104))&lt;=0,0,$D104/$D$90))</f>
        <v>0</v>
      </c>
      <c r="I104" s="581">
        <f>IF($B104&gt;I$93,0,IF(SUM($D104-SUM($E104:H104))&lt;=0,0,$D104/$D$90))</f>
        <v>0</v>
      </c>
      <c r="J104" s="581">
        <f>IF($B104&gt;J$93,0,IF(SUM($D104-SUM($E104:I104))&lt;=0,0,$D104/$D$90))</f>
        <v>0</v>
      </c>
      <c r="K104" s="581">
        <f>IF($B104&gt;K$93,0,IF(SUM($D104-SUM($E104:J104))&lt;=0,0,$D104/$D$90))</f>
        <v>0</v>
      </c>
      <c r="L104" s="581">
        <f>IF($B104&gt;L$93,0,IF(SUM($D104-SUM($E104:K104))&lt;=0,0,$D104/$D$90))</f>
        <v>0</v>
      </c>
      <c r="M104" s="581">
        <f>IF($B104&gt;M$93,0,IF(SUM($D104-SUM($E104:L104))&lt;=0,0,$D104/$D$90))</f>
        <v>0</v>
      </c>
      <c r="N104" s="581">
        <f>IF($B104&gt;N$93,0,IF(SUM($D104-SUM($E104:M104))&lt;=0,0,$D104/$D$90))</f>
        <v>4987.2735318169443</v>
      </c>
      <c r="O104" s="581">
        <f>IF($B104&gt;O$93,0,IF(SUM($D104-SUM($E104:N104))&lt;=0,0,$D104/$D$90))</f>
        <v>4987.2735318169443</v>
      </c>
    </row>
    <row r="105" spans="2:15" ht="14.85" customHeight="1">
      <c r="B105" s="234">
        <v>2028</v>
      </c>
      <c r="D105" s="582">
        <v>26183.18604203896</v>
      </c>
      <c r="F105" s="581">
        <f>IF($B105&gt;F$93,0,IF(SUM($D105-SUM($E105:E105))&lt;=0,0,$D105/$D$90))</f>
        <v>0</v>
      </c>
      <c r="G105" s="581">
        <f>IF($B105&gt;G$93,0,IF(SUM($D105-SUM($E105:F105))&lt;=0,0,$D105/$D$90))</f>
        <v>0</v>
      </c>
      <c r="H105" s="581">
        <f>IF($B105&gt;H$93,0,IF(SUM($D105-SUM($E105:G105))&lt;=0,0,$D105/$D$90))</f>
        <v>0</v>
      </c>
      <c r="I105" s="581">
        <f>IF($B105&gt;I$93,0,IF(SUM($D105-SUM($E105:H105))&lt;=0,0,$D105/$D$90))</f>
        <v>0</v>
      </c>
      <c r="J105" s="581">
        <f>IF($B105&gt;J$93,0,IF(SUM($D105-SUM($E105:I105))&lt;=0,0,$D105/$D$90))</f>
        <v>0</v>
      </c>
      <c r="K105" s="581">
        <f>IF($B105&gt;K$93,0,IF(SUM($D105-SUM($E105:J105))&lt;=0,0,$D105/$D$90))</f>
        <v>0</v>
      </c>
      <c r="L105" s="581">
        <f>IF($B105&gt;L$93,0,IF(SUM($D105-SUM($E105:K105))&lt;=0,0,$D105/$D$90))</f>
        <v>0</v>
      </c>
      <c r="M105" s="581">
        <f>IF($B105&gt;M$93,0,IF(SUM($D105-SUM($E105:L105))&lt;=0,0,$D105/$D$90))</f>
        <v>0</v>
      </c>
      <c r="N105" s="581">
        <f>IF($B105&gt;N$93,0,IF(SUM($D105-SUM($E105:M105))&lt;=0,0,$D105/$D$90))</f>
        <v>0</v>
      </c>
      <c r="O105" s="581">
        <f>IF($B105&gt;O$93,0,IF(SUM($D105-SUM($E105:N105))&lt;=0,0,$D105/$D$90))</f>
        <v>5236.6372084077921</v>
      </c>
    </row>
    <row r="106" spans="2:15" ht="14.85" customHeight="1">
      <c r="F106" s="583"/>
      <c r="G106" s="583"/>
      <c r="H106" s="583"/>
      <c r="I106" s="583"/>
      <c r="J106" s="583"/>
      <c r="K106" s="583"/>
      <c r="L106" s="583"/>
      <c r="M106" s="583"/>
      <c r="N106" s="583"/>
      <c r="O106" s="583"/>
    </row>
    <row r="107" spans="2:15" ht="14.85" customHeight="1">
      <c r="D107" s="584" t="s">
        <v>161</v>
      </c>
      <c r="E107" s="584"/>
      <c r="F107" s="585" t="e">
        <f>SUM(F94:F106)</f>
        <v>#REF!</v>
      </c>
      <c r="G107" s="585" t="e">
        <f t="shared" ref="G107:O107" si="31">SUM(G94:G106)</f>
        <v>#REF!</v>
      </c>
      <c r="H107" s="585" t="e">
        <f t="shared" si="31"/>
        <v>#REF!</v>
      </c>
      <c r="I107" s="585" t="e">
        <f t="shared" si="31"/>
        <v>#REF!</v>
      </c>
      <c r="J107" s="585" t="e">
        <f t="shared" si="31"/>
        <v>#REF!</v>
      </c>
      <c r="K107" s="585">
        <f t="shared" si="31"/>
        <v>7409.6733558501419</v>
      </c>
      <c r="L107" s="585">
        <f t="shared" si="31"/>
        <v>10856.334954881842</v>
      </c>
      <c r="M107" s="585">
        <f t="shared" si="31"/>
        <v>14633.739395910083</v>
      </c>
      <c r="N107" s="585">
        <f t="shared" si="31"/>
        <v>18281.687325421553</v>
      </c>
      <c r="O107" s="585">
        <f t="shared" si="31"/>
        <v>21442.369850255858</v>
      </c>
    </row>
    <row r="108" spans="2:15" ht="14.85" customHeight="1"/>
    <row r="109" spans="2:15" ht="14.85" customHeight="1"/>
    <row r="110" spans="2:15" ht="14.85" customHeight="1"/>
    <row r="111" spans="2:15" ht="14.85" customHeight="1">
      <c r="B111" s="234" t="s">
        <v>808</v>
      </c>
    </row>
    <row r="112" spans="2:15" ht="14.85" customHeight="1">
      <c r="B112" s="586" t="s">
        <v>216</v>
      </c>
      <c r="C112" s="587"/>
      <c r="D112" s="587"/>
      <c r="E112" s="587"/>
      <c r="F112" s="588">
        <v>3151</v>
      </c>
      <c r="G112" s="588">
        <v>3370</v>
      </c>
      <c r="H112" s="588">
        <v>3878</v>
      </c>
      <c r="I112" s="588">
        <v>5839</v>
      </c>
      <c r="J112" s="588">
        <v>10094</v>
      </c>
      <c r="K112" s="588">
        <v>16087</v>
      </c>
      <c r="L112" s="587"/>
      <c r="M112" s="587"/>
      <c r="N112" s="587"/>
      <c r="O112" s="589"/>
    </row>
    <row r="113" spans="2:46" ht="14.85" customHeight="1">
      <c r="B113" s="590" t="s">
        <v>809</v>
      </c>
      <c r="F113" s="591">
        <v>2063</v>
      </c>
      <c r="G113" s="591">
        <v>2227</v>
      </c>
      <c r="H113" s="591">
        <v>2279</v>
      </c>
      <c r="I113" s="591">
        <v>3492</v>
      </c>
      <c r="J113" s="591">
        <v>6589</v>
      </c>
      <c r="K113" s="591">
        <v>10828</v>
      </c>
      <c r="O113" s="348"/>
    </row>
    <row r="114" spans="2:46" ht="14.85" customHeight="1">
      <c r="B114" s="590" t="s">
        <v>227</v>
      </c>
      <c r="F114" s="591">
        <v>2007</v>
      </c>
      <c r="G114" s="591">
        <v>1275</v>
      </c>
      <c r="H114" s="591">
        <v>1275</v>
      </c>
      <c r="I114" s="591">
        <v>1275</v>
      </c>
      <c r="J114" s="591">
        <v>1275</v>
      </c>
      <c r="K114" s="591">
        <v>1275</v>
      </c>
      <c r="O114" s="348"/>
    </row>
    <row r="115" spans="2:46" ht="14.85" customHeight="1">
      <c r="B115" s="590" t="s">
        <v>95</v>
      </c>
      <c r="F115" s="591">
        <v>0</v>
      </c>
      <c r="G115" s="591">
        <v>0</v>
      </c>
      <c r="H115" s="591">
        <v>0</v>
      </c>
      <c r="I115" s="591">
        <v>0</v>
      </c>
      <c r="J115" s="591"/>
      <c r="K115" s="591">
        <v>0</v>
      </c>
      <c r="O115" s="348"/>
    </row>
    <row r="116" spans="2:46" ht="14.85" customHeight="1">
      <c r="B116" s="590" t="s">
        <v>810</v>
      </c>
      <c r="F116" s="573">
        <f>(F112-F113)-(F114-F115)</f>
        <v>-919</v>
      </c>
      <c r="G116" s="573">
        <f t="shared" ref="G116:K116" si="32">(G112-G113)-(G114-G115)</f>
        <v>-132</v>
      </c>
      <c r="H116" s="573">
        <f t="shared" si="32"/>
        <v>324</v>
      </c>
      <c r="I116" s="573">
        <f t="shared" si="32"/>
        <v>1072</v>
      </c>
      <c r="J116" s="573">
        <f t="shared" si="32"/>
        <v>2230</v>
      </c>
      <c r="K116" s="573">
        <f t="shared" si="32"/>
        <v>3984</v>
      </c>
      <c r="O116" s="348"/>
    </row>
    <row r="117" spans="2:46" ht="14.85" customHeight="1">
      <c r="B117" s="592" t="s">
        <v>811</v>
      </c>
      <c r="C117" s="269"/>
      <c r="D117" s="269"/>
      <c r="E117" s="269"/>
      <c r="F117" s="269"/>
      <c r="G117" s="593">
        <f>G116-F116</f>
        <v>787</v>
      </c>
      <c r="H117" s="593">
        <f t="shared" ref="H117:K117" si="33">H116-G116</f>
        <v>456</v>
      </c>
      <c r="I117" s="593">
        <f t="shared" si="33"/>
        <v>748</v>
      </c>
      <c r="J117" s="593">
        <f t="shared" si="33"/>
        <v>1158</v>
      </c>
      <c r="K117" s="593">
        <f t="shared" si="33"/>
        <v>1754</v>
      </c>
      <c r="L117" s="269"/>
      <c r="M117" s="269"/>
      <c r="N117" s="269"/>
      <c r="O117" s="594"/>
    </row>
    <row r="118" spans="2:46" ht="14.85" customHeight="1"/>
    <row r="119" spans="2:46" ht="14.85" customHeight="1">
      <c r="G119" s="595">
        <f>G117/G14</f>
        <v>9.0904890613810158E-2</v>
      </c>
      <c r="H119" s="595">
        <f>H117/H14</f>
        <v>2.3086737276980095E-2</v>
      </c>
      <c r="I119" s="595">
        <f>I117/I14</f>
        <v>2.1390007320644219E-2</v>
      </c>
      <c r="J119" s="595">
        <f>J117/J14</f>
        <v>2.1364178434799038E-2</v>
      </c>
      <c r="K119" s="595">
        <f>K117/K14</f>
        <v>2.3114217230839819E-2</v>
      </c>
    </row>
    <row r="120" spans="2:46" ht="14.85" customHeight="1">
      <c r="F120" s="360"/>
      <c r="G120" s="360"/>
      <c r="H120" s="360"/>
      <c r="I120" s="360"/>
      <c r="J120" s="360"/>
      <c r="K120" s="360"/>
    </row>
    <row r="121" spans="2:46" ht="14.85" customHeight="1">
      <c r="B121" s="596" t="s">
        <v>1432</v>
      </c>
      <c r="C121" s="597" t="s">
        <v>1433</v>
      </c>
      <c r="D121" s="597"/>
      <c r="F121" s="598" t="s">
        <v>759</v>
      </c>
      <c r="G121" s="599" t="s">
        <v>760</v>
      </c>
      <c r="H121" s="599" t="s">
        <v>761</v>
      </c>
      <c r="I121" s="599" t="s">
        <v>762</v>
      </c>
      <c r="J121" s="599" t="s">
        <v>763</v>
      </c>
      <c r="K121" s="599" t="s">
        <v>1434</v>
      </c>
      <c r="L121" s="599" t="s">
        <v>1435</v>
      </c>
      <c r="M121" s="599" t="s">
        <v>1436</v>
      </c>
      <c r="N121" s="599" t="s">
        <v>1437</v>
      </c>
      <c r="O121" s="599" t="s">
        <v>1437</v>
      </c>
      <c r="P121" s="599" t="s">
        <v>1438</v>
      </c>
      <c r="Q121" s="599" t="s">
        <v>1439</v>
      </c>
      <c r="R121" s="599" t="s">
        <v>1440</v>
      </c>
      <c r="S121" s="599" t="s">
        <v>1441</v>
      </c>
      <c r="T121" s="599" t="s">
        <v>1442</v>
      </c>
      <c r="U121" s="599" t="s">
        <v>1443</v>
      </c>
      <c r="V121" s="599" t="s">
        <v>1444</v>
      </c>
      <c r="W121" s="599" t="s">
        <v>1445</v>
      </c>
      <c r="X121" s="599" t="s">
        <v>1446</v>
      </c>
      <c r="Y121" s="599" t="s">
        <v>1447</v>
      </c>
      <c r="Z121" s="599" t="s">
        <v>1448</v>
      </c>
      <c r="AA121" s="599" t="s">
        <v>1449</v>
      </c>
      <c r="AB121" s="599" t="s">
        <v>1450</v>
      </c>
      <c r="AC121" s="599" t="s">
        <v>1451</v>
      </c>
      <c r="AD121" s="599" t="s">
        <v>1452</v>
      </c>
      <c r="AE121" s="599" t="s">
        <v>1453</v>
      </c>
      <c r="AF121" s="599" t="s">
        <v>1454</v>
      </c>
      <c r="AG121" s="599" t="s">
        <v>1455</v>
      </c>
      <c r="AH121" s="599" t="s">
        <v>1456</v>
      </c>
      <c r="AI121" s="599" t="s">
        <v>1457</v>
      </c>
      <c r="AJ121" s="599" t="s">
        <v>1458</v>
      </c>
      <c r="AK121" s="599" t="s">
        <v>1459</v>
      </c>
      <c r="AL121" s="599" t="s">
        <v>1460</v>
      </c>
      <c r="AM121" s="599" t="s">
        <v>1461</v>
      </c>
      <c r="AN121" s="599" t="s">
        <v>1462</v>
      </c>
      <c r="AO121" s="599" t="s">
        <v>1463</v>
      </c>
      <c r="AP121" s="599" t="s">
        <v>1464</v>
      </c>
      <c r="AQ121" s="599" t="s">
        <v>1465</v>
      </c>
      <c r="AR121" s="599" t="s">
        <v>1466</v>
      </c>
      <c r="AS121" s="599" t="s">
        <v>1467</v>
      </c>
      <c r="AT121" s="600" t="s">
        <v>1468</v>
      </c>
    </row>
    <row r="122" spans="2:46" ht="14.85" customHeight="1">
      <c r="B122" s="601" t="s">
        <v>1469</v>
      </c>
      <c r="C122" s="597" t="s">
        <v>1470</v>
      </c>
      <c r="D122" s="597"/>
      <c r="F122" s="602">
        <v>3.7499999999999999E-2</v>
      </c>
      <c r="G122" s="603">
        <v>7.2190000000000004E-2</v>
      </c>
      <c r="H122" s="603">
        <v>6.6769999999999996E-2</v>
      </c>
      <c r="I122" s="603">
        <v>6.1769999999999999E-2</v>
      </c>
      <c r="J122" s="603">
        <v>5.713E-2</v>
      </c>
      <c r="K122" s="603">
        <v>5.2850000000000001E-2</v>
      </c>
      <c r="L122" s="603">
        <v>4.888E-2</v>
      </c>
      <c r="M122" s="603">
        <v>4.5220000000000003E-2</v>
      </c>
      <c r="N122" s="603">
        <v>4.462E-2</v>
      </c>
      <c r="O122" s="603">
        <v>4.462E-2</v>
      </c>
      <c r="P122" s="603">
        <v>4.4609999999999997E-2</v>
      </c>
      <c r="Q122" s="603">
        <v>4.462E-2</v>
      </c>
      <c r="R122" s="603">
        <v>4.4609999999999997E-2</v>
      </c>
      <c r="S122" s="603">
        <v>4.462E-2</v>
      </c>
      <c r="T122" s="603">
        <v>4.4609999999999997E-2</v>
      </c>
      <c r="U122" s="603">
        <v>4.462E-2</v>
      </c>
      <c r="V122" s="603">
        <v>4.4609999999999997E-2</v>
      </c>
      <c r="W122" s="603">
        <v>4.462E-2</v>
      </c>
      <c r="X122" s="603">
        <v>4.4609999999999997E-2</v>
      </c>
      <c r="Y122" s="603">
        <v>4.462E-2</v>
      </c>
      <c r="Z122" s="603">
        <v>4.4609999999999997E-2</v>
      </c>
      <c r="AA122" s="603">
        <v>2.231E-2</v>
      </c>
      <c r="AB122" s="603"/>
      <c r="AC122" s="603"/>
      <c r="AD122" s="603"/>
      <c r="AE122" s="603"/>
      <c r="AF122" s="603"/>
      <c r="AG122" s="603"/>
      <c r="AH122" s="603"/>
      <c r="AI122" s="603"/>
      <c r="AJ122" s="603"/>
      <c r="AK122" s="603"/>
      <c r="AL122" s="604"/>
      <c r="AM122" s="604"/>
      <c r="AN122" s="604"/>
      <c r="AO122" s="604"/>
      <c r="AP122" s="604"/>
      <c r="AQ122" s="604"/>
      <c r="AR122" s="604"/>
      <c r="AS122" s="604"/>
      <c r="AT122" s="605"/>
    </row>
    <row r="123" spans="2:46" ht="14.85" customHeight="1">
      <c r="B123" s="606" t="s">
        <v>1471</v>
      </c>
      <c r="C123" s="597" t="s">
        <v>1472</v>
      </c>
      <c r="D123" s="597"/>
      <c r="F123" s="607">
        <v>1.2999999999999999E-2</v>
      </c>
      <c r="G123" s="608">
        <v>2.564E-2</v>
      </c>
      <c r="H123" s="608">
        <v>2.564E-2</v>
      </c>
      <c r="I123" s="608">
        <v>2.564E-2</v>
      </c>
      <c r="J123" s="608">
        <v>2.564E-2</v>
      </c>
      <c r="K123" s="608">
        <v>2.564E-2</v>
      </c>
      <c r="L123" s="608">
        <v>2.564E-2</v>
      </c>
      <c r="M123" s="608">
        <v>2.564E-2</v>
      </c>
      <c r="N123" s="608">
        <v>2.564E-2</v>
      </c>
      <c r="O123" s="608">
        <v>2.564E-2</v>
      </c>
      <c r="P123" s="608">
        <v>2.564E-2</v>
      </c>
      <c r="Q123" s="608">
        <v>2.564E-2</v>
      </c>
      <c r="R123" s="608">
        <v>2.564E-2</v>
      </c>
      <c r="S123" s="608">
        <v>2.564E-2</v>
      </c>
      <c r="T123" s="608">
        <v>2.564E-2</v>
      </c>
      <c r="U123" s="608">
        <v>2.564E-2</v>
      </c>
      <c r="V123" s="608">
        <v>2.564E-2</v>
      </c>
      <c r="W123" s="608">
        <v>2.564E-2</v>
      </c>
      <c r="X123" s="608">
        <v>2.564E-2</v>
      </c>
      <c r="Y123" s="608">
        <v>2.564E-2</v>
      </c>
      <c r="Z123" s="608">
        <v>2.564E-2</v>
      </c>
      <c r="AA123" s="608">
        <v>2.564E-2</v>
      </c>
      <c r="AB123" s="608">
        <v>2.564E-2</v>
      </c>
      <c r="AC123" s="608">
        <v>2.564E-2</v>
      </c>
      <c r="AD123" s="608">
        <v>2.564E-2</v>
      </c>
      <c r="AE123" s="608">
        <v>2.564E-2</v>
      </c>
      <c r="AF123" s="608">
        <v>2.564E-2</v>
      </c>
      <c r="AG123" s="608">
        <v>2.564E-2</v>
      </c>
      <c r="AH123" s="608">
        <v>2.564E-2</v>
      </c>
      <c r="AI123" s="608">
        <v>2.564E-2</v>
      </c>
      <c r="AJ123" s="608">
        <v>2.564E-2</v>
      </c>
      <c r="AK123" s="608">
        <v>2.564E-2</v>
      </c>
      <c r="AL123" s="608">
        <v>2.564E-2</v>
      </c>
      <c r="AM123" s="608">
        <v>2.564E-2</v>
      </c>
      <c r="AN123" s="608">
        <v>2.564E-2</v>
      </c>
      <c r="AO123" s="608">
        <v>2.564E-2</v>
      </c>
      <c r="AP123" s="608">
        <v>2.564E-2</v>
      </c>
      <c r="AQ123" s="608">
        <v>2.564E-2</v>
      </c>
      <c r="AR123" s="608">
        <v>2.564E-2</v>
      </c>
      <c r="AS123" s="608">
        <v>2.564E-2</v>
      </c>
      <c r="AT123" s="609">
        <v>2.564E-2</v>
      </c>
    </row>
    <row r="124" spans="2:46" ht="14.85" customHeight="1">
      <c r="B124" s="606" t="s">
        <v>1473</v>
      </c>
      <c r="C124" s="597" t="s">
        <v>1470</v>
      </c>
      <c r="D124" s="597"/>
      <c r="F124" s="607">
        <v>0.05</v>
      </c>
      <c r="G124" s="608">
        <v>9.5000000000000001E-2</v>
      </c>
      <c r="H124" s="608">
        <v>8.5500000000000007E-2</v>
      </c>
      <c r="I124" s="608">
        <v>7.6999999999999999E-2</v>
      </c>
      <c r="J124" s="608">
        <v>6.93E-2</v>
      </c>
      <c r="K124" s="608">
        <v>6.2300000000000008E-2</v>
      </c>
      <c r="L124" s="608">
        <v>5.9000000000000004E-2</v>
      </c>
      <c r="M124" s="608">
        <v>5.9000000000000004E-2</v>
      </c>
      <c r="N124" s="608">
        <v>5.91E-2</v>
      </c>
      <c r="O124" s="608">
        <v>5.91E-2</v>
      </c>
      <c r="P124" s="608">
        <v>5.9000000000000004E-2</v>
      </c>
      <c r="Q124" s="608">
        <v>5.91E-2</v>
      </c>
      <c r="R124" s="608">
        <v>5.9000000000000004E-2</v>
      </c>
      <c r="S124" s="608">
        <v>5.91E-2</v>
      </c>
      <c r="T124" s="608">
        <v>5.9000000000000004E-2</v>
      </c>
      <c r="U124" s="608">
        <v>5.91E-2</v>
      </c>
      <c r="V124" s="608">
        <v>2.9500000000000002E-2</v>
      </c>
      <c r="W124" s="608">
        <v>0</v>
      </c>
      <c r="X124" s="608">
        <v>0</v>
      </c>
      <c r="Y124" s="608">
        <v>0</v>
      </c>
      <c r="Z124" s="608">
        <v>0</v>
      </c>
      <c r="AA124" s="608">
        <v>0</v>
      </c>
      <c r="AB124" s="608"/>
      <c r="AC124" s="608"/>
      <c r="AD124" s="608"/>
      <c r="AE124" s="608"/>
      <c r="AF124" s="608"/>
      <c r="AG124" s="608"/>
      <c r="AH124" s="608"/>
      <c r="AI124" s="608"/>
      <c r="AJ124" s="608"/>
      <c r="AK124" s="608"/>
      <c r="AL124" s="597"/>
      <c r="AM124" s="597"/>
      <c r="AN124" s="597"/>
      <c r="AO124" s="597"/>
      <c r="AP124" s="597"/>
      <c r="AQ124" s="597"/>
      <c r="AR124" s="597"/>
      <c r="AS124" s="597"/>
      <c r="AT124" s="610"/>
    </row>
    <row r="125" spans="2:46" ht="14.85" customHeight="1">
      <c r="B125" s="606" t="s">
        <v>1474</v>
      </c>
      <c r="C125" s="597" t="s">
        <v>1470</v>
      </c>
      <c r="D125" s="597"/>
      <c r="F125" s="607">
        <v>0.1</v>
      </c>
      <c r="G125" s="608">
        <v>0.18</v>
      </c>
      <c r="H125" s="608">
        <v>0.14399999999999999</v>
      </c>
      <c r="I125" s="608">
        <v>0.1152</v>
      </c>
      <c r="J125" s="608">
        <v>9.2200000000000004E-2</v>
      </c>
      <c r="K125" s="608">
        <v>7.3700000000000002E-2</v>
      </c>
      <c r="L125" s="608">
        <v>6.5500000000000003E-2</v>
      </c>
      <c r="M125" s="608">
        <v>6.5500000000000003E-2</v>
      </c>
      <c r="N125" s="608">
        <v>6.5600000000000006E-2</v>
      </c>
      <c r="O125" s="608">
        <v>6.5600000000000006E-2</v>
      </c>
      <c r="P125" s="608">
        <v>6.5500000000000003E-2</v>
      </c>
      <c r="Q125" s="608">
        <v>3.2800000000000003E-2</v>
      </c>
      <c r="R125" s="608"/>
      <c r="S125" s="608"/>
      <c r="T125" s="608"/>
      <c r="U125" s="608"/>
      <c r="V125" s="608"/>
      <c r="W125" s="608"/>
      <c r="X125" s="608"/>
      <c r="Y125" s="608"/>
      <c r="Z125" s="608"/>
      <c r="AA125" s="608"/>
      <c r="AB125" s="608"/>
      <c r="AC125" s="608"/>
      <c r="AD125" s="608"/>
      <c r="AE125" s="608"/>
      <c r="AF125" s="608"/>
      <c r="AG125" s="608"/>
      <c r="AH125" s="608"/>
      <c r="AI125" s="608"/>
      <c r="AJ125" s="608"/>
      <c r="AK125" s="608"/>
      <c r="AL125" s="597"/>
      <c r="AM125" s="597"/>
      <c r="AN125" s="597"/>
      <c r="AO125" s="597"/>
      <c r="AP125" s="597"/>
      <c r="AQ125" s="597"/>
      <c r="AR125" s="597"/>
      <c r="AS125" s="597"/>
      <c r="AT125" s="610"/>
    </row>
    <row r="126" spans="2:46" ht="14.85" customHeight="1">
      <c r="B126" s="606" t="s">
        <v>1475</v>
      </c>
      <c r="C126" s="597" t="s">
        <v>1470</v>
      </c>
      <c r="D126" s="597"/>
      <c r="F126" s="607">
        <v>0.1429</v>
      </c>
      <c r="G126" s="608">
        <v>0.24489999999999998</v>
      </c>
      <c r="H126" s="608">
        <v>0.17489999999999997</v>
      </c>
      <c r="I126" s="608">
        <v>0.1249</v>
      </c>
      <c r="J126" s="608">
        <v>8.929999999999999E-2</v>
      </c>
      <c r="K126" s="608">
        <v>8.9200000000000002E-2</v>
      </c>
      <c r="L126" s="608">
        <v>8.929999999999999E-2</v>
      </c>
      <c r="M126" s="608">
        <v>4.4600000000000001E-2</v>
      </c>
      <c r="N126" s="608">
        <v>0</v>
      </c>
      <c r="O126" s="608">
        <v>0</v>
      </c>
      <c r="P126" s="608">
        <v>0</v>
      </c>
      <c r="Q126" s="608">
        <v>0</v>
      </c>
      <c r="R126" s="608">
        <v>0</v>
      </c>
      <c r="S126" s="608">
        <v>0</v>
      </c>
      <c r="T126" s="608">
        <v>0</v>
      </c>
      <c r="U126" s="608">
        <v>0</v>
      </c>
      <c r="V126" s="608">
        <v>0</v>
      </c>
      <c r="W126" s="608">
        <v>0</v>
      </c>
      <c r="X126" s="608">
        <v>0</v>
      </c>
      <c r="Y126" s="608">
        <v>0</v>
      </c>
      <c r="Z126" s="608">
        <v>0</v>
      </c>
      <c r="AA126" s="608">
        <v>0</v>
      </c>
      <c r="AB126" s="608"/>
      <c r="AC126" s="608"/>
      <c r="AD126" s="608"/>
      <c r="AE126" s="608"/>
      <c r="AF126" s="608"/>
      <c r="AG126" s="608"/>
      <c r="AH126" s="608"/>
      <c r="AI126" s="608"/>
      <c r="AJ126" s="608"/>
      <c r="AK126" s="608"/>
      <c r="AL126" s="597"/>
      <c r="AM126" s="597"/>
      <c r="AN126" s="597"/>
      <c r="AO126" s="597"/>
      <c r="AP126" s="597"/>
      <c r="AQ126" s="597"/>
      <c r="AR126" s="597"/>
      <c r="AS126" s="597"/>
      <c r="AT126" s="610"/>
    </row>
    <row r="127" spans="2:46" ht="14.85" customHeight="1">
      <c r="B127" s="606" t="s">
        <v>1476</v>
      </c>
      <c r="C127" s="597" t="s">
        <v>1470</v>
      </c>
      <c r="D127" s="597"/>
      <c r="F127" s="607">
        <v>0.2</v>
      </c>
      <c r="G127" s="608">
        <v>0.32</v>
      </c>
      <c r="H127" s="608">
        <v>0.192</v>
      </c>
      <c r="I127" s="608">
        <v>0.1152</v>
      </c>
      <c r="J127" s="608">
        <v>0.1152</v>
      </c>
      <c r="K127" s="608">
        <v>5.7599999999999998E-2</v>
      </c>
      <c r="L127" s="608">
        <v>0</v>
      </c>
      <c r="M127" s="608">
        <v>0</v>
      </c>
      <c r="N127" s="608">
        <v>0</v>
      </c>
      <c r="O127" s="608">
        <v>0</v>
      </c>
      <c r="P127" s="608">
        <v>0</v>
      </c>
      <c r="Q127" s="608">
        <v>0</v>
      </c>
      <c r="R127" s="608">
        <v>0</v>
      </c>
      <c r="S127" s="608">
        <v>0</v>
      </c>
      <c r="T127" s="608">
        <v>0</v>
      </c>
      <c r="U127" s="608">
        <v>0</v>
      </c>
      <c r="V127" s="608">
        <v>0</v>
      </c>
      <c r="W127" s="608">
        <v>0</v>
      </c>
      <c r="X127" s="608">
        <v>0</v>
      </c>
      <c r="Y127" s="608">
        <v>0</v>
      </c>
      <c r="Z127" s="608">
        <v>0</v>
      </c>
      <c r="AA127" s="608">
        <v>0</v>
      </c>
      <c r="AB127" s="608"/>
      <c r="AC127" s="608"/>
      <c r="AD127" s="608"/>
      <c r="AE127" s="608"/>
      <c r="AF127" s="608"/>
      <c r="AG127" s="608"/>
      <c r="AH127" s="608"/>
      <c r="AI127" s="608"/>
      <c r="AJ127" s="608"/>
      <c r="AK127" s="608"/>
      <c r="AL127" s="597"/>
      <c r="AM127" s="597"/>
      <c r="AN127" s="597"/>
      <c r="AO127" s="597"/>
      <c r="AP127" s="597"/>
      <c r="AQ127" s="597"/>
      <c r="AR127" s="597"/>
      <c r="AS127" s="597"/>
      <c r="AT127" s="610"/>
    </row>
    <row r="128" spans="2:46" ht="14.85" customHeight="1">
      <c r="B128" s="611" t="s">
        <v>1477</v>
      </c>
      <c r="C128" s="597" t="s">
        <v>1470</v>
      </c>
      <c r="D128" s="597"/>
      <c r="F128" s="612">
        <v>0.33329999999999999</v>
      </c>
      <c r="G128" s="613">
        <v>0.44450000000000001</v>
      </c>
      <c r="H128" s="613">
        <v>0.14810000000000001</v>
      </c>
      <c r="I128" s="613">
        <v>7.4099999999999999E-2</v>
      </c>
      <c r="J128" s="614"/>
      <c r="K128" s="613"/>
      <c r="L128" s="614"/>
      <c r="M128" s="613"/>
      <c r="N128" s="613"/>
      <c r="O128" s="613"/>
      <c r="P128" s="613"/>
      <c r="Q128" s="613"/>
      <c r="R128" s="613"/>
      <c r="S128" s="613"/>
      <c r="T128" s="613"/>
      <c r="U128" s="613"/>
      <c r="V128" s="613"/>
      <c r="W128" s="613"/>
      <c r="X128" s="613"/>
      <c r="Y128" s="613"/>
      <c r="Z128" s="613"/>
      <c r="AA128" s="613"/>
      <c r="AB128" s="613"/>
      <c r="AC128" s="613"/>
      <c r="AD128" s="613"/>
      <c r="AE128" s="613"/>
      <c r="AF128" s="613"/>
      <c r="AG128" s="613"/>
      <c r="AH128" s="613"/>
      <c r="AI128" s="613"/>
      <c r="AJ128" s="613"/>
      <c r="AK128" s="613"/>
      <c r="AL128" s="615"/>
      <c r="AM128" s="615"/>
      <c r="AN128" s="615"/>
      <c r="AO128" s="615"/>
      <c r="AP128" s="615"/>
      <c r="AQ128" s="615"/>
      <c r="AR128" s="615"/>
      <c r="AS128" s="615"/>
      <c r="AT128" s="616"/>
    </row>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H68:H72"/>
  </mergeCells>
  <conditionalFormatting sqref="O4">
    <cfRule type="cellIs" dxfId="12" priority="6" stopIfTrue="1" operator="equal">
      <formula>"input"</formula>
    </cfRule>
  </conditionalFormatting>
  <conditionalFormatting sqref="O4">
    <cfRule type="cellIs" dxfId="11" priority="5" stopIfTrue="1" operator="equal">
      <formula>"input"</formula>
    </cfRule>
  </conditionalFormatting>
  <conditionalFormatting sqref="B4:N4">
    <cfRule type="cellIs" dxfId="10" priority="9" stopIfTrue="1" operator="equal">
      <formula>"input"</formula>
    </cfRule>
  </conditionalFormatting>
  <dataValidations disablePrompts="1" count="1">
    <dataValidation type="list" allowBlank="1" showInputMessage="1" showErrorMessage="1" sqref="B93" xr:uid="{00000000-0002-0000-5A00-000000000000}">
      <formula1>$S$93:$S$95</formula1>
    </dataValidation>
  </dataValidations>
  <pageMargins left="0.5" right="0.5" top="0.5" bottom="0.5" header="0.5" footer="0.5"/>
  <pageSetup scale="65" fitToWidth="0" fitToHeight="0" orientation="landscape" r:id="rId1"/>
  <rowBreaks count="1" manualBreakCount="1">
    <brk id="49" max="15" man="1"/>
  </rowBreaks>
  <legacyDrawing r:id="rId2"/>
  <legacyDrawingHF r:id="rId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61"/>
  <dimension ref="A1:BV764"/>
  <sheetViews>
    <sheetView showGridLines="0" view="pageBreakPreview" zoomScaleNormal="100" zoomScaleSheetLayoutView="100" workbookViewId="0"/>
  </sheetViews>
  <sheetFormatPr defaultColWidth="14.6640625" defaultRowHeight="14.25" outlineLevelRow="1" outlineLevelCol="1"/>
  <cols>
    <col min="1" max="2" width="3.5" style="618" customWidth="1"/>
    <col min="3" max="3" width="28.1640625" style="618" customWidth="1"/>
    <col min="4" max="4" width="13.1640625" style="618" customWidth="1"/>
    <col min="5" max="5" width="3.5" style="618" customWidth="1"/>
    <col min="6" max="10" width="12.83203125" style="618" customWidth="1"/>
    <col min="11" max="11" width="13" style="618" customWidth="1"/>
    <col min="12" max="12" width="13.83203125" style="618" customWidth="1"/>
    <col min="13" max="14" width="14.33203125" style="618" customWidth="1"/>
    <col min="15" max="15" width="15" style="618" customWidth="1"/>
    <col min="16" max="16" width="15.6640625" style="618" hidden="1" customWidth="1" outlineLevel="1"/>
    <col min="17" max="17" width="3.33203125" style="618" customWidth="1" collapsed="1"/>
    <col min="18" max="20" width="25.83203125" style="618" bestFit="1" customWidth="1"/>
    <col min="21" max="16384" width="14.6640625" style="618"/>
  </cols>
  <sheetData>
    <row r="1" spans="2:74" s="234" customFormat="1" ht="10.5" customHeight="1" thickBot="1"/>
    <row r="2" spans="2:74" s="234" customFormat="1" ht="16.5" customHeight="1" thickTop="1">
      <c r="B2" s="223" t="str">
        <f>'MASTER PubCo Inputs'!$C$5</f>
        <v>Trucode Gene Repair, Inc.</v>
      </c>
      <c r="C2" s="223"/>
      <c r="D2" s="223"/>
      <c r="E2" s="223"/>
      <c r="F2" s="223"/>
      <c r="G2" s="223"/>
      <c r="H2" s="223"/>
      <c r="I2" s="223"/>
      <c r="J2" s="223"/>
      <c r="K2" s="223"/>
      <c r="L2" s="223"/>
      <c r="M2" s="223"/>
      <c r="N2" s="223"/>
      <c r="O2" s="223"/>
      <c r="P2" s="235"/>
      <c r="T2" s="323"/>
    </row>
    <row r="3" spans="2:74" s="234" customFormat="1" ht="15.75" customHeight="1">
      <c r="B3" s="232" t="e">
        <f>VLOOKUP(B4,Outline!$E$8:$G$65,COLUMNS(Outline!$E$8:$G$8),FALSE)</f>
        <v>#N/A</v>
      </c>
      <c r="C3" s="232"/>
      <c r="D3" s="232"/>
      <c r="E3" s="232"/>
      <c r="F3" s="232"/>
      <c r="G3" s="232"/>
      <c r="H3" s="232"/>
      <c r="I3" s="232"/>
      <c r="J3" s="232"/>
      <c r="K3" s="232"/>
      <c r="L3" s="232"/>
      <c r="M3" s="232"/>
      <c r="N3" s="232"/>
      <c r="O3" s="232"/>
      <c r="P3" s="239"/>
    </row>
    <row r="4" spans="2:74" s="234" customFormat="1" ht="16.5" customHeight="1" thickBot="1">
      <c r="B4" s="225" t="s">
        <v>1493</v>
      </c>
      <c r="C4" s="225"/>
      <c r="D4" s="225"/>
      <c r="E4" s="225"/>
      <c r="F4" s="225"/>
      <c r="G4" s="225"/>
      <c r="H4" s="225"/>
      <c r="I4" s="225"/>
      <c r="J4" s="225"/>
      <c r="K4" s="225"/>
      <c r="L4" s="225"/>
      <c r="M4" s="225"/>
      <c r="N4" s="233"/>
      <c r="O4" s="233" t="str">
        <f>+'MASTER PubCo Inputs'!$C$21</f>
        <v>(in thousands of USD)</v>
      </c>
    </row>
    <row r="5" spans="2:74" ht="14.85" customHeight="1" thickTop="1"/>
    <row r="6" spans="2:74" s="234" customFormat="1" ht="14.85" customHeight="1">
      <c r="F6" s="638" t="s">
        <v>159</v>
      </c>
      <c r="G6" s="639"/>
      <c r="H6" s="639"/>
      <c r="I6" s="639"/>
      <c r="J6" s="639"/>
      <c r="K6" s="639"/>
      <c r="L6" s="639"/>
      <c r="M6" s="639"/>
      <c r="N6" s="640"/>
      <c r="O6" s="640"/>
      <c r="P6" s="640"/>
    </row>
    <row r="7" spans="2:74" s="234" customFormat="1" ht="14.85" customHeight="1">
      <c r="F7" s="641" t="s">
        <v>158</v>
      </c>
      <c r="G7" s="642"/>
      <c r="H7" s="642"/>
      <c r="I7" s="642"/>
      <c r="J7" s="642"/>
      <c r="K7" s="642"/>
      <c r="L7" s="642"/>
      <c r="M7" s="642"/>
      <c r="N7" s="643"/>
      <c r="O7" s="643"/>
      <c r="P7" s="643"/>
    </row>
    <row r="8" spans="2:74" ht="14.85" customHeight="1">
      <c r="B8" s="234"/>
      <c r="C8" s="234"/>
      <c r="D8" s="234"/>
      <c r="E8" s="234"/>
      <c r="F8" s="644">
        <f>DCF!F9</f>
        <v>2019</v>
      </c>
      <c r="G8" s="645">
        <f>F8+1</f>
        <v>2020</v>
      </c>
      <c r="H8" s="645">
        <f t="shared" ref="H8:P8" si="0">G8+1</f>
        <v>2021</v>
      </c>
      <c r="I8" s="645">
        <f t="shared" si="0"/>
        <v>2022</v>
      </c>
      <c r="J8" s="645">
        <f t="shared" si="0"/>
        <v>2023</v>
      </c>
      <c r="K8" s="645">
        <f t="shared" si="0"/>
        <v>2024</v>
      </c>
      <c r="L8" s="645">
        <f t="shared" si="0"/>
        <v>2025</v>
      </c>
      <c r="M8" s="645">
        <f t="shared" si="0"/>
        <v>2026</v>
      </c>
      <c r="N8" s="645">
        <f t="shared" si="0"/>
        <v>2027</v>
      </c>
      <c r="O8" s="646">
        <f t="shared" si="0"/>
        <v>2028</v>
      </c>
      <c r="P8" s="646">
        <f t="shared" si="0"/>
        <v>2029</v>
      </c>
      <c r="Q8" s="647"/>
    </row>
    <row r="9" spans="2:74" ht="14.85" customHeight="1">
      <c r="B9" s="648"/>
      <c r="C9" s="648"/>
      <c r="D9" s="649"/>
      <c r="E9" s="649"/>
      <c r="F9" s="650"/>
      <c r="G9" s="651"/>
      <c r="H9" s="651"/>
      <c r="I9" s="651"/>
      <c r="J9" s="652"/>
      <c r="K9" s="652"/>
      <c r="L9" s="652"/>
      <c r="M9" s="652"/>
      <c r="N9" s="652"/>
      <c r="O9" s="652"/>
      <c r="P9" s="652"/>
      <c r="Q9" s="649"/>
      <c r="R9" s="649"/>
      <c r="S9" s="649"/>
      <c r="T9" s="649"/>
      <c r="U9" s="649"/>
      <c r="V9" s="649"/>
      <c r="W9" s="649"/>
      <c r="X9" s="649"/>
      <c r="Y9" s="649"/>
      <c r="Z9" s="649"/>
      <c r="AA9" s="649"/>
      <c r="AB9" s="649"/>
      <c r="AC9" s="649"/>
      <c r="AD9" s="649"/>
      <c r="AE9" s="649"/>
      <c r="AF9" s="649"/>
      <c r="AG9" s="649"/>
      <c r="AH9" s="649"/>
      <c r="AI9" s="649"/>
      <c r="AJ9" s="649"/>
      <c r="AK9" s="649"/>
      <c r="AL9" s="649"/>
      <c r="AM9" s="649"/>
      <c r="AN9" s="649"/>
      <c r="AO9" s="649"/>
      <c r="AP9" s="649"/>
      <c r="AQ9" s="649"/>
      <c r="AR9" s="649"/>
      <c r="AS9" s="649"/>
      <c r="AT9" s="649"/>
      <c r="AU9" s="649"/>
      <c r="AV9" s="649"/>
      <c r="AW9" s="649"/>
      <c r="AX9" s="649"/>
      <c r="AY9" s="649"/>
      <c r="AZ9" s="649"/>
      <c r="BA9" s="649"/>
      <c r="BB9" s="649"/>
      <c r="BC9" s="649"/>
      <c r="BD9" s="649"/>
      <c r="BE9" s="649"/>
      <c r="BF9" s="649"/>
      <c r="BG9" s="649"/>
      <c r="BH9" s="649"/>
      <c r="BI9" s="649"/>
      <c r="BJ9" s="649"/>
      <c r="BK9" s="649"/>
      <c r="BL9" s="649"/>
      <c r="BM9" s="649"/>
      <c r="BN9" s="649"/>
      <c r="BO9" s="649"/>
      <c r="BP9" s="649"/>
      <c r="BQ9" s="649"/>
      <c r="BR9" s="649"/>
      <c r="BS9" s="649"/>
      <c r="BT9" s="649"/>
      <c r="BU9" s="649"/>
      <c r="BV9" s="649"/>
    </row>
    <row r="10" spans="2:74" ht="14.85" customHeight="1">
      <c r="B10" s="630" t="s">
        <v>1478</v>
      </c>
      <c r="C10" s="653"/>
      <c r="D10" s="654" t="s">
        <v>386</v>
      </c>
      <c r="E10" s="655"/>
      <c r="F10" s="656">
        <v>1</v>
      </c>
      <c r="G10" s="657">
        <f>+F10+1</f>
        <v>2</v>
      </c>
      <c r="H10" s="657">
        <f t="shared" ref="H10:P10" si="1">+G10+1</f>
        <v>3</v>
      </c>
      <c r="I10" s="657">
        <f t="shared" si="1"/>
        <v>4</v>
      </c>
      <c r="J10" s="657">
        <f t="shared" si="1"/>
        <v>5</v>
      </c>
      <c r="K10" s="657">
        <f t="shared" si="1"/>
        <v>6</v>
      </c>
      <c r="L10" s="657">
        <f t="shared" si="1"/>
        <v>7</v>
      </c>
      <c r="M10" s="657">
        <f t="shared" si="1"/>
        <v>8</v>
      </c>
      <c r="N10" s="657">
        <f t="shared" si="1"/>
        <v>9</v>
      </c>
      <c r="O10" s="658">
        <f t="shared" si="1"/>
        <v>10</v>
      </c>
      <c r="P10" s="658">
        <f t="shared" si="1"/>
        <v>11</v>
      </c>
      <c r="Q10" s="659"/>
      <c r="R10" s="649"/>
      <c r="S10" s="649"/>
      <c r="T10" s="649"/>
      <c r="U10" s="649"/>
      <c r="V10" s="649"/>
      <c r="W10" s="649"/>
      <c r="X10" s="649"/>
      <c r="Y10" s="649"/>
      <c r="Z10" s="649"/>
      <c r="AA10" s="649"/>
      <c r="AB10" s="649"/>
      <c r="AC10" s="649"/>
      <c r="AD10" s="649"/>
      <c r="AE10" s="649"/>
      <c r="AF10" s="649"/>
      <c r="AG10" s="649"/>
      <c r="AH10" s="649"/>
      <c r="AI10" s="649"/>
      <c r="AJ10" s="649"/>
      <c r="AK10" s="649"/>
      <c r="AL10" s="649"/>
      <c r="AM10" s="649"/>
      <c r="AN10" s="649"/>
      <c r="AO10" s="649"/>
      <c r="AP10" s="649"/>
      <c r="AQ10" s="649"/>
      <c r="AR10" s="649"/>
      <c r="AS10" s="649"/>
      <c r="AT10" s="649"/>
      <c r="AU10" s="649"/>
      <c r="AV10" s="649"/>
      <c r="AW10" s="649"/>
      <c r="AX10" s="649"/>
      <c r="AY10" s="649"/>
      <c r="AZ10" s="649"/>
      <c r="BA10" s="649"/>
      <c r="BB10" s="649"/>
      <c r="BC10" s="649"/>
      <c r="BD10" s="649"/>
      <c r="BE10" s="649"/>
      <c r="BF10" s="649"/>
      <c r="BG10" s="649"/>
      <c r="BH10" s="649"/>
      <c r="BI10" s="649"/>
      <c r="BJ10" s="649"/>
      <c r="BK10" s="649"/>
      <c r="BL10" s="649"/>
      <c r="BM10" s="649"/>
      <c r="BN10" s="649"/>
      <c r="BO10" s="649"/>
      <c r="BP10" s="649"/>
      <c r="BQ10" s="649"/>
      <c r="BR10" s="649"/>
      <c r="BS10" s="649"/>
      <c r="BT10" s="649"/>
      <c r="BU10" s="649"/>
      <c r="BV10" s="649"/>
    </row>
    <row r="11" spans="2:74" ht="14.85" customHeight="1">
      <c r="C11" s="660" t="s">
        <v>1477</v>
      </c>
      <c r="D11" s="661">
        <f>+D21</f>
        <v>0.75</v>
      </c>
      <c r="E11" s="648"/>
      <c r="F11" s="662">
        <f t="shared" ref="F11:P12" ca="1" si="2">OFFSET(F$50,MATCH($C11,$C$51:$C$62,),)</f>
        <v>0.33329999999999999</v>
      </c>
      <c r="G11" s="663">
        <f t="shared" ca="1" si="2"/>
        <v>0.44450000000000001</v>
      </c>
      <c r="H11" s="663">
        <f t="shared" ca="1" si="2"/>
        <v>0.14810000000000001</v>
      </c>
      <c r="I11" s="663">
        <f t="shared" ca="1" si="2"/>
        <v>7.4099999999999999E-2</v>
      </c>
      <c r="J11" s="663">
        <f t="shared" ca="1" si="2"/>
        <v>0</v>
      </c>
      <c r="K11" s="663">
        <f t="shared" ca="1" si="2"/>
        <v>0</v>
      </c>
      <c r="L11" s="663">
        <f t="shared" ca="1" si="2"/>
        <v>0</v>
      </c>
      <c r="M11" s="663">
        <f t="shared" ca="1" si="2"/>
        <v>0</v>
      </c>
      <c r="N11" s="663">
        <f t="shared" ca="1" si="2"/>
        <v>0</v>
      </c>
      <c r="O11" s="664">
        <f t="shared" ca="1" si="2"/>
        <v>0</v>
      </c>
      <c r="P11" s="665">
        <f t="shared" ca="1" si="2"/>
        <v>0</v>
      </c>
      <c r="Q11" s="666"/>
      <c r="R11" s="649"/>
      <c r="S11" s="667"/>
      <c r="T11" s="649"/>
      <c r="U11" s="649"/>
      <c r="V11" s="649"/>
      <c r="W11" s="649"/>
      <c r="X11" s="649"/>
      <c r="Y11" s="649"/>
      <c r="Z11" s="649"/>
      <c r="AA11" s="649"/>
      <c r="AB11" s="649"/>
      <c r="AC11" s="649"/>
      <c r="AD11" s="649"/>
      <c r="AE11" s="649"/>
      <c r="AF11" s="649"/>
      <c r="AG11" s="649"/>
      <c r="AH11" s="649"/>
      <c r="AI11" s="649"/>
      <c r="AJ11" s="649"/>
      <c r="AK11" s="649"/>
      <c r="AL11" s="649"/>
      <c r="AM11" s="649"/>
      <c r="AN11" s="649"/>
      <c r="AO11" s="649"/>
      <c r="AP11" s="649"/>
      <c r="AQ11" s="649"/>
      <c r="AR11" s="649"/>
      <c r="AS11" s="649"/>
      <c r="AT11" s="649"/>
      <c r="AU11" s="649"/>
      <c r="AV11" s="649"/>
      <c r="AW11" s="649"/>
      <c r="AX11" s="649"/>
      <c r="AY11" s="649"/>
      <c r="AZ11" s="649"/>
      <c r="BA11" s="649"/>
      <c r="BB11" s="649"/>
      <c r="BC11" s="649"/>
      <c r="BD11" s="649"/>
      <c r="BE11" s="649"/>
      <c r="BF11" s="649"/>
      <c r="BG11" s="649"/>
      <c r="BH11" s="649"/>
      <c r="BI11" s="649"/>
      <c r="BJ11" s="649"/>
      <c r="BK11" s="649"/>
      <c r="BL11" s="649"/>
      <c r="BM11" s="649"/>
      <c r="BN11" s="649"/>
      <c r="BO11" s="649"/>
      <c r="BP11" s="649"/>
      <c r="BQ11" s="649"/>
      <c r="BR11" s="649"/>
      <c r="BS11" s="649"/>
      <c r="BT11" s="649"/>
      <c r="BU11" s="649"/>
      <c r="BV11" s="649"/>
    </row>
    <row r="12" spans="2:74" ht="14.85" customHeight="1">
      <c r="C12" s="660" t="s">
        <v>1476</v>
      </c>
      <c r="D12" s="668">
        <f>+D22</f>
        <v>0.25</v>
      </c>
      <c r="E12" s="648"/>
      <c r="F12" s="669">
        <f t="shared" ca="1" si="2"/>
        <v>0.2</v>
      </c>
      <c r="G12" s="670">
        <f t="shared" ca="1" si="2"/>
        <v>0.32</v>
      </c>
      <c r="H12" s="670">
        <f t="shared" ca="1" si="2"/>
        <v>0.192</v>
      </c>
      <c r="I12" s="670">
        <f t="shared" ca="1" si="2"/>
        <v>0.1152</v>
      </c>
      <c r="J12" s="670">
        <f t="shared" ca="1" si="2"/>
        <v>0.1152</v>
      </c>
      <c r="K12" s="670">
        <f t="shared" ca="1" si="2"/>
        <v>5.7599999999999998E-2</v>
      </c>
      <c r="L12" s="670">
        <f t="shared" ca="1" si="2"/>
        <v>0</v>
      </c>
      <c r="M12" s="670">
        <f t="shared" ca="1" si="2"/>
        <v>0</v>
      </c>
      <c r="N12" s="670">
        <f t="shared" ca="1" si="2"/>
        <v>0</v>
      </c>
      <c r="O12" s="671">
        <f t="shared" ca="1" si="2"/>
        <v>0</v>
      </c>
      <c r="P12" s="665">
        <f t="shared" ca="1" si="2"/>
        <v>0</v>
      </c>
      <c r="Q12" s="666"/>
      <c r="R12" s="649"/>
      <c r="S12" s="649"/>
      <c r="T12" s="649"/>
      <c r="U12" s="649"/>
      <c r="V12" s="649"/>
      <c r="W12" s="649"/>
      <c r="X12" s="649"/>
      <c r="Y12" s="649"/>
      <c r="Z12" s="649"/>
      <c r="AA12" s="649"/>
      <c r="AB12" s="649"/>
      <c r="AC12" s="649"/>
      <c r="AD12" s="649"/>
      <c r="AE12" s="649"/>
      <c r="AF12" s="649"/>
      <c r="AG12" s="649"/>
      <c r="AH12" s="649"/>
      <c r="AI12" s="649"/>
      <c r="AJ12" s="649"/>
      <c r="AK12" s="649"/>
      <c r="AL12" s="649"/>
      <c r="AM12" s="649"/>
      <c r="AN12" s="649"/>
      <c r="AO12" s="649"/>
      <c r="AP12" s="649"/>
      <c r="AQ12" s="649"/>
      <c r="AR12" s="649"/>
      <c r="AS12" s="649"/>
      <c r="AT12" s="649"/>
      <c r="AU12" s="649"/>
      <c r="AV12" s="649"/>
      <c r="AW12" s="649"/>
      <c r="AX12" s="649"/>
      <c r="AY12" s="649"/>
      <c r="AZ12" s="649"/>
      <c r="BA12" s="649"/>
      <c r="BB12" s="649"/>
      <c r="BC12" s="649"/>
      <c r="BD12" s="649"/>
      <c r="BE12" s="649"/>
      <c r="BF12" s="649"/>
      <c r="BG12" s="649"/>
      <c r="BH12" s="649"/>
      <c r="BI12" s="649"/>
      <c r="BJ12" s="649"/>
      <c r="BK12" s="649"/>
      <c r="BL12" s="649"/>
      <c r="BM12" s="649"/>
      <c r="BN12" s="649"/>
      <c r="BO12" s="649"/>
      <c r="BP12" s="649"/>
      <c r="BQ12" s="649"/>
      <c r="BR12" s="649"/>
      <c r="BS12" s="649"/>
      <c r="BT12" s="649"/>
      <c r="BU12" s="649"/>
      <c r="BV12" s="649"/>
    </row>
    <row r="13" spans="2:74" ht="14.85" customHeight="1">
      <c r="B13" s="672"/>
      <c r="C13" s="673"/>
      <c r="D13" s="674"/>
      <c r="E13" s="648"/>
      <c r="F13" s="675"/>
      <c r="G13" s="675"/>
      <c r="H13" s="675"/>
      <c r="I13" s="675"/>
      <c r="J13" s="675"/>
      <c r="K13" s="675"/>
      <c r="L13" s="675"/>
      <c r="M13" s="675"/>
      <c r="N13" s="675"/>
      <c r="O13" s="675"/>
      <c r="P13" s="675"/>
      <c r="Q13" s="676"/>
      <c r="R13" s="649"/>
      <c r="S13" s="649"/>
      <c r="T13" s="649"/>
      <c r="U13" s="649"/>
      <c r="V13" s="649"/>
      <c r="W13" s="649"/>
      <c r="X13" s="649"/>
      <c r="Y13" s="649"/>
      <c r="Z13" s="649"/>
      <c r="AA13" s="649"/>
      <c r="AB13" s="649"/>
      <c r="AC13" s="649"/>
      <c r="AD13" s="649"/>
      <c r="AE13" s="649"/>
      <c r="AF13" s="649"/>
      <c r="AG13" s="649"/>
      <c r="AH13" s="649"/>
      <c r="AI13" s="649"/>
      <c r="AJ13" s="649"/>
      <c r="AK13" s="649"/>
      <c r="AL13" s="649"/>
      <c r="AM13" s="649"/>
      <c r="AN13" s="649"/>
      <c r="AO13" s="649"/>
      <c r="AP13" s="649"/>
      <c r="AQ13" s="649"/>
      <c r="AR13" s="649"/>
      <c r="AS13" s="649"/>
      <c r="AT13" s="649"/>
      <c r="AU13" s="649"/>
      <c r="AV13" s="649"/>
      <c r="AW13" s="649"/>
      <c r="AX13" s="649"/>
      <c r="AY13" s="649"/>
      <c r="AZ13" s="649"/>
      <c r="BA13" s="649"/>
      <c r="BB13" s="649"/>
      <c r="BC13" s="649"/>
      <c r="BD13" s="649"/>
      <c r="BE13" s="649"/>
      <c r="BF13" s="649"/>
      <c r="BG13" s="649"/>
      <c r="BH13" s="649"/>
      <c r="BI13" s="649"/>
      <c r="BJ13" s="649"/>
      <c r="BK13" s="649"/>
      <c r="BL13" s="649"/>
      <c r="BM13" s="649"/>
      <c r="BN13" s="649"/>
      <c r="BO13" s="649"/>
      <c r="BP13" s="649"/>
      <c r="BQ13" s="649"/>
      <c r="BR13" s="649"/>
      <c r="BS13" s="649"/>
      <c r="BT13" s="649"/>
      <c r="BU13" s="649"/>
      <c r="BV13" s="649"/>
    </row>
    <row r="14" spans="2:74" ht="14.85" customHeight="1">
      <c r="B14" s="677" t="s">
        <v>1479</v>
      </c>
      <c r="C14" s="673"/>
      <c r="D14" s="678"/>
      <c r="E14" s="648"/>
      <c r="F14" s="679">
        <f t="shared" ref="F14:P14" ca="1" si="3">SUMPRODUCT($D$11:$D$12,F11:F12)</f>
        <v>0.29997499999999999</v>
      </c>
      <c r="G14" s="680">
        <f t="shared" ca="1" si="3"/>
        <v>0.41337499999999999</v>
      </c>
      <c r="H14" s="680">
        <f t="shared" ca="1" si="3"/>
        <v>0.15907500000000002</v>
      </c>
      <c r="I14" s="680">
        <f t="shared" ca="1" si="3"/>
        <v>8.4375000000000006E-2</v>
      </c>
      <c r="J14" s="680">
        <f t="shared" ca="1" si="3"/>
        <v>2.8799999999999999E-2</v>
      </c>
      <c r="K14" s="680">
        <f t="shared" ca="1" si="3"/>
        <v>1.44E-2</v>
      </c>
      <c r="L14" s="680">
        <f t="shared" ca="1" si="3"/>
        <v>0</v>
      </c>
      <c r="M14" s="680">
        <f t="shared" ca="1" si="3"/>
        <v>0</v>
      </c>
      <c r="N14" s="680">
        <f t="shared" ca="1" si="3"/>
        <v>0</v>
      </c>
      <c r="O14" s="681">
        <f t="shared" ca="1" si="3"/>
        <v>0</v>
      </c>
      <c r="P14" s="680">
        <f t="shared" ca="1" si="3"/>
        <v>0</v>
      </c>
      <c r="Q14" s="682"/>
      <c r="R14" s="649"/>
      <c r="S14" s="649"/>
      <c r="T14" s="649"/>
      <c r="U14" s="649"/>
      <c r="V14" s="649"/>
      <c r="W14" s="649"/>
      <c r="X14" s="649"/>
      <c r="Y14" s="649"/>
      <c r="Z14" s="649"/>
      <c r="AA14" s="649"/>
      <c r="AB14" s="649"/>
      <c r="AC14" s="649"/>
      <c r="AD14" s="649"/>
      <c r="AE14" s="649"/>
      <c r="AF14" s="649"/>
      <c r="AG14" s="649"/>
      <c r="AH14" s="649"/>
      <c r="AI14" s="649"/>
      <c r="AJ14" s="649"/>
      <c r="AK14" s="649"/>
      <c r="AL14" s="649"/>
      <c r="AM14" s="649"/>
      <c r="AN14" s="649"/>
      <c r="AO14" s="649"/>
      <c r="AP14" s="649"/>
      <c r="AQ14" s="649"/>
      <c r="AR14" s="649"/>
      <c r="AS14" s="649"/>
      <c r="AT14" s="649"/>
      <c r="AU14" s="649"/>
      <c r="AV14" s="649"/>
      <c r="AW14" s="649"/>
      <c r="AX14" s="649"/>
      <c r="AY14" s="649"/>
      <c r="AZ14" s="649"/>
      <c r="BA14" s="649"/>
      <c r="BB14" s="649"/>
      <c r="BC14" s="649"/>
      <c r="BD14" s="649"/>
      <c r="BE14" s="649"/>
      <c r="BF14" s="649"/>
      <c r="BG14" s="649"/>
      <c r="BH14" s="649"/>
      <c r="BI14" s="649"/>
      <c r="BJ14" s="649"/>
      <c r="BK14" s="649"/>
      <c r="BL14" s="649"/>
      <c r="BM14" s="649"/>
      <c r="BN14" s="649"/>
      <c r="BO14" s="649"/>
      <c r="BP14" s="649"/>
      <c r="BQ14" s="649"/>
      <c r="BR14" s="649"/>
      <c r="BS14" s="649"/>
      <c r="BT14" s="649"/>
      <c r="BU14" s="649"/>
      <c r="BV14" s="649"/>
    </row>
    <row r="15" spans="2:74" ht="14.85" customHeight="1">
      <c r="B15" s="673"/>
      <c r="C15" s="673"/>
      <c r="D15" s="683"/>
      <c r="E15" s="648"/>
      <c r="F15" s="684"/>
      <c r="G15" s="684"/>
      <c r="H15" s="684"/>
      <c r="I15" s="684"/>
      <c r="J15" s="684"/>
      <c r="K15" s="684"/>
      <c r="L15" s="684"/>
      <c r="M15" s="684"/>
      <c r="N15" s="684"/>
      <c r="O15" s="684"/>
      <c r="P15" s="684"/>
      <c r="Q15" s="685"/>
      <c r="R15" s="649"/>
      <c r="S15" s="649"/>
      <c r="T15" s="649"/>
      <c r="U15" s="649"/>
      <c r="V15" s="649"/>
      <c r="W15" s="649"/>
      <c r="X15" s="649"/>
      <c r="Y15" s="649"/>
      <c r="Z15" s="649"/>
      <c r="AA15" s="649"/>
      <c r="AB15" s="649"/>
      <c r="AC15" s="649"/>
      <c r="AD15" s="649"/>
      <c r="AE15" s="649"/>
      <c r="AF15" s="649"/>
      <c r="AG15" s="649"/>
      <c r="AH15" s="649"/>
      <c r="AI15" s="649"/>
      <c r="AJ15" s="649"/>
      <c r="AK15" s="649"/>
      <c r="AL15" s="649"/>
      <c r="AM15" s="649"/>
      <c r="AN15" s="649"/>
      <c r="AO15" s="649"/>
      <c r="AP15" s="649"/>
      <c r="AQ15" s="649"/>
      <c r="AR15" s="649"/>
      <c r="AS15" s="649"/>
      <c r="AT15" s="649"/>
      <c r="AU15" s="649"/>
      <c r="AV15" s="649"/>
      <c r="AW15" s="649"/>
      <c r="AX15" s="649"/>
      <c r="AY15" s="649"/>
      <c r="AZ15" s="649"/>
      <c r="BA15" s="649"/>
      <c r="BB15" s="649"/>
      <c r="BC15" s="649"/>
      <c r="BD15" s="649"/>
      <c r="BE15" s="649"/>
      <c r="BF15" s="649"/>
      <c r="BG15" s="649"/>
      <c r="BH15" s="649"/>
      <c r="BI15" s="649"/>
      <c r="BJ15" s="649"/>
      <c r="BK15" s="649"/>
      <c r="BL15" s="649"/>
      <c r="BM15" s="649"/>
      <c r="BN15" s="649"/>
      <c r="BO15" s="649"/>
      <c r="BP15" s="649"/>
      <c r="BQ15" s="649"/>
      <c r="BR15" s="649"/>
      <c r="BS15" s="649"/>
      <c r="BT15" s="649"/>
      <c r="BU15" s="649"/>
      <c r="BV15" s="649"/>
    </row>
    <row r="16" spans="2:74" ht="14.85" customHeight="1">
      <c r="B16" s="686" t="s">
        <v>1478</v>
      </c>
      <c r="C16" s="597"/>
      <c r="D16" s="652"/>
      <c r="E16" s="649"/>
      <c r="F16" s="687">
        <f>F8</f>
        <v>2019</v>
      </c>
      <c r="G16" s="688">
        <f>+F16+1</f>
        <v>2020</v>
      </c>
      <c r="H16" s="688">
        <f t="shared" ref="H16:P17" si="4">+G16+1</f>
        <v>2021</v>
      </c>
      <c r="I16" s="688">
        <f t="shared" si="4"/>
        <v>2022</v>
      </c>
      <c r="J16" s="688">
        <f t="shared" si="4"/>
        <v>2023</v>
      </c>
      <c r="K16" s="688">
        <f t="shared" si="4"/>
        <v>2024</v>
      </c>
      <c r="L16" s="688">
        <f t="shared" si="4"/>
        <v>2025</v>
      </c>
      <c r="M16" s="688">
        <f t="shared" si="4"/>
        <v>2026</v>
      </c>
      <c r="N16" s="688">
        <f t="shared" si="4"/>
        <v>2027</v>
      </c>
      <c r="O16" s="689">
        <f t="shared" si="4"/>
        <v>2028</v>
      </c>
      <c r="P16" s="689">
        <f t="shared" si="4"/>
        <v>2029</v>
      </c>
      <c r="Q16" s="690"/>
      <c r="R16" s="649"/>
      <c r="S16" s="649"/>
      <c r="T16" s="649"/>
      <c r="U16" s="649"/>
      <c r="V16" s="649"/>
      <c r="W16" s="649"/>
      <c r="X16" s="649"/>
      <c r="Y16" s="649"/>
      <c r="Z16" s="649"/>
      <c r="AA16" s="649"/>
      <c r="AB16" s="649"/>
      <c r="AC16" s="649"/>
      <c r="AD16" s="649"/>
      <c r="AE16" s="649"/>
      <c r="AF16" s="649"/>
      <c r="AG16" s="649"/>
      <c r="AH16" s="649"/>
      <c r="AI16" s="649"/>
      <c r="AJ16" s="649"/>
      <c r="AK16" s="649"/>
      <c r="AL16" s="649"/>
      <c r="AM16" s="649"/>
      <c r="AN16" s="649"/>
      <c r="AO16" s="649"/>
      <c r="AP16" s="649"/>
      <c r="AQ16" s="649"/>
      <c r="AR16" s="649"/>
      <c r="AS16" s="649"/>
      <c r="AT16" s="649"/>
      <c r="AU16" s="649"/>
      <c r="AV16" s="649"/>
      <c r="AW16" s="649"/>
      <c r="AX16" s="649"/>
      <c r="AY16" s="649"/>
      <c r="AZ16" s="649"/>
      <c r="BA16" s="649"/>
      <c r="BB16" s="649"/>
      <c r="BC16" s="649"/>
      <c r="BD16" s="649"/>
      <c r="BE16" s="649"/>
      <c r="BF16" s="649"/>
      <c r="BG16" s="649"/>
      <c r="BH16" s="649"/>
      <c r="BI16" s="649"/>
      <c r="BJ16" s="649"/>
      <c r="BK16" s="649"/>
      <c r="BL16" s="649"/>
      <c r="BM16" s="649"/>
      <c r="BN16" s="649"/>
      <c r="BO16" s="649"/>
      <c r="BP16" s="649"/>
      <c r="BQ16" s="649"/>
      <c r="BR16" s="649"/>
      <c r="BS16" s="649"/>
      <c r="BT16" s="649"/>
      <c r="BU16" s="649"/>
      <c r="BV16" s="649"/>
    </row>
    <row r="17" spans="2:74" ht="14.85" customHeight="1">
      <c r="C17" s="618" t="s">
        <v>1480</v>
      </c>
      <c r="D17" s="691">
        <v>3</v>
      </c>
      <c r="F17" s="692">
        <f>+D17+1</f>
        <v>4</v>
      </c>
      <c r="G17" s="693">
        <f>+F17+1</f>
        <v>5</v>
      </c>
      <c r="H17" s="693">
        <f t="shared" si="4"/>
        <v>6</v>
      </c>
      <c r="I17" s="693">
        <f t="shared" si="4"/>
        <v>7</v>
      </c>
      <c r="J17" s="693">
        <f t="shared" si="4"/>
        <v>8</v>
      </c>
      <c r="K17" s="693">
        <f t="shared" si="4"/>
        <v>9</v>
      </c>
      <c r="L17" s="693">
        <f t="shared" si="4"/>
        <v>10</v>
      </c>
      <c r="M17" s="693">
        <f t="shared" si="4"/>
        <v>11</v>
      </c>
      <c r="N17" s="693">
        <f t="shared" si="4"/>
        <v>12</v>
      </c>
      <c r="O17" s="694">
        <f t="shared" si="4"/>
        <v>13</v>
      </c>
      <c r="P17" s="694">
        <f t="shared" si="4"/>
        <v>14</v>
      </c>
      <c r="Q17" s="690"/>
      <c r="R17" s="649"/>
      <c r="S17" s="649"/>
      <c r="T17" s="649"/>
      <c r="U17" s="649"/>
      <c r="V17" s="649"/>
      <c r="W17" s="649"/>
      <c r="X17" s="649"/>
      <c r="Y17" s="649"/>
      <c r="Z17" s="649"/>
      <c r="AA17" s="649"/>
      <c r="AB17" s="649"/>
      <c r="AC17" s="649"/>
      <c r="AD17" s="649"/>
      <c r="AE17" s="649"/>
      <c r="AF17" s="649"/>
      <c r="AG17" s="649"/>
      <c r="AH17" s="649"/>
      <c r="AI17" s="649"/>
      <c r="AJ17" s="649"/>
      <c r="AK17" s="649"/>
      <c r="AL17" s="649"/>
      <c r="AM17" s="649"/>
      <c r="AN17" s="649"/>
      <c r="AO17" s="649"/>
      <c r="AP17" s="649"/>
      <c r="AQ17" s="649"/>
      <c r="AR17" s="649"/>
      <c r="AS17" s="649"/>
      <c r="AT17" s="649"/>
      <c r="AU17" s="649"/>
      <c r="AV17" s="649"/>
      <c r="AW17" s="649"/>
      <c r="AX17" s="649"/>
      <c r="AY17" s="649"/>
      <c r="AZ17" s="649"/>
      <c r="BA17" s="649"/>
      <c r="BB17" s="649"/>
      <c r="BC17" s="649"/>
      <c r="BD17" s="649"/>
      <c r="BE17" s="649"/>
      <c r="BF17" s="649"/>
      <c r="BG17" s="649"/>
      <c r="BH17" s="649"/>
      <c r="BI17" s="649"/>
      <c r="BJ17" s="649"/>
      <c r="BK17" s="649"/>
      <c r="BL17" s="649"/>
      <c r="BM17" s="649"/>
      <c r="BN17" s="649"/>
      <c r="BO17" s="649"/>
      <c r="BP17" s="649"/>
      <c r="BQ17" s="649"/>
      <c r="BR17" s="649"/>
      <c r="BS17" s="649"/>
      <c r="BT17" s="649"/>
      <c r="BU17" s="649"/>
      <c r="BV17" s="649"/>
    </row>
    <row r="18" spans="2:74" ht="14.85" customHeight="1">
      <c r="C18" s="597" t="s">
        <v>1481</v>
      </c>
      <c r="D18" s="451" t="e">
        <f>'Hist BS'!#REF!</f>
        <v>#REF!</v>
      </c>
      <c r="E18" s="649"/>
      <c r="F18" s="695">
        <f ca="1">IFERROR($D18/SUMIF($F$10:$P$10,"&gt;"&amp;$D$17,$F$14:$P$14)*HLOOKUP(F17,$F$10:$P$14,ROWS($D$10:$D$14),FALSE),0)</f>
        <v>0</v>
      </c>
      <c r="G18" s="696">
        <f t="shared" ref="G18:P18" ca="1" si="5">IFERROR($D18/SUMIF($F$10:$P$10,"&gt;"&amp;$D$17,$F$14:$P$14)*HLOOKUP(G17,$F$10:$P$14,ROWS($D$10:$D$14),FALSE),0)</f>
        <v>0</v>
      </c>
      <c r="H18" s="696">
        <f t="shared" ca="1" si="5"/>
        <v>0</v>
      </c>
      <c r="I18" s="696">
        <f t="shared" ca="1" si="5"/>
        <v>0</v>
      </c>
      <c r="J18" s="696">
        <f t="shared" ca="1" si="5"/>
        <v>0</v>
      </c>
      <c r="K18" s="696">
        <f t="shared" ca="1" si="5"/>
        <v>0</v>
      </c>
      <c r="L18" s="696">
        <f t="shared" ca="1" si="5"/>
        <v>0</v>
      </c>
      <c r="M18" s="696">
        <f t="shared" ca="1" si="5"/>
        <v>0</v>
      </c>
      <c r="N18" s="696">
        <f t="shared" ca="1" si="5"/>
        <v>0</v>
      </c>
      <c r="O18" s="697">
        <f t="shared" ca="1" si="5"/>
        <v>0</v>
      </c>
      <c r="P18" s="697">
        <f t="shared" ca="1" si="5"/>
        <v>0</v>
      </c>
      <c r="Q18" s="698"/>
      <c r="R18" s="699" t="e">
        <f ca="1">D18=SUM(F18:P18)</f>
        <v>#REF!</v>
      </c>
      <c r="S18" s="649"/>
      <c r="T18" s="649"/>
      <c r="U18" s="649"/>
      <c r="V18" s="649"/>
      <c r="W18" s="649"/>
      <c r="X18" s="649"/>
      <c r="Y18" s="649"/>
      <c r="Z18" s="649"/>
      <c r="AA18" s="649"/>
      <c r="AB18" s="649"/>
      <c r="AC18" s="649"/>
      <c r="AD18" s="649"/>
      <c r="AE18" s="649"/>
      <c r="AF18" s="649"/>
      <c r="AG18" s="649"/>
      <c r="AH18" s="649"/>
      <c r="AI18" s="649"/>
      <c r="AJ18" s="649"/>
      <c r="AK18" s="649"/>
      <c r="AL18" s="649"/>
      <c r="AM18" s="649"/>
      <c r="AN18" s="649"/>
      <c r="AO18" s="649"/>
      <c r="AP18" s="649"/>
      <c r="AQ18" s="649"/>
      <c r="AR18" s="649"/>
      <c r="AS18" s="649"/>
      <c r="AT18" s="649"/>
      <c r="AU18" s="649"/>
      <c r="AV18" s="649"/>
      <c r="AW18" s="649"/>
      <c r="AX18" s="649"/>
      <c r="AY18" s="649"/>
      <c r="AZ18" s="649"/>
      <c r="BA18" s="649"/>
      <c r="BB18" s="649"/>
      <c r="BC18" s="649"/>
      <c r="BD18" s="649"/>
      <c r="BE18" s="649"/>
      <c r="BF18" s="649"/>
      <c r="BG18" s="649"/>
      <c r="BH18" s="649"/>
      <c r="BI18" s="649"/>
      <c r="BJ18" s="649"/>
      <c r="BK18" s="649"/>
      <c r="BL18" s="649"/>
      <c r="BM18" s="649"/>
      <c r="BN18" s="649"/>
      <c r="BO18" s="649"/>
      <c r="BP18" s="649"/>
      <c r="BQ18" s="649"/>
      <c r="BR18" s="649"/>
      <c r="BS18" s="649"/>
      <c r="BT18" s="649"/>
      <c r="BU18" s="649"/>
      <c r="BV18" s="649"/>
    </row>
    <row r="19" spans="2:74" ht="14.85" customHeight="1">
      <c r="B19" s="597"/>
      <c r="C19" s="597"/>
      <c r="D19" s="652"/>
      <c r="E19" s="649"/>
      <c r="F19" s="652"/>
      <c r="G19" s="652"/>
      <c r="H19" s="652"/>
      <c r="I19" s="652"/>
      <c r="J19" s="652"/>
      <c r="K19" s="652"/>
      <c r="L19" s="652"/>
      <c r="M19" s="652"/>
      <c r="N19" s="652"/>
      <c r="O19" s="652"/>
      <c r="P19" s="652"/>
      <c r="Q19" s="649"/>
      <c r="R19" s="649"/>
      <c r="S19" s="649"/>
      <c r="T19" s="649"/>
      <c r="U19" s="649"/>
      <c r="V19" s="649"/>
      <c r="W19" s="649"/>
      <c r="X19" s="649"/>
      <c r="Y19" s="649"/>
      <c r="Z19" s="649"/>
      <c r="AA19" s="649"/>
      <c r="AB19" s="649"/>
      <c r="AC19" s="649"/>
      <c r="AD19" s="649"/>
      <c r="AE19" s="649"/>
      <c r="AF19" s="649"/>
      <c r="AG19" s="649"/>
      <c r="AH19" s="649"/>
      <c r="AI19" s="649"/>
      <c r="AJ19" s="649"/>
      <c r="AK19" s="649"/>
      <c r="AL19" s="649"/>
      <c r="AM19" s="649"/>
      <c r="AN19" s="649"/>
      <c r="AO19" s="649"/>
      <c r="AP19" s="649"/>
      <c r="AQ19" s="649"/>
      <c r="AR19" s="649"/>
      <c r="AS19" s="649"/>
      <c r="AT19" s="649"/>
      <c r="AU19" s="649"/>
      <c r="AV19" s="649"/>
      <c r="AW19" s="649"/>
      <c r="AX19" s="649"/>
      <c r="AY19" s="649"/>
      <c r="AZ19" s="649"/>
      <c r="BA19" s="649"/>
      <c r="BB19" s="649"/>
      <c r="BC19" s="649"/>
      <c r="BD19" s="649"/>
      <c r="BE19" s="649"/>
      <c r="BF19" s="649"/>
      <c r="BG19" s="649"/>
      <c r="BH19" s="649"/>
      <c r="BI19" s="649"/>
      <c r="BJ19" s="649"/>
      <c r="BK19" s="649"/>
      <c r="BL19" s="649"/>
      <c r="BM19" s="649"/>
      <c r="BN19" s="649"/>
      <c r="BO19" s="649"/>
      <c r="BP19" s="649"/>
      <c r="BQ19" s="649"/>
      <c r="BR19" s="649"/>
      <c r="BS19" s="649"/>
      <c r="BT19" s="649"/>
      <c r="BU19" s="649"/>
      <c r="BV19" s="649"/>
    </row>
    <row r="20" spans="2:74" ht="14.85" customHeight="1">
      <c r="B20" s="700"/>
      <c r="C20" s="653"/>
      <c r="D20" s="654" t="s">
        <v>1482</v>
      </c>
      <c r="E20" s="648"/>
      <c r="F20" s="656">
        <v>1</v>
      </c>
      <c r="G20" s="657">
        <f>+F20+1</f>
        <v>2</v>
      </c>
      <c r="H20" s="657">
        <f t="shared" ref="H20:O20" si="6">+G20+1</f>
        <v>3</v>
      </c>
      <c r="I20" s="657">
        <f t="shared" si="6"/>
        <v>4</v>
      </c>
      <c r="J20" s="657">
        <f t="shared" si="6"/>
        <v>5</v>
      </c>
      <c r="K20" s="657">
        <f t="shared" si="6"/>
        <v>6</v>
      </c>
      <c r="L20" s="657">
        <f t="shared" si="6"/>
        <v>7</v>
      </c>
      <c r="M20" s="657">
        <f t="shared" si="6"/>
        <v>8</v>
      </c>
      <c r="N20" s="657">
        <f t="shared" si="6"/>
        <v>9</v>
      </c>
      <c r="O20" s="658">
        <f t="shared" si="6"/>
        <v>10</v>
      </c>
      <c r="P20" s="658">
        <f>+O20+1</f>
        <v>11</v>
      </c>
      <c r="Q20" s="659"/>
      <c r="R20" s="649"/>
      <c r="S20" s="649"/>
      <c r="T20" s="649"/>
      <c r="U20" s="649"/>
      <c r="V20" s="649"/>
      <c r="W20" s="649"/>
      <c r="X20" s="649"/>
      <c r="Y20" s="649"/>
      <c r="Z20" s="649"/>
      <c r="AA20" s="649"/>
      <c r="AB20" s="649"/>
      <c r="AC20" s="649"/>
      <c r="AD20" s="649"/>
      <c r="AE20" s="649"/>
      <c r="AF20" s="649"/>
      <c r="AG20" s="649"/>
      <c r="AH20" s="649"/>
      <c r="AI20" s="649"/>
      <c r="AJ20" s="649"/>
      <c r="AK20" s="649"/>
      <c r="AL20" s="649"/>
      <c r="AM20" s="649"/>
      <c r="AN20" s="649"/>
      <c r="AO20" s="649"/>
      <c r="AP20" s="649"/>
      <c r="AQ20" s="649"/>
      <c r="AR20" s="649"/>
      <c r="AS20" s="649"/>
      <c r="AT20" s="649"/>
      <c r="AU20" s="649"/>
      <c r="AV20" s="649"/>
      <c r="AW20" s="649"/>
      <c r="AX20" s="649"/>
      <c r="AY20" s="649"/>
      <c r="AZ20" s="649"/>
      <c r="BA20" s="649"/>
      <c r="BB20" s="649"/>
      <c r="BC20" s="649"/>
      <c r="BD20" s="649"/>
      <c r="BE20" s="649"/>
      <c r="BF20" s="649"/>
      <c r="BG20" s="649"/>
      <c r="BH20" s="649"/>
      <c r="BI20" s="649"/>
      <c r="BJ20" s="649"/>
      <c r="BK20" s="649"/>
      <c r="BL20" s="649"/>
      <c r="BM20" s="649"/>
      <c r="BN20" s="649"/>
      <c r="BO20" s="649"/>
      <c r="BP20" s="649"/>
      <c r="BQ20" s="649"/>
      <c r="BR20" s="649"/>
      <c r="BS20" s="649"/>
      <c r="BT20" s="649"/>
      <c r="BU20" s="649"/>
      <c r="BV20" s="649"/>
    </row>
    <row r="21" spans="2:74" ht="14.85" customHeight="1">
      <c r="C21" s="660" t="s">
        <v>1477</v>
      </c>
      <c r="D21" s="701">
        <v>0.75</v>
      </c>
      <c r="E21" s="648"/>
      <c r="F21" s="662">
        <f t="shared" ref="F21:P23" ca="1" si="7">OFFSET(F$50,MATCH($C21,$C$51:$C$62,),)</f>
        <v>0.33329999999999999</v>
      </c>
      <c r="G21" s="663">
        <f t="shared" ca="1" si="7"/>
        <v>0.44450000000000001</v>
      </c>
      <c r="H21" s="663">
        <f t="shared" ca="1" si="7"/>
        <v>0.14810000000000001</v>
      </c>
      <c r="I21" s="663">
        <f t="shared" ca="1" si="7"/>
        <v>7.4099999999999999E-2</v>
      </c>
      <c r="J21" s="663">
        <f t="shared" ca="1" si="7"/>
        <v>0</v>
      </c>
      <c r="K21" s="663">
        <f t="shared" ca="1" si="7"/>
        <v>0</v>
      </c>
      <c r="L21" s="663">
        <f t="shared" ca="1" si="7"/>
        <v>0</v>
      </c>
      <c r="M21" s="663">
        <f t="shared" ca="1" si="7"/>
        <v>0</v>
      </c>
      <c r="N21" s="663">
        <f t="shared" ca="1" si="7"/>
        <v>0</v>
      </c>
      <c r="O21" s="664">
        <f t="shared" ca="1" si="7"/>
        <v>0</v>
      </c>
      <c r="P21" s="665">
        <f t="shared" ca="1" si="7"/>
        <v>0</v>
      </c>
      <c r="Q21" s="666"/>
      <c r="R21" s="649"/>
      <c r="S21" s="649"/>
      <c r="T21" s="649"/>
      <c r="U21" s="649"/>
      <c r="V21" s="649"/>
      <c r="W21" s="649"/>
      <c r="X21" s="649"/>
      <c r="Y21" s="649"/>
      <c r="Z21" s="649"/>
      <c r="AA21" s="649"/>
      <c r="AB21" s="649"/>
      <c r="AC21" s="649"/>
      <c r="AD21" s="649"/>
      <c r="AE21" s="649"/>
      <c r="AF21" s="649"/>
      <c r="AG21" s="649"/>
      <c r="AH21" s="649"/>
      <c r="AI21" s="649"/>
      <c r="AJ21" s="649"/>
      <c r="AK21" s="649"/>
      <c r="AL21" s="649"/>
      <c r="AM21" s="649"/>
      <c r="AN21" s="649"/>
      <c r="AO21" s="649"/>
      <c r="AP21" s="649"/>
      <c r="AQ21" s="649"/>
      <c r="AR21" s="649"/>
      <c r="AS21" s="649"/>
      <c r="AT21" s="649"/>
      <c r="AU21" s="649"/>
      <c r="AV21" s="649"/>
      <c r="AW21" s="649"/>
      <c r="AX21" s="649"/>
      <c r="AY21" s="649"/>
      <c r="AZ21" s="649"/>
      <c r="BA21" s="649"/>
      <c r="BB21" s="649"/>
      <c r="BC21" s="649"/>
      <c r="BD21" s="649"/>
      <c r="BE21" s="649"/>
      <c r="BF21" s="649"/>
      <c r="BG21" s="649"/>
      <c r="BH21" s="649"/>
      <c r="BI21" s="649"/>
      <c r="BJ21" s="649"/>
      <c r="BK21" s="649"/>
      <c r="BL21" s="649"/>
      <c r="BM21" s="649"/>
      <c r="BN21" s="649"/>
      <c r="BO21" s="649"/>
      <c r="BP21" s="649"/>
      <c r="BQ21" s="649"/>
      <c r="BR21" s="649"/>
      <c r="BS21" s="649"/>
      <c r="BT21" s="649"/>
      <c r="BU21" s="649"/>
      <c r="BV21" s="649"/>
    </row>
    <row r="22" spans="2:74" ht="14.85" customHeight="1">
      <c r="C22" s="660" t="s">
        <v>1476</v>
      </c>
      <c r="D22" s="702">
        <v>0.25</v>
      </c>
      <c r="E22" s="648"/>
      <c r="F22" s="703">
        <f t="shared" ca="1" si="7"/>
        <v>0.2</v>
      </c>
      <c r="G22" s="704">
        <f ca="1">OFFSET(G$50,MATCH($C22,$C$51:$C$62,),)</f>
        <v>0.32</v>
      </c>
      <c r="H22" s="704">
        <f t="shared" ca="1" si="7"/>
        <v>0.192</v>
      </c>
      <c r="I22" s="704">
        <f t="shared" ca="1" si="7"/>
        <v>0.1152</v>
      </c>
      <c r="J22" s="704">
        <f t="shared" ca="1" si="7"/>
        <v>0.1152</v>
      </c>
      <c r="K22" s="704">
        <f t="shared" ca="1" si="7"/>
        <v>5.7599999999999998E-2</v>
      </c>
      <c r="L22" s="704">
        <f t="shared" ca="1" si="7"/>
        <v>0</v>
      </c>
      <c r="M22" s="704">
        <f t="shared" ca="1" si="7"/>
        <v>0</v>
      </c>
      <c r="N22" s="704">
        <f t="shared" ca="1" si="7"/>
        <v>0</v>
      </c>
      <c r="O22" s="705">
        <f t="shared" ca="1" si="7"/>
        <v>0</v>
      </c>
      <c r="P22" s="665">
        <f t="shared" ca="1" si="7"/>
        <v>0</v>
      </c>
      <c r="Q22" s="666"/>
      <c r="R22" s="649"/>
      <c r="S22" s="649"/>
      <c r="T22" s="649"/>
      <c r="U22" s="649"/>
      <c r="V22" s="649"/>
      <c r="W22" s="649"/>
      <c r="X22" s="649"/>
      <c r="Y22" s="649"/>
      <c r="Z22" s="649"/>
      <c r="AA22" s="649"/>
      <c r="AB22" s="649"/>
      <c r="AC22" s="649"/>
      <c r="AD22" s="649"/>
      <c r="AE22" s="649"/>
      <c r="AF22" s="649"/>
      <c r="AG22" s="649"/>
      <c r="AH22" s="649"/>
      <c r="AI22" s="649"/>
      <c r="AJ22" s="649"/>
      <c r="AK22" s="649"/>
      <c r="AL22" s="649"/>
      <c r="AM22" s="649"/>
      <c r="AN22" s="649"/>
      <c r="AO22" s="649"/>
      <c r="AP22" s="649"/>
      <c r="AQ22" s="649"/>
      <c r="AR22" s="649"/>
      <c r="AS22" s="649"/>
      <c r="AT22" s="649"/>
      <c r="AU22" s="649"/>
      <c r="AV22" s="649"/>
      <c r="AW22" s="649"/>
      <c r="AX22" s="649"/>
      <c r="AY22" s="649"/>
      <c r="AZ22" s="649"/>
      <c r="BA22" s="649"/>
      <c r="BB22" s="649"/>
      <c r="BC22" s="649"/>
      <c r="BD22" s="649"/>
      <c r="BE22" s="649"/>
      <c r="BF22" s="649"/>
      <c r="BG22" s="649"/>
      <c r="BH22" s="649"/>
      <c r="BI22" s="649"/>
      <c r="BJ22" s="649"/>
      <c r="BK22" s="649"/>
      <c r="BL22" s="649"/>
      <c r="BM22" s="649"/>
      <c r="BN22" s="649"/>
      <c r="BO22" s="649"/>
      <c r="BP22" s="649"/>
      <c r="BQ22" s="649"/>
      <c r="BR22" s="649"/>
      <c r="BS22" s="649"/>
      <c r="BT22" s="649"/>
      <c r="BU22" s="649"/>
      <c r="BV22" s="649"/>
    </row>
    <row r="23" spans="2:74" ht="14.85" customHeight="1">
      <c r="C23" s="660" t="s">
        <v>1475</v>
      </c>
      <c r="D23" s="706">
        <v>0</v>
      </c>
      <c r="E23" s="648"/>
      <c r="F23" s="669">
        <f t="shared" ca="1" si="7"/>
        <v>0.1429</v>
      </c>
      <c r="G23" s="670">
        <f t="shared" ca="1" si="7"/>
        <v>0.24489999999999998</v>
      </c>
      <c r="H23" s="670">
        <f t="shared" ca="1" si="7"/>
        <v>0.17489999999999997</v>
      </c>
      <c r="I23" s="670">
        <f t="shared" ca="1" si="7"/>
        <v>0.1249</v>
      </c>
      <c r="J23" s="670">
        <f t="shared" ca="1" si="7"/>
        <v>8.929999999999999E-2</v>
      </c>
      <c r="K23" s="670">
        <f t="shared" ca="1" si="7"/>
        <v>8.9200000000000002E-2</v>
      </c>
      <c r="L23" s="670">
        <f t="shared" ca="1" si="7"/>
        <v>8.929999999999999E-2</v>
      </c>
      <c r="M23" s="670">
        <f t="shared" ca="1" si="7"/>
        <v>4.4600000000000001E-2</v>
      </c>
      <c r="N23" s="670">
        <f t="shared" ca="1" si="7"/>
        <v>0</v>
      </c>
      <c r="O23" s="671">
        <f t="shared" ca="1" si="7"/>
        <v>0</v>
      </c>
      <c r="P23" s="665">
        <f t="shared" ca="1" si="7"/>
        <v>0</v>
      </c>
      <c r="Q23" s="666"/>
      <c r="R23" s="649"/>
      <c r="S23" s="649"/>
      <c r="T23" s="649"/>
      <c r="U23" s="649"/>
      <c r="V23" s="649"/>
      <c r="W23" s="649"/>
      <c r="X23" s="649"/>
      <c r="Y23" s="649"/>
      <c r="Z23" s="649"/>
      <c r="AA23" s="649"/>
      <c r="AB23" s="649"/>
      <c r="AC23" s="649"/>
      <c r="AD23" s="649"/>
      <c r="AE23" s="649"/>
      <c r="AF23" s="649"/>
      <c r="AG23" s="649"/>
      <c r="AH23" s="649"/>
      <c r="AI23" s="649"/>
      <c r="AJ23" s="649"/>
      <c r="AK23" s="649"/>
      <c r="AL23" s="649"/>
      <c r="AM23" s="649"/>
      <c r="AN23" s="649"/>
      <c r="AO23" s="649"/>
      <c r="AP23" s="649"/>
      <c r="AQ23" s="649"/>
      <c r="AR23" s="649"/>
      <c r="AS23" s="649"/>
      <c r="AT23" s="649"/>
      <c r="AU23" s="649"/>
      <c r="AV23" s="649"/>
      <c r="AW23" s="649"/>
      <c r="AX23" s="649"/>
      <c r="AY23" s="649"/>
      <c r="AZ23" s="649"/>
      <c r="BA23" s="649"/>
      <c r="BB23" s="649"/>
      <c r="BC23" s="649"/>
      <c r="BD23" s="649"/>
      <c r="BE23" s="649"/>
      <c r="BF23" s="649"/>
      <c r="BG23" s="649"/>
      <c r="BH23" s="649"/>
      <c r="BI23" s="649"/>
      <c r="BJ23" s="649"/>
      <c r="BK23" s="649"/>
      <c r="BL23" s="649"/>
      <c r="BM23" s="649"/>
      <c r="BN23" s="649"/>
      <c r="BO23" s="649"/>
      <c r="BP23" s="649"/>
      <c r="BQ23" s="649"/>
      <c r="BR23" s="649"/>
      <c r="BS23" s="649"/>
      <c r="BT23" s="649"/>
      <c r="BU23" s="649"/>
      <c r="BV23" s="649"/>
    </row>
    <row r="24" spans="2:74" ht="14.85" customHeight="1">
      <c r="B24" s="672"/>
      <c r="C24" s="673"/>
      <c r="D24" s="707"/>
      <c r="E24" s="648"/>
      <c r="F24" s="675"/>
      <c r="G24" s="675"/>
      <c r="H24" s="675"/>
      <c r="I24" s="675"/>
      <c r="J24" s="675"/>
      <c r="K24" s="675"/>
      <c r="L24" s="675"/>
      <c r="M24" s="675"/>
      <c r="N24" s="675"/>
      <c r="O24" s="675"/>
      <c r="P24" s="675"/>
      <c r="Q24" s="698"/>
      <c r="R24" s="649"/>
      <c r="S24" s="649"/>
      <c r="T24" s="649"/>
      <c r="U24" s="649"/>
      <c r="V24" s="649"/>
      <c r="W24" s="649"/>
      <c r="X24" s="649"/>
      <c r="Y24" s="649"/>
      <c r="Z24" s="649"/>
      <c r="AA24" s="649"/>
      <c r="AB24" s="649"/>
      <c r="AC24" s="649"/>
      <c r="AD24" s="649"/>
      <c r="AE24" s="649"/>
      <c r="AF24" s="649"/>
      <c r="AG24" s="649"/>
      <c r="AH24" s="649"/>
      <c r="AI24" s="649"/>
      <c r="AJ24" s="649"/>
      <c r="AK24" s="649"/>
      <c r="AL24" s="649"/>
      <c r="AM24" s="649"/>
      <c r="AN24" s="649"/>
      <c r="AO24" s="649"/>
      <c r="AP24" s="649"/>
      <c r="AQ24" s="649"/>
      <c r="AR24" s="649"/>
      <c r="AS24" s="649"/>
      <c r="AT24" s="649"/>
      <c r="AU24" s="649"/>
      <c r="AV24" s="649"/>
      <c r="AW24" s="649"/>
      <c r="AX24" s="649"/>
      <c r="AY24" s="649"/>
      <c r="AZ24" s="649"/>
      <c r="BA24" s="649"/>
      <c r="BB24" s="649"/>
      <c r="BC24" s="649"/>
      <c r="BD24" s="649"/>
      <c r="BE24" s="649"/>
      <c r="BF24" s="649"/>
      <c r="BG24" s="649"/>
      <c r="BH24" s="649"/>
      <c r="BI24" s="649"/>
      <c r="BJ24" s="649"/>
      <c r="BK24" s="649"/>
      <c r="BL24" s="649"/>
      <c r="BM24" s="649"/>
      <c r="BN24" s="649"/>
      <c r="BO24" s="649"/>
      <c r="BP24" s="649"/>
      <c r="BQ24" s="649"/>
      <c r="BR24" s="649"/>
      <c r="BS24" s="649"/>
      <c r="BT24" s="649"/>
      <c r="BU24" s="649"/>
      <c r="BV24" s="649"/>
    </row>
    <row r="25" spans="2:74" ht="14.85" customHeight="1">
      <c r="B25" s="686" t="s">
        <v>1479</v>
      </c>
      <c r="C25" s="653"/>
      <c r="D25" s="708"/>
      <c r="E25" s="648"/>
      <c r="F25" s="679">
        <f t="shared" ref="F25:P25" ca="1" si="8">SUMPRODUCT($D$21:$D$23,F21:F23)</f>
        <v>0.29997499999999999</v>
      </c>
      <c r="G25" s="680">
        <f t="shared" ca="1" si="8"/>
        <v>0.41337499999999999</v>
      </c>
      <c r="H25" s="680">
        <f t="shared" ca="1" si="8"/>
        <v>0.15907500000000002</v>
      </c>
      <c r="I25" s="680">
        <f t="shared" ca="1" si="8"/>
        <v>8.4375000000000006E-2</v>
      </c>
      <c r="J25" s="680">
        <f t="shared" ca="1" si="8"/>
        <v>2.8799999999999999E-2</v>
      </c>
      <c r="K25" s="680">
        <f t="shared" ca="1" si="8"/>
        <v>1.44E-2</v>
      </c>
      <c r="L25" s="680">
        <f t="shared" ca="1" si="8"/>
        <v>0</v>
      </c>
      <c r="M25" s="680">
        <f t="shared" ca="1" si="8"/>
        <v>0</v>
      </c>
      <c r="N25" s="680">
        <f t="shared" ca="1" si="8"/>
        <v>0</v>
      </c>
      <c r="O25" s="681">
        <f t="shared" ca="1" si="8"/>
        <v>0</v>
      </c>
      <c r="P25" s="681">
        <f t="shared" ca="1" si="8"/>
        <v>0</v>
      </c>
      <c r="Q25" s="682"/>
      <c r="R25" s="649"/>
      <c r="S25" s="649"/>
      <c r="T25" s="649"/>
      <c r="U25" s="649"/>
      <c r="V25" s="649"/>
      <c r="W25" s="649"/>
      <c r="X25" s="649"/>
      <c r="Y25" s="649"/>
      <c r="Z25" s="649"/>
      <c r="AA25" s="649"/>
      <c r="AB25" s="649"/>
      <c r="AC25" s="649"/>
      <c r="AD25" s="649"/>
      <c r="AE25" s="649"/>
      <c r="AF25" s="649"/>
      <c r="AG25" s="649"/>
      <c r="AH25" s="649"/>
      <c r="AI25" s="649"/>
      <c r="AJ25" s="649"/>
      <c r="AK25" s="649"/>
      <c r="AL25" s="649"/>
      <c r="AM25" s="649"/>
      <c r="AN25" s="649"/>
      <c r="AO25" s="649"/>
      <c r="AP25" s="649"/>
      <c r="AQ25" s="649"/>
      <c r="AR25" s="649"/>
      <c r="AS25" s="649"/>
      <c r="AT25" s="649"/>
      <c r="AU25" s="649"/>
      <c r="AV25" s="649"/>
      <c r="AW25" s="649"/>
      <c r="AX25" s="649"/>
      <c r="AY25" s="649"/>
      <c r="AZ25" s="649"/>
      <c r="BA25" s="649"/>
      <c r="BB25" s="649"/>
      <c r="BC25" s="649"/>
      <c r="BD25" s="649"/>
      <c r="BE25" s="649"/>
      <c r="BF25" s="649"/>
      <c r="BG25" s="649"/>
      <c r="BH25" s="649"/>
      <c r="BI25" s="649"/>
      <c r="BJ25" s="649"/>
      <c r="BK25" s="649"/>
      <c r="BL25" s="649"/>
      <c r="BM25" s="649"/>
      <c r="BN25" s="649"/>
      <c r="BO25" s="649"/>
      <c r="BP25" s="649"/>
      <c r="BQ25" s="649"/>
      <c r="BR25" s="649"/>
      <c r="BS25" s="649"/>
      <c r="BT25" s="649"/>
      <c r="BU25" s="649"/>
      <c r="BV25" s="649"/>
    </row>
    <row r="26" spans="2:74" ht="14.85" customHeight="1">
      <c r="B26" s="709"/>
      <c r="C26" s="597"/>
      <c r="D26" s="649"/>
      <c r="E26" s="649"/>
      <c r="F26" s="710"/>
      <c r="G26" s="710"/>
      <c r="H26" s="710"/>
      <c r="I26" s="710"/>
      <c r="J26" s="710"/>
      <c r="K26" s="710"/>
      <c r="L26" s="710"/>
      <c r="M26" s="710"/>
      <c r="N26" s="710"/>
      <c r="O26" s="710"/>
      <c r="P26" s="710"/>
      <c r="Q26" s="597"/>
      <c r="R26" s="649"/>
      <c r="S26" s="649"/>
      <c r="T26" s="649"/>
      <c r="U26" s="649"/>
      <c r="V26" s="649"/>
      <c r="W26" s="649"/>
      <c r="X26" s="649"/>
      <c r="Y26" s="649"/>
      <c r="Z26" s="649"/>
      <c r="AA26" s="649"/>
      <c r="AB26" s="649"/>
      <c r="AC26" s="649"/>
      <c r="AD26" s="649"/>
      <c r="AE26" s="649"/>
      <c r="AF26" s="649"/>
      <c r="AG26" s="649"/>
      <c r="AH26" s="649"/>
      <c r="AI26" s="649"/>
      <c r="AJ26" s="649"/>
      <c r="AK26" s="649"/>
      <c r="AL26" s="649"/>
      <c r="AM26" s="649"/>
      <c r="AN26" s="649"/>
      <c r="AO26" s="649"/>
      <c r="AP26" s="649"/>
      <c r="AQ26" s="649"/>
      <c r="AR26" s="649"/>
      <c r="AS26" s="649"/>
      <c r="AT26" s="649"/>
      <c r="AU26" s="649"/>
      <c r="AV26" s="649"/>
      <c r="AW26" s="649"/>
      <c r="AX26" s="649"/>
      <c r="AY26" s="649"/>
      <c r="AZ26" s="649"/>
      <c r="BA26" s="649"/>
      <c r="BB26" s="649"/>
      <c r="BC26" s="649"/>
      <c r="BD26" s="649"/>
      <c r="BE26" s="649"/>
      <c r="BF26" s="649"/>
      <c r="BG26" s="649"/>
      <c r="BH26" s="649"/>
      <c r="BI26" s="649"/>
      <c r="BJ26" s="649"/>
      <c r="BK26" s="649"/>
      <c r="BL26" s="649"/>
      <c r="BM26" s="649"/>
      <c r="BN26" s="649"/>
      <c r="BO26" s="649"/>
      <c r="BP26" s="649"/>
      <c r="BQ26" s="649"/>
      <c r="BR26" s="649"/>
      <c r="BS26" s="649"/>
      <c r="BT26" s="649"/>
      <c r="BU26" s="649"/>
      <c r="BV26" s="649"/>
    </row>
    <row r="27" spans="2:74" ht="14.85" customHeight="1">
      <c r="B27" s="686" t="s">
        <v>1483</v>
      </c>
      <c r="C27" s="655"/>
      <c r="D27" s="711"/>
      <c r="E27" s="649"/>
      <c r="F27" s="712">
        <f>+F16</f>
        <v>2019</v>
      </c>
      <c r="G27" s="713">
        <f>+F27+1</f>
        <v>2020</v>
      </c>
      <c r="H27" s="713">
        <f t="shared" ref="H27:O27" si="9">+G27+1</f>
        <v>2021</v>
      </c>
      <c r="I27" s="713">
        <f t="shared" si="9"/>
        <v>2022</v>
      </c>
      <c r="J27" s="713">
        <f t="shared" si="9"/>
        <v>2023</v>
      </c>
      <c r="K27" s="713">
        <f t="shared" si="9"/>
        <v>2024</v>
      </c>
      <c r="L27" s="713">
        <f t="shared" si="9"/>
        <v>2025</v>
      </c>
      <c r="M27" s="713">
        <f t="shared" si="9"/>
        <v>2026</v>
      </c>
      <c r="N27" s="713">
        <f t="shared" si="9"/>
        <v>2027</v>
      </c>
      <c r="O27" s="714">
        <f t="shared" si="9"/>
        <v>2028</v>
      </c>
      <c r="P27" s="714">
        <f>+O27+1</f>
        <v>2029</v>
      </c>
      <c r="Q27" s="659"/>
      <c r="R27" s="649"/>
      <c r="S27" s="649"/>
      <c r="T27" s="649"/>
      <c r="U27" s="649"/>
      <c r="V27" s="649"/>
      <c r="W27" s="649"/>
      <c r="X27" s="649"/>
      <c r="Y27" s="649"/>
      <c r="Z27" s="649"/>
      <c r="AA27" s="649"/>
      <c r="AB27" s="649"/>
      <c r="AC27" s="649"/>
      <c r="AD27" s="649"/>
      <c r="AE27" s="649"/>
      <c r="AF27" s="649"/>
      <c r="AG27" s="649"/>
      <c r="AH27" s="649"/>
      <c r="AI27" s="649"/>
      <c r="AJ27" s="649"/>
      <c r="AK27" s="649"/>
      <c r="AL27" s="649"/>
      <c r="AM27" s="649"/>
      <c r="AN27" s="649"/>
      <c r="AO27" s="649"/>
      <c r="AP27" s="649"/>
      <c r="AQ27" s="649"/>
      <c r="AR27" s="649"/>
      <c r="AS27" s="649"/>
      <c r="AT27" s="649"/>
      <c r="AU27" s="649"/>
      <c r="AV27" s="649"/>
      <c r="AW27" s="649"/>
      <c r="AX27" s="649"/>
      <c r="AY27" s="649"/>
      <c r="AZ27" s="649"/>
      <c r="BA27" s="649"/>
      <c r="BB27" s="649"/>
      <c r="BC27" s="649"/>
      <c r="BD27" s="649"/>
      <c r="BE27" s="649"/>
      <c r="BF27" s="649"/>
      <c r="BG27" s="649"/>
      <c r="BH27" s="649"/>
      <c r="BI27" s="649"/>
      <c r="BJ27" s="649"/>
      <c r="BK27" s="649"/>
      <c r="BL27" s="649"/>
      <c r="BM27" s="649"/>
      <c r="BN27" s="649"/>
      <c r="BO27" s="649"/>
      <c r="BP27" s="649"/>
      <c r="BQ27" s="649"/>
      <c r="BR27" s="649"/>
      <c r="BS27" s="649"/>
      <c r="BT27" s="649"/>
      <c r="BU27" s="649"/>
      <c r="BV27" s="649"/>
    </row>
    <row r="28" spans="2:74" ht="14.85" customHeight="1">
      <c r="B28" s="715"/>
      <c r="C28" s="716">
        <f>+F27</f>
        <v>2019</v>
      </c>
      <c r="D28" s="267">
        <f t="array" ref="D28:D37">TRANSPOSE(DCF!F51:O51)</f>
        <v>712.75763688760799</v>
      </c>
      <c r="E28" s="717"/>
      <c r="F28" s="718">
        <f ca="1">IF($C28&gt;F$27,0,$D28*HLOOKUP(F$27-$C28+1,$F$20:$P$25,ROWS($D$20:$D$25),FALSE))</f>
        <v>213.8094721253602</v>
      </c>
      <c r="G28" s="718">
        <f t="shared" ref="F28:P38" ca="1" si="10">IF($C28&gt;G$27,0,$D28*HLOOKUP(G$27-$C28+1,$F$20:$P$25,ROWS($D$20:$D$25),FALSE))</f>
        <v>294.63618814841493</v>
      </c>
      <c r="H28" s="718">
        <f t="shared" ca="1" si="10"/>
        <v>113.38192108789626</v>
      </c>
      <c r="I28" s="718">
        <f t="shared" ca="1" si="10"/>
        <v>60.13892561239193</v>
      </c>
      <c r="J28" s="718">
        <f t="shared" ca="1" si="10"/>
        <v>20.52741994236311</v>
      </c>
      <c r="K28" s="718">
        <f t="shared" ca="1" si="10"/>
        <v>10.263709971181555</v>
      </c>
      <c r="L28" s="718">
        <f t="shared" ca="1" si="10"/>
        <v>0</v>
      </c>
      <c r="M28" s="718">
        <f t="shared" ca="1" si="10"/>
        <v>0</v>
      </c>
      <c r="N28" s="718">
        <f t="shared" ca="1" si="10"/>
        <v>0</v>
      </c>
      <c r="O28" s="718">
        <f t="shared" ca="1" si="10"/>
        <v>0</v>
      </c>
      <c r="P28" s="718">
        <f t="shared" ca="1" si="10"/>
        <v>0</v>
      </c>
      <c r="Q28" s="719"/>
      <c r="R28" s="711"/>
      <c r="S28" s="649"/>
      <c r="T28" s="649"/>
      <c r="U28" s="649"/>
      <c r="V28" s="649"/>
      <c r="W28" s="649"/>
      <c r="X28" s="649"/>
      <c r="Y28" s="649"/>
      <c r="Z28" s="649"/>
      <c r="AA28" s="649"/>
      <c r="AB28" s="649"/>
      <c r="AC28" s="649"/>
      <c r="AD28" s="649"/>
      <c r="AE28" s="649"/>
      <c r="AF28" s="649"/>
      <c r="AG28" s="649"/>
      <c r="AH28" s="649"/>
      <c r="AI28" s="649"/>
      <c r="AJ28" s="649"/>
      <c r="AK28" s="649"/>
      <c r="AL28" s="649"/>
      <c r="AM28" s="649"/>
      <c r="AN28" s="649"/>
      <c r="AO28" s="649"/>
      <c r="AP28" s="649"/>
      <c r="AQ28" s="649"/>
      <c r="AR28" s="649"/>
      <c r="AS28" s="649"/>
      <c r="AT28" s="649"/>
      <c r="AU28" s="649"/>
      <c r="AV28" s="649"/>
      <c r="AW28" s="649"/>
      <c r="AX28" s="649"/>
      <c r="AY28" s="649"/>
      <c r="AZ28" s="649"/>
      <c r="BA28" s="649"/>
      <c r="BB28" s="649"/>
      <c r="BC28" s="649"/>
      <c r="BD28" s="649"/>
      <c r="BE28" s="649"/>
      <c r="BF28" s="649"/>
      <c r="BG28" s="649"/>
      <c r="BH28" s="649"/>
      <c r="BI28" s="649"/>
      <c r="BJ28" s="649"/>
      <c r="BK28" s="649"/>
      <c r="BL28" s="649"/>
      <c r="BM28" s="649"/>
      <c r="BN28" s="649"/>
      <c r="BO28" s="649"/>
      <c r="BP28" s="649"/>
      <c r="BQ28" s="649"/>
      <c r="BR28" s="649"/>
      <c r="BS28" s="649"/>
      <c r="BT28" s="649"/>
      <c r="BU28" s="649"/>
      <c r="BV28" s="649"/>
    </row>
    <row r="29" spans="2:74" ht="14.85" customHeight="1">
      <c r="B29" s="715"/>
      <c r="C29" s="716">
        <f>C28+1</f>
        <v>2020</v>
      </c>
      <c r="D29" s="720">
        <v>1657.8796253602302</v>
      </c>
      <c r="E29" s="721"/>
      <c r="F29" s="718">
        <f t="shared" si="10"/>
        <v>0</v>
      </c>
      <c r="G29" s="718">
        <f t="shared" ca="1" si="10"/>
        <v>497.32244061743506</v>
      </c>
      <c r="H29" s="718">
        <f t="shared" ca="1" si="10"/>
        <v>685.32599013328513</v>
      </c>
      <c r="I29" s="718">
        <f t="shared" ca="1" si="10"/>
        <v>263.72720140417863</v>
      </c>
      <c r="J29" s="718">
        <f t="shared" ca="1" si="10"/>
        <v>139.88359338976943</v>
      </c>
      <c r="K29" s="718">
        <f t="shared" ca="1" si="10"/>
        <v>47.746933210374628</v>
      </c>
      <c r="L29" s="718">
        <f t="shared" ca="1" si="10"/>
        <v>23.873466605187314</v>
      </c>
      <c r="M29" s="718">
        <f t="shared" ca="1" si="10"/>
        <v>0</v>
      </c>
      <c r="N29" s="718">
        <f t="shared" ca="1" si="10"/>
        <v>0</v>
      </c>
      <c r="O29" s="718">
        <f t="shared" ca="1" si="10"/>
        <v>0</v>
      </c>
      <c r="P29" s="718">
        <f t="shared" ca="1" si="10"/>
        <v>0</v>
      </c>
      <c r="Q29" s="719"/>
      <c r="R29" s="649"/>
      <c r="S29" s="649"/>
      <c r="T29" s="649"/>
      <c r="U29" s="649"/>
      <c r="V29" s="649"/>
      <c r="W29" s="649"/>
      <c r="X29" s="649"/>
      <c r="Y29" s="649"/>
      <c r="Z29" s="649"/>
      <c r="AA29" s="649"/>
      <c r="AB29" s="649"/>
      <c r="AC29" s="649"/>
      <c r="AD29" s="649"/>
      <c r="AE29" s="649"/>
      <c r="AF29" s="649"/>
      <c r="AG29" s="649"/>
      <c r="AH29" s="649"/>
      <c r="AI29" s="649"/>
      <c r="AJ29" s="649"/>
      <c r="AK29" s="649"/>
      <c r="AL29" s="649"/>
      <c r="AM29" s="649"/>
      <c r="AN29" s="649"/>
      <c r="AO29" s="649"/>
      <c r="AP29" s="649"/>
      <c r="AQ29" s="649"/>
      <c r="AR29" s="649"/>
      <c r="AS29" s="649"/>
      <c r="AT29" s="649"/>
      <c r="AU29" s="649"/>
      <c r="AV29" s="649"/>
      <c r="AW29" s="649"/>
      <c r="AX29" s="649"/>
      <c r="AY29" s="649"/>
      <c r="AZ29" s="649"/>
      <c r="BA29" s="649"/>
      <c r="BB29" s="649"/>
      <c r="BC29" s="649"/>
      <c r="BD29" s="649"/>
      <c r="BE29" s="649"/>
      <c r="BF29" s="649"/>
      <c r="BG29" s="649"/>
      <c r="BH29" s="649"/>
      <c r="BI29" s="649"/>
      <c r="BJ29" s="649"/>
      <c r="BK29" s="649"/>
      <c r="BL29" s="649"/>
      <c r="BM29" s="649"/>
      <c r="BN29" s="649"/>
      <c r="BO29" s="649"/>
      <c r="BP29" s="649"/>
      <c r="BQ29" s="649"/>
      <c r="BR29" s="649"/>
      <c r="BS29" s="649"/>
      <c r="BT29" s="649"/>
      <c r="BU29" s="649"/>
      <c r="BV29" s="649"/>
    </row>
    <row r="30" spans="2:74" ht="14.85" customHeight="1">
      <c r="B30" s="715"/>
      <c r="C30" s="716">
        <f t="shared" ref="C30:C38" si="11">C29+1</f>
        <v>2021</v>
      </c>
      <c r="D30" s="720">
        <v>3782.4029394812674</v>
      </c>
      <c r="E30" s="721"/>
      <c r="F30" s="718">
        <f t="shared" si="10"/>
        <v>0</v>
      </c>
      <c r="G30" s="718">
        <f t="shared" si="10"/>
        <v>0</v>
      </c>
      <c r="H30" s="718">
        <f t="shared" ca="1" si="10"/>
        <v>1134.6263217708931</v>
      </c>
      <c r="I30" s="718">
        <f t="shared" ca="1" si="10"/>
        <v>1563.5508151080689</v>
      </c>
      <c r="J30" s="718">
        <f t="shared" ca="1" si="10"/>
        <v>601.68574759798264</v>
      </c>
      <c r="K30" s="718">
        <f t="shared" ca="1" si="10"/>
        <v>319.14024801873194</v>
      </c>
      <c r="L30" s="718">
        <f t="shared" ca="1" si="10"/>
        <v>108.9332046570605</v>
      </c>
      <c r="M30" s="718">
        <f t="shared" ca="1" si="10"/>
        <v>54.46660232853025</v>
      </c>
      <c r="N30" s="718">
        <f t="shared" ca="1" si="10"/>
        <v>0</v>
      </c>
      <c r="O30" s="718">
        <f t="shared" ca="1" si="10"/>
        <v>0</v>
      </c>
      <c r="P30" s="718">
        <f t="shared" ca="1" si="10"/>
        <v>0</v>
      </c>
      <c r="Q30" s="719"/>
      <c r="R30" s="649"/>
      <c r="S30" s="649"/>
      <c r="T30" s="649"/>
      <c r="U30" s="649"/>
      <c r="V30" s="649"/>
      <c r="W30" s="649"/>
      <c r="X30" s="649"/>
      <c r="Y30" s="649"/>
      <c r="Z30" s="649"/>
      <c r="AA30" s="649"/>
      <c r="AB30" s="649"/>
      <c r="AC30" s="649"/>
      <c r="AD30" s="649"/>
      <c r="AE30" s="649"/>
      <c r="AF30" s="649"/>
      <c r="AG30" s="649"/>
      <c r="AH30" s="649"/>
      <c r="AI30" s="649"/>
      <c r="AJ30" s="649"/>
      <c r="AK30" s="649"/>
      <c r="AL30" s="649"/>
      <c r="AM30" s="649"/>
      <c r="AN30" s="649"/>
      <c r="AO30" s="649"/>
      <c r="AP30" s="649"/>
      <c r="AQ30" s="649"/>
      <c r="AR30" s="649"/>
      <c r="AS30" s="649"/>
      <c r="AT30" s="649"/>
      <c r="AU30" s="649"/>
      <c r="AV30" s="649"/>
      <c r="AW30" s="649"/>
      <c r="AX30" s="649"/>
      <c r="AY30" s="649"/>
      <c r="AZ30" s="649"/>
      <c r="BA30" s="649"/>
      <c r="BB30" s="649"/>
      <c r="BC30" s="649"/>
      <c r="BD30" s="649"/>
      <c r="BE30" s="649"/>
      <c r="BF30" s="649"/>
      <c r="BG30" s="649"/>
      <c r="BH30" s="649"/>
      <c r="BI30" s="649"/>
      <c r="BJ30" s="649"/>
      <c r="BK30" s="649"/>
      <c r="BL30" s="649"/>
      <c r="BM30" s="649"/>
      <c r="BN30" s="649"/>
      <c r="BO30" s="649"/>
      <c r="BP30" s="649"/>
      <c r="BQ30" s="649"/>
      <c r="BR30" s="649"/>
      <c r="BS30" s="649"/>
      <c r="BT30" s="649"/>
      <c r="BU30" s="649"/>
      <c r="BV30" s="649"/>
    </row>
    <row r="31" spans="2:74" ht="14.85" customHeight="1">
      <c r="B31" s="715"/>
      <c r="C31" s="716">
        <f t="shared" si="11"/>
        <v>2022</v>
      </c>
      <c r="D31" s="720">
        <v>6696.6280115273767</v>
      </c>
      <c r="E31" s="721"/>
      <c r="F31" s="718">
        <f t="shared" si="10"/>
        <v>0</v>
      </c>
      <c r="G31" s="718">
        <f t="shared" si="10"/>
        <v>0</v>
      </c>
      <c r="H31" s="718">
        <f t="shared" si="10"/>
        <v>0</v>
      </c>
      <c r="I31" s="718">
        <f t="shared" ca="1" si="10"/>
        <v>2008.8209877579247</v>
      </c>
      <c r="J31" s="718">
        <f t="shared" ca="1" si="10"/>
        <v>2768.2186042651292</v>
      </c>
      <c r="K31" s="718">
        <f t="shared" ca="1" si="10"/>
        <v>1065.2661009337176</v>
      </c>
      <c r="L31" s="718">
        <f t="shared" ca="1" si="10"/>
        <v>565.0279884726225</v>
      </c>
      <c r="M31" s="718">
        <f t="shared" ca="1" si="10"/>
        <v>192.86288673198845</v>
      </c>
      <c r="N31" s="718">
        <f t="shared" ca="1" si="10"/>
        <v>96.431443365994227</v>
      </c>
      <c r="O31" s="718">
        <f t="shared" ca="1" si="10"/>
        <v>0</v>
      </c>
      <c r="P31" s="718">
        <f t="shared" ca="1" si="10"/>
        <v>0</v>
      </c>
      <c r="Q31" s="719"/>
      <c r="R31" s="649"/>
      <c r="S31" s="649"/>
      <c r="T31" s="649"/>
      <c r="U31" s="649"/>
      <c r="V31" s="649"/>
      <c r="W31" s="649"/>
      <c r="X31" s="649"/>
      <c r="Y31" s="649"/>
      <c r="Z31" s="649"/>
      <c r="AA31" s="649"/>
      <c r="AB31" s="649"/>
      <c r="AC31" s="649"/>
      <c r="AD31" s="649"/>
      <c r="AE31" s="649"/>
      <c r="AF31" s="649"/>
      <c r="AG31" s="649"/>
      <c r="AH31" s="649"/>
      <c r="AI31" s="649"/>
      <c r="AJ31" s="649"/>
      <c r="AK31" s="649"/>
      <c r="AL31" s="649"/>
      <c r="AM31" s="649"/>
      <c r="AN31" s="649"/>
      <c r="AO31" s="649"/>
      <c r="AP31" s="649"/>
      <c r="AQ31" s="649"/>
      <c r="AR31" s="649"/>
      <c r="AS31" s="649"/>
      <c r="AT31" s="649"/>
      <c r="AU31" s="649"/>
      <c r="AV31" s="649"/>
      <c r="AW31" s="649"/>
      <c r="AX31" s="649"/>
      <c r="AY31" s="649"/>
      <c r="AZ31" s="649"/>
      <c r="BA31" s="649"/>
      <c r="BB31" s="649"/>
      <c r="BC31" s="649"/>
      <c r="BD31" s="649"/>
      <c r="BE31" s="649"/>
      <c r="BF31" s="649"/>
      <c r="BG31" s="649"/>
      <c r="BH31" s="649"/>
      <c r="BI31" s="649"/>
      <c r="BJ31" s="649"/>
      <c r="BK31" s="649"/>
      <c r="BL31" s="649"/>
      <c r="BM31" s="649"/>
      <c r="BN31" s="649"/>
      <c r="BO31" s="649"/>
      <c r="BP31" s="649"/>
      <c r="BQ31" s="649"/>
      <c r="BR31" s="649"/>
      <c r="BS31" s="649"/>
      <c r="BT31" s="649"/>
      <c r="BU31" s="649"/>
      <c r="BV31" s="649"/>
    </row>
    <row r="32" spans="2:74" ht="14.85" customHeight="1">
      <c r="B32" s="715"/>
      <c r="C32" s="716">
        <f t="shared" si="11"/>
        <v>2023</v>
      </c>
      <c r="D32" s="720">
        <v>10379.773417867433</v>
      </c>
      <c r="E32" s="721"/>
      <c r="F32" s="718">
        <f t="shared" si="10"/>
        <v>0</v>
      </c>
      <c r="G32" s="718">
        <f t="shared" si="10"/>
        <v>0</v>
      </c>
      <c r="H32" s="718">
        <f t="shared" si="10"/>
        <v>0</v>
      </c>
      <c r="I32" s="718">
        <f t="shared" si="10"/>
        <v>0</v>
      </c>
      <c r="J32" s="718">
        <f t="shared" ca="1" si="10"/>
        <v>3113.672531024783</v>
      </c>
      <c r="K32" s="718">
        <f t="shared" ca="1" si="10"/>
        <v>4290.7388366109499</v>
      </c>
      <c r="L32" s="718">
        <f t="shared" ca="1" si="10"/>
        <v>1651.162456447262</v>
      </c>
      <c r="M32" s="718">
        <f t="shared" ca="1" si="10"/>
        <v>875.79338213256472</v>
      </c>
      <c r="N32" s="718">
        <f t="shared" ca="1" si="10"/>
        <v>298.93747443458204</v>
      </c>
      <c r="O32" s="718">
        <f t="shared" ca="1" si="10"/>
        <v>149.46873721729102</v>
      </c>
      <c r="P32" s="718">
        <f t="shared" ca="1" si="10"/>
        <v>0</v>
      </c>
      <c r="Q32" s="719"/>
      <c r="R32" s="649"/>
      <c r="S32" s="649"/>
      <c r="T32" s="649"/>
      <c r="U32" s="649"/>
      <c r="V32" s="649"/>
      <c r="W32" s="649"/>
      <c r="X32" s="649"/>
      <c r="Y32" s="649"/>
      <c r="Z32" s="649"/>
      <c r="AA32" s="649"/>
      <c r="AB32" s="649"/>
      <c r="AC32" s="649"/>
      <c r="AD32" s="649"/>
      <c r="AE32" s="649"/>
      <c r="AF32" s="649"/>
      <c r="AG32" s="649"/>
      <c r="AH32" s="649"/>
      <c r="AI32" s="649"/>
      <c r="AJ32" s="649"/>
      <c r="AK32" s="649"/>
      <c r="AL32" s="649"/>
      <c r="AM32" s="649"/>
      <c r="AN32" s="649"/>
      <c r="AO32" s="649"/>
      <c r="AP32" s="649"/>
      <c r="AQ32" s="649"/>
      <c r="AR32" s="649"/>
      <c r="AS32" s="649"/>
      <c r="AT32" s="649"/>
      <c r="AU32" s="649"/>
      <c r="AV32" s="649"/>
      <c r="AW32" s="649"/>
      <c r="AX32" s="649"/>
      <c r="AY32" s="649"/>
      <c r="AZ32" s="649"/>
      <c r="BA32" s="649"/>
      <c r="BB32" s="649"/>
      <c r="BC32" s="649"/>
      <c r="BD32" s="649"/>
      <c r="BE32" s="649"/>
      <c r="BF32" s="649"/>
      <c r="BG32" s="649"/>
      <c r="BH32" s="649"/>
      <c r="BI32" s="649"/>
      <c r="BJ32" s="649"/>
      <c r="BK32" s="649"/>
      <c r="BL32" s="649"/>
      <c r="BM32" s="649"/>
      <c r="BN32" s="649"/>
      <c r="BO32" s="649"/>
      <c r="BP32" s="649"/>
      <c r="BQ32" s="649"/>
      <c r="BR32" s="649"/>
      <c r="BS32" s="649"/>
      <c r="BT32" s="649"/>
      <c r="BU32" s="649"/>
      <c r="BV32" s="649"/>
    </row>
    <row r="33" spans="1:74" ht="14.85" customHeight="1">
      <c r="B33" s="715"/>
      <c r="C33" s="716">
        <f t="shared" si="11"/>
        <v>2024</v>
      </c>
      <c r="D33" s="720">
        <v>14531.682785014405</v>
      </c>
      <c r="E33" s="721"/>
      <c r="F33" s="718">
        <f t="shared" si="10"/>
        <v>0</v>
      </c>
      <c r="G33" s="718">
        <f t="shared" si="10"/>
        <v>0</v>
      </c>
      <c r="H33" s="718">
        <f t="shared" si="10"/>
        <v>0</v>
      </c>
      <c r="I33" s="718">
        <f t="shared" si="10"/>
        <v>0</v>
      </c>
      <c r="J33" s="718">
        <f t="shared" si="10"/>
        <v>0</v>
      </c>
      <c r="K33" s="718">
        <f t="shared" ca="1" si="10"/>
        <v>4359.1415434346964</v>
      </c>
      <c r="L33" s="718">
        <f t="shared" ca="1" si="10"/>
        <v>6007.0343712553295</v>
      </c>
      <c r="M33" s="718">
        <f t="shared" ca="1" si="10"/>
        <v>2311.6274390261669</v>
      </c>
      <c r="N33" s="718">
        <f t="shared" ca="1" si="10"/>
        <v>1226.1107349855906</v>
      </c>
      <c r="O33" s="718">
        <f t="shared" ca="1" si="10"/>
        <v>418.51246420841488</v>
      </c>
      <c r="P33" s="718">
        <f t="shared" ca="1" si="10"/>
        <v>209.25623210420744</v>
      </c>
      <c r="Q33" s="719"/>
      <c r="R33" s="649"/>
      <c r="S33" s="649"/>
      <c r="T33" s="649"/>
      <c r="U33" s="649"/>
      <c r="V33" s="649"/>
      <c r="W33" s="649"/>
      <c r="X33" s="649"/>
      <c r="Y33" s="649"/>
      <c r="Z33" s="649"/>
      <c r="AA33" s="649"/>
      <c r="AB33" s="649"/>
      <c r="AC33" s="649"/>
      <c r="AD33" s="649"/>
      <c r="AE33" s="649"/>
      <c r="AF33" s="649"/>
      <c r="AG33" s="649"/>
      <c r="AH33" s="649"/>
      <c r="AI33" s="649"/>
      <c r="AJ33" s="649"/>
      <c r="AK33" s="649"/>
      <c r="AL33" s="649"/>
      <c r="AM33" s="649"/>
      <c r="AN33" s="649"/>
      <c r="AO33" s="649"/>
      <c r="AP33" s="649"/>
      <c r="AQ33" s="649"/>
      <c r="AR33" s="649"/>
      <c r="AS33" s="649"/>
      <c r="AT33" s="649"/>
      <c r="AU33" s="649"/>
      <c r="AV33" s="649"/>
      <c r="AW33" s="649"/>
      <c r="AX33" s="649"/>
      <c r="AY33" s="649"/>
      <c r="AZ33" s="649"/>
      <c r="BA33" s="649"/>
      <c r="BB33" s="649"/>
      <c r="BC33" s="649"/>
      <c r="BD33" s="649"/>
      <c r="BE33" s="649"/>
      <c r="BF33" s="649"/>
      <c r="BG33" s="649"/>
      <c r="BH33" s="649"/>
      <c r="BI33" s="649"/>
      <c r="BJ33" s="649"/>
      <c r="BK33" s="649"/>
      <c r="BL33" s="649"/>
      <c r="BM33" s="649"/>
      <c r="BN33" s="649"/>
      <c r="BO33" s="649"/>
      <c r="BP33" s="649"/>
      <c r="BQ33" s="649"/>
      <c r="BR33" s="649"/>
      <c r="BS33" s="649"/>
      <c r="BT33" s="649"/>
      <c r="BU33" s="649"/>
      <c r="BV33" s="649"/>
    </row>
    <row r="34" spans="1:74" ht="14.85" customHeight="1">
      <c r="B34" s="715"/>
      <c r="C34" s="716">
        <f t="shared" si="11"/>
        <v>2025</v>
      </c>
      <c r="D34" s="720">
        <v>18891.187620518729</v>
      </c>
      <c r="E34" s="721"/>
      <c r="F34" s="718">
        <f t="shared" si="10"/>
        <v>0</v>
      </c>
      <c r="G34" s="718">
        <f t="shared" si="10"/>
        <v>0</v>
      </c>
      <c r="H34" s="718">
        <f t="shared" si="10"/>
        <v>0</v>
      </c>
      <c r="I34" s="718">
        <f t="shared" si="10"/>
        <v>0</v>
      </c>
      <c r="J34" s="718">
        <f t="shared" si="10"/>
        <v>0</v>
      </c>
      <c r="K34" s="718">
        <f t="shared" si="10"/>
        <v>0</v>
      </c>
      <c r="L34" s="718">
        <f t="shared" ca="1" si="10"/>
        <v>5666.8840064651058</v>
      </c>
      <c r="M34" s="718">
        <f t="shared" ca="1" si="10"/>
        <v>7809.1446826319298</v>
      </c>
      <c r="N34" s="718">
        <f t="shared" ca="1" si="10"/>
        <v>3005.1156707340174</v>
      </c>
      <c r="O34" s="718">
        <f t="shared" ca="1" si="10"/>
        <v>1593.9439554812679</v>
      </c>
      <c r="P34" s="718">
        <f t="shared" ca="1" si="10"/>
        <v>544.0662034709394</v>
      </c>
      <c r="Q34" s="719"/>
      <c r="R34" s="649"/>
      <c r="S34" s="649"/>
      <c r="T34" s="649"/>
      <c r="U34" s="649"/>
      <c r="V34" s="649"/>
      <c r="W34" s="649"/>
      <c r="X34" s="649"/>
      <c r="Y34" s="649"/>
      <c r="Z34" s="649"/>
      <c r="AA34" s="649"/>
      <c r="AB34" s="649"/>
      <c r="AC34" s="649"/>
      <c r="AD34" s="649"/>
      <c r="AE34" s="649"/>
      <c r="AF34" s="649"/>
      <c r="AG34" s="649"/>
      <c r="AH34" s="649"/>
      <c r="AI34" s="649"/>
      <c r="AJ34" s="649"/>
      <c r="AK34" s="649"/>
      <c r="AL34" s="649"/>
      <c r="AM34" s="649"/>
      <c r="AN34" s="649"/>
      <c r="AO34" s="649"/>
      <c r="AP34" s="649"/>
      <c r="AQ34" s="649"/>
      <c r="AR34" s="649"/>
      <c r="AS34" s="649"/>
      <c r="AT34" s="649"/>
      <c r="AU34" s="649"/>
      <c r="AV34" s="649"/>
      <c r="AW34" s="649"/>
      <c r="AX34" s="649"/>
      <c r="AY34" s="649"/>
      <c r="AZ34" s="649"/>
      <c r="BA34" s="649"/>
      <c r="BB34" s="649"/>
      <c r="BC34" s="649"/>
      <c r="BD34" s="649"/>
      <c r="BE34" s="649"/>
      <c r="BF34" s="649"/>
      <c r="BG34" s="649"/>
      <c r="BH34" s="649"/>
      <c r="BI34" s="649"/>
      <c r="BJ34" s="649"/>
      <c r="BK34" s="649"/>
      <c r="BL34" s="649"/>
      <c r="BM34" s="649"/>
      <c r="BN34" s="649"/>
      <c r="BO34" s="649"/>
      <c r="BP34" s="649"/>
      <c r="BQ34" s="649"/>
      <c r="BR34" s="649"/>
      <c r="BS34" s="649"/>
      <c r="BT34" s="649"/>
      <c r="BU34" s="649"/>
      <c r="BV34" s="649"/>
    </row>
    <row r="35" spans="1:74" ht="14.85" customHeight="1">
      <c r="B35" s="715"/>
      <c r="C35" s="716">
        <f t="shared" si="11"/>
        <v>2026</v>
      </c>
      <c r="D35" s="720">
        <v>22669.425144622473</v>
      </c>
      <c r="E35" s="721"/>
      <c r="F35" s="718">
        <f t="shared" si="10"/>
        <v>0</v>
      </c>
      <c r="G35" s="718">
        <f t="shared" si="10"/>
        <v>0</v>
      </c>
      <c r="H35" s="718">
        <f t="shared" si="10"/>
        <v>0</v>
      </c>
      <c r="I35" s="718">
        <f t="shared" si="10"/>
        <v>0</v>
      </c>
      <c r="J35" s="718">
        <f t="shared" si="10"/>
        <v>0</v>
      </c>
      <c r="K35" s="718">
        <f t="shared" si="10"/>
        <v>0</v>
      </c>
      <c r="L35" s="718">
        <f t="shared" si="10"/>
        <v>0</v>
      </c>
      <c r="M35" s="718">
        <f t="shared" ca="1" si="10"/>
        <v>6800.2608077581262</v>
      </c>
      <c r="N35" s="718">
        <f t="shared" ca="1" si="10"/>
        <v>9370.9736191583142</v>
      </c>
      <c r="O35" s="718">
        <f t="shared" ca="1" si="10"/>
        <v>3606.1388048808203</v>
      </c>
      <c r="P35" s="718">
        <f t="shared" ca="1" si="10"/>
        <v>1912.7327465775213</v>
      </c>
      <c r="Q35" s="719"/>
      <c r="R35" s="649"/>
      <c r="S35" s="649"/>
      <c r="T35" s="649"/>
      <c r="U35" s="649"/>
      <c r="V35" s="649"/>
      <c r="W35" s="649"/>
      <c r="X35" s="649"/>
      <c r="Y35" s="649"/>
      <c r="Z35" s="649"/>
      <c r="AA35" s="649"/>
      <c r="AB35" s="649"/>
      <c r="AC35" s="649"/>
      <c r="AD35" s="649"/>
      <c r="AE35" s="649"/>
      <c r="AF35" s="649"/>
      <c r="AG35" s="649"/>
      <c r="AH35" s="649"/>
      <c r="AI35" s="649"/>
      <c r="AJ35" s="649"/>
      <c r="AK35" s="649"/>
      <c r="AL35" s="649"/>
      <c r="AM35" s="649"/>
      <c r="AN35" s="649"/>
      <c r="AO35" s="649"/>
      <c r="AP35" s="649"/>
      <c r="AQ35" s="649"/>
      <c r="AR35" s="649"/>
      <c r="AS35" s="649"/>
      <c r="AT35" s="649"/>
      <c r="AU35" s="649"/>
      <c r="AV35" s="649"/>
      <c r="AW35" s="649"/>
      <c r="AX35" s="649"/>
      <c r="AY35" s="649"/>
      <c r="AZ35" s="649"/>
      <c r="BA35" s="649"/>
      <c r="BB35" s="649"/>
      <c r="BC35" s="649"/>
      <c r="BD35" s="649"/>
      <c r="BE35" s="649"/>
      <c r="BF35" s="649"/>
      <c r="BG35" s="649"/>
      <c r="BH35" s="649"/>
      <c r="BI35" s="649"/>
      <c r="BJ35" s="649"/>
      <c r="BK35" s="649"/>
      <c r="BL35" s="649"/>
      <c r="BM35" s="649"/>
      <c r="BN35" s="649"/>
      <c r="BO35" s="649"/>
      <c r="BP35" s="649"/>
      <c r="BQ35" s="649"/>
      <c r="BR35" s="649"/>
      <c r="BS35" s="649"/>
      <c r="BT35" s="649"/>
      <c r="BU35" s="649"/>
      <c r="BV35" s="649"/>
    </row>
    <row r="36" spans="1:74" ht="14.85" customHeight="1">
      <c r="B36" s="715"/>
      <c r="C36" s="716">
        <f t="shared" si="11"/>
        <v>2027</v>
      </c>
      <c r="D36" s="720">
        <v>24936.367659084721</v>
      </c>
      <c r="E36" s="721"/>
      <c r="F36" s="718">
        <f t="shared" si="10"/>
        <v>0</v>
      </c>
      <c r="G36" s="718">
        <f t="shared" si="10"/>
        <v>0</v>
      </c>
      <c r="H36" s="718">
        <f t="shared" si="10"/>
        <v>0</v>
      </c>
      <c r="I36" s="718">
        <f t="shared" si="10"/>
        <v>0</v>
      </c>
      <c r="J36" s="718">
        <f t="shared" si="10"/>
        <v>0</v>
      </c>
      <c r="K36" s="718">
        <f t="shared" si="10"/>
        <v>0</v>
      </c>
      <c r="L36" s="718">
        <f t="shared" si="10"/>
        <v>0</v>
      </c>
      <c r="M36" s="718">
        <f t="shared" si="10"/>
        <v>0</v>
      </c>
      <c r="N36" s="718">
        <f t="shared" ca="1" si="10"/>
        <v>7480.2868885339385</v>
      </c>
      <c r="O36" s="718">
        <f t="shared" ca="1" si="10"/>
        <v>10308.070981074146</v>
      </c>
      <c r="P36" s="718">
        <f t="shared" ca="1" si="10"/>
        <v>3966.7526853689023</v>
      </c>
      <c r="Q36" s="719"/>
      <c r="R36" s="649"/>
      <c r="S36" s="649"/>
      <c r="T36" s="649"/>
      <c r="U36" s="649"/>
      <c r="V36" s="649"/>
      <c r="W36" s="649"/>
      <c r="X36" s="649"/>
      <c r="Y36" s="649"/>
      <c r="Z36" s="649"/>
      <c r="AA36" s="649"/>
      <c r="AB36" s="649"/>
      <c r="AC36" s="649"/>
      <c r="AD36" s="649"/>
      <c r="AE36" s="649"/>
      <c r="AF36" s="649"/>
      <c r="AG36" s="649"/>
      <c r="AH36" s="649"/>
      <c r="AI36" s="649"/>
      <c r="AJ36" s="649"/>
      <c r="AK36" s="649"/>
      <c r="AL36" s="649"/>
      <c r="AM36" s="649"/>
      <c r="AN36" s="649"/>
      <c r="AO36" s="649"/>
      <c r="AP36" s="649"/>
      <c r="AQ36" s="649"/>
      <c r="AR36" s="649"/>
      <c r="AS36" s="649"/>
      <c r="AT36" s="649"/>
      <c r="AU36" s="649"/>
      <c r="AV36" s="649"/>
      <c r="AW36" s="649"/>
      <c r="AX36" s="649"/>
      <c r="AY36" s="649"/>
      <c r="AZ36" s="649"/>
      <c r="BA36" s="649"/>
      <c r="BB36" s="649"/>
      <c r="BC36" s="649"/>
      <c r="BD36" s="649"/>
      <c r="BE36" s="649"/>
      <c r="BF36" s="649"/>
      <c r="BG36" s="649"/>
      <c r="BH36" s="649"/>
      <c r="BI36" s="649"/>
      <c r="BJ36" s="649"/>
      <c r="BK36" s="649"/>
      <c r="BL36" s="649"/>
      <c r="BM36" s="649"/>
      <c r="BN36" s="649"/>
      <c r="BO36" s="649"/>
      <c r="BP36" s="649"/>
      <c r="BQ36" s="649"/>
      <c r="BR36" s="649"/>
      <c r="BS36" s="649"/>
      <c r="BT36" s="649"/>
      <c r="BU36" s="649"/>
      <c r="BV36" s="649"/>
    </row>
    <row r="37" spans="1:74" ht="14.85" customHeight="1">
      <c r="B37" s="715"/>
      <c r="C37" s="716">
        <f t="shared" si="11"/>
        <v>2028</v>
      </c>
      <c r="D37" s="720">
        <v>26183.18604203896</v>
      </c>
      <c r="E37" s="721"/>
      <c r="F37" s="718">
        <f t="shared" si="10"/>
        <v>0</v>
      </c>
      <c r="G37" s="718">
        <f t="shared" si="10"/>
        <v>0</v>
      </c>
      <c r="H37" s="718">
        <f t="shared" si="10"/>
        <v>0</v>
      </c>
      <c r="I37" s="718">
        <f t="shared" si="10"/>
        <v>0</v>
      </c>
      <c r="J37" s="718">
        <f t="shared" si="10"/>
        <v>0</v>
      </c>
      <c r="K37" s="718">
        <f t="shared" si="10"/>
        <v>0</v>
      </c>
      <c r="L37" s="718">
        <f t="shared" si="10"/>
        <v>0</v>
      </c>
      <c r="M37" s="718">
        <f t="shared" si="10"/>
        <v>0</v>
      </c>
      <c r="N37" s="718">
        <f t="shared" si="10"/>
        <v>0</v>
      </c>
      <c r="O37" s="718">
        <f t="shared" ca="1" si="10"/>
        <v>7854.3012329606372</v>
      </c>
      <c r="P37" s="718">
        <f t="shared" ca="1" si="10"/>
        <v>10823.474530127854</v>
      </c>
      <c r="Q37" s="719"/>
      <c r="R37" s="649"/>
      <c r="S37" s="649"/>
      <c r="T37" s="649"/>
      <c r="U37" s="649"/>
      <c r="V37" s="649"/>
      <c r="W37" s="649"/>
      <c r="X37" s="649"/>
      <c r="Y37" s="649"/>
      <c r="Z37" s="649"/>
      <c r="AA37" s="649"/>
      <c r="AB37" s="649"/>
      <c r="AC37" s="649"/>
      <c r="AD37" s="649"/>
      <c r="AE37" s="649"/>
      <c r="AF37" s="649"/>
      <c r="AG37" s="649"/>
      <c r="AH37" s="649"/>
      <c r="AI37" s="649"/>
      <c r="AJ37" s="649"/>
      <c r="AK37" s="649"/>
      <c r="AL37" s="649"/>
      <c r="AM37" s="649"/>
      <c r="AN37" s="649"/>
      <c r="AO37" s="649"/>
      <c r="AP37" s="649"/>
      <c r="AQ37" s="649"/>
      <c r="AR37" s="649"/>
      <c r="AS37" s="649"/>
      <c r="AT37" s="649"/>
      <c r="AU37" s="649"/>
      <c r="AV37" s="649"/>
      <c r="AW37" s="649"/>
      <c r="AX37" s="649"/>
      <c r="AY37" s="649"/>
      <c r="AZ37" s="649"/>
      <c r="BA37" s="649"/>
      <c r="BB37" s="649"/>
      <c r="BC37" s="649"/>
      <c r="BD37" s="649"/>
      <c r="BE37" s="649"/>
      <c r="BF37" s="649"/>
      <c r="BG37" s="649"/>
      <c r="BH37" s="649"/>
      <c r="BI37" s="649"/>
      <c r="BJ37" s="649"/>
      <c r="BK37" s="649"/>
      <c r="BL37" s="649"/>
      <c r="BM37" s="649"/>
      <c r="BN37" s="649"/>
      <c r="BO37" s="649"/>
      <c r="BP37" s="649"/>
      <c r="BQ37" s="649"/>
      <c r="BR37" s="649"/>
      <c r="BS37" s="649"/>
      <c r="BT37" s="649"/>
      <c r="BU37" s="649"/>
      <c r="BV37" s="649"/>
    </row>
    <row r="38" spans="1:74" ht="14.85" customHeight="1" outlineLevel="1">
      <c r="B38" s="715"/>
      <c r="C38" s="716">
        <f t="shared" si="11"/>
        <v>2029</v>
      </c>
      <c r="D38" s="722"/>
      <c r="E38" s="721"/>
      <c r="F38" s="718">
        <f t="shared" si="10"/>
        <v>0</v>
      </c>
      <c r="G38" s="718">
        <f t="shared" si="10"/>
        <v>0</v>
      </c>
      <c r="H38" s="718">
        <f t="shared" si="10"/>
        <v>0</v>
      </c>
      <c r="I38" s="718">
        <f t="shared" si="10"/>
        <v>0</v>
      </c>
      <c r="J38" s="718">
        <f t="shared" si="10"/>
        <v>0</v>
      </c>
      <c r="K38" s="718">
        <f t="shared" si="10"/>
        <v>0</v>
      </c>
      <c r="L38" s="718">
        <f t="shared" si="10"/>
        <v>0</v>
      </c>
      <c r="M38" s="718">
        <f t="shared" si="10"/>
        <v>0</v>
      </c>
      <c r="N38" s="718">
        <f t="shared" si="10"/>
        <v>0</v>
      </c>
      <c r="O38" s="718">
        <f t="shared" si="10"/>
        <v>0</v>
      </c>
      <c r="P38" s="718">
        <f ca="1">IF($C38&gt;P$27,0,$D38*HLOOKUP(P$27-$C38+1,$F$20:$P$25,ROWS($D$20:$D$25),FALSE))</f>
        <v>0</v>
      </c>
      <c r="Q38" s="719"/>
      <c r="R38" s="649"/>
      <c r="S38" s="649"/>
      <c r="T38" s="649"/>
      <c r="U38" s="649"/>
      <c r="V38" s="649"/>
      <c r="W38" s="649"/>
      <c r="X38" s="649"/>
      <c r="Y38" s="649"/>
      <c r="Z38" s="649"/>
      <c r="AA38" s="649"/>
      <c r="AB38" s="649"/>
      <c r="AC38" s="649"/>
      <c r="AD38" s="649"/>
      <c r="AE38" s="649"/>
      <c r="AF38" s="649"/>
      <c r="AG38" s="649"/>
      <c r="AH38" s="649"/>
      <c r="AI38" s="649"/>
      <c r="AJ38" s="649"/>
      <c r="AK38" s="649"/>
      <c r="AL38" s="649"/>
      <c r="AM38" s="649"/>
      <c r="AN38" s="649"/>
      <c r="AO38" s="649"/>
      <c r="AP38" s="649"/>
      <c r="AQ38" s="649"/>
      <c r="AR38" s="649"/>
      <c r="AS38" s="649"/>
      <c r="AT38" s="649"/>
      <c r="AU38" s="649"/>
      <c r="AV38" s="649"/>
      <c r="AW38" s="649"/>
      <c r="AX38" s="649"/>
      <c r="AY38" s="649"/>
      <c r="AZ38" s="649"/>
      <c r="BA38" s="649"/>
      <c r="BB38" s="649"/>
      <c r="BC38" s="649"/>
      <c r="BD38" s="649"/>
      <c r="BE38" s="649"/>
      <c r="BF38" s="649"/>
      <c r="BG38" s="649"/>
      <c r="BH38" s="649"/>
      <c r="BI38" s="649"/>
      <c r="BJ38" s="649"/>
      <c r="BK38" s="649"/>
      <c r="BL38" s="649"/>
      <c r="BM38" s="649"/>
      <c r="BN38" s="649"/>
      <c r="BO38" s="649"/>
      <c r="BP38" s="649"/>
      <c r="BQ38" s="649"/>
      <c r="BR38" s="649"/>
      <c r="BS38" s="649"/>
      <c r="BT38" s="649"/>
      <c r="BU38" s="649"/>
      <c r="BV38" s="649"/>
    </row>
    <row r="39" spans="1:74" ht="14.85" customHeight="1">
      <c r="B39" s="723"/>
      <c r="C39" s="724"/>
      <c r="D39" s="649"/>
      <c r="E39" s="649"/>
      <c r="F39" s="718"/>
      <c r="G39" s="718"/>
      <c r="H39" s="718"/>
      <c r="I39" s="718"/>
      <c r="J39" s="718"/>
      <c r="K39" s="718"/>
      <c r="L39" s="718"/>
      <c r="M39" s="718"/>
      <c r="N39" s="718"/>
      <c r="O39" s="718"/>
      <c r="P39" s="718"/>
      <c r="Q39" s="725"/>
      <c r="R39" s="649"/>
      <c r="S39" s="649"/>
      <c r="T39" s="649"/>
      <c r="U39" s="649"/>
      <c r="V39" s="649"/>
      <c r="W39" s="649"/>
      <c r="X39" s="649"/>
      <c r="Y39" s="649"/>
      <c r="Z39" s="649"/>
      <c r="AA39" s="649"/>
      <c r="AB39" s="649"/>
      <c r="AC39" s="649"/>
      <c r="AD39" s="649"/>
      <c r="AE39" s="649"/>
      <c r="AF39" s="649"/>
      <c r="AG39" s="649"/>
      <c r="AH39" s="649"/>
      <c r="AI39" s="649"/>
      <c r="AJ39" s="649"/>
      <c r="AK39" s="649"/>
      <c r="AL39" s="649"/>
      <c r="AM39" s="649"/>
      <c r="AN39" s="649"/>
      <c r="AO39" s="649"/>
      <c r="AP39" s="649"/>
      <c r="AQ39" s="649"/>
      <c r="AR39" s="649"/>
      <c r="AS39" s="649"/>
      <c r="AT39" s="649"/>
      <c r="AU39" s="649"/>
      <c r="AV39" s="649"/>
      <c r="AW39" s="649"/>
      <c r="AX39" s="649"/>
      <c r="AY39" s="649"/>
      <c r="AZ39" s="649"/>
      <c r="BA39" s="649"/>
      <c r="BB39" s="649"/>
      <c r="BC39" s="649"/>
      <c r="BD39" s="649"/>
      <c r="BE39" s="649"/>
      <c r="BF39" s="649"/>
      <c r="BG39" s="649"/>
      <c r="BH39" s="649"/>
      <c r="BI39" s="649"/>
      <c r="BJ39" s="649"/>
      <c r="BK39" s="649"/>
      <c r="BL39" s="649"/>
      <c r="BM39" s="649"/>
      <c r="BN39" s="649"/>
      <c r="BO39" s="649"/>
      <c r="BP39" s="649"/>
      <c r="BQ39" s="649"/>
      <c r="BR39" s="649"/>
      <c r="BS39" s="649"/>
      <c r="BT39" s="649"/>
      <c r="BU39" s="649"/>
      <c r="BV39" s="649"/>
    </row>
    <row r="40" spans="1:74" ht="14.85" customHeight="1">
      <c r="B40" s="653" t="s">
        <v>1484</v>
      </c>
      <c r="C40" s="653"/>
      <c r="D40" s="649"/>
      <c r="E40" s="649"/>
      <c r="F40" s="726">
        <f ca="1">SUM(F28:F39)</f>
        <v>213.8094721253602</v>
      </c>
      <c r="G40" s="727">
        <f t="shared" ref="G40:P40" ca="1" si="12">SUM(G28:G39)</f>
        <v>791.95862876584999</v>
      </c>
      <c r="H40" s="727">
        <f t="shared" ca="1" si="12"/>
        <v>1933.3342329920745</v>
      </c>
      <c r="I40" s="727">
        <f t="shared" ca="1" si="12"/>
        <v>3896.2379298825645</v>
      </c>
      <c r="J40" s="727">
        <f t="shared" ca="1" si="12"/>
        <v>6643.9878962200273</v>
      </c>
      <c r="K40" s="727">
        <f t="shared" ca="1" si="12"/>
        <v>10092.297372179652</v>
      </c>
      <c r="L40" s="727">
        <f t="shared" ca="1" si="12"/>
        <v>14022.915493902568</v>
      </c>
      <c r="M40" s="727">
        <f t="shared" ca="1" si="12"/>
        <v>18044.155800609304</v>
      </c>
      <c r="N40" s="727">
        <f t="shared" ca="1" si="12"/>
        <v>21477.855831212437</v>
      </c>
      <c r="O40" s="728">
        <f t="shared" ca="1" si="12"/>
        <v>23930.436175822579</v>
      </c>
      <c r="P40" s="728">
        <f t="shared" ca="1" si="12"/>
        <v>17456.282397649426</v>
      </c>
      <c r="Q40" s="729"/>
      <c r="R40" s="649"/>
      <c r="S40" s="649"/>
      <c r="T40" s="649"/>
      <c r="U40" s="649"/>
      <c r="V40" s="649"/>
      <c r="W40" s="649"/>
      <c r="X40" s="649"/>
      <c r="Y40" s="649"/>
      <c r="Z40" s="649"/>
      <c r="AA40" s="649"/>
      <c r="AB40" s="649"/>
      <c r="AC40" s="649"/>
      <c r="AD40" s="649"/>
      <c r="AE40" s="649"/>
      <c r="AF40" s="649"/>
      <c r="AG40" s="649"/>
      <c r="AH40" s="649"/>
      <c r="AI40" s="649"/>
      <c r="AJ40" s="649"/>
      <c r="AK40" s="649"/>
      <c r="AL40" s="649"/>
      <c r="AM40" s="649"/>
      <c r="AN40" s="649"/>
      <c r="AO40" s="649"/>
      <c r="AP40" s="649"/>
      <c r="AQ40" s="649"/>
      <c r="AR40" s="649"/>
      <c r="AS40" s="649"/>
      <c r="AT40" s="649"/>
      <c r="AU40" s="649"/>
      <c r="AV40" s="649"/>
      <c r="AW40" s="649"/>
      <c r="AX40" s="649"/>
      <c r="AY40" s="649"/>
      <c r="AZ40" s="649"/>
      <c r="BA40" s="649"/>
      <c r="BB40" s="649"/>
      <c r="BC40" s="649"/>
      <c r="BD40" s="649"/>
      <c r="BE40" s="649"/>
      <c r="BF40" s="649"/>
      <c r="BG40" s="649"/>
      <c r="BH40" s="649"/>
      <c r="BI40" s="649"/>
      <c r="BJ40" s="649"/>
      <c r="BK40" s="649"/>
      <c r="BL40" s="649"/>
      <c r="BM40" s="649"/>
      <c r="BN40" s="649"/>
      <c r="BO40" s="649"/>
      <c r="BP40" s="649"/>
      <c r="BQ40" s="649"/>
      <c r="BR40" s="649"/>
      <c r="BS40" s="649"/>
      <c r="BT40" s="649"/>
      <c r="BU40" s="649"/>
      <c r="BV40" s="649"/>
    </row>
    <row r="41" spans="1:74" ht="14.85" customHeight="1">
      <c r="B41" s="649"/>
      <c r="C41" s="597"/>
      <c r="D41" s="649"/>
      <c r="E41" s="649"/>
      <c r="F41" s="730"/>
      <c r="G41" s="730"/>
      <c r="H41" s="730"/>
      <c r="I41" s="730"/>
      <c r="J41" s="730"/>
      <c r="K41" s="730"/>
      <c r="L41" s="730"/>
      <c r="M41" s="730"/>
      <c r="N41" s="730"/>
      <c r="O41" s="731"/>
      <c r="P41" s="731"/>
      <c r="Q41" s="597"/>
      <c r="R41" s="649"/>
      <c r="S41" s="649"/>
      <c r="T41" s="649"/>
      <c r="U41" s="649"/>
      <c r="V41" s="649"/>
      <c r="W41" s="649"/>
      <c r="X41" s="649"/>
      <c r="Y41" s="649"/>
      <c r="Z41" s="649"/>
      <c r="AA41" s="649"/>
      <c r="AB41" s="649"/>
      <c r="AC41" s="649"/>
      <c r="AD41" s="649"/>
      <c r="AE41" s="649"/>
      <c r="AF41" s="649"/>
      <c r="AG41" s="649"/>
      <c r="AH41" s="649"/>
      <c r="AI41" s="649"/>
      <c r="AJ41" s="649"/>
      <c r="AK41" s="649"/>
      <c r="AL41" s="649"/>
      <c r="AM41" s="649"/>
      <c r="AN41" s="649"/>
      <c r="AO41" s="649"/>
      <c r="AP41" s="649"/>
      <c r="AQ41" s="649"/>
      <c r="AR41" s="649"/>
      <c r="AS41" s="649"/>
      <c r="AT41" s="649"/>
      <c r="AU41" s="649"/>
      <c r="AV41" s="649"/>
      <c r="AW41" s="649"/>
      <c r="AX41" s="649"/>
      <c r="AY41" s="649"/>
      <c r="AZ41" s="649"/>
      <c r="BA41" s="649"/>
      <c r="BB41" s="649"/>
      <c r="BC41" s="649"/>
      <c r="BD41" s="649"/>
      <c r="BE41" s="649"/>
      <c r="BF41" s="649"/>
      <c r="BG41" s="649"/>
      <c r="BH41" s="649"/>
      <c r="BI41" s="649"/>
      <c r="BJ41" s="649"/>
      <c r="BK41" s="649"/>
      <c r="BL41" s="649"/>
      <c r="BM41" s="649"/>
      <c r="BN41" s="649"/>
      <c r="BO41" s="649"/>
      <c r="BP41" s="649"/>
      <c r="BQ41" s="649"/>
      <c r="BR41" s="649"/>
      <c r="BS41" s="649"/>
      <c r="BT41" s="649"/>
      <c r="BU41" s="649"/>
      <c r="BV41" s="649"/>
    </row>
    <row r="42" spans="1:74" ht="14.85" customHeight="1">
      <c r="B42" s="649"/>
      <c r="C42" s="655" t="s">
        <v>1485</v>
      </c>
      <c r="D42" s="649"/>
      <c r="E42" s="649"/>
      <c r="F42" s="732">
        <f t="shared" ref="F42:O42" ca="1" si="13">+F40+F18</f>
        <v>213.8094721253602</v>
      </c>
      <c r="G42" s="733">
        <f t="shared" ca="1" si="13"/>
        <v>791.95862876584999</v>
      </c>
      <c r="H42" s="733">
        <f t="shared" ca="1" si="13"/>
        <v>1933.3342329920745</v>
      </c>
      <c r="I42" s="733">
        <f t="shared" ca="1" si="13"/>
        <v>3896.2379298825645</v>
      </c>
      <c r="J42" s="733">
        <f t="shared" ca="1" si="13"/>
        <v>6643.9878962200273</v>
      </c>
      <c r="K42" s="733">
        <f t="shared" ca="1" si="13"/>
        <v>10092.297372179652</v>
      </c>
      <c r="L42" s="733">
        <f t="shared" ca="1" si="13"/>
        <v>14022.915493902568</v>
      </c>
      <c r="M42" s="733">
        <f t="shared" ca="1" si="13"/>
        <v>18044.155800609304</v>
      </c>
      <c r="N42" s="733">
        <f t="shared" ca="1" si="13"/>
        <v>21477.855831212437</v>
      </c>
      <c r="O42" s="734">
        <f t="shared" ca="1" si="13"/>
        <v>23930.436175822579</v>
      </c>
      <c r="P42" s="735" t="s">
        <v>13</v>
      </c>
      <c r="Q42" s="736"/>
      <c r="R42" s="649"/>
      <c r="S42" s="649"/>
      <c r="T42" s="649"/>
      <c r="U42" s="649"/>
      <c r="V42" s="649"/>
      <c r="W42" s="649"/>
      <c r="X42" s="649"/>
      <c r="Y42" s="649"/>
      <c r="Z42" s="649"/>
      <c r="AA42" s="649"/>
      <c r="AB42" s="649"/>
      <c r="AC42" s="649"/>
      <c r="AD42" s="649"/>
      <c r="AE42" s="649"/>
      <c r="AF42" s="649"/>
      <c r="AG42" s="649"/>
      <c r="AH42" s="649"/>
      <c r="AI42" s="649"/>
      <c r="AJ42" s="649"/>
      <c r="AK42" s="649"/>
      <c r="AL42" s="649"/>
      <c r="AM42" s="649"/>
      <c r="AN42" s="649"/>
      <c r="AO42" s="649"/>
      <c r="AP42" s="649"/>
      <c r="AQ42" s="649"/>
      <c r="AR42" s="649"/>
      <c r="AS42" s="649"/>
      <c r="AT42" s="649"/>
      <c r="AU42" s="649"/>
      <c r="AV42" s="649"/>
      <c r="AW42" s="649"/>
      <c r="AX42" s="649"/>
      <c r="AY42" s="649"/>
      <c r="AZ42" s="649"/>
      <c r="BA42" s="649"/>
      <c r="BB42" s="649"/>
      <c r="BC42" s="649"/>
      <c r="BD42" s="649"/>
      <c r="BE42" s="649"/>
      <c r="BF42" s="649"/>
      <c r="BG42" s="649"/>
      <c r="BH42" s="649"/>
      <c r="BI42" s="649"/>
      <c r="BJ42" s="649"/>
      <c r="BK42" s="649"/>
      <c r="BL42" s="649"/>
      <c r="BM42" s="649"/>
      <c r="BN42" s="649"/>
      <c r="BO42" s="649"/>
      <c r="BP42" s="649"/>
      <c r="BQ42" s="649"/>
      <c r="BR42" s="649"/>
      <c r="BS42" s="649"/>
      <c r="BT42" s="649"/>
      <c r="BU42" s="649"/>
      <c r="BV42" s="649"/>
    </row>
    <row r="43" spans="1:74" ht="14.85" customHeight="1">
      <c r="B43" s="649"/>
      <c r="C43" s="649"/>
      <c r="D43" s="649"/>
      <c r="E43" s="649"/>
      <c r="F43" s="649"/>
      <c r="G43" s="649"/>
      <c r="H43" s="649"/>
      <c r="I43" s="649"/>
      <c r="J43" s="649"/>
      <c r="K43" s="649"/>
      <c r="L43" s="649"/>
      <c r="M43" s="649"/>
      <c r="N43" s="649"/>
      <c r="O43" s="649"/>
      <c r="P43" s="649"/>
      <c r="Q43" s="649"/>
      <c r="R43" s="649"/>
      <c r="S43" s="649"/>
      <c r="T43" s="649"/>
      <c r="U43" s="649"/>
      <c r="V43" s="649"/>
      <c r="W43" s="649"/>
      <c r="X43" s="649"/>
      <c r="Y43" s="649"/>
      <c r="Z43" s="649"/>
      <c r="AA43" s="649"/>
      <c r="AB43" s="649"/>
      <c r="AC43" s="649"/>
      <c r="AD43" s="649"/>
      <c r="AE43" s="649"/>
      <c r="AF43" s="649"/>
      <c r="AG43" s="649"/>
      <c r="AH43" s="649"/>
      <c r="AI43" s="649"/>
      <c r="AJ43" s="649"/>
      <c r="AK43" s="649"/>
      <c r="AL43" s="649"/>
      <c r="AM43" s="649"/>
      <c r="AN43" s="649"/>
      <c r="AO43" s="649"/>
      <c r="AP43" s="649"/>
      <c r="AQ43" s="649"/>
      <c r="AR43" s="649"/>
      <c r="AS43" s="649"/>
      <c r="AT43" s="649"/>
      <c r="AU43" s="649"/>
      <c r="AV43" s="649"/>
      <c r="AW43" s="649"/>
      <c r="AX43" s="649"/>
      <c r="AY43" s="649"/>
      <c r="AZ43" s="649"/>
      <c r="BA43" s="649"/>
      <c r="BB43" s="649"/>
      <c r="BC43" s="649"/>
      <c r="BD43" s="649"/>
      <c r="BE43" s="649"/>
      <c r="BF43" s="649"/>
      <c r="BG43" s="649"/>
      <c r="BH43" s="649"/>
      <c r="BI43" s="649"/>
      <c r="BJ43" s="649"/>
      <c r="BK43" s="649"/>
      <c r="BL43" s="649"/>
      <c r="BM43" s="649"/>
      <c r="BN43" s="649"/>
      <c r="BO43" s="649"/>
      <c r="BP43" s="649"/>
      <c r="BQ43" s="649"/>
      <c r="BR43" s="649"/>
      <c r="BS43" s="649"/>
      <c r="BT43" s="649"/>
      <c r="BU43" s="649"/>
      <c r="BV43" s="649"/>
    </row>
    <row r="44" spans="1:74" ht="14.85" customHeight="1">
      <c r="B44" s="279" t="s">
        <v>86</v>
      </c>
      <c r="D44" s="655"/>
      <c r="E44" s="597"/>
      <c r="F44" s="597"/>
      <c r="G44" s="597"/>
      <c r="H44" s="597"/>
      <c r="I44" s="597"/>
      <c r="J44" s="597"/>
      <c r="K44" s="597"/>
      <c r="L44" s="597"/>
      <c r="M44" s="597"/>
      <c r="N44" s="597"/>
      <c r="O44" s="597"/>
      <c r="P44" s="597"/>
      <c r="Q44" s="597"/>
      <c r="R44" s="597"/>
      <c r="S44" s="597"/>
      <c r="T44" s="597"/>
      <c r="U44" s="597"/>
      <c r="V44" s="597"/>
      <c r="W44" s="597"/>
      <c r="X44" s="597"/>
      <c r="Y44" s="597"/>
      <c r="Z44" s="597"/>
      <c r="AA44" s="597"/>
      <c r="AB44" s="597"/>
      <c r="AC44" s="597"/>
      <c r="AD44" s="597"/>
      <c r="AE44" s="597"/>
      <c r="AF44" s="597"/>
      <c r="AG44" s="597"/>
      <c r="AH44" s="597"/>
      <c r="AI44" s="597"/>
      <c r="AJ44" s="597"/>
      <c r="AK44" s="597"/>
      <c r="AL44" s="597"/>
      <c r="AM44" s="597"/>
      <c r="AN44" s="597"/>
      <c r="AO44" s="597"/>
      <c r="AP44" s="597"/>
      <c r="AQ44" s="597"/>
      <c r="AR44" s="597"/>
      <c r="AS44" s="597"/>
      <c r="AT44" s="597"/>
      <c r="AU44" s="597"/>
      <c r="AV44" s="597"/>
      <c r="AW44" s="597"/>
      <c r="AX44" s="597"/>
      <c r="AY44" s="597"/>
      <c r="AZ44" s="597"/>
      <c r="BA44" s="597"/>
      <c r="BB44" s="597"/>
      <c r="BC44" s="597"/>
      <c r="BD44" s="597"/>
      <c r="BE44" s="597"/>
      <c r="BF44" s="597"/>
      <c r="BG44" s="597"/>
      <c r="BH44" s="597"/>
      <c r="BI44" s="597"/>
      <c r="BJ44" s="597"/>
      <c r="BK44" s="597"/>
      <c r="BL44" s="597"/>
      <c r="BM44" s="597"/>
      <c r="BN44" s="597"/>
      <c r="BO44" s="597"/>
      <c r="BP44" s="597"/>
      <c r="BQ44" s="597"/>
      <c r="BR44" s="597"/>
      <c r="BS44" s="597"/>
      <c r="BT44" s="597"/>
      <c r="BU44" s="597"/>
      <c r="BV44" s="597"/>
    </row>
    <row r="45" spans="1:74" ht="14.85" customHeight="1">
      <c r="A45" s="737" t="s">
        <v>250</v>
      </c>
      <c r="B45" s="738" t="str">
        <f>"Based on the balance sheet provided by Management as of the Valuation Date."</f>
        <v>Based on the balance sheet provided by Management as of the Valuation Date.</v>
      </c>
      <c r="E45" s="739"/>
      <c r="F45" s="739"/>
      <c r="G45" s="739"/>
      <c r="H45" s="739"/>
      <c r="I45" s="739"/>
      <c r="J45" s="739"/>
      <c r="K45" s="597"/>
      <c r="L45" s="597"/>
      <c r="M45" s="597"/>
      <c r="N45" s="597"/>
      <c r="O45" s="597"/>
      <c r="P45" s="597"/>
      <c r="Q45" s="597"/>
      <c r="R45" s="597"/>
      <c r="S45" s="597"/>
      <c r="T45" s="597"/>
      <c r="U45" s="597"/>
      <c r="V45" s="597"/>
      <c r="W45" s="597"/>
      <c r="X45" s="597"/>
      <c r="Y45" s="597"/>
      <c r="Z45" s="597"/>
      <c r="AA45" s="597"/>
      <c r="AB45" s="597"/>
      <c r="AC45" s="597"/>
      <c r="AD45" s="597"/>
      <c r="AE45" s="597"/>
      <c r="AF45" s="597"/>
      <c r="AG45" s="597"/>
      <c r="AH45" s="597"/>
      <c r="AI45" s="597"/>
      <c r="AJ45" s="597"/>
      <c r="AK45" s="597"/>
      <c r="AL45" s="597"/>
      <c r="AM45" s="597"/>
      <c r="AN45" s="597"/>
      <c r="AO45" s="597"/>
      <c r="AP45" s="597"/>
      <c r="AQ45" s="597"/>
      <c r="AR45" s="597"/>
      <c r="AS45" s="597"/>
      <c r="AT45" s="597"/>
      <c r="AU45" s="597"/>
      <c r="AV45" s="597"/>
      <c r="AW45" s="597"/>
      <c r="AX45" s="597"/>
      <c r="AY45" s="597"/>
      <c r="AZ45" s="597"/>
      <c r="BA45" s="597"/>
      <c r="BB45" s="597"/>
      <c r="BC45" s="597"/>
      <c r="BD45" s="597"/>
      <c r="BE45" s="597"/>
      <c r="BF45" s="597"/>
      <c r="BG45" s="597"/>
      <c r="BH45" s="597"/>
      <c r="BI45" s="597"/>
      <c r="BJ45" s="597"/>
      <c r="BK45" s="597"/>
      <c r="BL45" s="597"/>
      <c r="BM45" s="597"/>
      <c r="BN45" s="597"/>
      <c r="BO45" s="597"/>
      <c r="BP45" s="597"/>
      <c r="BQ45" s="597"/>
      <c r="BR45" s="597"/>
      <c r="BS45" s="597"/>
      <c r="BT45" s="597"/>
      <c r="BU45" s="597"/>
      <c r="BV45" s="597"/>
    </row>
    <row r="46" spans="1:74" ht="14.85" customHeight="1">
      <c r="A46" s="737" t="s">
        <v>249</v>
      </c>
      <c r="B46" s="2240" t="s">
        <v>1486</v>
      </c>
      <c r="C46" s="2240"/>
      <c r="D46" s="2240"/>
      <c r="E46" s="2240"/>
      <c r="F46" s="2240"/>
      <c r="G46" s="2240"/>
      <c r="H46" s="2240"/>
      <c r="I46" s="2240"/>
      <c r="J46" s="2240"/>
      <c r="K46" s="2240"/>
      <c r="L46" s="2240"/>
      <c r="M46" s="2240"/>
      <c r="N46" s="2240"/>
      <c r="O46" s="2240"/>
      <c r="P46" s="740"/>
      <c r="Q46" s="740"/>
      <c r="R46" s="597"/>
      <c r="S46" s="597"/>
      <c r="T46" s="597"/>
      <c r="U46" s="597"/>
      <c r="V46" s="597"/>
      <c r="W46" s="597"/>
      <c r="X46" s="597"/>
      <c r="Y46" s="597"/>
      <c r="Z46" s="597"/>
      <c r="AA46" s="597"/>
      <c r="AB46" s="597"/>
      <c r="AC46" s="597"/>
      <c r="AD46" s="597"/>
      <c r="AE46" s="597"/>
      <c r="AF46" s="597"/>
      <c r="AG46" s="597"/>
      <c r="AH46" s="597"/>
      <c r="AI46" s="597"/>
      <c r="AJ46" s="597"/>
      <c r="AK46" s="597"/>
      <c r="AL46" s="597"/>
      <c r="AM46" s="597"/>
      <c r="AN46" s="597"/>
      <c r="AO46" s="597"/>
      <c r="AP46" s="597"/>
      <c r="AQ46" s="597"/>
      <c r="AR46" s="597"/>
      <c r="AS46" s="597"/>
      <c r="AT46" s="597"/>
      <c r="AU46" s="597"/>
      <c r="AV46" s="597"/>
      <c r="AW46" s="597"/>
      <c r="AX46" s="597"/>
      <c r="AY46" s="597"/>
      <c r="AZ46" s="597"/>
      <c r="BA46" s="597"/>
      <c r="BB46" s="597"/>
      <c r="BC46" s="597"/>
      <c r="BD46" s="597"/>
      <c r="BE46" s="597"/>
      <c r="BF46" s="597"/>
      <c r="BG46" s="597"/>
      <c r="BH46" s="597"/>
      <c r="BI46" s="597"/>
      <c r="BJ46" s="597"/>
      <c r="BK46" s="597"/>
      <c r="BL46" s="597"/>
      <c r="BM46" s="597"/>
      <c r="BN46" s="597"/>
      <c r="BO46" s="597"/>
      <c r="BP46" s="597"/>
      <c r="BQ46" s="597"/>
      <c r="BR46" s="597"/>
      <c r="BS46" s="597"/>
      <c r="BT46" s="597"/>
      <c r="BU46" s="597"/>
      <c r="BV46" s="597"/>
    </row>
    <row r="47" spans="1:74" ht="14.85" customHeight="1">
      <c r="B47" s="741"/>
      <c r="D47" s="740"/>
      <c r="E47" s="740"/>
      <c r="F47" s="740"/>
      <c r="G47" s="740"/>
      <c r="H47" s="740"/>
      <c r="I47" s="740"/>
      <c r="J47" s="740"/>
      <c r="K47" s="740"/>
      <c r="L47" s="740"/>
      <c r="M47" s="740"/>
      <c r="N47" s="740"/>
      <c r="O47" s="740"/>
      <c r="P47" s="740"/>
      <c r="Q47" s="740"/>
      <c r="R47" s="597"/>
      <c r="S47" s="597"/>
      <c r="T47" s="597"/>
      <c r="U47" s="597"/>
      <c r="V47" s="597"/>
      <c r="W47" s="597"/>
      <c r="X47" s="597"/>
      <c r="Y47" s="597"/>
      <c r="Z47" s="597"/>
      <c r="AA47" s="597"/>
      <c r="AB47" s="597"/>
      <c r="AC47" s="597"/>
      <c r="AD47" s="597"/>
      <c r="AE47" s="597"/>
      <c r="AF47" s="597"/>
      <c r="AG47" s="597"/>
      <c r="AH47" s="597"/>
      <c r="AI47" s="597"/>
      <c r="AJ47" s="597"/>
      <c r="AK47" s="597"/>
      <c r="AL47" s="597"/>
      <c r="AM47" s="597"/>
      <c r="AN47" s="597"/>
      <c r="AO47" s="597"/>
      <c r="AP47" s="597"/>
      <c r="AQ47" s="597"/>
      <c r="AR47" s="597"/>
      <c r="AS47" s="597"/>
      <c r="AT47" s="597"/>
      <c r="AU47" s="597"/>
      <c r="AV47" s="597"/>
      <c r="AW47" s="597"/>
      <c r="AX47" s="597"/>
      <c r="AY47" s="597"/>
      <c r="AZ47" s="597"/>
      <c r="BA47" s="597"/>
      <c r="BB47" s="597"/>
      <c r="BC47" s="597"/>
      <c r="BD47" s="597"/>
      <c r="BE47" s="597"/>
      <c r="BF47" s="597"/>
      <c r="BG47" s="597"/>
      <c r="BH47" s="597"/>
      <c r="BI47" s="597"/>
      <c r="BJ47" s="597"/>
      <c r="BK47" s="597"/>
      <c r="BL47" s="597"/>
      <c r="BM47" s="597"/>
      <c r="BN47" s="597"/>
      <c r="BO47" s="597"/>
      <c r="BP47" s="597"/>
      <c r="BQ47" s="597"/>
      <c r="BR47" s="597"/>
      <c r="BS47" s="597"/>
      <c r="BT47" s="597"/>
      <c r="BU47" s="597"/>
      <c r="BV47" s="597"/>
    </row>
    <row r="48" spans="1:74" ht="14.85" customHeight="1">
      <c r="C48" s="649"/>
      <c r="D48" s="649"/>
      <c r="E48" s="649"/>
      <c r="F48" s="742"/>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49"/>
      <c r="AF48" s="649"/>
      <c r="AG48" s="649"/>
      <c r="AH48" s="649"/>
      <c r="AI48" s="649"/>
      <c r="AJ48" s="649"/>
      <c r="AK48" s="649"/>
      <c r="AL48" s="649"/>
      <c r="AM48" s="649"/>
      <c r="AN48" s="649"/>
      <c r="AO48" s="649"/>
      <c r="AP48" s="649"/>
      <c r="AQ48" s="649"/>
      <c r="AR48" s="649"/>
      <c r="AS48" s="649"/>
      <c r="AT48" s="649"/>
      <c r="AU48" s="649"/>
      <c r="AV48" s="649"/>
      <c r="AW48" s="649"/>
      <c r="AX48" s="649"/>
      <c r="AY48" s="649"/>
      <c r="AZ48" s="649"/>
      <c r="BA48" s="649"/>
      <c r="BB48" s="649"/>
      <c r="BC48" s="649"/>
      <c r="BD48" s="649"/>
      <c r="BE48" s="649"/>
      <c r="BF48" s="649"/>
      <c r="BG48" s="649"/>
      <c r="BH48" s="649"/>
      <c r="BI48" s="649"/>
      <c r="BJ48" s="649"/>
      <c r="BK48" s="649"/>
      <c r="BL48" s="649"/>
      <c r="BM48" s="649"/>
      <c r="BN48" s="649"/>
      <c r="BO48" s="649"/>
      <c r="BP48" s="649"/>
      <c r="BQ48" s="649"/>
      <c r="BR48" s="649"/>
      <c r="BS48" s="649"/>
      <c r="BT48" s="649"/>
      <c r="BU48" s="649"/>
      <c r="BV48" s="649"/>
    </row>
    <row r="49" spans="2:72" ht="14.85" customHeight="1">
      <c r="B49" s="743" t="s">
        <v>1487</v>
      </c>
      <c r="C49" s="649"/>
      <c r="D49" s="649"/>
      <c r="E49" s="649"/>
      <c r="F49" s="649"/>
      <c r="G49" s="649"/>
      <c r="H49" s="649"/>
      <c r="I49" s="649"/>
      <c r="J49" s="649"/>
      <c r="K49" s="649"/>
      <c r="L49" s="649"/>
      <c r="M49" s="649"/>
      <c r="N49" s="649"/>
      <c r="O49" s="649"/>
      <c r="P49" s="649"/>
      <c r="Q49" s="649"/>
      <c r="R49" s="649"/>
      <c r="S49" s="649"/>
      <c r="T49" s="649"/>
      <c r="U49" s="649"/>
      <c r="V49" s="649"/>
      <c r="W49" s="649"/>
      <c r="X49" s="649"/>
      <c r="Y49" s="649"/>
      <c r="Z49" s="649"/>
      <c r="AA49" s="649"/>
      <c r="AB49" s="649"/>
      <c r="AC49" s="649"/>
      <c r="AD49" s="649"/>
      <c r="AE49" s="649"/>
      <c r="AF49" s="649"/>
      <c r="AG49" s="649"/>
      <c r="AH49" s="649"/>
      <c r="AI49" s="649"/>
      <c r="AJ49" s="649"/>
      <c r="AK49" s="649"/>
      <c r="AL49" s="649"/>
      <c r="AM49" s="649"/>
      <c r="AN49" s="649"/>
      <c r="AO49" s="649"/>
      <c r="AP49" s="649"/>
      <c r="AQ49" s="649"/>
      <c r="AR49" s="649"/>
      <c r="AS49" s="649"/>
      <c r="AT49" s="649"/>
      <c r="AU49" s="649"/>
      <c r="AV49" s="649"/>
      <c r="AW49" s="649"/>
      <c r="AX49" s="649"/>
      <c r="AY49" s="649"/>
      <c r="AZ49" s="649"/>
      <c r="BA49" s="649"/>
      <c r="BB49" s="649"/>
      <c r="BC49" s="649"/>
      <c r="BD49" s="649"/>
      <c r="BE49" s="649"/>
      <c r="BF49" s="649"/>
      <c r="BG49" s="649"/>
      <c r="BH49" s="649"/>
      <c r="BI49" s="649"/>
      <c r="BJ49" s="649"/>
      <c r="BK49" s="649"/>
      <c r="BL49" s="649"/>
      <c r="BM49" s="649"/>
      <c r="BN49" s="649"/>
      <c r="BO49" s="649"/>
      <c r="BP49" s="649"/>
      <c r="BQ49" s="649"/>
      <c r="BR49" s="649"/>
      <c r="BS49" s="649"/>
      <c r="BT49" s="649"/>
    </row>
    <row r="50" spans="2:72" ht="14.85" customHeight="1">
      <c r="B50" s="649"/>
      <c r="C50" s="649"/>
      <c r="D50" s="649"/>
      <c r="E50" s="649"/>
      <c r="F50" s="742"/>
      <c r="G50" s="742"/>
      <c r="H50" s="742"/>
      <c r="I50" s="742"/>
      <c r="J50" s="742"/>
      <c r="K50" s="742"/>
      <c r="L50" s="742"/>
      <c r="M50" s="742"/>
      <c r="N50" s="742"/>
      <c r="O50" s="742"/>
      <c r="P50" s="742"/>
      <c r="Q50" s="742"/>
      <c r="R50" s="742"/>
      <c r="S50" s="742"/>
      <c r="T50" s="742"/>
      <c r="U50" s="742"/>
      <c r="V50" s="742"/>
      <c r="W50" s="742"/>
      <c r="X50" s="742"/>
      <c r="Y50" s="742"/>
      <c r="Z50" s="742"/>
      <c r="AA50" s="742"/>
      <c r="AB50" s="742"/>
      <c r="AC50" s="742"/>
      <c r="AD50" s="742"/>
      <c r="AE50" s="742"/>
      <c r="AF50" s="742"/>
      <c r="AG50" s="742"/>
      <c r="AH50" s="742"/>
      <c r="AI50" s="742"/>
      <c r="AJ50" s="742"/>
      <c r="AK50" s="742"/>
      <c r="AL50" s="742"/>
      <c r="AM50" s="742"/>
      <c r="AN50" s="742"/>
      <c r="AO50" s="742"/>
      <c r="AP50" s="742"/>
      <c r="AQ50" s="742"/>
      <c r="AR50" s="742"/>
      <c r="AS50" s="742"/>
      <c r="AT50" s="742"/>
      <c r="AU50" s="742"/>
      <c r="AV50" s="742"/>
      <c r="AW50" s="742"/>
      <c r="AX50" s="742"/>
      <c r="AY50" s="742"/>
      <c r="AZ50" s="742"/>
      <c r="BA50" s="742"/>
      <c r="BB50" s="742"/>
      <c r="BC50" s="742"/>
      <c r="BD50" s="742"/>
      <c r="BE50" s="742"/>
      <c r="BF50" s="742"/>
      <c r="BG50" s="742"/>
      <c r="BH50" s="649"/>
      <c r="BI50" s="649"/>
      <c r="BJ50" s="649"/>
      <c r="BK50" s="649"/>
      <c r="BL50" s="649"/>
      <c r="BM50" s="649"/>
      <c r="BN50" s="649"/>
      <c r="BO50" s="649"/>
      <c r="BP50" s="649"/>
      <c r="BQ50" s="649"/>
      <c r="BR50" s="649"/>
      <c r="BS50" s="649"/>
      <c r="BT50" s="649"/>
    </row>
    <row r="51" spans="2:72" ht="14.85" customHeight="1">
      <c r="B51" s="649"/>
      <c r="C51" s="649"/>
      <c r="D51" s="649"/>
      <c r="E51" s="649"/>
      <c r="F51" s="649"/>
      <c r="G51" s="649"/>
      <c r="H51" s="649"/>
      <c r="I51" s="649"/>
      <c r="J51" s="649"/>
      <c r="K51" s="649"/>
      <c r="L51" s="649"/>
      <c r="M51" s="649"/>
      <c r="N51" s="649"/>
      <c r="O51" s="649"/>
      <c r="P51" s="649"/>
      <c r="Q51" s="649"/>
      <c r="R51" s="649"/>
      <c r="S51" s="649"/>
      <c r="T51" s="649"/>
      <c r="U51" s="649"/>
      <c r="V51" s="649"/>
      <c r="W51" s="649"/>
      <c r="X51" s="649"/>
      <c r="Y51" s="649"/>
      <c r="Z51" s="649"/>
      <c r="AA51" s="649"/>
      <c r="AB51" s="649"/>
      <c r="AC51" s="649"/>
      <c r="AD51" s="649"/>
      <c r="AE51" s="649"/>
      <c r="AF51" s="649"/>
      <c r="AG51" s="649"/>
      <c r="AH51" s="649"/>
      <c r="AI51" s="649"/>
      <c r="AJ51" s="649"/>
      <c r="AK51" s="649"/>
      <c r="AL51" s="649"/>
      <c r="AM51" s="649"/>
      <c r="AN51" s="649"/>
      <c r="AO51" s="649"/>
      <c r="AP51" s="649"/>
      <c r="AQ51" s="649"/>
      <c r="AR51" s="649"/>
      <c r="AS51" s="649"/>
      <c r="AT51" s="649"/>
      <c r="AU51" s="649"/>
      <c r="AV51" s="649"/>
      <c r="AW51" s="649"/>
      <c r="AX51" s="649"/>
      <c r="AY51" s="649"/>
      <c r="AZ51" s="649"/>
      <c r="BA51" s="649"/>
      <c r="BB51" s="649"/>
      <c r="BC51" s="649"/>
      <c r="BD51" s="649"/>
      <c r="BE51" s="649"/>
      <c r="BF51" s="649"/>
      <c r="BG51" s="649"/>
      <c r="BH51" s="649"/>
      <c r="BI51" s="649"/>
      <c r="BJ51" s="649"/>
      <c r="BK51" s="649"/>
      <c r="BL51" s="649"/>
      <c r="BM51" s="649"/>
      <c r="BN51" s="649"/>
      <c r="BO51" s="649"/>
      <c r="BP51" s="649"/>
      <c r="BQ51" s="649"/>
      <c r="BR51" s="649"/>
      <c r="BS51" s="649"/>
      <c r="BT51" s="649"/>
    </row>
    <row r="52" spans="2:72" ht="14.85" customHeight="1">
      <c r="C52" s="744" t="s">
        <v>1432</v>
      </c>
      <c r="D52" s="597" t="s">
        <v>1433</v>
      </c>
      <c r="E52" s="597"/>
      <c r="F52" s="598" t="s">
        <v>759</v>
      </c>
      <c r="G52" s="599" t="s">
        <v>760</v>
      </c>
      <c r="H52" s="599" t="s">
        <v>761</v>
      </c>
      <c r="I52" s="599" t="s">
        <v>762</v>
      </c>
      <c r="J52" s="599" t="s">
        <v>763</v>
      </c>
      <c r="K52" s="599" t="s">
        <v>1434</v>
      </c>
      <c r="L52" s="599" t="s">
        <v>1435</v>
      </c>
      <c r="M52" s="599" t="s">
        <v>1436</v>
      </c>
      <c r="N52" s="599" t="s">
        <v>1437</v>
      </c>
      <c r="O52" s="599" t="s">
        <v>1437</v>
      </c>
      <c r="P52" s="599" t="s">
        <v>1438</v>
      </c>
      <c r="Q52" s="599" t="s">
        <v>1439</v>
      </c>
      <c r="R52" s="599" t="s">
        <v>1440</v>
      </c>
      <c r="S52" s="599" t="s">
        <v>1441</v>
      </c>
      <c r="T52" s="599" t="s">
        <v>1442</v>
      </c>
      <c r="U52" s="599" t="s">
        <v>1443</v>
      </c>
      <c r="V52" s="599" t="s">
        <v>1444</v>
      </c>
      <c r="W52" s="599" t="s">
        <v>1445</v>
      </c>
      <c r="X52" s="599" t="s">
        <v>1446</v>
      </c>
      <c r="Y52" s="599" t="s">
        <v>1447</v>
      </c>
      <c r="Z52" s="599" t="s">
        <v>1448</v>
      </c>
      <c r="AA52" s="599" t="s">
        <v>1449</v>
      </c>
      <c r="AB52" s="599" t="s">
        <v>1450</v>
      </c>
      <c r="AC52" s="599" t="s">
        <v>1451</v>
      </c>
      <c r="AD52" s="599" t="s">
        <v>1452</v>
      </c>
      <c r="AE52" s="599" t="s">
        <v>1453</v>
      </c>
      <c r="AF52" s="599" t="s">
        <v>1454</v>
      </c>
      <c r="AG52" s="599" t="s">
        <v>1455</v>
      </c>
      <c r="AH52" s="599" t="s">
        <v>1456</v>
      </c>
      <c r="AI52" s="599" t="s">
        <v>1457</v>
      </c>
      <c r="AJ52" s="599" t="s">
        <v>1458</v>
      </c>
      <c r="AK52" s="599" t="s">
        <v>1459</v>
      </c>
      <c r="AL52" s="599" t="s">
        <v>1460</v>
      </c>
      <c r="AM52" s="599" t="s">
        <v>1461</v>
      </c>
      <c r="AN52" s="599" t="s">
        <v>1462</v>
      </c>
      <c r="AO52" s="599" t="s">
        <v>1463</v>
      </c>
      <c r="AP52" s="599" t="s">
        <v>1464</v>
      </c>
      <c r="AQ52" s="599" t="s">
        <v>1465</v>
      </c>
      <c r="AR52" s="599" t="s">
        <v>1466</v>
      </c>
      <c r="AS52" s="599" t="s">
        <v>1467</v>
      </c>
      <c r="AT52" s="600" t="s">
        <v>1468</v>
      </c>
      <c r="AU52" s="597"/>
      <c r="AV52" s="597"/>
      <c r="AW52" s="597"/>
      <c r="AX52" s="597"/>
      <c r="AY52" s="597"/>
      <c r="AZ52" s="597"/>
      <c r="BA52" s="597"/>
      <c r="BB52" s="597"/>
      <c r="BC52" s="597"/>
      <c r="BD52" s="597"/>
      <c r="BE52" s="597"/>
      <c r="BF52" s="597"/>
      <c r="BG52" s="597"/>
      <c r="BH52" s="597"/>
      <c r="BI52" s="597"/>
      <c r="BJ52" s="597"/>
      <c r="BK52" s="597"/>
      <c r="BL52" s="597"/>
      <c r="BM52" s="597"/>
      <c r="BN52" s="597"/>
      <c r="BO52" s="597"/>
      <c r="BP52" s="597"/>
      <c r="BQ52" s="597"/>
      <c r="BR52" s="597"/>
      <c r="BS52" s="597"/>
    </row>
    <row r="53" spans="2:72" ht="14.85" customHeight="1">
      <c r="C53" s="601" t="s">
        <v>1469</v>
      </c>
      <c r="D53" s="597" t="s">
        <v>1470</v>
      </c>
      <c r="E53" s="597"/>
      <c r="F53" s="602">
        <v>3.7499999999999999E-2</v>
      </c>
      <c r="G53" s="603">
        <v>7.2190000000000004E-2</v>
      </c>
      <c r="H53" s="603">
        <v>6.6769999999999996E-2</v>
      </c>
      <c r="I53" s="603">
        <v>6.1769999999999999E-2</v>
      </c>
      <c r="J53" s="603">
        <v>5.713E-2</v>
      </c>
      <c r="K53" s="603">
        <v>5.2850000000000001E-2</v>
      </c>
      <c r="L53" s="603">
        <v>4.888E-2</v>
      </c>
      <c r="M53" s="603">
        <v>4.5220000000000003E-2</v>
      </c>
      <c r="N53" s="603">
        <v>4.462E-2</v>
      </c>
      <c r="O53" s="603">
        <v>4.462E-2</v>
      </c>
      <c r="P53" s="603">
        <v>4.4609999999999997E-2</v>
      </c>
      <c r="Q53" s="603">
        <v>4.462E-2</v>
      </c>
      <c r="R53" s="603">
        <v>4.4609999999999997E-2</v>
      </c>
      <c r="S53" s="603">
        <v>4.462E-2</v>
      </c>
      <c r="T53" s="603">
        <v>4.4609999999999997E-2</v>
      </c>
      <c r="U53" s="603">
        <v>4.462E-2</v>
      </c>
      <c r="V53" s="603">
        <v>4.4609999999999997E-2</v>
      </c>
      <c r="W53" s="603">
        <v>4.462E-2</v>
      </c>
      <c r="X53" s="603">
        <v>4.4609999999999997E-2</v>
      </c>
      <c r="Y53" s="603">
        <v>4.462E-2</v>
      </c>
      <c r="Z53" s="603">
        <v>4.4609999999999997E-2</v>
      </c>
      <c r="AA53" s="603">
        <v>2.231E-2</v>
      </c>
      <c r="AB53" s="603"/>
      <c r="AC53" s="603"/>
      <c r="AD53" s="603"/>
      <c r="AE53" s="603"/>
      <c r="AF53" s="603"/>
      <c r="AG53" s="603"/>
      <c r="AH53" s="603"/>
      <c r="AI53" s="603"/>
      <c r="AJ53" s="603"/>
      <c r="AK53" s="603"/>
      <c r="AL53" s="604"/>
      <c r="AM53" s="604"/>
      <c r="AN53" s="604"/>
      <c r="AO53" s="604"/>
      <c r="AP53" s="604"/>
      <c r="AQ53" s="604"/>
      <c r="AR53" s="604"/>
      <c r="AS53" s="604"/>
      <c r="AT53" s="605"/>
      <c r="AU53" s="597"/>
      <c r="AV53" s="597"/>
      <c r="AW53" s="597"/>
      <c r="AX53" s="597"/>
      <c r="AY53" s="597"/>
      <c r="AZ53" s="597"/>
      <c r="BA53" s="597"/>
      <c r="BB53" s="597"/>
      <c r="BC53" s="597"/>
      <c r="BD53" s="597"/>
      <c r="BE53" s="597"/>
      <c r="BF53" s="597"/>
      <c r="BG53" s="597"/>
      <c r="BH53" s="597"/>
      <c r="BI53" s="597"/>
      <c r="BJ53" s="597"/>
      <c r="BK53" s="597"/>
      <c r="BL53" s="597"/>
      <c r="BM53" s="597"/>
      <c r="BN53" s="597"/>
      <c r="BO53" s="597"/>
      <c r="BP53" s="597"/>
      <c r="BQ53" s="597"/>
      <c r="BR53" s="597"/>
      <c r="BS53" s="597"/>
    </row>
    <row r="54" spans="2:72" ht="14.85" customHeight="1">
      <c r="C54" s="606" t="s">
        <v>1471</v>
      </c>
      <c r="D54" s="597" t="s">
        <v>1472</v>
      </c>
      <c r="E54" s="597"/>
      <c r="F54" s="607">
        <v>1.2999999999999999E-2</v>
      </c>
      <c r="G54" s="608">
        <v>2.564E-2</v>
      </c>
      <c r="H54" s="608">
        <v>2.564E-2</v>
      </c>
      <c r="I54" s="608">
        <v>2.564E-2</v>
      </c>
      <c r="J54" s="608">
        <v>2.564E-2</v>
      </c>
      <c r="K54" s="608">
        <v>2.564E-2</v>
      </c>
      <c r="L54" s="608">
        <v>2.564E-2</v>
      </c>
      <c r="M54" s="608">
        <v>2.564E-2</v>
      </c>
      <c r="N54" s="608">
        <v>2.564E-2</v>
      </c>
      <c r="O54" s="608">
        <v>2.564E-2</v>
      </c>
      <c r="P54" s="608">
        <v>2.564E-2</v>
      </c>
      <c r="Q54" s="608">
        <v>2.564E-2</v>
      </c>
      <c r="R54" s="608">
        <v>2.564E-2</v>
      </c>
      <c r="S54" s="608">
        <v>2.564E-2</v>
      </c>
      <c r="T54" s="608">
        <v>2.564E-2</v>
      </c>
      <c r="U54" s="608">
        <v>2.564E-2</v>
      </c>
      <c r="V54" s="608">
        <v>2.564E-2</v>
      </c>
      <c r="W54" s="608">
        <v>2.564E-2</v>
      </c>
      <c r="X54" s="608">
        <v>2.564E-2</v>
      </c>
      <c r="Y54" s="608">
        <v>2.564E-2</v>
      </c>
      <c r="Z54" s="608">
        <v>2.564E-2</v>
      </c>
      <c r="AA54" s="608">
        <v>2.564E-2</v>
      </c>
      <c r="AB54" s="608">
        <v>2.564E-2</v>
      </c>
      <c r="AC54" s="608">
        <v>2.564E-2</v>
      </c>
      <c r="AD54" s="608">
        <v>2.564E-2</v>
      </c>
      <c r="AE54" s="608">
        <v>2.564E-2</v>
      </c>
      <c r="AF54" s="608">
        <v>2.564E-2</v>
      </c>
      <c r="AG54" s="608">
        <v>2.564E-2</v>
      </c>
      <c r="AH54" s="608">
        <v>2.564E-2</v>
      </c>
      <c r="AI54" s="608">
        <v>2.564E-2</v>
      </c>
      <c r="AJ54" s="608">
        <v>2.564E-2</v>
      </c>
      <c r="AK54" s="608">
        <v>2.564E-2</v>
      </c>
      <c r="AL54" s="608">
        <v>2.564E-2</v>
      </c>
      <c r="AM54" s="608">
        <v>2.564E-2</v>
      </c>
      <c r="AN54" s="608">
        <v>2.564E-2</v>
      </c>
      <c r="AO54" s="608">
        <v>2.564E-2</v>
      </c>
      <c r="AP54" s="608">
        <v>2.564E-2</v>
      </c>
      <c r="AQ54" s="608">
        <v>2.564E-2</v>
      </c>
      <c r="AR54" s="608">
        <v>2.564E-2</v>
      </c>
      <c r="AS54" s="608">
        <v>2.564E-2</v>
      </c>
      <c r="AT54" s="609">
        <v>2.564E-2</v>
      </c>
      <c r="AU54" s="597"/>
      <c r="AV54" s="597"/>
      <c r="AW54" s="597"/>
      <c r="AX54" s="597"/>
      <c r="AY54" s="597"/>
      <c r="AZ54" s="597"/>
      <c r="BA54" s="597"/>
      <c r="BB54" s="597"/>
      <c r="BC54" s="597"/>
      <c r="BD54" s="597"/>
      <c r="BE54" s="597"/>
      <c r="BF54" s="597"/>
      <c r="BG54" s="597"/>
      <c r="BH54" s="597"/>
      <c r="BI54" s="597"/>
      <c r="BJ54" s="597"/>
      <c r="BK54" s="597"/>
      <c r="BL54" s="597"/>
      <c r="BM54" s="597"/>
      <c r="BN54" s="597"/>
      <c r="BO54" s="597"/>
      <c r="BP54" s="597"/>
      <c r="BQ54" s="597"/>
      <c r="BR54" s="597"/>
      <c r="BS54" s="597"/>
    </row>
    <row r="55" spans="2:72" ht="14.85" customHeight="1">
      <c r="C55" s="606" t="s">
        <v>1473</v>
      </c>
      <c r="D55" s="597" t="s">
        <v>1470</v>
      </c>
      <c r="E55" s="597"/>
      <c r="F55" s="607">
        <v>0.05</v>
      </c>
      <c r="G55" s="608">
        <v>9.5000000000000001E-2</v>
      </c>
      <c r="H55" s="608">
        <v>8.5500000000000007E-2</v>
      </c>
      <c r="I55" s="608">
        <v>7.6999999999999999E-2</v>
      </c>
      <c r="J55" s="608">
        <v>6.93E-2</v>
      </c>
      <c r="K55" s="608">
        <v>6.2300000000000008E-2</v>
      </c>
      <c r="L55" s="608">
        <v>5.9000000000000004E-2</v>
      </c>
      <c r="M55" s="608">
        <v>5.9000000000000004E-2</v>
      </c>
      <c r="N55" s="608">
        <v>5.91E-2</v>
      </c>
      <c r="O55" s="608">
        <v>5.91E-2</v>
      </c>
      <c r="P55" s="608">
        <v>5.9000000000000004E-2</v>
      </c>
      <c r="Q55" s="608">
        <v>5.91E-2</v>
      </c>
      <c r="R55" s="608">
        <v>5.9000000000000004E-2</v>
      </c>
      <c r="S55" s="608">
        <v>5.91E-2</v>
      </c>
      <c r="T55" s="608">
        <v>5.9000000000000004E-2</v>
      </c>
      <c r="U55" s="608">
        <v>5.91E-2</v>
      </c>
      <c r="V55" s="608">
        <v>2.9500000000000002E-2</v>
      </c>
      <c r="W55" s="608">
        <v>0</v>
      </c>
      <c r="X55" s="608">
        <v>0</v>
      </c>
      <c r="Y55" s="608">
        <v>0</v>
      </c>
      <c r="Z55" s="608">
        <v>0</v>
      </c>
      <c r="AA55" s="608">
        <v>0</v>
      </c>
      <c r="AB55" s="608"/>
      <c r="AC55" s="608"/>
      <c r="AD55" s="608"/>
      <c r="AE55" s="608"/>
      <c r="AF55" s="608"/>
      <c r="AG55" s="608"/>
      <c r="AH55" s="608"/>
      <c r="AI55" s="608"/>
      <c r="AJ55" s="608"/>
      <c r="AK55" s="608"/>
      <c r="AL55" s="597"/>
      <c r="AM55" s="597"/>
      <c r="AN55" s="597"/>
      <c r="AO55" s="597"/>
      <c r="AP55" s="597"/>
      <c r="AQ55" s="597"/>
      <c r="AR55" s="597"/>
      <c r="AS55" s="597"/>
      <c r="AT55" s="610"/>
      <c r="AU55" s="597"/>
      <c r="AV55" s="597"/>
      <c r="AW55" s="597"/>
      <c r="AX55" s="597"/>
      <c r="AY55" s="597"/>
      <c r="AZ55" s="597"/>
      <c r="BA55" s="597"/>
      <c r="BB55" s="597"/>
      <c r="BC55" s="597"/>
      <c r="BD55" s="597"/>
      <c r="BE55" s="597"/>
      <c r="BF55" s="597"/>
      <c r="BG55" s="597"/>
      <c r="BH55" s="597"/>
      <c r="BI55" s="597"/>
      <c r="BJ55" s="597"/>
      <c r="BK55" s="597"/>
      <c r="BL55" s="597"/>
      <c r="BM55" s="597"/>
      <c r="BN55" s="597"/>
      <c r="BO55" s="597"/>
      <c r="BP55" s="597"/>
      <c r="BQ55" s="597"/>
      <c r="BR55" s="597"/>
      <c r="BS55" s="597"/>
    </row>
    <row r="56" spans="2:72" ht="14.85" customHeight="1">
      <c r="C56" s="606" t="s">
        <v>1474</v>
      </c>
      <c r="D56" s="597" t="s">
        <v>1470</v>
      </c>
      <c r="E56" s="597"/>
      <c r="F56" s="607">
        <v>0.1</v>
      </c>
      <c r="G56" s="608">
        <v>0.18</v>
      </c>
      <c r="H56" s="608">
        <v>0.14399999999999999</v>
      </c>
      <c r="I56" s="608">
        <v>0.1152</v>
      </c>
      <c r="J56" s="608">
        <v>9.2200000000000004E-2</v>
      </c>
      <c r="K56" s="608">
        <v>7.3700000000000002E-2</v>
      </c>
      <c r="L56" s="608">
        <v>6.5500000000000003E-2</v>
      </c>
      <c r="M56" s="608">
        <v>6.5500000000000003E-2</v>
      </c>
      <c r="N56" s="608">
        <v>6.5600000000000006E-2</v>
      </c>
      <c r="O56" s="608">
        <v>6.5600000000000006E-2</v>
      </c>
      <c r="P56" s="608">
        <v>6.5500000000000003E-2</v>
      </c>
      <c r="Q56" s="608">
        <v>3.2800000000000003E-2</v>
      </c>
      <c r="R56" s="608"/>
      <c r="S56" s="608"/>
      <c r="T56" s="608"/>
      <c r="U56" s="608"/>
      <c r="V56" s="608"/>
      <c r="W56" s="608"/>
      <c r="X56" s="608"/>
      <c r="Y56" s="608"/>
      <c r="Z56" s="608"/>
      <c r="AA56" s="608"/>
      <c r="AB56" s="608"/>
      <c r="AC56" s="608"/>
      <c r="AD56" s="608"/>
      <c r="AE56" s="608"/>
      <c r="AF56" s="608"/>
      <c r="AG56" s="608"/>
      <c r="AH56" s="608"/>
      <c r="AI56" s="608"/>
      <c r="AJ56" s="608"/>
      <c r="AK56" s="608"/>
      <c r="AL56" s="597"/>
      <c r="AM56" s="597"/>
      <c r="AN56" s="597"/>
      <c r="AO56" s="597"/>
      <c r="AP56" s="597"/>
      <c r="AQ56" s="597"/>
      <c r="AR56" s="597"/>
      <c r="AS56" s="597"/>
      <c r="AT56" s="610"/>
      <c r="AU56" s="597"/>
      <c r="AV56" s="597"/>
      <c r="AW56" s="597"/>
      <c r="AX56" s="597"/>
      <c r="AY56" s="597"/>
      <c r="AZ56" s="597"/>
      <c r="BA56" s="597"/>
      <c r="BB56" s="597"/>
      <c r="BC56" s="597"/>
      <c r="BD56" s="597"/>
      <c r="BE56" s="597"/>
      <c r="BF56" s="597"/>
      <c r="BG56" s="597"/>
      <c r="BH56" s="597"/>
      <c r="BI56" s="597"/>
      <c r="BJ56" s="597"/>
      <c r="BK56" s="597"/>
      <c r="BL56" s="597"/>
      <c r="BM56" s="597"/>
      <c r="BN56" s="597"/>
      <c r="BO56" s="597"/>
      <c r="BP56" s="597"/>
      <c r="BQ56" s="597"/>
      <c r="BR56" s="597"/>
      <c r="BS56" s="597"/>
    </row>
    <row r="57" spans="2:72" ht="14.85" customHeight="1">
      <c r="C57" s="606" t="s">
        <v>1475</v>
      </c>
      <c r="D57" s="597" t="s">
        <v>1470</v>
      </c>
      <c r="E57" s="597"/>
      <c r="F57" s="607">
        <v>0.1429</v>
      </c>
      <c r="G57" s="608">
        <v>0.24489999999999998</v>
      </c>
      <c r="H57" s="608">
        <v>0.17489999999999997</v>
      </c>
      <c r="I57" s="608">
        <v>0.1249</v>
      </c>
      <c r="J57" s="608">
        <v>8.929999999999999E-2</v>
      </c>
      <c r="K57" s="608">
        <v>8.9200000000000002E-2</v>
      </c>
      <c r="L57" s="608">
        <v>8.929999999999999E-2</v>
      </c>
      <c r="M57" s="608">
        <v>4.4600000000000001E-2</v>
      </c>
      <c r="N57" s="608">
        <v>0</v>
      </c>
      <c r="O57" s="608">
        <v>0</v>
      </c>
      <c r="P57" s="608">
        <v>0</v>
      </c>
      <c r="Q57" s="608">
        <v>0</v>
      </c>
      <c r="R57" s="608">
        <v>0</v>
      </c>
      <c r="S57" s="608">
        <v>0</v>
      </c>
      <c r="T57" s="608">
        <v>0</v>
      </c>
      <c r="U57" s="608">
        <v>0</v>
      </c>
      <c r="V57" s="608">
        <v>0</v>
      </c>
      <c r="W57" s="608">
        <v>0</v>
      </c>
      <c r="X57" s="608">
        <v>0</v>
      </c>
      <c r="Y57" s="608">
        <v>0</v>
      </c>
      <c r="Z57" s="608">
        <v>0</v>
      </c>
      <c r="AA57" s="608">
        <v>0</v>
      </c>
      <c r="AB57" s="608"/>
      <c r="AC57" s="608"/>
      <c r="AD57" s="608"/>
      <c r="AE57" s="608"/>
      <c r="AF57" s="608"/>
      <c r="AG57" s="608"/>
      <c r="AH57" s="608"/>
      <c r="AI57" s="608"/>
      <c r="AJ57" s="608"/>
      <c r="AK57" s="608"/>
      <c r="AL57" s="597"/>
      <c r="AM57" s="597"/>
      <c r="AN57" s="597"/>
      <c r="AO57" s="597"/>
      <c r="AP57" s="597"/>
      <c r="AQ57" s="597"/>
      <c r="AR57" s="597"/>
      <c r="AS57" s="597"/>
      <c r="AT57" s="610"/>
      <c r="AU57" s="597"/>
      <c r="AV57" s="597"/>
      <c r="AW57" s="597"/>
      <c r="AX57" s="597"/>
      <c r="AY57" s="597"/>
      <c r="AZ57" s="597"/>
      <c r="BA57" s="597"/>
      <c r="BB57" s="597"/>
      <c r="BC57" s="597"/>
      <c r="BD57" s="597"/>
      <c r="BE57" s="597"/>
      <c r="BF57" s="597"/>
      <c r="BG57" s="597"/>
      <c r="BH57" s="597"/>
      <c r="BI57" s="597"/>
      <c r="BJ57" s="597"/>
      <c r="BK57" s="597"/>
      <c r="BL57" s="597"/>
      <c r="BM57" s="597"/>
      <c r="BN57" s="597"/>
      <c r="BO57" s="597"/>
      <c r="BP57" s="597"/>
      <c r="BQ57" s="597"/>
      <c r="BR57" s="597"/>
      <c r="BS57" s="597"/>
    </row>
    <row r="58" spans="2:72" ht="14.85" customHeight="1">
      <c r="C58" s="606" t="s">
        <v>1476</v>
      </c>
      <c r="D58" s="597" t="s">
        <v>1470</v>
      </c>
      <c r="E58" s="597"/>
      <c r="F58" s="607">
        <v>0.2</v>
      </c>
      <c r="G58" s="608">
        <v>0.32</v>
      </c>
      <c r="H58" s="608">
        <v>0.192</v>
      </c>
      <c r="I58" s="608">
        <v>0.1152</v>
      </c>
      <c r="J58" s="608">
        <v>0.1152</v>
      </c>
      <c r="K58" s="608">
        <v>5.7599999999999998E-2</v>
      </c>
      <c r="L58" s="608">
        <v>0</v>
      </c>
      <c r="M58" s="608">
        <v>0</v>
      </c>
      <c r="N58" s="608">
        <v>0</v>
      </c>
      <c r="O58" s="608">
        <v>0</v>
      </c>
      <c r="P58" s="608">
        <v>0</v>
      </c>
      <c r="Q58" s="608">
        <v>0</v>
      </c>
      <c r="R58" s="608">
        <v>0</v>
      </c>
      <c r="S58" s="608">
        <v>0</v>
      </c>
      <c r="T58" s="608">
        <v>0</v>
      </c>
      <c r="U58" s="608">
        <v>0</v>
      </c>
      <c r="V58" s="608">
        <v>0</v>
      </c>
      <c r="W58" s="608">
        <v>0</v>
      </c>
      <c r="X58" s="608">
        <v>0</v>
      </c>
      <c r="Y58" s="608">
        <v>0</v>
      </c>
      <c r="Z58" s="608">
        <v>0</v>
      </c>
      <c r="AA58" s="608">
        <v>0</v>
      </c>
      <c r="AB58" s="608"/>
      <c r="AC58" s="608"/>
      <c r="AD58" s="608"/>
      <c r="AE58" s="608"/>
      <c r="AF58" s="608"/>
      <c r="AG58" s="608"/>
      <c r="AH58" s="608"/>
      <c r="AI58" s="608"/>
      <c r="AJ58" s="608"/>
      <c r="AK58" s="608"/>
      <c r="AL58" s="597"/>
      <c r="AM58" s="597"/>
      <c r="AN58" s="597"/>
      <c r="AO58" s="597"/>
      <c r="AP58" s="597"/>
      <c r="AQ58" s="597"/>
      <c r="AR58" s="597"/>
      <c r="AS58" s="597"/>
      <c r="AT58" s="610"/>
      <c r="AU58" s="597"/>
      <c r="AV58" s="597"/>
      <c r="AW58" s="597"/>
      <c r="AX58" s="597"/>
      <c r="AY58" s="597"/>
      <c r="AZ58" s="597"/>
      <c r="BA58" s="597"/>
      <c r="BB58" s="597"/>
      <c r="BC58" s="597"/>
      <c r="BD58" s="597"/>
      <c r="BE58" s="597"/>
      <c r="BF58" s="597"/>
      <c r="BG58" s="597"/>
      <c r="BH58" s="597"/>
      <c r="BI58" s="597"/>
      <c r="BJ58" s="597"/>
      <c r="BK58" s="597"/>
      <c r="BL58" s="597"/>
      <c r="BM58" s="597"/>
      <c r="BN58" s="597"/>
      <c r="BO58" s="597"/>
      <c r="BP58" s="597"/>
      <c r="BQ58" s="597"/>
      <c r="BR58" s="597"/>
      <c r="BS58" s="597"/>
    </row>
    <row r="59" spans="2:72" ht="14.85" customHeight="1">
      <c r="C59" s="611" t="s">
        <v>1477</v>
      </c>
      <c r="D59" s="597" t="s">
        <v>1470</v>
      </c>
      <c r="E59" s="597"/>
      <c r="F59" s="612">
        <v>0.33329999999999999</v>
      </c>
      <c r="G59" s="613">
        <v>0.44450000000000001</v>
      </c>
      <c r="H59" s="613">
        <v>0.14810000000000001</v>
      </c>
      <c r="I59" s="613">
        <v>7.4099999999999999E-2</v>
      </c>
      <c r="J59" s="614"/>
      <c r="K59" s="613"/>
      <c r="L59" s="614"/>
      <c r="M59" s="613"/>
      <c r="N59" s="613"/>
      <c r="O59" s="613"/>
      <c r="P59" s="613"/>
      <c r="Q59" s="613"/>
      <c r="R59" s="613"/>
      <c r="S59" s="613"/>
      <c r="T59" s="613"/>
      <c r="U59" s="613"/>
      <c r="V59" s="613"/>
      <c r="W59" s="613"/>
      <c r="X59" s="613"/>
      <c r="Y59" s="613"/>
      <c r="Z59" s="613"/>
      <c r="AA59" s="613"/>
      <c r="AB59" s="613"/>
      <c r="AC59" s="613"/>
      <c r="AD59" s="613"/>
      <c r="AE59" s="613"/>
      <c r="AF59" s="613"/>
      <c r="AG59" s="613"/>
      <c r="AH59" s="613"/>
      <c r="AI59" s="613"/>
      <c r="AJ59" s="613"/>
      <c r="AK59" s="613"/>
      <c r="AL59" s="615"/>
      <c r="AM59" s="615"/>
      <c r="AN59" s="615"/>
      <c r="AO59" s="615"/>
      <c r="AP59" s="615"/>
      <c r="AQ59" s="615"/>
      <c r="AR59" s="615"/>
      <c r="AS59" s="615"/>
      <c r="AT59" s="616"/>
      <c r="AU59" s="597"/>
      <c r="AV59" s="597"/>
      <c r="AW59" s="597"/>
      <c r="AX59" s="597"/>
      <c r="AY59" s="597"/>
      <c r="AZ59" s="597"/>
      <c r="BA59" s="597"/>
      <c r="BB59" s="597"/>
      <c r="BC59" s="597"/>
      <c r="BD59" s="597"/>
      <c r="BE59" s="597"/>
      <c r="BF59" s="597"/>
      <c r="BG59" s="597"/>
      <c r="BH59" s="597"/>
      <c r="BI59" s="597"/>
      <c r="BJ59" s="597"/>
      <c r="BK59" s="597"/>
      <c r="BL59" s="597"/>
      <c r="BM59" s="597"/>
      <c r="BN59" s="597"/>
      <c r="BO59" s="597"/>
      <c r="BP59" s="597"/>
      <c r="BQ59" s="597"/>
      <c r="BR59" s="597"/>
      <c r="BS59" s="597"/>
    </row>
    <row r="60" spans="2:72" ht="14.85" customHeight="1">
      <c r="C60" s="601" t="s">
        <v>1488</v>
      </c>
      <c r="D60" s="597"/>
      <c r="E60" s="597"/>
      <c r="F60" s="607">
        <f>1/5</f>
        <v>0.2</v>
      </c>
      <c r="G60" s="608">
        <f>1/5</f>
        <v>0.2</v>
      </c>
      <c r="H60" s="608">
        <f>1/5</f>
        <v>0.2</v>
      </c>
      <c r="I60" s="608">
        <f>1/5</f>
        <v>0.2</v>
      </c>
      <c r="J60" s="608">
        <f>1/5</f>
        <v>0.2</v>
      </c>
      <c r="K60" s="608">
        <v>0</v>
      </c>
      <c r="L60" s="608">
        <v>0</v>
      </c>
      <c r="M60" s="608">
        <v>0</v>
      </c>
      <c r="N60" s="608">
        <v>0</v>
      </c>
      <c r="O60" s="608">
        <v>0</v>
      </c>
      <c r="P60" s="608">
        <v>0</v>
      </c>
      <c r="Q60" s="608">
        <v>0</v>
      </c>
      <c r="R60" s="608">
        <v>0</v>
      </c>
      <c r="S60" s="608">
        <v>0</v>
      </c>
      <c r="T60" s="608">
        <v>0</v>
      </c>
      <c r="U60" s="608">
        <v>0</v>
      </c>
      <c r="V60" s="608">
        <v>0</v>
      </c>
      <c r="W60" s="608">
        <v>0</v>
      </c>
      <c r="X60" s="608">
        <v>0</v>
      </c>
      <c r="Y60" s="608">
        <v>0</v>
      </c>
      <c r="Z60" s="608">
        <v>0</v>
      </c>
      <c r="AA60" s="608">
        <v>0</v>
      </c>
      <c r="AB60" s="608"/>
      <c r="AC60" s="597"/>
      <c r="AD60" s="597"/>
      <c r="AE60" s="597"/>
      <c r="AF60" s="597"/>
      <c r="AG60" s="597"/>
      <c r="AH60" s="597"/>
      <c r="AI60" s="597"/>
      <c r="AJ60" s="597"/>
      <c r="AK60" s="597"/>
      <c r="AL60" s="597"/>
      <c r="AM60" s="597"/>
      <c r="AN60" s="597"/>
      <c r="AO60" s="597"/>
      <c r="AP60" s="597"/>
      <c r="AQ60" s="597"/>
      <c r="AR60" s="597"/>
      <c r="AS60" s="597"/>
      <c r="AT60" s="610"/>
      <c r="AU60" s="597"/>
      <c r="AV60" s="597"/>
      <c r="AW60" s="597"/>
      <c r="AX60" s="597"/>
      <c r="AY60" s="597"/>
      <c r="AZ60" s="597"/>
      <c r="BA60" s="597"/>
      <c r="BB60" s="597"/>
      <c r="BC60" s="597"/>
      <c r="BD60" s="597"/>
      <c r="BE60" s="597"/>
      <c r="BF60" s="597"/>
      <c r="BG60" s="597"/>
      <c r="BH60" s="597"/>
      <c r="BI60" s="597"/>
      <c r="BJ60" s="597"/>
      <c r="BK60" s="597"/>
      <c r="BL60" s="597"/>
      <c r="BM60" s="597"/>
      <c r="BN60" s="597"/>
      <c r="BO60" s="597"/>
      <c r="BP60" s="597"/>
      <c r="BQ60" s="597"/>
      <c r="BR60" s="597"/>
      <c r="BS60" s="597"/>
    </row>
    <row r="61" spans="2:72" ht="14.85" customHeight="1">
      <c r="C61" s="606" t="s">
        <v>1489</v>
      </c>
      <c r="D61" s="597"/>
      <c r="E61" s="597"/>
      <c r="F61" s="607">
        <f>1/7</f>
        <v>0.14285714285714285</v>
      </c>
      <c r="G61" s="608">
        <f t="shared" ref="G61:L61" si="14">1/7</f>
        <v>0.14285714285714285</v>
      </c>
      <c r="H61" s="608">
        <f t="shared" si="14"/>
        <v>0.14285714285714285</v>
      </c>
      <c r="I61" s="608">
        <f t="shared" si="14"/>
        <v>0.14285714285714285</v>
      </c>
      <c r="J61" s="608">
        <f t="shared" si="14"/>
        <v>0.14285714285714285</v>
      </c>
      <c r="K61" s="608">
        <f t="shared" si="14"/>
        <v>0.14285714285714285</v>
      </c>
      <c r="L61" s="608">
        <f t="shared" si="14"/>
        <v>0.14285714285714285</v>
      </c>
      <c r="M61" s="608">
        <v>0</v>
      </c>
      <c r="N61" s="608">
        <v>0</v>
      </c>
      <c r="O61" s="608">
        <v>0</v>
      </c>
      <c r="P61" s="608">
        <v>0</v>
      </c>
      <c r="Q61" s="608">
        <v>0</v>
      </c>
      <c r="R61" s="608">
        <v>0</v>
      </c>
      <c r="S61" s="608">
        <v>0</v>
      </c>
      <c r="T61" s="608">
        <v>0</v>
      </c>
      <c r="U61" s="608">
        <v>0</v>
      </c>
      <c r="V61" s="608">
        <v>0</v>
      </c>
      <c r="W61" s="608">
        <v>0</v>
      </c>
      <c r="X61" s="608">
        <v>0</v>
      </c>
      <c r="Y61" s="608">
        <v>0</v>
      </c>
      <c r="Z61" s="608">
        <v>0</v>
      </c>
      <c r="AA61" s="608">
        <v>0</v>
      </c>
      <c r="AB61" s="608"/>
      <c r="AC61" s="597"/>
      <c r="AD61" s="597"/>
      <c r="AE61" s="597"/>
      <c r="AF61" s="597"/>
      <c r="AG61" s="597"/>
      <c r="AH61" s="597"/>
      <c r="AI61" s="597"/>
      <c r="AJ61" s="597"/>
      <c r="AK61" s="597"/>
      <c r="AL61" s="597"/>
      <c r="AM61" s="597"/>
      <c r="AN61" s="597"/>
      <c r="AO61" s="597"/>
      <c r="AP61" s="597"/>
      <c r="AQ61" s="597"/>
      <c r="AR61" s="597"/>
      <c r="AS61" s="597"/>
      <c r="AT61" s="610"/>
      <c r="AU61" s="597"/>
      <c r="AV61" s="597"/>
      <c r="AW61" s="597"/>
      <c r="AX61" s="597"/>
      <c r="AY61" s="597"/>
      <c r="AZ61" s="597"/>
      <c r="BA61" s="597"/>
      <c r="BB61" s="597"/>
      <c r="BC61" s="597"/>
      <c r="BD61" s="597"/>
      <c r="BE61" s="597"/>
      <c r="BF61" s="597"/>
      <c r="BG61" s="597"/>
      <c r="BH61" s="597"/>
      <c r="BI61" s="597"/>
      <c r="BJ61" s="597"/>
      <c r="BK61" s="597"/>
      <c r="BL61" s="597"/>
      <c r="BM61" s="597"/>
      <c r="BN61" s="597"/>
      <c r="BO61" s="597"/>
      <c r="BP61" s="597"/>
      <c r="BQ61" s="597"/>
      <c r="BR61" s="597"/>
      <c r="BS61" s="597"/>
    </row>
    <row r="62" spans="2:72" ht="14.85" customHeight="1">
      <c r="C62" s="606" t="s">
        <v>1490</v>
      </c>
      <c r="D62" s="597"/>
      <c r="E62" s="597"/>
      <c r="F62" s="607">
        <f>1/10</f>
        <v>0.1</v>
      </c>
      <c r="G62" s="608">
        <f t="shared" ref="G62:P62" si="15">1/10</f>
        <v>0.1</v>
      </c>
      <c r="H62" s="608">
        <f t="shared" si="15"/>
        <v>0.1</v>
      </c>
      <c r="I62" s="608">
        <f t="shared" si="15"/>
        <v>0.1</v>
      </c>
      <c r="J62" s="608">
        <f t="shared" si="15"/>
        <v>0.1</v>
      </c>
      <c r="K62" s="608">
        <f t="shared" si="15"/>
        <v>0.1</v>
      </c>
      <c r="L62" s="608">
        <f t="shared" si="15"/>
        <v>0.1</v>
      </c>
      <c r="M62" s="608">
        <f t="shared" si="15"/>
        <v>0.1</v>
      </c>
      <c r="N62" s="608">
        <f t="shared" si="15"/>
        <v>0.1</v>
      </c>
      <c r="O62" s="608">
        <f t="shared" si="15"/>
        <v>0.1</v>
      </c>
      <c r="P62" s="608">
        <f t="shared" si="15"/>
        <v>0.1</v>
      </c>
      <c r="Q62" s="608">
        <v>0</v>
      </c>
      <c r="R62" s="608">
        <v>0</v>
      </c>
      <c r="S62" s="608">
        <v>0</v>
      </c>
      <c r="T62" s="608">
        <v>0</v>
      </c>
      <c r="U62" s="608">
        <v>0</v>
      </c>
      <c r="V62" s="608">
        <v>0</v>
      </c>
      <c r="W62" s="608">
        <v>0</v>
      </c>
      <c r="X62" s="608">
        <v>0</v>
      </c>
      <c r="Y62" s="608">
        <v>0</v>
      </c>
      <c r="Z62" s="608">
        <v>0</v>
      </c>
      <c r="AA62" s="608">
        <v>0</v>
      </c>
      <c r="AB62" s="608"/>
      <c r="AC62" s="597"/>
      <c r="AD62" s="597"/>
      <c r="AE62" s="597"/>
      <c r="AF62" s="597"/>
      <c r="AG62" s="597"/>
      <c r="AH62" s="597"/>
      <c r="AI62" s="597"/>
      <c r="AJ62" s="597"/>
      <c r="AK62" s="597"/>
      <c r="AL62" s="597"/>
      <c r="AM62" s="597"/>
      <c r="AN62" s="597"/>
      <c r="AO62" s="597"/>
      <c r="AP62" s="597"/>
      <c r="AQ62" s="597"/>
      <c r="AR62" s="597"/>
      <c r="AS62" s="597"/>
      <c r="AT62" s="610"/>
      <c r="AU62" s="597"/>
      <c r="AV62" s="597"/>
      <c r="AW62" s="597"/>
      <c r="AX62" s="597"/>
      <c r="AY62" s="597"/>
      <c r="AZ62" s="597"/>
      <c r="BA62" s="597"/>
      <c r="BB62" s="597"/>
      <c r="BC62" s="597"/>
      <c r="BD62" s="597"/>
      <c r="BE62" s="597"/>
      <c r="BF62" s="597"/>
      <c r="BG62" s="597"/>
      <c r="BH62" s="597"/>
      <c r="BI62" s="597"/>
      <c r="BJ62" s="597"/>
      <c r="BK62" s="597"/>
      <c r="BL62" s="597"/>
      <c r="BM62" s="597"/>
      <c r="BN62" s="597"/>
      <c r="BO62" s="597"/>
      <c r="BP62" s="597"/>
      <c r="BQ62" s="597"/>
      <c r="BR62" s="597"/>
      <c r="BS62" s="597"/>
    </row>
    <row r="63" spans="2:72" ht="14.85" customHeight="1">
      <c r="C63" s="606" t="s">
        <v>1491</v>
      </c>
      <c r="D63" s="597"/>
      <c r="E63" s="597"/>
      <c r="F63" s="607">
        <f>1/15</f>
        <v>6.6666666666666666E-2</v>
      </c>
      <c r="G63" s="608">
        <f t="shared" ref="G63:U63" si="16">1/15</f>
        <v>6.6666666666666666E-2</v>
      </c>
      <c r="H63" s="608">
        <f t="shared" si="16"/>
        <v>6.6666666666666666E-2</v>
      </c>
      <c r="I63" s="608">
        <f t="shared" si="16"/>
        <v>6.6666666666666666E-2</v>
      </c>
      <c r="J63" s="608">
        <f t="shared" si="16"/>
        <v>6.6666666666666666E-2</v>
      </c>
      <c r="K63" s="608">
        <f t="shared" si="16"/>
        <v>6.6666666666666666E-2</v>
      </c>
      <c r="L63" s="608">
        <f t="shared" si="16"/>
        <v>6.6666666666666666E-2</v>
      </c>
      <c r="M63" s="608">
        <f t="shared" si="16"/>
        <v>6.6666666666666666E-2</v>
      </c>
      <c r="N63" s="608">
        <f t="shared" si="16"/>
        <v>6.6666666666666666E-2</v>
      </c>
      <c r="O63" s="608">
        <f t="shared" si="16"/>
        <v>6.6666666666666666E-2</v>
      </c>
      <c r="P63" s="608">
        <f t="shared" si="16"/>
        <v>6.6666666666666666E-2</v>
      </c>
      <c r="Q63" s="608">
        <f t="shared" si="16"/>
        <v>6.6666666666666666E-2</v>
      </c>
      <c r="R63" s="608">
        <f t="shared" si="16"/>
        <v>6.6666666666666666E-2</v>
      </c>
      <c r="S63" s="608">
        <f t="shared" si="16"/>
        <v>6.6666666666666666E-2</v>
      </c>
      <c r="T63" s="608">
        <f t="shared" si="16"/>
        <v>6.6666666666666666E-2</v>
      </c>
      <c r="U63" s="608">
        <f t="shared" si="16"/>
        <v>6.6666666666666666E-2</v>
      </c>
      <c r="V63" s="608">
        <v>0</v>
      </c>
      <c r="W63" s="608">
        <v>0</v>
      </c>
      <c r="X63" s="608">
        <v>0</v>
      </c>
      <c r="Y63" s="608">
        <v>0</v>
      </c>
      <c r="Z63" s="608">
        <v>0</v>
      </c>
      <c r="AA63" s="608">
        <v>0</v>
      </c>
      <c r="AB63" s="608"/>
      <c r="AC63" s="597"/>
      <c r="AD63" s="597"/>
      <c r="AE63" s="597"/>
      <c r="AF63" s="597"/>
      <c r="AG63" s="597"/>
      <c r="AH63" s="597"/>
      <c r="AI63" s="597"/>
      <c r="AJ63" s="597"/>
      <c r="AK63" s="597"/>
      <c r="AL63" s="597"/>
      <c r="AM63" s="597"/>
      <c r="AN63" s="597"/>
      <c r="AO63" s="597"/>
      <c r="AP63" s="597"/>
      <c r="AQ63" s="597"/>
      <c r="AR63" s="597"/>
      <c r="AS63" s="597"/>
      <c r="AT63" s="610"/>
      <c r="AU63" s="597"/>
      <c r="AV63" s="597"/>
      <c r="AW63" s="597"/>
      <c r="AX63" s="597"/>
      <c r="AY63" s="597"/>
      <c r="AZ63" s="597"/>
      <c r="BA63" s="597"/>
      <c r="BB63" s="597"/>
      <c r="BC63" s="597"/>
      <c r="BD63" s="597"/>
      <c r="BE63" s="597"/>
      <c r="BF63" s="597"/>
      <c r="BG63" s="597"/>
      <c r="BH63" s="597"/>
      <c r="BI63" s="597"/>
      <c r="BJ63" s="597"/>
      <c r="BK63" s="597"/>
      <c r="BL63" s="597"/>
      <c r="BM63" s="597"/>
      <c r="BN63" s="597"/>
      <c r="BO63" s="597"/>
      <c r="BP63" s="597"/>
      <c r="BQ63" s="597"/>
      <c r="BR63" s="597"/>
      <c r="BS63" s="597"/>
    </row>
    <row r="64" spans="2:72" ht="14.85" customHeight="1">
      <c r="C64" s="611" t="s">
        <v>1492</v>
      </c>
      <c r="D64" s="597"/>
      <c r="E64" s="597"/>
      <c r="F64" s="612">
        <f>1/20</f>
        <v>0.05</v>
      </c>
      <c r="G64" s="613">
        <f t="shared" ref="G64:Z64" si="17">1/20</f>
        <v>0.05</v>
      </c>
      <c r="H64" s="613">
        <f t="shared" si="17"/>
        <v>0.05</v>
      </c>
      <c r="I64" s="613">
        <f t="shared" si="17"/>
        <v>0.05</v>
      </c>
      <c r="J64" s="613">
        <f t="shared" si="17"/>
        <v>0.05</v>
      </c>
      <c r="K64" s="613">
        <f t="shared" si="17"/>
        <v>0.05</v>
      </c>
      <c r="L64" s="613">
        <f t="shared" si="17"/>
        <v>0.05</v>
      </c>
      <c r="M64" s="613">
        <f t="shared" si="17"/>
        <v>0.05</v>
      </c>
      <c r="N64" s="613">
        <f t="shared" si="17"/>
        <v>0.05</v>
      </c>
      <c r="O64" s="613">
        <f t="shared" si="17"/>
        <v>0.05</v>
      </c>
      <c r="P64" s="613">
        <f t="shared" si="17"/>
        <v>0.05</v>
      </c>
      <c r="Q64" s="613">
        <f t="shared" si="17"/>
        <v>0.05</v>
      </c>
      <c r="R64" s="613">
        <f t="shared" si="17"/>
        <v>0.05</v>
      </c>
      <c r="S64" s="613">
        <f t="shared" si="17"/>
        <v>0.05</v>
      </c>
      <c r="T64" s="613">
        <f t="shared" si="17"/>
        <v>0.05</v>
      </c>
      <c r="U64" s="613">
        <f t="shared" si="17"/>
        <v>0.05</v>
      </c>
      <c r="V64" s="613">
        <f t="shared" si="17"/>
        <v>0.05</v>
      </c>
      <c r="W64" s="613">
        <f t="shared" si="17"/>
        <v>0.05</v>
      </c>
      <c r="X64" s="613">
        <f t="shared" si="17"/>
        <v>0.05</v>
      </c>
      <c r="Y64" s="613">
        <f t="shared" si="17"/>
        <v>0.05</v>
      </c>
      <c r="Z64" s="613">
        <f t="shared" si="17"/>
        <v>0.05</v>
      </c>
      <c r="AA64" s="613">
        <v>0</v>
      </c>
      <c r="AB64" s="613"/>
      <c r="AC64" s="615"/>
      <c r="AD64" s="615"/>
      <c r="AE64" s="615"/>
      <c r="AF64" s="615"/>
      <c r="AG64" s="615"/>
      <c r="AH64" s="615"/>
      <c r="AI64" s="615"/>
      <c r="AJ64" s="615"/>
      <c r="AK64" s="615"/>
      <c r="AL64" s="615"/>
      <c r="AM64" s="615"/>
      <c r="AN64" s="615"/>
      <c r="AO64" s="615"/>
      <c r="AP64" s="615"/>
      <c r="AQ64" s="615"/>
      <c r="AR64" s="615"/>
      <c r="AS64" s="615"/>
      <c r="AT64" s="616"/>
      <c r="AU64" s="597"/>
      <c r="AV64" s="597"/>
      <c r="AW64" s="597"/>
      <c r="AX64" s="597"/>
      <c r="AY64" s="597"/>
      <c r="AZ64" s="597"/>
      <c r="BA64" s="597"/>
      <c r="BB64" s="597"/>
      <c r="BC64" s="597"/>
      <c r="BD64" s="597"/>
      <c r="BE64" s="597"/>
      <c r="BF64" s="597"/>
      <c r="BG64" s="597"/>
      <c r="BH64" s="597"/>
      <c r="BI64" s="597"/>
      <c r="BJ64" s="597"/>
      <c r="BK64" s="597"/>
      <c r="BL64" s="597"/>
      <c r="BM64" s="597"/>
      <c r="BN64" s="597"/>
      <c r="BO64" s="597"/>
      <c r="BP64" s="597"/>
      <c r="BQ64" s="597"/>
      <c r="BR64" s="597"/>
      <c r="BS64" s="597"/>
    </row>
    <row r="65" ht="14.85" customHeight="1"/>
    <row r="66" s="617" customFormat="1" ht="14.85" customHeight="1"/>
    <row r="67" s="617" customFormat="1" ht="14.85" customHeight="1"/>
    <row r="68" s="617" customFormat="1" ht="14.85" customHeight="1"/>
    <row r="69" s="617" customFormat="1" ht="14.85" customHeight="1"/>
    <row r="70" s="617" customFormat="1" ht="14.85" customHeight="1"/>
    <row r="71" s="617" customFormat="1" ht="14.85" customHeight="1"/>
    <row r="72" s="617" customFormat="1" ht="14.85" customHeight="1"/>
    <row r="73" s="617" customFormat="1" ht="14.85" customHeight="1"/>
    <row r="74" s="617" customFormat="1" ht="14.85" customHeight="1"/>
    <row r="75" s="617" customFormat="1" ht="14.85" customHeight="1"/>
    <row r="76" s="617" customFormat="1" ht="14.85" customHeight="1"/>
    <row r="77" s="617" customFormat="1" ht="14.85" customHeight="1"/>
    <row r="78" s="617" customFormat="1" ht="14.85" customHeight="1"/>
    <row r="79" s="617" customFormat="1" ht="14.85" customHeight="1"/>
    <row r="80" s="617" customFormat="1" ht="14.85" customHeight="1"/>
    <row r="81" s="617" customFormat="1" ht="14.85" customHeight="1"/>
    <row r="82" s="617" customFormat="1" ht="14.85" customHeight="1"/>
    <row r="83" s="617" customFormat="1" ht="14.85" customHeight="1"/>
    <row r="84" s="617" customFormat="1" ht="14.85" customHeight="1"/>
    <row r="85" s="617" customFormat="1" ht="14.85" customHeight="1"/>
    <row r="86" s="617" customFormat="1" ht="14.85" customHeight="1"/>
    <row r="87" s="617" customFormat="1" ht="14.85" customHeight="1"/>
    <row r="88" s="617" customFormat="1" ht="14.85" customHeight="1"/>
    <row r="89" s="617" customFormat="1" ht="14.85" customHeight="1"/>
    <row r="90" s="617" customFormat="1" ht="14.85" customHeight="1"/>
    <row r="91" s="617" customFormat="1" ht="14.85" customHeight="1"/>
    <row r="92" s="617" customFormat="1" ht="14.85" customHeight="1"/>
    <row r="93" s="617" customFormat="1" ht="14.85" customHeight="1"/>
    <row r="94" s="617" customFormat="1" ht="14.85" customHeight="1"/>
    <row r="95" s="617" customFormat="1" ht="14.85" customHeight="1"/>
    <row r="96" s="617" customFormat="1" ht="14.85" customHeight="1"/>
    <row r="97" s="617" customFormat="1" ht="14.85" customHeight="1"/>
    <row r="98" s="617" customFormat="1" ht="14.85" customHeight="1"/>
    <row r="99" s="617" customFormat="1" ht="14.85" customHeight="1"/>
    <row r="100" s="617" customFormat="1" ht="14.85" customHeight="1"/>
    <row r="101" s="617" customFormat="1" ht="14.85" customHeight="1"/>
    <row r="102" s="617" customFormat="1" ht="14.85" customHeight="1"/>
    <row r="103" s="617" customFormat="1" ht="14.85" customHeight="1"/>
    <row r="104" s="617" customFormat="1" ht="14.85" customHeight="1"/>
    <row r="105" s="617" customFormat="1" ht="14.85" customHeight="1"/>
    <row r="106" s="617" customFormat="1" ht="14.85" customHeight="1"/>
    <row r="107" s="617" customFormat="1" ht="14.85" customHeight="1"/>
    <row r="108" s="617" customFormat="1" ht="14.85" customHeight="1"/>
    <row r="109" s="617" customFormat="1" ht="14.85" customHeight="1"/>
    <row r="110" s="617" customFormat="1" ht="14.85" customHeight="1"/>
    <row r="111" s="617" customFormat="1" ht="14.85" customHeight="1"/>
    <row r="112" s="617" customFormat="1" ht="14.85" customHeight="1"/>
    <row r="113" s="617" customFormat="1" ht="14.85" customHeight="1"/>
    <row r="114" s="617" customFormat="1" ht="14.85" customHeight="1"/>
    <row r="115" s="617" customFormat="1" ht="14.85" customHeight="1"/>
    <row r="116" s="617" customFormat="1" ht="14.85" customHeight="1"/>
    <row r="117" s="617" customFormat="1" ht="14.85" customHeight="1"/>
    <row r="118" s="617" customFormat="1" ht="14.85" customHeight="1"/>
    <row r="119" s="617" customFormat="1" ht="14.85" customHeight="1"/>
    <row r="120" s="617" customFormat="1" ht="14.85" customHeight="1"/>
    <row r="121" s="617" customFormat="1" ht="14.85" customHeight="1"/>
    <row r="122" s="617" customFormat="1" ht="14.85" customHeight="1"/>
    <row r="123" s="617" customFormat="1" ht="14.85" customHeight="1"/>
    <row r="124" s="617" customFormat="1" ht="14.85" customHeight="1"/>
    <row r="125" s="617" customFormat="1" ht="14.85" customHeight="1"/>
    <row r="126" s="617" customFormat="1" ht="14.85" customHeight="1"/>
    <row r="127" s="617" customFormat="1" ht="14.85" customHeight="1"/>
    <row r="128" s="617" customFormat="1" ht="14.85" customHeight="1"/>
    <row r="129" s="617" customFormat="1" ht="14.85" customHeight="1"/>
    <row r="130" s="617" customFormat="1" ht="14.85" customHeight="1"/>
    <row r="131" s="617" customFormat="1" ht="14.85" customHeight="1"/>
    <row r="132" s="617" customFormat="1" ht="14.85" customHeight="1"/>
    <row r="133" s="617" customFormat="1" ht="14.85" customHeight="1"/>
    <row r="134" s="617" customFormat="1" ht="14.85" customHeight="1"/>
    <row r="135" s="617" customFormat="1" ht="14.85" customHeight="1"/>
    <row r="136" s="617" customFormat="1" ht="14.85" customHeight="1"/>
    <row r="137" s="617" customFormat="1" ht="14.85" customHeight="1"/>
    <row r="138" s="617" customFormat="1" ht="14.85" customHeight="1"/>
    <row r="139" s="617" customFormat="1" ht="14.85" customHeight="1"/>
    <row r="140" s="617" customFormat="1" ht="14.85" customHeight="1"/>
    <row r="141" s="617" customFormat="1" ht="14.85" customHeight="1"/>
    <row r="142" s="617" customFormat="1" ht="14.85" customHeight="1"/>
    <row r="143" s="617" customFormat="1" ht="14.85" customHeight="1"/>
    <row r="144" s="617" customFormat="1" ht="14.85" customHeight="1"/>
    <row r="145" s="617" customFormat="1" ht="14.85" customHeight="1"/>
    <row r="146" s="617" customFormat="1" ht="14.85" customHeight="1"/>
    <row r="147" s="617" customFormat="1" ht="14.85" customHeight="1"/>
    <row r="148" s="617" customFormat="1" ht="14.85" customHeight="1"/>
    <row r="149" s="617" customFormat="1" ht="14.85" customHeight="1"/>
    <row r="150" s="617" customFormat="1" ht="14.85" customHeight="1"/>
    <row r="151" s="617" customFormat="1" ht="14.85" customHeight="1"/>
    <row r="152" s="617" customFormat="1" ht="14.85" customHeight="1"/>
    <row r="153" s="617" customFormat="1" ht="14.85" customHeight="1"/>
    <row r="154" s="617" customFormat="1" ht="14.85" customHeight="1"/>
    <row r="155" s="617" customFormat="1" ht="14.85" customHeight="1"/>
    <row r="156" s="617" customFormat="1" ht="14.85" customHeight="1"/>
    <row r="157" s="617" customFormat="1" ht="14.85" customHeight="1"/>
    <row r="158" s="617" customFormat="1" ht="14.85" customHeight="1"/>
    <row r="159" s="617" customFormat="1" ht="14.85" customHeight="1"/>
    <row r="160" s="617" customFormat="1" ht="14.85" customHeight="1"/>
    <row r="161" s="617" customFormat="1" ht="14.85" customHeight="1"/>
    <row r="162" s="617" customFormat="1" ht="14.85" customHeight="1"/>
    <row r="163" s="617" customFormat="1" ht="14.85" customHeight="1"/>
    <row r="164" s="617" customFormat="1" ht="14.85" customHeight="1"/>
    <row r="165" s="617" customFormat="1" ht="14.85" customHeight="1"/>
    <row r="166" s="617" customFormat="1" ht="14.85" customHeight="1"/>
    <row r="167" s="617" customFormat="1"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row r="751" ht="14.85" customHeight="1"/>
    <row r="752" ht="14.85" customHeight="1"/>
    <row r="753" ht="14.85" customHeight="1"/>
    <row r="754" ht="14.85" customHeight="1"/>
    <row r="755" ht="14.85" customHeight="1"/>
    <row r="756" ht="14.85" customHeight="1"/>
    <row r="757" ht="14.85" customHeight="1"/>
    <row r="758" ht="14.85" customHeight="1"/>
    <row r="759" ht="14.85" customHeight="1"/>
    <row r="760" ht="14.85" customHeight="1"/>
    <row r="761" ht="14.85" customHeight="1"/>
    <row r="762" ht="14.85" customHeight="1"/>
    <row r="763" ht="14.85" customHeight="1"/>
    <row r="764" ht="14.85" customHeight="1"/>
  </sheetData>
  <mergeCells count="1">
    <mergeCell ref="B46:O46"/>
  </mergeCells>
  <conditionalFormatting sqref="E4:M4">
    <cfRule type="cellIs" dxfId="9" priority="10" stopIfTrue="1" operator="equal">
      <formula>"input"</formula>
    </cfRule>
  </conditionalFormatting>
  <conditionalFormatting sqref="N4">
    <cfRule type="cellIs" dxfId="8" priority="7" stopIfTrue="1" operator="equal">
      <formula>"input"</formula>
    </cfRule>
  </conditionalFormatting>
  <conditionalFormatting sqref="N4">
    <cfRule type="cellIs" dxfId="7" priority="6" stopIfTrue="1" operator="equal">
      <formula>"input"</formula>
    </cfRule>
  </conditionalFormatting>
  <conditionalFormatting sqref="C4:D4">
    <cfRule type="cellIs" dxfId="6" priority="5" stopIfTrue="1" operator="equal">
      <formula>"input"</formula>
    </cfRule>
  </conditionalFormatting>
  <conditionalFormatting sqref="B4">
    <cfRule type="cellIs" dxfId="5" priority="3" stopIfTrue="1" operator="equal">
      <formula>"input"</formula>
    </cfRule>
  </conditionalFormatting>
  <conditionalFormatting sqref="O4">
    <cfRule type="cellIs" dxfId="4" priority="2" stopIfTrue="1" operator="equal">
      <formula>"input"</formula>
    </cfRule>
  </conditionalFormatting>
  <conditionalFormatting sqref="O4">
    <cfRule type="cellIs" dxfId="3" priority="1" stopIfTrue="1" operator="equal">
      <formula>"input"</formula>
    </cfRule>
  </conditionalFormatting>
  <dataValidations count="1">
    <dataValidation type="list" allowBlank="1" showInputMessage="1" showErrorMessage="1" sqref="C11:C12 C21:C23" xr:uid="{00000000-0002-0000-5B00-000000000000}">
      <formula1>$C$51:$C$62</formula1>
    </dataValidation>
  </dataValidations>
  <pageMargins left="0.5" right="0.5" top="0.5" bottom="0.5" header="0.5" footer="0.5"/>
  <pageSetup paperSize="9" scale="85" orientation="landscape" r:id="rId1"/>
  <legacyDrawingHF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69"/>
  <dimension ref="B1:AA750"/>
  <sheetViews>
    <sheetView showGridLines="0" view="pageBreakPreview" zoomScale="85" zoomScaleNormal="100" zoomScaleSheetLayoutView="85" workbookViewId="0"/>
  </sheetViews>
  <sheetFormatPr defaultRowHeight="14.25" outlineLevelCol="1"/>
  <cols>
    <col min="1" max="1" width="2.83203125" style="234" customWidth="1"/>
    <col min="2" max="2" width="42.83203125" style="234" customWidth="1"/>
    <col min="3" max="3" width="2.83203125" style="234" customWidth="1"/>
    <col min="4" max="7" width="12.83203125" style="234" customWidth="1"/>
    <col min="8" max="18" width="10.83203125" style="234" customWidth="1"/>
    <col min="19" max="22" width="8.5" style="234" hidden="1" customWidth="1" outlineLevel="1"/>
    <col min="23" max="23" width="9" style="234" hidden="1" customWidth="1" outlineLevel="1"/>
    <col min="24" max="24" width="2.83203125" style="234" customWidth="1" collapsed="1"/>
    <col min="25" max="25" width="12.5" style="234" bestFit="1" customWidth="1"/>
    <col min="26" max="26" width="10.33203125" style="234" bestFit="1" customWidth="1"/>
    <col min="27" max="16384" width="9.33203125" style="234"/>
  </cols>
  <sheetData>
    <row r="1" spans="2:27" ht="10.7" customHeight="1" thickBot="1"/>
    <row r="2" spans="2:27" ht="16.5" customHeight="1" thickTop="1">
      <c r="B2" s="223" t="str">
        <f>'MASTER PubCo Inputs'!$C$5</f>
        <v>Trucode Gene Repair, Inc.</v>
      </c>
      <c r="C2" s="223"/>
      <c r="D2" s="223"/>
      <c r="E2" s="223"/>
      <c r="F2" s="223"/>
      <c r="G2" s="223"/>
      <c r="H2" s="223"/>
      <c r="I2" s="223"/>
      <c r="J2" s="223"/>
      <c r="K2" s="223"/>
      <c r="L2" s="223"/>
      <c r="M2" s="223"/>
      <c r="N2" s="223"/>
      <c r="O2" s="223"/>
      <c r="P2" s="223"/>
      <c r="Q2" s="223"/>
      <c r="R2" s="223"/>
      <c r="S2" s="223"/>
      <c r="T2" s="223"/>
      <c r="U2" s="223"/>
      <c r="V2" s="223"/>
      <c r="W2" s="223"/>
    </row>
    <row r="3" spans="2:27" ht="15.75" customHeight="1">
      <c r="B3" s="232" t="e">
        <f>VLOOKUP(B4,Outline!$E$8:$G$65,COLUMNS(Outline!$E$8:$G$8),FALSE)</f>
        <v>#N/A</v>
      </c>
      <c r="C3" s="232"/>
      <c r="D3" s="232"/>
      <c r="E3" s="232"/>
      <c r="F3" s="232"/>
      <c r="G3" s="232"/>
      <c r="H3" s="232"/>
      <c r="I3" s="232"/>
      <c r="J3" s="232"/>
      <c r="K3" s="232"/>
      <c r="L3" s="232"/>
      <c r="M3" s="232"/>
      <c r="N3" s="232"/>
      <c r="O3" s="232"/>
      <c r="P3" s="232"/>
      <c r="Q3" s="232"/>
      <c r="R3" s="232"/>
      <c r="S3" s="232"/>
      <c r="T3" s="232"/>
      <c r="U3" s="232"/>
      <c r="V3" s="232"/>
      <c r="W3" s="232"/>
    </row>
    <row r="4" spans="2:27" ht="16.5" customHeight="1" thickBot="1">
      <c r="B4" s="225" t="s">
        <v>1752</v>
      </c>
      <c r="C4" s="225"/>
      <c r="D4" s="225"/>
      <c r="E4" s="225"/>
      <c r="F4" s="225"/>
      <c r="G4" s="225"/>
      <c r="H4" s="225"/>
      <c r="I4" s="225"/>
      <c r="J4" s="225"/>
      <c r="K4" s="225"/>
      <c r="L4" s="225"/>
      <c r="M4" s="225"/>
      <c r="N4" s="225"/>
      <c r="O4" s="225"/>
      <c r="P4" s="225"/>
      <c r="Q4" s="225"/>
      <c r="R4" s="225"/>
      <c r="S4" s="225"/>
      <c r="T4" s="225"/>
      <c r="U4" s="225"/>
      <c r="V4" s="225"/>
      <c r="W4" s="225"/>
      <c r="Y4" s="278" t="str">
        <f>IF(OR(Y10="Check",G29="Check",H29="Check"),"Check","")</f>
        <v/>
      </c>
    </row>
    <row r="5" spans="2:27" ht="14.85" customHeight="1" thickTop="1"/>
    <row r="6" spans="2:27" ht="14.85" customHeight="1">
      <c r="B6" s="323"/>
    </row>
    <row r="7" spans="2:27" ht="14.85" customHeight="1">
      <c r="B7" s="234" t="s">
        <v>1728</v>
      </c>
      <c r="D7" s="868">
        <f>'OPM 1 Hybrid'!D11</f>
        <v>0.66800000000000004</v>
      </c>
    </row>
    <row r="8" spans="2:27" ht="14.85" customHeight="1"/>
    <row r="9" spans="2:27" ht="14.85" customHeight="1">
      <c r="G9" s="363" t="s">
        <v>1729</v>
      </c>
      <c r="H9" s="869" t="s">
        <v>1730</v>
      </c>
      <c r="I9" s="870" t="s">
        <v>1731</v>
      </c>
      <c r="J9" s="870" t="s">
        <v>1732</v>
      </c>
      <c r="K9" s="870" t="s">
        <v>1733</v>
      </c>
      <c r="L9" s="870" t="s">
        <v>1734</v>
      </c>
      <c r="M9" s="870" t="s">
        <v>1735</v>
      </c>
      <c r="N9" s="870" t="s">
        <v>1736</v>
      </c>
      <c r="O9" s="870" t="s">
        <v>1737</v>
      </c>
      <c r="P9" s="870" t="s">
        <v>1738</v>
      </c>
      <c r="Q9" s="870" t="s">
        <v>1739</v>
      </c>
      <c r="R9" s="2066" t="s">
        <v>1740</v>
      </c>
      <c r="S9" s="870" t="s">
        <v>1746</v>
      </c>
      <c r="T9" s="870" t="s">
        <v>1747</v>
      </c>
      <c r="U9" s="870" t="s">
        <v>1748</v>
      </c>
      <c r="V9" s="870" t="s">
        <v>1749</v>
      </c>
      <c r="W9" s="871" t="s">
        <v>1750</v>
      </c>
      <c r="X9" s="255"/>
      <c r="Y9" s="255"/>
      <c r="Z9" s="255"/>
      <c r="AA9" s="255"/>
    </row>
    <row r="10" spans="2:27" ht="14.85" customHeight="1">
      <c r="G10" s="363" t="s">
        <v>1741</v>
      </c>
      <c r="H10" s="872">
        <f>'PWERM Waterfall n Alloation'!D156-'PWERM Waterfall n Alloation'!E156</f>
        <v>0.28181497621245599</v>
      </c>
      <c r="I10" s="873">
        <f>'PWERM Waterfall n Alloation'!E156-'PWERM Waterfall n Alloation'!F156</f>
        <v>2.051999339147681E-4</v>
      </c>
      <c r="J10" s="873">
        <f>'PWERM Waterfall n Alloation'!F156-'PWERM Waterfall n Alloation'!G156</f>
        <v>1.2212305978578586E-2</v>
      </c>
      <c r="K10" s="873">
        <f>'PWERM Waterfall n Alloation'!G156-'PWERM Waterfall n Alloation'!H156</f>
        <v>1.0606336171844477E-3</v>
      </c>
      <c r="L10" s="873">
        <f>'PWERM Waterfall n Alloation'!H156-'PWERM Waterfall n Alloation'!I156</f>
        <v>8.4263388677876527E-3</v>
      </c>
      <c r="M10" s="873">
        <f>'PWERM Waterfall n Alloation'!I156-'PWERM Waterfall n Alloation'!J156</f>
        <v>1.1119567815016551E-2</v>
      </c>
      <c r="N10" s="873">
        <f>'PWERM Waterfall n Alloation'!J156-'PWERM Waterfall n Alloation'!K156</f>
        <v>6.3814515458993082E-3</v>
      </c>
      <c r="O10" s="873">
        <f>'PWERM Waterfall n Alloation'!K156-'PWERM Waterfall n Alloation'!L156</f>
        <v>6.3868750490876369E-3</v>
      </c>
      <c r="P10" s="873">
        <f>'PWERM Waterfall n Alloation'!L156-'PWERM Waterfall n Alloation'!M156</f>
        <v>6.3791983496850668E-2</v>
      </c>
      <c r="Q10" s="873">
        <f>'PWERM Waterfall n Alloation'!M156-'PWERM Waterfall n Alloation'!N156</f>
        <v>1.8381142669839701E-2</v>
      </c>
      <c r="R10" s="2067">
        <f>'PWERM Waterfall n Alloation'!N156-'PWERM Waterfall n Alloation'!O156</f>
        <v>0.59021952481338469</v>
      </c>
      <c r="S10" s="873">
        <f>'PWERM Waterfall n Alloation'!O156-'PWERM Waterfall n Alloation'!P156</f>
        <v>0</v>
      </c>
      <c r="T10" s="873">
        <f>'PWERM Waterfall n Alloation'!P156-'PWERM Waterfall n Alloation'!Q156</f>
        <v>0</v>
      </c>
      <c r="U10" s="873">
        <f>'PWERM Waterfall n Alloation'!Q156-'PWERM Waterfall n Alloation'!R156</f>
        <v>0</v>
      </c>
      <c r="V10" s="873">
        <f>'PWERM Waterfall n Alloation'!R156-'PWERM Waterfall n Alloation'!S156</f>
        <v>0</v>
      </c>
      <c r="W10" s="874">
        <f>'PWERM Waterfall n Alloation'!S156-'PWERM Waterfall n Alloation'!T156</f>
        <v>0</v>
      </c>
      <c r="Y10" s="278" t="str">
        <f>IF(SUM(H10:W10)&lt;&gt;1,"Check","")</f>
        <v/>
      </c>
    </row>
    <row r="11" spans="2:27" ht="14.85" customHeight="1">
      <c r="G11" s="363"/>
      <c r="H11" s="347"/>
      <c r="R11" s="1677"/>
      <c r="W11" s="348"/>
    </row>
    <row r="12" spans="2:27" ht="14.85" customHeight="1">
      <c r="B12" s="234" t="s">
        <v>1742</v>
      </c>
      <c r="H12" s="347"/>
      <c r="R12" s="348"/>
      <c r="W12" s="348"/>
    </row>
    <row r="13" spans="2:27" ht="14.85" customHeight="1">
      <c r="D13" s="869"/>
      <c r="E13" s="870"/>
      <c r="F13" s="870" t="s">
        <v>1743</v>
      </c>
      <c r="G13" s="871" t="s">
        <v>1744</v>
      </c>
      <c r="H13" s="347"/>
      <c r="R13" s="348"/>
      <c r="W13" s="348"/>
    </row>
    <row r="14" spans="2:27" ht="14.85" customHeight="1">
      <c r="D14" s="875" t="s">
        <v>306</v>
      </c>
      <c r="E14" s="876" t="s">
        <v>1745</v>
      </c>
      <c r="F14" s="876" t="s">
        <v>74</v>
      </c>
      <c r="G14" s="877" t="s">
        <v>74</v>
      </c>
      <c r="H14" s="347"/>
      <c r="R14" s="348"/>
      <c r="W14" s="348"/>
    </row>
    <row r="15" spans="2:27" ht="14.85" customHeight="1">
      <c r="B15" s="234" t="str">
        <f>'OPM 1 Hybrid'!B27</f>
        <v>Series Seed</v>
      </c>
      <c r="D15" s="878">
        <f>'OPM 1 Hybrid'!Q102</f>
        <v>1251.4282805884984</v>
      </c>
      <c r="E15" s="283">
        <f>SUM(H15:W15)</f>
        <v>5.4838810835601479E-2</v>
      </c>
      <c r="F15" s="310">
        <f t="shared" ref="F15:F26" si="0">E15*($D$26/D15)*$D$7</f>
        <v>0.98470033432945014</v>
      </c>
      <c r="G15" s="879">
        <f t="shared" ref="G15:G25" si="1">D15/$D$26*F15</f>
        <v>3.6632325638181799E-2</v>
      </c>
      <c r="H15" s="2065">
        <f>'PWERM Waterfall n Alloation'!D94*H$10</f>
        <v>7.2833764769002609E-3</v>
      </c>
      <c r="I15" s="234">
        <f>'PWERM Waterfall n Alloation'!E94*I$10</f>
        <v>0</v>
      </c>
      <c r="J15" s="234">
        <f>'PWERM Waterfall n Alloation'!F94*J$10</f>
        <v>0</v>
      </c>
      <c r="K15" s="234">
        <f>'PWERM Waterfall n Alloation'!G94*K$10</f>
        <v>0</v>
      </c>
      <c r="L15" s="234">
        <f>'PWERM Waterfall n Alloation'!H94*L$10</f>
        <v>0</v>
      </c>
      <c r="M15" s="234">
        <f>'PWERM Waterfall n Alloation'!I94*M$10</f>
        <v>0</v>
      </c>
      <c r="N15" s="234">
        <f>'PWERM Waterfall n Alloation'!J94*N$10</f>
        <v>0</v>
      </c>
      <c r="O15" s="234">
        <f>'PWERM Waterfall n Alloation'!K94*O$10</f>
        <v>0</v>
      </c>
      <c r="P15" s="234">
        <f>'PWERM Waterfall n Alloation'!L94*P$10</f>
        <v>8.0885107817912222E-3</v>
      </c>
      <c r="Q15" s="234">
        <f>'PWERM Waterfall n Alloation'!M94*Q$10</f>
        <v>1.903621283439147E-3</v>
      </c>
      <c r="R15" s="348">
        <f>'PWERM Waterfall n Alloation'!N94*R$10</f>
        <v>3.7563302293470845E-2</v>
      </c>
      <c r="S15" s="234">
        <f>'PWERM Waterfall n Alloation'!O94*S$10</f>
        <v>0</v>
      </c>
      <c r="T15" s="234">
        <f>'PWERM Waterfall n Alloation'!P94*T$10</f>
        <v>0</v>
      </c>
      <c r="U15" s="234">
        <f>'PWERM Waterfall n Alloation'!Q94*U$10</f>
        <v>0</v>
      </c>
      <c r="V15" s="234">
        <f>'PWERM Waterfall n Alloation'!R94*V$10</f>
        <v>0</v>
      </c>
      <c r="W15" s="348">
        <f>'PWERM Waterfall n Alloation'!S94*W$10</f>
        <v>0</v>
      </c>
    </row>
    <row r="16" spans="2:27" ht="14.85" customHeight="1">
      <c r="B16" s="234" t="str">
        <f>'OPM 1 Hybrid'!B28</f>
        <v>Series Seed-1</v>
      </c>
      <c r="D16" s="878">
        <f>'OPM 1 Hybrid'!Q103</f>
        <v>2816.1456619960559</v>
      </c>
      <c r="E16" s="283">
        <f t="shared" ref="E16:E25" si="2">SUM(H16:W16)</f>
        <v>9.4314391090958571E-2</v>
      </c>
      <c r="F16" s="310">
        <f t="shared" si="0"/>
        <v>0.75256648373183099</v>
      </c>
      <c r="G16" s="879">
        <f t="shared" si="1"/>
        <v>6.3002013248760341E-2</v>
      </c>
      <c r="H16" s="347">
        <f>'PWERM Waterfall n Alloation'!D95*H$10</f>
        <v>2.4491804790290988E-2</v>
      </c>
      <c r="I16" s="234">
        <f>'PWERM Waterfall n Alloation'!E95*I$10</f>
        <v>0</v>
      </c>
      <c r="J16" s="234">
        <f>'PWERM Waterfall n Alloation'!F95*J$10</f>
        <v>0</v>
      </c>
      <c r="K16" s="234">
        <f>'PWERM Waterfall n Alloation'!G95*K$10</f>
        <v>0</v>
      </c>
      <c r="L16" s="234">
        <f>'PWERM Waterfall n Alloation'!H95*L$10</f>
        <v>0</v>
      </c>
      <c r="M16" s="234">
        <f>'PWERM Waterfall n Alloation'!I95*M$10</f>
        <v>0</v>
      </c>
      <c r="N16" s="234">
        <f>'PWERM Waterfall n Alloation'!J95*N$10</f>
        <v>0</v>
      </c>
      <c r="O16" s="234">
        <f>'PWERM Waterfall n Alloation'!K95*O$10</f>
        <v>0</v>
      </c>
      <c r="P16" s="234">
        <f>'PWERM Waterfall n Alloation'!L95*P$10</f>
        <v>0</v>
      </c>
      <c r="Q16" s="234">
        <f>'PWERM Waterfall n Alloation'!M95*Q$10</f>
        <v>3.3677760843887879E-3</v>
      </c>
      <c r="R16" s="348">
        <f>'PWERM Waterfall n Alloation'!N95*R$10</f>
        <v>6.6454810216278803E-2</v>
      </c>
      <c r="S16" s="234">
        <f>'PWERM Waterfall n Alloation'!O95*S$10</f>
        <v>0</v>
      </c>
      <c r="T16" s="234">
        <f>'PWERM Waterfall n Alloation'!P95*T$10</f>
        <v>0</v>
      </c>
      <c r="U16" s="234">
        <f>'PWERM Waterfall n Alloation'!Q95*U$10</f>
        <v>0</v>
      </c>
      <c r="V16" s="234">
        <f>'PWERM Waterfall n Alloation'!R95*V$10</f>
        <v>0</v>
      </c>
      <c r="W16" s="348">
        <f>'PWERM Waterfall n Alloation'!S95*W$10</f>
        <v>0</v>
      </c>
    </row>
    <row r="17" spans="2:23" ht="14.85" customHeight="1">
      <c r="B17" s="234" t="str">
        <f>'OPM 1 Hybrid'!B29</f>
        <v>Series A</v>
      </c>
      <c r="D17" s="878">
        <f>'OPM 1 Hybrid'!Q104</f>
        <v>10194.411504636691</v>
      </c>
      <c r="E17" s="283">
        <f t="shared" si="2"/>
        <v>0.32130666977513844</v>
      </c>
      <c r="F17" s="310">
        <f t="shared" si="0"/>
        <v>0.70823861605496985</v>
      </c>
      <c r="G17" s="879">
        <f t="shared" si="1"/>
        <v>0.21463285540979252</v>
      </c>
      <c r="H17" s="347">
        <f>'PWERM Waterfall n Alloation'!D96*H$10</f>
        <v>9.3793963073811368E-2</v>
      </c>
      <c r="I17" s="234">
        <f>'PWERM Waterfall n Alloation'!E96*I$10</f>
        <v>0</v>
      </c>
      <c r="J17" s="234">
        <f>'PWERM Waterfall n Alloation'!F96*J$10</f>
        <v>0</v>
      </c>
      <c r="K17" s="234">
        <f>'PWERM Waterfall n Alloation'!G96*K$10</f>
        <v>0</v>
      </c>
      <c r="L17" s="234">
        <f>'PWERM Waterfall n Alloation'!H96*L$10</f>
        <v>0</v>
      </c>
      <c r="M17" s="234">
        <f>'PWERM Waterfall n Alloation'!I96*M$10</f>
        <v>0</v>
      </c>
      <c r="N17" s="234">
        <f>'PWERM Waterfall n Alloation'!J96*N$10</f>
        <v>0</v>
      </c>
      <c r="O17" s="234">
        <f>'PWERM Waterfall n Alloation'!K96*O$10</f>
        <v>0</v>
      </c>
      <c r="P17" s="234">
        <f>'PWERM Waterfall n Alloation'!L96*P$10</f>
        <v>0</v>
      </c>
      <c r="Q17" s="234">
        <f>'PWERM Waterfall n Alloation'!M96*Q$10</f>
        <v>0</v>
      </c>
      <c r="R17" s="348">
        <f>'PWERM Waterfall n Alloation'!N96*R$10</f>
        <v>0.22751270670132706</v>
      </c>
      <c r="S17" s="234">
        <f>'PWERM Waterfall n Alloation'!O96*S$10</f>
        <v>0</v>
      </c>
      <c r="T17" s="234">
        <f>'PWERM Waterfall n Alloation'!P96*T$10</f>
        <v>0</v>
      </c>
      <c r="U17" s="234">
        <f>'PWERM Waterfall n Alloation'!Q96*U$10</f>
        <v>0</v>
      </c>
      <c r="V17" s="234">
        <f>'PWERM Waterfall n Alloation'!R96*V$10</f>
        <v>0</v>
      </c>
      <c r="W17" s="348">
        <f>'PWERM Waterfall n Alloation'!S96*W$10</f>
        <v>0</v>
      </c>
    </row>
    <row r="18" spans="2:23" ht="14.85" customHeight="1">
      <c r="B18" s="234" t="str">
        <f>'OPM 1 Hybrid'!B30</f>
        <v>Series B</v>
      </c>
      <c r="D18" s="878">
        <f>'OPM 1 Hybrid'!Q105</f>
        <v>13532.148730665816</v>
      </c>
      <c r="E18" s="283">
        <f t="shared" si="2"/>
        <v>0.15624583187145344</v>
      </c>
      <c r="F18" s="310">
        <f t="shared" si="0"/>
        <v>0.25945598910664608</v>
      </c>
      <c r="G18" s="879">
        <f t="shared" si="1"/>
        <v>0.10437221569013092</v>
      </c>
      <c r="H18" s="347">
        <f>'PWERM Waterfall n Alloation'!D97*H$10</f>
        <v>0.15624583187145344</v>
      </c>
      <c r="I18" s="234">
        <f>'PWERM Waterfall n Alloation'!E97*I$10</f>
        <v>0</v>
      </c>
      <c r="J18" s="234">
        <f>'PWERM Waterfall n Alloation'!F97*J$10</f>
        <v>0</v>
      </c>
      <c r="K18" s="234">
        <f>'PWERM Waterfall n Alloation'!G97*K$10</f>
        <v>0</v>
      </c>
      <c r="L18" s="234">
        <f>'PWERM Waterfall n Alloation'!H97*L$10</f>
        <v>0</v>
      </c>
      <c r="M18" s="234">
        <f>'PWERM Waterfall n Alloation'!I97*M$10</f>
        <v>0</v>
      </c>
      <c r="N18" s="234">
        <f>'PWERM Waterfall n Alloation'!J97*N$10</f>
        <v>0</v>
      </c>
      <c r="O18" s="234">
        <f>'PWERM Waterfall n Alloation'!K97*O$10</f>
        <v>0</v>
      </c>
      <c r="P18" s="234">
        <f>'PWERM Waterfall n Alloation'!L97*P$10</f>
        <v>0</v>
      </c>
      <c r="Q18" s="234">
        <f>'PWERM Waterfall n Alloation'!M97*Q$10</f>
        <v>0</v>
      </c>
      <c r="R18" s="348">
        <f>'PWERM Waterfall n Alloation'!N97*R$10</f>
        <v>0</v>
      </c>
      <c r="S18" s="234">
        <f>'PWERM Waterfall n Alloation'!O97*S$10</f>
        <v>0</v>
      </c>
      <c r="T18" s="234">
        <f>'PWERM Waterfall n Alloation'!P97*T$10</f>
        <v>0</v>
      </c>
      <c r="U18" s="234">
        <f>'PWERM Waterfall n Alloation'!Q97*U$10</f>
        <v>0</v>
      </c>
      <c r="V18" s="234">
        <f>'PWERM Waterfall n Alloation'!R97*V$10</f>
        <v>0</v>
      </c>
      <c r="W18" s="348">
        <f>'PWERM Waterfall n Alloation'!S97*W$10</f>
        <v>0</v>
      </c>
    </row>
    <row r="19" spans="2:23" ht="14.85" customHeight="1">
      <c r="B19" s="234" t="str">
        <f>'OPM 1 Hybrid'!B31</f>
        <v>Options at $0.0059 Strike Price Exercise</v>
      </c>
      <c r="D19" s="878">
        <f>'OPM 1 Hybrid'!Q106</f>
        <v>72.367590938882302</v>
      </c>
      <c r="E19" s="283">
        <f t="shared" si="2"/>
        <v>4.5070468704379906E-3</v>
      </c>
      <c r="F19" s="310">
        <f t="shared" si="0"/>
        <v>1.3994905842082406</v>
      </c>
      <c r="G19" s="879">
        <f t="shared" si="1"/>
        <v>3.0107073094525782E-3</v>
      </c>
      <c r="H19" s="347">
        <f>'PWERM Waterfall n Alloation'!D98*H$10</f>
        <v>0</v>
      </c>
      <c r="I19" s="234">
        <f>'PWERM Waterfall n Alloation'!E98*I$10</f>
        <v>0</v>
      </c>
      <c r="J19" s="234">
        <f>'PWERM Waterfall n Alloation'!F98*J$10</f>
        <v>2.6316508984842464E-4</v>
      </c>
      <c r="K19" s="234">
        <f>'PWERM Waterfall n Alloation'!G98*K$10</f>
        <v>2.2794137178409984E-5</v>
      </c>
      <c r="L19" s="234">
        <f>'PWERM Waterfall n Alloation'!H98*L$10</f>
        <v>1.6634534214036894E-4</v>
      </c>
      <c r="M19" s="234">
        <f>'PWERM Waterfall n Alloation'!I98*M$10</f>
        <v>1.5713008037999347E-4</v>
      </c>
      <c r="N19" s="234">
        <f>'PWERM Waterfall n Alloation'!J98*N$10</f>
        <v>7.4089571659526507E-5</v>
      </c>
      <c r="O19" s="234">
        <f>'PWERM Waterfall n Alloation'!K98*O$10</f>
        <v>7.3139205344365906E-5</v>
      </c>
      <c r="P19" s="234">
        <f>'PWERM Waterfall n Alloation'!L98*P$10</f>
        <v>6.378874955261575E-4</v>
      </c>
      <c r="Q19" s="234">
        <f>'PWERM Waterfall n Alloation'!M98*Q$10</f>
        <v>1.5012605480565087E-4</v>
      </c>
      <c r="R19" s="348">
        <f>'PWERM Waterfall n Alloation'!N98*R$10</f>
        <v>2.9623698935550926E-3</v>
      </c>
      <c r="S19" s="234">
        <f>'PWERM Waterfall n Alloation'!O98*S$10</f>
        <v>0</v>
      </c>
      <c r="T19" s="234">
        <f>'PWERM Waterfall n Alloation'!P98*T$10</f>
        <v>0</v>
      </c>
      <c r="U19" s="234">
        <f>'PWERM Waterfall n Alloation'!Q98*U$10</f>
        <v>0</v>
      </c>
      <c r="V19" s="234">
        <f>'PWERM Waterfall n Alloation'!R98*V$10</f>
        <v>0</v>
      </c>
      <c r="W19" s="348">
        <f>'PWERM Waterfall n Alloation'!S98*W$10</f>
        <v>0</v>
      </c>
    </row>
    <row r="20" spans="2:23" ht="14.85" customHeight="1">
      <c r="B20" s="234" t="str">
        <f>'OPM 1 Hybrid'!B32</f>
        <v>Options at $0.3500 Strike Price Exercise</v>
      </c>
      <c r="D20" s="878">
        <f>'OPM 1 Hybrid'!Q107</f>
        <v>8.1903873738345805</v>
      </c>
      <c r="E20" s="283">
        <f t="shared" si="2"/>
        <v>5.3256221521302653E-4</v>
      </c>
      <c r="F20" s="310">
        <f t="shared" si="0"/>
        <v>1.4611268772990427</v>
      </c>
      <c r="G20" s="879">
        <f t="shared" si="1"/>
        <v>3.5575155976230179E-4</v>
      </c>
      <c r="H20" s="347">
        <f>'PWERM Waterfall n Alloation'!D99*H$10</f>
        <v>0</v>
      </c>
      <c r="I20" s="234">
        <f>'PWERM Waterfall n Alloation'!E99*I$10</f>
        <v>0</v>
      </c>
      <c r="J20" s="234">
        <f>'PWERM Waterfall n Alloation'!F99*J$10</f>
        <v>0</v>
      </c>
      <c r="K20" s="234">
        <f>'PWERM Waterfall n Alloation'!G99*K$10</f>
        <v>2.8604227962064531E-6</v>
      </c>
      <c r="L20" s="234">
        <f>'PWERM Waterfall n Alloation'!H99*L$10</f>
        <v>2.087457862418042E-5</v>
      </c>
      <c r="M20" s="234">
        <f>'PWERM Waterfall n Alloation'!I99*M$10</f>
        <v>1.9718160874911337E-5</v>
      </c>
      <c r="N20" s="234">
        <f>'PWERM Waterfall n Alloation'!J99*N$10</f>
        <v>9.2974565379387748E-6</v>
      </c>
      <c r="O20" s="234">
        <f>'PWERM Waterfall n Alloation'!K99*O$10</f>
        <v>9.1781956310066649E-6</v>
      </c>
      <c r="P20" s="234">
        <f>'PWERM Waterfall n Alloation'!L99*P$10</f>
        <v>8.0048124626814243E-5</v>
      </c>
      <c r="Q20" s="234">
        <f>'PWERM Waterfall n Alloation'!M99*Q$10</f>
        <v>1.8839229847110088E-5</v>
      </c>
      <c r="R20" s="348">
        <f>'PWERM Waterfall n Alloation'!N99*R$10</f>
        <v>3.7174604627485851E-4</v>
      </c>
      <c r="S20" s="234">
        <f>'PWERM Waterfall n Alloation'!O99*S$10</f>
        <v>0</v>
      </c>
      <c r="T20" s="234">
        <f>'PWERM Waterfall n Alloation'!P99*T$10</f>
        <v>0</v>
      </c>
      <c r="U20" s="234">
        <f>'PWERM Waterfall n Alloation'!Q99*U$10</f>
        <v>0</v>
      </c>
      <c r="V20" s="234">
        <f>'PWERM Waterfall n Alloation'!R99*V$10</f>
        <v>0</v>
      </c>
      <c r="W20" s="348">
        <f>'PWERM Waterfall n Alloation'!S99*W$10</f>
        <v>0</v>
      </c>
    </row>
    <row r="21" spans="2:23" ht="14.85" customHeight="1">
      <c r="B21" s="234" t="str">
        <f>'OPM 1 Hybrid'!B33</f>
        <v>Options at $0.3800 Strike Price Exercise</v>
      </c>
      <c r="D21" s="878">
        <f>'OPM 1 Hybrid'!Q108</f>
        <v>266.71308818059612</v>
      </c>
      <c r="E21" s="283">
        <f t="shared" si="2"/>
        <v>1.7410768214948458E-2</v>
      </c>
      <c r="F21" s="310">
        <f t="shared" si="0"/>
        <v>1.4668835147055084</v>
      </c>
      <c r="G21" s="879">
        <f t="shared" si="1"/>
        <v>1.163039316758557E-2</v>
      </c>
      <c r="H21" s="347">
        <f>'PWERM Waterfall n Alloation'!D100*H$10</f>
        <v>0</v>
      </c>
      <c r="I21" s="234">
        <f>'PWERM Waterfall n Alloation'!E100*I$10</f>
        <v>0</v>
      </c>
      <c r="J21" s="234">
        <f>'PWERM Waterfall n Alloation'!F100*J$10</f>
        <v>0</v>
      </c>
      <c r="K21" s="234">
        <f>'PWERM Waterfall n Alloation'!G100*K$10</f>
        <v>0</v>
      </c>
      <c r="L21" s="234">
        <f>'PWERM Waterfall n Alloation'!H100*L$10</f>
        <v>6.8612652479818636E-4</v>
      </c>
      <c r="M21" s="234">
        <f>'PWERM Waterfall n Alloation'!I100*M$10</f>
        <v>6.481162297974607E-4</v>
      </c>
      <c r="N21" s="234">
        <f>'PWERM Waterfall n Alloation'!J100*N$10</f>
        <v>3.0559809894550952E-4</v>
      </c>
      <c r="O21" s="234">
        <f>'PWERM Waterfall n Alloation'!K100*O$10</f>
        <v>3.0167811219555801E-4</v>
      </c>
      <c r="P21" s="234">
        <f>'PWERM Waterfall n Alloation'!L100*P$10</f>
        <v>2.6311018083587574E-3</v>
      </c>
      <c r="Q21" s="234">
        <f>'PWERM Waterfall n Alloation'!M100*Q$10</f>
        <v>6.1922664584466156E-4</v>
      </c>
      <c r="R21" s="348">
        <f>'PWERM Waterfall n Alloation'!N100*R$10</f>
        <v>1.2218920795008324E-2</v>
      </c>
      <c r="S21" s="234">
        <f>'PWERM Waterfall n Alloation'!O100*S$10</f>
        <v>0</v>
      </c>
      <c r="T21" s="234">
        <f>'PWERM Waterfall n Alloation'!P100*T$10</f>
        <v>0</v>
      </c>
      <c r="U21" s="234">
        <f>'PWERM Waterfall n Alloation'!Q100*U$10</f>
        <v>0</v>
      </c>
      <c r="V21" s="234">
        <f>'PWERM Waterfall n Alloation'!R100*V$10</f>
        <v>0</v>
      </c>
      <c r="W21" s="348">
        <f>'PWERM Waterfall n Alloation'!S100*W$10</f>
        <v>0</v>
      </c>
    </row>
    <row r="22" spans="2:23" ht="14.85" customHeight="1">
      <c r="B22" s="234" t="str">
        <f>'OPM 1 Hybrid'!B34</f>
        <v>Expected Options at $0.6000 Strike Price Exercise</v>
      </c>
      <c r="D22" s="878">
        <f>'OPM 1 Hybrid'!Q109</f>
        <v>1276.2089881402796</v>
      </c>
      <c r="E22" s="283">
        <f t="shared" si="2"/>
        <v>5.9886561350151954E-2</v>
      </c>
      <c r="F22" s="310">
        <f t="shared" si="0"/>
        <v>1.0544587617923538</v>
      </c>
      <c r="G22" s="879">
        <f t="shared" si="1"/>
        <v>4.0004222981901504E-2</v>
      </c>
      <c r="H22" s="347">
        <f>'PWERM Waterfall n Alloation'!D101*H$10</f>
        <v>0</v>
      </c>
      <c r="I22" s="234">
        <f>'PWERM Waterfall n Alloation'!E101*I$10</f>
        <v>0</v>
      </c>
      <c r="J22" s="234">
        <f>'PWERM Waterfall n Alloation'!F101*J$10</f>
        <v>0</v>
      </c>
      <c r="K22" s="234">
        <f>'PWERM Waterfall n Alloation'!G101*K$10</f>
        <v>0</v>
      </c>
      <c r="L22" s="234">
        <f>'PWERM Waterfall n Alloation'!H101*L$10</f>
        <v>0</v>
      </c>
      <c r="M22" s="234">
        <f>'PWERM Waterfall n Alloation'!I101*M$10</f>
        <v>0</v>
      </c>
      <c r="N22" s="234">
        <f>'PWERM Waterfall n Alloation'!J101*N$10</f>
        <v>1.1383815082508773E-3</v>
      </c>
      <c r="O22" s="234">
        <f>'PWERM Waterfall n Alloation'!K101*O$10</f>
        <v>1.1237791908800191E-3</v>
      </c>
      <c r="P22" s="234">
        <f>'PWERM Waterfall n Alloation'!L101*P$10</f>
        <v>9.8011003841196008E-3</v>
      </c>
      <c r="Q22" s="234">
        <f>'PWERM Waterfall n Alloation'!M101*Q$10</f>
        <v>2.3066771864031443E-3</v>
      </c>
      <c r="R22" s="348">
        <f>'PWERM Waterfall n Alloation'!N101*R$10</f>
        <v>4.5516623080498309E-2</v>
      </c>
      <c r="S22" s="234">
        <f>'PWERM Waterfall n Alloation'!O101*S$10</f>
        <v>0</v>
      </c>
      <c r="T22" s="234">
        <f>'PWERM Waterfall n Alloation'!P101*T$10</f>
        <v>0</v>
      </c>
      <c r="U22" s="234">
        <f>'PWERM Waterfall n Alloation'!Q101*U$10</f>
        <v>0</v>
      </c>
      <c r="V22" s="234">
        <f>'PWERM Waterfall n Alloation'!R101*V$10</f>
        <v>0</v>
      </c>
      <c r="W22" s="348">
        <f>'PWERM Waterfall n Alloation'!S101*W$10</f>
        <v>0</v>
      </c>
    </row>
    <row r="23" spans="2:23" ht="14.85" customHeight="1">
      <c r="B23" s="234" t="str">
        <f>'OPM 1 Hybrid'!B35</f>
        <v>Options at $0.8100 Strike Price Exercise</v>
      </c>
      <c r="D23" s="878">
        <f>'OPM 1 Hybrid'!Q110</f>
        <v>865.09256059056145</v>
      </c>
      <c r="E23" s="283">
        <f t="shared" si="2"/>
        <v>4.5627683757736084E-3</v>
      </c>
      <c r="F23" s="310">
        <f t="shared" si="0"/>
        <v>0.11851896970186195</v>
      </c>
      <c r="G23" s="879">
        <f t="shared" si="1"/>
        <v>3.0479292750167702E-3</v>
      </c>
      <c r="H23" s="347">
        <f>'PWERM Waterfall n Alloation'!D102*H$10</f>
        <v>0</v>
      </c>
      <c r="I23" s="234">
        <f>'PWERM Waterfall n Alloation'!E102*I$10</f>
        <v>0</v>
      </c>
      <c r="J23" s="234">
        <f>'PWERM Waterfall n Alloation'!F102*J$10</f>
        <v>0</v>
      </c>
      <c r="K23" s="234">
        <f>'PWERM Waterfall n Alloation'!G102*K$10</f>
        <v>0</v>
      </c>
      <c r="L23" s="234">
        <f>'PWERM Waterfall n Alloation'!H102*L$10</f>
        <v>0</v>
      </c>
      <c r="M23" s="234">
        <f>'PWERM Waterfall n Alloation'!I102*M$10</f>
        <v>0</v>
      </c>
      <c r="N23" s="234">
        <f>'PWERM Waterfall n Alloation'!J102*N$10</f>
        <v>0</v>
      </c>
      <c r="O23" s="234">
        <f>'PWERM Waterfall n Alloation'!K102*O$10</f>
        <v>8.7280051353057878E-5</v>
      </c>
      <c r="P23" s="234">
        <f>'PWERM Waterfall n Alloation'!L102*P$10</f>
        <v>7.6121764113869011E-4</v>
      </c>
      <c r="Q23" s="234">
        <f>'PWERM Waterfall n Alloation'!M102*Q$10</f>
        <v>1.7915165623109337E-4</v>
      </c>
      <c r="R23" s="348">
        <f>'PWERM Waterfall n Alloation'!N102*R$10</f>
        <v>3.5351190270507668E-3</v>
      </c>
      <c r="S23" s="234">
        <f>'PWERM Waterfall n Alloation'!O102*S$10</f>
        <v>0</v>
      </c>
      <c r="T23" s="234">
        <f>'PWERM Waterfall n Alloation'!P102*T$10</f>
        <v>0</v>
      </c>
      <c r="U23" s="234">
        <f>'PWERM Waterfall n Alloation'!Q102*U$10</f>
        <v>0</v>
      </c>
      <c r="V23" s="234">
        <f>'PWERM Waterfall n Alloation'!R102*V$10</f>
        <v>0</v>
      </c>
      <c r="W23" s="348">
        <f>'PWERM Waterfall n Alloation'!S102*W$10</f>
        <v>0</v>
      </c>
    </row>
    <row r="24" spans="2:23" ht="14.85" customHeight="1">
      <c r="B24" s="234" t="str">
        <f>'OPM 1 Hybrid'!B36</f>
        <v>Options at $0.9100 Strike Price Exercise</v>
      </c>
      <c r="D24" s="878">
        <f>'OPM 1 Hybrid'!Q111</f>
        <v>64.979858956406673</v>
      </c>
      <c r="E24" s="283">
        <f t="shared" si="2"/>
        <v>8.154470016512981E-2</v>
      </c>
      <c r="F24" s="310">
        <f t="shared" si="0"/>
        <v>28.199343500960026</v>
      </c>
      <c r="G24" s="879">
        <f t="shared" si="1"/>
        <v>5.4471859710306714E-2</v>
      </c>
      <c r="H24" s="347">
        <f>'PWERM Waterfall n Alloation'!D103*H$10</f>
        <v>0</v>
      </c>
      <c r="I24" s="234">
        <f>'PWERM Waterfall n Alloation'!E103*I$10</f>
        <v>0</v>
      </c>
      <c r="J24" s="234">
        <f>'PWERM Waterfall n Alloation'!F103*J$10</f>
        <v>0</v>
      </c>
      <c r="K24" s="234">
        <f>'PWERM Waterfall n Alloation'!G103*K$10</f>
        <v>0</v>
      </c>
      <c r="L24" s="234">
        <f>'PWERM Waterfall n Alloation'!H103*L$10</f>
        <v>0</v>
      </c>
      <c r="M24" s="234">
        <f>'PWERM Waterfall n Alloation'!I103*M$10</f>
        <v>3.1600344336293784E-3</v>
      </c>
      <c r="N24" s="234">
        <f>'PWERM Waterfall n Alloation'!J103*N$10</f>
        <v>1.4900113145157217E-3</v>
      </c>
      <c r="O24" s="234">
        <f>'PWERM Waterfall n Alloation'!K103*O$10</f>
        <v>1.4708985496446913E-3</v>
      </c>
      <c r="P24" s="234">
        <f>'PWERM Waterfall n Alloation'!L103*P$10</f>
        <v>1.2828520457505715E-2</v>
      </c>
      <c r="Q24" s="234">
        <f>'PWERM Waterfall n Alloation'!M103*Q$10</f>
        <v>3.0191768592208478E-3</v>
      </c>
      <c r="R24" s="348">
        <f>'PWERM Waterfall n Alloation'!N103*R$10</f>
        <v>5.9576058550613459E-2</v>
      </c>
      <c r="S24" s="234">
        <f>'PWERM Waterfall n Alloation'!O103*S$10</f>
        <v>0</v>
      </c>
      <c r="T24" s="234">
        <f>'PWERM Waterfall n Alloation'!P103*T$10</f>
        <v>0</v>
      </c>
      <c r="U24" s="234">
        <f>'PWERM Waterfall n Alloation'!Q103*U$10</f>
        <v>0</v>
      </c>
      <c r="V24" s="234">
        <f>'PWERM Waterfall n Alloation'!R103*V$10</f>
        <v>0</v>
      </c>
      <c r="W24" s="348">
        <f>'PWERM Waterfall n Alloation'!S103*W$10</f>
        <v>0</v>
      </c>
    </row>
    <row r="25" spans="2:23" ht="14.85" customHeight="1">
      <c r="B25" s="234" t="str">
        <f>'OPM 1 Hybrid'!B37</f>
        <v>Common Stock</v>
      </c>
      <c r="D25" s="878">
        <f>'OPM 1 Hybrid'!Q112</f>
        <v>3291.5056409933063</v>
      </c>
      <c r="E25" s="283">
        <f t="shared" si="2"/>
        <v>0.20484988923519326</v>
      </c>
      <c r="F25" s="310">
        <f t="shared" si="0"/>
        <v>1.3985021928022736</v>
      </c>
      <c r="G25" s="879">
        <f t="shared" si="1"/>
        <v>0.1368397260091091</v>
      </c>
      <c r="H25" s="366">
        <f>'PWERM Waterfall n Alloation'!D104*H$10</f>
        <v>0</v>
      </c>
      <c r="I25" s="269">
        <f>'PWERM Waterfall n Alloation'!E104*I$10</f>
        <v>2.051999339147681E-4</v>
      </c>
      <c r="J25" s="269">
        <f>'PWERM Waterfall n Alloation'!F104*J$10</f>
        <v>1.1949140888730161E-2</v>
      </c>
      <c r="K25" s="269">
        <f>'PWERM Waterfall n Alloation'!G104*K$10</f>
        <v>1.0349790572098312E-3</v>
      </c>
      <c r="L25" s="269">
        <f>'PWERM Waterfall n Alloation'!H104*L$10</f>
        <v>7.5529924222249162E-3</v>
      </c>
      <c r="M25" s="269">
        <f>'PWERM Waterfall n Alloation'!I104*M$10</f>
        <v>7.1345689103348067E-3</v>
      </c>
      <c r="N25" s="269">
        <f>'PWERM Waterfall n Alloation'!J104*N$10</f>
        <v>3.3640735959897341E-3</v>
      </c>
      <c r="O25" s="269">
        <f>'PWERM Waterfall n Alloation'!K104*O$10</f>
        <v>3.3209217440389378E-3</v>
      </c>
      <c r="P25" s="269">
        <f>'PWERM Waterfall n Alloation'!L104*P$10</f>
        <v>2.8963596803783711E-2</v>
      </c>
      <c r="Q25" s="269">
        <f>'PWERM Waterfall n Alloation'!M104*Q$10</f>
        <v>6.8165476696592561E-3</v>
      </c>
      <c r="R25" s="594">
        <f>'PWERM Waterfall n Alloation'!N104*R$10</f>
        <v>0.13450786820930713</v>
      </c>
      <c r="S25" s="269">
        <f>'PWERM Waterfall n Alloation'!O104*S$10</f>
        <v>0</v>
      </c>
      <c r="T25" s="269">
        <f>'PWERM Waterfall n Alloation'!P104*T$10</f>
        <v>0</v>
      </c>
      <c r="U25" s="269">
        <f>'PWERM Waterfall n Alloation'!Q104*U$10</f>
        <v>0</v>
      </c>
      <c r="V25" s="269">
        <f>'PWERM Waterfall n Alloation'!R104*V$10</f>
        <v>0</v>
      </c>
      <c r="W25" s="594">
        <f>'PWERM Waterfall n Alloation'!S104*W$10</f>
        <v>0</v>
      </c>
    </row>
    <row r="26" spans="2:23" ht="14.85" customHeight="1">
      <c r="B26" s="255" t="s">
        <v>161</v>
      </c>
      <c r="D26" s="880">
        <f>SUM(D15:D25)</f>
        <v>33639.192293060929</v>
      </c>
      <c r="E26" s="881">
        <f>SUM(E15:E25)</f>
        <v>1</v>
      </c>
      <c r="F26" s="882">
        <f t="shared" si="0"/>
        <v>0.66800000000000004</v>
      </c>
      <c r="G26" s="883">
        <f>SUM(G15:G25)</f>
        <v>0.66800000000000004</v>
      </c>
    </row>
    <row r="27" spans="2:23" ht="14.85" customHeight="1"/>
    <row r="28" spans="2:23" ht="14.85" customHeight="1"/>
    <row r="29" spans="2:23" ht="14.85" customHeight="1">
      <c r="D29" s="884"/>
      <c r="F29" s="234" t="s">
        <v>1984</v>
      </c>
      <c r="G29" s="278" t="str">
        <f>IF(F26&lt;&gt;G26,"Check","")</f>
        <v/>
      </c>
      <c r="H29" s="278" t="str">
        <f>IF(SUM(H15:W25)&lt;&gt;1,"Check","")</f>
        <v/>
      </c>
    </row>
    <row r="30" spans="2:23" ht="14.85" customHeight="1"/>
    <row r="31" spans="2:23" s="270" customFormat="1" ht="14.85" customHeight="1">
      <c r="B31" s="234"/>
      <c r="C31" s="234"/>
      <c r="D31" s="234"/>
      <c r="E31" s="234"/>
      <c r="F31" s="234"/>
      <c r="G31" s="363"/>
      <c r="H31" s="885"/>
      <c r="I31" s="885"/>
      <c r="J31" s="885"/>
      <c r="K31" s="885"/>
      <c r="L31" s="885"/>
      <c r="M31" s="885"/>
      <c r="N31" s="885"/>
      <c r="O31" s="885"/>
      <c r="P31" s="885"/>
      <c r="Q31" s="885"/>
      <c r="R31" s="885"/>
      <c r="S31" s="885"/>
      <c r="T31" s="885"/>
      <c r="U31" s="885"/>
      <c r="V31" s="885"/>
      <c r="W31" s="885"/>
    </row>
    <row r="32" spans="2:23" ht="14.85" customHeight="1">
      <c r="G32" s="363"/>
      <c r="H32" s="886"/>
      <c r="I32" s="886"/>
      <c r="J32" s="886"/>
      <c r="K32" s="886"/>
      <c r="L32" s="886"/>
      <c r="M32" s="886"/>
      <c r="N32" s="886"/>
      <c r="O32" s="886"/>
      <c r="P32" s="886"/>
      <c r="Q32" s="886"/>
      <c r="R32" s="886"/>
      <c r="S32" s="886"/>
      <c r="T32" s="886"/>
      <c r="U32" s="886"/>
      <c r="V32" s="886"/>
      <c r="W32" s="886"/>
    </row>
    <row r="33" spans="4:23" ht="14.85" customHeight="1">
      <c r="G33" s="363"/>
    </row>
    <row r="34" spans="4:23" ht="14.85" customHeight="1"/>
    <row r="35" spans="4:23" ht="14.85" customHeight="1">
      <c r="D35" s="885"/>
      <c r="E35" s="885"/>
      <c r="F35" s="885"/>
      <c r="G35" s="885"/>
    </row>
    <row r="36" spans="4:23" ht="14.85" customHeight="1">
      <c r="D36" s="885"/>
      <c r="E36" s="885"/>
      <c r="F36" s="885"/>
      <c r="G36" s="885"/>
    </row>
    <row r="37" spans="4:23" ht="14.85" customHeight="1">
      <c r="D37" s="591"/>
      <c r="E37" s="283"/>
      <c r="F37" s="310"/>
      <c r="G37" s="310"/>
      <c r="H37" s="283"/>
      <c r="I37" s="283"/>
      <c r="J37" s="283"/>
      <c r="K37" s="283"/>
      <c r="L37" s="283"/>
      <c r="M37" s="283"/>
      <c r="N37" s="283"/>
      <c r="O37" s="283"/>
      <c r="P37" s="283"/>
      <c r="Q37" s="283"/>
      <c r="R37" s="283"/>
      <c r="S37" s="283"/>
      <c r="T37" s="283"/>
      <c r="U37" s="283"/>
      <c r="V37" s="283"/>
      <c r="W37" s="283"/>
    </row>
    <row r="38" spans="4:23" ht="14.85" customHeight="1">
      <c r="D38" s="591"/>
      <c r="E38" s="283"/>
      <c r="F38" s="310"/>
      <c r="G38" s="310"/>
      <c r="H38" s="283"/>
      <c r="I38" s="283"/>
      <c r="J38" s="283"/>
      <c r="K38" s="283"/>
      <c r="L38" s="283"/>
      <c r="M38" s="283"/>
      <c r="N38" s="283"/>
      <c r="O38" s="283"/>
      <c r="P38" s="283"/>
      <c r="Q38" s="283"/>
      <c r="R38" s="283"/>
      <c r="S38" s="283"/>
      <c r="T38" s="283"/>
      <c r="U38" s="283"/>
      <c r="V38" s="283"/>
      <c r="W38" s="283"/>
    </row>
    <row r="39" spans="4:23" ht="14.85" customHeight="1">
      <c r="D39" s="591"/>
      <c r="E39" s="283"/>
      <c r="F39" s="310"/>
      <c r="G39" s="310"/>
      <c r="H39" s="283"/>
      <c r="I39" s="283"/>
      <c r="J39" s="283"/>
      <c r="K39" s="283"/>
      <c r="L39" s="283"/>
      <c r="M39" s="283"/>
      <c r="N39" s="283"/>
      <c r="O39" s="283"/>
      <c r="P39" s="283"/>
      <c r="Q39" s="283"/>
      <c r="R39" s="283"/>
      <c r="S39" s="283"/>
      <c r="T39" s="283"/>
      <c r="U39" s="283"/>
      <c r="V39" s="283"/>
      <c r="W39" s="283"/>
    </row>
    <row r="40" spans="4:23" ht="14.85" customHeight="1">
      <c r="D40" s="591"/>
      <c r="E40" s="283"/>
      <c r="F40" s="310"/>
      <c r="G40" s="310"/>
      <c r="H40" s="283"/>
      <c r="I40" s="283"/>
      <c r="J40" s="283"/>
      <c r="K40" s="283"/>
      <c r="L40" s="283"/>
      <c r="M40" s="283"/>
      <c r="N40" s="283"/>
      <c r="O40" s="283"/>
      <c r="P40" s="283"/>
      <c r="Q40" s="283"/>
      <c r="R40" s="283"/>
      <c r="S40" s="283"/>
      <c r="T40" s="283"/>
      <c r="U40" s="283"/>
      <c r="V40" s="283"/>
      <c r="W40" s="283"/>
    </row>
    <row r="41" spans="4:23" ht="14.85" customHeight="1">
      <c r="D41" s="591"/>
      <c r="E41" s="283"/>
      <c r="F41" s="310"/>
      <c r="G41" s="310"/>
      <c r="H41" s="283"/>
      <c r="I41" s="283"/>
      <c r="J41" s="283"/>
      <c r="K41" s="283"/>
      <c r="L41" s="283"/>
      <c r="M41" s="283"/>
      <c r="N41" s="283"/>
      <c r="O41" s="283"/>
      <c r="P41" s="283"/>
      <c r="Q41" s="283"/>
      <c r="R41" s="283"/>
      <c r="S41" s="283"/>
      <c r="T41" s="283"/>
      <c r="U41" s="283"/>
      <c r="V41" s="283"/>
      <c r="W41" s="283"/>
    </row>
    <row r="42" spans="4:23" ht="14.85" customHeight="1">
      <c r="D42" s="591"/>
      <c r="E42" s="283"/>
      <c r="F42" s="310"/>
      <c r="G42" s="310"/>
      <c r="H42" s="283"/>
      <c r="I42" s="283"/>
      <c r="J42" s="283"/>
      <c r="K42" s="283"/>
      <c r="L42" s="283"/>
      <c r="M42" s="283"/>
      <c r="N42" s="283"/>
      <c r="O42" s="283"/>
      <c r="P42" s="283"/>
      <c r="Q42" s="283"/>
      <c r="R42" s="283"/>
      <c r="S42" s="283"/>
      <c r="T42" s="283"/>
      <c r="U42" s="283"/>
      <c r="V42" s="283"/>
      <c r="W42" s="283"/>
    </row>
    <row r="43" spans="4:23" ht="14.85" customHeight="1">
      <c r="D43" s="591"/>
      <c r="E43" s="283"/>
      <c r="F43" s="310"/>
      <c r="G43" s="310"/>
      <c r="H43" s="283"/>
      <c r="I43" s="283"/>
      <c r="J43" s="283"/>
      <c r="K43" s="283"/>
      <c r="L43" s="283"/>
      <c r="M43" s="283"/>
      <c r="N43" s="283"/>
      <c r="O43" s="283"/>
      <c r="P43" s="283"/>
      <c r="Q43" s="283"/>
      <c r="R43" s="283"/>
      <c r="S43" s="283"/>
      <c r="T43" s="283"/>
      <c r="U43" s="283"/>
      <c r="V43" s="283"/>
      <c r="W43" s="283"/>
    </row>
    <row r="44" spans="4:23" ht="14.85" customHeight="1">
      <c r="D44" s="591"/>
      <c r="E44" s="283"/>
      <c r="F44" s="310"/>
      <c r="G44" s="310"/>
      <c r="H44" s="283"/>
      <c r="I44" s="283"/>
      <c r="J44" s="283"/>
      <c r="K44" s="283"/>
      <c r="L44" s="283"/>
      <c r="M44" s="283"/>
      <c r="N44" s="283"/>
      <c r="O44" s="283"/>
      <c r="P44" s="283"/>
      <c r="Q44" s="283"/>
      <c r="R44" s="283"/>
      <c r="S44" s="283"/>
      <c r="T44" s="283"/>
      <c r="U44" s="283"/>
      <c r="V44" s="283"/>
      <c r="W44" s="283"/>
    </row>
    <row r="45" spans="4:23" ht="14.85" customHeight="1">
      <c r="D45" s="591"/>
      <c r="E45" s="283"/>
      <c r="F45" s="310"/>
      <c r="G45" s="310"/>
      <c r="H45" s="283"/>
      <c r="I45" s="283"/>
      <c r="J45" s="283"/>
      <c r="K45" s="283"/>
      <c r="L45" s="283"/>
      <c r="M45" s="283"/>
      <c r="N45" s="283"/>
      <c r="O45" s="283"/>
      <c r="P45" s="283"/>
      <c r="Q45" s="283"/>
      <c r="R45" s="283"/>
      <c r="S45" s="283"/>
      <c r="T45" s="283"/>
      <c r="U45" s="283"/>
      <c r="V45" s="283"/>
      <c r="W45" s="283"/>
    </row>
    <row r="46" spans="4:23" ht="14.85" customHeight="1">
      <c r="D46" s="591"/>
      <c r="E46" s="283"/>
      <c r="F46" s="310"/>
      <c r="G46" s="310"/>
      <c r="H46" s="283"/>
      <c r="I46" s="283"/>
      <c r="J46" s="283"/>
      <c r="K46" s="283"/>
      <c r="L46" s="283"/>
      <c r="M46" s="283"/>
      <c r="N46" s="283"/>
      <c r="O46" s="283"/>
      <c r="P46" s="283"/>
      <c r="Q46" s="283"/>
      <c r="R46" s="283"/>
      <c r="S46" s="283"/>
      <c r="T46" s="283"/>
      <c r="U46" s="283"/>
      <c r="V46" s="283"/>
      <c r="W46" s="283"/>
    </row>
    <row r="47" spans="4:23" ht="14.85" customHeight="1">
      <c r="D47" s="591"/>
      <c r="E47" s="283"/>
      <c r="F47" s="310"/>
      <c r="G47" s="310"/>
      <c r="H47" s="283"/>
      <c r="I47" s="283"/>
      <c r="J47" s="283"/>
      <c r="K47" s="283"/>
      <c r="L47" s="283"/>
      <c r="M47" s="283"/>
      <c r="N47" s="283"/>
      <c r="O47" s="283"/>
      <c r="P47" s="283"/>
      <c r="Q47" s="283"/>
      <c r="R47" s="283"/>
      <c r="S47" s="283"/>
      <c r="T47" s="283"/>
      <c r="U47" s="283"/>
      <c r="V47" s="283"/>
      <c r="W47" s="283"/>
    </row>
    <row r="48" spans="4:23" ht="14.85" customHeight="1">
      <c r="D48" s="591"/>
      <c r="E48" s="283"/>
      <c r="F48" s="310"/>
      <c r="G48" s="310"/>
      <c r="H48" s="283"/>
      <c r="I48" s="283"/>
      <c r="J48" s="283"/>
      <c r="K48" s="283"/>
      <c r="L48" s="283"/>
      <c r="M48" s="283"/>
      <c r="N48" s="283"/>
      <c r="O48" s="283"/>
      <c r="P48" s="283"/>
      <c r="Q48" s="283"/>
      <c r="R48" s="283"/>
      <c r="S48" s="283"/>
      <c r="T48" s="283"/>
      <c r="U48" s="283"/>
      <c r="V48" s="283"/>
      <c r="W48" s="283"/>
    </row>
    <row r="49" spans="2:23" ht="14.85" customHeight="1">
      <c r="D49" s="591"/>
      <c r="E49" s="283"/>
      <c r="F49" s="310"/>
      <c r="G49" s="310"/>
      <c r="H49" s="283"/>
      <c r="I49" s="283"/>
      <c r="J49" s="283"/>
      <c r="K49" s="283"/>
      <c r="L49" s="283"/>
      <c r="M49" s="283"/>
      <c r="N49" s="283"/>
      <c r="O49" s="283"/>
      <c r="P49" s="283"/>
      <c r="Q49" s="283"/>
      <c r="R49" s="283"/>
      <c r="S49" s="283"/>
      <c r="T49" s="283"/>
      <c r="U49" s="283"/>
      <c r="V49" s="283"/>
      <c r="W49" s="283"/>
    </row>
    <row r="50" spans="2:23" ht="14.85" customHeight="1">
      <c r="D50" s="591"/>
      <c r="E50" s="283"/>
      <c r="F50" s="310"/>
      <c r="G50" s="310"/>
      <c r="H50" s="283"/>
      <c r="I50" s="283"/>
      <c r="J50" s="283"/>
      <c r="K50" s="283"/>
      <c r="L50" s="283"/>
      <c r="M50" s="283"/>
      <c r="N50" s="283"/>
      <c r="O50" s="283"/>
      <c r="P50" s="283"/>
      <c r="Q50" s="283"/>
      <c r="R50" s="283"/>
      <c r="S50" s="283"/>
      <c r="T50" s="283"/>
      <c r="U50" s="283"/>
      <c r="V50" s="283"/>
      <c r="W50" s="283"/>
    </row>
    <row r="51" spans="2:23" ht="14.85" customHeight="1">
      <c r="D51" s="591"/>
      <c r="E51" s="283"/>
      <c r="F51" s="310"/>
      <c r="G51" s="310"/>
      <c r="H51" s="283"/>
      <c r="I51" s="283"/>
      <c r="J51" s="283"/>
      <c r="K51" s="283"/>
      <c r="L51" s="283"/>
      <c r="M51" s="283"/>
      <c r="N51" s="283"/>
      <c r="O51" s="283"/>
      <c r="P51" s="283"/>
      <c r="Q51" s="283"/>
      <c r="R51" s="283"/>
      <c r="S51" s="283"/>
      <c r="T51" s="283"/>
      <c r="U51" s="283"/>
      <c r="V51" s="283"/>
      <c r="W51" s="283"/>
    </row>
    <row r="52" spans="2:23" ht="14.85" customHeight="1">
      <c r="D52" s="591"/>
      <c r="E52" s="283"/>
      <c r="F52" s="310"/>
      <c r="G52" s="310"/>
      <c r="H52" s="283"/>
      <c r="I52" s="283"/>
      <c r="J52" s="283"/>
      <c r="K52" s="283"/>
      <c r="L52" s="283"/>
      <c r="M52" s="283"/>
      <c r="N52" s="283"/>
      <c r="O52" s="283"/>
      <c r="P52" s="283"/>
      <c r="Q52" s="283"/>
      <c r="R52" s="283"/>
      <c r="S52" s="283"/>
      <c r="T52" s="283"/>
      <c r="U52" s="283"/>
      <c r="V52" s="283"/>
      <c r="W52" s="283"/>
    </row>
    <row r="53" spans="2:23" ht="14.85" customHeight="1">
      <c r="D53" s="591"/>
      <c r="E53" s="283"/>
      <c r="F53" s="310"/>
      <c r="G53" s="310"/>
      <c r="H53" s="283"/>
      <c r="I53" s="283"/>
      <c r="J53" s="283"/>
      <c r="K53" s="283"/>
      <c r="L53" s="283"/>
      <c r="M53" s="283"/>
      <c r="N53" s="283"/>
      <c r="O53" s="283"/>
      <c r="P53" s="283"/>
      <c r="Q53" s="283"/>
      <c r="R53" s="283"/>
      <c r="S53" s="283"/>
      <c r="T53" s="283"/>
      <c r="U53" s="283"/>
      <c r="V53" s="283"/>
      <c r="W53" s="283"/>
    </row>
    <row r="54" spans="2:23" ht="14.85" customHeight="1">
      <c r="D54" s="591"/>
      <c r="E54" s="283"/>
      <c r="F54" s="310"/>
      <c r="G54" s="310"/>
      <c r="H54" s="283"/>
      <c r="I54" s="283"/>
      <c r="J54" s="283"/>
      <c r="K54" s="283"/>
      <c r="L54" s="283"/>
      <c r="M54" s="283"/>
      <c r="N54" s="283"/>
      <c r="O54" s="283"/>
      <c r="P54" s="283"/>
      <c r="Q54" s="283"/>
      <c r="R54" s="283"/>
      <c r="S54" s="283"/>
      <c r="T54" s="283"/>
      <c r="U54" s="283"/>
      <c r="V54" s="283"/>
      <c r="W54" s="283"/>
    </row>
    <row r="55" spans="2:23" ht="14.85" customHeight="1">
      <c r="D55" s="591"/>
      <c r="E55" s="283"/>
      <c r="F55" s="310"/>
      <c r="G55" s="310"/>
      <c r="H55" s="283"/>
      <c r="I55" s="283"/>
      <c r="J55" s="283"/>
      <c r="K55" s="283"/>
      <c r="L55" s="283"/>
      <c r="M55" s="283"/>
      <c r="N55" s="283"/>
      <c r="O55" s="283"/>
      <c r="P55" s="283"/>
      <c r="Q55" s="283"/>
      <c r="R55" s="283"/>
      <c r="S55" s="283"/>
      <c r="T55" s="283"/>
      <c r="U55" s="283"/>
      <c r="V55" s="283"/>
      <c r="W55" s="283"/>
    </row>
    <row r="56" spans="2:23" ht="14.85" customHeight="1">
      <c r="B56" s="255"/>
      <c r="D56" s="583"/>
      <c r="E56" s="887"/>
      <c r="F56" s="888"/>
      <c r="G56" s="888"/>
    </row>
    <row r="57" spans="2:23" ht="14.85" customHeight="1"/>
    <row r="58" spans="2:23" ht="14.85" customHeight="1"/>
    <row r="59" spans="2:23" ht="14.85" customHeight="1"/>
    <row r="60" spans="2:23" ht="14.85" customHeight="1"/>
    <row r="61" spans="2:23" ht="14.85" customHeight="1"/>
    <row r="62" spans="2:23" ht="14.85" customHeight="1"/>
    <row r="63" spans="2:23" ht="14.85" customHeight="1"/>
    <row r="64" spans="2:23" ht="14.85" customHeight="1"/>
    <row r="65" ht="14.85" customHeight="1"/>
    <row r="66" ht="14.85" customHeight="1"/>
    <row r="67" ht="14.85" customHeight="1"/>
    <row r="68" ht="14.85" customHeight="1"/>
    <row r="69" ht="14.85" customHeight="1"/>
    <row r="70" ht="14.85" customHeight="1"/>
    <row r="71" ht="14.85" customHeight="1"/>
    <row r="72" ht="14.85" customHeight="1"/>
    <row r="73" ht="14.85" customHeight="1"/>
    <row r="74" ht="14.85" customHeight="1"/>
    <row r="75" ht="14.85" customHeight="1"/>
    <row r="76" ht="14.85" customHeight="1"/>
    <row r="77" ht="14.85" customHeight="1"/>
    <row r="78" ht="14.85" customHeight="1"/>
    <row r="79" ht="14.85" customHeight="1"/>
    <row r="80" ht="14.85" customHeight="1"/>
    <row r="81" ht="14.85" customHeight="1"/>
    <row r="82" ht="14.85" customHeight="1"/>
    <row r="83" ht="14.85" customHeight="1"/>
    <row r="84" ht="14.85" customHeight="1"/>
    <row r="85" ht="14.85" customHeight="1"/>
    <row r="86" ht="14.85" customHeight="1"/>
    <row r="87" ht="14.85" customHeight="1"/>
    <row r="88" ht="14.85" customHeight="1"/>
    <row r="89" ht="14.85" customHeight="1"/>
    <row r="90" ht="14.85" customHeight="1"/>
    <row r="91" ht="14.85" customHeight="1"/>
    <row r="92" ht="14.85" customHeight="1"/>
    <row r="93" ht="14.85" customHeight="1"/>
    <row r="94" ht="14.85" customHeight="1"/>
    <row r="95" ht="14.85" customHeight="1"/>
    <row r="96" ht="14.85" customHeight="1"/>
    <row r="97" ht="14.85" customHeight="1"/>
    <row r="98" ht="14.85" customHeight="1"/>
    <row r="99" ht="14.85" customHeight="1"/>
    <row r="100" ht="14.85" customHeight="1"/>
    <row r="101" ht="14.85" customHeight="1"/>
    <row r="102" ht="14.85" customHeight="1"/>
    <row r="103" ht="14.85" customHeight="1"/>
    <row r="104" ht="14.85" customHeight="1"/>
    <row r="105" ht="14.85" customHeight="1"/>
    <row r="106" ht="14.85" customHeight="1"/>
    <row r="107" ht="14.85" customHeight="1"/>
    <row r="108" ht="14.85" customHeight="1"/>
    <row r="109" ht="14.85" customHeight="1"/>
    <row r="110" ht="14.85" customHeight="1"/>
    <row r="111" ht="14.85" customHeight="1"/>
    <row r="112" ht="14.85" customHeight="1"/>
    <row r="113" ht="14.85" customHeight="1"/>
    <row r="114" ht="14.85" customHeight="1"/>
    <row r="115" ht="14.85" customHeight="1"/>
    <row r="116" ht="14.85" customHeight="1"/>
    <row r="117" ht="14.85" customHeight="1"/>
    <row r="118" ht="14.85" customHeight="1"/>
    <row r="119" ht="14.85" customHeight="1"/>
    <row r="120" ht="14.85" customHeight="1"/>
    <row r="121" ht="14.85" customHeight="1"/>
    <row r="122" ht="14.85" customHeight="1"/>
    <row r="123" ht="14.85" customHeight="1"/>
    <row r="124" ht="14.85" customHeight="1"/>
    <row r="125" ht="14.85" customHeight="1"/>
    <row r="126" ht="14.85" customHeight="1"/>
    <row r="127" ht="14.85" customHeight="1"/>
    <row r="128" ht="14.85" customHeight="1"/>
    <row r="129" ht="14.85" customHeight="1"/>
    <row r="130" ht="14.85" customHeight="1"/>
    <row r="131" ht="14.85" customHeight="1"/>
    <row r="132" ht="14.85" customHeight="1"/>
    <row r="133" ht="14.85" customHeight="1"/>
    <row r="134" ht="14.85" customHeight="1"/>
    <row r="135" ht="14.85" customHeight="1"/>
    <row r="136" ht="14.85" customHeight="1"/>
    <row r="137" ht="14.85" customHeight="1"/>
    <row r="138" ht="14.85" customHeight="1"/>
    <row r="139" ht="14.85" customHeight="1"/>
    <row r="140" ht="14.85" customHeight="1"/>
    <row r="141" ht="14.85" customHeight="1"/>
    <row r="142" ht="14.85" customHeight="1"/>
    <row r="143" ht="14.85" customHeight="1"/>
    <row r="144" ht="14.85" customHeight="1"/>
    <row r="145" ht="14.85" customHeight="1"/>
    <row r="146" ht="14.85" customHeight="1"/>
    <row r="147" ht="14.85" customHeight="1"/>
    <row r="148" ht="14.85" customHeight="1"/>
    <row r="149" ht="14.85" customHeight="1"/>
    <row r="150" ht="14.85" customHeight="1"/>
    <row r="151" ht="14.85" customHeight="1"/>
    <row r="152" ht="14.85" customHeight="1"/>
    <row r="153" ht="14.85" customHeight="1"/>
    <row r="154" ht="14.85" customHeight="1"/>
    <row r="155" ht="14.85" customHeight="1"/>
    <row r="156" ht="14.85" customHeight="1"/>
    <row r="157" ht="14.85" customHeight="1"/>
    <row r="158" ht="14.85" customHeight="1"/>
    <row r="159" ht="14.85" customHeight="1"/>
    <row r="160" ht="14.85" customHeight="1"/>
    <row r="161" ht="14.85" customHeight="1"/>
    <row r="162" ht="14.85" customHeight="1"/>
    <row r="163" ht="14.85" customHeight="1"/>
    <row r="164" ht="14.85" customHeight="1"/>
    <row r="165" ht="14.85" customHeight="1"/>
    <row r="166" ht="14.85" customHeight="1"/>
    <row r="167" ht="14.85" customHeight="1"/>
    <row r="168" ht="14.85" customHeight="1"/>
    <row r="169" ht="14.85" customHeight="1"/>
    <row r="170" ht="14.85" customHeight="1"/>
    <row r="171" ht="14.85" customHeight="1"/>
    <row r="172" ht="14.85" customHeight="1"/>
    <row r="173" ht="14.85" customHeight="1"/>
    <row r="174" ht="14.85" customHeight="1"/>
    <row r="175" ht="14.85" customHeight="1"/>
    <row r="176" ht="14.85" customHeight="1"/>
    <row r="177" ht="14.85" customHeight="1"/>
    <row r="178" ht="14.85" customHeight="1"/>
    <row r="179" ht="14.85" customHeight="1"/>
    <row r="180" ht="14.85" customHeight="1"/>
    <row r="181" ht="14.85" customHeight="1"/>
    <row r="182" ht="14.85" customHeight="1"/>
    <row r="183" ht="14.85" customHeight="1"/>
    <row r="184" ht="14.85" customHeight="1"/>
    <row r="185" ht="14.85" customHeight="1"/>
    <row r="186" ht="14.85" customHeight="1"/>
    <row r="187" ht="14.85" customHeight="1"/>
    <row r="188" ht="14.85" customHeight="1"/>
    <row r="189" ht="14.85" customHeight="1"/>
    <row r="190" ht="14.85" customHeight="1"/>
    <row r="191" ht="14.85" customHeight="1"/>
    <row r="192" ht="14.85" customHeight="1"/>
    <row r="193" ht="14.85" customHeight="1"/>
    <row r="194" ht="14.85" customHeight="1"/>
    <row r="195" ht="14.85" customHeight="1"/>
    <row r="196" ht="14.85" customHeight="1"/>
    <row r="197" ht="14.85" customHeight="1"/>
    <row r="198" ht="14.85" customHeight="1"/>
    <row r="199" ht="14.85" customHeight="1"/>
    <row r="200" ht="14.85" customHeight="1"/>
    <row r="201" ht="14.85" customHeight="1"/>
    <row r="202" ht="14.85" customHeight="1"/>
    <row r="203" ht="14.85" customHeight="1"/>
    <row r="204" ht="14.85" customHeight="1"/>
    <row r="205" ht="14.85" customHeight="1"/>
    <row r="206" ht="14.85" customHeight="1"/>
    <row r="207" ht="14.85" customHeight="1"/>
    <row r="208" ht="14.85" customHeight="1"/>
    <row r="209" ht="14.85" customHeight="1"/>
    <row r="210" ht="14.85" customHeight="1"/>
    <row r="211" ht="14.85" customHeight="1"/>
    <row r="212" ht="14.85" customHeight="1"/>
    <row r="213" ht="14.85" customHeight="1"/>
    <row r="214" ht="14.85" customHeight="1"/>
    <row r="215" ht="14.85" customHeight="1"/>
    <row r="216" ht="14.85" customHeight="1"/>
    <row r="217" ht="14.85" customHeight="1"/>
    <row r="218" ht="14.85" customHeight="1"/>
    <row r="219" ht="14.85" customHeight="1"/>
    <row r="220" ht="14.85" customHeight="1"/>
    <row r="221" ht="14.85" customHeight="1"/>
    <row r="222" ht="14.85" customHeight="1"/>
    <row r="223" ht="14.85" customHeight="1"/>
    <row r="224" ht="14.85" customHeight="1"/>
    <row r="225" ht="14.85" customHeight="1"/>
    <row r="226" ht="14.85" customHeight="1"/>
    <row r="227" ht="14.85" customHeight="1"/>
    <row r="228" ht="14.85" customHeight="1"/>
    <row r="229" ht="14.85" customHeight="1"/>
    <row r="230" ht="14.85" customHeight="1"/>
    <row r="231" ht="14.85" customHeight="1"/>
    <row r="232" ht="14.85" customHeight="1"/>
    <row r="233" ht="14.85" customHeight="1"/>
    <row r="234" ht="14.85" customHeight="1"/>
    <row r="235" ht="14.85" customHeight="1"/>
    <row r="236" ht="14.85" customHeight="1"/>
    <row r="237" ht="14.85" customHeight="1"/>
    <row r="238" ht="14.85" customHeight="1"/>
    <row r="239" ht="14.85" customHeight="1"/>
    <row r="240" ht="14.85" customHeight="1"/>
    <row r="241" ht="14.85" customHeight="1"/>
    <row r="242" ht="14.85" customHeight="1"/>
    <row r="243" ht="14.85" customHeight="1"/>
    <row r="244" ht="14.85" customHeight="1"/>
    <row r="245" ht="14.85" customHeight="1"/>
    <row r="246" ht="14.85" customHeight="1"/>
    <row r="247" ht="14.85" customHeight="1"/>
    <row r="248" ht="14.85" customHeight="1"/>
    <row r="249" ht="14.85" customHeight="1"/>
    <row r="250" ht="14.85" customHeight="1"/>
    <row r="251" ht="14.85" customHeight="1"/>
    <row r="252" ht="14.85" customHeight="1"/>
    <row r="253" ht="14.85" customHeight="1"/>
    <row r="254" ht="14.85" customHeight="1"/>
    <row r="255" ht="14.85" customHeight="1"/>
    <row r="256" ht="14.85" customHeight="1"/>
    <row r="257" ht="14.85" customHeight="1"/>
    <row r="258" ht="14.85" customHeight="1"/>
    <row r="259" ht="14.85" customHeight="1"/>
    <row r="260" ht="14.85" customHeight="1"/>
    <row r="261" ht="14.85" customHeight="1"/>
    <row r="262" ht="14.85" customHeight="1"/>
    <row r="263" ht="14.85" customHeight="1"/>
    <row r="264" ht="14.85" customHeight="1"/>
    <row r="265" ht="14.85" customHeight="1"/>
    <row r="266" ht="14.85" customHeight="1"/>
    <row r="267" ht="14.85" customHeight="1"/>
    <row r="268" ht="14.85" customHeight="1"/>
    <row r="269" ht="14.85" customHeight="1"/>
    <row r="270" ht="14.85" customHeight="1"/>
    <row r="271" ht="14.85" customHeight="1"/>
    <row r="272" ht="14.85" customHeight="1"/>
    <row r="273" ht="14.85" customHeight="1"/>
    <row r="274" ht="14.85" customHeight="1"/>
    <row r="275" ht="14.85" customHeight="1"/>
    <row r="276" ht="14.85" customHeight="1"/>
    <row r="277" ht="14.85" customHeight="1"/>
    <row r="278" ht="14.85" customHeight="1"/>
    <row r="279" ht="14.85" customHeight="1"/>
    <row r="280" ht="14.85" customHeight="1"/>
    <row r="281" ht="14.85" customHeight="1"/>
    <row r="282" ht="14.85" customHeight="1"/>
    <row r="283" ht="14.85" customHeight="1"/>
    <row r="284" ht="14.85" customHeight="1"/>
    <row r="285" ht="14.85" customHeight="1"/>
    <row r="286" ht="14.85" customHeight="1"/>
    <row r="287" ht="14.85" customHeight="1"/>
    <row r="288" ht="14.85" customHeight="1"/>
    <row r="289" ht="14.85" customHeight="1"/>
    <row r="290" ht="14.85" customHeight="1"/>
    <row r="291" ht="14.85" customHeight="1"/>
    <row r="292" ht="14.85" customHeight="1"/>
    <row r="293" ht="14.85" customHeight="1"/>
    <row r="294" ht="14.85" customHeight="1"/>
    <row r="295" ht="14.85" customHeight="1"/>
    <row r="296" ht="14.85" customHeight="1"/>
    <row r="297" ht="14.85" customHeight="1"/>
    <row r="298" ht="14.85" customHeight="1"/>
    <row r="299" ht="14.85" customHeight="1"/>
    <row r="300" ht="14.85" customHeight="1"/>
    <row r="301" ht="14.85" customHeight="1"/>
    <row r="302" ht="14.85" customHeight="1"/>
    <row r="303" ht="14.85" customHeight="1"/>
    <row r="304" ht="14.85" customHeight="1"/>
    <row r="305" ht="14.85" customHeight="1"/>
    <row r="306" ht="14.85" customHeight="1"/>
    <row r="307" ht="14.85" customHeight="1"/>
    <row r="308" ht="14.85" customHeight="1"/>
    <row r="309" ht="14.85" customHeight="1"/>
    <row r="310" ht="14.85" customHeight="1"/>
    <row r="311" ht="14.85" customHeight="1"/>
    <row r="312" ht="14.85" customHeight="1"/>
    <row r="313" ht="14.85" customHeight="1"/>
    <row r="314" ht="14.85" customHeight="1"/>
    <row r="315" ht="14.85" customHeight="1"/>
    <row r="316" ht="14.85" customHeight="1"/>
    <row r="317" ht="14.85" customHeight="1"/>
    <row r="318" ht="14.85" customHeight="1"/>
    <row r="319" ht="14.85" customHeight="1"/>
    <row r="320" ht="14.85" customHeight="1"/>
    <row r="321" ht="14.85" customHeight="1"/>
    <row r="322" ht="14.85" customHeight="1"/>
    <row r="323" ht="14.85" customHeight="1"/>
    <row r="324" ht="14.85" customHeight="1"/>
    <row r="325" ht="14.85" customHeight="1"/>
    <row r="326" ht="14.85" customHeight="1"/>
    <row r="327" ht="14.85" customHeight="1"/>
    <row r="328" ht="14.85" customHeight="1"/>
    <row r="329" ht="14.85" customHeight="1"/>
    <row r="330" ht="14.85" customHeight="1"/>
    <row r="331" ht="14.85" customHeight="1"/>
    <row r="332" ht="14.85" customHeight="1"/>
    <row r="333" ht="14.85" customHeight="1"/>
    <row r="334" ht="14.85" customHeight="1"/>
    <row r="335" ht="14.85" customHeight="1"/>
    <row r="336" ht="14.85" customHeight="1"/>
    <row r="337" ht="14.85" customHeight="1"/>
    <row r="338" ht="14.85" customHeight="1"/>
    <row r="339" ht="14.85" customHeight="1"/>
    <row r="340" ht="14.85" customHeight="1"/>
    <row r="341" ht="14.85" customHeight="1"/>
    <row r="342" ht="14.85" customHeight="1"/>
    <row r="343" ht="14.85" customHeight="1"/>
    <row r="344" ht="14.85" customHeight="1"/>
    <row r="345" ht="14.85" customHeight="1"/>
    <row r="346" ht="14.85" customHeight="1"/>
    <row r="347" ht="14.85" customHeight="1"/>
    <row r="348" ht="14.85" customHeight="1"/>
    <row r="349" ht="14.85" customHeight="1"/>
    <row r="350" ht="14.85" customHeight="1"/>
    <row r="351" ht="14.85" customHeight="1"/>
    <row r="352" ht="14.85" customHeight="1"/>
    <row r="353" ht="14.85" customHeight="1"/>
    <row r="354" ht="14.85" customHeight="1"/>
    <row r="355" ht="14.85" customHeight="1"/>
    <row r="356" ht="14.85" customHeight="1"/>
    <row r="357" ht="14.85" customHeight="1"/>
    <row r="358" ht="14.85" customHeight="1"/>
    <row r="359" ht="14.85" customHeight="1"/>
    <row r="360" ht="14.85" customHeight="1"/>
    <row r="361" ht="14.85" customHeight="1"/>
    <row r="362" ht="14.85" customHeight="1"/>
    <row r="363" ht="14.85" customHeight="1"/>
    <row r="364" ht="14.85" customHeight="1"/>
    <row r="365" ht="14.85" customHeight="1"/>
    <row r="366" ht="14.85" customHeight="1"/>
    <row r="367" ht="14.85" customHeight="1"/>
    <row r="368" ht="14.85" customHeight="1"/>
    <row r="369" ht="14.85" customHeight="1"/>
    <row r="370" ht="14.85" customHeight="1"/>
    <row r="371" ht="14.85" customHeight="1"/>
    <row r="372" ht="14.85" customHeight="1"/>
    <row r="373" ht="14.85" customHeight="1"/>
    <row r="374" ht="14.85" customHeight="1"/>
    <row r="375" ht="14.85" customHeight="1"/>
    <row r="376" ht="14.85" customHeight="1"/>
    <row r="377" ht="14.85" customHeight="1"/>
    <row r="378" ht="14.85" customHeight="1"/>
    <row r="379" ht="14.85" customHeight="1"/>
    <row r="380" ht="14.85" customHeight="1"/>
    <row r="381" ht="14.85" customHeight="1"/>
    <row r="382" ht="14.85" customHeight="1"/>
    <row r="383" ht="14.85" customHeight="1"/>
    <row r="384" ht="14.85" customHeight="1"/>
    <row r="385" ht="14.85" customHeight="1"/>
    <row r="386" ht="14.85" customHeight="1"/>
    <row r="387" ht="14.85" customHeight="1"/>
    <row r="388" ht="14.85" customHeight="1"/>
    <row r="389" ht="14.85" customHeight="1"/>
    <row r="390" ht="14.85" customHeight="1"/>
    <row r="391" ht="14.85" customHeight="1"/>
    <row r="392" ht="14.85" customHeight="1"/>
    <row r="393" ht="14.85" customHeight="1"/>
    <row r="394" ht="14.85" customHeight="1"/>
    <row r="395" ht="14.85" customHeight="1"/>
    <row r="396" ht="14.85" customHeight="1"/>
    <row r="397" ht="14.85" customHeight="1"/>
    <row r="398" ht="14.85" customHeight="1"/>
    <row r="399" ht="14.85" customHeight="1"/>
    <row r="400" ht="14.85" customHeight="1"/>
    <row r="401" ht="14.85" customHeight="1"/>
    <row r="402" ht="14.85" customHeight="1"/>
    <row r="403" ht="14.85" customHeight="1"/>
    <row r="404" ht="14.85" customHeight="1"/>
    <row r="405" ht="14.85" customHeight="1"/>
    <row r="406" ht="14.85" customHeight="1"/>
    <row r="407" ht="14.85" customHeight="1"/>
    <row r="408" ht="14.85" customHeight="1"/>
    <row r="409" ht="14.85" customHeight="1"/>
    <row r="410" ht="14.85" customHeight="1"/>
    <row r="411" ht="14.85" customHeight="1"/>
    <row r="412" ht="14.85" customHeight="1"/>
    <row r="413" ht="14.85" customHeight="1"/>
    <row r="414" ht="14.85" customHeight="1"/>
    <row r="415" ht="14.85" customHeight="1"/>
    <row r="416" ht="14.85" customHeight="1"/>
    <row r="417" ht="14.85" customHeight="1"/>
    <row r="418" ht="14.85" customHeight="1"/>
    <row r="419" ht="14.85" customHeight="1"/>
    <row r="420" ht="14.85" customHeight="1"/>
    <row r="421" ht="14.85" customHeight="1"/>
    <row r="422" ht="14.85" customHeight="1"/>
    <row r="423" ht="14.85" customHeight="1"/>
    <row r="424" ht="14.85" customHeight="1"/>
    <row r="425" ht="14.85" customHeight="1"/>
    <row r="426" ht="14.85" customHeight="1"/>
    <row r="427" ht="14.85" customHeight="1"/>
    <row r="428" ht="14.85" customHeight="1"/>
    <row r="429" ht="14.85" customHeight="1"/>
    <row r="430" ht="14.85" customHeight="1"/>
    <row r="431" ht="14.85" customHeight="1"/>
    <row r="432" ht="14.85" customHeight="1"/>
    <row r="433" ht="14.85" customHeight="1"/>
    <row r="434" ht="14.85" customHeight="1"/>
    <row r="435" ht="14.85" customHeight="1"/>
    <row r="436" ht="14.85" customHeight="1"/>
    <row r="437" ht="14.85" customHeight="1"/>
    <row r="438" ht="14.85" customHeight="1"/>
    <row r="439" ht="14.85" customHeight="1"/>
    <row r="440" ht="14.85" customHeight="1"/>
    <row r="441" ht="14.85" customHeight="1"/>
    <row r="442" ht="14.85" customHeight="1"/>
    <row r="443" ht="14.85" customHeight="1"/>
    <row r="444" ht="14.85" customHeight="1"/>
    <row r="445" ht="14.85" customHeight="1"/>
    <row r="446" ht="14.85" customHeight="1"/>
    <row r="447" ht="14.85" customHeight="1"/>
    <row r="448" ht="14.85" customHeight="1"/>
    <row r="449" ht="14.85" customHeight="1"/>
    <row r="450" ht="14.85" customHeight="1"/>
    <row r="451" ht="14.85" customHeight="1"/>
    <row r="452" ht="14.85" customHeight="1"/>
    <row r="453" ht="14.85" customHeight="1"/>
    <row r="454" ht="14.85" customHeight="1"/>
    <row r="455" ht="14.85" customHeight="1"/>
    <row r="456" ht="14.85" customHeight="1"/>
    <row r="457" ht="14.85" customHeight="1"/>
    <row r="458" ht="14.85" customHeight="1"/>
    <row r="459" ht="14.85" customHeight="1"/>
    <row r="460" ht="14.85" customHeight="1"/>
    <row r="461" ht="14.85" customHeight="1"/>
    <row r="462" ht="14.85" customHeight="1"/>
    <row r="463" ht="14.85" customHeight="1"/>
    <row r="464" ht="14.85" customHeight="1"/>
    <row r="465" ht="14.85" customHeight="1"/>
    <row r="466" ht="14.85" customHeight="1"/>
    <row r="467" ht="14.85" customHeight="1"/>
    <row r="468" ht="14.85" customHeight="1"/>
    <row r="469" ht="14.85" customHeight="1"/>
    <row r="470" ht="14.85" customHeight="1"/>
    <row r="471" ht="14.85" customHeight="1"/>
    <row r="472" ht="14.85" customHeight="1"/>
    <row r="473" ht="14.85" customHeight="1"/>
    <row r="474" ht="14.85" customHeight="1"/>
    <row r="475" ht="14.85" customHeight="1"/>
    <row r="476" ht="14.85" customHeight="1"/>
    <row r="477" ht="14.85" customHeight="1"/>
    <row r="478" ht="14.85" customHeight="1"/>
    <row r="479" ht="14.85" customHeight="1"/>
    <row r="480" ht="14.85" customHeight="1"/>
    <row r="481" ht="14.85" customHeight="1"/>
    <row r="482" ht="14.85" customHeight="1"/>
    <row r="483" ht="14.85" customHeight="1"/>
    <row r="484" ht="14.85" customHeight="1"/>
    <row r="485" ht="14.85" customHeight="1"/>
    <row r="486" ht="14.85" customHeight="1"/>
    <row r="487" ht="14.85" customHeight="1"/>
    <row r="488" ht="14.85" customHeight="1"/>
    <row r="489" ht="14.85" customHeight="1"/>
    <row r="490" ht="14.85" customHeight="1"/>
    <row r="491" ht="14.85" customHeight="1"/>
    <row r="492" ht="14.85" customHeight="1"/>
    <row r="493" ht="14.85" customHeight="1"/>
    <row r="494" ht="14.85" customHeight="1"/>
    <row r="495" ht="14.85" customHeight="1"/>
    <row r="496" ht="14.85" customHeight="1"/>
    <row r="497" ht="14.85" customHeight="1"/>
    <row r="498" ht="14.85" customHeight="1"/>
    <row r="499" ht="14.85" customHeight="1"/>
    <row r="500" ht="14.85" customHeight="1"/>
    <row r="501" ht="14.85" customHeight="1"/>
    <row r="502" ht="14.85" customHeight="1"/>
    <row r="503" ht="14.85" customHeight="1"/>
    <row r="504" ht="14.85" customHeight="1"/>
    <row r="505" ht="14.85" customHeight="1"/>
    <row r="506" ht="14.85" customHeight="1"/>
    <row r="507" ht="14.85" customHeight="1"/>
    <row r="508" ht="14.85" customHeight="1"/>
    <row r="509" ht="14.85" customHeight="1"/>
    <row r="510" ht="14.85" customHeight="1"/>
    <row r="511" ht="14.85" customHeight="1"/>
    <row r="512" ht="14.85" customHeight="1"/>
    <row r="513" ht="14.85" customHeight="1"/>
    <row r="514" ht="14.85" customHeight="1"/>
    <row r="515" ht="14.85" customHeight="1"/>
    <row r="516" ht="14.85" customHeight="1"/>
    <row r="517" ht="14.85" customHeight="1"/>
    <row r="518" ht="14.85" customHeight="1"/>
    <row r="519" ht="14.85" customHeight="1"/>
    <row r="520" ht="14.85" customHeight="1"/>
    <row r="521" ht="14.85" customHeight="1"/>
    <row r="522" ht="14.85" customHeight="1"/>
    <row r="523" ht="14.85" customHeight="1"/>
    <row r="524" ht="14.85" customHeight="1"/>
    <row r="525" ht="14.85" customHeight="1"/>
    <row r="526" ht="14.85" customHeight="1"/>
    <row r="527" ht="14.85" customHeight="1"/>
    <row r="528" ht="14.85" customHeight="1"/>
    <row r="529" ht="14.85" customHeight="1"/>
    <row r="530" ht="14.85" customHeight="1"/>
    <row r="531" ht="14.85" customHeight="1"/>
    <row r="532" ht="14.85" customHeight="1"/>
    <row r="533" ht="14.85" customHeight="1"/>
    <row r="534" ht="14.85" customHeight="1"/>
    <row r="535" ht="14.85" customHeight="1"/>
    <row r="536" ht="14.85" customHeight="1"/>
    <row r="537" ht="14.85" customHeight="1"/>
    <row r="538" ht="14.85" customHeight="1"/>
    <row r="539" ht="14.85" customHeight="1"/>
    <row r="540" ht="14.85" customHeight="1"/>
    <row r="541" ht="14.85" customHeight="1"/>
    <row r="542" ht="14.85" customHeight="1"/>
    <row r="543" ht="14.85" customHeight="1"/>
    <row r="544" ht="14.85" customHeight="1"/>
    <row r="545" ht="14.85" customHeight="1"/>
    <row r="546" ht="14.85" customHeight="1"/>
    <row r="547" ht="14.85" customHeight="1"/>
    <row r="548" ht="14.85" customHeight="1"/>
    <row r="549" ht="14.85" customHeight="1"/>
    <row r="550" ht="14.85" customHeight="1"/>
    <row r="551" ht="14.85" customHeight="1"/>
    <row r="552" ht="14.85" customHeight="1"/>
    <row r="553" ht="14.85" customHeight="1"/>
    <row r="554" ht="14.85" customHeight="1"/>
    <row r="555" ht="14.85" customHeight="1"/>
    <row r="556" ht="14.85" customHeight="1"/>
    <row r="557" ht="14.85" customHeight="1"/>
    <row r="558" ht="14.85" customHeight="1"/>
    <row r="559" ht="14.85" customHeight="1"/>
    <row r="560" ht="14.85" customHeight="1"/>
    <row r="561" ht="14.85" customHeight="1"/>
    <row r="562" ht="14.85" customHeight="1"/>
    <row r="563" ht="14.85" customHeight="1"/>
    <row r="564" ht="14.85" customHeight="1"/>
    <row r="565" ht="14.85" customHeight="1"/>
    <row r="566" ht="14.85" customHeight="1"/>
    <row r="567" ht="14.85" customHeight="1"/>
    <row r="568" ht="14.85" customHeight="1"/>
    <row r="569" ht="14.85" customHeight="1"/>
    <row r="570" ht="14.85" customHeight="1"/>
    <row r="571" ht="14.85" customHeight="1"/>
    <row r="572" ht="14.85" customHeight="1"/>
    <row r="573" ht="14.85" customHeight="1"/>
    <row r="574" ht="14.85" customHeight="1"/>
    <row r="575" ht="14.85" customHeight="1"/>
    <row r="576" ht="14.85" customHeight="1"/>
    <row r="577" ht="14.85" customHeight="1"/>
    <row r="578" ht="14.85" customHeight="1"/>
    <row r="579" ht="14.85" customHeight="1"/>
    <row r="580" ht="14.85" customHeight="1"/>
    <row r="581" ht="14.85" customHeight="1"/>
    <row r="582" ht="14.85" customHeight="1"/>
    <row r="583" ht="14.85" customHeight="1"/>
    <row r="584" ht="14.85" customHeight="1"/>
    <row r="585" ht="14.85" customHeight="1"/>
    <row r="586" ht="14.85" customHeight="1"/>
    <row r="587" ht="14.85" customHeight="1"/>
    <row r="588" ht="14.85" customHeight="1"/>
    <row r="589" ht="14.85" customHeight="1"/>
    <row r="590" ht="14.85" customHeight="1"/>
    <row r="591" ht="14.85" customHeight="1"/>
    <row r="592" ht="14.85" customHeight="1"/>
    <row r="593" ht="14.85" customHeight="1"/>
    <row r="594" ht="14.85" customHeight="1"/>
    <row r="595" ht="14.85" customHeight="1"/>
    <row r="596" ht="14.85" customHeight="1"/>
    <row r="597" ht="14.85" customHeight="1"/>
    <row r="598" ht="14.85" customHeight="1"/>
    <row r="599" ht="14.85" customHeight="1"/>
    <row r="600" ht="14.85" customHeight="1"/>
    <row r="601" ht="14.85" customHeight="1"/>
    <row r="602" ht="14.85" customHeight="1"/>
    <row r="603" ht="14.85" customHeight="1"/>
    <row r="604" ht="14.85" customHeight="1"/>
    <row r="605" ht="14.85" customHeight="1"/>
    <row r="606" ht="14.85" customHeight="1"/>
    <row r="607" ht="14.85" customHeight="1"/>
    <row r="608" ht="14.85" customHeight="1"/>
    <row r="609" ht="14.85" customHeight="1"/>
    <row r="610" ht="14.85" customHeight="1"/>
    <row r="611" ht="14.85" customHeight="1"/>
    <row r="612" ht="14.85" customHeight="1"/>
    <row r="613" ht="14.85" customHeight="1"/>
    <row r="614" ht="14.85" customHeight="1"/>
    <row r="615" ht="14.85" customHeight="1"/>
    <row r="616" ht="14.85" customHeight="1"/>
    <row r="617" ht="14.85" customHeight="1"/>
    <row r="618" ht="14.85" customHeight="1"/>
    <row r="619" ht="14.85" customHeight="1"/>
    <row r="620" ht="14.85" customHeight="1"/>
    <row r="621" ht="14.85" customHeight="1"/>
    <row r="622" ht="14.85" customHeight="1"/>
    <row r="623" ht="14.85" customHeight="1"/>
    <row r="624" ht="14.85" customHeight="1"/>
    <row r="625" ht="14.85" customHeight="1"/>
    <row r="626" ht="14.85" customHeight="1"/>
    <row r="627" ht="14.85" customHeight="1"/>
    <row r="628" ht="14.85" customHeight="1"/>
    <row r="629" ht="14.85" customHeight="1"/>
    <row r="630" ht="14.85" customHeight="1"/>
    <row r="631" ht="14.85" customHeight="1"/>
    <row r="632" ht="14.85" customHeight="1"/>
    <row r="633" ht="14.85" customHeight="1"/>
    <row r="634" ht="14.85" customHeight="1"/>
    <row r="635" ht="14.85" customHeight="1"/>
    <row r="636" ht="14.85" customHeight="1"/>
    <row r="637" ht="14.85" customHeight="1"/>
    <row r="638" ht="14.85" customHeight="1"/>
    <row r="639" ht="14.85" customHeight="1"/>
    <row r="640" ht="14.85" customHeight="1"/>
    <row r="641" ht="14.85" customHeight="1"/>
    <row r="642" ht="14.85" customHeight="1"/>
    <row r="643" ht="14.85" customHeight="1"/>
    <row r="644" ht="14.85" customHeight="1"/>
    <row r="645" ht="14.85" customHeight="1"/>
    <row r="646" ht="14.85" customHeight="1"/>
    <row r="647" ht="14.85" customHeight="1"/>
    <row r="648" ht="14.85" customHeight="1"/>
    <row r="649" ht="14.85" customHeight="1"/>
    <row r="650" ht="14.85" customHeight="1"/>
    <row r="651" ht="14.85" customHeight="1"/>
    <row r="652" ht="14.85" customHeight="1"/>
    <row r="653" ht="14.85" customHeight="1"/>
    <row r="654" ht="14.85" customHeight="1"/>
    <row r="655" ht="14.85" customHeight="1"/>
    <row r="656" ht="14.85" customHeight="1"/>
    <row r="657" ht="14.85" customHeight="1"/>
    <row r="658" ht="14.85" customHeight="1"/>
    <row r="659" ht="14.85" customHeight="1"/>
    <row r="660" ht="14.85" customHeight="1"/>
    <row r="661" ht="14.85" customHeight="1"/>
    <row r="662" ht="14.85" customHeight="1"/>
    <row r="663" ht="14.85" customHeight="1"/>
    <row r="664" ht="14.85" customHeight="1"/>
    <row r="665" ht="14.85" customHeight="1"/>
    <row r="666" ht="14.85" customHeight="1"/>
    <row r="667" ht="14.85" customHeight="1"/>
    <row r="668" ht="14.85" customHeight="1"/>
    <row r="669" ht="14.85" customHeight="1"/>
    <row r="670" ht="14.85" customHeight="1"/>
    <row r="671" ht="14.85" customHeight="1"/>
    <row r="672" ht="14.85" customHeight="1"/>
    <row r="673" ht="14.85" customHeight="1"/>
    <row r="674" ht="14.85" customHeight="1"/>
    <row r="675" ht="14.85" customHeight="1"/>
    <row r="676" ht="14.85" customHeight="1"/>
    <row r="677" ht="14.85" customHeight="1"/>
    <row r="678" ht="14.85" customHeight="1"/>
    <row r="679" ht="14.85" customHeight="1"/>
    <row r="680" ht="14.85" customHeight="1"/>
    <row r="681" ht="14.85" customHeight="1"/>
    <row r="682" ht="14.85" customHeight="1"/>
    <row r="683" ht="14.85" customHeight="1"/>
    <row r="684" ht="14.85" customHeight="1"/>
    <row r="685" ht="14.85" customHeight="1"/>
    <row r="686" ht="14.85" customHeight="1"/>
    <row r="687" ht="14.85" customHeight="1"/>
    <row r="688" ht="14.85" customHeight="1"/>
    <row r="689" ht="14.85" customHeight="1"/>
    <row r="690" ht="14.85" customHeight="1"/>
    <row r="691" ht="14.85" customHeight="1"/>
    <row r="692" ht="14.85" customHeight="1"/>
    <row r="693" ht="14.85" customHeight="1"/>
    <row r="694" ht="14.85" customHeight="1"/>
    <row r="695" ht="14.85" customHeight="1"/>
    <row r="696" ht="14.85" customHeight="1"/>
    <row r="697" ht="14.85" customHeight="1"/>
    <row r="698" ht="14.85" customHeight="1"/>
    <row r="699" ht="14.85" customHeight="1"/>
    <row r="700" ht="14.85" customHeight="1"/>
    <row r="701" ht="14.85" customHeight="1"/>
    <row r="702" ht="14.85" customHeight="1"/>
    <row r="703" ht="14.85" customHeight="1"/>
    <row r="704" ht="14.85" customHeight="1"/>
    <row r="705" ht="14.85" customHeight="1"/>
    <row r="706" ht="14.85" customHeight="1"/>
    <row r="707" ht="14.85" customHeight="1"/>
    <row r="708" ht="14.85" customHeight="1"/>
    <row r="709" ht="14.85" customHeight="1"/>
    <row r="710" ht="14.85" customHeight="1"/>
    <row r="711" ht="14.85" customHeight="1"/>
    <row r="712" ht="14.85" customHeight="1"/>
    <row r="713" ht="14.85" customHeight="1"/>
    <row r="714" ht="14.85" customHeight="1"/>
    <row r="715" ht="14.85" customHeight="1"/>
    <row r="716" ht="14.85" customHeight="1"/>
    <row r="717" ht="14.85" customHeight="1"/>
    <row r="718" ht="14.85" customHeight="1"/>
    <row r="719" ht="14.85" customHeight="1"/>
    <row r="720" ht="14.85" customHeight="1"/>
    <row r="721" ht="14.85" customHeight="1"/>
    <row r="722" ht="14.85" customHeight="1"/>
    <row r="723" ht="14.85" customHeight="1"/>
    <row r="724" ht="14.85" customHeight="1"/>
    <row r="725" ht="14.85" customHeight="1"/>
    <row r="726" ht="14.85" customHeight="1"/>
    <row r="727" ht="14.85" customHeight="1"/>
    <row r="728" ht="14.85" customHeight="1"/>
    <row r="729" ht="14.85" customHeight="1"/>
    <row r="730" ht="14.85" customHeight="1"/>
    <row r="731" ht="14.85" customHeight="1"/>
    <row r="732" ht="14.85" customHeight="1"/>
    <row r="733" ht="14.85" customHeight="1"/>
    <row r="734" ht="14.85" customHeight="1"/>
    <row r="735" ht="14.85" customHeight="1"/>
    <row r="736" ht="14.85" customHeight="1"/>
    <row r="737" ht="14.85" customHeight="1"/>
    <row r="738" ht="14.85" customHeight="1"/>
    <row r="739" ht="14.85" customHeight="1"/>
    <row r="740" ht="14.85" customHeight="1"/>
    <row r="741" ht="14.85" customHeight="1"/>
    <row r="742" ht="14.85" customHeight="1"/>
    <row r="743" ht="14.85" customHeight="1"/>
    <row r="744" ht="14.85" customHeight="1"/>
    <row r="745" ht="14.85" customHeight="1"/>
    <row r="746" ht="14.85" customHeight="1"/>
    <row r="747" ht="14.85" customHeight="1"/>
    <row r="748" ht="14.85" customHeight="1"/>
    <row r="749" ht="14.85" customHeight="1"/>
    <row r="750" ht="14.85" customHeight="1"/>
  </sheetData>
  <conditionalFormatting sqref="B4:J4">
    <cfRule type="cellIs" dxfId="2" priority="3" stopIfTrue="1" operator="equal">
      <formula>"input"</formula>
    </cfRule>
  </conditionalFormatting>
  <conditionalFormatting sqref="K4:V4">
    <cfRule type="cellIs" dxfId="1" priority="2" stopIfTrue="1" operator="equal">
      <formula>"input"</formula>
    </cfRule>
  </conditionalFormatting>
  <conditionalFormatting sqref="W4">
    <cfRule type="cellIs" dxfId="0" priority="1" stopIfTrue="1" operator="equal">
      <formula>"input"</formula>
    </cfRule>
  </conditionalFormatting>
  <pageMargins left="0.5" right="0.5" top="0.5" bottom="0.5" header="0.5" footer="0.5"/>
  <pageSetup scale="65" fitToWidth="0" fitToHeight="0" orientation="landscape" r:id="rId1"/>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92</vt:i4>
      </vt:variant>
      <vt:variant>
        <vt:lpstr>Named Ranges</vt:lpstr>
      </vt:variant>
      <vt:variant>
        <vt:i4>95</vt:i4>
      </vt:variant>
    </vt:vector>
  </HeadingPairs>
  <TitlesOfParts>
    <vt:vector size="187"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PWERM</vt:lpstr>
      <vt:lpstr>Exit Probability</vt:lpstr>
      <vt:lpstr>PoTS</vt:lpstr>
      <vt:lpstr>FS &gt;&gt;</vt:lpstr>
      <vt:lpstr>Projected IS</vt:lpstr>
      <vt:lpstr>Hist IS</vt:lpstr>
      <vt:lpstr>Hist BS</vt:lpstr>
      <vt:lpstr>Discount Rate FP &gt;&gt;</vt:lpstr>
      <vt:lpstr>WACC PWERM</vt:lpstr>
      <vt:lpstr>RoR Stage of Dev</vt:lpstr>
      <vt:lpstr>GCM FP &gt;&gt;</vt:lpstr>
      <vt:lpstr>Comp.1</vt:lpstr>
      <vt:lpstr>Comp.6</vt:lpstr>
      <vt:lpstr>GTM FP &gt;&gt;</vt:lpstr>
      <vt:lpstr>Trans.1</vt:lpstr>
      <vt:lpstr>Trans.2</vt:lpstr>
      <vt:lpstr>Cap Structure FP &gt;&gt;</vt:lpstr>
      <vt:lpstr>Cap Table</vt:lpstr>
      <vt:lpstr>Econ Rights</vt:lpstr>
      <vt:lpstr>Support FP &gt;&gt;</vt:lpstr>
      <vt:lpstr>PWERM DLOM</vt:lpstr>
      <vt:lpstr>Asset Vol_IPO Phase I</vt:lpstr>
      <vt:lpstr>Asset Vol_IPO Phase II</vt:lpstr>
      <vt:lpstr>Asset Vol_M&amp;A Phase I</vt:lpstr>
      <vt:lpstr>Asset Vol_M&amp;A Phase II</vt:lpstr>
      <vt:lpstr>Equity Vol</vt:lpstr>
      <vt:lpstr>Risk-Free Rates</vt:lpstr>
      <vt:lpstr>Additional Risk Factor</vt:lpstr>
      <vt:lpstr>Licensing Deals</vt:lpstr>
      <vt:lpstr>IPO Data_BioPharma</vt:lpstr>
      <vt:lpstr>Title_Workpapers &gt; &gt;</vt:lpstr>
      <vt:lpstr>Outline_Workpapers</vt:lpstr>
      <vt:lpstr>Hybrid OPM</vt:lpstr>
      <vt:lpstr>OPM 1 Hybrid</vt:lpstr>
      <vt:lpstr>OPM 2 Hybrid</vt:lpstr>
      <vt:lpstr>DLOM Hybrid</vt:lpstr>
      <vt:lpstr>Asset Vol Hybrid</vt:lpstr>
      <vt:lpstr>Asset Vol Hybrid OPM DLOM</vt:lpstr>
      <vt:lpstr>Risk-Free Rates Hybrid</vt:lpstr>
      <vt:lpstr>Market Trends since Prior Val</vt:lpstr>
      <vt:lpstr>Comparative Sheet</vt:lpstr>
      <vt:lpstr>PBC -&gt;&gt;&gt;</vt:lpstr>
      <vt:lpstr>Cash Burn</vt:lpstr>
      <vt:lpstr>Operating Income Statement</vt:lpstr>
      <vt:lpstr>Balance Sheet</vt:lpstr>
      <vt:lpstr>Cash Flow</vt:lpstr>
      <vt:lpstr>Income Statement'2018</vt:lpstr>
      <vt:lpstr>Actual BS</vt:lpstr>
      <vt:lpstr>Balance Sheet'2018</vt:lpstr>
      <vt:lpstr>Cash Flow'2018</vt:lpstr>
      <vt:lpstr>Detailed Cap</vt:lpstr>
      <vt:lpstr>Options &amp; RSUs</vt:lpstr>
      <vt:lpstr>Certificates</vt:lpstr>
      <vt:lpstr>Vesting Details</vt:lpstr>
      <vt:lpstr>CAPIQ -&gt;&gt;&gt;</vt:lpstr>
      <vt:lpstr>Capital IQ Sheet-GPC</vt:lpstr>
      <vt:lpstr>Capital IQ Sheet-STM</vt:lpstr>
      <vt:lpstr>GPC Linked</vt:lpstr>
      <vt:lpstr>STM Linked</vt:lpstr>
      <vt:lpstr>&lt;DO NOT INCLUDE&gt;</vt:lpstr>
      <vt:lpstr>PWERM Waterfall n Alloation</vt:lpstr>
      <vt:lpstr>Asset Vol_PWERM</vt:lpstr>
      <vt:lpstr>Beta Calc</vt:lpstr>
      <vt:lpstr>WACC CAPM</vt:lpstr>
      <vt:lpstr>OPM 1</vt:lpstr>
      <vt:lpstr>OPM 2</vt:lpstr>
      <vt:lpstr>Asset Vol_DLOM</vt:lpstr>
      <vt:lpstr>IPO Data_Med Device</vt:lpstr>
      <vt:lpstr>IPO Data_Diagnostic</vt:lpstr>
      <vt:lpstr>Comp.4</vt:lpstr>
      <vt:lpstr>DLOM Rest Stock</vt:lpstr>
      <vt:lpstr>Lack Voting</vt:lpstr>
      <vt:lpstr>Control Premium Summary</vt:lpstr>
      <vt:lpstr>GCM SUMM</vt:lpstr>
      <vt:lpstr>Comp.2</vt:lpstr>
      <vt:lpstr>Comp.5</vt:lpstr>
      <vt:lpstr>GTM SUMM</vt:lpstr>
      <vt:lpstr>List Data</vt:lpstr>
      <vt:lpstr>Template Details</vt:lpstr>
      <vt:lpstr>DCF</vt:lpstr>
      <vt:lpstr>Depreciation - MACRS</vt:lpstr>
      <vt:lpstr>Class Vol</vt:lpstr>
      <vt:lpstr>DetailedCapShares</vt:lpstr>
      <vt:lpstr>'Additional Risk Factor'!Print_Area</vt:lpstr>
      <vt:lpstr>'Allocation Method &gt;&gt;'!Print_Area</vt:lpstr>
      <vt:lpstr>'Asset Vol Hybrid'!Print_Area</vt:lpstr>
      <vt:lpstr>'Asset Vol Hybrid OPM DLOM'!Print_Area</vt:lpstr>
      <vt:lpstr>'Asset Vol_DLOM'!Print_Area</vt:lpstr>
      <vt:lpstr>'Asset Vol_IPO Phase I'!Print_Area</vt:lpstr>
      <vt:lpstr>'Asset Vol_IPO Phase II'!Print_Area</vt:lpstr>
      <vt:lpstr>'Asset Vol_M&amp;A Phase I'!Print_Area</vt:lpstr>
      <vt:lpstr>'Asset Vol_M&amp;A Phase II'!Print_Area</vt:lpstr>
      <vt:lpstr>'Asset Vol_PWERM'!Print_Area</vt:lpstr>
      <vt:lpstr>'Balance Sheet''2018'!Print_Area</vt:lpstr>
      <vt:lpstr>'Beta Calc'!Print_Area</vt:lpstr>
      <vt:lpstr>'Cap Structure FP &gt;&gt;'!Print_Area</vt:lpstr>
      <vt:lpstr>'Cap Table'!Print_Area</vt:lpstr>
      <vt:lpstr>'Capital IQ Sheet-GPC'!Print_Area</vt:lpstr>
      <vt:lpstr>'Capital IQ Sheet-STM'!Print_Area</vt:lpstr>
      <vt:lpstr>'Cash Flow''2018'!Print_Area</vt:lpstr>
      <vt:lpstr>Checklist!Print_Area</vt:lpstr>
      <vt:lpstr>'Class Vol'!Print_Area</vt:lpstr>
      <vt:lpstr>Comp.1!Print_Area</vt:lpstr>
      <vt:lpstr>Comp.2!Print_Area</vt:lpstr>
      <vt:lpstr>Comp.4!Print_Area</vt:lpstr>
      <vt:lpstr>Comp.5!Print_Area</vt:lpstr>
      <vt:lpstr>Comp.6!Print_Area</vt:lpstr>
      <vt:lpstr>'Comparative Sheet'!Print_Area</vt:lpstr>
      <vt:lpstr>DCF!Print_Area</vt:lpstr>
      <vt:lpstr>'Depreciation - MACRS'!Print_Area</vt:lpstr>
      <vt:lpstr>'Discount Rate FP &gt;&gt;'!Print_Area</vt:lpstr>
      <vt:lpstr>'DLOM Hybrid'!Print_Area</vt:lpstr>
      <vt:lpstr>'DLOM Rest Stock'!Print_Area</vt:lpstr>
      <vt:lpstr>'Econ Rights'!Print_Area</vt:lpstr>
      <vt:lpstr>'Equity Vol'!Print_Area</vt:lpstr>
      <vt:lpstr>'Exit Probability'!Print_Area</vt:lpstr>
      <vt:lpstr>'FS &gt;&gt;'!Print_Area</vt:lpstr>
      <vt:lpstr>'GCM FP &gt;&gt;'!Print_Area</vt:lpstr>
      <vt:lpstr>'GCM SUMM'!Print_Area</vt:lpstr>
      <vt:lpstr>'GPC Linked'!Print_Area</vt:lpstr>
      <vt:lpstr>'GTM FP &gt;&gt;'!Print_Area</vt:lpstr>
      <vt:lpstr>'GTM SUMM'!Print_Area</vt:lpstr>
      <vt:lpstr>'Hist BS'!Print_Area</vt:lpstr>
      <vt:lpstr>'Hist IS'!Print_Area</vt:lpstr>
      <vt:lpstr>'Hybrid OPM'!Print_Area</vt:lpstr>
      <vt:lpstr>'IPO Data_BioPharma'!Print_Area</vt:lpstr>
      <vt:lpstr>'IPO Data_Diagnostic'!Print_Area</vt:lpstr>
      <vt:lpstr>'IPO Data_Med Device'!Print_Area</vt:lpstr>
      <vt:lpstr>'Lack Voting'!Print_Area</vt:lpstr>
      <vt:lpstr>'Licensing Deals'!Print_Area</vt:lpstr>
      <vt:lpstr>'Market Trends since Prior Val'!Print_Area</vt:lpstr>
      <vt:lpstr>'OPM 1'!Print_Area</vt:lpstr>
      <vt:lpstr>'OPM 1 Hybrid'!Print_Area</vt:lpstr>
      <vt:lpstr>'OPM 2'!Print_Area</vt:lpstr>
      <vt:lpstr>'OPM 2 Hybrid'!Print_Area</vt:lpstr>
      <vt:lpstr>Outline!Print_Area</vt:lpstr>
      <vt:lpstr>Outline_Workpapers!Print_Area</vt:lpstr>
      <vt:lpstr>PoTS!Print_Area</vt:lpstr>
      <vt:lpstr>'Projected IS'!Print_Area</vt:lpstr>
      <vt:lpstr>PWERM!Print_Area</vt:lpstr>
      <vt:lpstr>'PWERM DLOM'!Print_Area</vt:lpstr>
      <vt:lpstr>'PWERM Waterfall n Alloation'!Print_Area</vt:lpstr>
      <vt:lpstr>'Risk-Free Rates'!Print_Area</vt:lpstr>
      <vt:lpstr>'Risk-Free Rates Hybrid'!Print_Area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Summ'!Print_Area</vt:lpstr>
      <vt:lpstr>'WACC CAPM'!Print_Area</vt:lpstr>
      <vt:lpstr>'WACC PWERM'!Print_Area</vt:lpstr>
      <vt:lpstr>'Additional Risk Factor'!Print_Titles</vt:lpstr>
      <vt:lpstr>Comp.1!Print_Titles</vt:lpstr>
      <vt:lpstr>Comp.2!Print_Titles</vt:lpstr>
      <vt:lpstr>Comp.4!Print_Titles</vt:lpstr>
      <vt:lpstr>Comp.5!Print_Titles</vt:lpstr>
      <vt:lpstr>Comp.6!Print_Titles</vt:lpstr>
      <vt:lpstr>'Comparative Sheet'!Print_Titles</vt:lpstr>
      <vt:lpstr>DCF!Print_Titles</vt:lpstr>
      <vt:lpstr>'Exit Probability'!Print_Titles</vt:lpstr>
      <vt:lpstr>'IPO Data_BioPharma'!Print_Titles</vt:lpstr>
      <vt:lpstr>'IPO Data_Diagnostic'!Print_Titles</vt:lpstr>
      <vt:lpstr>'IPO Data_Med Device'!Print_Titles</vt:lpstr>
      <vt:lpstr>'Licensing Deals'!Print_Titles</vt:lpstr>
      <vt:lpstr>'Market Trends since Prior Val'!Print_Titles</vt:lpstr>
      <vt:lpstr>'OPM 1'!Print_Titles</vt:lpstr>
      <vt:lpstr>'OPM 1 Hybrid'!Print_Titles</vt:lpstr>
      <vt:lpstr>PoTS!Print_Titles</vt:lpstr>
      <vt:lpstr>PWERM!Print_Titles</vt:lpstr>
      <vt:lpstr>'PWERM Waterfall n Alloation'!Print_Titles</vt:lpstr>
      <vt:lpstr>'Risk-Free Rates'!Print_Titles</vt:lpstr>
      <vt:lpstr>'Risk-Free Rates Hybrid'!Print_Titles</vt:lpstr>
      <vt:lpstr>Trans.1!Print_Titles</vt:lpstr>
      <vt:lpstr>Trans.2!Print_Titles</vt:lpstr>
    </vt:vector>
  </TitlesOfParts>
  <Company>Burr Pilger Mayer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Ayush Mittal</cp:lastModifiedBy>
  <cp:lastPrinted>2019-03-13T10:02:44Z</cp:lastPrinted>
  <dcterms:created xsi:type="dcterms:W3CDTF">2014-03-18T02:31:57Z</dcterms:created>
  <dcterms:modified xsi:type="dcterms:W3CDTF">2019-03-13T10:03:06Z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